
<file path=[Content_Types].xml><?xml version="1.0" encoding="utf-8"?>
<Types xmlns="http://schemas.openxmlformats.org/package/2006/content-types">
  <Default Extension="png" ContentType="image/png"/>
  <Default Extension="bin" ContentType="application/vnd.openxmlformats-officedocument.oleObject"/>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Default Extension="GIF" ContentType="image/gif"/>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omments1.xml" ContentType="application/vnd.openxmlformats-officedocument.spreadsheetml.comments+xml"/>
  <Override PartName="/xl/drawings/drawing28.xml" ContentType="application/vnd.openxmlformats-officedocument.drawing+xml"/>
  <Override PartName="/xl/comments2.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4.xml" ContentType="application/vnd.openxmlformats-officedocument.drawing+xml"/>
  <Override PartName="/xl/charts/chart3.xml" ContentType="application/vnd.openxmlformats-officedocument.drawingml.chart+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printerSettings/printerSettings1.bin" ContentType="application/vnd.openxmlformats-officedocument.spreadsheetml.printerSettings"/>
  <Override PartName="/xl/drawings/drawing58.xml" ContentType="application/vnd.openxmlformats-officedocument.drawing+xml"/>
  <Override PartName="/xl/drawings/drawing59.xml" ContentType="application/vnd.openxmlformats-officedocument.drawing+xml"/>
  <Override PartName="/xl/comments3.xml" ContentType="application/vnd.openxmlformats-officedocument.spreadsheetml.comments+xml"/>
  <Override PartName="/xl/drawings/drawing60.xml" ContentType="application/vnd.openxmlformats-officedocument.drawing+xml"/>
  <Override PartName="/xl/comments4.xml" ContentType="application/vnd.openxmlformats-officedocument.spreadsheetml.comments+xml"/>
  <Override PartName="/xl/drawings/drawing61.xml" ContentType="application/vnd.openxmlformats-officedocument.drawing+xml"/>
  <Override PartName="/xl/printerSettings/printerSettings2.bin" ContentType="application/vnd.openxmlformats-officedocument.spreadsheetml.printerSettings"/>
  <Override PartName="/xl/printerSettings/printerSettings3.bin" ContentType="application/vnd.openxmlformats-officedocument.spreadsheetml.printerSettings"/>
  <Override PartName="/xl/printerSettings/printerSettings4.bin" ContentType="application/vnd.openxmlformats-officedocument.spreadsheetml.printerSettings"/>
  <Override PartName="/xl/printerSettings/printerSettings5.bin" ContentType="application/vnd.openxmlformats-officedocument.spreadsheetml.printerSettings"/>
  <Override PartName="/xl/printerSettings/printerSettings6.bin" ContentType="application/vnd.openxmlformats-officedocument.spreadsheetml.printerSettings"/>
  <Override PartName="/xl/printerSettings/printerSettings7.bin" ContentType="application/vnd.openxmlformats-officedocument.spreadsheetml.printerSettings"/>
  <Override PartName="/xl/comments5.xml" ContentType="application/vnd.openxmlformats-officedocument.spreadsheetml.comments+xml"/>
  <Override PartName="/xl/printerSettings/printerSettings8.bin" ContentType="application/vnd.openxmlformats-officedocument.spreadsheetml.printerSettings"/>
  <Override PartName="/xl/printerSettings/printerSettings9.bin" ContentType="application/vnd.openxmlformats-officedocument.spreadsheetml.printerSettings"/>
  <Override PartName="/xl/printerSettings/printerSettings10.bin" ContentType="application/vnd.openxmlformats-officedocument.spreadsheetml.printerSettings"/>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printerSettings/printerSettings11.bin" ContentType="application/vnd.openxmlformats-officedocument.spreadsheetml.printerSettings"/>
  <Override PartName="/xl/comments6.xml" ContentType="application/vnd.openxmlformats-officedocument.spreadsheetml.comments+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comments7.xml" ContentType="application/vnd.openxmlformats-officedocument.spreadsheetml.comments+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printerSettings/printerSettings12.bin" ContentType="application/vnd.openxmlformats-officedocument.spreadsheetml.printerSettings"/>
  <Override PartName="/xl/drawings/drawing85.xml" ContentType="application/vnd.openxmlformats-officedocument.drawing+xml"/>
  <Override PartName="/xl/drawings/drawing86.xml" ContentType="application/vnd.openxmlformats-officedocument.drawing+xml"/>
  <Override PartName="/xl/comments8.xml" ContentType="application/vnd.openxmlformats-officedocument.spreadsheetml.comments+xml"/>
  <Override PartName="/xl/drawings/drawing87.xml" ContentType="application/vnd.openxmlformats-officedocument.drawing+xml"/>
  <Override PartName="/xl/drawings/drawing88.xml" ContentType="application/vnd.openxmlformats-officedocument.drawing+xml"/>
  <Override PartName="/xl/printerSettings/printerSettings13.bin" ContentType="application/vnd.openxmlformats-officedocument.spreadsheetml.printerSettings"/>
  <Override PartName="/xl/drawings/drawing8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225" yWindow="60" windowWidth="19200" windowHeight="12555" tabRatio="818"/>
  </bookViews>
  <sheets>
    <sheet name="总目录" sheetId="15" r:id="rId1"/>
    <sheet name="七国铝及其合金牌号对照表" sheetId="172" r:id="rId2"/>
    <sheet name="七国钢材牌号对照表" sheetId="171" r:id="rId3"/>
    <sheet name="常用工程材料属性" sheetId="170" r:id="rId4"/>
    <sheet name="塑料材料性能" sheetId="169" r:id="rId5"/>
    <sheet name="液压冲击" sheetId="168" r:id="rId6"/>
    <sheet name="【理论】总冲裁力的计算" sheetId="167" r:id="rId7"/>
    <sheet name="液压油" sheetId="165" r:id="rId8"/>
    <sheet name="缝隙.管路" sheetId="164" r:id="rId9"/>
    <sheet name="蓄能器" sheetId="163" r:id="rId10"/>
    <sheet name="油箱.热平衡" sheetId="162" r:id="rId11"/>
    <sheet name="泵.马达" sheetId="161" r:id="rId12"/>
    <sheet name="圆锥滚子轴承参数表" sheetId="159" r:id="rId13"/>
    <sheet name="公制螺纹大全" sheetId="157" r:id="rId14"/>
    <sheet name="椭圆" sheetId="156" r:id="rId15"/>
    <sheet name="正方形" sheetId="155" r:id="rId16"/>
    <sheet name="圆" sheetId="154" r:id="rId17"/>
    <sheet name="扇形圆环" sheetId="153" r:id="rId18"/>
    <sheet name="扇形" sheetId="152" r:id="rId19"/>
    <sheet name="三角形" sheetId="151" r:id="rId20"/>
    <sheet name="六边形" sheetId="150" r:id="rId21"/>
    <sheet name="空心正方形" sheetId="149" r:id="rId22"/>
    <sheet name="空心正方形（圆）" sheetId="148" r:id="rId23"/>
    <sheet name="空心圆" sheetId="147" r:id="rId24"/>
    <sheet name="空心椭圆" sheetId="146" r:id="rId25"/>
    <sheet name="矩形" sheetId="145" r:id="rId26"/>
    <sheet name="花键" sheetId="144" r:id="rId27"/>
    <sheet name="钢型截面" sheetId="143" r:id="rId28"/>
    <sheet name="带横孔圆" sheetId="142" r:id="rId29"/>
    <sheet name="薄壁正方形" sheetId="141" r:id="rId30"/>
    <sheet name="半圆环" sheetId="140" r:id="rId31"/>
    <sheet name="半圆" sheetId="139" r:id="rId32"/>
    <sheet name="功率计算公式" sheetId="138" r:id="rId33"/>
    <sheet name="捲料沖壓效率" sheetId="136" r:id="rId34"/>
    <sheet name="剪切力計算" sheetId="132" r:id="rId35"/>
    <sheet name="板材壓印成型之加工壓力" sheetId="133" r:id="rId36"/>
    <sheet name="V型 彎曲力之計算 " sheetId="134" r:id="rId37"/>
    <sheet name="U型 彎曲力之計算" sheetId="135" r:id="rId38"/>
    <sheet name="齿轮齿条电机选型" sheetId="131" r:id="rId39"/>
    <sheet name="正弦加速度凸轮" sheetId="127" r:id="rId40"/>
    <sheet name="凸轮正弦余弦计算对照表" sheetId="128" r:id="rId41"/>
    <sheet name="凸轮的轮廓曲线设计" sheetId="129" r:id="rId42"/>
    <sheet name="金属材料密度表" sheetId="126" r:id="rId43"/>
    <sheet name="倍速链的张力计算" sheetId="125" r:id="rId44"/>
    <sheet name="倍速链线马达功率计算" sheetId="124" r:id="rId45"/>
    <sheet name="英制螺纹" sheetId="123" r:id="rId46"/>
    <sheet name="滚珠丝杆水平 (2)" sheetId="122" r:id="rId47"/>
    <sheet name="转矩计算" sheetId="121" r:id="rId48"/>
    <sheet name="皮带传动" sheetId="120" r:id="rId49"/>
    <sheet name="滚珠丝杆垂直" sheetId="119" r:id="rId50"/>
    <sheet name="滚珠丝杆水平" sheetId="118" r:id="rId51"/>
    <sheet name="弹簧刚度计算大全" sheetId="117" r:id="rId52"/>
    <sheet name="链轮齿槽形状" sheetId="116" r:id="rId53"/>
    <sheet name="链轮的基本参数和主要尺寸" sheetId="115" r:id="rId54"/>
    <sheet name="传动用短节距精密滚子链" sheetId="114" r:id="rId55"/>
    <sheet name="链条长度计算" sheetId="113" r:id="rId56"/>
    <sheet name="轴向齿廓及尺寸" sheetId="112" r:id="rId57"/>
    <sheet name="英制螺纹底孔对照表" sheetId="109" r:id="rId58"/>
    <sheet name="C型三角带规格" sheetId="108" r:id="rId59"/>
    <sheet name="B型三角带规格" sheetId="107" r:id="rId60"/>
    <sheet name="A型三角带规格" sheetId="106" r:id="rId61"/>
    <sheet name="V型带槽型齿" sheetId="105" r:id="rId62"/>
    <sheet name="V型带轮规格型号" sheetId="104" r:id="rId63"/>
    <sheet name="凸轮各曲线特征" sheetId="102" r:id="rId64"/>
    <sheet name="形位公差" sheetId="101" r:id="rId65"/>
    <sheet name="孔偏差" sheetId="100" r:id="rId66"/>
    <sheet name="公差" sheetId="98" r:id="rId67"/>
    <sheet name="沉孔尺寸" sheetId="97" r:id="rId68"/>
    <sheet name="緊固螺釘旋入深度及螺孔底孔深度" sheetId="96" r:id="rId69"/>
    <sheet name="扳手空間尺寸" sheetId="95" r:id="rId70"/>
    <sheet name="T型槽尺寸" sheetId="94" r:id="rId71"/>
    <sheet name="亚德客缓冲器" sheetId="93" r:id="rId72"/>
    <sheet name="材质硬度对照表" sheetId="92" r:id="rId73"/>
    <sheet name="推力球轴承尺寸表" sheetId="89" r:id="rId74"/>
    <sheet name="深沟球轴承查询 " sheetId="88" r:id="rId75"/>
    <sheet name="平键和键槽" sheetId="86" r:id="rId76"/>
    <sheet name="E形扣环" sheetId="85" r:id="rId77"/>
    <sheet name="轴用" sheetId="84" r:id="rId78"/>
    <sheet name="孔用" sheetId="83" r:id="rId79"/>
    <sheet name="齿轮齿条传动设计计算  " sheetId="82" r:id="rId80"/>
    <sheet name="搖擺資料" sheetId="80" r:id="rId81"/>
    <sheet name="輸送帶計算" sheetId="79" r:id="rId82"/>
    <sheet name="齒輪分割計算" sheetId="78" r:id="rId83"/>
    <sheet name="棘轮计算" sheetId="77" r:id="rId84"/>
    <sheet name="弹簧计算" sheetId="73" r:id="rId85"/>
    <sheet name="齿式联轴器计算" sheetId="72" r:id="rId86"/>
    <sheet name="万向联轴器计算" sheetId="71" r:id="rId87"/>
    <sheet name="过盈计算" sheetId="70" r:id="rId88"/>
    <sheet name="减速机公称功率" sheetId="69" r:id="rId89"/>
    <sheet name="链条计算" sheetId="67" r:id="rId90"/>
    <sheet name="焊缝及键连接受力计算比较" sheetId="66" r:id="rId91"/>
    <sheet name="销的强度计算" sheetId="65" r:id="rId92"/>
    <sheet name="键的强度计算 " sheetId="64" r:id="rId93"/>
    <sheet name="同步带轮传动设计计算" sheetId="63" r:id="rId94"/>
    <sheet name="分度盘选型计算公式" sheetId="62" r:id="rId95"/>
    <sheet name="单位换算" sheetId="60" r:id="rId96"/>
    <sheet name="真空元件的选定" sheetId="59" r:id="rId97"/>
    <sheet name="耗气量计算及电磁阀选择" sheetId="58" r:id="rId98"/>
    <sheet name="三角皮带参数表" sheetId="56" r:id="rId99"/>
    <sheet name="气缸理论出力表" sheetId="55" r:id="rId100"/>
    <sheet name="气缸内径选型" sheetId="53" r:id="rId101"/>
    <sheet name="伺服电机选型自动版" sheetId="52" r:id="rId102"/>
    <sheet name="材料价格计算表" sheetId="51" r:id="rId103"/>
    <sheet name="压入力计算" sheetId="48" r:id="rId104"/>
    <sheet name="弹性模量、泊松系数" sheetId="49" r:id="rId105"/>
    <sheet name="电机功率确定程序" sheetId="47" r:id="rId106"/>
    <sheet name="变位圆柱" sheetId="43" r:id="rId107"/>
    <sheet name="齿轮齿条" sheetId="44" r:id="rId108"/>
    <sheet name="齿轮常用材料及其力学性能 (2)" sheetId="45" r:id="rId109"/>
    <sheet name="圆柱蜗杆传动基本几何尺寸计算公式" sheetId="40" r:id="rId110"/>
    <sheet name="圆柱蜗杆传动主要参数搭配推荐值" sheetId="42" r:id="rId111"/>
    <sheet name="三角皮带长度计算" sheetId="39" r:id="rId112"/>
    <sheet name="粗螺纹" sheetId="37" r:id="rId113"/>
    <sheet name="美制特细螺纹及英制电器螺纹" sheetId="34" r:id="rId114"/>
    <sheet name="管螺纹" sheetId="35" r:id="rId115"/>
    <sheet name="螺纹及针车用螺纹" sheetId="36" r:id="rId116"/>
    <sheet name="立柱计算" sheetId="28" r:id="rId117"/>
    <sheet name="稳定性系数" sheetId="29" r:id="rId118"/>
    <sheet name="   齿轮齿条传动设计计算    " sheetId="26" r:id="rId119"/>
    <sheet name="齿轮常用材料及其力学性能" sheetId="25" r:id="rId120"/>
    <sheet name="蜗轮传动" sheetId="23" r:id="rId121"/>
    <sheet name="高度变位斜齿轮跨棒(球)距" sheetId="24" r:id="rId122"/>
    <sheet name="外花键跨棒距" sheetId="19" r:id="rId123"/>
    <sheet name="内花键棒间距" sheetId="20" r:id="rId124"/>
    <sheet name="高变位齿轮尺寸计算" sheetId="22" r:id="rId125"/>
    <sheet name="超越离合器设计计算表" sheetId="18" r:id="rId126"/>
    <sheet name="常用Y系列电机型号参数表" sheetId="17" r:id="rId127"/>
    <sheet name="锥齿轮传动设计计算" sheetId="16" r:id="rId128"/>
    <sheet name="概述" sheetId="8" r:id="rId129"/>
    <sheet name="负载转矩计算" sheetId="2" r:id="rId130"/>
    <sheet name="惯量计算" sheetId="1" r:id="rId131"/>
    <sheet name="皮带轮间歇运动" sheetId="3" r:id="rId132"/>
    <sheet name="皮带轮连续运动" sheetId="7" r:id="rId133"/>
    <sheet name="分度盘" sheetId="9" r:id="rId134"/>
    <sheet name="其他" sheetId="10" r:id="rId135"/>
    <sheet name="电机常识" sheetId="11" r:id="rId136"/>
    <sheet name="圆盘" sheetId="14" r:id="rId137"/>
    <sheet name="分割器选型基础知识" sheetId="74" r:id="rId138"/>
    <sheet name="螺纹中小径计算" sheetId="90" r:id="rId139"/>
    <sheet name="塞打螺丝常用规格表" sheetId="110" r:id="rId140"/>
    <sheet name="米制细牙螺纹" sheetId="130" r:id="rId141"/>
    <sheet name="轴的基本偏差" sheetId="137" r:id="rId142"/>
    <sheet name="带滑块轴承座规格表" sheetId="158" r:id="rId143"/>
    <sheet name="同步带节线长计算" sheetId="173" r:id="rId144"/>
    <sheet name="气缸推力计算" sheetId="174" r:id="rId145"/>
    <sheet name="真空用元件的选定" sheetId="175" r:id="rId146"/>
    <sheet name="螺丝攻牙钻孔径" sheetId="177" r:id="rId147"/>
    <sheet name="管螺纹对照表" sheetId="178" r:id="rId148"/>
    <sheet name="螺栓扭矩标准" sheetId="179" r:id="rId149"/>
    <sheet name="针车用螺纹" sheetId="180" r:id="rId150"/>
    <sheet name="蜗杆常用材料" sheetId="181" r:id="rId151"/>
    <sheet name="链轮计算" sheetId="182" r:id="rId152"/>
    <sheet name="材料摩擦系数" sheetId="183" r:id="rId153"/>
    <sheet name="标准件量" sheetId="185" r:id="rId154"/>
    <sheet name="惯性距计算" sheetId="187" r:id="rId155"/>
    <sheet name="过盈" sheetId="188" r:id="rId156"/>
    <sheet name="形状位置公差加工方法" sheetId="189" r:id="rId157"/>
    <sheet name="密度" sheetId="190" r:id="rId158"/>
    <sheet name="O型圈" sheetId="191" r:id="rId159"/>
    <sheet name="无缝管" sheetId="192" r:id="rId160"/>
    <sheet name="标准筛目" sheetId="193" r:id="rId161"/>
    <sheet name="各曲线特征" sheetId="194" r:id="rId162"/>
    <sheet name="平键和键槽标准尺寸规格表" sheetId="195" r:id="rId163"/>
  </sheets>
  <externalReferences>
    <externalReference r:id="rId164"/>
    <externalReference r:id="rId165"/>
  </externalReferences>
  <definedNames>
    <definedName name="_xlnm._FilterDatabase" localSheetId="13" hidden="1">公制螺纹大全!$A$1:$I$1000</definedName>
    <definedName name="_xlnm._FilterDatabase" localSheetId="108" hidden="1">'齿轮常用材料及其力学性能 (2)'!$A$1:$I$4</definedName>
    <definedName name="Am" localSheetId="66">[1]分割器计算!$B$11</definedName>
    <definedName name="Am" localSheetId="65">[1]分割器计算!$B$11</definedName>
    <definedName name="Am" localSheetId="40">#REF!</definedName>
    <definedName name="Am" localSheetId="63">[1]分割器计算!$B$11</definedName>
    <definedName name="Am" localSheetId="41">#REF!</definedName>
    <definedName name="Am" localSheetId="39">#REF!</definedName>
    <definedName name="Am" localSheetId="64">[1]分割器计算!$B$11</definedName>
    <definedName name="Am" localSheetId="38">#REF!</definedName>
    <definedName name="Am">#REF!</definedName>
    <definedName name="Da">[2]擠壓螺紋下孔徑!$E$2</definedName>
    <definedName name="fs" localSheetId="66">[1]分割器计算!$B$18</definedName>
    <definedName name="fs" localSheetId="65">[1]分割器计算!$B$18</definedName>
    <definedName name="fs" localSheetId="40">#REF!</definedName>
    <definedName name="fs" localSheetId="63">[1]分割器计算!$B$18</definedName>
    <definedName name="fs" localSheetId="41">#REF!</definedName>
    <definedName name="fs" localSheetId="39">#REF!</definedName>
    <definedName name="fs" localSheetId="64">[1]分割器计算!$B$18</definedName>
    <definedName name="fs" localSheetId="38">#REF!</definedName>
    <definedName name="fs">#REF!</definedName>
    <definedName name="g">9.8</definedName>
    <definedName name="I_disc" localSheetId="66">[1]分割器计算!$D$5</definedName>
    <definedName name="I_disc" localSheetId="65">[1]分割器计算!$D$5</definedName>
    <definedName name="I_disc" localSheetId="40">#REF!</definedName>
    <definedName name="I_disc" localSheetId="63">[1]分割器计算!$D$5</definedName>
    <definedName name="I_disc" localSheetId="41">#REF!</definedName>
    <definedName name="I_disc" localSheetId="39">#REF!</definedName>
    <definedName name="I_disc" localSheetId="64">[1]分割器计算!$D$5</definedName>
    <definedName name="I_disc" localSheetId="38">#REF!</definedName>
    <definedName name="I_disc">#REF!</definedName>
    <definedName name="I_fix" localSheetId="66">[1]分割器计算!$D$6</definedName>
    <definedName name="I_fix" localSheetId="65">[1]分割器计算!$D$6</definedName>
    <definedName name="I_fix" localSheetId="40">#REF!</definedName>
    <definedName name="I_fix" localSheetId="63">[1]分割器计算!$D$6</definedName>
    <definedName name="I_fix" localSheetId="41">#REF!</definedName>
    <definedName name="I_fix" localSheetId="39">#REF!</definedName>
    <definedName name="I_fix" localSheetId="64">[1]分割器计算!$D$6</definedName>
    <definedName name="I_fix" localSheetId="38">#REF!</definedName>
    <definedName name="I_fix">#REF!</definedName>
    <definedName name="I_tool" localSheetId="66">[1]分割器计算!$D$7</definedName>
    <definedName name="I_tool" localSheetId="65">[1]分割器计算!$D$7</definedName>
    <definedName name="I_tool" localSheetId="40">#REF!</definedName>
    <definedName name="I_tool" localSheetId="63">[1]分割器计算!$D$7</definedName>
    <definedName name="I_tool" localSheetId="41">#REF!</definedName>
    <definedName name="I_tool" localSheetId="39">#REF!</definedName>
    <definedName name="I_tool" localSheetId="64">[1]分割器计算!$D$7</definedName>
    <definedName name="I_tool" localSheetId="38">#REF!</definedName>
    <definedName name="I_tool">#REF!</definedName>
    <definedName name="I_total" localSheetId="66">[1]分割器计算!$D$8</definedName>
    <definedName name="I_total" localSheetId="65">[1]分割器计算!$D$8</definedName>
    <definedName name="I_total" localSheetId="40">#REF!</definedName>
    <definedName name="I_total" localSheetId="63">[1]分割器计算!$D$8</definedName>
    <definedName name="I_total" localSheetId="41">#REF!</definedName>
    <definedName name="I_total" localSheetId="39">#REF!</definedName>
    <definedName name="I_total" localSheetId="64">[1]分割器计算!$D$8</definedName>
    <definedName name="I_total" localSheetId="38">#REF!</definedName>
    <definedName name="I_total">#REF!</definedName>
    <definedName name="kkkk" localSheetId="40">#REF!</definedName>
    <definedName name="kkkk" localSheetId="41">#REF!</definedName>
    <definedName name="kkkk" localSheetId="39">#REF!</definedName>
    <definedName name="kkkk">#REF!</definedName>
    <definedName name="M_1">#REF!</definedName>
    <definedName name="M_D2">#REF!</definedName>
    <definedName name="M_disc" localSheetId="66">[1]分割器计算!$D$2</definedName>
    <definedName name="M_disc" localSheetId="65">[1]分割器计算!$D$2</definedName>
    <definedName name="M_disc" localSheetId="40">#REF!</definedName>
    <definedName name="M_disc" localSheetId="63">[1]分割器计算!$D$2</definedName>
    <definedName name="M_disc" localSheetId="41">#REF!</definedName>
    <definedName name="M_disc" localSheetId="39">#REF!</definedName>
    <definedName name="M_disc" localSheetId="64">[1]分割器计算!$D$2</definedName>
    <definedName name="M_disc" localSheetId="38">#REF!</definedName>
    <definedName name="M_disc">#REF!</definedName>
    <definedName name="M_fix" localSheetId="66">[1]分割器计算!$D$3</definedName>
    <definedName name="M_fix" localSheetId="65">[1]分割器计算!$D$3</definedName>
    <definedName name="M_fix" localSheetId="40">#REF!</definedName>
    <definedName name="M_fix" localSheetId="63">[1]分割器计算!$D$3</definedName>
    <definedName name="M_fix" localSheetId="41">#REF!</definedName>
    <definedName name="M_fix" localSheetId="39">#REF!</definedName>
    <definedName name="M_fix" localSheetId="64">[1]分割器计算!$D$3</definedName>
    <definedName name="M_fix" localSheetId="38">#REF!</definedName>
    <definedName name="M_fix">#REF!</definedName>
    <definedName name="M_tool" localSheetId="66">[1]分割器计算!$D$4</definedName>
    <definedName name="M_tool" localSheetId="65">[1]分割器计算!$D$4</definedName>
    <definedName name="M_tool" localSheetId="40">#REF!</definedName>
    <definedName name="M_tool" localSheetId="63">[1]分割器计算!$D$4</definedName>
    <definedName name="M_tool" localSheetId="41">#REF!</definedName>
    <definedName name="M_tool" localSheetId="39">#REF!</definedName>
    <definedName name="M_tool" localSheetId="64">[1]分割器计算!$D$4</definedName>
    <definedName name="M_tool" localSheetId="38">#REF!</definedName>
    <definedName name="M_tool">#REF!</definedName>
    <definedName name="M_total" localSheetId="66">[1]分割器计算!$F$2</definedName>
    <definedName name="M_total" localSheetId="65">[1]分割器计算!$F$2</definedName>
    <definedName name="M_total" localSheetId="40">#REF!</definedName>
    <definedName name="M_total" localSheetId="63">[1]分割器计算!$F$2</definedName>
    <definedName name="M_total" localSheetId="41">#REF!</definedName>
    <definedName name="M_total" localSheetId="39">#REF!</definedName>
    <definedName name="M_total" localSheetId="64">[1]分割器计算!$F$2</definedName>
    <definedName name="M_total" localSheetId="38">#REF!</definedName>
    <definedName name="M_total">#REF!</definedName>
    <definedName name="Pa" localSheetId="66">[1]分割器计算!$B$23</definedName>
    <definedName name="Pa" localSheetId="65">[1]分割器计算!$B$23</definedName>
    <definedName name="Pa" localSheetId="40">#REF!</definedName>
    <definedName name="Pa" localSheetId="63">[1]分割器计算!$B$23</definedName>
    <definedName name="Pa" localSheetId="41">#REF!</definedName>
    <definedName name="Pa" localSheetId="39">#REF!</definedName>
    <definedName name="Pa" localSheetId="64">[1]分割器计算!$B$23</definedName>
    <definedName name="Pa" localSheetId="38">#REF!</definedName>
    <definedName name="Pa">#REF!</definedName>
    <definedName name="ParetoBaseCell">#REF!</definedName>
    <definedName name="_xlnm.Print_Area" localSheetId="118">'   齿轮齿条传动设计计算    '!$A$1:$J$321</definedName>
    <definedName name="_xlnm.Print_Area" localSheetId="70">T型槽尺寸!$A$1:$Z$153</definedName>
    <definedName name="_xlnm.Print_Area" localSheetId="37">'U型 彎曲力之計算'!$A$1:$AC$26</definedName>
    <definedName name="_xlnm.Print_Area" localSheetId="36">'V型 彎曲力之計算 '!$A$1:$T$25</definedName>
    <definedName name="_xlnm.Print_Area" localSheetId="40">凸轮正弦余弦计算对照表!$A$1:$L$62</definedName>
    <definedName name="_xlnm.Print_Area" localSheetId="105">电机功率确定程序!$A$1:$E$10</definedName>
    <definedName name="_xlnm.Print_Area" localSheetId="67">沉孔尺寸!$A$1:$Z$51</definedName>
    <definedName name="_xlnm.Print_Area" localSheetId="106">变位圆柱!$A$1:$E$27</definedName>
    <definedName name="_xlnm.Print_Area" localSheetId="35">板材壓印成型之加工壓力!$A$1:$U$30</definedName>
    <definedName name="_xlnm.Print_Area" localSheetId="42">金属材料密度表!$A$1:$I$42</definedName>
    <definedName name="_xlnm.Print_Area" localSheetId="57">英制螺纹底孔对照表!$A$1:$X$25</definedName>
    <definedName name="_xlnm.Print_Area" localSheetId="44">倍速链线马达功率计算!$A$1:$G$57</definedName>
    <definedName name="_xlnm.Print_Area" localSheetId="34">剪切力計算!$B$1:$AC$29</definedName>
    <definedName name="_xlnm.Print_Area" localSheetId="33">捲料沖壓效率!$A$1:$Y$30</definedName>
    <definedName name="_xlnm.Print_Area" localSheetId="74">'深沟球轴承查询 '!$A$2:$J$134</definedName>
    <definedName name="_xlnm.Print_Area" localSheetId="77">轴用!$A$1:$Q$58</definedName>
    <definedName name="_xlnm.Print_Area" localSheetId="127">锥齿轮传动设计计算!$A$222:$H$309</definedName>
    <definedName name="_xlnm.Print_Titles" localSheetId="126">常用Y系列电机型号参数表!$1:$2</definedName>
    <definedName name="Qm" localSheetId="66">[1]分割器计算!$B$12</definedName>
    <definedName name="Qm" localSheetId="65">[1]分割器计算!$B$12</definedName>
    <definedName name="Qm" localSheetId="40">#REF!</definedName>
    <definedName name="Qm" localSheetId="63">[1]分割器计算!$B$12</definedName>
    <definedName name="Qm" localSheetId="41">#REF!</definedName>
    <definedName name="Qm" localSheetId="39">#REF!</definedName>
    <definedName name="Qm" localSheetId="64">[1]分割器计算!$B$12</definedName>
    <definedName name="Qm" localSheetId="38">#REF!</definedName>
    <definedName name="Qm">#REF!</definedName>
    <definedName name="R_fix" localSheetId="66">[1]分割器计算!$B$15/1000</definedName>
    <definedName name="R_fix" localSheetId="65">[1]分割器计算!$B$15/1000</definedName>
    <definedName name="R_fix" localSheetId="40">#REF!/1000</definedName>
    <definedName name="R_fix" localSheetId="63">[1]分割器计算!$B$15/1000</definedName>
    <definedName name="R_fix" localSheetId="41">#REF!/1000</definedName>
    <definedName name="R_fix" localSheetId="39">#REF!/1000</definedName>
    <definedName name="R_fix" localSheetId="64">[1]分割器计算!$B$15/1000</definedName>
    <definedName name="R_fix" localSheetId="38">#REF!/1000</definedName>
    <definedName name="R_fix">#REF!/1000</definedName>
    <definedName name="T_input" localSheetId="66">[1]分割器计算!$B$21</definedName>
    <definedName name="T_input" localSheetId="65">[1]分割器计算!$B$21</definedName>
    <definedName name="T_input" localSheetId="40">#REF!</definedName>
    <definedName name="T_input" localSheetId="63">[1]分割器计算!$B$21</definedName>
    <definedName name="T_input" localSheetId="41">#REF!</definedName>
    <definedName name="T_input" localSheetId="39">#REF!</definedName>
    <definedName name="T_input" localSheetId="64">[1]分割器计算!$B$21</definedName>
    <definedName name="T_input" localSheetId="38">#REF!</definedName>
    <definedName name="T_input">#REF!</definedName>
    <definedName name="T_output" localSheetId="66">[1]分割器计算!$B$20</definedName>
    <definedName name="T_output" localSheetId="65">[1]分割器计算!$B$20</definedName>
    <definedName name="T_output" localSheetId="40">#REF!</definedName>
    <definedName name="T_output" localSheetId="63">[1]分割器计算!$B$20</definedName>
    <definedName name="T_output" localSheetId="41">#REF!</definedName>
    <definedName name="T_output" localSheetId="39">#REF!</definedName>
    <definedName name="T_output" localSheetId="64">[1]分割器计算!$B$20</definedName>
    <definedName name="T_output" localSheetId="38">#REF!</definedName>
    <definedName name="T_output">#REF!</definedName>
    <definedName name="T_total" localSheetId="66">[1]分割器计算!$B$19</definedName>
    <definedName name="T_total" localSheetId="65">[1]分割器计算!$B$19</definedName>
    <definedName name="T_total" localSheetId="40">#REF!</definedName>
    <definedName name="T_total" localSheetId="63">[1]分割器计算!$B$19</definedName>
    <definedName name="T_total" localSheetId="41">#REF!</definedName>
    <definedName name="T_total" localSheetId="39">#REF!</definedName>
    <definedName name="T_total" localSheetId="64">[1]分割器计算!$B$19</definedName>
    <definedName name="T_total" localSheetId="38">#REF!</definedName>
    <definedName name="T_total">#REF!</definedName>
    <definedName name="Tf" localSheetId="66">[1]分割器计算!$F$6</definedName>
    <definedName name="Tf" localSheetId="65">[1]分割器计算!$F$6</definedName>
    <definedName name="Tf" localSheetId="40">#REF!</definedName>
    <definedName name="Tf" localSheetId="63">[1]分割器计算!$F$6</definedName>
    <definedName name="Tf" localSheetId="41">#REF!</definedName>
    <definedName name="Tf" localSheetId="39">#REF!</definedName>
    <definedName name="Tf" localSheetId="64">[1]分割器计算!$F$6</definedName>
    <definedName name="Tf" localSheetId="38">#REF!</definedName>
    <definedName name="Tf">#REF!</definedName>
    <definedName name="Ti" localSheetId="66">[1]分割器计算!$D$10</definedName>
    <definedName name="Ti" localSheetId="65">[1]分割器计算!$D$10</definedName>
    <definedName name="Ti" localSheetId="40">#REF!</definedName>
    <definedName name="Ti" localSheetId="63">[1]分割器计算!$D$10</definedName>
    <definedName name="Ti" localSheetId="41">#REF!</definedName>
    <definedName name="Ti" localSheetId="39">#REF!</definedName>
    <definedName name="Ti" localSheetId="64">[1]分割器计算!$D$10</definedName>
    <definedName name="Ti" localSheetId="38">#REF!</definedName>
    <definedName name="Ti">#REF!</definedName>
    <definedName name="α" localSheetId="66">[1]分割器计算!$D$9</definedName>
    <definedName name="α" localSheetId="65">[1]分割器计算!$D$9</definedName>
    <definedName name="α" localSheetId="40">#REF!</definedName>
    <definedName name="α" localSheetId="63">[1]分割器计算!$D$9</definedName>
    <definedName name="α" localSheetId="41">#REF!</definedName>
    <definedName name="α" localSheetId="39">#REF!</definedName>
    <definedName name="α" localSheetId="64">[1]分割器计算!$D$9</definedName>
    <definedName name="α" localSheetId="38">#REF!</definedName>
    <definedName name="α">#REF!</definedName>
    <definedName name="η" localSheetId="66">[1]分割器计算!$B$22</definedName>
    <definedName name="η" localSheetId="65">[1]分割器计算!$B$22</definedName>
    <definedName name="η" localSheetId="40">#REF!</definedName>
    <definedName name="η" localSheetId="63">[1]分割器计算!$B$22</definedName>
    <definedName name="η" localSheetId="41">#REF!</definedName>
    <definedName name="η" localSheetId="39">#REF!</definedName>
    <definedName name="η" localSheetId="64">[1]分割器计算!$B$22</definedName>
    <definedName name="η" localSheetId="38">#REF!</definedName>
    <definedName name="η">#REF!</definedName>
    <definedName name="μ" localSheetId="66">[1]分割器计算!$F$5</definedName>
    <definedName name="μ" localSheetId="65">[1]分割器计算!$F$5</definedName>
    <definedName name="μ" localSheetId="40">#REF!</definedName>
    <definedName name="μ" localSheetId="63">[1]分割器计算!$F$5</definedName>
    <definedName name="μ" localSheetId="41">#REF!</definedName>
    <definedName name="μ" localSheetId="39">#REF!</definedName>
    <definedName name="μ" localSheetId="64">[1]分割器计算!$F$5</definedName>
    <definedName name="μ" localSheetId="38">#REF!</definedName>
    <definedName name="μ">#REF!</definedName>
    <definedName name="上偏差1" localSheetId="40">#REF!</definedName>
    <definedName name="上偏差1" localSheetId="41">#REF!</definedName>
    <definedName name="上偏差1" localSheetId="39">#REF!</definedName>
    <definedName name="上偏差1">#REF!</definedName>
    <definedName name="下偏差1" localSheetId="40">#REF!</definedName>
    <definedName name="下偏差1" localSheetId="41">#REF!</definedName>
    <definedName name="下偏差1" localSheetId="39">#REF!</definedName>
    <definedName name="下偏差1">#REF!</definedName>
    <definedName name="孔上偏差" localSheetId="40">#REF!</definedName>
    <definedName name="孔上偏差" localSheetId="41">#REF!</definedName>
    <definedName name="孔上偏差" localSheetId="39">#REF!</definedName>
    <definedName name="孔上偏差">#REF!</definedName>
    <definedName name="孔下偏差" localSheetId="40">#REF!</definedName>
    <definedName name="孔下偏差" localSheetId="41">#REF!</definedName>
    <definedName name="孔下偏差" localSheetId="39">#REF!</definedName>
    <definedName name="孔下偏差">#REF!</definedName>
    <definedName name="孔公差等级" localSheetId="40">#REF!</definedName>
    <definedName name="孔公差等级" localSheetId="41">#REF!</definedName>
    <definedName name="孔公差等级" localSheetId="39">#REF!</definedName>
    <definedName name="孔公差等级">#REF!</definedName>
    <definedName name="孔基准1" localSheetId="40">#REF!</definedName>
    <definedName name="孔基准1" localSheetId="41">#REF!</definedName>
    <definedName name="孔基准1" localSheetId="39">#REF!</definedName>
    <definedName name="孔基准1">#REF!</definedName>
    <definedName name="起始单元" localSheetId="40">#REF!</definedName>
    <definedName name="起始单元" localSheetId="41">#REF!</definedName>
    <definedName name="起始单元" localSheetId="39">#REF!</definedName>
    <definedName name="起始单元">#REF!</definedName>
    <definedName name="基本值" localSheetId="40">#REF!</definedName>
    <definedName name="基本值" localSheetId="41">#REF!</definedName>
    <definedName name="基本值" localSheetId="39">#REF!</definedName>
    <definedName name="基本值">#REF!</definedName>
    <definedName name="最大间隙" localSheetId="40">#REF!</definedName>
    <definedName name="最大间隙" localSheetId="41">#REF!</definedName>
    <definedName name="最大间隙" localSheetId="39">#REF!</definedName>
    <definedName name="最大间隙">#REF!</definedName>
    <definedName name="最小间隙" localSheetId="40">#REF!</definedName>
    <definedName name="最小间隙" localSheetId="41">#REF!</definedName>
    <definedName name="最小间隙" localSheetId="39">#REF!</definedName>
    <definedName name="最小间隙">#REF!</definedName>
    <definedName name="轴上偏差" localSheetId="40">#REF!</definedName>
    <definedName name="轴上偏差" localSheetId="41">#REF!</definedName>
    <definedName name="轴上偏差" localSheetId="39">#REF!</definedName>
    <definedName name="轴上偏差">#REF!</definedName>
    <definedName name="轴下偏差" localSheetId="40">#REF!</definedName>
    <definedName name="轴下偏差" localSheetId="41">#REF!</definedName>
    <definedName name="轴下偏差" localSheetId="39">#REF!</definedName>
    <definedName name="轴下偏差">#REF!</definedName>
    <definedName name="轴公差等级" localSheetId="40">#REF!</definedName>
    <definedName name="轴公差等级" localSheetId="41">#REF!</definedName>
    <definedName name="轴公差等级" localSheetId="39">#REF!</definedName>
    <definedName name="轴公差等级">#REF!</definedName>
  </definedNames>
  <calcPr calcId="144525"/>
</workbook>
</file>

<file path=xl/calcChain.xml><?xml version="1.0" encoding="utf-8"?>
<calcChain xmlns="http://schemas.openxmlformats.org/spreadsheetml/2006/main">
  <c r="S38" i="194" l="1"/>
  <c r="S37" i="194"/>
  <c r="S36" i="194"/>
  <c r="S35" i="194"/>
  <c r="S26" i="194"/>
  <c r="T26" i="194" s="1"/>
  <c r="U26" i="194" s="1"/>
  <c r="V26" i="194" s="1"/>
  <c r="T23" i="194"/>
  <c r="U23" i="194" s="1"/>
  <c r="V23" i="194" s="1"/>
  <c r="W23" i="194" s="1"/>
  <c r="S23" i="194"/>
  <c r="I165" i="191"/>
  <c r="H165" i="191"/>
  <c r="G165" i="191"/>
  <c r="F165" i="191"/>
  <c r="E165" i="191"/>
  <c r="I163" i="191"/>
  <c r="H163" i="191"/>
  <c r="G163" i="191"/>
  <c r="F163" i="191"/>
  <c r="E163" i="191"/>
  <c r="I161" i="191"/>
  <c r="H161" i="191"/>
  <c r="G161" i="191"/>
  <c r="F161" i="191"/>
  <c r="E161" i="191"/>
  <c r="I157" i="191"/>
  <c r="I156" i="191"/>
  <c r="I155" i="191"/>
  <c r="I154" i="191"/>
  <c r="I153" i="191"/>
  <c r="I152" i="191"/>
  <c r="I151" i="191"/>
  <c r="I150" i="191"/>
  <c r="I149" i="191"/>
  <c r="I148" i="191"/>
  <c r="I147" i="191"/>
  <c r="I146" i="191"/>
  <c r="I145" i="191"/>
  <c r="I144" i="191"/>
  <c r="I143" i="191"/>
  <c r="I142" i="191"/>
  <c r="I141" i="191"/>
  <c r="I140" i="191"/>
  <c r="H140" i="191"/>
  <c r="I139" i="191"/>
  <c r="H139" i="191"/>
  <c r="I138" i="191"/>
  <c r="H138" i="191"/>
  <c r="I137" i="191"/>
  <c r="H137" i="191"/>
  <c r="I136" i="191"/>
  <c r="H136" i="191"/>
  <c r="I135" i="191"/>
  <c r="H135" i="191"/>
  <c r="I134" i="191"/>
  <c r="H134" i="191"/>
  <c r="I133" i="191"/>
  <c r="H133" i="191"/>
  <c r="I132" i="191"/>
  <c r="H132" i="191"/>
  <c r="I131" i="191"/>
  <c r="H131" i="191"/>
  <c r="I130" i="191"/>
  <c r="H130" i="191"/>
  <c r="I129" i="191"/>
  <c r="H129" i="191"/>
  <c r="I128" i="191"/>
  <c r="H128" i="191"/>
  <c r="I127" i="191"/>
  <c r="H127" i="191"/>
  <c r="I126" i="191"/>
  <c r="H126" i="191"/>
  <c r="I125" i="191"/>
  <c r="H125" i="191"/>
  <c r="I124" i="191"/>
  <c r="H124" i="191"/>
  <c r="I123" i="191"/>
  <c r="H123" i="191"/>
  <c r="I122" i="191"/>
  <c r="H122" i="191"/>
  <c r="I121" i="191"/>
  <c r="H121" i="191"/>
  <c r="I120" i="191"/>
  <c r="H120" i="191"/>
  <c r="I119" i="191"/>
  <c r="H119" i="191"/>
  <c r="I118" i="191"/>
  <c r="H118" i="191"/>
  <c r="I117" i="191"/>
  <c r="H117" i="191"/>
  <c r="I116" i="191"/>
  <c r="H116" i="191"/>
  <c r="I115" i="191"/>
  <c r="H115" i="191"/>
  <c r="G115" i="191"/>
  <c r="F115" i="191"/>
  <c r="I114" i="191"/>
  <c r="H114" i="191"/>
  <c r="G114" i="191"/>
  <c r="F114" i="191"/>
  <c r="I113" i="191"/>
  <c r="H113" i="191"/>
  <c r="G113" i="191"/>
  <c r="F113" i="191"/>
  <c r="I112" i="191"/>
  <c r="H112" i="191"/>
  <c r="G112" i="191"/>
  <c r="F112" i="191"/>
  <c r="I111" i="191"/>
  <c r="H111" i="191"/>
  <c r="G111" i="191"/>
  <c r="I110" i="191"/>
  <c r="H110" i="191"/>
  <c r="G110" i="191"/>
  <c r="I109" i="191"/>
  <c r="H109" i="191"/>
  <c r="G109" i="191"/>
  <c r="F109" i="191"/>
  <c r="I108" i="191"/>
  <c r="H108" i="191"/>
  <c r="G108" i="191"/>
  <c r="I107" i="191"/>
  <c r="H107" i="191"/>
  <c r="G107" i="191"/>
  <c r="F107" i="191"/>
  <c r="I106" i="191"/>
  <c r="H106" i="191"/>
  <c r="G106" i="191"/>
  <c r="I105" i="191"/>
  <c r="H105" i="191"/>
  <c r="G105" i="191"/>
  <c r="F105" i="191"/>
  <c r="I104" i="191"/>
  <c r="H104" i="191"/>
  <c r="G104" i="191"/>
  <c r="I103" i="191"/>
  <c r="H103" i="191"/>
  <c r="G103" i="191"/>
  <c r="F103" i="191"/>
  <c r="I102" i="191"/>
  <c r="H102" i="191"/>
  <c r="G102" i="191"/>
  <c r="I101" i="191"/>
  <c r="H101" i="191"/>
  <c r="G101" i="191"/>
  <c r="F101" i="191"/>
  <c r="I100" i="191"/>
  <c r="H100" i="191"/>
  <c r="G100" i="191"/>
  <c r="I99" i="191"/>
  <c r="H99" i="191"/>
  <c r="G99" i="191"/>
  <c r="F99" i="191"/>
  <c r="I98" i="191"/>
  <c r="H98" i="191"/>
  <c r="G98" i="191"/>
  <c r="I97" i="191"/>
  <c r="H97" i="191"/>
  <c r="G97" i="191"/>
  <c r="F97" i="191"/>
  <c r="I96" i="191"/>
  <c r="H96" i="191"/>
  <c r="G96" i="191"/>
  <c r="I95" i="191"/>
  <c r="H95" i="191"/>
  <c r="G95" i="191"/>
  <c r="F95" i="191"/>
  <c r="I94" i="191"/>
  <c r="H94" i="191"/>
  <c r="G94" i="191"/>
  <c r="H93" i="191"/>
  <c r="G93" i="191"/>
  <c r="F93" i="191"/>
  <c r="H92" i="191"/>
  <c r="G92" i="191"/>
  <c r="H91" i="191"/>
  <c r="G91" i="191"/>
  <c r="F91" i="191"/>
  <c r="H90" i="191"/>
  <c r="G90" i="191"/>
  <c r="H89" i="191"/>
  <c r="G89" i="191"/>
  <c r="F89" i="191"/>
  <c r="H88" i="191"/>
  <c r="G88" i="191"/>
  <c r="H87" i="191"/>
  <c r="G87" i="191"/>
  <c r="F87" i="191"/>
  <c r="H86" i="191"/>
  <c r="G86" i="191"/>
  <c r="H85" i="191"/>
  <c r="G85" i="191"/>
  <c r="F85" i="191"/>
  <c r="H84" i="191"/>
  <c r="G84" i="191"/>
  <c r="H83" i="191"/>
  <c r="G83" i="191"/>
  <c r="F83" i="191"/>
  <c r="H82" i="191"/>
  <c r="G82" i="191"/>
  <c r="H81" i="191"/>
  <c r="G81" i="191"/>
  <c r="F81" i="191"/>
  <c r="H80" i="191"/>
  <c r="G80" i="191"/>
  <c r="H79" i="191"/>
  <c r="G79" i="191"/>
  <c r="F79" i="191"/>
  <c r="H78" i="191"/>
  <c r="G78" i="191"/>
  <c r="H77" i="191"/>
  <c r="G77" i="191"/>
  <c r="F77" i="191"/>
  <c r="H76" i="191"/>
  <c r="G76" i="191"/>
  <c r="H75" i="191"/>
  <c r="G75" i="191"/>
  <c r="F75" i="191"/>
  <c r="H74" i="191"/>
  <c r="G74" i="191"/>
  <c r="F74" i="191"/>
  <c r="H73" i="191"/>
  <c r="G73" i="191"/>
  <c r="F73" i="191"/>
  <c r="H72" i="191"/>
  <c r="G72" i="191"/>
  <c r="F72" i="191"/>
  <c r="H71" i="191"/>
  <c r="G71" i="191"/>
  <c r="F71" i="191"/>
  <c r="H70" i="191"/>
  <c r="G70" i="191"/>
  <c r="F70" i="191"/>
  <c r="H69" i="191"/>
  <c r="G69" i="191"/>
  <c r="F69" i="191"/>
  <c r="H68" i="191"/>
  <c r="G68" i="191"/>
  <c r="F68" i="191"/>
  <c r="H67" i="191"/>
  <c r="G67" i="191"/>
  <c r="F67" i="191"/>
  <c r="E67" i="191"/>
  <c r="H66" i="191"/>
  <c r="G66" i="191"/>
  <c r="F66" i="191"/>
  <c r="H65" i="191"/>
  <c r="G65" i="191"/>
  <c r="F65" i="191"/>
  <c r="H64" i="191"/>
  <c r="G64" i="191"/>
  <c r="F64" i="191"/>
  <c r="E64" i="191"/>
  <c r="H63" i="191"/>
  <c r="G63" i="191"/>
  <c r="F63" i="191"/>
  <c r="H62" i="191"/>
  <c r="G62" i="191"/>
  <c r="F62" i="191"/>
  <c r="H61" i="191"/>
  <c r="G61" i="191"/>
  <c r="F61" i="191"/>
  <c r="E61" i="191"/>
  <c r="H60" i="191"/>
  <c r="G60" i="191"/>
  <c r="F60" i="191"/>
  <c r="H59" i="191"/>
  <c r="G59" i="191"/>
  <c r="F59" i="191"/>
  <c r="G58" i="191"/>
  <c r="F58" i="191"/>
  <c r="E58" i="191"/>
  <c r="G57" i="191"/>
  <c r="F57" i="191"/>
  <c r="G56" i="191"/>
  <c r="F56" i="191"/>
  <c r="E56" i="191"/>
  <c r="G55" i="191"/>
  <c r="F55" i="191"/>
  <c r="G54" i="191"/>
  <c r="F54" i="191"/>
  <c r="E54" i="191"/>
  <c r="G53" i="191"/>
  <c r="F53" i="191"/>
  <c r="G52" i="191"/>
  <c r="F52" i="191"/>
  <c r="E52" i="191"/>
  <c r="G51" i="191"/>
  <c r="F51" i="191"/>
  <c r="G50" i="191"/>
  <c r="F50" i="191"/>
  <c r="E50" i="191"/>
  <c r="G49" i="191"/>
  <c r="F49" i="191"/>
  <c r="E49" i="191"/>
  <c r="G48" i="191"/>
  <c r="F48" i="191"/>
  <c r="E48" i="191"/>
  <c r="G47" i="191"/>
  <c r="F47" i="191"/>
  <c r="E47" i="191"/>
  <c r="G46" i="191"/>
  <c r="F46" i="191"/>
  <c r="E46" i="191"/>
  <c r="G45" i="191"/>
  <c r="F45" i="191"/>
  <c r="E45" i="191"/>
  <c r="G44" i="191"/>
  <c r="F44" i="191"/>
  <c r="E44" i="191"/>
  <c r="G43" i="191"/>
  <c r="F43" i="191"/>
  <c r="E43" i="191"/>
  <c r="G42" i="191"/>
  <c r="F42" i="191"/>
  <c r="E42" i="191"/>
  <c r="G41" i="191"/>
  <c r="F41" i="191"/>
  <c r="E41" i="191"/>
  <c r="G40" i="191"/>
  <c r="F40" i="191"/>
  <c r="E40" i="191"/>
  <c r="F39" i="191"/>
  <c r="E39" i="191"/>
  <c r="F38" i="191"/>
  <c r="E38" i="191"/>
  <c r="F37" i="191"/>
  <c r="E37" i="191"/>
  <c r="F36" i="191"/>
  <c r="E36" i="191"/>
  <c r="F35" i="191"/>
  <c r="E35" i="191"/>
  <c r="F34" i="191"/>
  <c r="E34" i="191"/>
  <c r="F33" i="191"/>
  <c r="E33" i="191"/>
  <c r="F32" i="191"/>
  <c r="E32" i="191"/>
  <c r="F31" i="191"/>
  <c r="E31" i="191"/>
  <c r="E30" i="191"/>
  <c r="E29" i="191"/>
  <c r="E28" i="191"/>
  <c r="E27" i="191"/>
  <c r="E26" i="191"/>
  <c r="E25" i="191"/>
  <c r="E24" i="191"/>
  <c r="E23" i="191"/>
  <c r="E22" i="191"/>
  <c r="E21" i="191"/>
  <c r="E20" i="191"/>
  <c r="E19" i="191"/>
  <c r="E18" i="191"/>
  <c r="E17" i="191"/>
  <c r="E16" i="191"/>
  <c r="E15" i="191"/>
  <c r="E14" i="191"/>
  <c r="E13" i="191"/>
  <c r="E12" i="191"/>
  <c r="E11" i="191"/>
  <c r="E10" i="191"/>
  <c r="E9" i="191"/>
  <c r="E8" i="191"/>
  <c r="E7" i="191"/>
  <c r="E6" i="191"/>
  <c r="E5" i="191"/>
  <c r="E50" i="188"/>
  <c r="E48" i="188"/>
  <c r="E33" i="188"/>
  <c r="E36" i="188" s="1"/>
  <c r="E32" i="188"/>
  <c r="E31" i="188"/>
  <c r="E22" i="188"/>
  <c r="E21" i="188"/>
  <c r="E19" i="188"/>
  <c r="E20" i="188" s="1"/>
  <c r="B31" i="187"/>
  <c r="B24" i="187"/>
  <c r="B18" i="187"/>
  <c r="B12" i="187"/>
  <c r="B6" i="187"/>
  <c r="H49" i="185"/>
  <c r="L34" i="185"/>
  <c r="L35" i="185" s="1"/>
  <c r="L36" i="185" s="1"/>
  <c r="L37" i="185" s="1"/>
  <c r="L38" i="185" s="1"/>
  <c r="L39" i="185" s="1"/>
  <c r="L33" i="185"/>
  <c r="N31" i="185"/>
  <c r="N32" i="185" s="1"/>
  <c r="N33" i="185" s="1"/>
  <c r="N34" i="185" s="1"/>
  <c r="N35" i="185" s="1"/>
  <c r="N36" i="185" s="1"/>
  <c r="N37" i="185" s="1"/>
  <c r="E8" i="182"/>
  <c r="E21" i="182"/>
  <c r="E18" i="182"/>
  <c r="E13" i="182"/>
  <c r="E11" i="182"/>
  <c r="E10" i="182"/>
  <c r="E9" i="182"/>
  <c r="E22" i="182"/>
  <c r="E12" i="175"/>
  <c r="K11" i="174"/>
  <c r="J11" i="174"/>
  <c r="E11" i="174"/>
  <c r="D11" i="174"/>
  <c r="K10" i="174"/>
  <c r="J10" i="174"/>
  <c r="E10" i="174"/>
  <c r="D10" i="174"/>
  <c r="K9" i="174"/>
  <c r="J9" i="174"/>
  <c r="E9" i="174"/>
  <c r="D9" i="174"/>
  <c r="K8" i="174"/>
  <c r="J8" i="174"/>
  <c r="E8" i="174"/>
  <c r="D8" i="174"/>
  <c r="K7" i="174"/>
  <c r="J7" i="174"/>
  <c r="E7" i="174"/>
  <c r="D7" i="174"/>
  <c r="K6" i="174"/>
  <c r="J6" i="174"/>
  <c r="E6" i="174"/>
  <c r="D6" i="174"/>
  <c r="K5" i="174"/>
  <c r="J5" i="174"/>
  <c r="E5" i="174"/>
  <c r="D5" i="174"/>
  <c r="K4" i="174"/>
  <c r="J4" i="174"/>
  <c r="E4" i="174"/>
  <c r="D4" i="174"/>
  <c r="K3" i="174"/>
  <c r="J3" i="174"/>
  <c r="E3" i="174"/>
  <c r="D3" i="174"/>
  <c r="E35" i="173"/>
  <c r="A35" i="173"/>
  <c r="E34" i="173"/>
  <c r="A34" i="173" s="1"/>
  <c r="E33" i="173"/>
  <c r="A33" i="173"/>
  <c r="E32" i="173"/>
  <c r="A32" i="173"/>
  <c r="E31" i="173"/>
  <c r="A31" i="173"/>
  <c r="E30" i="173"/>
  <c r="A30" i="173"/>
  <c r="E29" i="173"/>
  <c r="A29" i="173"/>
  <c r="E28" i="173"/>
  <c r="A28" i="173"/>
  <c r="E27" i="173"/>
  <c r="A27" i="173"/>
  <c r="F23" i="173"/>
  <c r="E23" i="173"/>
  <c r="A23" i="173"/>
  <c r="E22" i="173"/>
  <c r="F22" i="173" s="1"/>
  <c r="A22" i="173"/>
  <c r="E21" i="173"/>
  <c r="F21" i="173" s="1"/>
  <c r="A21" i="173"/>
  <c r="F20" i="173"/>
  <c r="E20" i="173"/>
  <c r="A20" i="173"/>
  <c r="F19" i="173"/>
  <c r="E19" i="173"/>
  <c r="A19" i="173"/>
  <c r="E18" i="173"/>
  <c r="F18" i="173" s="1"/>
  <c r="A18" i="173"/>
  <c r="E17" i="173"/>
  <c r="F17" i="173" s="1"/>
  <c r="A17" i="173"/>
  <c r="F16" i="173"/>
  <c r="E16" i="173"/>
  <c r="A16" i="173"/>
  <c r="F15" i="173"/>
  <c r="E15" i="173"/>
  <c r="A15" i="173"/>
  <c r="K11" i="173"/>
  <c r="J11" i="173"/>
  <c r="H11" i="173"/>
  <c r="G11" i="173"/>
  <c r="K10" i="173"/>
  <c r="J10" i="173"/>
  <c r="H10" i="173"/>
  <c r="G10" i="173"/>
  <c r="K9" i="173"/>
  <c r="J9" i="173"/>
  <c r="H9" i="173"/>
  <c r="G9" i="173"/>
  <c r="K8" i="173"/>
  <c r="J8" i="173"/>
  <c r="H8" i="173"/>
  <c r="G8" i="173"/>
  <c r="J7" i="173"/>
  <c r="G7" i="173"/>
  <c r="H7" i="173" s="1"/>
  <c r="K7" i="173" s="1"/>
  <c r="K6" i="173"/>
  <c r="J6" i="173"/>
  <c r="H6" i="173"/>
  <c r="G6" i="173"/>
  <c r="K5" i="173"/>
  <c r="J5" i="173"/>
  <c r="H5" i="173"/>
  <c r="G5" i="173"/>
  <c r="K4" i="173"/>
  <c r="J4" i="173"/>
  <c r="H4" i="173"/>
  <c r="G4" i="173"/>
  <c r="K3" i="173"/>
  <c r="J3" i="173"/>
  <c r="H3" i="173"/>
  <c r="G3" i="173"/>
  <c r="Y25" i="137"/>
  <c r="C22" i="90"/>
  <c r="C21" i="90"/>
  <c r="F20" i="90"/>
  <c r="C20" i="90"/>
  <c r="C19" i="90"/>
  <c r="J18" i="90"/>
  <c r="J17" i="90"/>
  <c r="C17" i="90"/>
  <c r="J16" i="90"/>
  <c r="C16" i="90"/>
  <c r="I12" i="90"/>
  <c r="I11" i="90"/>
  <c r="B11" i="90"/>
  <c r="I10" i="90"/>
  <c r="B10" i="90"/>
  <c r="I9" i="90"/>
  <c r="B9" i="90"/>
  <c r="I8" i="90"/>
  <c r="B8" i="90"/>
  <c r="I7" i="90"/>
  <c r="B7" i="90"/>
  <c r="F40" i="14"/>
  <c r="F34" i="14"/>
  <c r="F31" i="14"/>
  <c r="F28" i="14"/>
  <c r="F21" i="14"/>
  <c r="F18" i="14"/>
  <c r="F14" i="14"/>
  <c r="F33" i="10"/>
  <c r="F30" i="10"/>
  <c r="F27" i="10"/>
  <c r="F24" i="10"/>
  <c r="F21" i="10"/>
  <c r="F17" i="10"/>
  <c r="F13" i="10"/>
  <c r="F9" i="10"/>
  <c r="F79" i="9"/>
  <c r="F74" i="9"/>
  <c r="F70" i="9"/>
  <c r="F67" i="9"/>
  <c r="F61" i="9"/>
  <c r="F58" i="9"/>
  <c r="F55" i="9"/>
  <c r="F51" i="9"/>
  <c r="F46" i="9"/>
  <c r="F35" i="9"/>
  <c r="F32" i="9"/>
  <c r="F29" i="9"/>
  <c r="F24" i="9"/>
  <c r="F20" i="9"/>
  <c r="E56" i="7"/>
  <c r="E50" i="7"/>
  <c r="E46" i="7"/>
  <c r="E43" i="7"/>
  <c r="E39" i="7"/>
  <c r="E31" i="7"/>
  <c r="E27" i="7"/>
  <c r="E23" i="7"/>
  <c r="E19" i="7"/>
  <c r="E16" i="7"/>
  <c r="I11" i="7"/>
  <c r="E71" i="3"/>
  <c r="E66" i="3"/>
  <c r="E62" i="3"/>
  <c r="E60" i="3"/>
  <c r="E56" i="3"/>
  <c r="E53" i="3"/>
  <c r="E49" i="3"/>
  <c r="E41" i="3"/>
  <c r="E37" i="3"/>
  <c r="E33" i="3"/>
  <c r="E28" i="3"/>
  <c r="E25" i="3"/>
  <c r="E22" i="3"/>
  <c r="E20" i="3"/>
  <c r="E18" i="3"/>
  <c r="D70" i="1"/>
  <c r="B70" i="1"/>
  <c r="B69" i="1"/>
  <c r="D66" i="1"/>
  <c r="D64" i="1"/>
  <c r="D60" i="1"/>
  <c r="B60" i="1"/>
  <c r="D53" i="1"/>
  <c r="B53" i="1"/>
  <c r="B52" i="1"/>
  <c r="D49" i="1"/>
  <c r="D47" i="1"/>
  <c r="D46" i="1"/>
  <c r="D43" i="1"/>
  <c r="B43" i="1"/>
  <c r="B42" i="1"/>
  <c r="D39" i="1"/>
  <c r="D37" i="1"/>
  <c r="D36" i="1"/>
  <c r="D35" i="1"/>
  <c r="D32" i="1"/>
  <c r="B32" i="1"/>
  <c r="D31" i="1"/>
  <c r="B31" i="1"/>
  <c r="D28" i="1"/>
  <c r="D26" i="1"/>
  <c r="D25" i="1"/>
  <c r="D24" i="1"/>
  <c r="D21" i="1"/>
  <c r="B21" i="1"/>
  <c r="B20" i="1"/>
  <c r="D17" i="1"/>
  <c r="D15" i="1"/>
  <c r="D14" i="1"/>
  <c r="D13" i="1"/>
  <c r="F308" i="16"/>
  <c r="B308" i="16"/>
  <c r="A308" i="16"/>
  <c r="B307" i="16"/>
  <c r="A307" i="16"/>
  <c r="B306" i="16"/>
  <c r="B305" i="16"/>
  <c r="H303" i="16"/>
  <c r="G303" i="16"/>
  <c r="D303" i="16"/>
  <c r="C303" i="16"/>
  <c r="G302" i="16"/>
  <c r="C302" i="16"/>
  <c r="G301" i="16"/>
  <c r="C301" i="16"/>
  <c r="H300" i="16"/>
  <c r="G300" i="16"/>
  <c r="D300" i="16"/>
  <c r="C300" i="16"/>
  <c r="G299" i="16"/>
  <c r="C299" i="16"/>
  <c r="G298" i="16"/>
  <c r="C298" i="16"/>
  <c r="E297" i="16"/>
  <c r="E296" i="16"/>
  <c r="G295" i="16"/>
  <c r="C295" i="16"/>
  <c r="G294" i="16"/>
  <c r="C294" i="16"/>
  <c r="G293" i="16"/>
  <c r="C293" i="16"/>
  <c r="A292" i="16"/>
  <c r="E290" i="16"/>
  <c r="E288" i="16"/>
  <c r="E287" i="16"/>
  <c r="G286" i="16"/>
  <c r="C286" i="16"/>
  <c r="G285" i="16"/>
  <c r="C285" i="16"/>
  <c r="H284" i="16"/>
  <c r="G284" i="16"/>
  <c r="D284" i="16"/>
  <c r="C284" i="16"/>
  <c r="A284" i="16"/>
  <c r="G283" i="16"/>
  <c r="C283" i="16"/>
  <c r="G282" i="16"/>
  <c r="C282" i="16"/>
  <c r="E281" i="16"/>
  <c r="F280" i="16"/>
  <c r="D280" i="16"/>
  <c r="F279" i="16"/>
  <c r="D279" i="16"/>
  <c r="G278" i="16"/>
  <c r="C278" i="16"/>
  <c r="G277" i="16"/>
  <c r="C277" i="16"/>
  <c r="G276" i="16"/>
  <c r="C276" i="16"/>
  <c r="G275" i="16"/>
  <c r="C275" i="16"/>
  <c r="G274" i="16"/>
  <c r="C274" i="16"/>
  <c r="E273" i="16"/>
  <c r="E272" i="16"/>
  <c r="G271" i="16"/>
  <c r="C271" i="16"/>
  <c r="G270" i="16"/>
  <c r="C270" i="16"/>
  <c r="G269" i="16"/>
  <c r="C269" i="16"/>
  <c r="F268" i="16"/>
  <c r="E268" i="16"/>
  <c r="D268" i="16"/>
  <c r="C268" i="16"/>
  <c r="B268" i="16"/>
  <c r="E267" i="16"/>
  <c r="E266" i="16"/>
  <c r="E265" i="16"/>
  <c r="E264" i="16"/>
  <c r="E263" i="16"/>
  <c r="B261" i="16"/>
  <c r="F260" i="16"/>
  <c r="E260" i="16"/>
  <c r="B260" i="16"/>
  <c r="A260" i="16"/>
  <c r="G259" i="16"/>
  <c r="F259" i="16"/>
  <c r="E259" i="16"/>
  <c r="B259" i="16"/>
  <c r="A259" i="16"/>
  <c r="F258" i="16"/>
  <c r="E258" i="16"/>
  <c r="B258" i="16"/>
  <c r="A258" i="16"/>
  <c r="H257" i="16"/>
  <c r="G257" i="16"/>
  <c r="E257" i="16"/>
  <c r="C257" i="16"/>
  <c r="H256" i="16"/>
  <c r="G256" i="16"/>
  <c r="D256" i="16"/>
  <c r="C256" i="16"/>
  <c r="B256" i="16"/>
  <c r="A256" i="16"/>
  <c r="G255" i="16"/>
  <c r="C255" i="16"/>
  <c r="G254" i="16"/>
  <c r="E254" i="16"/>
  <c r="C254" i="16"/>
  <c r="G253" i="16"/>
  <c r="C253" i="16"/>
  <c r="G252" i="16"/>
  <c r="C252" i="16"/>
  <c r="G251" i="16"/>
  <c r="C251" i="16"/>
  <c r="E250" i="16"/>
  <c r="E249" i="16"/>
  <c r="G248" i="16"/>
  <c r="C248" i="16"/>
  <c r="G247" i="16"/>
  <c r="C247" i="16"/>
  <c r="G246" i="16"/>
  <c r="C246" i="16"/>
  <c r="G245" i="16"/>
  <c r="C245" i="16"/>
  <c r="G244" i="16"/>
  <c r="C244" i="16"/>
  <c r="E243" i="16"/>
  <c r="G242" i="16"/>
  <c r="C242" i="16"/>
  <c r="G241" i="16"/>
  <c r="C241" i="16"/>
  <c r="G240" i="16"/>
  <c r="C240" i="16"/>
  <c r="E239" i="16"/>
  <c r="E238" i="16"/>
  <c r="E237" i="16"/>
  <c r="E236" i="16"/>
  <c r="F235" i="16"/>
  <c r="E235" i="16"/>
  <c r="B235" i="16"/>
  <c r="A235" i="16"/>
  <c r="E234" i="16"/>
  <c r="E233" i="16"/>
  <c r="E232" i="16"/>
  <c r="G231" i="16"/>
  <c r="C231" i="16"/>
  <c r="G230" i="16"/>
  <c r="C230" i="16"/>
  <c r="A230" i="16"/>
  <c r="G226" i="16"/>
  <c r="C226" i="16"/>
  <c r="G225" i="16"/>
  <c r="C225" i="16"/>
  <c r="G224" i="16"/>
  <c r="C224" i="16"/>
  <c r="D223" i="16"/>
  <c r="H222" i="16"/>
  <c r="G222" i="16"/>
  <c r="L217" i="16"/>
  <c r="K217" i="16"/>
  <c r="D217" i="16"/>
  <c r="C217" i="16"/>
  <c r="K216" i="16"/>
  <c r="C216" i="16"/>
  <c r="O215" i="16"/>
  <c r="K215" i="16"/>
  <c r="G215" i="16"/>
  <c r="C215" i="16"/>
  <c r="K214" i="16"/>
  <c r="C214" i="16"/>
  <c r="K213" i="16"/>
  <c r="C213" i="16"/>
  <c r="Q212" i="16"/>
  <c r="O212" i="16"/>
  <c r="M212" i="16"/>
  <c r="K212" i="16"/>
  <c r="I212" i="16"/>
  <c r="G212" i="16"/>
  <c r="E212" i="16"/>
  <c r="C212" i="16"/>
  <c r="Q211" i="16"/>
  <c r="O211" i="16"/>
  <c r="M211" i="16"/>
  <c r="K211" i="16"/>
  <c r="I211" i="16"/>
  <c r="G211" i="16"/>
  <c r="E211" i="16"/>
  <c r="C211" i="16"/>
  <c r="Q210" i="16"/>
  <c r="O210" i="16"/>
  <c r="M210" i="16"/>
  <c r="K210" i="16"/>
  <c r="I210" i="16"/>
  <c r="G210" i="16"/>
  <c r="E210" i="16"/>
  <c r="C210" i="16"/>
  <c r="Q209" i="16"/>
  <c r="O209" i="16"/>
  <c r="M209" i="16"/>
  <c r="K209" i="16"/>
  <c r="I209" i="16"/>
  <c r="G209" i="16"/>
  <c r="E209" i="16"/>
  <c r="C209" i="16"/>
  <c r="Q208" i="16"/>
  <c r="O208" i="16"/>
  <c r="M208" i="16"/>
  <c r="K208" i="16"/>
  <c r="I208" i="16"/>
  <c r="G208" i="16"/>
  <c r="E208" i="16"/>
  <c r="C208" i="16"/>
  <c r="D206" i="16"/>
  <c r="C206" i="16"/>
  <c r="C205" i="16"/>
  <c r="G204" i="16"/>
  <c r="C204" i="16"/>
  <c r="C203" i="16"/>
  <c r="C202" i="16"/>
  <c r="K201" i="16"/>
  <c r="I201" i="16"/>
  <c r="G201" i="16"/>
  <c r="E201" i="16"/>
  <c r="C201" i="16"/>
  <c r="K200" i="16"/>
  <c r="I200" i="16"/>
  <c r="G200" i="16"/>
  <c r="E200" i="16"/>
  <c r="C200" i="16"/>
  <c r="I199" i="16"/>
  <c r="G199" i="16"/>
  <c r="E199" i="16"/>
  <c r="C199" i="16"/>
  <c r="I198" i="16"/>
  <c r="G198" i="16"/>
  <c r="E198" i="16"/>
  <c r="C198" i="16"/>
  <c r="E197" i="16"/>
  <c r="C197" i="16"/>
  <c r="K196" i="16"/>
  <c r="I196" i="16"/>
  <c r="G196" i="16"/>
  <c r="E196" i="16"/>
  <c r="C196" i="16"/>
  <c r="I195" i="16"/>
  <c r="G195" i="16"/>
  <c r="C195" i="16"/>
  <c r="K194" i="16"/>
  <c r="I194" i="16"/>
  <c r="G194" i="16"/>
  <c r="E194" i="16"/>
  <c r="C194" i="16"/>
  <c r="J193" i="16"/>
  <c r="G193" i="16"/>
  <c r="E193" i="16"/>
  <c r="C193" i="16"/>
  <c r="C191" i="16"/>
  <c r="G190" i="16"/>
  <c r="C190" i="16"/>
  <c r="C188" i="16"/>
  <c r="G187" i="16"/>
  <c r="C187" i="16"/>
  <c r="G186" i="16"/>
  <c r="C186" i="16"/>
  <c r="G185" i="16"/>
  <c r="C185" i="16"/>
  <c r="G184" i="16"/>
  <c r="E184" i="16"/>
  <c r="C184" i="16"/>
  <c r="C182" i="16"/>
  <c r="C181" i="16"/>
  <c r="E180" i="16"/>
  <c r="C180" i="16"/>
  <c r="G179" i="16"/>
  <c r="E179" i="16"/>
  <c r="C179" i="16"/>
  <c r="G178" i="16"/>
  <c r="C178" i="16"/>
  <c r="G177" i="16"/>
  <c r="C177" i="16"/>
  <c r="G176" i="16"/>
  <c r="C176" i="16"/>
  <c r="G175" i="16"/>
  <c r="C175" i="16"/>
  <c r="C174" i="16"/>
  <c r="G173" i="16"/>
  <c r="C173" i="16"/>
  <c r="C172" i="16"/>
  <c r="G171" i="16"/>
  <c r="C171" i="16"/>
  <c r="G168" i="16"/>
  <c r="E168" i="16"/>
  <c r="C168" i="16"/>
  <c r="F167" i="16"/>
  <c r="E167" i="16"/>
  <c r="D167" i="16"/>
  <c r="C167" i="16"/>
  <c r="F166" i="16"/>
  <c r="E166" i="16"/>
  <c r="D166" i="16"/>
  <c r="C166" i="16"/>
  <c r="F165" i="16"/>
  <c r="E165" i="16"/>
  <c r="D165" i="16"/>
  <c r="C165" i="16"/>
  <c r="C164" i="16"/>
  <c r="G163" i="16"/>
  <c r="C163" i="16"/>
  <c r="G162" i="16"/>
  <c r="C162" i="16"/>
  <c r="G161" i="16"/>
  <c r="C161" i="16"/>
  <c r="C160" i="16"/>
  <c r="G159" i="16"/>
  <c r="C159" i="16"/>
  <c r="G158" i="16"/>
  <c r="C158" i="16"/>
  <c r="G157" i="16"/>
  <c r="C157" i="16"/>
  <c r="G156" i="16"/>
  <c r="C156" i="16"/>
  <c r="G155" i="16"/>
  <c r="C155" i="16"/>
  <c r="G154" i="16"/>
  <c r="C154" i="16"/>
  <c r="G153" i="16"/>
  <c r="C153" i="16"/>
  <c r="G152" i="16"/>
  <c r="C152" i="16"/>
  <c r="G151" i="16"/>
  <c r="C151" i="16"/>
  <c r="G150" i="16"/>
  <c r="C150" i="16"/>
  <c r="D149" i="16"/>
  <c r="C149" i="16"/>
  <c r="D148" i="16"/>
  <c r="C148" i="16"/>
  <c r="G147" i="16"/>
  <c r="D147" i="16"/>
  <c r="C147" i="16"/>
  <c r="G146" i="16"/>
  <c r="D146" i="16"/>
  <c r="C146" i="16"/>
  <c r="G145" i="16"/>
  <c r="D145" i="16"/>
  <c r="C145" i="16"/>
  <c r="G144" i="16"/>
  <c r="C144" i="16"/>
  <c r="G143" i="16"/>
  <c r="C143" i="16"/>
  <c r="G142" i="16"/>
  <c r="C142" i="16"/>
  <c r="G141" i="16"/>
  <c r="C141" i="16"/>
  <c r="G140" i="16"/>
  <c r="C140" i="16"/>
  <c r="G139" i="16"/>
  <c r="C139" i="16"/>
  <c r="G138" i="16"/>
  <c r="C138" i="16"/>
  <c r="G137" i="16"/>
  <c r="C137" i="16"/>
  <c r="G136" i="16"/>
  <c r="C136" i="16"/>
  <c r="G135" i="16"/>
  <c r="C135" i="16"/>
  <c r="G134" i="16"/>
  <c r="C134" i="16"/>
  <c r="G133" i="16"/>
  <c r="C133" i="16"/>
  <c r="G132" i="16"/>
  <c r="C132" i="16"/>
  <c r="G131" i="16"/>
  <c r="C131" i="16"/>
  <c r="G130" i="16"/>
  <c r="C130" i="16"/>
  <c r="G129" i="16"/>
  <c r="C129" i="16"/>
  <c r="G128" i="16"/>
  <c r="C128" i="16"/>
  <c r="G127" i="16"/>
  <c r="C127" i="16"/>
  <c r="G126" i="16"/>
  <c r="C126" i="16"/>
  <c r="G125" i="16"/>
  <c r="C125" i="16"/>
  <c r="G124" i="16"/>
  <c r="C124" i="16"/>
  <c r="G123" i="16"/>
  <c r="C123" i="16"/>
  <c r="G122" i="16"/>
  <c r="C122" i="16"/>
  <c r="G121" i="16"/>
  <c r="C121" i="16"/>
  <c r="G120" i="16"/>
  <c r="C120" i="16"/>
  <c r="G119" i="16"/>
  <c r="C119" i="16"/>
  <c r="G118" i="16"/>
  <c r="C118" i="16"/>
  <c r="G117" i="16"/>
  <c r="C117" i="16"/>
  <c r="C115" i="16"/>
  <c r="C114" i="16"/>
  <c r="C113" i="16"/>
  <c r="J112" i="16"/>
  <c r="C112" i="16"/>
  <c r="J111" i="16"/>
  <c r="C111" i="16"/>
  <c r="J110" i="16"/>
  <c r="C110" i="16"/>
  <c r="J109" i="16"/>
  <c r="C109" i="16"/>
  <c r="J108" i="16"/>
  <c r="C108" i="16"/>
  <c r="J107" i="16"/>
  <c r="C107" i="16"/>
  <c r="J106" i="16"/>
  <c r="C106" i="16"/>
  <c r="J105" i="16"/>
  <c r="C105" i="16"/>
  <c r="J104" i="16"/>
  <c r="C104" i="16"/>
  <c r="J103" i="16"/>
  <c r="C103" i="16"/>
  <c r="J102" i="16"/>
  <c r="C102" i="16"/>
  <c r="J101" i="16"/>
  <c r="C101" i="16"/>
  <c r="J100" i="16"/>
  <c r="C100" i="16"/>
  <c r="J99" i="16"/>
  <c r="C99" i="16"/>
  <c r="J98" i="16"/>
  <c r="C98" i="16"/>
  <c r="J97" i="16"/>
  <c r="C97" i="16"/>
  <c r="J96" i="16"/>
  <c r="C96" i="16"/>
  <c r="J95" i="16"/>
  <c r="C95" i="16"/>
  <c r="J94" i="16"/>
  <c r="C94" i="16"/>
  <c r="C93" i="16"/>
  <c r="J92" i="16"/>
  <c r="C92" i="16"/>
  <c r="J91" i="16"/>
  <c r="C91" i="16"/>
  <c r="J90" i="16"/>
  <c r="C90" i="16"/>
  <c r="J89" i="16"/>
  <c r="C89" i="16"/>
  <c r="J88" i="16"/>
  <c r="G88" i="16"/>
  <c r="E88" i="16"/>
  <c r="C88" i="16"/>
  <c r="J87" i="16"/>
  <c r="C86" i="16"/>
  <c r="G85" i="16"/>
  <c r="C85" i="16"/>
  <c r="C84" i="16"/>
  <c r="C83" i="16"/>
  <c r="C82" i="16"/>
  <c r="G81" i="16"/>
  <c r="E81" i="16"/>
  <c r="C81" i="16"/>
  <c r="G80" i="16"/>
  <c r="E80" i="16"/>
  <c r="C80" i="16"/>
  <c r="C79" i="16"/>
  <c r="C78" i="16"/>
  <c r="G77" i="16"/>
  <c r="E77" i="16"/>
  <c r="C77" i="16"/>
  <c r="G76" i="16"/>
  <c r="E76" i="16"/>
  <c r="C76" i="16"/>
  <c r="G75" i="16"/>
  <c r="E75" i="16"/>
  <c r="C75" i="16"/>
  <c r="G74" i="16"/>
  <c r="E74" i="16"/>
  <c r="C74" i="16"/>
  <c r="G73" i="16"/>
  <c r="E73" i="16"/>
  <c r="C73" i="16"/>
  <c r="G72" i="16"/>
  <c r="E72" i="16"/>
  <c r="C72" i="16"/>
  <c r="G71" i="16"/>
  <c r="E71" i="16"/>
  <c r="C71" i="16"/>
  <c r="G70" i="16"/>
  <c r="E70" i="16"/>
  <c r="C70" i="16"/>
  <c r="C69" i="16"/>
  <c r="C68" i="16"/>
  <c r="C67" i="16"/>
  <c r="C66" i="16"/>
  <c r="C65" i="16"/>
  <c r="C64" i="16"/>
  <c r="C63" i="16"/>
  <c r="C62" i="16"/>
  <c r="F60" i="16"/>
  <c r="E60" i="16"/>
  <c r="D60" i="16"/>
  <c r="C60" i="16"/>
  <c r="B60" i="16"/>
  <c r="A60" i="16"/>
  <c r="G59" i="16"/>
  <c r="F59" i="16"/>
  <c r="D59" i="16"/>
  <c r="C59" i="16"/>
  <c r="B59" i="16"/>
  <c r="A59" i="16"/>
  <c r="F58" i="16"/>
  <c r="D58" i="16"/>
  <c r="C58" i="16"/>
  <c r="B58" i="16"/>
  <c r="A58" i="16"/>
  <c r="F57" i="16"/>
  <c r="E57" i="16"/>
  <c r="D57" i="16"/>
  <c r="C57" i="16"/>
  <c r="B57" i="16"/>
  <c r="A57" i="16"/>
  <c r="F56" i="16"/>
  <c r="D56" i="16"/>
  <c r="C56" i="16"/>
  <c r="B56" i="16"/>
  <c r="A56" i="16"/>
  <c r="G55" i="16"/>
  <c r="F55" i="16"/>
  <c r="D55" i="16"/>
  <c r="C55" i="16"/>
  <c r="B55" i="16"/>
  <c r="A55" i="16"/>
  <c r="F54" i="16"/>
  <c r="D54" i="16"/>
  <c r="B54" i="16"/>
  <c r="A54" i="16"/>
  <c r="F53" i="16"/>
  <c r="C53" i="16"/>
  <c r="H52" i="16"/>
  <c r="G52" i="16"/>
  <c r="E52" i="16"/>
  <c r="D52" i="16"/>
  <c r="B52" i="16"/>
  <c r="A52" i="16"/>
  <c r="G51" i="16"/>
  <c r="D51" i="16"/>
  <c r="B51" i="16"/>
  <c r="A51" i="16"/>
  <c r="E50" i="16"/>
  <c r="D50" i="16"/>
  <c r="A50" i="16"/>
  <c r="D47" i="16"/>
  <c r="E46" i="16"/>
  <c r="D46" i="16"/>
  <c r="C46" i="16"/>
  <c r="B46" i="16"/>
  <c r="A46" i="16"/>
  <c r="D45" i="16"/>
  <c r="C45" i="16"/>
  <c r="B45" i="16"/>
  <c r="A45" i="16"/>
  <c r="H44" i="16"/>
  <c r="G44" i="16"/>
  <c r="E44" i="16"/>
  <c r="C44" i="16"/>
  <c r="D43" i="16"/>
  <c r="C43" i="16"/>
  <c r="B43" i="16"/>
  <c r="D42" i="16"/>
  <c r="B42" i="16"/>
  <c r="A42" i="16"/>
  <c r="C41" i="16"/>
  <c r="H40" i="16"/>
  <c r="G40" i="16"/>
  <c r="F40" i="16"/>
  <c r="E40" i="16"/>
  <c r="D40" i="16"/>
  <c r="C40" i="16"/>
  <c r="B40" i="16"/>
  <c r="A40" i="16"/>
  <c r="C39" i="16"/>
  <c r="C38" i="16"/>
  <c r="C37" i="16"/>
  <c r="C35" i="16"/>
  <c r="G34" i="16"/>
  <c r="G33" i="16"/>
  <c r="C33" i="16"/>
  <c r="G32" i="16"/>
  <c r="D32" i="16"/>
  <c r="G31" i="16"/>
  <c r="D31" i="16"/>
  <c r="G30" i="16"/>
  <c r="D30" i="16"/>
  <c r="G29" i="16"/>
  <c r="D29" i="16"/>
  <c r="H28" i="16"/>
  <c r="G28" i="16"/>
  <c r="D28" i="16"/>
  <c r="C27" i="16"/>
  <c r="D26" i="16"/>
  <c r="H25" i="16"/>
  <c r="G25" i="16"/>
  <c r="C25" i="16"/>
  <c r="J24" i="16"/>
  <c r="H24" i="16"/>
  <c r="D24" i="16"/>
  <c r="B24" i="16"/>
  <c r="A24" i="16"/>
  <c r="J23" i="16"/>
  <c r="H22" i="16"/>
  <c r="C22" i="16"/>
  <c r="G21" i="16"/>
  <c r="D21" i="16"/>
  <c r="C21" i="16"/>
  <c r="D20" i="16"/>
  <c r="C20" i="16"/>
  <c r="G19" i="16"/>
  <c r="D19" i="16"/>
  <c r="C16" i="16"/>
  <c r="B16" i="16"/>
  <c r="A16" i="16"/>
  <c r="E15" i="16"/>
  <c r="D15" i="16"/>
  <c r="B15" i="16"/>
  <c r="A15" i="16"/>
  <c r="D14" i="16"/>
  <c r="B14" i="16"/>
  <c r="J103" i="17"/>
  <c r="J102" i="17"/>
  <c r="J101" i="17"/>
  <c r="J100" i="17"/>
  <c r="J99" i="17"/>
  <c r="J98" i="17"/>
  <c r="J97" i="17"/>
  <c r="J96" i="17"/>
  <c r="J95" i="17"/>
  <c r="J94" i="17"/>
  <c r="J93" i="17"/>
  <c r="J92" i="17"/>
  <c r="J91" i="17"/>
  <c r="J90" i="17"/>
  <c r="J89" i="17"/>
  <c r="J88" i="17"/>
  <c r="J87" i="17"/>
  <c r="J86" i="17"/>
  <c r="J85" i="17"/>
  <c r="J84" i="17"/>
  <c r="J83" i="17"/>
  <c r="J82" i="17"/>
  <c r="J81" i="17"/>
  <c r="J80" i="17"/>
  <c r="J79" i="17"/>
  <c r="J78" i="17"/>
  <c r="J77" i="17"/>
  <c r="J76" i="17"/>
  <c r="J75" i="17"/>
  <c r="J74" i="17"/>
  <c r="J73" i="17"/>
  <c r="J72" i="17"/>
  <c r="J71" i="17"/>
  <c r="J70" i="17"/>
  <c r="J69" i="17"/>
  <c r="J68" i="17"/>
  <c r="J67" i="17"/>
  <c r="J66" i="17"/>
  <c r="J65" i="17"/>
  <c r="J64" i="17"/>
  <c r="J63" i="17"/>
  <c r="J62" i="17"/>
  <c r="J61" i="17"/>
  <c r="J60" i="17"/>
  <c r="J59" i="17"/>
  <c r="J58" i="17"/>
  <c r="J57" i="17"/>
  <c r="J56" i="17"/>
  <c r="J55" i="17"/>
  <c r="J54" i="17"/>
  <c r="J53" i="17"/>
  <c r="J52" i="17"/>
  <c r="J51" i="17"/>
  <c r="J50" i="17"/>
  <c r="J49" i="17"/>
  <c r="J48" i="17"/>
  <c r="J47" i="17"/>
  <c r="J46" i="17"/>
  <c r="J45" i="17"/>
  <c r="J44" i="17"/>
  <c r="J43" i="17"/>
  <c r="J42" i="17"/>
  <c r="J41" i="17"/>
  <c r="J40" i="17"/>
  <c r="J39" i="17"/>
  <c r="J38" i="17"/>
  <c r="J37" i="17"/>
  <c r="J36" i="17"/>
  <c r="J35" i="17"/>
  <c r="J34" i="17"/>
  <c r="J33" i="17"/>
  <c r="J32" i="17"/>
  <c r="J31" i="17"/>
  <c r="J30" i="17"/>
  <c r="J29" i="17"/>
  <c r="J28" i="17"/>
  <c r="J27" i="17"/>
  <c r="J26" i="17"/>
  <c r="J25" i="17"/>
  <c r="J24" i="17"/>
  <c r="J23" i="17"/>
  <c r="J22" i="17"/>
  <c r="J21" i="17"/>
  <c r="J20" i="17"/>
  <c r="J19" i="17"/>
  <c r="J18" i="17"/>
  <c r="J17" i="17"/>
  <c r="J16" i="17"/>
  <c r="J15" i="17"/>
  <c r="J14" i="17"/>
  <c r="J13" i="17"/>
  <c r="J12" i="17"/>
  <c r="J11" i="17"/>
  <c r="J10" i="17"/>
  <c r="J9" i="17"/>
  <c r="J8" i="17"/>
  <c r="J7" i="17"/>
  <c r="J6" i="17"/>
  <c r="J5" i="17"/>
  <c r="J4" i="17"/>
  <c r="J3" i="17"/>
  <c r="F5" i="18"/>
  <c r="E5" i="18"/>
  <c r="A5" i="18"/>
  <c r="C21" i="22"/>
  <c r="F19" i="22"/>
  <c r="F18" i="22"/>
  <c r="F17" i="22"/>
  <c r="C17" i="22"/>
  <c r="F16" i="22"/>
  <c r="C16" i="22"/>
  <c r="F15" i="22"/>
  <c r="C15" i="22"/>
  <c r="F14" i="22"/>
  <c r="C14" i="22"/>
  <c r="F13" i="22"/>
  <c r="C13" i="22"/>
  <c r="F12" i="22"/>
  <c r="C12" i="22"/>
  <c r="F11" i="22"/>
  <c r="C11" i="22"/>
  <c r="F10" i="22"/>
  <c r="C10" i="22"/>
  <c r="F9" i="22"/>
  <c r="C9" i="22"/>
  <c r="G8" i="22"/>
  <c r="F8" i="22"/>
  <c r="C8" i="22"/>
  <c r="G7" i="22"/>
  <c r="F7" i="22"/>
  <c r="C7" i="22"/>
  <c r="G6" i="22"/>
  <c r="F6" i="22"/>
  <c r="H5" i="22"/>
  <c r="G5" i="22"/>
  <c r="H4" i="22"/>
  <c r="G4" i="22"/>
  <c r="C36" i="20"/>
  <c r="C35" i="20"/>
  <c r="C34" i="20"/>
  <c r="C33" i="20"/>
  <c r="C30" i="20"/>
  <c r="C29" i="20"/>
  <c r="J23" i="20"/>
  <c r="H23" i="20"/>
  <c r="J22" i="20"/>
  <c r="H22" i="20"/>
  <c r="J21" i="20"/>
  <c r="H21" i="20"/>
  <c r="D21" i="20"/>
  <c r="B21" i="20"/>
  <c r="J20" i="20"/>
  <c r="H20" i="20"/>
  <c r="D20" i="20"/>
  <c r="B20" i="20"/>
  <c r="J19" i="20"/>
  <c r="H19" i="20"/>
  <c r="D19" i="20"/>
  <c r="B19" i="20"/>
  <c r="J18" i="20"/>
  <c r="H18" i="20"/>
  <c r="D18" i="20"/>
  <c r="B18" i="20"/>
  <c r="L17" i="20"/>
  <c r="J17" i="20"/>
  <c r="H17" i="20"/>
  <c r="D17" i="20"/>
  <c r="B17" i="20"/>
  <c r="L16" i="20"/>
  <c r="J16" i="20"/>
  <c r="H16" i="20"/>
  <c r="D16" i="20"/>
  <c r="B16" i="20"/>
  <c r="L15" i="20"/>
  <c r="J15" i="20"/>
  <c r="H15" i="20"/>
  <c r="D15" i="20"/>
  <c r="B15" i="20"/>
  <c r="L14" i="20"/>
  <c r="J14" i="20"/>
  <c r="H14" i="20"/>
  <c r="F14" i="20"/>
  <c r="D14" i="20"/>
  <c r="B14" i="20"/>
  <c r="L13" i="20"/>
  <c r="J13" i="20"/>
  <c r="H13" i="20"/>
  <c r="F13" i="20"/>
  <c r="D13" i="20"/>
  <c r="B13" i="20"/>
  <c r="L12" i="20"/>
  <c r="J12" i="20"/>
  <c r="H12" i="20"/>
  <c r="F12" i="20"/>
  <c r="D12" i="20"/>
  <c r="B12" i="20"/>
  <c r="L11" i="20"/>
  <c r="J11" i="20"/>
  <c r="H11" i="20"/>
  <c r="F11" i="20"/>
  <c r="D11" i="20"/>
  <c r="B11" i="20"/>
  <c r="L10" i="20"/>
  <c r="J10" i="20"/>
  <c r="H10" i="20"/>
  <c r="F10" i="20"/>
  <c r="D10" i="20"/>
  <c r="B10" i="20"/>
  <c r="L9" i="20"/>
  <c r="J9" i="20"/>
  <c r="H9" i="20"/>
  <c r="F9" i="20"/>
  <c r="D9" i="20"/>
  <c r="B9" i="20"/>
  <c r="L8" i="20"/>
  <c r="J8" i="20"/>
  <c r="H8" i="20"/>
  <c r="F8" i="20"/>
  <c r="D8" i="20"/>
  <c r="B8" i="20"/>
  <c r="J6" i="20"/>
  <c r="D6" i="20"/>
  <c r="J5" i="20"/>
  <c r="D5" i="20"/>
  <c r="J4" i="20"/>
  <c r="D4" i="20"/>
  <c r="J3" i="20"/>
  <c r="D3" i="20"/>
  <c r="J22" i="19"/>
  <c r="H22" i="19"/>
  <c r="J21" i="19"/>
  <c r="H21" i="19"/>
  <c r="J20" i="19"/>
  <c r="H20" i="19"/>
  <c r="D20" i="19"/>
  <c r="B20" i="19"/>
  <c r="J19" i="19"/>
  <c r="H19" i="19"/>
  <c r="D19" i="19"/>
  <c r="B19" i="19"/>
  <c r="J18" i="19"/>
  <c r="H18" i="19"/>
  <c r="D18" i="19"/>
  <c r="B18" i="19"/>
  <c r="L17" i="19"/>
  <c r="J17" i="19"/>
  <c r="H17" i="19"/>
  <c r="D17" i="19"/>
  <c r="B17" i="19"/>
  <c r="L16" i="19"/>
  <c r="J16" i="19"/>
  <c r="H16" i="19"/>
  <c r="D16" i="19"/>
  <c r="B16" i="19"/>
  <c r="L15" i="19"/>
  <c r="J15" i="19"/>
  <c r="H15" i="19"/>
  <c r="D15" i="19"/>
  <c r="B15" i="19"/>
  <c r="L14" i="19"/>
  <c r="J14" i="19"/>
  <c r="H14" i="19"/>
  <c r="F14" i="19"/>
  <c r="D14" i="19"/>
  <c r="B14" i="19"/>
  <c r="L13" i="19"/>
  <c r="J13" i="19"/>
  <c r="H13" i="19"/>
  <c r="F13" i="19"/>
  <c r="D13" i="19"/>
  <c r="B13" i="19"/>
  <c r="O12" i="19"/>
  <c r="L12" i="19"/>
  <c r="J12" i="19"/>
  <c r="H12" i="19"/>
  <c r="F12" i="19"/>
  <c r="D12" i="19"/>
  <c r="B12" i="19"/>
  <c r="O11" i="19"/>
  <c r="L11" i="19"/>
  <c r="J11" i="19"/>
  <c r="H11" i="19"/>
  <c r="F11" i="19"/>
  <c r="D11" i="19"/>
  <c r="B11" i="19"/>
  <c r="O10" i="19"/>
  <c r="L10" i="19"/>
  <c r="J10" i="19"/>
  <c r="H10" i="19"/>
  <c r="F10" i="19"/>
  <c r="D10" i="19"/>
  <c r="B10" i="19"/>
  <c r="O9" i="19"/>
  <c r="L9" i="19"/>
  <c r="J9" i="19"/>
  <c r="H9" i="19"/>
  <c r="F9" i="19"/>
  <c r="D9" i="19"/>
  <c r="B9" i="19"/>
  <c r="L8" i="19"/>
  <c r="J8" i="19"/>
  <c r="H8" i="19"/>
  <c r="F8" i="19"/>
  <c r="D8" i="19"/>
  <c r="B8" i="19"/>
  <c r="L7" i="19"/>
  <c r="J7" i="19"/>
  <c r="H7" i="19"/>
  <c r="F7" i="19"/>
  <c r="D7" i="19"/>
  <c r="B7" i="19"/>
  <c r="O6" i="19"/>
  <c r="O5" i="19"/>
  <c r="J5" i="19"/>
  <c r="J4" i="19"/>
  <c r="D4" i="19"/>
  <c r="J3" i="19"/>
  <c r="D3" i="19"/>
  <c r="J2" i="19"/>
  <c r="D2" i="19"/>
  <c r="I23" i="24"/>
  <c r="I22" i="24"/>
  <c r="I21" i="24"/>
  <c r="C21" i="24"/>
  <c r="I20" i="24"/>
  <c r="F19" i="24"/>
  <c r="I18" i="24"/>
  <c r="F18" i="24"/>
  <c r="F17" i="24"/>
  <c r="C17" i="24"/>
  <c r="F16" i="24"/>
  <c r="C16" i="24"/>
  <c r="L15" i="24"/>
  <c r="I15" i="24"/>
  <c r="F15" i="24"/>
  <c r="C15" i="24"/>
  <c r="F14" i="24"/>
  <c r="C14" i="24"/>
  <c r="L13" i="24"/>
  <c r="I13" i="24"/>
  <c r="F13" i="24"/>
  <c r="C13" i="24"/>
  <c r="F12" i="24"/>
  <c r="C12" i="24"/>
  <c r="F11" i="24"/>
  <c r="C11" i="24"/>
  <c r="M10" i="24"/>
  <c r="L10" i="24"/>
  <c r="I10" i="24"/>
  <c r="F10" i="24"/>
  <c r="C10" i="24"/>
  <c r="M9" i="24"/>
  <c r="L9" i="24"/>
  <c r="I9" i="24"/>
  <c r="F9" i="24"/>
  <c r="C9" i="24"/>
  <c r="M8" i="24"/>
  <c r="L8" i="24"/>
  <c r="I8" i="24"/>
  <c r="F8" i="24"/>
  <c r="C8" i="24"/>
  <c r="N7" i="24"/>
  <c r="M7" i="24"/>
  <c r="L7" i="24"/>
  <c r="I7" i="24"/>
  <c r="F7" i="24"/>
  <c r="C7" i="24"/>
  <c r="N6" i="24"/>
  <c r="M6" i="24"/>
  <c r="L6" i="24"/>
  <c r="I6" i="24"/>
  <c r="F6" i="24"/>
  <c r="L5" i="24"/>
  <c r="I5" i="24"/>
  <c r="F5" i="24"/>
  <c r="E23" i="23"/>
  <c r="D22" i="23"/>
  <c r="E20" i="23"/>
  <c r="E19" i="23"/>
  <c r="E18" i="23"/>
  <c r="E17" i="23"/>
  <c r="D16" i="23"/>
  <c r="D15" i="23"/>
  <c r="E14" i="23"/>
  <c r="D14" i="23"/>
  <c r="E13" i="23"/>
  <c r="D13" i="23"/>
  <c r="D12" i="23"/>
  <c r="E11" i="23"/>
  <c r="D11" i="23"/>
  <c r="E10" i="23"/>
  <c r="D10" i="23"/>
  <c r="E9" i="23"/>
  <c r="D9" i="23"/>
  <c r="E8" i="23"/>
  <c r="D8" i="23"/>
  <c r="E319" i="26"/>
  <c r="E318" i="26"/>
  <c r="G317" i="26"/>
  <c r="F317" i="26"/>
  <c r="E317" i="26"/>
  <c r="D317" i="26"/>
  <c r="C317" i="26"/>
  <c r="B317" i="26"/>
  <c r="E316" i="26"/>
  <c r="G315" i="26"/>
  <c r="F315" i="26"/>
  <c r="E315" i="26"/>
  <c r="D315" i="26"/>
  <c r="C315" i="26"/>
  <c r="B315" i="26"/>
  <c r="E314" i="26"/>
  <c r="D314" i="26"/>
  <c r="C314" i="26"/>
  <c r="D313" i="26"/>
  <c r="C313" i="26"/>
  <c r="D312" i="26"/>
  <c r="C312" i="26"/>
  <c r="D311" i="26"/>
  <c r="C311" i="26"/>
  <c r="E309" i="26"/>
  <c r="E308" i="26"/>
  <c r="E307" i="26"/>
  <c r="E306" i="26"/>
  <c r="E305" i="26"/>
  <c r="E304" i="26"/>
  <c r="G303" i="26"/>
  <c r="C303" i="26"/>
  <c r="C302" i="26"/>
  <c r="G301" i="26"/>
  <c r="C301" i="26"/>
  <c r="G300" i="26"/>
  <c r="C300" i="26"/>
  <c r="G299" i="26"/>
  <c r="C299" i="26"/>
  <c r="G298" i="26"/>
  <c r="C298" i="26"/>
  <c r="G297" i="26"/>
  <c r="C297" i="26"/>
  <c r="G296" i="26"/>
  <c r="C296" i="26"/>
  <c r="G295" i="26"/>
  <c r="C295" i="26"/>
  <c r="C293" i="26"/>
  <c r="C292" i="26"/>
  <c r="C291" i="26"/>
  <c r="E289" i="26"/>
  <c r="E288" i="26"/>
  <c r="G287" i="26"/>
  <c r="C287" i="26"/>
  <c r="G286" i="26"/>
  <c r="C286" i="26"/>
  <c r="G285" i="26"/>
  <c r="C285" i="26"/>
  <c r="G284" i="26"/>
  <c r="C284" i="26"/>
  <c r="G283" i="26"/>
  <c r="C283" i="26"/>
  <c r="E282" i="26"/>
  <c r="E281" i="26"/>
  <c r="E280" i="26"/>
  <c r="C279" i="26"/>
  <c r="G277" i="26"/>
  <c r="C277" i="26"/>
  <c r="C276" i="26"/>
  <c r="E275" i="26"/>
  <c r="C273" i="26"/>
  <c r="C272" i="26"/>
  <c r="C271" i="26"/>
  <c r="C270" i="26"/>
  <c r="C269" i="26"/>
  <c r="C268" i="26"/>
  <c r="G265" i="26"/>
  <c r="C265" i="26"/>
  <c r="G264" i="26"/>
  <c r="C264" i="26"/>
  <c r="G263" i="26"/>
  <c r="C263" i="26"/>
  <c r="G262" i="26"/>
  <c r="C262" i="26"/>
  <c r="G261" i="26"/>
  <c r="C261" i="26"/>
  <c r="C260" i="26"/>
  <c r="C259" i="26"/>
  <c r="C258" i="26"/>
  <c r="C257" i="26"/>
  <c r="C256" i="26"/>
  <c r="G253" i="26"/>
  <c r="C253" i="26"/>
  <c r="G252" i="26"/>
  <c r="C252" i="26"/>
  <c r="G251" i="26"/>
  <c r="C251" i="26"/>
  <c r="G250" i="26"/>
  <c r="C250" i="26"/>
  <c r="G249" i="26"/>
  <c r="C249" i="26"/>
  <c r="G248" i="26"/>
  <c r="C248" i="26"/>
  <c r="G247" i="26"/>
  <c r="C247" i="26"/>
  <c r="G246" i="26"/>
  <c r="C246" i="26"/>
  <c r="C245" i="26"/>
  <c r="C244" i="26"/>
  <c r="E243" i="26"/>
  <c r="E242" i="26"/>
  <c r="E241" i="26"/>
  <c r="E240" i="26"/>
  <c r="E239" i="26"/>
  <c r="E238" i="26"/>
  <c r="E237" i="26"/>
  <c r="B237" i="26"/>
  <c r="E236" i="26"/>
  <c r="C234" i="26"/>
  <c r="G230" i="26"/>
  <c r="C230" i="26"/>
  <c r="G229" i="26"/>
  <c r="C229" i="26"/>
  <c r="G228" i="26"/>
  <c r="C228" i="26"/>
  <c r="H227" i="26"/>
  <c r="G227" i="26"/>
  <c r="H223" i="26"/>
  <c r="G223" i="26"/>
  <c r="D223" i="26"/>
  <c r="C223" i="26"/>
  <c r="F222" i="26"/>
  <c r="C222" i="26"/>
  <c r="C221" i="26"/>
  <c r="C220" i="26"/>
  <c r="G218" i="26"/>
  <c r="C218" i="26"/>
  <c r="F217" i="26"/>
  <c r="E217" i="26"/>
  <c r="D217" i="26"/>
  <c r="C217" i="26"/>
  <c r="C216" i="26"/>
  <c r="C215" i="26"/>
  <c r="C214" i="26"/>
  <c r="G213" i="26"/>
  <c r="E213" i="26"/>
  <c r="D213" i="26"/>
  <c r="C213" i="26"/>
  <c r="G212" i="26"/>
  <c r="E212" i="26"/>
  <c r="D212" i="26"/>
  <c r="C212" i="26"/>
  <c r="C210" i="26"/>
  <c r="C209" i="26"/>
  <c r="C208" i="26"/>
  <c r="F206" i="26"/>
  <c r="E206" i="26"/>
  <c r="D206" i="26"/>
  <c r="F205" i="26"/>
  <c r="E205" i="26"/>
  <c r="D205" i="26"/>
  <c r="F204" i="26"/>
  <c r="E204" i="26"/>
  <c r="D204" i="26"/>
  <c r="C204" i="26"/>
  <c r="F203" i="26"/>
  <c r="E203" i="26"/>
  <c r="D203" i="26"/>
  <c r="C203" i="26"/>
  <c r="G202" i="26"/>
  <c r="C202" i="26"/>
  <c r="G201" i="26"/>
  <c r="C201" i="26"/>
  <c r="G200" i="26"/>
  <c r="C200" i="26"/>
  <c r="L199" i="26"/>
  <c r="K199" i="26"/>
  <c r="J199" i="26"/>
  <c r="I199" i="26"/>
  <c r="H199" i="26"/>
  <c r="G199" i="26"/>
  <c r="C199" i="26"/>
  <c r="G198" i="26"/>
  <c r="C198" i="26"/>
  <c r="C197" i="26"/>
  <c r="C196" i="26"/>
  <c r="C195" i="26"/>
  <c r="C194" i="26"/>
  <c r="C193" i="26"/>
  <c r="C192" i="26"/>
  <c r="C191" i="26"/>
  <c r="C190" i="26"/>
  <c r="C189" i="26"/>
  <c r="G188" i="26"/>
  <c r="C188" i="26"/>
  <c r="C187" i="26"/>
  <c r="G186" i="26"/>
  <c r="C186" i="26"/>
  <c r="C185" i="26"/>
  <c r="G184" i="26"/>
  <c r="C184" i="26"/>
  <c r="C183" i="26"/>
  <c r="G182" i="26"/>
  <c r="C182" i="26"/>
  <c r="C181" i="26"/>
  <c r="G180" i="26"/>
  <c r="C180" i="26"/>
  <c r="C179" i="26"/>
  <c r="G178" i="26"/>
  <c r="C178" i="26"/>
  <c r="C177" i="26"/>
  <c r="C176" i="26"/>
  <c r="C175" i="26"/>
  <c r="C174" i="26"/>
  <c r="C173" i="26"/>
  <c r="C172" i="26"/>
  <c r="C171" i="26"/>
  <c r="C170" i="26"/>
  <c r="C169" i="26"/>
  <c r="C168" i="26"/>
  <c r="C167" i="26"/>
  <c r="C166" i="26"/>
  <c r="C165" i="26"/>
  <c r="G164" i="26"/>
  <c r="C164" i="26"/>
  <c r="C163" i="26"/>
  <c r="G162" i="26"/>
  <c r="C162" i="26"/>
  <c r="C161" i="26"/>
  <c r="G160" i="26"/>
  <c r="C160" i="26"/>
  <c r="C159" i="26"/>
  <c r="G158" i="26"/>
  <c r="C158" i="26"/>
  <c r="C157" i="26"/>
  <c r="G156" i="26"/>
  <c r="C156" i="26"/>
  <c r="C155" i="26"/>
  <c r="G154" i="26"/>
  <c r="C154" i="26"/>
  <c r="C153" i="26"/>
  <c r="C152" i="26"/>
  <c r="C151" i="26"/>
  <c r="C150" i="26"/>
  <c r="C149" i="26"/>
  <c r="G148" i="26"/>
  <c r="C148" i="26"/>
  <c r="C147" i="26"/>
  <c r="G146" i="26"/>
  <c r="C146" i="26"/>
  <c r="C145" i="26"/>
  <c r="G144" i="26"/>
  <c r="C144" i="26"/>
  <c r="C143" i="26"/>
  <c r="G142" i="26"/>
  <c r="C142" i="26"/>
  <c r="C141" i="26"/>
  <c r="G140" i="26"/>
  <c r="C140" i="26"/>
  <c r="C139" i="26"/>
  <c r="G138" i="26"/>
  <c r="C138" i="26"/>
  <c r="G137" i="26"/>
  <c r="C137" i="26"/>
  <c r="G136" i="26"/>
  <c r="C136" i="26"/>
  <c r="G135" i="26"/>
  <c r="C135" i="26"/>
  <c r="G134" i="26"/>
  <c r="C134" i="26"/>
  <c r="G133" i="26"/>
  <c r="C133" i="26"/>
  <c r="G132" i="26"/>
  <c r="C132" i="26"/>
  <c r="G131" i="26"/>
  <c r="C131" i="26"/>
  <c r="E129" i="26"/>
  <c r="C129" i="26"/>
  <c r="E128" i="26"/>
  <c r="C128" i="26"/>
  <c r="E127" i="26"/>
  <c r="C127" i="26"/>
  <c r="E126" i="26"/>
  <c r="C126" i="26"/>
  <c r="C125" i="26"/>
  <c r="C124" i="26"/>
  <c r="D122" i="26"/>
  <c r="C122" i="26"/>
  <c r="C121" i="26"/>
  <c r="H120" i="26"/>
  <c r="G120" i="26"/>
  <c r="D120" i="26"/>
  <c r="C120" i="26"/>
  <c r="C119" i="26"/>
  <c r="C118" i="26"/>
  <c r="C117" i="26"/>
  <c r="C115" i="26"/>
  <c r="C114" i="26"/>
  <c r="D113" i="26"/>
  <c r="C113" i="26"/>
  <c r="C112" i="26"/>
  <c r="G111" i="26"/>
  <c r="C111" i="26"/>
  <c r="C110" i="26"/>
  <c r="G109" i="26"/>
  <c r="C109" i="26"/>
  <c r="E108" i="26"/>
  <c r="C108" i="26"/>
  <c r="C107" i="26"/>
  <c r="C106" i="26"/>
  <c r="C105" i="26"/>
  <c r="G104" i="26"/>
  <c r="C104" i="26"/>
  <c r="G103" i="26"/>
  <c r="C103" i="26"/>
  <c r="G102" i="26"/>
  <c r="C102" i="26"/>
  <c r="G101" i="26"/>
  <c r="C101" i="26"/>
  <c r="C100" i="26"/>
  <c r="C99" i="26"/>
  <c r="C98" i="26"/>
  <c r="C97" i="26"/>
  <c r="C96" i="26"/>
  <c r="C95" i="26"/>
  <c r="D94" i="26"/>
  <c r="C94" i="26"/>
  <c r="E93" i="26"/>
  <c r="C93" i="26"/>
  <c r="G92" i="26"/>
  <c r="C92" i="26"/>
  <c r="D91" i="26"/>
  <c r="C91" i="26"/>
  <c r="C90" i="26"/>
  <c r="G89" i="26"/>
  <c r="C89" i="26"/>
  <c r="G88" i="26"/>
  <c r="C88" i="26"/>
  <c r="C87" i="26"/>
  <c r="G86" i="26"/>
  <c r="C86" i="26"/>
  <c r="G85" i="26"/>
  <c r="C85" i="26"/>
  <c r="G84" i="26"/>
  <c r="C84" i="26"/>
  <c r="G83" i="26"/>
  <c r="C83" i="26"/>
  <c r="C82" i="26"/>
  <c r="C81" i="26"/>
  <c r="C80" i="26"/>
  <c r="E79" i="26"/>
  <c r="C79" i="26"/>
  <c r="C78" i="26"/>
  <c r="C77" i="26"/>
  <c r="G76" i="26"/>
  <c r="E76" i="26"/>
  <c r="C76" i="26"/>
  <c r="G75" i="26"/>
  <c r="E75" i="26"/>
  <c r="C75" i="26"/>
  <c r="G74" i="26"/>
  <c r="C74" i="26"/>
  <c r="G73" i="26"/>
  <c r="C73" i="26"/>
  <c r="C72" i="26"/>
  <c r="G71" i="26"/>
  <c r="C71" i="26"/>
  <c r="C70" i="26"/>
  <c r="C69" i="26"/>
  <c r="C68" i="26"/>
  <c r="E67" i="26"/>
  <c r="C67" i="26"/>
  <c r="C66" i="26"/>
  <c r="E65" i="26"/>
  <c r="C65" i="26"/>
  <c r="E64" i="26"/>
  <c r="C64" i="26"/>
  <c r="E63" i="26"/>
  <c r="C63" i="26"/>
  <c r="G61" i="26"/>
  <c r="E61" i="26"/>
  <c r="C61" i="26"/>
  <c r="I60" i="26"/>
  <c r="G60" i="26"/>
  <c r="E60" i="26"/>
  <c r="C60" i="26"/>
  <c r="C58" i="26"/>
  <c r="B58" i="26"/>
  <c r="C57" i="26"/>
  <c r="B57" i="26"/>
  <c r="B56" i="26"/>
  <c r="B55" i="26"/>
  <c r="G53" i="26"/>
  <c r="C53" i="26"/>
  <c r="C50" i="26"/>
  <c r="C49" i="26"/>
  <c r="C42" i="26"/>
  <c r="C41" i="26"/>
  <c r="D40" i="26"/>
  <c r="D39" i="26"/>
  <c r="D38" i="26"/>
  <c r="D37" i="26"/>
  <c r="G35" i="26"/>
  <c r="D35" i="26"/>
  <c r="G34" i="26"/>
  <c r="D34" i="26"/>
  <c r="G33" i="26"/>
  <c r="D33" i="26"/>
  <c r="E31" i="26"/>
  <c r="D31" i="26"/>
  <c r="C31" i="26"/>
  <c r="A31" i="26"/>
  <c r="E30" i="26"/>
  <c r="D30" i="26"/>
  <c r="C30" i="26"/>
  <c r="B30" i="26"/>
  <c r="A30" i="26"/>
  <c r="D29" i="26"/>
  <c r="A29" i="26"/>
  <c r="E28" i="26"/>
  <c r="D28" i="26"/>
  <c r="B28" i="26"/>
  <c r="A28" i="26"/>
  <c r="F26" i="26"/>
  <c r="D26" i="26"/>
  <c r="B26" i="26"/>
  <c r="A26" i="26"/>
  <c r="F25" i="26"/>
  <c r="E25" i="26"/>
  <c r="G24" i="26"/>
  <c r="C24" i="26"/>
  <c r="G22" i="26"/>
  <c r="G21" i="26"/>
  <c r="C21" i="26"/>
  <c r="G19" i="26"/>
  <c r="D18" i="26"/>
  <c r="D17" i="26"/>
  <c r="G16" i="26"/>
  <c r="E16" i="26"/>
  <c r="C14" i="26"/>
  <c r="B14" i="26"/>
  <c r="D13" i="26"/>
  <c r="B13" i="26"/>
  <c r="L16" i="28"/>
  <c r="J16" i="28"/>
  <c r="I16" i="28"/>
  <c r="H16" i="28"/>
  <c r="E5" i="39"/>
  <c r="E35" i="40"/>
  <c r="E34" i="40"/>
  <c r="E33" i="40"/>
  <c r="E32" i="40"/>
  <c r="E31" i="40"/>
  <c r="E30" i="40"/>
  <c r="E29" i="40"/>
  <c r="E28" i="40"/>
  <c r="E26" i="40"/>
  <c r="E25" i="40"/>
  <c r="E24" i="40"/>
  <c r="E23" i="40"/>
  <c r="E22" i="40"/>
  <c r="E21" i="40"/>
  <c r="E20" i="40"/>
  <c r="E19" i="40"/>
  <c r="E18" i="40"/>
  <c r="E17" i="40"/>
  <c r="E16" i="40"/>
  <c r="E15" i="40"/>
  <c r="E14" i="40"/>
  <c r="E13" i="40"/>
  <c r="E12" i="40"/>
  <c r="E9" i="40"/>
  <c r="E8" i="40"/>
  <c r="E7" i="40"/>
  <c r="G24" i="44"/>
  <c r="G23" i="44"/>
  <c r="G22" i="44"/>
  <c r="G21" i="44"/>
  <c r="G20" i="44"/>
  <c r="G19" i="44"/>
  <c r="G18" i="44"/>
  <c r="G17" i="44"/>
  <c r="G16" i="44"/>
  <c r="G15" i="44"/>
  <c r="G14" i="44"/>
  <c r="G13" i="44"/>
  <c r="G12" i="44"/>
  <c r="G10" i="44"/>
  <c r="C26" i="43"/>
  <c r="C25" i="43"/>
  <c r="E21" i="43"/>
  <c r="D21" i="43"/>
  <c r="C21" i="43"/>
  <c r="E20" i="43"/>
  <c r="D20" i="43"/>
  <c r="C20" i="43"/>
  <c r="C18" i="43"/>
  <c r="C15" i="43"/>
  <c r="E14" i="43"/>
  <c r="D14" i="43"/>
  <c r="C14" i="43"/>
  <c r="E12" i="43"/>
  <c r="D12" i="43"/>
  <c r="C12" i="43"/>
  <c r="E11" i="43"/>
  <c r="D11" i="43"/>
  <c r="C11" i="43"/>
  <c r="C10" i="43"/>
  <c r="D9" i="43"/>
  <c r="E8" i="43"/>
  <c r="D8" i="43"/>
  <c r="E10" i="47"/>
  <c r="D10" i="47"/>
  <c r="D7" i="47"/>
  <c r="D4" i="47"/>
  <c r="D16" i="48"/>
  <c r="D14" i="48"/>
  <c r="D13" i="48"/>
  <c r="D12" i="48"/>
  <c r="I4" i="51"/>
  <c r="H4" i="51"/>
  <c r="E4" i="51"/>
  <c r="C82" i="52"/>
  <c r="C81" i="52"/>
  <c r="I80" i="52"/>
  <c r="C80" i="52"/>
  <c r="I79" i="52"/>
  <c r="C79" i="52"/>
  <c r="I78" i="52"/>
  <c r="C78" i="52"/>
  <c r="D53" i="52"/>
  <c r="D48" i="52"/>
  <c r="D47" i="52"/>
  <c r="D46" i="52"/>
  <c r="D43" i="52"/>
  <c r="F37" i="52"/>
  <c r="D37" i="52"/>
  <c r="D36" i="52"/>
  <c r="D30" i="52"/>
  <c r="D29" i="52"/>
  <c r="D26" i="52"/>
  <c r="D25" i="52"/>
  <c r="D24" i="52"/>
  <c r="C14" i="53"/>
  <c r="C13" i="53"/>
  <c r="C11" i="53"/>
  <c r="C10" i="53"/>
  <c r="C9" i="53"/>
  <c r="D21" i="58"/>
  <c r="G19" i="58"/>
  <c r="G18" i="58"/>
  <c r="G17" i="58"/>
  <c r="G15" i="58"/>
  <c r="D10" i="58"/>
  <c r="D9" i="58"/>
  <c r="D8" i="58"/>
  <c r="G5" i="58"/>
  <c r="D71" i="59"/>
  <c r="C68" i="59"/>
  <c r="E65" i="59"/>
  <c r="E64" i="59"/>
  <c r="C63" i="59"/>
  <c r="C61" i="59"/>
  <c r="C44" i="59"/>
  <c r="E43" i="59"/>
  <c r="C20" i="59"/>
  <c r="C18" i="59"/>
  <c r="C17" i="59"/>
  <c r="E12" i="59"/>
  <c r="E114" i="60"/>
  <c r="E113" i="60"/>
  <c r="E112" i="60"/>
  <c r="E111" i="60"/>
  <c r="E110" i="60"/>
  <c r="E109" i="60"/>
  <c r="E108" i="60"/>
  <c r="E107" i="60"/>
  <c r="B99" i="60"/>
  <c r="E95" i="60"/>
  <c r="D95" i="60"/>
  <c r="C95" i="60"/>
  <c r="E94" i="60"/>
  <c r="D94" i="60"/>
  <c r="C94" i="60"/>
  <c r="E93" i="60"/>
  <c r="D93" i="60"/>
  <c r="C93" i="60"/>
  <c r="G90" i="60"/>
  <c r="F90" i="60"/>
  <c r="E90" i="60"/>
  <c r="D90" i="60"/>
  <c r="C90" i="60"/>
  <c r="G89" i="60"/>
  <c r="F89" i="60"/>
  <c r="E89" i="60"/>
  <c r="D89" i="60"/>
  <c r="C89" i="60"/>
  <c r="G88" i="60"/>
  <c r="F88" i="60"/>
  <c r="E88" i="60"/>
  <c r="D88" i="60"/>
  <c r="C88" i="60"/>
  <c r="G87" i="60"/>
  <c r="F87" i="60"/>
  <c r="E87" i="60"/>
  <c r="D87" i="60"/>
  <c r="C87" i="60"/>
  <c r="G86" i="60"/>
  <c r="F86" i="60"/>
  <c r="E86" i="60"/>
  <c r="D86" i="60"/>
  <c r="C86" i="60"/>
  <c r="H83" i="60"/>
  <c r="G83" i="60"/>
  <c r="F83" i="60"/>
  <c r="E83" i="60"/>
  <c r="D83" i="60"/>
  <c r="C83" i="60"/>
  <c r="H82" i="60"/>
  <c r="G82" i="60"/>
  <c r="F82" i="60"/>
  <c r="E82" i="60"/>
  <c r="D82" i="60"/>
  <c r="C82" i="60"/>
  <c r="H81" i="60"/>
  <c r="G81" i="60"/>
  <c r="F81" i="60"/>
  <c r="E81" i="60"/>
  <c r="D81" i="60"/>
  <c r="C81" i="60"/>
  <c r="H80" i="60"/>
  <c r="G80" i="60"/>
  <c r="F80" i="60"/>
  <c r="E80" i="60"/>
  <c r="D80" i="60"/>
  <c r="C80" i="60"/>
  <c r="H79" i="60"/>
  <c r="G79" i="60"/>
  <c r="F79" i="60"/>
  <c r="E79" i="60"/>
  <c r="D79" i="60"/>
  <c r="C79" i="60"/>
  <c r="H78" i="60"/>
  <c r="G78" i="60"/>
  <c r="F78" i="60"/>
  <c r="E78" i="60"/>
  <c r="D78" i="60"/>
  <c r="C78" i="60"/>
  <c r="F75" i="60"/>
  <c r="E75" i="60"/>
  <c r="D75" i="60"/>
  <c r="C75" i="60"/>
  <c r="F74" i="60"/>
  <c r="E74" i="60"/>
  <c r="D74" i="60"/>
  <c r="C74" i="60"/>
  <c r="F73" i="60"/>
  <c r="E73" i="60"/>
  <c r="D73" i="60"/>
  <c r="C73" i="60"/>
  <c r="F72" i="60"/>
  <c r="E72" i="60"/>
  <c r="D72" i="60"/>
  <c r="C72" i="60"/>
  <c r="F69" i="60"/>
  <c r="E69" i="60"/>
  <c r="D69" i="60"/>
  <c r="C69" i="60"/>
  <c r="F68" i="60"/>
  <c r="E68" i="60"/>
  <c r="D68" i="60"/>
  <c r="C68" i="60"/>
  <c r="F67" i="60"/>
  <c r="E67" i="60"/>
  <c r="D67" i="60"/>
  <c r="C67" i="60"/>
  <c r="F66" i="60"/>
  <c r="E66" i="60"/>
  <c r="D66" i="60"/>
  <c r="C66" i="60"/>
  <c r="H63" i="60"/>
  <c r="G63" i="60"/>
  <c r="F63" i="60"/>
  <c r="E63" i="60"/>
  <c r="D63" i="60"/>
  <c r="C63" i="60"/>
  <c r="H62" i="60"/>
  <c r="G62" i="60"/>
  <c r="F62" i="60"/>
  <c r="E62" i="60"/>
  <c r="D62" i="60"/>
  <c r="C62" i="60"/>
  <c r="H61" i="60"/>
  <c r="G61" i="60"/>
  <c r="F61" i="60"/>
  <c r="E61" i="60"/>
  <c r="D61" i="60"/>
  <c r="C61" i="60"/>
  <c r="H60" i="60"/>
  <c r="G60" i="60"/>
  <c r="F60" i="60"/>
  <c r="E60" i="60"/>
  <c r="D60" i="60"/>
  <c r="C60" i="60"/>
  <c r="H59" i="60"/>
  <c r="G59" i="60"/>
  <c r="F59" i="60"/>
  <c r="E59" i="60"/>
  <c r="D59" i="60"/>
  <c r="C59" i="60"/>
  <c r="H58" i="60"/>
  <c r="G58" i="60"/>
  <c r="F58" i="60"/>
  <c r="E58" i="60"/>
  <c r="D58" i="60"/>
  <c r="C58" i="60"/>
  <c r="I55" i="60"/>
  <c r="H55" i="60"/>
  <c r="G55" i="60"/>
  <c r="F55" i="60"/>
  <c r="E55" i="60"/>
  <c r="D55" i="60"/>
  <c r="C55" i="60"/>
  <c r="I54" i="60"/>
  <c r="H54" i="60"/>
  <c r="G54" i="60"/>
  <c r="F54" i="60"/>
  <c r="E54" i="60"/>
  <c r="D54" i="60"/>
  <c r="C54" i="60"/>
  <c r="I53" i="60"/>
  <c r="H53" i="60"/>
  <c r="G53" i="60"/>
  <c r="F53" i="60"/>
  <c r="E53" i="60"/>
  <c r="D53" i="60"/>
  <c r="C53" i="60"/>
  <c r="I52" i="60"/>
  <c r="H52" i="60"/>
  <c r="G52" i="60"/>
  <c r="F52" i="60"/>
  <c r="E52" i="60"/>
  <c r="D52" i="60"/>
  <c r="C52" i="60"/>
  <c r="I51" i="60"/>
  <c r="H51" i="60"/>
  <c r="G51" i="60"/>
  <c r="F51" i="60"/>
  <c r="E51" i="60"/>
  <c r="D51" i="60"/>
  <c r="C51" i="60"/>
  <c r="I50" i="60"/>
  <c r="H50" i="60"/>
  <c r="G50" i="60"/>
  <c r="F50" i="60"/>
  <c r="E50" i="60"/>
  <c r="D50" i="60"/>
  <c r="C50" i="60"/>
  <c r="I49" i="60"/>
  <c r="H49" i="60"/>
  <c r="G49" i="60"/>
  <c r="F49" i="60"/>
  <c r="E49" i="60"/>
  <c r="D49" i="60"/>
  <c r="C49" i="60"/>
  <c r="G46" i="60"/>
  <c r="F46" i="60"/>
  <c r="E46" i="60"/>
  <c r="D46" i="60"/>
  <c r="C46" i="60"/>
  <c r="G45" i="60"/>
  <c r="F45" i="60"/>
  <c r="E45" i="60"/>
  <c r="D45" i="60"/>
  <c r="C45" i="60"/>
  <c r="G44" i="60"/>
  <c r="F44" i="60"/>
  <c r="E44" i="60"/>
  <c r="D44" i="60"/>
  <c r="C44" i="60"/>
  <c r="G43" i="60"/>
  <c r="F43" i="60"/>
  <c r="E43" i="60"/>
  <c r="D43" i="60"/>
  <c r="C43" i="60"/>
  <c r="G42" i="60"/>
  <c r="F42" i="60"/>
  <c r="E42" i="60"/>
  <c r="D42" i="60"/>
  <c r="C42" i="60"/>
  <c r="F38" i="60"/>
  <c r="E38" i="60"/>
  <c r="D38" i="60"/>
  <c r="C38" i="60"/>
  <c r="F37" i="60"/>
  <c r="E37" i="60"/>
  <c r="D37" i="60"/>
  <c r="C37" i="60"/>
  <c r="F36" i="60"/>
  <c r="E36" i="60"/>
  <c r="D36" i="60"/>
  <c r="C36" i="60"/>
  <c r="F35" i="60"/>
  <c r="E35" i="60"/>
  <c r="D35" i="60"/>
  <c r="C35" i="60"/>
  <c r="F32" i="60"/>
  <c r="E32" i="60"/>
  <c r="D32" i="60"/>
  <c r="C32" i="60"/>
  <c r="F31" i="60"/>
  <c r="E31" i="60"/>
  <c r="D31" i="60"/>
  <c r="C31" i="60"/>
  <c r="F30" i="60"/>
  <c r="E30" i="60"/>
  <c r="D30" i="60"/>
  <c r="C30" i="60"/>
  <c r="F29" i="60"/>
  <c r="E29" i="60"/>
  <c r="D29" i="60"/>
  <c r="C29" i="60"/>
  <c r="F26" i="60"/>
  <c r="E26" i="60"/>
  <c r="D26" i="60"/>
  <c r="C26" i="60"/>
  <c r="F25" i="60"/>
  <c r="E25" i="60"/>
  <c r="D25" i="60"/>
  <c r="C25" i="60"/>
  <c r="F24" i="60"/>
  <c r="E24" i="60"/>
  <c r="D24" i="60"/>
  <c r="C24" i="60"/>
  <c r="F23" i="60"/>
  <c r="E23" i="60"/>
  <c r="D23" i="60"/>
  <c r="C23" i="60"/>
  <c r="F20" i="60"/>
  <c r="E20" i="60"/>
  <c r="D20" i="60"/>
  <c r="C20" i="60"/>
  <c r="F19" i="60"/>
  <c r="E19" i="60"/>
  <c r="D19" i="60"/>
  <c r="C19" i="60"/>
  <c r="F18" i="60"/>
  <c r="E18" i="60"/>
  <c r="D18" i="60"/>
  <c r="C18" i="60"/>
  <c r="F17" i="60"/>
  <c r="E17" i="60"/>
  <c r="D17" i="60"/>
  <c r="C17" i="60"/>
  <c r="J14" i="60"/>
  <c r="I14" i="60"/>
  <c r="H14" i="60"/>
  <c r="G14" i="60"/>
  <c r="F14" i="60"/>
  <c r="E14" i="60"/>
  <c r="D14" i="60"/>
  <c r="C14" i="60"/>
  <c r="J13" i="60"/>
  <c r="I13" i="60"/>
  <c r="H13" i="60"/>
  <c r="G13" i="60"/>
  <c r="F13" i="60"/>
  <c r="E13" i="60"/>
  <c r="D13" i="60"/>
  <c r="C13" i="60"/>
  <c r="J12" i="60"/>
  <c r="I12" i="60"/>
  <c r="H12" i="60"/>
  <c r="G12" i="60"/>
  <c r="F12" i="60"/>
  <c r="E12" i="60"/>
  <c r="D12" i="60"/>
  <c r="C12" i="60"/>
  <c r="J11" i="60"/>
  <c r="I11" i="60"/>
  <c r="H11" i="60"/>
  <c r="G11" i="60"/>
  <c r="F11" i="60"/>
  <c r="E11" i="60"/>
  <c r="D11" i="60"/>
  <c r="C11" i="60"/>
  <c r="J10" i="60"/>
  <c r="I10" i="60"/>
  <c r="H10" i="60"/>
  <c r="G10" i="60"/>
  <c r="F10" i="60"/>
  <c r="E10" i="60"/>
  <c r="D10" i="60"/>
  <c r="C10" i="60"/>
  <c r="J9" i="60"/>
  <c r="I9" i="60"/>
  <c r="H9" i="60"/>
  <c r="G9" i="60"/>
  <c r="F9" i="60"/>
  <c r="E9" i="60"/>
  <c r="D9" i="60"/>
  <c r="C9" i="60"/>
  <c r="J8" i="60"/>
  <c r="I8" i="60"/>
  <c r="H8" i="60"/>
  <c r="G8" i="60"/>
  <c r="F8" i="60"/>
  <c r="E8" i="60"/>
  <c r="D8" i="60"/>
  <c r="C8" i="60"/>
  <c r="J7" i="60"/>
  <c r="I7" i="60"/>
  <c r="H7" i="60"/>
  <c r="G7" i="60"/>
  <c r="F7" i="60"/>
  <c r="E7" i="60"/>
  <c r="D7" i="60"/>
  <c r="C7" i="60"/>
  <c r="D69" i="62"/>
  <c r="D66" i="62"/>
  <c r="D63" i="62"/>
  <c r="D60" i="62"/>
  <c r="D57" i="62"/>
  <c r="D52" i="62"/>
  <c r="D49" i="62"/>
  <c r="D46" i="62"/>
  <c r="D43" i="62"/>
  <c r="D40" i="62"/>
  <c r="D37" i="62"/>
  <c r="D34" i="62"/>
  <c r="D31" i="62"/>
  <c r="D28" i="62"/>
  <c r="D25" i="62"/>
  <c r="D17" i="62"/>
  <c r="O10" i="62"/>
  <c r="O8" i="62"/>
  <c r="O6" i="62"/>
  <c r="O4" i="62"/>
  <c r="E35" i="63"/>
  <c r="A35" i="63"/>
  <c r="E34" i="63"/>
  <c r="A34" i="63"/>
  <c r="E33" i="63"/>
  <c r="A33" i="63"/>
  <c r="E32" i="63"/>
  <c r="A32" i="63"/>
  <c r="E31" i="63"/>
  <c r="A31" i="63"/>
  <c r="E30" i="63"/>
  <c r="A30" i="63"/>
  <c r="E29" i="63"/>
  <c r="A29" i="63"/>
  <c r="E28" i="63"/>
  <c r="A28" i="63"/>
  <c r="E27" i="63"/>
  <c r="A27" i="63"/>
  <c r="F23" i="63"/>
  <c r="E23" i="63"/>
  <c r="A23" i="63"/>
  <c r="F22" i="63"/>
  <c r="E22" i="63"/>
  <c r="A22" i="63"/>
  <c r="F21" i="63"/>
  <c r="E21" i="63"/>
  <c r="A21" i="63"/>
  <c r="F20" i="63"/>
  <c r="E20" i="63"/>
  <c r="A20" i="63"/>
  <c r="F19" i="63"/>
  <c r="E19" i="63"/>
  <c r="A19" i="63"/>
  <c r="F18" i="63"/>
  <c r="E18" i="63"/>
  <c r="A18" i="63"/>
  <c r="F17" i="63"/>
  <c r="E17" i="63"/>
  <c r="A17" i="63"/>
  <c r="F16" i="63"/>
  <c r="E16" i="63"/>
  <c r="A16" i="63"/>
  <c r="F15" i="63"/>
  <c r="E15" i="63"/>
  <c r="A15" i="63"/>
  <c r="K11" i="63"/>
  <c r="J11" i="63"/>
  <c r="H11" i="63"/>
  <c r="G11" i="63"/>
  <c r="K10" i="63"/>
  <c r="J10" i="63"/>
  <c r="H10" i="63"/>
  <c r="G10" i="63"/>
  <c r="K9" i="63"/>
  <c r="J9" i="63"/>
  <c r="H9" i="63"/>
  <c r="G9" i="63"/>
  <c r="K8" i="63"/>
  <c r="J8" i="63"/>
  <c r="H8" i="63"/>
  <c r="G8" i="63"/>
  <c r="K7" i="63"/>
  <c r="J7" i="63"/>
  <c r="H7" i="63"/>
  <c r="G7" i="63"/>
  <c r="K6" i="63"/>
  <c r="J6" i="63"/>
  <c r="H6" i="63"/>
  <c r="G6" i="63"/>
  <c r="K5" i="63"/>
  <c r="J5" i="63"/>
  <c r="H5" i="63"/>
  <c r="G5" i="63"/>
  <c r="K4" i="63"/>
  <c r="J4" i="63"/>
  <c r="H4" i="63"/>
  <c r="G4" i="63"/>
  <c r="K3" i="63"/>
  <c r="J3" i="63"/>
  <c r="H3" i="63"/>
  <c r="G3" i="63"/>
  <c r="E14" i="64"/>
  <c r="E13" i="64"/>
  <c r="E9" i="64"/>
  <c r="E6" i="64"/>
  <c r="E22" i="65"/>
  <c r="E20" i="65"/>
  <c r="E8" i="65"/>
  <c r="E18" i="66"/>
  <c r="E8" i="66"/>
  <c r="E6" i="66"/>
  <c r="E36" i="67"/>
  <c r="E35" i="67"/>
  <c r="E33" i="67"/>
  <c r="E32" i="67"/>
  <c r="E31" i="67"/>
  <c r="E29" i="67"/>
  <c r="E27" i="67"/>
  <c r="E25" i="67"/>
  <c r="E23" i="67"/>
  <c r="E22" i="67"/>
  <c r="E19" i="67"/>
  <c r="E14" i="67"/>
  <c r="E10" i="67"/>
  <c r="E5" i="67"/>
  <c r="E10" i="69"/>
  <c r="E9" i="69"/>
  <c r="E49" i="70"/>
  <c r="E47" i="70"/>
  <c r="E39" i="70"/>
  <c r="E36" i="70"/>
  <c r="E35" i="70"/>
  <c r="E34" i="70"/>
  <c r="E33" i="70"/>
  <c r="E32" i="70"/>
  <c r="E31" i="70"/>
  <c r="E30" i="70"/>
  <c r="E27" i="70"/>
  <c r="E26" i="70"/>
  <c r="E25" i="70"/>
  <c r="E24" i="70"/>
  <c r="E21" i="70"/>
  <c r="E20" i="70"/>
  <c r="E19" i="70"/>
  <c r="E18" i="70"/>
  <c r="E12" i="71"/>
  <c r="E11" i="71"/>
  <c r="E8" i="71"/>
  <c r="E5" i="71"/>
  <c r="E13" i="72"/>
  <c r="E3" i="72"/>
  <c r="E44" i="73"/>
  <c r="E42" i="73"/>
  <c r="E39" i="73"/>
  <c r="E36" i="73"/>
  <c r="E35" i="73"/>
  <c r="E34" i="73"/>
  <c r="E32" i="73"/>
  <c r="E31" i="73"/>
  <c r="E30" i="73"/>
  <c r="E28" i="73"/>
  <c r="E27" i="73"/>
  <c r="E26" i="73"/>
  <c r="E25" i="73"/>
  <c r="E24" i="73"/>
  <c r="E23" i="73"/>
  <c r="E22" i="73"/>
  <c r="E21" i="73"/>
  <c r="E19" i="73"/>
  <c r="E15" i="73"/>
  <c r="E14" i="73"/>
  <c r="F21" i="77"/>
  <c r="F20" i="77"/>
  <c r="F19" i="77"/>
  <c r="F18" i="77"/>
  <c r="F17" i="77"/>
  <c r="F16" i="77"/>
  <c r="F15" i="77"/>
  <c r="F14" i="77"/>
  <c r="F13" i="77"/>
  <c r="F12" i="77"/>
  <c r="F11" i="77"/>
  <c r="H10" i="77"/>
  <c r="F10" i="77"/>
  <c r="H9" i="77"/>
  <c r="F9" i="77"/>
  <c r="F8" i="77"/>
  <c r="D81" i="78"/>
  <c r="D78" i="78"/>
  <c r="D75" i="78"/>
  <c r="D72" i="78"/>
  <c r="D67" i="78"/>
  <c r="D64" i="78"/>
  <c r="D61" i="78"/>
  <c r="D58" i="78"/>
  <c r="D55" i="78"/>
  <c r="D52" i="78"/>
  <c r="D49" i="78"/>
  <c r="D46" i="78"/>
  <c r="D43" i="78"/>
  <c r="D40" i="78"/>
  <c r="D37" i="78"/>
  <c r="D34" i="78"/>
  <c r="D31" i="78"/>
  <c r="D16" i="78"/>
  <c r="O11" i="78"/>
  <c r="O9" i="78"/>
  <c r="O7" i="78"/>
  <c r="O5" i="78"/>
  <c r="H77" i="79"/>
  <c r="H75" i="79"/>
  <c r="O73" i="79"/>
  <c r="G71" i="79"/>
  <c r="G69" i="79"/>
  <c r="G65" i="79"/>
  <c r="G62" i="79"/>
  <c r="F59" i="79"/>
  <c r="J57" i="79"/>
  <c r="F55" i="79"/>
  <c r="H53" i="79"/>
  <c r="H51" i="79"/>
  <c r="H49" i="79"/>
  <c r="H47" i="79"/>
  <c r="H45" i="79"/>
  <c r="I43" i="79"/>
  <c r="H41" i="79"/>
  <c r="I39" i="79"/>
  <c r="G35" i="79"/>
  <c r="E24" i="79"/>
  <c r="P10" i="79"/>
  <c r="P8" i="79"/>
  <c r="P6" i="79"/>
  <c r="P4" i="79"/>
  <c r="E60" i="80"/>
  <c r="E57" i="80"/>
  <c r="E54" i="80"/>
  <c r="E50" i="80"/>
  <c r="E47" i="80"/>
  <c r="E44" i="80"/>
  <c r="E39" i="80"/>
  <c r="E36" i="80"/>
  <c r="E33" i="80"/>
  <c r="E29" i="80"/>
  <c r="E26" i="80"/>
  <c r="E17" i="80"/>
  <c r="E16" i="80"/>
  <c r="E319" i="82"/>
  <c r="E318" i="82"/>
  <c r="G317" i="82"/>
  <c r="F317" i="82"/>
  <c r="E317" i="82"/>
  <c r="D317" i="82"/>
  <c r="C317" i="82"/>
  <c r="B317" i="82"/>
  <c r="E316" i="82"/>
  <c r="G315" i="82"/>
  <c r="F315" i="82"/>
  <c r="E315" i="82"/>
  <c r="D315" i="82"/>
  <c r="C315" i="82"/>
  <c r="B315" i="82"/>
  <c r="E314" i="82"/>
  <c r="D314" i="82"/>
  <c r="C314" i="82"/>
  <c r="D313" i="82"/>
  <c r="C313" i="82"/>
  <c r="D312" i="82"/>
  <c r="C312" i="82"/>
  <c r="D311" i="82"/>
  <c r="C311" i="82"/>
  <c r="E309" i="82"/>
  <c r="E308" i="82"/>
  <c r="E307" i="82"/>
  <c r="E306" i="82"/>
  <c r="E305" i="82"/>
  <c r="E304" i="82"/>
  <c r="G303" i="82"/>
  <c r="C303" i="82"/>
  <c r="C302" i="82"/>
  <c r="G301" i="82"/>
  <c r="C301" i="82"/>
  <c r="G300" i="82"/>
  <c r="C300" i="82"/>
  <c r="G299" i="82"/>
  <c r="C299" i="82"/>
  <c r="G298" i="82"/>
  <c r="C298" i="82"/>
  <c r="G297" i="82"/>
  <c r="C297" i="82"/>
  <c r="G296" i="82"/>
  <c r="C296" i="82"/>
  <c r="G295" i="82"/>
  <c r="C295" i="82"/>
  <c r="C293" i="82"/>
  <c r="C292" i="82"/>
  <c r="C291" i="82"/>
  <c r="E289" i="82"/>
  <c r="E288" i="82"/>
  <c r="G287" i="82"/>
  <c r="C287" i="82"/>
  <c r="G286" i="82"/>
  <c r="C286" i="82"/>
  <c r="G285" i="82"/>
  <c r="C285" i="82"/>
  <c r="G284" i="82"/>
  <c r="C284" i="82"/>
  <c r="G283" i="82"/>
  <c r="C283" i="82"/>
  <c r="E282" i="82"/>
  <c r="E281" i="82"/>
  <c r="E280" i="82"/>
  <c r="C279" i="82"/>
  <c r="G277" i="82"/>
  <c r="C277" i="82"/>
  <c r="C276" i="82"/>
  <c r="E275" i="82"/>
  <c r="C273" i="82"/>
  <c r="C272" i="82"/>
  <c r="C271" i="82"/>
  <c r="C270" i="82"/>
  <c r="C269" i="82"/>
  <c r="C268" i="82"/>
  <c r="G265" i="82"/>
  <c r="C265" i="82"/>
  <c r="G264" i="82"/>
  <c r="C264" i="82"/>
  <c r="G263" i="82"/>
  <c r="C263" i="82"/>
  <c r="G262" i="82"/>
  <c r="C262" i="82"/>
  <c r="G261" i="82"/>
  <c r="C261" i="82"/>
  <c r="C260" i="82"/>
  <c r="C259" i="82"/>
  <c r="C258" i="82"/>
  <c r="C257" i="82"/>
  <c r="C256" i="82"/>
  <c r="G253" i="82"/>
  <c r="C253" i="82"/>
  <c r="G252" i="82"/>
  <c r="C252" i="82"/>
  <c r="G251" i="82"/>
  <c r="C251" i="82"/>
  <c r="G250" i="82"/>
  <c r="C250" i="82"/>
  <c r="G249" i="82"/>
  <c r="C249" i="82"/>
  <c r="G248" i="82"/>
  <c r="C248" i="82"/>
  <c r="G247" i="82"/>
  <c r="C247" i="82"/>
  <c r="G246" i="82"/>
  <c r="C246" i="82"/>
  <c r="C245" i="82"/>
  <c r="C244" i="82"/>
  <c r="E243" i="82"/>
  <c r="E242" i="82"/>
  <c r="E241" i="82"/>
  <c r="E240" i="82"/>
  <c r="E239" i="82"/>
  <c r="E238" i="82"/>
  <c r="E237" i="82"/>
  <c r="B237" i="82"/>
  <c r="E236" i="82"/>
  <c r="E235" i="82"/>
  <c r="G230" i="82"/>
  <c r="C230" i="82"/>
  <c r="G229" i="82"/>
  <c r="C229" i="82"/>
  <c r="G228" i="82"/>
  <c r="C228" i="82"/>
  <c r="H227" i="82"/>
  <c r="G227" i="82"/>
  <c r="H223" i="82"/>
  <c r="G223" i="82"/>
  <c r="D223" i="82"/>
  <c r="C223" i="82"/>
  <c r="F222" i="82"/>
  <c r="C222" i="82"/>
  <c r="C221" i="82"/>
  <c r="C220" i="82"/>
  <c r="G218" i="82"/>
  <c r="C218" i="82"/>
  <c r="F217" i="82"/>
  <c r="E217" i="82"/>
  <c r="D217" i="82"/>
  <c r="C217" i="82"/>
  <c r="C216" i="82"/>
  <c r="C215" i="82"/>
  <c r="C214" i="82"/>
  <c r="G213" i="82"/>
  <c r="E213" i="82"/>
  <c r="D213" i="82"/>
  <c r="C213" i="82"/>
  <c r="G212" i="82"/>
  <c r="E212" i="82"/>
  <c r="D212" i="82"/>
  <c r="C212" i="82"/>
  <c r="C210" i="82"/>
  <c r="C209" i="82"/>
  <c r="C208" i="82"/>
  <c r="F206" i="82"/>
  <c r="E206" i="82"/>
  <c r="D206" i="82"/>
  <c r="F205" i="82"/>
  <c r="E205" i="82"/>
  <c r="D205" i="82"/>
  <c r="F204" i="82"/>
  <c r="E204" i="82"/>
  <c r="D204" i="82"/>
  <c r="C204" i="82"/>
  <c r="F203" i="82"/>
  <c r="E203" i="82"/>
  <c r="D203" i="82"/>
  <c r="C203" i="82"/>
  <c r="G202" i="82"/>
  <c r="C202" i="82"/>
  <c r="G201" i="82"/>
  <c r="C201" i="82"/>
  <c r="G200" i="82"/>
  <c r="C200" i="82"/>
  <c r="L199" i="82"/>
  <c r="K199" i="82"/>
  <c r="J199" i="82"/>
  <c r="I199" i="82"/>
  <c r="H199" i="82"/>
  <c r="G199" i="82"/>
  <c r="C199" i="82"/>
  <c r="G198" i="82"/>
  <c r="C198" i="82"/>
  <c r="C197" i="82"/>
  <c r="C196" i="82"/>
  <c r="C195" i="82"/>
  <c r="C194" i="82"/>
  <c r="C193" i="82"/>
  <c r="C192" i="82"/>
  <c r="C191" i="82"/>
  <c r="C190" i="82"/>
  <c r="C189" i="82"/>
  <c r="G188" i="82"/>
  <c r="C188" i="82"/>
  <c r="C187" i="82"/>
  <c r="G186" i="82"/>
  <c r="C186" i="82"/>
  <c r="C185" i="82"/>
  <c r="G184" i="82"/>
  <c r="C184" i="82"/>
  <c r="C183" i="82"/>
  <c r="G182" i="82"/>
  <c r="C182" i="82"/>
  <c r="C181" i="82"/>
  <c r="G180" i="82"/>
  <c r="C180" i="82"/>
  <c r="C179" i="82"/>
  <c r="G178" i="82"/>
  <c r="C178" i="82"/>
  <c r="C177" i="82"/>
  <c r="C176" i="82"/>
  <c r="C175" i="82"/>
  <c r="C174" i="82"/>
  <c r="C173" i="82"/>
  <c r="C172" i="82"/>
  <c r="C171" i="82"/>
  <c r="C170" i="82"/>
  <c r="C169" i="82"/>
  <c r="C168" i="82"/>
  <c r="C167" i="82"/>
  <c r="C166" i="82"/>
  <c r="C165" i="82"/>
  <c r="G164" i="82"/>
  <c r="C164" i="82"/>
  <c r="C163" i="82"/>
  <c r="G162" i="82"/>
  <c r="C162" i="82"/>
  <c r="C161" i="82"/>
  <c r="G160" i="82"/>
  <c r="C160" i="82"/>
  <c r="C159" i="82"/>
  <c r="G158" i="82"/>
  <c r="C158" i="82"/>
  <c r="C157" i="82"/>
  <c r="G156" i="82"/>
  <c r="C156" i="82"/>
  <c r="C155" i="82"/>
  <c r="G154" i="82"/>
  <c r="C154" i="82"/>
  <c r="C153" i="82"/>
  <c r="C152" i="82"/>
  <c r="C151" i="82"/>
  <c r="C150" i="82"/>
  <c r="C149" i="82"/>
  <c r="G148" i="82"/>
  <c r="C148" i="82"/>
  <c r="C147" i="82"/>
  <c r="G146" i="82"/>
  <c r="C146" i="82"/>
  <c r="C145" i="82"/>
  <c r="G144" i="82"/>
  <c r="C144" i="82"/>
  <c r="C143" i="82"/>
  <c r="G142" i="82"/>
  <c r="C142" i="82"/>
  <c r="C141" i="82"/>
  <c r="G140" i="82"/>
  <c r="C140" i="82"/>
  <c r="C139" i="82"/>
  <c r="G138" i="82"/>
  <c r="C138" i="82"/>
  <c r="G137" i="82"/>
  <c r="C137" i="82"/>
  <c r="G136" i="82"/>
  <c r="C136" i="82"/>
  <c r="G135" i="82"/>
  <c r="C135" i="82"/>
  <c r="G134" i="82"/>
  <c r="C134" i="82"/>
  <c r="G133" i="82"/>
  <c r="C133" i="82"/>
  <c r="G132" i="82"/>
  <c r="C132" i="82"/>
  <c r="G131" i="82"/>
  <c r="C131" i="82"/>
  <c r="E129" i="82"/>
  <c r="C129" i="82"/>
  <c r="E128" i="82"/>
  <c r="C128" i="82"/>
  <c r="E127" i="82"/>
  <c r="C127" i="82"/>
  <c r="E126" i="82"/>
  <c r="C126" i="82"/>
  <c r="C125" i="82"/>
  <c r="C124" i="82"/>
  <c r="D122" i="82"/>
  <c r="C122" i="82"/>
  <c r="C121" i="82"/>
  <c r="H120" i="82"/>
  <c r="G120" i="82"/>
  <c r="D120" i="82"/>
  <c r="C120" i="82"/>
  <c r="C119" i="82"/>
  <c r="C118" i="82"/>
  <c r="C117" i="82"/>
  <c r="C115" i="82"/>
  <c r="C114" i="82"/>
  <c r="D113" i="82"/>
  <c r="C113" i="82"/>
  <c r="C112" i="82"/>
  <c r="G111" i="82"/>
  <c r="C111" i="82"/>
  <c r="C110" i="82"/>
  <c r="G109" i="82"/>
  <c r="C109" i="82"/>
  <c r="E108" i="82"/>
  <c r="C108" i="82"/>
  <c r="C107" i="82"/>
  <c r="C106" i="82"/>
  <c r="C105" i="82"/>
  <c r="G104" i="82"/>
  <c r="C104" i="82"/>
  <c r="G103" i="82"/>
  <c r="C103" i="82"/>
  <c r="G102" i="82"/>
  <c r="C102" i="82"/>
  <c r="G101" i="82"/>
  <c r="C101" i="82"/>
  <c r="C100" i="82"/>
  <c r="C99" i="82"/>
  <c r="C98" i="82"/>
  <c r="C97" i="82"/>
  <c r="C96" i="82"/>
  <c r="C95" i="82"/>
  <c r="D94" i="82"/>
  <c r="C94" i="82"/>
  <c r="E93" i="82"/>
  <c r="C93" i="82"/>
  <c r="G92" i="82"/>
  <c r="C92" i="82"/>
  <c r="D91" i="82"/>
  <c r="C91" i="82"/>
  <c r="C90" i="82"/>
  <c r="G89" i="82"/>
  <c r="C89" i="82"/>
  <c r="G88" i="82"/>
  <c r="C88" i="82"/>
  <c r="C87" i="82"/>
  <c r="G86" i="82"/>
  <c r="C86" i="82"/>
  <c r="G85" i="82"/>
  <c r="C85" i="82"/>
  <c r="G84" i="82"/>
  <c r="C84" i="82"/>
  <c r="G83" i="82"/>
  <c r="C83" i="82"/>
  <c r="C82" i="82"/>
  <c r="C81" i="82"/>
  <c r="C80" i="82"/>
  <c r="E79" i="82"/>
  <c r="C79" i="82"/>
  <c r="C78" i="82"/>
  <c r="C77" i="82"/>
  <c r="G76" i="82"/>
  <c r="E76" i="82"/>
  <c r="C76" i="82"/>
  <c r="G75" i="82"/>
  <c r="E75" i="82"/>
  <c r="C75" i="82"/>
  <c r="G74" i="82"/>
  <c r="C74" i="82"/>
  <c r="G73" i="82"/>
  <c r="C73" i="82"/>
  <c r="C72" i="82"/>
  <c r="G71" i="82"/>
  <c r="C71" i="82"/>
  <c r="C70" i="82"/>
  <c r="C69" i="82"/>
  <c r="C68" i="82"/>
  <c r="E67" i="82"/>
  <c r="C67" i="82"/>
  <c r="C66" i="82"/>
  <c r="E65" i="82"/>
  <c r="C65" i="82"/>
  <c r="E64" i="82"/>
  <c r="C64" i="82"/>
  <c r="E63" i="82"/>
  <c r="C63" i="82"/>
  <c r="G61" i="82"/>
  <c r="E61" i="82"/>
  <c r="C61" i="82"/>
  <c r="I60" i="82"/>
  <c r="G60" i="82"/>
  <c r="E60" i="82"/>
  <c r="C60" i="82"/>
  <c r="C58" i="82"/>
  <c r="B58" i="82"/>
  <c r="C57" i="82"/>
  <c r="B57" i="82"/>
  <c r="B56" i="82"/>
  <c r="B55" i="82"/>
  <c r="G53" i="82"/>
  <c r="C53" i="82"/>
  <c r="C50" i="82"/>
  <c r="C49" i="82"/>
  <c r="C42" i="82"/>
  <c r="C41" i="82"/>
  <c r="D40" i="82"/>
  <c r="D39" i="82"/>
  <c r="D38" i="82"/>
  <c r="D37" i="82"/>
  <c r="G35" i="82"/>
  <c r="D35" i="82"/>
  <c r="G34" i="82"/>
  <c r="D34" i="82"/>
  <c r="G33" i="82"/>
  <c r="D33" i="82"/>
  <c r="E31" i="82"/>
  <c r="D31" i="82"/>
  <c r="C31" i="82"/>
  <c r="A31" i="82"/>
  <c r="E30" i="82"/>
  <c r="D30" i="82"/>
  <c r="C30" i="82"/>
  <c r="B30" i="82"/>
  <c r="A30" i="82"/>
  <c r="D29" i="82"/>
  <c r="A29" i="82"/>
  <c r="E28" i="82"/>
  <c r="D28" i="82"/>
  <c r="B28" i="82"/>
  <c r="A28" i="82"/>
  <c r="F26" i="82"/>
  <c r="D26" i="82"/>
  <c r="B26" i="82"/>
  <c r="A26" i="82"/>
  <c r="F25" i="82"/>
  <c r="E25" i="82"/>
  <c r="G24" i="82"/>
  <c r="C24" i="82"/>
  <c r="G22" i="82"/>
  <c r="G21" i="82"/>
  <c r="C21" i="82"/>
  <c r="G19" i="82"/>
  <c r="D18" i="82"/>
  <c r="D17" i="82"/>
  <c r="K16" i="82"/>
  <c r="G16" i="82"/>
  <c r="E16" i="82"/>
  <c r="C14" i="82"/>
  <c r="B14" i="82"/>
  <c r="D13" i="82"/>
  <c r="B13" i="82"/>
  <c r="G14" i="93"/>
  <c r="F14" i="93"/>
  <c r="C14" i="93"/>
  <c r="G8" i="93"/>
  <c r="F8" i="93"/>
  <c r="C8" i="93"/>
  <c r="T63" i="98"/>
  <c r="R63" i="98"/>
  <c r="P63" i="98"/>
  <c r="O63" i="98"/>
  <c r="N63" i="98"/>
  <c r="L63" i="98"/>
  <c r="J63" i="98"/>
  <c r="I63" i="98"/>
  <c r="H63" i="98"/>
  <c r="F63" i="98"/>
  <c r="D63" i="98"/>
  <c r="C63" i="98"/>
  <c r="T62" i="98"/>
  <c r="R62" i="98"/>
  <c r="P62" i="98"/>
  <c r="O62" i="98"/>
  <c r="N62" i="98"/>
  <c r="L62" i="98"/>
  <c r="J62" i="98"/>
  <c r="I62" i="98"/>
  <c r="H62" i="98"/>
  <c r="F62" i="98"/>
  <c r="D62" i="98"/>
  <c r="C62" i="98"/>
  <c r="T61" i="98"/>
  <c r="R61" i="98"/>
  <c r="P61" i="98"/>
  <c r="O61" i="98"/>
  <c r="N61" i="98"/>
  <c r="L61" i="98"/>
  <c r="J61" i="98"/>
  <c r="I61" i="98"/>
  <c r="H61" i="98"/>
  <c r="F61" i="98"/>
  <c r="D61" i="98"/>
  <c r="C61" i="98"/>
  <c r="T60" i="98"/>
  <c r="R60" i="98"/>
  <c r="P60" i="98"/>
  <c r="O60" i="98"/>
  <c r="N60" i="98"/>
  <c r="L60" i="98"/>
  <c r="J60" i="98"/>
  <c r="I60" i="98"/>
  <c r="H60" i="98"/>
  <c r="F60" i="98"/>
  <c r="D60" i="98"/>
  <c r="C60" i="98"/>
  <c r="T59" i="98"/>
  <c r="R59" i="98"/>
  <c r="P59" i="98"/>
  <c r="O59" i="98"/>
  <c r="N59" i="98"/>
  <c r="L59" i="98"/>
  <c r="J59" i="98"/>
  <c r="I59" i="98"/>
  <c r="H59" i="98"/>
  <c r="F59" i="98"/>
  <c r="D59" i="98"/>
  <c r="C59" i="98"/>
  <c r="T58" i="98"/>
  <c r="R58" i="98"/>
  <c r="P58" i="98"/>
  <c r="O58" i="98"/>
  <c r="N58" i="98"/>
  <c r="L58" i="98"/>
  <c r="J58" i="98"/>
  <c r="I58" i="98"/>
  <c r="H58" i="98"/>
  <c r="F58" i="98"/>
  <c r="D58" i="98"/>
  <c r="C58" i="98"/>
  <c r="T57" i="98"/>
  <c r="R57" i="98"/>
  <c r="P57" i="98"/>
  <c r="O57" i="98"/>
  <c r="N57" i="98"/>
  <c r="L57" i="98"/>
  <c r="J57" i="98"/>
  <c r="I57" i="98"/>
  <c r="H57" i="98"/>
  <c r="F57" i="98"/>
  <c r="D57" i="98"/>
  <c r="C57" i="98"/>
  <c r="T56" i="98"/>
  <c r="R56" i="98"/>
  <c r="P56" i="98"/>
  <c r="O56" i="98"/>
  <c r="N56" i="98"/>
  <c r="L56" i="98"/>
  <c r="J56" i="98"/>
  <c r="I56" i="98"/>
  <c r="H56" i="98"/>
  <c r="F56" i="98"/>
  <c r="D56" i="98"/>
  <c r="C56" i="98"/>
  <c r="T55" i="98"/>
  <c r="R55" i="98"/>
  <c r="P55" i="98"/>
  <c r="O55" i="98"/>
  <c r="N55" i="98"/>
  <c r="L55" i="98"/>
  <c r="J55" i="98"/>
  <c r="I55" i="98"/>
  <c r="H55" i="98"/>
  <c r="F55" i="98"/>
  <c r="D55" i="98"/>
  <c r="C55" i="98"/>
  <c r="T54" i="98"/>
  <c r="R54" i="98"/>
  <c r="P54" i="98"/>
  <c r="O54" i="98"/>
  <c r="N54" i="98"/>
  <c r="L54" i="98"/>
  <c r="J54" i="98"/>
  <c r="I54" i="98"/>
  <c r="H54" i="98"/>
  <c r="F54" i="98"/>
  <c r="D54" i="98"/>
  <c r="C54" i="98"/>
  <c r="T53" i="98"/>
  <c r="R53" i="98"/>
  <c r="P53" i="98"/>
  <c r="O53" i="98"/>
  <c r="N53" i="98"/>
  <c r="L53" i="98"/>
  <c r="J53" i="98"/>
  <c r="I53" i="98"/>
  <c r="H53" i="98"/>
  <c r="F53" i="98"/>
  <c r="D53" i="98"/>
  <c r="C53" i="98"/>
  <c r="T52" i="98"/>
  <c r="R52" i="98"/>
  <c r="P52" i="98"/>
  <c r="O52" i="98"/>
  <c r="N52" i="98"/>
  <c r="L52" i="98"/>
  <c r="J52" i="98"/>
  <c r="I52" i="98"/>
  <c r="H52" i="98"/>
  <c r="F52" i="98"/>
  <c r="D52" i="98"/>
  <c r="C52" i="98"/>
  <c r="T51" i="98"/>
  <c r="R51" i="98"/>
  <c r="P51" i="98"/>
  <c r="O51" i="98"/>
  <c r="N51" i="98"/>
  <c r="L51" i="98"/>
  <c r="J51" i="98"/>
  <c r="I51" i="98"/>
  <c r="H51" i="98"/>
  <c r="F51" i="98"/>
  <c r="D51" i="98"/>
  <c r="C51" i="98"/>
  <c r="T49" i="98"/>
  <c r="R49" i="98"/>
  <c r="P49" i="98"/>
  <c r="O49" i="98"/>
  <c r="N49" i="98"/>
  <c r="L49" i="98"/>
  <c r="J49" i="98"/>
  <c r="I49" i="98"/>
  <c r="H49" i="98"/>
  <c r="F49" i="98"/>
  <c r="D49" i="98"/>
  <c r="C49" i="98"/>
  <c r="T48" i="98"/>
  <c r="R48" i="98"/>
  <c r="P48" i="98"/>
  <c r="O48" i="98"/>
  <c r="N48" i="98"/>
  <c r="L48" i="98"/>
  <c r="J48" i="98"/>
  <c r="I48" i="98"/>
  <c r="H48" i="98"/>
  <c r="F48" i="98"/>
  <c r="D48" i="98"/>
  <c r="C48" i="98"/>
  <c r="T47" i="98"/>
  <c r="R47" i="98"/>
  <c r="P47" i="98"/>
  <c r="O47" i="98"/>
  <c r="N47" i="98"/>
  <c r="L47" i="98"/>
  <c r="J47" i="98"/>
  <c r="I47" i="98"/>
  <c r="H47" i="98"/>
  <c r="F47" i="98"/>
  <c r="D47" i="98"/>
  <c r="C47" i="98"/>
  <c r="T46" i="98"/>
  <c r="R46" i="98"/>
  <c r="P46" i="98"/>
  <c r="O46" i="98"/>
  <c r="N46" i="98"/>
  <c r="L46" i="98"/>
  <c r="J46" i="98"/>
  <c r="I46" i="98"/>
  <c r="H46" i="98"/>
  <c r="F46" i="98"/>
  <c r="D46" i="98"/>
  <c r="C46" i="98"/>
  <c r="T45" i="98"/>
  <c r="R45" i="98"/>
  <c r="P45" i="98"/>
  <c r="O45" i="98"/>
  <c r="N45" i="98"/>
  <c r="L45" i="98"/>
  <c r="J45" i="98"/>
  <c r="I45" i="98"/>
  <c r="H45" i="98"/>
  <c r="F45" i="98"/>
  <c r="D45" i="98"/>
  <c r="C45" i="98"/>
  <c r="T44" i="98"/>
  <c r="R44" i="98"/>
  <c r="P44" i="98"/>
  <c r="O44" i="98"/>
  <c r="N44" i="98"/>
  <c r="L44" i="98"/>
  <c r="J44" i="98"/>
  <c r="I44" i="98"/>
  <c r="H44" i="98"/>
  <c r="F44" i="98"/>
  <c r="D44" i="98"/>
  <c r="C44" i="98"/>
  <c r="T43" i="98"/>
  <c r="R43" i="98"/>
  <c r="P43" i="98"/>
  <c r="O43" i="98"/>
  <c r="N43" i="98"/>
  <c r="L43" i="98"/>
  <c r="J43" i="98"/>
  <c r="I43" i="98"/>
  <c r="H43" i="98"/>
  <c r="F43" i="98"/>
  <c r="D43" i="98"/>
  <c r="C43" i="98"/>
  <c r="T42" i="98"/>
  <c r="R42" i="98"/>
  <c r="P42" i="98"/>
  <c r="O42" i="98"/>
  <c r="N42" i="98"/>
  <c r="L42" i="98"/>
  <c r="J42" i="98"/>
  <c r="I42" i="98"/>
  <c r="H42" i="98"/>
  <c r="F42" i="98"/>
  <c r="D42" i="98"/>
  <c r="C42" i="98"/>
  <c r="T41" i="98"/>
  <c r="R41" i="98"/>
  <c r="P41" i="98"/>
  <c r="O41" i="98"/>
  <c r="N41" i="98"/>
  <c r="L41" i="98"/>
  <c r="J41" i="98"/>
  <c r="I41" i="98"/>
  <c r="H41" i="98"/>
  <c r="F41" i="98"/>
  <c r="D41" i="98"/>
  <c r="C41" i="98"/>
  <c r="T40" i="98"/>
  <c r="R40" i="98"/>
  <c r="P40" i="98"/>
  <c r="O40" i="98"/>
  <c r="N40" i="98"/>
  <c r="L40" i="98"/>
  <c r="J40" i="98"/>
  <c r="I40" i="98"/>
  <c r="H40" i="98"/>
  <c r="F40" i="98"/>
  <c r="D40" i="98"/>
  <c r="C40" i="98"/>
  <c r="T39" i="98"/>
  <c r="R39" i="98"/>
  <c r="P39" i="98"/>
  <c r="O39" i="98"/>
  <c r="N39" i="98"/>
  <c r="L39" i="98"/>
  <c r="J39" i="98"/>
  <c r="I39" i="98"/>
  <c r="H39" i="98"/>
  <c r="F39" i="98"/>
  <c r="D39" i="98"/>
  <c r="C39" i="98"/>
  <c r="T38" i="98"/>
  <c r="R38" i="98"/>
  <c r="P38" i="98"/>
  <c r="O38" i="98"/>
  <c r="N38" i="98"/>
  <c r="L38" i="98"/>
  <c r="J38" i="98"/>
  <c r="I38" i="98"/>
  <c r="H38" i="98"/>
  <c r="F38" i="98"/>
  <c r="D38" i="98"/>
  <c r="C38" i="98"/>
  <c r="T37" i="98"/>
  <c r="R37" i="98"/>
  <c r="P37" i="98"/>
  <c r="O37" i="98"/>
  <c r="N37" i="98"/>
  <c r="L37" i="98"/>
  <c r="J37" i="98"/>
  <c r="I37" i="98"/>
  <c r="H37" i="98"/>
  <c r="F37" i="98"/>
  <c r="D37" i="98"/>
  <c r="C37" i="98"/>
  <c r="S38" i="102"/>
  <c r="S37" i="102"/>
  <c r="S36" i="102"/>
  <c r="S35" i="102"/>
  <c r="V26" i="102"/>
  <c r="U26" i="102"/>
  <c r="T26" i="102"/>
  <c r="S26" i="102"/>
  <c r="W23" i="102"/>
  <c r="V23" i="102"/>
  <c r="U23" i="102"/>
  <c r="T23" i="102"/>
  <c r="S23" i="102"/>
  <c r="K38" i="104"/>
  <c r="I38" i="104"/>
  <c r="G38" i="104"/>
  <c r="E38" i="104"/>
  <c r="C38" i="104"/>
  <c r="A38" i="104"/>
  <c r="K37" i="104"/>
  <c r="I37" i="104"/>
  <c r="G37" i="104"/>
  <c r="E37" i="104"/>
  <c r="C37" i="104"/>
  <c r="A37" i="104"/>
  <c r="K36" i="104"/>
  <c r="I36" i="104"/>
  <c r="G36" i="104"/>
  <c r="E36" i="104"/>
  <c r="C36" i="104"/>
  <c r="A36" i="104"/>
  <c r="K35" i="104"/>
  <c r="I35" i="104"/>
  <c r="G35" i="104"/>
  <c r="E35" i="104"/>
  <c r="C35" i="104"/>
  <c r="A35" i="104"/>
  <c r="K34" i="104"/>
  <c r="I34" i="104"/>
  <c r="G34" i="104"/>
  <c r="E34" i="104"/>
  <c r="C34" i="104"/>
  <c r="A34" i="104"/>
  <c r="K33" i="104"/>
  <c r="I33" i="104"/>
  <c r="G33" i="104"/>
  <c r="E33" i="104"/>
  <c r="C33" i="104"/>
  <c r="A33" i="104"/>
  <c r="K32" i="104"/>
  <c r="I32" i="104"/>
  <c r="G32" i="104"/>
  <c r="E32" i="104"/>
  <c r="C32" i="104"/>
  <c r="A32" i="104"/>
  <c r="K31" i="104"/>
  <c r="I31" i="104"/>
  <c r="G31" i="104"/>
  <c r="E31" i="104"/>
  <c r="C31" i="104"/>
  <c r="A31" i="104"/>
  <c r="K30" i="104"/>
  <c r="I30" i="104"/>
  <c r="G30" i="104"/>
  <c r="E30" i="104"/>
  <c r="C30" i="104"/>
  <c r="A30" i="104"/>
  <c r="K29" i="104"/>
  <c r="I29" i="104"/>
  <c r="G29" i="104"/>
  <c r="E29" i="104"/>
  <c r="C29" i="104"/>
  <c r="A29" i="104"/>
  <c r="K28" i="104"/>
  <c r="I28" i="104"/>
  <c r="G28" i="104"/>
  <c r="E28" i="104"/>
  <c r="C28" i="104"/>
  <c r="A28" i="104"/>
  <c r="K27" i="104"/>
  <c r="I27" i="104"/>
  <c r="G27" i="104"/>
  <c r="E27" i="104"/>
  <c r="C27" i="104"/>
  <c r="A27" i="104"/>
  <c r="G26" i="104"/>
  <c r="E26" i="104"/>
  <c r="C26" i="104"/>
  <c r="A26" i="104"/>
  <c r="K25" i="104"/>
  <c r="I25" i="104"/>
  <c r="G25" i="104"/>
  <c r="E25" i="104"/>
  <c r="C25" i="104"/>
  <c r="A25" i="104"/>
  <c r="K24" i="104"/>
  <c r="I24" i="104"/>
  <c r="G24" i="104"/>
  <c r="E24" i="104"/>
  <c r="C24" i="104"/>
  <c r="A24" i="104"/>
  <c r="G23" i="104"/>
  <c r="E23" i="104"/>
  <c r="C23" i="104"/>
  <c r="A23" i="104"/>
  <c r="K22" i="104"/>
  <c r="I22" i="104"/>
  <c r="G22" i="104"/>
  <c r="E22" i="104"/>
  <c r="C22" i="104"/>
  <c r="A22" i="104"/>
  <c r="K21" i="104"/>
  <c r="I21" i="104"/>
  <c r="G21" i="104"/>
  <c r="E21" i="104"/>
  <c r="C21" i="104"/>
  <c r="A21" i="104"/>
  <c r="K20" i="104"/>
  <c r="I20" i="104"/>
  <c r="G20" i="104"/>
  <c r="E20" i="104"/>
  <c r="C20" i="104"/>
  <c r="A20" i="104"/>
  <c r="G19" i="104"/>
  <c r="E19" i="104"/>
  <c r="C19" i="104"/>
  <c r="A19" i="104"/>
  <c r="G18" i="104"/>
  <c r="E18" i="104"/>
  <c r="C18" i="104"/>
  <c r="A18" i="104"/>
  <c r="K17" i="104"/>
  <c r="I17" i="104"/>
  <c r="G17" i="104"/>
  <c r="E17" i="104"/>
  <c r="C17" i="104"/>
  <c r="A17" i="104"/>
  <c r="G16" i="104"/>
  <c r="E16" i="104"/>
  <c r="C16" i="104"/>
  <c r="A16" i="104"/>
  <c r="K15" i="104"/>
  <c r="I15" i="104"/>
  <c r="G15" i="104"/>
  <c r="E15" i="104"/>
  <c r="C15" i="104"/>
  <c r="A15" i="104"/>
  <c r="G14" i="104"/>
  <c r="E14" i="104"/>
  <c r="C14" i="104"/>
  <c r="A14" i="104"/>
  <c r="G13" i="104"/>
  <c r="E13" i="104"/>
  <c r="C13" i="104"/>
  <c r="A13" i="104"/>
  <c r="G12" i="104"/>
  <c r="E12" i="104"/>
  <c r="C12" i="104"/>
  <c r="A12" i="104"/>
  <c r="C11" i="104"/>
  <c r="A11" i="104"/>
  <c r="C10" i="104"/>
  <c r="A10" i="104"/>
  <c r="C9" i="104"/>
  <c r="A9" i="104"/>
  <c r="C8" i="104"/>
  <c r="A8" i="104"/>
  <c r="C7" i="104"/>
  <c r="A7" i="104"/>
  <c r="C6" i="104"/>
  <c r="A6" i="104"/>
  <c r="R16" i="112"/>
  <c r="Q16" i="112"/>
  <c r="P16" i="112"/>
  <c r="O16" i="112"/>
  <c r="N16" i="112"/>
  <c r="M16" i="112"/>
  <c r="L16" i="112"/>
  <c r="K16" i="112"/>
  <c r="J16" i="112"/>
  <c r="I16" i="112"/>
  <c r="H16" i="112"/>
  <c r="G16" i="112"/>
  <c r="R14" i="112"/>
  <c r="Q14" i="112"/>
  <c r="P14" i="112"/>
  <c r="O14" i="112"/>
  <c r="N14" i="112"/>
  <c r="M14" i="112"/>
  <c r="L14" i="112"/>
  <c r="K14" i="112"/>
  <c r="J14" i="112"/>
  <c r="I14" i="112"/>
  <c r="H14" i="112"/>
  <c r="G14" i="112"/>
  <c r="R13" i="112"/>
  <c r="Q13" i="112"/>
  <c r="P13" i="112"/>
  <c r="O13" i="112"/>
  <c r="N13" i="112"/>
  <c r="M13" i="112"/>
  <c r="L13" i="112"/>
  <c r="K13" i="112"/>
  <c r="J13" i="112"/>
  <c r="I13" i="112"/>
  <c r="H13" i="112"/>
  <c r="G13" i="112"/>
  <c r="R12" i="112"/>
  <c r="Q12" i="112"/>
  <c r="P12" i="112"/>
  <c r="O12" i="112"/>
  <c r="N12" i="112"/>
  <c r="M12" i="112"/>
  <c r="L12" i="112"/>
  <c r="K12" i="112"/>
  <c r="J12" i="112"/>
  <c r="I12" i="112"/>
  <c r="H12" i="112"/>
  <c r="G12" i="112"/>
  <c r="R11" i="112"/>
  <c r="Q11" i="112"/>
  <c r="P11" i="112"/>
  <c r="O11" i="112"/>
  <c r="N11" i="112"/>
  <c r="M11" i="112"/>
  <c r="L11" i="112"/>
  <c r="K11" i="112"/>
  <c r="J11" i="112"/>
  <c r="I11" i="112"/>
  <c r="H11" i="112"/>
  <c r="G11" i="112"/>
  <c r="K13" i="113"/>
  <c r="J13" i="113"/>
  <c r="I13" i="113"/>
  <c r="H13" i="113"/>
  <c r="G13" i="113"/>
  <c r="F13" i="113"/>
  <c r="E13" i="113"/>
  <c r="D13" i="113"/>
  <c r="C13" i="113"/>
  <c r="K12" i="113"/>
  <c r="J12" i="113"/>
  <c r="I12" i="113"/>
  <c r="H12" i="113"/>
  <c r="G12" i="113"/>
  <c r="F12" i="113"/>
  <c r="E12" i="113"/>
  <c r="D12" i="113"/>
  <c r="C12" i="113"/>
  <c r="K11" i="113"/>
  <c r="J11" i="113"/>
  <c r="I11" i="113"/>
  <c r="H11" i="113"/>
  <c r="G11" i="113"/>
  <c r="F11" i="113"/>
  <c r="E11" i="113"/>
  <c r="D11" i="113"/>
  <c r="C11" i="113"/>
  <c r="N10" i="113"/>
  <c r="M10" i="113"/>
  <c r="L10" i="113"/>
  <c r="K10" i="113"/>
  <c r="J10" i="113"/>
  <c r="I10" i="113"/>
  <c r="H10" i="113"/>
  <c r="G10" i="113"/>
  <c r="F10" i="113"/>
  <c r="E10" i="113"/>
  <c r="D10" i="113"/>
  <c r="C10" i="113"/>
  <c r="K9" i="113"/>
  <c r="J9" i="113"/>
  <c r="I9" i="113"/>
  <c r="H9" i="113"/>
  <c r="G9" i="113"/>
  <c r="F9" i="113"/>
  <c r="E9" i="113"/>
  <c r="D9" i="113"/>
  <c r="C9" i="113"/>
  <c r="R21" i="115"/>
  <c r="Q21" i="115"/>
  <c r="P21" i="115"/>
  <c r="O21" i="115"/>
  <c r="N21" i="115"/>
  <c r="M21" i="115"/>
  <c r="L21" i="115"/>
  <c r="K21" i="115"/>
  <c r="J21" i="115"/>
  <c r="I21" i="115"/>
  <c r="H21" i="115"/>
  <c r="G21" i="115"/>
  <c r="R20" i="115"/>
  <c r="Q20" i="115"/>
  <c r="P20" i="115"/>
  <c r="O20" i="115"/>
  <c r="N20" i="115"/>
  <c r="M20" i="115"/>
  <c r="L20" i="115"/>
  <c r="K20" i="115"/>
  <c r="J20" i="115"/>
  <c r="I20" i="115"/>
  <c r="H20" i="115"/>
  <c r="G20" i="115"/>
  <c r="R16" i="115"/>
  <c r="Q16" i="115"/>
  <c r="P16" i="115"/>
  <c r="O16" i="115"/>
  <c r="N16" i="115"/>
  <c r="M16" i="115"/>
  <c r="L16" i="115"/>
  <c r="K16" i="115"/>
  <c r="J16" i="115"/>
  <c r="I16" i="115"/>
  <c r="H16" i="115"/>
  <c r="G16" i="115"/>
  <c r="R15" i="115"/>
  <c r="Q15" i="115"/>
  <c r="P15" i="115"/>
  <c r="O15" i="115"/>
  <c r="N15" i="115"/>
  <c r="M15" i="115"/>
  <c r="L15" i="115"/>
  <c r="K15" i="115"/>
  <c r="J15" i="115"/>
  <c r="I15" i="115"/>
  <c r="H15" i="115"/>
  <c r="G15" i="115"/>
  <c r="R14" i="115"/>
  <c r="Q14" i="115"/>
  <c r="P14" i="115"/>
  <c r="O14" i="115"/>
  <c r="N14" i="115"/>
  <c r="M14" i="115"/>
  <c r="L14" i="115"/>
  <c r="K14" i="115"/>
  <c r="J14" i="115"/>
  <c r="I14" i="115"/>
  <c r="H14" i="115"/>
  <c r="G14" i="115"/>
  <c r="R13" i="115"/>
  <c r="Q13" i="115"/>
  <c r="P13" i="115"/>
  <c r="O13" i="115"/>
  <c r="N13" i="115"/>
  <c r="M13" i="115"/>
  <c r="L13" i="115"/>
  <c r="K13" i="115"/>
  <c r="J13" i="115"/>
  <c r="I13" i="115"/>
  <c r="H13" i="115"/>
  <c r="G13" i="115"/>
  <c r="R12" i="115"/>
  <c r="Q12" i="115"/>
  <c r="P12" i="115"/>
  <c r="O12" i="115"/>
  <c r="N12" i="115"/>
  <c r="M12" i="115"/>
  <c r="L12" i="115"/>
  <c r="K12" i="115"/>
  <c r="J12" i="115"/>
  <c r="I12" i="115"/>
  <c r="H12" i="115"/>
  <c r="G12" i="115"/>
  <c r="R11" i="115"/>
  <c r="Q11" i="115"/>
  <c r="P11" i="115"/>
  <c r="O11" i="115"/>
  <c r="N11" i="115"/>
  <c r="M11" i="115"/>
  <c r="L11" i="115"/>
  <c r="K11" i="115"/>
  <c r="J11" i="115"/>
  <c r="I11" i="115"/>
  <c r="H11" i="115"/>
  <c r="G11" i="115"/>
  <c r="N14" i="116"/>
  <c r="M14" i="116"/>
  <c r="L14" i="116"/>
  <c r="K14" i="116"/>
  <c r="J14" i="116"/>
  <c r="I14" i="116"/>
  <c r="H14" i="116"/>
  <c r="G14" i="116"/>
  <c r="F14" i="116"/>
  <c r="E14" i="116"/>
  <c r="D14" i="116"/>
  <c r="N13" i="116"/>
  <c r="M13" i="116"/>
  <c r="L13" i="116"/>
  <c r="K13" i="116"/>
  <c r="J13" i="116"/>
  <c r="I13" i="116"/>
  <c r="H13" i="116"/>
  <c r="G13" i="116"/>
  <c r="F13" i="116"/>
  <c r="E13" i="116"/>
  <c r="D13" i="116"/>
  <c r="N12" i="116"/>
  <c r="M12" i="116"/>
  <c r="L12" i="116"/>
  <c r="K12" i="116"/>
  <c r="J12" i="116"/>
  <c r="I12" i="116"/>
  <c r="H12" i="116"/>
  <c r="G12" i="116"/>
  <c r="F12" i="116"/>
  <c r="E12" i="116"/>
  <c r="D12" i="116"/>
  <c r="N10" i="116"/>
  <c r="M10" i="116"/>
  <c r="L10" i="116"/>
  <c r="K10" i="116"/>
  <c r="J10" i="116"/>
  <c r="I10" i="116"/>
  <c r="H10" i="116"/>
  <c r="G10" i="116"/>
  <c r="F10" i="116"/>
  <c r="E10" i="116"/>
  <c r="D10" i="116"/>
  <c r="N9" i="116"/>
  <c r="M9" i="116"/>
  <c r="L9" i="116"/>
  <c r="K9" i="116"/>
  <c r="J9" i="116"/>
  <c r="I9" i="116"/>
  <c r="H9" i="116"/>
  <c r="G9" i="116"/>
  <c r="F9" i="116"/>
  <c r="E9" i="116"/>
  <c r="D9" i="116"/>
  <c r="N8" i="116"/>
  <c r="M8" i="116"/>
  <c r="L8" i="116"/>
  <c r="K8" i="116"/>
  <c r="J8" i="116"/>
  <c r="I8" i="116"/>
  <c r="H8" i="116"/>
  <c r="G8" i="116"/>
  <c r="F8" i="116"/>
  <c r="E8" i="116"/>
  <c r="D8" i="116"/>
  <c r="I88" i="117"/>
  <c r="F88" i="117"/>
  <c r="F87" i="117"/>
  <c r="D87" i="117"/>
  <c r="F86" i="117"/>
  <c r="D86" i="117"/>
  <c r="I83" i="117"/>
  <c r="I82" i="117"/>
  <c r="O79" i="117"/>
  <c r="D79" i="117"/>
  <c r="O78" i="117"/>
  <c r="N78" i="117"/>
  <c r="F78" i="117"/>
  <c r="D78" i="117"/>
  <c r="O77" i="117"/>
  <c r="N77" i="117"/>
  <c r="O76" i="117"/>
  <c r="N76" i="117"/>
  <c r="O75" i="117"/>
  <c r="N75" i="117"/>
  <c r="O74" i="117"/>
  <c r="N74" i="117"/>
  <c r="N73" i="117"/>
  <c r="I70" i="117"/>
  <c r="F70" i="117"/>
  <c r="F69" i="117"/>
  <c r="D69" i="117"/>
  <c r="F68" i="117"/>
  <c r="D68" i="117"/>
  <c r="O67" i="117"/>
  <c r="T66" i="117"/>
  <c r="O66" i="117"/>
  <c r="T65" i="117"/>
  <c r="O65" i="117"/>
  <c r="I65" i="117"/>
  <c r="T64" i="117"/>
  <c r="O64" i="117"/>
  <c r="I64" i="117"/>
  <c r="T63" i="117"/>
  <c r="O63" i="117"/>
  <c r="T62" i="117"/>
  <c r="T61" i="117"/>
  <c r="T60" i="117"/>
  <c r="O60" i="117"/>
  <c r="T58" i="117"/>
  <c r="I58" i="117"/>
  <c r="F58" i="117"/>
  <c r="T57" i="117"/>
  <c r="F57" i="117"/>
  <c r="D57" i="117"/>
  <c r="T56" i="117"/>
  <c r="O56" i="117"/>
  <c r="F56" i="117"/>
  <c r="D56" i="117"/>
  <c r="T55" i="117"/>
  <c r="T54" i="117"/>
  <c r="O54" i="117"/>
  <c r="T53" i="117"/>
  <c r="O53" i="117"/>
  <c r="I53" i="117"/>
  <c r="T52" i="117"/>
  <c r="O52" i="117"/>
  <c r="I52" i="117"/>
  <c r="O49" i="117"/>
  <c r="E49" i="117"/>
  <c r="T48" i="117"/>
  <c r="O48" i="117"/>
  <c r="J48" i="117"/>
  <c r="E48" i="117"/>
  <c r="O47" i="117"/>
  <c r="E47" i="117"/>
  <c r="O46" i="117"/>
  <c r="E46" i="117"/>
  <c r="O45" i="117"/>
  <c r="E45" i="117"/>
  <c r="T44" i="117"/>
  <c r="J44" i="117"/>
  <c r="O42" i="117"/>
  <c r="E42" i="117"/>
  <c r="O41" i="117"/>
  <c r="E41" i="117"/>
  <c r="T40" i="117"/>
  <c r="J40" i="117"/>
  <c r="T39" i="117"/>
  <c r="J39" i="117"/>
  <c r="E39" i="117"/>
  <c r="T38" i="117"/>
  <c r="O38" i="117"/>
  <c r="J38" i="117"/>
  <c r="E38" i="117"/>
  <c r="T37" i="117"/>
  <c r="J37" i="117"/>
  <c r="T36" i="117"/>
  <c r="O36" i="117"/>
  <c r="J36" i="117"/>
  <c r="T35" i="117"/>
  <c r="O35" i="117"/>
  <c r="J35" i="117"/>
  <c r="T34" i="117"/>
  <c r="O34" i="117"/>
  <c r="J34" i="117"/>
  <c r="S31" i="117"/>
  <c r="P31" i="117"/>
  <c r="J31" i="117"/>
  <c r="G31" i="117"/>
  <c r="P30" i="117"/>
  <c r="N30" i="117"/>
  <c r="G30" i="117"/>
  <c r="E30" i="117"/>
  <c r="P29" i="117"/>
  <c r="N29" i="117"/>
  <c r="G29" i="117"/>
  <c r="E29" i="117"/>
  <c r="S26" i="117"/>
  <c r="J26" i="117"/>
  <c r="S25" i="117"/>
  <c r="J25" i="117"/>
  <c r="S22" i="117"/>
  <c r="P22" i="117"/>
  <c r="J22" i="117"/>
  <c r="G22" i="117"/>
  <c r="P21" i="117"/>
  <c r="N21" i="117"/>
  <c r="G21" i="117"/>
  <c r="E21" i="117"/>
  <c r="P20" i="117"/>
  <c r="N20" i="117"/>
  <c r="G20" i="117"/>
  <c r="E20" i="117"/>
  <c r="S17" i="117"/>
  <c r="J17" i="117"/>
  <c r="S16" i="117"/>
  <c r="J16" i="117"/>
  <c r="S13" i="117"/>
  <c r="P13" i="117"/>
  <c r="J13" i="117"/>
  <c r="G13" i="117"/>
  <c r="P12" i="117"/>
  <c r="N12" i="117"/>
  <c r="G12" i="117"/>
  <c r="E12" i="117"/>
  <c r="P11" i="117"/>
  <c r="N11" i="117"/>
  <c r="G11" i="117"/>
  <c r="E11" i="117"/>
  <c r="S8" i="117"/>
  <c r="J8" i="117"/>
  <c r="S7" i="117"/>
  <c r="J7" i="117"/>
  <c r="C43" i="118"/>
  <c r="C39" i="118"/>
  <c r="C37" i="118"/>
  <c r="C35" i="118"/>
  <c r="C33" i="118"/>
  <c r="C32" i="118"/>
  <c r="C30" i="118"/>
  <c r="C28" i="118"/>
  <c r="C24" i="118"/>
  <c r="C22" i="118"/>
  <c r="C43" i="119"/>
  <c r="C39" i="119"/>
  <c r="C37" i="119"/>
  <c r="C35" i="119"/>
  <c r="C33" i="119"/>
  <c r="C32" i="119"/>
  <c r="C30" i="119"/>
  <c r="C28" i="119"/>
  <c r="C24" i="119"/>
  <c r="C22" i="119"/>
  <c r="C36" i="120"/>
  <c r="C32" i="120"/>
  <c r="C30" i="120"/>
  <c r="C28" i="120"/>
  <c r="C26" i="120"/>
  <c r="C25" i="120"/>
  <c r="C23" i="120"/>
  <c r="C21" i="120"/>
  <c r="C17" i="120"/>
  <c r="B6" i="121"/>
  <c r="D51" i="122"/>
  <c r="D50" i="122"/>
  <c r="D48" i="122"/>
  <c r="D46" i="122"/>
  <c r="E42" i="122"/>
  <c r="E40" i="122"/>
  <c r="E37" i="122"/>
  <c r="E34" i="122"/>
  <c r="E31" i="122"/>
  <c r="E28" i="122"/>
  <c r="E25" i="122"/>
  <c r="E24" i="122"/>
  <c r="D19" i="122"/>
  <c r="D10" i="122"/>
  <c r="E27" i="124"/>
  <c r="E26" i="124"/>
  <c r="E25" i="124"/>
  <c r="E24" i="124"/>
  <c r="E23" i="124"/>
  <c r="E22" i="124"/>
  <c r="E21" i="124"/>
  <c r="E20" i="124"/>
  <c r="E19" i="124"/>
  <c r="E18" i="124"/>
  <c r="E17" i="124"/>
  <c r="L18" i="125"/>
  <c r="L14" i="125"/>
  <c r="L4" i="125"/>
  <c r="H363" i="129"/>
  <c r="C363" i="129"/>
  <c r="A363" i="129"/>
  <c r="H362" i="129"/>
  <c r="G362" i="129"/>
  <c r="C362" i="129"/>
  <c r="A362" i="129"/>
  <c r="H361" i="129"/>
  <c r="G361" i="129"/>
  <c r="C361" i="129"/>
  <c r="A361" i="129"/>
  <c r="H360" i="129"/>
  <c r="G360" i="129"/>
  <c r="C360" i="129"/>
  <c r="A360" i="129"/>
  <c r="H359" i="129"/>
  <c r="G359" i="129"/>
  <c r="C359" i="129"/>
  <c r="A359" i="129"/>
  <c r="H358" i="129"/>
  <c r="G358" i="129"/>
  <c r="C358" i="129"/>
  <c r="A358" i="129"/>
  <c r="H357" i="129"/>
  <c r="G357" i="129"/>
  <c r="C357" i="129"/>
  <c r="A357" i="129"/>
  <c r="H356" i="129"/>
  <c r="G356" i="129"/>
  <c r="C356" i="129"/>
  <c r="A356" i="129"/>
  <c r="H355" i="129"/>
  <c r="G355" i="129"/>
  <c r="C355" i="129"/>
  <c r="A355" i="129"/>
  <c r="H354" i="129"/>
  <c r="G354" i="129"/>
  <c r="C354" i="129"/>
  <c r="A354" i="129"/>
  <c r="H353" i="129"/>
  <c r="G353" i="129"/>
  <c r="C353" i="129"/>
  <c r="A353" i="129"/>
  <c r="H352" i="129"/>
  <c r="G352" i="129"/>
  <c r="C352" i="129"/>
  <c r="A352" i="129"/>
  <c r="H351" i="129"/>
  <c r="G351" i="129"/>
  <c r="C351" i="129"/>
  <c r="A351" i="129"/>
  <c r="H350" i="129"/>
  <c r="G350" i="129"/>
  <c r="C350" i="129"/>
  <c r="A350" i="129"/>
  <c r="H349" i="129"/>
  <c r="G349" i="129"/>
  <c r="C349" i="129"/>
  <c r="A349" i="129"/>
  <c r="H348" i="129"/>
  <c r="G348" i="129"/>
  <c r="C348" i="129"/>
  <c r="A348" i="129"/>
  <c r="H347" i="129"/>
  <c r="G347" i="129"/>
  <c r="C347" i="129"/>
  <c r="A347" i="129"/>
  <c r="H346" i="129"/>
  <c r="G346" i="129"/>
  <c r="C346" i="129"/>
  <c r="A346" i="129"/>
  <c r="H345" i="129"/>
  <c r="G345" i="129"/>
  <c r="C345" i="129"/>
  <c r="A345" i="129"/>
  <c r="H344" i="129"/>
  <c r="G344" i="129"/>
  <c r="C344" i="129"/>
  <c r="A344" i="129"/>
  <c r="H343" i="129"/>
  <c r="G343" i="129"/>
  <c r="C343" i="129"/>
  <c r="A343" i="129"/>
  <c r="H342" i="129"/>
  <c r="G342" i="129"/>
  <c r="C342" i="129"/>
  <c r="A342" i="129"/>
  <c r="H341" i="129"/>
  <c r="G341" i="129"/>
  <c r="C341" i="129"/>
  <c r="A341" i="129"/>
  <c r="H340" i="129"/>
  <c r="G340" i="129"/>
  <c r="C340" i="129"/>
  <c r="A340" i="129"/>
  <c r="H339" i="129"/>
  <c r="G339" i="129"/>
  <c r="C339" i="129"/>
  <c r="A339" i="129"/>
  <c r="H338" i="129"/>
  <c r="G338" i="129"/>
  <c r="C338" i="129"/>
  <c r="A338" i="129"/>
  <c r="H337" i="129"/>
  <c r="G337" i="129"/>
  <c r="C337" i="129"/>
  <c r="A337" i="129"/>
  <c r="H336" i="129"/>
  <c r="G336" i="129"/>
  <c r="C336" i="129"/>
  <c r="A336" i="129"/>
  <c r="H335" i="129"/>
  <c r="G335" i="129"/>
  <c r="C335" i="129"/>
  <c r="A335" i="129"/>
  <c r="H334" i="129"/>
  <c r="G334" i="129"/>
  <c r="C334" i="129"/>
  <c r="A334" i="129"/>
  <c r="H333" i="129"/>
  <c r="G333" i="129"/>
  <c r="C333" i="129"/>
  <c r="A333" i="129"/>
  <c r="H332" i="129"/>
  <c r="G332" i="129"/>
  <c r="C332" i="129"/>
  <c r="A332" i="129"/>
  <c r="H331" i="129"/>
  <c r="G331" i="129"/>
  <c r="C331" i="129"/>
  <c r="A331" i="129"/>
  <c r="H330" i="129"/>
  <c r="G330" i="129"/>
  <c r="C330" i="129"/>
  <c r="A330" i="129"/>
  <c r="H329" i="129"/>
  <c r="G329" i="129"/>
  <c r="C329" i="129"/>
  <c r="A329" i="129"/>
  <c r="H328" i="129"/>
  <c r="G328" i="129"/>
  <c r="C328" i="129"/>
  <c r="A328" i="129"/>
  <c r="H327" i="129"/>
  <c r="G327" i="129"/>
  <c r="C327" i="129"/>
  <c r="A327" i="129"/>
  <c r="H326" i="129"/>
  <c r="G326" i="129"/>
  <c r="C326" i="129"/>
  <c r="A326" i="129"/>
  <c r="H325" i="129"/>
  <c r="G325" i="129"/>
  <c r="C325" i="129"/>
  <c r="A325" i="129"/>
  <c r="H324" i="129"/>
  <c r="G324" i="129"/>
  <c r="C324" i="129"/>
  <c r="A324" i="129"/>
  <c r="H323" i="129"/>
  <c r="G323" i="129"/>
  <c r="C323" i="129"/>
  <c r="A323" i="129"/>
  <c r="H322" i="129"/>
  <c r="G322" i="129"/>
  <c r="C322" i="129"/>
  <c r="A322" i="129"/>
  <c r="H321" i="129"/>
  <c r="G321" i="129"/>
  <c r="C321" i="129"/>
  <c r="A321" i="129"/>
  <c r="H320" i="129"/>
  <c r="G320" i="129"/>
  <c r="C320" i="129"/>
  <c r="A320" i="129"/>
  <c r="H319" i="129"/>
  <c r="G319" i="129"/>
  <c r="C319" i="129"/>
  <c r="A319" i="129"/>
  <c r="H318" i="129"/>
  <c r="G318" i="129"/>
  <c r="C318" i="129"/>
  <c r="A318" i="129"/>
  <c r="H317" i="129"/>
  <c r="G317" i="129"/>
  <c r="C317" i="129"/>
  <c r="A317" i="129"/>
  <c r="H316" i="129"/>
  <c r="G316" i="129"/>
  <c r="C316" i="129"/>
  <c r="A316" i="129"/>
  <c r="H315" i="129"/>
  <c r="G315" i="129"/>
  <c r="C315" i="129"/>
  <c r="A315" i="129"/>
  <c r="H314" i="129"/>
  <c r="G314" i="129"/>
  <c r="C314" i="129"/>
  <c r="A314" i="129"/>
  <c r="H313" i="129"/>
  <c r="G313" i="129"/>
  <c r="C313" i="129"/>
  <c r="A313" i="129"/>
  <c r="H312" i="129"/>
  <c r="G312" i="129"/>
  <c r="C312" i="129"/>
  <c r="A312" i="129"/>
  <c r="H311" i="129"/>
  <c r="G311" i="129"/>
  <c r="C311" i="129"/>
  <c r="A311" i="129"/>
  <c r="H310" i="129"/>
  <c r="G310" i="129"/>
  <c r="C310" i="129"/>
  <c r="A310" i="129"/>
  <c r="H309" i="129"/>
  <c r="G309" i="129"/>
  <c r="C309" i="129"/>
  <c r="A309" i="129"/>
  <c r="H308" i="129"/>
  <c r="G308" i="129"/>
  <c r="C308" i="129"/>
  <c r="A308" i="129"/>
  <c r="H307" i="129"/>
  <c r="G307" i="129"/>
  <c r="C307" i="129"/>
  <c r="A307" i="129"/>
  <c r="H306" i="129"/>
  <c r="G306" i="129"/>
  <c r="C306" i="129"/>
  <c r="A306" i="129"/>
  <c r="H305" i="129"/>
  <c r="G305" i="129"/>
  <c r="C305" i="129"/>
  <c r="A305" i="129"/>
  <c r="H304" i="129"/>
  <c r="G304" i="129"/>
  <c r="C304" i="129"/>
  <c r="A304" i="129"/>
  <c r="H303" i="129"/>
  <c r="G303" i="129"/>
  <c r="C303" i="129"/>
  <c r="A303" i="129"/>
  <c r="H302" i="129"/>
  <c r="G302" i="129"/>
  <c r="C302" i="129"/>
  <c r="A302" i="129"/>
  <c r="H301" i="129"/>
  <c r="G301" i="129"/>
  <c r="C301" i="129"/>
  <c r="A301" i="129"/>
  <c r="H300" i="129"/>
  <c r="G300" i="129"/>
  <c r="C300" i="129"/>
  <c r="A300" i="129"/>
  <c r="H299" i="129"/>
  <c r="G299" i="129"/>
  <c r="C299" i="129"/>
  <c r="A299" i="129"/>
  <c r="H298" i="129"/>
  <c r="G298" i="129"/>
  <c r="C298" i="129"/>
  <c r="A298" i="129"/>
  <c r="H297" i="129"/>
  <c r="G297" i="129"/>
  <c r="C297" i="129"/>
  <c r="A297" i="129"/>
  <c r="H296" i="129"/>
  <c r="G296" i="129"/>
  <c r="C296" i="129"/>
  <c r="A296" i="129"/>
  <c r="H295" i="129"/>
  <c r="G295" i="129"/>
  <c r="C295" i="129"/>
  <c r="A295" i="129"/>
  <c r="H294" i="129"/>
  <c r="G294" i="129"/>
  <c r="C294" i="129"/>
  <c r="A294" i="129"/>
  <c r="H293" i="129"/>
  <c r="G293" i="129"/>
  <c r="C293" i="129"/>
  <c r="A293" i="129"/>
  <c r="H292" i="129"/>
  <c r="G292" i="129"/>
  <c r="C292" i="129"/>
  <c r="A292" i="129"/>
  <c r="H291" i="129"/>
  <c r="G291" i="129"/>
  <c r="C291" i="129"/>
  <c r="A291" i="129"/>
  <c r="H290" i="129"/>
  <c r="G290" i="129"/>
  <c r="C290" i="129"/>
  <c r="A290" i="129"/>
  <c r="H289" i="129"/>
  <c r="G289" i="129"/>
  <c r="C289" i="129"/>
  <c r="A289" i="129"/>
  <c r="H288" i="129"/>
  <c r="G288" i="129"/>
  <c r="C288" i="129"/>
  <c r="A288" i="129"/>
  <c r="H287" i="129"/>
  <c r="G287" i="129"/>
  <c r="C287" i="129"/>
  <c r="A287" i="129"/>
  <c r="H286" i="129"/>
  <c r="G286" i="129"/>
  <c r="C286" i="129"/>
  <c r="A286" i="129"/>
  <c r="H285" i="129"/>
  <c r="G285" i="129"/>
  <c r="C285" i="129"/>
  <c r="A285" i="129"/>
  <c r="H284" i="129"/>
  <c r="G284" i="129"/>
  <c r="C284" i="129"/>
  <c r="A284" i="129"/>
  <c r="H283" i="129"/>
  <c r="G283" i="129"/>
  <c r="C283" i="129"/>
  <c r="A283" i="129"/>
  <c r="H282" i="129"/>
  <c r="G282" i="129"/>
  <c r="C282" i="129"/>
  <c r="A282" i="129"/>
  <c r="H281" i="129"/>
  <c r="G281" i="129"/>
  <c r="C281" i="129"/>
  <c r="A281" i="129"/>
  <c r="H280" i="129"/>
  <c r="G280" i="129"/>
  <c r="C280" i="129"/>
  <c r="A280" i="129"/>
  <c r="H279" i="129"/>
  <c r="G279" i="129"/>
  <c r="C279" i="129"/>
  <c r="A279" i="129"/>
  <c r="H278" i="129"/>
  <c r="G278" i="129"/>
  <c r="C278" i="129"/>
  <c r="A278" i="129"/>
  <c r="H277" i="129"/>
  <c r="G277" i="129"/>
  <c r="C277" i="129"/>
  <c r="A277" i="129"/>
  <c r="H276" i="129"/>
  <c r="G276" i="129"/>
  <c r="C276" i="129"/>
  <c r="A276" i="129"/>
  <c r="H275" i="129"/>
  <c r="G275" i="129"/>
  <c r="C275" i="129"/>
  <c r="A275" i="129"/>
  <c r="H274" i="129"/>
  <c r="G274" i="129"/>
  <c r="C274" i="129"/>
  <c r="A274" i="129"/>
  <c r="H273" i="129"/>
  <c r="G273" i="129"/>
  <c r="C273" i="129"/>
  <c r="A273" i="129"/>
  <c r="H272" i="129"/>
  <c r="G272" i="129"/>
  <c r="C272" i="129"/>
  <c r="A272" i="129"/>
  <c r="H271" i="129"/>
  <c r="G271" i="129"/>
  <c r="C271" i="129"/>
  <c r="A271" i="129"/>
  <c r="H270" i="129"/>
  <c r="G270" i="129"/>
  <c r="C270" i="129"/>
  <c r="A270" i="129"/>
  <c r="H269" i="129"/>
  <c r="G269" i="129"/>
  <c r="C269" i="129"/>
  <c r="A269" i="129"/>
  <c r="H268" i="129"/>
  <c r="G268" i="129"/>
  <c r="C268" i="129"/>
  <c r="A268" i="129"/>
  <c r="H267" i="129"/>
  <c r="G267" i="129"/>
  <c r="C267" i="129"/>
  <c r="A267" i="129"/>
  <c r="H266" i="129"/>
  <c r="G266" i="129"/>
  <c r="C266" i="129"/>
  <c r="A266" i="129"/>
  <c r="H265" i="129"/>
  <c r="G265" i="129"/>
  <c r="C265" i="129"/>
  <c r="A265" i="129"/>
  <c r="H264" i="129"/>
  <c r="G264" i="129"/>
  <c r="C264" i="129"/>
  <c r="A264" i="129"/>
  <c r="H263" i="129"/>
  <c r="G263" i="129"/>
  <c r="C263" i="129"/>
  <c r="A263" i="129"/>
  <c r="H262" i="129"/>
  <c r="G262" i="129"/>
  <c r="C262" i="129"/>
  <c r="A262" i="129"/>
  <c r="H261" i="129"/>
  <c r="G261" i="129"/>
  <c r="C261" i="129"/>
  <c r="A261" i="129"/>
  <c r="H260" i="129"/>
  <c r="G260" i="129"/>
  <c r="C260" i="129"/>
  <c r="A260" i="129"/>
  <c r="H259" i="129"/>
  <c r="G259" i="129"/>
  <c r="C259" i="129"/>
  <c r="A259" i="129"/>
  <c r="H258" i="129"/>
  <c r="G258" i="129"/>
  <c r="C258" i="129"/>
  <c r="A258" i="129"/>
  <c r="H257" i="129"/>
  <c r="G257" i="129"/>
  <c r="C257" i="129"/>
  <c r="A257" i="129"/>
  <c r="H256" i="129"/>
  <c r="G256" i="129"/>
  <c r="C256" i="129"/>
  <c r="A256" i="129"/>
  <c r="H255" i="129"/>
  <c r="G255" i="129"/>
  <c r="C255" i="129"/>
  <c r="A255" i="129"/>
  <c r="H254" i="129"/>
  <c r="G254" i="129"/>
  <c r="C254" i="129"/>
  <c r="A254" i="129"/>
  <c r="H253" i="129"/>
  <c r="G253" i="129"/>
  <c r="C253" i="129"/>
  <c r="A253" i="129"/>
  <c r="H252" i="129"/>
  <c r="G252" i="129"/>
  <c r="C252" i="129"/>
  <c r="A252" i="129"/>
  <c r="H251" i="129"/>
  <c r="G251" i="129"/>
  <c r="C251" i="129"/>
  <c r="A251" i="129"/>
  <c r="H250" i="129"/>
  <c r="G250" i="129"/>
  <c r="C250" i="129"/>
  <c r="A250" i="129"/>
  <c r="H249" i="129"/>
  <c r="G249" i="129"/>
  <c r="C249" i="129"/>
  <c r="A249" i="129"/>
  <c r="H248" i="129"/>
  <c r="G248" i="129"/>
  <c r="C248" i="129"/>
  <c r="A248" i="129"/>
  <c r="H247" i="129"/>
  <c r="G247" i="129"/>
  <c r="C247" i="129"/>
  <c r="A247" i="129"/>
  <c r="H246" i="129"/>
  <c r="G246" i="129"/>
  <c r="C246" i="129"/>
  <c r="A246" i="129"/>
  <c r="H245" i="129"/>
  <c r="G245" i="129"/>
  <c r="C245" i="129"/>
  <c r="A245" i="129"/>
  <c r="H244" i="129"/>
  <c r="G244" i="129"/>
  <c r="C244" i="129"/>
  <c r="A244" i="129"/>
  <c r="H243" i="129"/>
  <c r="G243" i="129"/>
  <c r="C243" i="129"/>
  <c r="A243" i="129"/>
  <c r="H242" i="129"/>
  <c r="G242" i="129"/>
  <c r="C242" i="129"/>
  <c r="A242" i="129"/>
  <c r="H241" i="129"/>
  <c r="G241" i="129"/>
  <c r="C241" i="129"/>
  <c r="A241" i="129"/>
  <c r="H240" i="129"/>
  <c r="G240" i="129"/>
  <c r="C240" i="129"/>
  <c r="A240" i="129"/>
  <c r="H239" i="129"/>
  <c r="G239" i="129"/>
  <c r="C239" i="129"/>
  <c r="A239" i="129"/>
  <c r="H238" i="129"/>
  <c r="G238" i="129"/>
  <c r="C238" i="129"/>
  <c r="A238" i="129"/>
  <c r="H237" i="129"/>
  <c r="G237" i="129"/>
  <c r="C237" i="129"/>
  <c r="A237" i="129"/>
  <c r="H236" i="129"/>
  <c r="G236" i="129"/>
  <c r="C236" i="129"/>
  <c r="A236" i="129"/>
  <c r="H235" i="129"/>
  <c r="G235" i="129"/>
  <c r="C235" i="129"/>
  <c r="A235" i="129"/>
  <c r="H234" i="129"/>
  <c r="G234" i="129"/>
  <c r="C234" i="129"/>
  <c r="A234" i="129"/>
  <c r="H233" i="129"/>
  <c r="G233" i="129"/>
  <c r="C233" i="129"/>
  <c r="A233" i="129"/>
  <c r="H232" i="129"/>
  <c r="G232" i="129"/>
  <c r="C232" i="129"/>
  <c r="A232" i="129"/>
  <c r="H231" i="129"/>
  <c r="G231" i="129"/>
  <c r="C231" i="129"/>
  <c r="A231" i="129"/>
  <c r="H230" i="129"/>
  <c r="G230" i="129"/>
  <c r="C230" i="129"/>
  <c r="A230" i="129"/>
  <c r="H229" i="129"/>
  <c r="G229" i="129"/>
  <c r="C229" i="129"/>
  <c r="A229" i="129"/>
  <c r="H228" i="129"/>
  <c r="G228" i="129"/>
  <c r="C228" i="129"/>
  <c r="A228" i="129"/>
  <c r="H227" i="129"/>
  <c r="G227" i="129"/>
  <c r="C227" i="129"/>
  <c r="A227" i="129"/>
  <c r="H226" i="129"/>
  <c r="G226" i="129"/>
  <c r="C226" i="129"/>
  <c r="A226" i="129"/>
  <c r="H225" i="129"/>
  <c r="G225" i="129"/>
  <c r="C225" i="129"/>
  <c r="A225" i="129"/>
  <c r="H224" i="129"/>
  <c r="G224" i="129"/>
  <c r="C224" i="129"/>
  <c r="A224" i="129"/>
  <c r="H223" i="129"/>
  <c r="G223" i="129"/>
  <c r="C223" i="129"/>
  <c r="A223" i="129"/>
  <c r="H222" i="129"/>
  <c r="G222" i="129"/>
  <c r="C222" i="129"/>
  <c r="A222" i="129"/>
  <c r="H221" i="129"/>
  <c r="G221" i="129"/>
  <c r="C221" i="129"/>
  <c r="A221" i="129"/>
  <c r="H220" i="129"/>
  <c r="G220" i="129"/>
  <c r="C220" i="129"/>
  <c r="A220" i="129"/>
  <c r="H219" i="129"/>
  <c r="G219" i="129"/>
  <c r="C219" i="129"/>
  <c r="A219" i="129"/>
  <c r="H218" i="129"/>
  <c r="G218" i="129"/>
  <c r="C218" i="129"/>
  <c r="A218" i="129"/>
  <c r="H217" i="129"/>
  <c r="G217" i="129"/>
  <c r="C217" i="129"/>
  <c r="A217" i="129"/>
  <c r="H216" i="129"/>
  <c r="G216" i="129"/>
  <c r="C216" i="129"/>
  <c r="A216" i="129"/>
  <c r="H215" i="129"/>
  <c r="G215" i="129"/>
  <c r="C215" i="129"/>
  <c r="A215" i="129"/>
  <c r="H214" i="129"/>
  <c r="G214" i="129"/>
  <c r="C214" i="129"/>
  <c r="A214" i="129"/>
  <c r="H213" i="129"/>
  <c r="G213" i="129"/>
  <c r="C213" i="129"/>
  <c r="A213" i="129"/>
  <c r="H212" i="129"/>
  <c r="G212" i="129"/>
  <c r="C212" i="129"/>
  <c r="A212" i="129"/>
  <c r="H211" i="129"/>
  <c r="G211" i="129"/>
  <c r="C211" i="129"/>
  <c r="A211" i="129"/>
  <c r="H210" i="129"/>
  <c r="G210" i="129"/>
  <c r="C210" i="129"/>
  <c r="A210" i="129"/>
  <c r="H209" i="129"/>
  <c r="G209" i="129"/>
  <c r="C209" i="129"/>
  <c r="A209" i="129"/>
  <c r="H208" i="129"/>
  <c r="G208" i="129"/>
  <c r="C208" i="129"/>
  <c r="A208" i="129"/>
  <c r="H207" i="129"/>
  <c r="G207" i="129"/>
  <c r="C207" i="129"/>
  <c r="A207" i="129"/>
  <c r="H206" i="129"/>
  <c r="G206" i="129"/>
  <c r="C206" i="129"/>
  <c r="A206" i="129"/>
  <c r="H205" i="129"/>
  <c r="G205" i="129"/>
  <c r="C205" i="129"/>
  <c r="A205" i="129"/>
  <c r="H204" i="129"/>
  <c r="G204" i="129"/>
  <c r="C204" i="129"/>
  <c r="A204" i="129"/>
  <c r="H203" i="129"/>
  <c r="G203" i="129"/>
  <c r="C203" i="129"/>
  <c r="A203" i="129"/>
  <c r="H202" i="129"/>
  <c r="G202" i="129"/>
  <c r="C202" i="129"/>
  <c r="A202" i="129"/>
  <c r="H201" i="129"/>
  <c r="G201" i="129"/>
  <c r="C201" i="129"/>
  <c r="A201" i="129"/>
  <c r="H200" i="129"/>
  <c r="G200" i="129"/>
  <c r="C200" i="129"/>
  <c r="A200" i="129"/>
  <c r="H199" i="129"/>
  <c r="G199" i="129"/>
  <c r="C199" i="129"/>
  <c r="A199" i="129"/>
  <c r="H198" i="129"/>
  <c r="G198" i="129"/>
  <c r="C198" i="129"/>
  <c r="A198" i="129"/>
  <c r="H197" i="129"/>
  <c r="G197" i="129"/>
  <c r="C197" i="129"/>
  <c r="A197" i="129"/>
  <c r="H196" i="129"/>
  <c r="G196" i="129"/>
  <c r="C196" i="129"/>
  <c r="A196" i="129"/>
  <c r="H195" i="129"/>
  <c r="G195" i="129"/>
  <c r="C195" i="129"/>
  <c r="A195" i="129"/>
  <c r="H194" i="129"/>
  <c r="G194" i="129"/>
  <c r="C194" i="129"/>
  <c r="A194" i="129"/>
  <c r="H193" i="129"/>
  <c r="G193" i="129"/>
  <c r="C193" i="129"/>
  <c r="A193" i="129"/>
  <c r="H192" i="129"/>
  <c r="G192" i="129"/>
  <c r="C192" i="129"/>
  <c r="A192" i="129"/>
  <c r="H191" i="129"/>
  <c r="G191" i="129"/>
  <c r="C191" i="129"/>
  <c r="A191" i="129"/>
  <c r="H190" i="129"/>
  <c r="G190" i="129"/>
  <c r="C190" i="129"/>
  <c r="A190" i="129"/>
  <c r="H189" i="129"/>
  <c r="G189" i="129"/>
  <c r="C189" i="129"/>
  <c r="A189" i="129"/>
  <c r="H188" i="129"/>
  <c r="G188" i="129"/>
  <c r="C188" i="129"/>
  <c r="A188" i="129"/>
  <c r="H187" i="129"/>
  <c r="G187" i="129"/>
  <c r="C187" i="129"/>
  <c r="A187" i="129"/>
  <c r="H186" i="129"/>
  <c r="G186" i="129"/>
  <c r="C186" i="129"/>
  <c r="A186" i="129"/>
  <c r="H185" i="129"/>
  <c r="G185" i="129"/>
  <c r="C185" i="129"/>
  <c r="A185" i="129"/>
  <c r="H184" i="129"/>
  <c r="G184" i="129"/>
  <c r="C184" i="129"/>
  <c r="A184" i="129"/>
  <c r="H183" i="129"/>
  <c r="G183" i="129"/>
  <c r="C183" i="129"/>
  <c r="A183" i="129"/>
  <c r="H182" i="129"/>
  <c r="G182" i="129"/>
  <c r="C182" i="129"/>
  <c r="A182" i="129"/>
  <c r="H181" i="129"/>
  <c r="G181" i="129"/>
  <c r="C181" i="129"/>
  <c r="A181" i="129"/>
  <c r="H180" i="129"/>
  <c r="G180" i="129"/>
  <c r="C180" i="129"/>
  <c r="A180" i="129"/>
  <c r="H179" i="129"/>
  <c r="G179" i="129"/>
  <c r="C179" i="129"/>
  <c r="A179" i="129"/>
  <c r="H178" i="129"/>
  <c r="G178" i="129"/>
  <c r="C178" i="129"/>
  <c r="A178" i="129"/>
  <c r="H177" i="129"/>
  <c r="G177" i="129"/>
  <c r="C177" i="129"/>
  <c r="A177" i="129"/>
  <c r="H176" i="129"/>
  <c r="G176" i="129"/>
  <c r="C176" i="129"/>
  <c r="A176" i="129"/>
  <c r="H175" i="129"/>
  <c r="G175" i="129"/>
  <c r="C175" i="129"/>
  <c r="A175" i="129"/>
  <c r="H174" i="129"/>
  <c r="G174" i="129"/>
  <c r="C174" i="129"/>
  <c r="A174" i="129"/>
  <c r="H173" i="129"/>
  <c r="G173" i="129"/>
  <c r="C173" i="129"/>
  <c r="A173" i="129"/>
  <c r="H172" i="129"/>
  <c r="G172" i="129"/>
  <c r="C172" i="129"/>
  <c r="A172" i="129"/>
  <c r="H171" i="129"/>
  <c r="G171" i="129"/>
  <c r="C171" i="129"/>
  <c r="A171" i="129"/>
  <c r="H170" i="129"/>
  <c r="G170" i="129"/>
  <c r="C170" i="129"/>
  <c r="A170" i="129"/>
  <c r="H169" i="129"/>
  <c r="G169" i="129"/>
  <c r="C169" i="129"/>
  <c r="A169" i="129"/>
  <c r="H168" i="129"/>
  <c r="G168" i="129"/>
  <c r="C168" i="129"/>
  <c r="A168" i="129"/>
  <c r="H167" i="129"/>
  <c r="G167" i="129"/>
  <c r="C167" i="129"/>
  <c r="A167" i="129"/>
  <c r="H166" i="129"/>
  <c r="G166" i="129"/>
  <c r="C166" i="129"/>
  <c r="A166" i="129"/>
  <c r="H165" i="129"/>
  <c r="G165" i="129"/>
  <c r="C165" i="129"/>
  <c r="A165" i="129"/>
  <c r="H164" i="129"/>
  <c r="G164" i="129"/>
  <c r="C164" i="129"/>
  <c r="A164" i="129"/>
  <c r="H163" i="129"/>
  <c r="G163" i="129"/>
  <c r="C163" i="129"/>
  <c r="A163" i="129"/>
  <c r="H162" i="129"/>
  <c r="G162" i="129"/>
  <c r="C162" i="129"/>
  <c r="A162" i="129"/>
  <c r="H161" i="129"/>
  <c r="G161" i="129"/>
  <c r="C161" i="129"/>
  <c r="A161" i="129"/>
  <c r="H160" i="129"/>
  <c r="G160" i="129"/>
  <c r="C160" i="129"/>
  <c r="A160" i="129"/>
  <c r="H159" i="129"/>
  <c r="G159" i="129"/>
  <c r="C159" i="129"/>
  <c r="A159" i="129"/>
  <c r="H158" i="129"/>
  <c r="G158" i="129"/>
  <c r="C158" i="129"/>
  <c r="A158" i="129"/>
  <c r="H157" i="129"/>
  <c r="G157" i="129"/>
  <c r="C157" i="129"/>
  <c r="A157" i="129"/>
  <c r="H156" i="129"/>
  <c r="G156" i="129"/>
  <c r="C156" i="129"/>
  <c r="A156" i="129"/>
  <c r="H155" i="129"/>
  <c r="G155" i="129"/>
  <c r="C155" i="129"/>
  <c r="A155" i="129"/>
  <c r="H154" i="129"/>
  <c r="G154" i="129"/>
  <c r="C154" i="129"/>
  <c r="A154" i="129"/>
  <c r="H153" i="129"/>
  <c r="G153" i="129"/>
  <c r="C153" i="129"/>
  <c r="A153" i="129"/>
  <c r="H152" i="129"/>
  <c r="G152" i="129"/>
  <c r="C152" i="129"/>
  <c r="A152" i="129"/>
  <c r="H151" i="129"/>
  <c r="G151" i="129"/>
  <c r="C151" i="129"/>
  <c r="A151" i="129"/>
  <c r="H150" i="129"/>
  <c r="G150" i="129"/>
  <c r="C150" i="129"/>
  <c r="A150" i="129"/>
  <c r="H149" i="129"/>
  <c r="G149" i="129"/>
  <c r="C149" i="129"/>
  <c r="A149" i="129"/>
  <c r="H148" i="129"/>
  <c r="G148" i="129"/>
  <c r="C148" i="129"/>
  <c r="A148" i="129"/>
  <c r="H147" i="129"/>
  <c r="G147" i="129"/>
  <c r="C147" i="129"/>
  <c r="A147" i="129"/>
  <c r="H146" i="129"/>
  <c r="G146" i="129"/>
  <c r="C146" i="129"/>
  <c r="A146" i="129"/>
  <c r="H145" i="129"/>
  <c r="G145" i="129"/>
  <c r="C145" i="129"/>
  <c r="A145" i="129"/>
  <c r="H144" i="129"/>
  <c r="G144" i="129"/>
  <c r="C144" i="129"/>
  <c r="A144" i="129"/>
  <c r="H143" i="129"/>
  <c r="G143" i="129"/>
  <c r="C143" i="129"/>
  <c r="A143" i="129"/>
  <c r="H142" i="129"/>
  <c r="G142" i="129"/>
  <c r="C142" i="129"/>
  <c r="A142" i="129"/>
  <c r="H141" i="129"/>
  <c r="G141" i="129"/>
  <c r="C141" i="129"/>
  <c r="A141" i="129"/>
  <c r="H140" i="129"/>
  <c r="G140" i="129"/>
  <c r="C140" i="129"/>
  <c r="A140" i="129"/>
  <c r="H139" i="129"/>
  <c r="G139" i="129"/>
  <c r="C139" i="129"/>
  <c r="A139" i="129"/>
  <c r="H138" i="129"/>
  <c r="G138" i="129"/>
  <c r="C138" i="129"/>
  <c r="A138" i="129"/>
  <c r="H137" i="129"/>
  <c r="G137" i="129"/>
  <c r="C137" i="129"/>
  <c r="A137" i="129"/>
  <c r="H136" i="129"/>
  <c r="G136" i="129"/>
  <c r="D136" i="129"/>
  <c r="C136" i="129"/>
  <c r="A136" i="129"/>
  <c r="H135" i="129"/>
  <c r="G135" i="129"/>
  <c r="D135" i="129"/>
  <c r="C135" i="129"/>
  <c r="A135" i="129"/>
  <c r="H134" i="129"/>
  <c r="G134" i="129"/>
  <c r="D134" i="129"/>
  <c r="C134" i="129"/>
  <c r="A134" i="129"/>
  <c r="H133" i="129"/>
  <c r="G133" i="129"/>
  <c r="D133" i="129"/>
  <c r="C133" i="129"/>
  <c r="A133" i="129"/>
  <c r="H132" i="129"/>
  <c r="G132" i="129"/>
  <c r="D132" i="129"/>
  <c r="C132" i="129"/>
  <c r="A132" i="129"/>
  <c r="H131" i="129"/>
  <c r="G131" i="129"/>
  <c r="D131" i="129"/>
  <c r="C131" i="129"/>
  <c r="A131" i="129"/>
  <c r="H130" i="129"/>
  <c r="G130" i="129"/>
  <c r="D130" i="129"/>
  <c r="C130" i="129"/>
  <c r="A130" i="129"/>
  <c r="H129" i="129"/>
  <c r="G129" i="129"/>
  <c r="D129" i="129"/>
  <c r="C129" i="129"/>
  <c r="A129" i="129"/>
  <c r="H128" i="129"/>
  <c r="G128" i="129"/>
  <c r="D128" i="129"/>
  <c r="C128" i="129"/>
  <c r="A128" i="129"/>
  <c r="H127" i="129"/>
  <c r="G127" i="129"/>
  <c r="D127" i="129"/>
  <c r="C127" i="129"/>
  <c r="A127" i="129"/>
  <c r="H126" i="129"/>
  <c r="G126" i="129"/>
  <c r="D126" i="129"/>
  <c r="C126" i="129"/>
  <c r="A126" i="129"/>
  <c r="H125" i="129"/>
  <c r="G125" i="129"/>
  <c r="D125" i="129"/>
  <c r="C125" i="129"/>
  <c r="A125" i="129"/>
  <c r="H124" i="129"/>
  <c r="G124" i="129"/>
  <c r="D124" i="129"/>
  <c r="C124" i="129"/>
  <c r="A124" i="129"/>
  <c r="H123" i="129"/>
  <c r="G123" i="129"/>
  <c r="D123" i="129"/>
  <c r="C123" i="129"/>
  <c r="A123" i="129"/>
  <c r="H122" i="129"/>
  <c r="G122" i="129"/>
  <c r="D122" i="129"/>
  <c r="C122" i="129"/>
  <c r="A122" i="129"/>
  <c r="H121" i="129"/>
  <c r="G121" i="129"/>
  <c r="D121" i="129"/>
  <c r="C121" i="129"/>
  <c r="A121" i="129"/>
  <c r="H120" i="129"/>
  <c r="G120" i="129"/>
  <c r="D120" i="129"/>
  <c r="C120" i="129"/>
  <c r="A120" i="129"/>
  <c r="H119" i="129"/>
  <c r="G119" i="129"/>
  <c r="D119" i="129"/>
  <c r="C119" i="129"/>
  <c r="A119" i="129"/>
  <c r="H118" i="129"/>
  <c r="G118" i="129"/>
  <c r="D118" i="129"/>
  <c r="C118" i="129"/>
  <c r="A118" i="129"/>
  <c r="H117" i="129"/>
  <c r="G117" i="129"/>
  <c r="D117" i="129"/>
  <c r="C117" i="129"/>
  <c r="A117" i="129"/>
  <c r="H116" i="129"/>
  <c r="G116" i="129"/>
  <c r="D116" i="129"/>
  <c r="C116" i="129"/>
  <c r="A116" i="129"/>
  <c r="H115" i="129"/>
  <c r="G115" i="129"/>
  <c r="D115" i="129"/>
  <c r="C115" i="129"/>
  <c r="A115" i="129"/>
  <c r="H114" i="129"/>
  <c r="G114" i="129"/>
  <c r="D114" i="129"/>
  <c r="C114" i="129"/>
  <c r="A114" i="129"/>
  <c r="H113" i="129"/>
  <c r="G113" i="129"/>
  <c r="D113" i="129"/>
  <c r="C113" i="129"/>
  <c r="A113" i="129"/>
  <c r="H112" i="129"/>
  <c r="G112" i="129"/>
  <c r="D112" i="129"/>
  <c r="C112" i="129"/>
  <c r="A112" i="129"/>
  <c r="H111" i="129"/>
  <c r="G111" i="129"/>
  <c r="D111" i="129"/>
  <c r="C111" i="129"/>
  <c r="A111" i="129"/>
  <c r="H110" i="129"/>
  <c r="G110" i="129"/>
  <c r="D110" i="129"/>
  <c r="C110" i="129"/>
  <c r="A110" i="129"/>
  <c r="H109" i="129"/>
  <c r="G109" i="129"/>
  <c r="D109" i="129"/>
  <c r="C109" i="129"/>
  <c r="A109" i="129"/>
  <c r="H108" i="129"/>
  <c r="G108" i="129"/>
  <c r="D108" i="129"/>
  <c r="C108" i="129"/>
  <c r="A108" i="129"/>
  <c r="H107" i="129"/>
  <c r="G107" i="129"/>
  <c r="F107" i="129"/>
  <c r="D107" i="129"/>
  <c r="C107" i="129"/>
  <c r="A107" i="129"/>
  <c r="H106" i="129"/>
  <c r="G106" i="129"/>
  <c r="F106" i="129"/>
  <c r="D106" i="129"/>
  <c r="C106" i="129"/>
  <c r="A106" i="129"/>
  <c r="H105" i="129"/>
  <c r="G105" i="129"/>
  <c r="C105" i="129"/>
  <c r="A105" i="129"/>
  <c r="H104" i="129"/>
  <c r="G104" i="129"/>
  <c r="C104" i="129"/>
  <c r="A104" i="129"/>
  <c r="H103" i="129"/>
  <c r="G103" i="129"/>
  <c r="C103" i="129"/>
  <c r="A103" i="129"/>
  <c r="H102" i="129"/>
  <c r="G102" i="129"/>
  <c r="C102" i="129"/>
  <c r="A102" i="129"/>
  <c r="H101" i="129"/>
  <c r="G101" i="129"/>
  <c r="C101" i="129"/>
  <c r="A101" i="129"/>
  <c r="H100" i="129"/>
  <c r="G100" i="129"/>
  <c r="C100" i="129"/>
  <c r="A100" i="129"/>
  <c r="H99" i="129"/>
  <c r="G99" i="129"/>
  <c r="C99" i="129"/>
  <c r="A99" i="129"/>
  <c r="H98" i="129"/>
  <c r="G98" i="129"/>
  <c r="C98" i="129"/>
  <c r="A98" i="129"/>
  <c r="H97" i="129"/>
  <c r="G97" i="129"/>
  <c r="C97" i="129"/>
  <c r="A97" i="129"/>
  <c r="H96" i="129"/>
  <c r="G96" i="129"/>
  <c r="C96" i="129"/>
  <c r="A96" i="129"/>
  <c r="H95" i="129"/>
  <c r="G95" i="129"/>
  <c r="C95" i="129"/>
  <c r="A95" i="129"/>
  <c r="H94" i="129"/>
  <c r="G94" i="129"/>
  <c r="C94" i="129"/>
  <c r="A94" i="129"/>
  <c r="H93" i="129"/>
  <c r="G93" i="129"/>
  <c r="C93" i="129"/>
  <c r="A93" i="129"/>
  <c r="H92" i="129"/>
  <c r="G92" i="129"/>
  <c r="C92" i="129"/>
  <c r="A92" i="129"/>
  <c r="H91" i="129"/>
  <c r="G91" i="129"/>
  <c r="C91" i="129"/>
  <c r="A91" i="129"/>
  <c r="H90" i="129"/>
  <c r="G90" i="129"/>
  <c r="C90" i="129"/>
  <c r="A90" i="129"/>
  <c r="H89" i="129"/>
  <c r="G89" i="129"/>
  <c r="C89" i="129"/>
  <c r="A89" i="129"/>
  <c r="H88" i="129"/>
  <c r="G88" i="129"/>
  <c r="C88" i="129"/>
  <c r="A88" i="129"/>
  <c r="H87" i="129"/>
  <c r="G87" i="129"/>
  <c r="C87" i="129"/>
  <c r="A87" i="129"/>
  <c r="H86" i="129"/>
  <c r="G86" i="129"/>
  <c r="C86" i="129"/>
  <c r="A86" i="129"/>
  <c r="H85" i="129"/>
  <c r="G85" i="129"/>
  <c r="C85" i="129"/>
  <c r="A85" i="129"/>
  <c r="H84" i="129"/>
  <c r="G84" i="129"/>
  <c r="C84" i="129"/>
  <c r="A84" i="129"/>
  <c r="H83" i="129"/>
  <c r="G83" i="129"/>
  <c r="C83" i="129"/>
  <c r="A83" i="129"/>
  <c r="H82" i="129"/>
  <c r="G82" i="129"/>
  <c r="C82" i="129"/>
  <c r="A82" i="129"/>
  <c r="H81" i="129"/>
  <c r="G81" i="129"/>
  <c r="C81" i="129"/>
  <c r="A81" i="129"/>
  <c r="H80" i="129"/>
  <c r="G80" i="129"/>
  <c r="C80" i="129"/>
  <c r="A80" i="129"/>
  <c r="H79" i="129"/>
  <c r="G79" i="129"/>
  <c r="C79" i="129"/>
  <c r="A79" i="129"/>
  <c r="H78" i="129"/>
  <c r="G78" i="129"/>
  <c r="C78" i="129"/>
  <c r="A78" i="129"/>
  <c r="H77" i="129"/>
  <c r="G77" i="129"/>
  <c r="C77" i="129"/>
  <c r="A77" i="129"/>
  <c r="H76" i="129"/>
  <c r="G76" i="129"/>
  <c r="C76" i="129"/>
  <c r="A76" i="129"/>
  <c r="H75" i="129"/>
  <c r="G75" i="129"/>
  <c r="C75" i="129"/>
  <c r="A75" i="129"/>
  <c r="H74" i="129"/>
  <c r="G74" i="129"/>
  <c r="C74" i="129"/>
  <c r="A74" i="129"/>
  <c r="H73" i="129"/>
  <c r="G73" i="129"/>
  <c r="C73" i="129"/>
  <c r="A73" i="129"/>
  <c r="H72" i="129"/>
  <c r="G72" i="129"/>
  <c r="C72" i="129"/>
  <c r="A72" i="129"/>
  <c r="H71" i="129"/>
  <c r="G71" i="129"/>
  <c r="C71" i="129"/>
  <c r="A71" i="129"/>
  <c r="H70" i="129"/>
  <c r="G70" i="129"/>
  <c r="C70" i="129"/>
  <c r="A70" i="129"/>
  <c r="H69" i="129"/>
  <c r="G69" i="129"/>
  <c r="C69" i="129"/>
  <c r="A69" i="129"/>
  <c r="H68" i="129"/>
  <c r="G68" i="129"/>
  <c r="C68" i="129"/>
  <c r="A68" i="129"/>
  <c r="H67" i="129"/>
  <c r="G67" i="129"/>
  <c r="C67" i="129"/>
  <c r="A67" i="129"/>
  <c r="H66" i="129"/>
  <c r="G66" i="129"/>
  <c r="C66" i="129"/>
  <c r="A66" i="129"/>
  <c r="H65" i="129"/>
  <c r="G65" i="129"/>
  <c r="C65" i="129"/>
  <c r="A65" i="129"/>
  <c r="H64" i="129"/>
  <c r="G64" i="129"/>
  <c r="C64" i="129"/>
  <c r="A64" i="129"/>
  <c r="H63" i="129"/>
  <c r="G63" i="129"/>
  <c r="C63" i="129"/>
  <c r="A63" i="129"/>
  <c r="H62" i="129"/>
  <c r="G62" i="129"/>
  <c r="C62" i="129"/>
  <c r="A62" i="129"/>
  <c r="H61" i="129"/>
  <c r="G61" i="129"/>
  <c r="C61" i="129"/>
  <c r="A61" i="129"/>
  <c r="H60" i="129"/>
  <c r="G60" i="129"/>
  <c r="C60" i="129"/>
  <c r="A60" i="129"/>
  <c r="H59" i="129"/>
  <c r="G59" i="129"/>
  <c r="C59" i="129"/>
  <c r="A59" i="129"/>
  <c r="H58" i="129"/>
  <c r="G58" i="129"/>
  <c r="C58" i="129"/>
  <c r="A58" i="129"/>
  <c r="H57" i="129"/>
  <c r="G57" i="129"/>
  <c r="C57" i="129"/>
  <c r="A57" i="129"/>
  <c r="H56" i="129"/>
  <c r="G56" i="129"/>
  <c r="C56" i="129"/>
  <c r="A56" i="129"/>
  <c r="H55" i="129"/>
  <c r="G55" i="129"/>
  <c r="C55" i="129"/>
  <c r="A55" i="129"/>
  <c r="H54" i="129"/>
  <c r="G54" i="129"/>
  <c r="C54" i="129"/>
  <c r="A54" i="129"/>
  <c r="H53" i="129"/>
  <c r="G53" i="129"/>
  <c r="C53" i="129"/>
  <c r="A53" i="129"/>
  <c r="H52" i="129"/>
  <c r="G52" i="129"/>
  <c r="C52" i="129"/>
  <c r="A52" i="129"/>
  <c r="H51" i="129"/>
  <c r="G51" i="129"/>
  <c r="C51" i="129"/>
  <c r="A51" i="129"/>
  <c r="H50" i="129"/>
  <c r="G50" i="129"/>
  <c r="C50" i="129"/>
  <c r="A50" i="129"/>
  <c r="H49" i="129"/>
  <c r="G49" i="129"/>
  <c r="C49" i="129"/>
  <c r="A49" i="129"/>
  <c r="H48" i="129"/>
  <c r="G48" i="129"/>
  <c r="C48" i="129"/>
  <c r="A48" i="129"/>
  <c r="H47" i="129"/>
  <c r="G47" i="129"/>
  <c r="C47" i="129"/>
  <c r="A47" i="129"/>
  <c r="H46" i="129"/>
  <c r="G46" i="129"/>
  <c r="C46" i="129"/>
  <c r="A46" i="129"/>
  <c r="H45" i="129"/>
  <c r="G45" i="129"/>
  <c r="C45" i="129"/>
  <c r="A45" i="129"/>
  <c r="H44" i="129"/>
  <c r="G44" i="129"/>
  <c r="C44" i="129"/>
  <c r="A44" i="129"/>
  <c r="H43" i="129"/>
  <c r="G43" i="129"/>
  <c r="C43" i="129"/>
  <c r="A43" i="129"/>
  <c r="H42" i="129"/>
  <c r="G42" i="129"/>
  <c r="C42" i="129"/>
  <c r="A42" i="129"/>
  <c r="H41" i="129"/>
  <c r="G41" i="129"/>
  <c r="C41" i="129"/>
  <c r="A41" i="129"/>
  <c r="H40" i="129"/>
  <c r="G40" i="129"/>
  <c r="C40" i="129"/>
  <c r="A40" i="129"/>
  <c r="H39" i="129"/>
  <c r="G39" i="129"/>
  <c r="C39" i="129"/>
  <c r="A39" i="129"/>
  <c r="H38" i="129"/>
  <c r="G38" i="129"/>
  <c r="C38" i="129"/>
  <c r="A38" i="129"/>
  <c r="H37" i="129"/>
  <c r="G37" i="129"/>
  <c r="C37" i="129"/>
  <c r="A37" i="129"/>
  <c r="H36" i="129"/>
  <c r="G36" i="129"/>
  <c r="C36" i="129"/>
  <c r="A36" i="129"/>
  <c r="H35" i="129"/>
  <c r="G35" i="129"/>
  <c r="C35" i="129"/>
  <c r="A35" i="129"/>
  <c r="H34" i="129"/>
  <c r="G34" i="129"/>
  <c r="C34" i="129"/>
  <c r="A34" i="129"/>
  <c r="H33" i="129"/>
  <c r="G33" i="129"/>
  <c r="C33" i="129"/>
  <c r="A33" i="129"/>
  <c r="H32" i="129"/>
  <c r="G32" i="129"/>
  <c r="C32" i="129"/>
  <c r="A32" i="129"/>
  <c r="H31" i="129"/>
  <c r="G31" i="129"/>
  <c r="C31" i="129"/>
  <c r="A31" i="129"/>
  <c r="H30" i="129"/>
  <c r="G30" i="129"/>
  <c r="C30" i="129"/>
  <c r="A30" i="129"/>
  <c r="H29" i="129"/>
  <c r="G29" i="129"/>
  <c r="C29" i="129"/>
  <c r="A29" i="129"/>
  <c r="H28" i="129"/>
  <c r="G28" i="129"/>
  <c r="D28" i="129"/>
  <c r="C28" i="129"/>
  <c r="A28" i="129"/>
  <c r="H27" i="129"/>
  <c r="G27" i="129"/>
  <c r="D27" i="129"/>
  <c r="C27" i="129"/>
  <c r="A27" i="129"/>
  <c r="H26" i="129"/>
  <c r="G26" i="129"/>
  <c r="D26" i="129"/>
  <c r="C26" i="129"/>
  <c r="A26" i="129"/>
  <c r="H25" i="129"/>
  <c r="G25" i="129"/>
  <c r="D25" i="129"/>
  <c r="C25" i="129"/>
  <c r="A25" i="129"/>
  <c r="H24" i="129"/>
  <c r="G24" i="129"/>
  <c r="D24" i="129"/>
  <c r="C24" i="129"/>
  <c r="A24" i="129"/>
  <c r="H23" i="129"/>
  <c r="G23" i="129"/>
  <c r="D23" i="129"/>
  <c r="C23" i="129"/>
  <c r="A23" i="129"/>
  <c r="H22" i="129"/>
  <c r="G22" i="129"/>
  <c r="D22" i="129"/>
  <c r="C22" i="129"/>
  <c r="A22" i="129"/>
  <c r="H21" i="129"/>
  <c r="G21" i="129"/>
  <c r="D21" i="129"/>
  <c r="C21" i="129"/>
  <c r="A21" i="129"/>
  <c r="H20" i="129"/>
  <c r="G20" i="129"/>
  <c r="D20" i="129"/>
  <c r="C20" i="129"/>
  <c r="A20" i="129"/>
  <c r="H19" i="129"/>
  <c r="G19" i="129"/>
  <c r="D19" i="129"/>
  <c r="C19" i="129"/>
  <c r="A19" i="129"/>
  <c r="H18" i="129"/>
  <c r="G18" i="129"/>
  <c r="D18" i="129"/>
  <c r="C18" i="129"/>
  <c r="A18" i="129"/>
  <c r="H17" i="129"/>
  <c r="G17" i="129"/>
  <c r="D17" i="129"/>
  <c r="C17" i="129"/>
  <c r="A17" i="129"/>
  <c r="H16" i="129"/>
  <c r="G16" i="129"/>
  <c r="D16" i="129"/>
  <c r="C16" i="129"/>
  <c r="A16" i="129"/>
  <c r="H15" i="129"/>
  <c r="G15" i="129"/>
  <c r="D15" i="129"/>
  <c r="C15" i="129"/>
  <c r="A15" i="129"/>
  <c r="H14" i="129"/>
  <c r="G14" i="129"/>
  <c r="D14" i="129"/>
  <c r="C14" i="129"/>
  <c r="A14" i="129"/>
  <c r="H13" i="129"/>
  <c r="G13" i="129"/>
  <c r="D13" i="129"/>
  <c r="C13" i="129"/>
  <c r="A13" i="129"/>
  <c r="H12" i="129"/>
  <c r="G12" i="129"/>
  <c r="D12" i="129"/>
  <c r="C12" i="129"/>
  <c r="A12" i="129"/>
  <c r="H11" i="129"/>
  <c r="G11" i="129"/>
  <c r="D11" i="129"/>
  <c r="C11" i="129"/>
  <c r="A11" i="129"/>
  <c r="H10" i="129"/>
  <c r="G10" i="129"/>
  <c r="D10" i="129"/>
  <c r="C10" i="129"/>
  <c r="A10" i="129"/>
  <c r="H9" i="129"/>
  <c r="G9" i="129"/>
  <c r="D9" i="129"/>
  <c r="C9" i="129"/>
  <c r="A9" i="129"/>
  <c r="H8" i="129"/>
  <c r="G8" i="129"/>
  <c r="D8" i="129"/>
  <c r="C8" i="129"/>
  <c r="A8" i="129"/>
  <c r="H7" i="129"/>
  <c r="G7" i="129"/>
  <c r="D7" i="129"/>
  <c r="C7" i="129"/>
  <c r="A7" i="129"/>
  <c r="H6" i="129"/>
  <c r="G6" i="129"/>
  <c r="D6" i="129"/>
  <c r="C6" i="129"/>
  <c r="A6" i="129"/>
  <c r="H5" i="129"/>
  <c r="G5" i="129"/>
  <c r="D5" i="129"/>
  <c r="C5" i="129"/>
  <c r="A5" i="129"/>
  <c r="H4" i="129"/>
  <c r="G4" i="129"/>
  <c r="D4" i="129"/>
  <c r="C4" i="129"/>
  <c r="A4" i="129"/>
  <c r="H3" i="129"/>
  <c r="G3" i="129"/>
  <c r="D3" i="129"/>
  <c r="C3" i="129"/>
  <c r="A3" i="129"/>
  <c r="B76" i="128"/>
  <c r="B75" i="128"/>
  <c r="B74" i="128"/>
  <c r="B73" i="128"/>
  <c r="B72" i="128"/>
  <c r="B71" i="128"/>
  <c r="B70" i="128"/>
  <c r="B69" i="128"/>
  <c r="B68" i="128"/>
  <c r="B67" i="128"/>
  <c r="B66" i="128"/>
  <c r="B65" i="128"/>
  <c r="B64" i="128"/>
  <c r="B63" i="128"/>
  <c r="K62" i="128"/>
  <c r="J62" i="128"/>
  <c r="B62" i="128"/>
  <c r="K61" i="128"/>
  <c r="J61" i="128"/>
  <c r="B61" i="128"/>
  <c r="K60" i="128"/>
  <c r="J60" i="128"/>
  <c r="B60" i="128"/>
  <c r="K59" i="128"/>
  <c r="J59" i="128"/>
  <c r="B59" i="128"/>
  <c r="K58" i="128"/>
  <c r="J58" i="128"/>
  <c r="B58" i="128"/>
  <c r="K57" i="128"/>
  <c r="J57" i="128"/>
  <c r="B57" i="128"/>
  <c r="K56" i="128"/>
  <c r="J56" i="128"/>
  <c r="B56" i="128"/>
  <c r="K55" i="128"/>
  <c r="J55" i="128"/>
  <c r="B55" i="128"/>
  <c r="K54" i="128"/>
  <c r="J54" i="128"/>
  <c r="B54" i="128"/>
  <c r="K53" i="128"/>
  <c r="J53" i="128"/>
  <c r="B53" i="128"/>
  <c r="K52" i="128"/>
  <c r="J52" i="128"/>
  <c r="B52" i="128"/>
  <c r="K51" i="128"/>
  <c r="J51" i="128"/>
  <c r="B51" i="128"/>
  <c r="K50" i="128"/>
  <c r="J50" i="128"/>
  <c r="B50" i="128"/>
  <c r="K49" i="128"/>
  <c r="J49" i="128"/>
  <c r="B49" i="128"/>
  <c r="K48" i="128"/>
  <c r="J48" i="128"/>
  <c r="B48" i="128"/>
  <c r="K47" i="128"/>
  <c r="J47" i="128"/>
  <c r="B47" i="128"/>
  <c r="K46" i="128"/>
  <c r="J46" i="128"/>
  <c r="B46" i="128"/>
  <c r="K45" i="128"/>
  <c r="J45" i="128"/>
  <c r="B45" i="128"/>
  <c r="K44" i="128"/>
  <c r="J44" i="128"/>
  <c r="B44" i="128"/>
  <c r="K43" i="128"/>
  <c r="J43" i="128"/>
  <c r="B43" i="128"/>
  <c r="K42" i="128"/>
  <c r="J42" i="128"/>
  <c r="B42" i="128"/>
  <c r="K41" i="128"/>
  <c r="J41" i="128"/>
  <c r="B41" i="128"/>
  <c r="K40" i="128"/>
  <c r="J40" i="128"/>
  <c r="B40" i="128"/>
  <c r="K39" i="128"/>
  <c r="J39" i="128"/>
  <c r="B39" i="128"/>
  <c r="K38" i="128"/>
  <c r="J38" i="128"/>
  <c r="B38" i="128"/>
  <c r="K37" i="128"/>
  <c r="B37" i="128"/>
  <c r="K36" i="128"/>
  <c r="J36" i="128"/>
  <c r="B36" i="128"/>
  <c r="K35" i="128"/>
  <c r="J35" i="128"/>
  <c r="B35" i="128"/>
  <c r="K34" i="128"/>
  <c r="J34" i="128"/>
  <c r="B34" i="128"/>
  <c r="K33" i="128"/>
  <c r="J33" i="128"/>
  <c r="B33" i="128"/>
  <c r="K32" i="128"/>
  <c r="J32" i="128"/>
  <c r="B32" i="128"/>
  <c r="K31" i="128"/>
  <c r="J31" i="128"/>
  <c r="B31" i="128"/>
  <c r="K30" i="128"/>
  <c r="J30" i="128"/>
  <c r="B30" i="128"/>
  <c r="K29" i="128"/>
  <c r="J29" i="128"/>
  <c r="B29" i="128"/>
  <c r="K28" i="128"/>
  <c r="J28" i="128"/>
  <c r="B28" i="128"/>
  <c r="K27" i="128"/>
  <c r="J27" i="128"/>
  <c r="B27" i="128"/>
  <c r="K26" i="128"/>
  <c r="J26" i="128"/>
  <c r="B26" i="128"/>
  <c r="K25" i="128"/>
  <c r="J25" i="128"/>
  <c r="B25" i="128"/>
  <c r="K24" i="128"/>
  <c r="J24" i="128"/>
  <c r="B24" i="128"/>
  <c r="K23" i="128"/>
  <c r="J23" i="128"/>
  <c r="B23" i="128"/>
  <c r="K22" i="128"/>
  <c r="J22" i="128"/>
  <c r="B22" i="128"/>
  <c r="K21" i="128"/>
  <c r="J21" i="128"/>
  <c r="B21" i="128"/>
  <c r="K20" i="128"/>
  <c r="J20" i="128"/>
  <c r="B20" i="128"/>
  <c r="K19" i="128"/>
  <c r="J19" i="128"/>
  <c r="B19" i="128"/>
  <c r="K18" i="128"/>
  <c r="J18" i="128"/>
  <c r="B18" i="128"/>
  <c r="K17" i="128"/>
  <c r="J17" i="128"/>
  <c r="B17" i="128"/>
  <c r="K16" i="128"/>
  <c r="J16" i="128"/>
  <c r="B16" i="128"/>
  <c r="K15" i="128"/>
  <c r="J15" i="128"/>
  <c r="B15" i="128"/>
  <c r="K14" i="128"/>
  <c r="J14" i="128"/>
  <c r="B14" i="128"/>
  <c r="L13" i="128"/>
  <c r="K13" i="128"/>
  <c r="J13" i="128"/>
  <c r="B13" i="128"/>
  <c r="J12" i="128"/>
  <c r="B12" i="128"/>
  <c r="B11" i="128"/>
  <c r="B10" i="128"/>
  <c r="B9" i="128"/>
  <c r="B8" i="128"/>
  <c r="B7" i="128"/>
  <c r="B6" i="128"/>
  <c r="B5" i="128"/>
  <c r="B4" i="128"/>
  <c r="D362" i="127"/>
  <c r="C362" i="127"/>
  <c r="D361" i="127"/>
  <c r="C361" i="127"/>
  <c r="D360" i="127"/>
  <c r="C360" i="127"/>
  <c r="D359" i="127"/>
  <c r="C359" i="127"/>
  <c r="D358" i="127"/>
  <c r="C358" i="127"/>
  <c r="D357" i="127"/>
  <c r="C357" i="127"/>
  <c r="D356" i="127"/>
  <c r="C356" i="127"/>
  <c r="D355" i="127"/>
  <c r="C355" i="127"/>
  <c r="D354" i="127"/>
  <c r="C354" i="127"/>
  <c r="D353" i="127"/>
  <c r="C353" i="127"/>
  <c r="D352" i="127"/>
  <c r="C352" i="127"/>
  <c r="D351" i="127"/>
  <c r="C351" i="127"/>
  <c r="D350" i="127"/>
  <c r="C350" i="127"/>
  <c r="D349" i="127"/>
  <c r="C349" i="127"/>
  <c r="D348" i="127"/>
  <c r="C348" i="127"/>
  <c r="D347" i="127"/>
  <c r="C347" i="127"/>
  <c r="D346" i="127"/>
  <c r="C346" i="127"/>
  <c r="D345" i="127"/>
  <c r="C345" i="127"/>
  <c r="D344" i="127"/>
  <c r="C344" i="127"/>
  <c r="D343" i="127"/>
  <c r="C343" i="127"/>
  <c r="D342" i="127"/>
  <c r="C342" i="127"/>
  <c r="D341" i="127"/>
  <c r="C341" i="127"/>
  <c r="D340" i="127"/>
  <c r="C340" i="127"/>
  <c r="D339" i="127"/>
  <c r="C339" i="127"/>
  <c r="D338" i="127"/>
  <c r="C338" i="127"/>
  <c r="D337" i="127"/>
  <c r="C337" i="127"/>
  <c r="D336" i="127"/>
  <c r="C336" i="127"/>
  <c r="D335" i="127"/>
  <c r="C335" i="127"/>
  <c r="D334" i="127"/>
  <c r="C334" i="127"/>
  <c r="D333" i="127"/>
  <c r="C333" i="127"/>
  <c r="D332" i="127"/>
  <c r="C332" i="127"/>
  <c r="D331" i="127"/>
  <c r="C331" i="127"/>
  <c r="D330" i="127"/>
  <c r="C330" i="127"/>
  <c r="D329" i="127"/>
  <c r="C329" i="127"/>
  <c r="D328" i="127"/>
  <c r="C328" i="127"/>
  <c r="D327" i="127"/>
  <c r="C327" i="127"/>
  <c r="D326" i="127"/>
  <c r="C326" i="127"/>
  <c r="D325" i="127"/>
  <c r="C325" i="127"/>
  <c r="D324" i="127"/>
  <c r="C324" i="127"/>
  <c r="D323" i="127"/>
  <c r="C323" i="127"/>
  <c r="D322" i="127"/>
  <c r="C322" i="127"/>
  <c r="D321" i="127"/>
  <c r="C321" i="127"/>
  <c r="D320" i="127"/>
  <c r="C320" i="127"/>
  <c r="D319" i="127"/>
  <c r="C319" i="127"/>
  <c r="D318" i="127"/>
  <c r="C318" i="127"/>
  <c r="D317" i="127"/>
  <c r="C317" i="127"/>
  <c r="D316" i="127"/>
  <c r="C316" i="127"/>
  <c r="D315" i="127"/>
  <c r="C315" i="127"/>
  <c r="D314" i="127"/>
  <c r="C314" i="127"/>
  <c r="D313" i="127"/>
  <c r="C313" i="127"/>
  <c r="D312" i="127"/>
  <c r="C312" i="127"/>
  <c r="D311" i="127"/>
  <c r="C311" i="127"/>
  <c r="D310" i="127"/>
  <c r="C310" i="127"/>
  <c r="D309" i="127"/>
  <c r="C309" i="127"/>
  <c r="D308" i="127"/>
  <c r="C308" i="127"/>
  <c r="D307" i="127"/>
  <c r="C307" i="127"/>
  <c r="D306" i="127"/>
  <c r="C306" i="127"/>
  <c r="D305" i="127"/>
  <c r="C305" i="127"/>
  <c r="D304" i="127"/>
  <c r="C304" i="127"/>
  <c r="D303" i="127"/>
  <c r="C303" i="127"/>
  <c r="D302" i="127"/>
  <c r="C302" i="127"/>
  <c r="D301" i="127"/>
  <c r="C301" i="127"/>
  <c r="D300" i="127"/>
  <c r="C300" i="127"/>
  <c r="D299" i="127"/>
  <c r="C299" i="127"/>
  <c r="D298" i="127"/>
  <c r="C298" i="127"/>
  <c r="D297" i="127"/>
  <c r="C297" i="127"/>
  <c r="D296" i="127"/>
  <c r="C296" i="127"/>
  <c r="D295" i="127"/>
  <c r="C295" i="127"/>
  <c r="D294" i="127"/>
  <c r="C294" i="127"/>
  <c r="D293" i="127"/>
  <c r="C293" i="127"/>
  <c r="D292" i="127"/>
  <c r="C292" i="127"/>
  <c r="D291" i="127"/>
  <c r="C291" i="127"/>
  <c r="D290" i="127"/>
  <c r="C290" i="127"/>
  <c r="D289" i="127"/>
  <c r="C289" i="127"/>
  <c r="D288" i="127"/>
  <c r="C288" i="127"/>
  <c r="D287" i="127"/>
  <c r="C287" i="127"/>
  <c r="D286" i="127"/>
  <c r="C286" i="127"/>
  <c r="D285" i="127"/>
  <c r="C285" i="127"/>
  <c r="D284" i="127"/>
  <c r="C284" i="127"/>
  <c r="D283" i="127"/>
  <c r="C283" i="127"/>
  <c r="D282" i="127"/>
  <c r="C282" i="127"/>
  <c r="D281" i="127"/>
  <c r="C281" i="127"/>
  <c r="D280" i="127"/>
  <c r="C280" i="127"/>
  <c r="D279" i="127"/>
  <c r="C279" i="127"/>
  <c r="D278" i="127"/>
  <c r="C278" i="127"/>
  <c r="D277" i="127"/>
  <c r="C277" i="127"/>
  <c r="D276" i="127"/>
  <c r="C276" i="127"/>
  <c r="D275" i="127"/>
  <c r="C275" i="127"/>
  <c r="D274" i="127"/>
  <c r="C274" i="127"/>
  <c r="D273" i="127"/>
  <c r="C273" i="127"/>
  <c r="D272" i="127"/>
  <c r="C272" i="127"/>
  <c r="D271" i="127"/>
  <c r="C271" i="127"/>
  <c r="D270" i="127"/>
  <c r="C270" i="127"/>
  <c r="D269" i="127"/>
  <c r="C269" i="127"/>
  <c r="D268" i="127"/>
  <c r="C268" i="127"/>
  <c r="D267" i="127"/>
  <c r="C267" i="127"/>
  <c r="D266" i="127"/>
  <c r="C266" i="127"/>
  <c r="D265" i="127"/>
  <c r="C265" i="127"/>
  <c r="D264" i="127"/>
  <c r="C264" i="127"/>
  <c r="D263" i="127"/>
  <c r="C263" i="127"/>
  <c r="D262" i="127"/>
  <c r="C262" i="127"/>
  <c r="D261" i="127"/>
  <c r="C261" i="127"/>
  <c r="D260" i="127"/>
  <c r="C260" i="127"/>
  <c r="D259" i="127"/>
  <c r="C259" i="127"/>
  <c r="D258" i="127"/>
  <c r="C258" i="127"/>
  <c r="D257" i="127"/>
  <c r="C257" i="127"/>
  <c r="D256" i="127"/>
  <c r="C256" i="127"/>
  <c r="D255" i="127"/>
  <c r="C255" i="127"/>
  <c r="D254" i="127"/>
  <c r="C254" i="127"/>
  <c r="D253" i="127"/>
  <c r="C253" i="127"/>
  <c r="D252" i="127"/>
  <c r="C252" i="127"/>
  <c r="D251" i="127"/>
  <c r="C251" i="127"/>
  <c r="D250" i="127"/>
  <c r="C250" i="127"/>
  <c r="D249" i="127"/>
  <c r="C249" i="127"/>
  <c r="D248" i="127"/>
  <c r="C248" i="127"/>
  <c r="D247" i="127"/>
  <c r="C247" i="127"/>
  <c r="D246" i="127"/>
  <c r="C246" i="127"/>
  <c r="D245" i="127"/>
  <c r="C245" i="127"/>
  <c r="D244" i="127"/>
  <c r="C244" i="127"/>
  <c r="D243" i="127"/>
  <c r="C243" i="127"/>
  <c r="D242" i="127"/>
  <c r="C242" i="127"/>
  <c r="B242" i="127"/>
  <c r="D241" i="127"/>
  <c r="C241" i="127"/>
  <c r="B241" i="127"/>
  <c r="D240" i="127"/>
  <c r="C240" i="127"/>
  <c r="B240" i="127"/>
  <c r="D239" i="127"/>
  <c r="C239" i="127"/>
  <c r="B239" i="127"/>
  <c r="D238" i="127"/>
  <c r="C238" i="127"/>
  <c r="B238" i="127"/>
  <c r="D237" i="127"/>
  <c r="C237" i="127"/>
  <c r="B237" i="127"/>
  <c r="D236" i="127"/>
  <c r="C236" i="127"/>
  <c r="B236" i="127"/>
  <c r="D235" i="127"/>
  <c r="C235" i="127"/>
  <c r="B235" i="127"/>
  <c r="D234" i="127"/>
  <c r="C234" i="127"/>
  <c r="B234" i="127"/>
  <c r="D233" i="127"/>
  <c r="C233" i="127"/>
  <c r="B233" i="127"/>
  <c r="D232" i="127"/>
  <c r="C232" i="127"/>
  <c r="B232" i="127"/>
  <c r="D231" i="127"/>
  <c r="C231" i="127"/>
  <c r="B231" i="127"/>
  <c r="D230" i="127"/>
  <c r="C230" i="127"/>
  <c r="B230" i="127"/>
  <c r="D229" i="127"/>
  <c r="C229" i="127"/>
  <c r="B229" i="127"/>
  <c r="D228" i="127"/>
  <c r="C228" i="127"/>
  <c r="B228" i="127"/>
  <c r="D227" i="127"/>
  <c r="C227" i="127"/>
  <c r="B227" i="127"/>
  <c r="D226" i="127"/>
  <c r="C226" i="127"/>
  <c r="B226" i="127"/>
  <c r="D225" i="127"/>
  <c r="C225" i="127"/>
  <c r="B225" i="127"/>
  <c r="D224" i="127"/>
  <c r="C224" i="127"/>
  <c r="B224" i="127"/>
  <c r="D223" i="127"/>
  <c r="C223" i="127"/>
  <c r="B223" i="127"/>
  <c r="D222" i="127"/>
  <c r="C222" i="127"/>
  <c r="B222" i="127"/>
  <c r="D221" i="127"/>
  <c r="C221" i="127"/>
  <c r="B221" i="127"/>
  <c r="D220" i="127"/>
  <c r="C220" i="127"/>
  <c r="B220" i="127"/>
  <c r="D219" i="127"/>
  <c r="C219" i="127"/>
  <c r="B219" i="127"/>
  <c r="D218" i="127"/>
  <c r="C218" i="127"/>
  <c r="B218" i="127"/>
  <c r="D217" i="127"/>
  <c r="C217" i="127"/>
  <c r="B217" i="127"/>
  <c r="D216" i="127"/>
  <c r="C216" i="127"/>
  <c r="B216" i="127"/>
  <c r="D215" i="127"/>
  <c r="C215" i="127"/>
  <c r="B215" i="127"/>
  <c r="D214" i="127"/>
  <c r="C214" i="127"/>
  <c r="B214" i="127"/>
  <c r="D213" i="127"/>
  <c r="C213" i="127"/>
  <c r="B213" i="127"/>
  <c r="D212" i="127"/>
  <c r="C212" i="127"/>
  <c r="B212" i="127"/>
  <c r="D211" i="127"/>
  <c r="C211" i="127"/>
  <c r="B211" i="127"/>
  <c r="D210" i="127"/>
  <c r="C210" i="127"/>
  <c r="B210" i="127"/>
  <c r="D209" i="127"/>
  <c r="C209" i="127"/>
  <c r="B209" i="127"/>
  <c r="D208" i="127"/>
  <c r="C208" i="127"/>
  <c r="B208" i="127"/>
  <c r="D207" i="127"/>
  <c r="C207" i="127"/>
  <c r="B207" i="127"/>
  <c r="D206" i="127"/>
  <c r="C206" i="127"/>
  <c r="B206" i="127"/>
  <c r="D205" i="127"/>
  <c r="C205" i="127"/>
  <c r="B205" i="127"/>
  <c r="D204" i="127"/>
  <c r="C204" i="127"/>
  <c r="B204" i="127"/>
  <c r="D203" i="127"/>
  <c r="C203" i="127"/>
  <c r="B203" i="127"/>
  <c r="D202" i="127"/>
  <c r="C202" i="127"/>
  <c r="B202" i="127"/>
  <c r="D201" i="127"/>
  <c r="C201" i="127"/>
  <c r="B201" i="127"/>
  <c r="D200" i="127"/>
  <c r="C200" i="127"/>
  <c r="B200" i="127"/>
  <c r="D199" i="127"/>
  <c r="C199" i="127"/>
  <c r="B199" i="127"/>
  <c r="D198" i="127"/>
  <c r="C198" i="127"/>
  <c r="B198" i="127"/>
  <c r="D197" i="127"/>
  <c r="C197" i="127"/>
  <c r="B197" i="127"/>
  <c r="D196" i="127"/>
  <c r="C196" i="127"/>
  <c r="B196" i="127"/>
  <c r="D195" i="127"/>
  <c r="C195" i="127"/>
  <c r="B195" i="127"/>
  <c r="D194" i="127"/>
  <c r="C194" i="127"/>
  <c r="B194" i="127"/>
  <c r="D193" i="127"/>
  <c r="C193" i="127"/>
  <c r="B193" i="127"/>
  <c r="D192" i="127"/>
  <c r="C192" i="127"/>
  <c r="B192" i="127"/>
  <c r="D191" i="127"/>
  <c r="C191" i="127"/>
  <c r="B191" i="127"/>
  <c r="D190" i="127"/>
  <c r="C190" i="127"/>
  <c r="B190" i="127"/>
  <c r="D189" i="127"/>
  <c r="C189" i="127"/>
  <c r="B189" i="127"/>
  <c r="D188" i="127"/>
  <c r="C188" i="127"/>
  <c r="B188" i="127"/>
  <c r="D187" i="127"/>
  <c r="C187" i="127"/>
  <c r="B187" i="127"/>
  <c r="D186" i="127"/>
  <c r="C186" i="127"/>
  <c r="B186" i="127"/>
  <c r="D185" i="127"/>
  <c r="C185" i="127"/>
  <c r="B185" i="127"/>
  <c r="D184" i="127"/>
  <c r="C184" i="127"/>
  <c r="B184" i="127"/>
  <c r="D183" i="127"/>
  <c r="C183" i="127"/>
  <c r="B183" i="127"/>
  <c r="D182" i="127"/>
  <c r="C182" i="127"/>
  <c r="D181" i="127"/>
  <c r="C181" i="127"/>
  <c r="D180" i="127"/>
  <c r="C180" i="127"/>
  <c r="D179" i="127"/>
  <c r="C179" i="127"/>
  <c r="D178" i="127"/>
  <c r="C178" i="127"/>
  <c r="D177" i="127"/>
  <c r="C177" i="127"/>
  <c r="D176" i="127"/>
  <c r="C176" i="127"/>
  <c r="D175" i="127"/>
  <c r="C175" i="127"/>
  <c r="D174" i="127"/>
  <c r="C174" i="127"/>
  <c r="D173" i="127"/>
  <c r="C173" i="127"/>
  <c r="D172" i="127"/>
  <c r="C172" i="127"/>
  <c r="D171" i="127"/>
  <c r="C171" i="127"/>
  <c r="D170" i="127"/>
  <c r="C170" i="127"/>
  <c r="D169" i="127"/>
  <c r="C169" i="127"/>
  <c r="D168" i="127"/>
  <c r="C168" i="127"/>
  <c r="D167" i="127"/>
  <c r="C167" i="127"/>
  <c r="D166" i="127"/>
  <c r="C166" i="127"/>
  <c r="D165" i="127"/>
  <c r="C165" i="127"/>
  <c r="D164" i="127"/>
  <c r="C164" i="127"/>
  <c r="D163" i="127"/>
  <c r="C163" i="127"/>
  <c r="D162" i="127"/>
  <c r="C162" i="127"/>
  <c r="D161" i="127"/>
  <c r="C161" i="127"/>
  <c r="D160" i="127"/>
  <c r="C160" i="127"/>
  <c r="D159" i="127"/>
  <c r="C159" i="127"/>
  <c r="D158" i="127"/>
  <c r="C158" i="127"/>
  <c r="D157" i="127"/>
  <c r="C157" i="127"/>
  <c r="D156" i="127"/>
  <c r="C156" i="127"/>
  <c r="D155" i="127"/>
  <c r="C155" i="127"/>
  <c r="D154" i="127"/>
  <c r="C154" i="127"/>
  <c r="D153" i="127"/>
  <c r="C153" i="127"/>
  <c r="D152" i="127"/>
  <c r="C152" i="127"/>
  <c r="D151" i="127"/>
  <c r="C151" i="127"/>
  <c r="D150" i="127"/>
  <c r="C150" i="127"/>
  <c r="D149" i="127"/>
  <c r="C149" i="127"/>
  <c r="D148" i="127"/>
  <c r="C148" i="127"/>
  <c r="D147" i="127"/>
  <c r="C147" i="127"/>
  <c r="D146" i="127"/>
  <c r="C146" i="127"/>
  <c r="D145" i="127"/>
  <c r="C145" i="127"/>
  <c r="D144" i="127"/>
  <c r="C144" i="127"/>
  <c r="D143" i="127"/>
  <c r="C143" i="127"/>
  <c r="D142" i="127"/>
  <c r="C142" i="127"/>
  <c r="D141" i="127"/>
  <c r="C141" i="127"/>
  <c r="D140" i="127"/>
  <c r="C140" i="127"/>
  <c r="D139" i="127"/>
  <c r="C139" i="127"/>
  <c r="D138" i="127"/>
  <c r="C138" i="127"/>
  <c r="D137" i="127"/>
  <c r="C137" i="127"/>
  <c r="D136" i="127"/>
  <c r="C136" i="127"/>
  <c r="D135" i="127"/>
  <c r="C135" i="127"/>
  <c r="D134" i="127"/>
  <c r="C134" i="127"/>
  <c r="D133" i="127"/>
  <c r="C133" i="127"/>
  <c r="D132" i="127"/>
  <c r="C132" i="127"/>
  <c r="D131" i="127"/>
  <c r="C131" i="127"/>
  <c r="D130" i="127"/>
  <c r="C130" i="127"/>
  <c r="D129" i="127"/>
  <c r="C129" i="127"/>
  <c r="D128" i="127"/>
  <c r="C128" i="127"/>
  <c r="D127" i="127"/>
  <c r="C127" i="127"/>
  <c r="D126" i="127"/>
  <c r="C126" i="127"/>
  <c r="D125" i="127"/>
  <c r="C125" i="127"/>
  <c r="D124" i="127"/>
  <c r="C124" i="127"/>
  <c r="D123" i="127"/>
  <c r="C123" i="127"/>
  <c r="D122" i="127"/>
  <c r="C122" i="127"/>
  <c r="D121" i="127"/>
  <c r="C121" i="127"/>
  <c r="D120" i="127"/>
  <c r="C120" i="127"/>
  <c r="D119" i="127"/>
  <c r="C119" i="127"/>
  <c r="D118" i="127"/>
  <c r="C118" i="127"/>
  <c r="D117" i="127"/>
  <c r="C117" i="127"/>
  <c r="D116" i="127"/>
  <c r="C116" i="127"/>
  <c r="D115" i="127"/>
  <c r="C115" i="127"/>
  <c r="D114" i="127"/>
  <c r="C114" i="127"/>
  <c r="D113" i="127"/>
  <c r="C113" i="127"/>
  <c r="D112" i="127"/>
  <c r="C112" i="127"/>
  <c r="D111" i="127"/>
  <c r="C111" i="127"/>
  <c r="D110" i="127"/>
  <c r="C110" i="127"/>
  <c r="D109" i="127"/>
  <c r="C109" i="127"/>
  <c r="D108" i="127"/>
  <c r="C108" i="127"/>
  <c r="D107" i="127"/>
  <c r="C107" i="127"/>
  <c r="D106" i="127"/>
  <c r="C106" i="127"/>
  <c r="D105" i="127"/>
  <c r="C105" i="127"/>
  <c r="D104" i="127"/>
  <c r="C104" i="127"/>
  <c r="D103" i="127"/>
  <c r="C103" i="127"/>
  <c r="D102" i="127"/>
  <c r="C102" i="127"/>
  <c r="D101" i="127"/>
  <c r="C101" i="127"/>
  <c r="D100" i="127"/>
  <c r="C100" i="127"/>
  <c r="D99" i="127"/>
  <c r="C99" i="127"/>
  <c r="D98" i="127"/>
  <c r="C98" i="127"/>
  <c r="D97" i="127"/>
  <c r="C97" i="127"/>
  <c r="D96" i="127"/>
  <c r="C96" i="127"/>
  <c r="D95" i="127"/>
  <c r="C95" i="127"/>
  <c r="D94" i="127"/>
  <c r="C94" i="127"/>
  <c r="D93" i="127"/>
  <c r="C93" i="127"/>
  <c r="D92" i="127"/>
  <c r="C92" i="127"/>
  <c r="D91" i="127"/>
  <c r="C91" i="127"/>
  <c r="D90" i="127"/>
  <c r="C90" i="127"/>
  <c r="D89" i="127"/>
  <c r="C89" i="127"/>
  <c r="D88" i="127"/>
  <c r="C88" i="127"/>
  <c r="D87" i="127"/>
  <c r="C87" i="127"/>
  <c r="D86" i="127"/>
  <c r="C86" i="127"/>
  <c r="D85" i="127"/>
  <c r="C85" i="127"/>
  <c r="D84" i="127"/>
  <c r="C84" i="127"/>
  <c r="D83" i="127"/>
  <c r="C83" i="127"/>
  <c r="D82" i="127"/>
  <c r="C82" i="127"/>
  <c r="D81" i="127"/>
  <c r="C81" i="127"/>
  <c r="D80" i="127"/>
  <c r="C80" i="127"/>
  <c r="D79" i="127"/>
  <c r="C79" i="127"/>
  <c r="D78" i="127"/>
  <c r="C78" i="127"/>
  <c r="D77" i="127"/>
  <c r="C77" i="127"/>
  <c r="D76" i="127"/>
  <c r="C76" i="127"/>
  <c r="D75" i="127"/>
  <c r="C75" i="127"/>
  <c r="D74" i="127"/>
  <c r="C74" i="127"/>
  <c r="D73" i="127"/>
  <c r="C73" i="127"/>
  <c r="D72" i="127"/>
  <c r="C72" i="127"/>
  <c r="D71" i="127"/>
  <c r="C71" i="127"/>
  <c r="D70" i="127"/>
  <c r="C70" i="127"/>
  <c r="D69" i="127"/>
  <c r="C69" i="127"/>
  <c r="D68" i="127"/>
  <c r="C68" i="127"/>
  <c r="D67" i="127"/>
  <c r="C67" i="127"/>
  <c r="D66" i="127"/>
  <c r="C66" i="127"/>
  <c r="D65" i="127"/>
  <c r="C65" i="127"/>
  <c r="D64" i="127"/>
  <c r="C64" i="127"/>
  <c r="D63" i="127"/>
  <c r="C63" i="127"/>
  <c r="D62" i="127"/>
  <c r="C62" i="127"/>
  <c r="B62" i="127"/>
  <c r="D61" i="127"/>
  <c r="C61" i="127"/>
  <c r="B61" i="127"/>
  <c r="D60" i="127"/>
  <c r="C60" i="127"/>
  <c r="B60" i="127"/>
  <c r="D59" i="127"/>
  <c r="C59" i="127"/>
  <c r="B59" i="127"/>
  <c r="D58" i="127"/>
  <c r="C58" i="127"/>
  <c r="B58" i="127"/>
  <c r="D57" i="127"/>
  <c r="C57" i="127"/>
  <c r="B57" i="127"/>
  <c r="D56" i="127"/>
  <c r="C56" i="127"/>
  <c r="B56" i="127"/>
  <c r="D55" i="127"/>
  <c r="C55" i="127"/>
  <c r="B55" i="127"/>
  <c r="D54" i="127"/>
  <c r="C54" i="127"/>
  <c r="B54" i="127"/>
  <c r="D53" i="127"/>
  <c r="C53" i="127"/>
  <c r="B53" i="127"/>
  <c r="D52" i="127"/>
  <c r="C52" i="127"/>
  <c r="B52" i="127"/>
  <c r="D51" i="127"/>
  <c r="C51" i="127"/>
  <c r="B51" i="127"/>
  <c r="D50" i="127"/>
  <c r="C50" i="127"/>
  <c r="B50" i="127"/>
  <c r="D49" i="127"/>
  <c r="C49" i="127"/>
  <c r="B49" i="127"/>
  <c r="D48" i="127"/>
  <c r="C48" i="127"/>
  <c r="B48" i="127"/>
  <c r="D47" i="127"/>
  <c r="C47" i="127"/>
  <c r="B47" i="127"/>
  <c r="D46" i="127"/>
  <c r="C46" i="127"/>
  <c r="B46" i="127"/>
  <c r="D45" i="127"/>
  <c r="C45" i="127"/>
  <c r="B45" i="127"/>
  <c r="D44" i="127"/>
  <c r="C44" i="127"/>
  <c r="B44" i="127"/>
  <c r="D43" i="127"/>
  <c r="C43" i="127"/>
  <c r="B43" i="127"/>
  <c r="D42" i="127"/>
  <c r="C42" i="127"/>
  <c r="B42" i="127"/>
  <c r="D41" i="127"/>
  <c r="C41" i="127"/>
  <c r="B41" i="127"/>
  <c r="D40" i="127"/>
  <c r="C40" i="127"/>
  <c r="B40" i="127"/>
  <c r="D39" i="127"/>
  <c r="C39" i="127"/>
  <c r="B39" i="127"/>
  <c r="D38" i="127"/>
  <c r="C38" i="127"/>
  <c r="B38" i="127"/>
  <c r="D37" i="127"/>
  <c r="C37" i="127"/>
  <c r="B37" i="127"/>
  <c r="D36" i="127"/>
  <c r="C36" i="127"/>
  <c r="B36" i="127"/>
  <c r="D35" i="127"/>
  <c r="C35" i="127"/>
  <c r="B35" i="127"/>
  <c r="D34" i="127"/>
  <c r="C34" i="127"/>
  <c r="B34" i="127"/>
  <c r="D33" i="127"/>
  <c r="C33" i="127"/>
  <c r="B33" i="127"/>
  <c r="D32" i="127"/>
  <c r="C32" i="127"/>
  <c r="B32" i="127"/>
  <c r="D31" i="127"/>
  <c r="C31" i="127"/>
  <c r="B31" i="127"/>
  <c r="D30" i="127"/>
  <c r="C30" i="127"/>
  <c r="B30" i="127"/>
  <c r="D29" i="127"/>
  <c r="C29" i="127"/>
  <c r="B29" i="127"/>
  <c r="D28" i="127"/>
  <c r="C28" i="127"/>
  <c r="B28" i="127"/>
  <c r="D27" i="127"/>
  <c r="C27" i="127"/>
  <c r="B27" i="127"/>
  <c r="D26" i="127"/>
  <c r="C26" i="127"/>
  <c r="B26" i="127"/>
  <c r="D25" i="127"/>
  <c r="C25" i="127"/>
  <c r="B25" i="127"/>
  <c r="D24" i="127"/>
  <c r="C24" i="127"/>
  <c r="B24" i="127"/>
  <c r="D23" i="127"/>
  <c r="C23" i="127"/>
  <c r="B23" i="127"/>
  <c r="D22" i="127"/>
  <c r="C22" i="127"/>
  <c r="B22" i="127"/>
  <c r="D21" i="127"/>
  <c r="C21" i="127"/>
  <c r="B21" i="127"/>
  <c r="D20" i="127"/>
  <c r="C20" i="127"/>
  <c r="B20" i="127"/>
  <c r="D19" i="127"/>
  <c r="C19" i="127"/>
  <c r="B19" i="127"/>
  <c r="D18" i="127"/>
  <c r="C18" i="127"/>
  <c r="B18" i="127"/>
  <c r="D17" i="127"/>
  <c r="C17" i="127"/>
  <c r="B17" i="127"/>
  <c r="D16" i="127"/>
  <c r="C16" i="127"/>
  <c r="B16" i="127"/>
  <c r="D15" i="127"/>
  <c r="C15" i="127"/>
  <c r="B15" i="127"/>
  <c r="D14" i="127"/>
  <c r="C14" i="127"/>
  <c r="B14" i="127"/>
  <c r="D13" i="127"/>
  <c r="C13" i="127"/>
  <c r="B13" i="127"/>
  <c r="D12" i="127"/>
  <c r="C12" i="127"/>
  <c r="B12" i="127"/>
  <c r="D11" i="127"/>
  <c r="C11" i="127"/>
  <c r="B11" i="127"/>
  <c r="D10" i="127"/>
  <c r="C10" i="127"/>
  <c r="B10" i="127"/>
  <c r="D9" i="127"/>
  <c r="C9" i="127"/>
  <c r="B9" i="127"/>
  <c r="D8" i="127"/>
  <c r="C8" i="127"/>
  <c r="B8" i="127"/>
  <c r="D7" i="127"/>
  <c r="C7" i="127"/>
  <c r="B7" i="127"/>
  <c r="D6" i="127"/>
  <c r="C6" i="127"/>
  <c r="B6" i="127"/>
  <c r="D5" i="127"/>
  <c r="C5" i="127"/>
  <c r="B5" i="127"/>
  <c r="D4" i="127"/>
  <c r="C4" i="127"/>
  <c r="B4" i="127"/>
  <c r="D3" i="127"/>
  <c r="C3" i="127"/>
  <c r="B3" i="127"/>
  <c r="C23" i="131"/>
  <c r="C22" i="131"/>
  <c r="C21" i="131"/>
  <c r="C20" i="131"/>
  <c r="C19" i="131"/>
  <c r="C18" i="131"/>
  <c r="C17" i="131"/>
  <c r="C16" i="131"/>
  <c r="C15" i="131"/>
  <c r="C14" i="131"/>
  <c r="C13" i="131"/>
  <c r="C12" i="131"/>
  <c r="C8" i="131"/>
  <c r="AJ23" i="135"/>
  <c r="AF23" i="135"/>
  <c r="J23" i="135"/>
  <c r="AG22" i="135"/>
  <c r="AF22" i="135"/>
  <c r="AE22" i="135"/>
  <c r="AM21" i="135"/>
  <c r="AL21" i="135"/>
  <c r="AK21" i="135"/>
  <c r="AJ21" i="135"/>
  <c r="AI21" i="135"/>
  <c r="AH21" i="135"/>
  <c r="AG21" i="135"/>
  <c r="AF21" i="135"/>
  <c r="AE21" i="135"/>
  <c r="Q15" i="135"/>
  <c r="K15" i="135"/>
  <c r="F15" i="135"/>
  <c r="AF14" i="135"/>
  <c r="AE14" i="135"/>
  <c r="Q14" i="135"/>
  <c r="F14" i="135"/>
  <c r="AM13" i="135"/>
  <c r="AL13" i="135"/>
  <c r="AK13" i="135"/>
  <c r="AJ13" i="135"/>
  <c r="AI13" i="135"/>
  <c r="AH13" i="135"/>
  <c r="AG13" i="135"/>
  <c r="AF13" i="135"/>
  <c r="AE13" i="135"/>
  <c r="Q13" i="135"/>
  <c r="F13" i="135"/>
  <c r="N9" i="135"/>
  <c r="C9" i="135"/>
  <c r="Q8" i="135"/>
  <c r="F8" i="135"/>
  <c r="T7" i="135"/>
  <c r="I7" i="135"/>
  <c r="AH5" i="135"/>
  <c r="AG5" i="135"/>
  <c r="AF5" i="135"/>
  <c r="AE5" i="135"/>
  <c r="AB5" i="135"/>
  <c r="Z5" i="135"/>
  <c r="Q5" i="135"/>
  <c r="F5" i="135"/>
  <c r="Y3" i="135"/>
  <c r="Q3" i="135"/>
  <c r="F3" i="135"/>
  <c r="Q2" i="135"/>
  <c r="F2" i="135"/>
  <c r="D24" i="134"/>
  <c r="X21" i="134"/>
  <c r="W21" i="134"/>
  <c r="X20" i="134"/>
  <c r="W20" i="134"/>
  <c r="W17" i="134"/>
  <c r="X15" i="134"/>
  <c r="W15" i="134"/>
  <c r="X13" i="134"/>
  <c r="W13" i="134"/>
  <c r="G13" i="134"/>
  <c r="W12" i="134"/>
  <c r="V12" i="134"/>
  <c r="AD11" i="134"/>
  <c r="AC11" i="134"/>
  <c r="AB11" i="134"/>
  <c r="AA11" i="134"/>
  <c r="Z11" i="134"/>
  <c r="Y11" i="134"/>
  <c r="X11" i="134"/>
  <c r="W11" i="134"/>
  <c r="V11" i="134"/>
  <c r="Y5" i="134"/>
  <c r="X5" i="134"/>
  <c r="W5" i="134"/>
  <c r="V5" i="134"/>
  <c r="S5" i="134"/>
  <c r="Q5" i="134"/>
  <c r="P3" i="134"/>
  <c r="K3" i="134"/>
  <c r="D3" i="134"/>
  <c r="K2" i="134"/>
  <c r="D2" i="134"/>
  <c r="X31" i="133"/>
  <c r="X30" i="133"/>
  <c r="W30" i="133"/>
  <c r="X29" i="133"/>
  <c r="W29" i="133"/>
  <c r="X28" i="133"/>
  <c r="W28" i="133"/>
  <c r="M28" i="133"/>
  <c r="X27" i="133"/>
  <c r="W27" i="133"/>
  <c r="X26" i="133"/>
  <c r="W26" i="133"/>
  <c r="N26" i="133"/>
  <c r="X25" i="133"/>
  <c r="W25" i="133"/>
  <c r="X24" i="133"/>
  <c r="W24" i="133"/>
  <c r="X23" i="133"/>
  <c r="W23" i="133"/>
  <c r="X22" i="133"/>
  <c r="W22" i="133"/>
  <c r="X21" i="133"/>
  <c r="W21" i="133"/>
  <c r="J20" i="133"/>
  <c r="W19" i="133"/>
  <c r="F19" i="133"/>
  <c r="E19" i="133"/>
  <c r="X17" i="133"/>
  <c r="T3" i="133"/>
  <c r="E3" i="133"/>
  <c r="E2" i="133"/>
  <c r="AE36" i="132"/>
  <c r="AE35" i="132"/>
  <c r="AE34" i="132"/>
  <c r="AG32" i="132"/>
  <c r="AE32" i="132"/>
  <c r="AG29" i="132"/>
  <c r="AF29" i="132"/>
  <c r="AE29" i="132"/>
  <c r="AG28" i="132"/>
  <c r="AF28" i="132"/>
  <c r="AE28" i="132"/>
  <c r="AG27" i="132"/>
  <c r="AF27" i="132"/>
  <c r="AE27" i="132"/>
  <c r="AG26" i="132"/>
  <c r="AF26" i="132"/>
  <c r="AE26" i="132"/>
  <c r="AG25" i="132"/>
  <c r="AF25" i="132"/>
  <c r="AE25" i="132"/>
  <c r="AG24" i="132"/>
  <c r="AF24" i="132"/>
  <c r="AE24" i="132"/>
  <c r="AG23" i="132"/>
  <c r="AF23" i="132"/>
  <c r="AE23" i="132"/>
  <c r="AG22" i="132"/>
  <c r="AF22" i="132"/>
  <c r="AE22" i="132"/>
  <c r="AG21" i="132"/>
  <c r="AF21" i="132"/>
  <c r="AE21" i="132"/>
  <c r="AG20" i="132"/>
  <c r="AF20" i="132"/>
  <c r="AE20" i="132"/>
  <c r="Y20" i="132"/>
  <c r="V20" i="132"/>
  <c r="S20" i="132"/>
  <c r="P20" i="132"/>
  <c r="M20" i="132"/>
  <c r="J20" i="132"/>
  <c r="AG19" i="132"/>
  <c r="AF19" i="132"/>
  <c r="AE19" i="132"/>
  <c r="AG18" i="132"/>
  <c r="AF18" i="132"/>
  <c r="AE18" i="132"/>
  <c r="AG17" i="132"/>
  <c r="AF17" i="132"/>
  <c r="AE17" i="132"/>
  <c r="AG16" i="132"/>
  <c r="AF16" i="132"/>
  <c r="AE16" i="132"/>
  <c r="N16" i="132"/>
  <c r="AG15" i="132"/>
  <c r="AF15" i="132"/>
  <c r="AE15" i="132"/>
  <c r="AC15" i="132"/>
  <c r="AB15" i="132"/>
  <c r="AA15" i="132"/>
  <c r="Y15" i="132"/>
  <c r="X15" i="132"/>
  <c r="W15" i="132"/>
  <c r="U15" i="132"/>
  <c r="T15" i="132"/>
  <c r="S15" i="132"/>
  <c r="Q15" i="132"/>
  <c r="P15" i="132"/>
  <c r="O15" i="132"/>
  <c r="M15" i="132"/>
  <c r="L15" i="132"/>
  <c r="K15" i="132"/>
  <c r="AG14" i="132"/>
  <c r="AF14" i="132"/>
  <c r="AE14" i="132"/>
  <c r="AG13" i="132"/>
  <c r="AF13" i="132"/>
  <c r="AE13" i="132"/>
  <c r="AG12" i="132"/>
  <c r="AF12" i="132"/>
  <c r="AE12" i="132"/>
  <c r="AG11" i="132"/>
  <c r="AF11" i="132"/>
  <c r="AE11" i="132"/>
  <c r="AG10" i="132"/>
  <c r="AF10" i="132"/>
  <c r="AE10" i="132"/>
  <c r="AG9" i="132"/>
  <c r="AF9" i="132"/>
  <c r="AE9" i="132"/>
  <c r="AG8" i="132"/>
  <c r="AF8" i="132"/>
  <c r="AE8" i="132"/>
  <c r="AG7" i="132"/>
  <c r="AF7" i="132"/>
  <c r="AE7" i="132"/>
  <c r="AG6" i="132"/>
  <c r="AF6" i="132"/>
  <c r="AE6" i="132"/>
  <c r="AA3" i="132"/>
  <c r="P3" i="132"/>
  <c r="L3" i="132"/>
  <c r="E3" i="132"/>
  <c r="AA27" i="136"/>
  <c r="AA26" i="136"/>
  <c r="AA25" i="136"/>
  <c r="AA24" i="136"/>
  <c r="AA23" i="136"/>
  <c r="AA22" i="136"/>
  <c r="AA21" i="136"/>
  <c r="AA20" i="136"/>
  <c r="X4" i="136"/>
  <c r="E4" i="136"/>
  <c r="E3" i="136"/>
  <c r="G35" i="138"/>
  <c r="G30" i="138"/>
  <c r="G21" i="138"/>
  <c r="G15" i="138"/>
  <c r="G13" i="138"/>
  <c r="C13" i="138"/>
  <c r="G11" i="138"/>
  <c r="G26" i="139"/>
  <c r="G24" i="139"/>
  <c r="G22" i="139"/>
  <c r="G20" i="139"/>
  <c r="G18" i="139"/>
  <c r="G16" i="139"/>
  <c r="G14" i="139"/>
  <c r="G12" i="139"/>
  <c r="G10" i="139"/>
  <c r="G22" i="140"/>
  <c r="G20" i="140"/>
  <c r="G18" i="140"/>
  <c r="G16" i="140"/>
  <c r="G14" i="140"/>
  <c r="G12" i="140"/>
  <c r="G10" i="140"/>
  <c r="G18" i="141"/>
  <c r="G16" i="141"/>
  <c r="G14" i="141"/>
  <c r="G12" i="141"/>
  <c r="G10" i="141"/>
  <c r="G24" i="142"/>
  <c r="G22" i="142"/>
  <c r="G20" i="142"/>
  <c r="G18" i="142"/>
  <c r="G16" i="142"/>
  <c r="G14" i="142"/>
  <c r="G12" i="142"/>
  <c r="G10" i="142"/>
  <c r="G18" i="143"/>
  <c r="G16" i="143"/>
  <c r="G14" i="143"/>
  <c r="G12" i="143"/>
  <c r="G10" i="143"/>
  <c r="G20" i="144"/>
  <c r="G18" i="144"/>
  <c r="G16" i="144"/>
  <c r="G14" i="144"/>
  <c r="G12" i="144"/>
  <c r="G10" i="144"/>
  <c r="G26" i="145"/>
  <c r="G24" i="145"/>
  <c r="G22" i="145"/>
  <c r="G20" i="145"/>
  <c r="G18" i="145"/>
  <c r="G16" i="145"/>
  <c r="G14" i="145"/>
  <c r="G12" i="145"/>
  <c r="G10" i="145"/>
  <c r="G26" i="146"/>
  <c r="G24" i="146"/>
  <c r="G22" i="146"/>
  <c r="G20" i="146"/>
  <c r="G18" i="146"/>
  <c r="G16" i="146"/>
  <c r="G14" i="146"/>
  <c r="G12" i="146"/>
  <c r="G10" i="146"/>
  <c r="G20" i="147"/>
  <c r="G18" i="147"/>
  <c r="G16" i="147"/>
  <c r="G14" i="147"/>
  <c r="G12" i="147"/>
  <c r="G10" i="147"/>
  <c r="G18" i="148"/>
  <c r="G16" i="148"/>
  <c r="G14" i="148"/>
  <c r="G12" i="148"/>
  <c r="G10" i="148"/>
  <c r="G22" i="149"/>
  <c r="G20" i="149"/>
  <c r="G18" i="149"/>
  <c r="G16" i="149"/>
  <c r="G14" i="149"/>
  <c r="G12" i="149"/>
  <c r="G10" i="149"/>
  <c r="G22" i="150"/>
  <c r="G20" i="150"/>
  <c r="G18" i="150"/>
  <c r="G16" i="150"/>
  <c r="G14" i="150"/>
  <c r="G12" i="150"/>
  <c r="G10" i="150"/>
  <c r="G24" i="151"/>
  <c r="G22" i="151"/>
  <c r="G20" i="151"/>
  <c r="G18" i="151"/>
  <c r="G16" i="151"/>
  <c r="G14" i="151"/>
  <c r="G12" i="151"/>
  <c r="G10" i="151"/>
  <c r="G26" i="152"/>
  <c r="G24" i="152"/>
  <c r="G22" i="152"/>
  <c r="G20" i="152"/>
  <c r="G18" i="152"/>
  <c r="G16" i="152"/>
  <c r="G14" i="152"/>
  <c r="G12" i="152"/>
  <c r="G10" i="152"/>
  <c r="G22" i="153"/>
  <c r="G20" i="153"/>
  <c r="G18" i="153"/>
  <c r="G16" i="153"/>
  <c r="G14" i="153"/>
  <c r="G12" i="153"/>
  <c r="G10" i="153"/>
  <c r="G20" i="154"/>
  <c r="G18" i="154"/>
  <c r="G16" i="154"/>
  <c r="G14" i="154"/>
  <c r="G12" i="154"/>
  <c r="G10" i="154"/>
  <c r="G22" i="155"/>
  <c r="G20" i="155"/>
  <c r="G18" i="155"/>
  <c r="G16" i="155"/>
  <c r="G14" i="155"/>
  <c r="G12" i="155"/>
  <c r="G10" i="155"/>
  <c r="G26" i="156"/>
  <c r="G24" i="156"/>
  <c r="G22" i="156"/>
  <c r="G20" i="156"/>
  <c r="G18" i="156"/>
  <c r="G16" i="156"/>
  <c r="G14" i="156"/>
  <c r="G12" i="156"/>
  <c r="G10" i="156"/>
  <c r="B32" i="161"/>
  <c r="B31" i="161"/>
  <c r="B30" i="161"/>
  <c r="B29" i="161"/>
  <c r="B27" i="161"/>
  <c r="B19" i="161"/>
  <c r="B18" i="161"/>
  <c r="B10" i="161"/>
  <c r="B9" i="161"/>
  <c r="B8" i="161"/>
  <c r="J7" i="161"/>
  <c r="B7" i="161"/>
  <c r="H6" i="161"/>
  <c r="B6" i="161"/>
  <c r="H5" i="161"/>
  <c r="H4" i="161"/>
  <c r="H3" i="161"/>
  <c r="H2" i="161"/>
  <c r="H1" i="161"/>
  <c r="D24" i="162"/>
  <c r="D23" i="162"/>
  <c r="B20" i="162"/>
  <c r="B15" i="162"/>
  <c r="D10" i="162"/>
  <c r="B10" i="162"/>
  <c r="B9" i="162"/>
  <c r="D8" i="162"/>
  <c r="D6" i="162"/>
  <c r="D5" i="162"/>
  <c r="B37" i="163"/>
  <c r="B36" i="163"/>
  <c r="D35" i="163"/>
  <c r="B35" i="163"/>
  <c r="D34" i="163"/>
  <c r="B34" i="163"/>
  <c r="B26" i="163"/>
  <c r="B25" i="163"/>
  <c r="D20" i="163"/>
  <c r="B17" i="163"/>
  <c r="B16" i="163"/>
  <c r="B10" i="163"/>
  <c r="B9" i="163"/>
  <c r="B51" i="164"/>
  <c r="B43" i="164"/>
  <c r="B37" i="164"/>
  <c r="D35" i="164"/>
  <c r="A29" i="164"/>
  <c r="A23" i="164"/>
  <c r="D16" i="164"/>
  <c r="D15" i="164"/>
  <c r="C11" i="164"/>
  <c r="B11" i="164"/>
  <c r="C10" i="164"/>
  <c r="B10" i="164"/>
  <c r="B6" i="164"/>
  <c r="A6" i="164"/>
  <c r="D4" i="164"/>
  <c r="C4" i="164"/>
  <c r="B4" i="164"/>
  <c r="A4" i="164"/>
  <c r="B35" i="165"/>
  <c r="C30" i="165"/>
  <c r="C29" i="165"/>
  <c r="C28" i="165"/>
  <c r="B20" i="165"/>
  <c r="B14" i="165"/>
  <c r="B9" i="165"/>
  <c r="B4" i="165"/>
  <c r="G25" i="168"/>
  <c r="G20" i="168"/>
  <c r="G17" i="168"/>
  <c r="G11" i="168"/>
  <c r="I493" i="170"/>
  <c r="G493" i="170"/>
  <c r="I492" i="170"/>
  <c r="G492" i="170"/>
  <c r="I491" i="170"/>
  <c r="G491" i="170"/>
  <c r="I490" i="170"/>
  <c r="G490" i="170"/>
  <c r="I489" i="170"/>
  <c r="G489" i="170"/>
  <c r="I488" i="170"/>
  <c r="G488" i="170"/>
  <c r="I487" i="170"/>
  <c r="G487" i="170"/>
  <c r="I486" i="170"/>
  <c r="G486" i="170"/>
  <c r="I485" i="170"/>
  <c r="G485" i="170"/>
  <c r="I484" i="170"/>
  <c r="G484" i="170"/>
  <c r="I483" i="170"/>
  <c r="G483" i="170"/>
  <c r="I482" i="170"/>
  <c r="G482" i="170"/>
  <c r="I481" i="170"/>
  <c r="G481" i="170"/>
  <c r="I480" i="170"/>
  <c r="G480" i="170"/>
  <c r="I479" i="170"/>
  <c r="G479" i="170"/>
  <c r="I478" i="170"/>
  <c r="G478" i="170"/>
  <c r="I477" i="170"/>
  <c r="G477" i="170"/>
  <c r="I476" i="170"/>
  <c r="G476" i="170"/>
  <c r="I475" i="170"/>
  <c r="G475" i="170"/>
  <c r="I474" i="170"/>
  <c r="G474" i="170"/>
  <c r="I473" i="170"/>
  <c r="G473" i="170"/>
  <c r="I472" i="170"/>
  <c r="G472" i="170"/>
  <c r="I471" i="170"/>
  <c r="G471" i="170"/>
  <c r="I470" i="170"/>
  <c r="G470" i="170"/>
  <c r="I469" i="170"/>
  <c r="G469" i="170"/>
  <c r="I468" i="170"/>
  <c r="G468" i="170"/>
  <c r="I467" i="170"/>
  <c r="G467" i="170"/>
  <c r="I466" i="170"/>
  <c r="G466" i="170"/>
  <c r="I465" i="170"/>
  <c r="G465" i="170"/>
  <c r="I464" i="170"/>
  <c r="G464" i="170"/>
  <c r="I463" i="170"/>
  <c r="G463" i="170"/>
  <c r="I462" i="170"/>
  <c r="G462" i="170"/>
  <c r="I461" i="170"/>
  <c r="G461" i="170"/>
  <c r="I460" i="170"/>
  <c r="G460" i="170"/>
  <c r="I459" i="170"/>
  <c r="G459" i="170"/>
  <c r="I458" i="170"/>
  <c r="G458" i="170"/>
  <c r="I457" i="170"/>
  <c r="G457" i="170"/>
  <c r="I456" i="170"/>
  <c r="G456" i="170"/>
  <c r="I455" i="170"/>
  <c r="G455" i="170"/>
  <c r="I454" i="170"/>
  <c r="G454" i="170"/>
  <c r="I453" i="170"/>
  <c r="G453" i="170"/>
  <c r="I452" i="170"/>
  <c r="G452" i="170"/>
  <c r="I451" i="170"/>
  <c r="G451" i="170"/>
  <c r="I450" i="170"/>
  <c r="G450" i="170"/>
  <c r="I449" i="170"/>
  <c r="G449" i="170"/>
  <c r="I448" i="170"/>
  <c r="G448" i="170"/>
  <c r="I447" i="170"/>
  <c r="G447" i="170"/>
  <c r="I446" i="170"/>
  <c r="G446" i="170"/>
  <c r="I445" i="170"/>
  <c r="G445" i="170"/>
  <c r="I444" i="170"/>
  <c r="G444" i="170"/>
  <c r="I443" i="170"/>
  <c r="G443" i="170"/>
  <c r="I442" i="170"/>
  <c r="G442" i="170"/>
  <c r="I441" i="170"/>
  <c r="G441" i="170"/>
  <c r="I440" i="170"/>
  <c r="G440" i="170"/>
  <c r="I439" i="170"/>
  <c r="G439" i="170"/>
  <c r="I438" i="170"/>
  <c r="G438" i="170"/>
  <c r="I437" i="170"/>
  <c r="G437" i="170"/>
  <c r="I436" i="170"/>
  <c r="G436" i="170"/>
  <c r="I435" i="170"/>
  <c r="G435" i="170"/>
  <c r="I434" i="170"/>
  <c r="G434" i="170"/>
  <c r="I433" i="170"/>
  <c r="G433" i="170"/>
  <c r="I432" i="170"/>
  <c r="G432" i="170"/>
  <c r="I431" i="170"/>
  <c r="G431" i="170"/>
  <c r="I430" i="170"/>
  <c r="G430" i="170"/>
  <c r="I429" i="170"/>
  <c r="G429" i="170"/>
  <c r="I428" i="170"/>
  <c r="G428" i="170"/>
  <c r="I427" i="170"/>
  <c r="G427" i="170"/>
  <c r="I426" i="170"/>
  <c r="G426" i="170"/>
  <c r="I425" i="170"/>
  <c r="G425" i="170"/>
  <c r="I424" i="170"/>
  <c r="G424" i="170"/>
  <c r="I423" i="170"/>
  <c r="G423" i="170"/>
  <c r="I422" i="170"/>
  <c r="G422" i="170"/>
  <c r="I421" i="170"/>
  <c r="G421" i="170"/>
  <c r="I420" i="170"/>
  <c r="G420" i="170"/>
  <c r="I419" i="170"/>
  <c r="G419" i="170"/>
  <c r="I418" i="170"/>
  <c r="G418" i="170"/>
  <c r="I417" i="170"/>
  <c r="G417" i="170"/>
  <c r="I416" i="170"/>
  <c r="G416" i="170"/>
  <c r="I415" i="170"/>
  <c r="G415" i="170"/>
  <c r="I414" i="170"/>
  <c r="G414" i="170"/>
  <c r="I413" i="170"/>
  <c r="G413" i="170"/>
  <c r="I412" i="170"/>
  <c r="G412" i="170"/>
  <c r="I411" i="170"/>
  <c r="G411" i="170"/>
  <c r="I410" i="170"/>
  <c r="G410" i="170"/>
  <c r="I409" i="170"/>
  <c r="G409" i="170"/>
  <c r="I408" i="170"/>
  <c r="G408" i="170"/>
  <c r="I407" i="170"/>
  <c r="G407" i="170"/>
  <c r="I406" i="170"/>
  <c r="G406" i="170"/>
  <c r="I405" i="170"/>
  <c r="G405" i="170"/>
  <c r="I404" i="170"/>
  <c r="G404" i="170"/>
  <c r="I403" i="170"/>
  <c r="G403" i="170"/>
  <c r="I402" i="170"/>
  <c r="G402" i="170"/>
  <c r="I401" i="170"/>
  <c r="G401" i="170"/>
  <c r="I400" i="170"/>
  <c r="G400" i="170"/>
  <c r="I399" i="170"/>
  <c r="G399" i="170"/>
  <c r="I398" i="170"/>
  <c r="G398" i="170"/>
  <c r="I397" i="170"/>
  <c r="G397" i="170"/>
  <c r="I396" i="170"/>
  <c r="G396" i="170"/>
  <c r="I395" i="170"/>
  <c r="G395" i="170"/>
  <c r="I394" i="170"/>
  <c r="G394" i="170"/>
  <c r="I393" i="170"/>
  <c r="G393" i="170"/>
  <c r="I392" i="170"/>
  <c r="G392" i="170"/>
  <c r="I391" i="170"/>
  <c r="G391" i="170"/>
  <c r="I390" i="170"/>
  <c r="G390" i="170"/>
  <c r="I389" i="170"/>
  <c r="G389" i="170"/>
  <c r="I388" i="170"/>
  <c r="G388" i="170"/>
  <c r="I387" i="170"/>
  <c r="G387" i="170"/>
  <c r="I386" i="170"/>
  <c r="G386" i="170"/>
  <c r="I385" i="170"/>
  <c r="G385" i="170"/>
  <c r="I384" i="170"/>
  <c r="G384" i="170"/>
  <c r="I383" i="170"/>
  <c r="G383" i="170"/>
  <c r="I382" i="170"/>
  <c r="G382" i="170"/>
  <c r="I381" i="170"/>
  <c r="G381" i="170"/>
  <c r="I380" i="170"/>
  <c r="G380" i="170"/>
  <c r="I379" i="170"/>
  <c r="G379" i="170"/>
  <c r="I378" i="170"/>
  <c r="G378" i="170"/>
  <c r="I377" i="170"/>
  <c r="G377" i="170"/>
  <c r="I376" i="170"/>
  <c r="G376" i="170"/>
  <c r="I375" i="170"/>
  <c r="G375" i="170"/>
  <c r="I374" i="170"/>
  <c r="G374" i="170"/>
  <c r="I373" i="170"/>
  <c r="G373" i="170"/>
  <c r="I372" i="170"/>
  <c r="G372" i="170"/>
  <c r="I371" i="170"/>
  <c r="G371" i="170"/>
  <c r="I370" i="170"/>
  <c r="G370" i="170"/>
  <c r="I369" i="170"/>
  <c r="G369" i="170"/>
  <c r="I368" i="170"/>
  <c r="G368" i="170"/>
  <c r="I367" i="170"/>
  <c r="G367" i="170"/>
  <c r="I366" i="170"/>
  <c r="G366" i="170"/>
  <c r="I365" i="170"/>
  <c r="G365" i="170"/>
  <c r="I364" i="170"/>
  <c r="G364" i="170"/>
  <c r="I363" i="170"/>
  <c r="G363" i="170"/>
  <c r="I362" i="170"/>
  <c r="G362" i="170"/>
  <c r="I361" i="170"/>
  <c r="G361" i="170"/>
  <c r="I360" i="170"/>
  <c r="G360" i="170"/>
  <c r="I359" i="170"/>
  <c r="G359" i="170"/>
  <c r="I358" i="170"/>
  <c r="G358" i="170"/>
  <c r="I357" i="170"/>
  <c r="G357" i="170"/>
  <c r="I356" i="170"/>
  <c r="G356" i="170"/>
  <c r="I355" i="170"/>
  <c r="G355" i="170"/>
  <c r="I354" i="170"/>
  <c r="G354" i="170"/>
  <c r="I353" i="170"/>
  <c r="G353" i="170"/>
  <c r="I352" i="170"/>
  <c r="G352" i="170"/>
  <c r="I351" i="170"/>
  <c r="G351" i="170"/>
  <c r="I350" i="170"/>
  <c r="G350" i="170"/>
  <c r="I349" i="170"/>
  <c r="G349" i="170"/>
  <c r="I348" i="170"/>
  <c r="G348" i="170"/>
  <c r="I347" i="170"/>
  <c r="G347" i="170"/>
  <c r="I346" i="170"/>
  <c r="G346" i="170"/>
  <c r="I345" i="170"/>
  <c r="G345" i="170"/>
  <c r="I344" i="170"/>
  <c r="G344" i="170"/>
  <c r="I343" i="170"/>
  <c r="G343" i="170"/>
  <c r="I342" i="170"/>
  <c r="G342" i="170"/>
  <c r="I341" i="170"/>
  <c r="G341" i="170"/>
  <c r="I340" i="170"/>
  <c r="G340" i="170"/>
  <c r="I339" i="170"/>
  <c r="G339" i="170"/>
  <c r="I338" i="170"/>
  <c r="G338" i="170"/>
  <c r="I337" i="170"/>
  <c r="G337" i="170"/>
  <c r="I336" i="170"/>
  <c r="G336" i="170"/>
  <c r="I335" i="170"/>
  <c r="G335" i="170"/>
  <c r="I334" i="170"/>
  <c r="G334" i="170"/>
  <c r="I333" i="170"/>
  <c r="G333" i="170"/>
  <c r="I332" i="170"/>
  <c r="G332" i="170"/>
  <c r="I331" i="170"/>
  <c r="G331" i="170"/>
  <c r="I330" i="170"/>
  <c r="G330" i="170"/>
  <c r="I329" i="170"/>
  <c r="G329" i="170"/>
  <c r="I328" i="170"/>
  <c r="G328" i="170"/>
  <c r="I327" i="170"/>
  <c r="G327" i="170"/>
  <c r="I326" i="170"/>
  <c r="G326" i="170"/>
  <c r="I325" i="170"/>
  <c r="G325" i="170"/>
  <c r="I324" i="170"/>
  <c r="G324" i="170"/>
  <c r="I323" i="170"/>
  <c r="G323" i="170"/>
  <c r="I322" i="170"/>
  <c r="G322" i="170"/>
  <c r="I321" i="170"/>
  <c r="G321" i="170"/>
  <c r="I320" i="170"/>
  <c r="G320" i="170"/>
  <c r="I319" i="170"/>
  <c r="G319" i="170"/>
  <c r="I318" i="170"/>
  <c r="G318" i="170"/>
  <c r="I317" i="170"/>
  <c r="G317" i="170"/>
  <c r="I316" i="170"/>
  <c r="G316" i="170"/>
  <c r="I315" i="170"/>
  <c r="G315" i="170"/>
  <c r="I314" i="170"/>
  <c r="G314" i="170"/>
  <c r="I313" i="170"/>
  <c r="G313" i="170"/>
  <c r="I312" i="170"/>
  <c r="G312" i="170"/>
  <c r="I311" i="170"/>
  <c r="G311" i="170"/>
  <c r="I310" i="170"/>
  <c r="G310" i="170"/>
  <c r="I309" i="170"/>
  <c r="G309" i="170"/>
  <c r="I308" i="170"/>
  <c r="G308" i="170"/>
  <c r="I307" i="170"/>
  <c r="G307" i="170"/>
  <c r="I306" i="170"/>
  <c r="G306" i="170"/>
  <c r="I305" i="170"/>
  <c r="G305" i="170"/>
  <c r="I304" i="170"/>
  <c r="G304" i="170"/>
  <c r="I303" i="170"/>
  <c r="G303" i="170"/>
  <c r="I302" i="170"/>
  <c r="G302" i="170"/>
  <c r="I301" i="170"/>
  <c r="G301" i="170"/>
  <c r="I300" i="170"/>
  <c r="G300" i="170"/>
  <c r="I299" i="170"/>
  <c r="G299" i="170"/>
  <c r="I298" i="170"/>
  <c r="G298" i="170"/>
  <c r="I297" i="170"/>
  <c r="G297" i="170"/>
  <c r="I296" i="170"/>
  <c r="G296" i="170"/>
  <c r="I295" i="170"/>
  <c r="G295" i="170"/>
  <c r="I294" i="170"/>
  <c r="G294" i="170"/>
  <c r="I293" i="170"/>
  <c r="G293" i="170"/>
  <c r="I292" i="170"/>
  <c r="G292" i="170"/>
  <c r="I291" i="170"/>
  <c r="G291" i="170"/>
  <c r="I290" i="170"/>
  <c r="G290" i="170"/>
  <c r="I289" i="170"/>
  <c r="G289" i="170"/>
  <c r="I288" i="170"/>
  <c r="G288" i="170"/>
  <c r="I287" i="170"/>
  <c r="G287" i="170"/>
  <c r="I286" i="170"/>
  <c r="G286" i="170"/>
  <c r="I285" i="170"/>
  <c r="G285" i="170"/>
  <c r="I284" i="170"/>
  <c r="G284" i="170"/>
  <c r="I283" i="170"/>
  <c r="G283" i="170"/>
  <c r="I282" i="170"/>
  <c r="G282" i="170"/>
  <c r="I281" i="170"/>
  <c r="G281" i="170"/>
  <c r="I280" i="170"/>
  <c r="G280" i="170"/>
  <c r="I279" i="170"/>
  <c r="G279" i="170"/>
  <c r="I278" i="170"/>
  <c r="G278" i="170"/>
  <c r="I277" i="170"/>
  <c r="G277" i="170"/>
  <c r="I276" i="170"/>
  <c r="G276" i="170"/>
  <c r="I275" i="170"/>
  <c r="G275" i="170"/>
  <c r="I274" i="170"/>
  <c r="G274" i="170"/>
  <c r="I273" i="170"/>
  <c r="G273" i="170"/>
  <c r="I272" i="170"/>
  <c r="G272" i="170"/>
  <c r="I271" i="170"/>
  <c r="G271" i="170"/>
  <c r="I270" i="170"/>
  <c r="G270" i="170"/>
  <c r="I269" i="170"/>
  <c r="G269" i="170"/>
  <c r="I268" i="170"/>
  <c r="G268" i="170"/>
  <c r="I267" i="170"/>
  <c r="G267" i="170"/>
  <c r="I266" i="170"/>
  <c r="G266" i="170"/>
  <c r="I265" i="170"/>
  <c r="G265" i="170"/>
  <c r="I264" i="170"/>
  <c r="G264" i="170"/>
  <c r="I263" i="170"/>
  <c r="G263" i="170"/>
  <c r="I262" i="170"/>
  <c r="G262" i="170"/>
  <c r="I261" i="170"/>
  <c r="G261" i="170"/>
  <c r="I260" i="170"/>
  <c r="G260" i="170"/>
  <c r="I259" i="170"/>
  <c r="G259" i="170"/>
  <c r="I258" i="170"/>
  <c r="G258" i="170"/>
  <c r="I257" i="170"/>
  <c r="G257" i="170"/>
  <c r="I256" i="170"/>
  <c r="G256" i="170"/>
  <c r="I255" i="170"/>
  <c r="G255" i="170"/>
  <c r="I254" i="170"/>
  <c r="G254" i="170"/>
  <c r="I253" i="170"/>
  <c r="G253" i="170"/>
  <c r="I252" i="170"/>
  <c r="G252" i="170"/>
  <c r="I251" i="170"/>
  <c r="G251" i="170"/>
  <c r="I250" i="170"/>
  <c r="G250" i="170"/>
  <c r="I249" i="170"/>
  <c r="G249" i="170"/>
  <c r="I248" i="170"/>
  <c r="G248" i="170"/>
  <c r="I247" i="170"/>
  <c r="G247" i="170"/>
  <c r="I246" i="170"/>
  <c r="G246" i="170"/>
  <c r="I245" i="170"/>
  <c r="G245" i="170"/>
  <c r="I244" i="170"/>
  <c r="G244" i="170"/>
  <c r="I243" i="170"/>
  <c r="G243" i="170"/>
  <c r="I242" i="170"/>
  <c r="G242" i="170"/>
  <c r="I241" i="170"/>
  <c r="G241" i="170"/>
  <c r="I240" i="170"/>
  <c r="G240" i="170"/>
  <c r="I239" i="170"/>
  <c r="G239" i="170"/>
  <c r="I238" i="170"/>
  <c r="G238" i="170"/>
  <c r="I237" i="170"/>
  <c r="G237" i="170"/>
  <c r="I236" i="170"/>
  <c r="G236" i="170"/>
  <c r="I235" i="170"/>
  <c r="G235" i="170"/>
  <c r="I234" i="170"/>
  <c r="G234" i="170"/>
  <c r="I233" i="170"/>
  <c r="G233" i="170"/>
  <c r="I232" i="170"/>
  <c r="G232" i="170"/>
  <c r="I231" i="170"/>
  <c r="G231" i="170"/>
  <c r="I230" i="170"/>
  <c r="G230" i="170"/>
  <c r="I229" i="170"/>
  <c r="G229" i="170"/>
  <c r="I228" i="170"/>
  <c r="G228" i="170"/>
  <c r="I227" i="170"/>
  <c r="G227" i="170"/>
  <c r="I226" i="170"/>
  <c r="G226" i="170"/>
  <c r="I225" i="170"/>
  <c r="G225" i="170"/>
  <c r="I224" i="170"/>
  <c r="G224" i="170"/>
  <c r="I223" i="170"/>
  <c r="G223" i="170"/>
  <c r="I222" i="170"/>
  <c r="G222" i="170"/>
  <c r="I221" i="170"/>
  <c r="G221" i="170"/>
  <c r="I220" i="170"/>
  <c r="G220" i="170"/>
  <c r="I219" i="170"/>
  <c r="G219" i="170"/>
  <c r="I218" i="170"/>
  <c r="G218" i="170"/>
  <c r="I217" i="170"/>
  <c r="G217" i="170"/>
  <c r="I216" i="170"/>
  <c r="G216" i="170"/>
  <c r="I215" i="170"/>
  <c r="G215" i="170"/>
  <c r="I214" i="170"/>
  <c r="G214" i="170"/>
  <c r="I213" i="170"/>
  <c r="G213" i="170"/>
  <c r="I212" i="170"/>
  <c r="G212" i="170"/>
  <c r="I211" i="170"/>
  <c r="G211" i="170"/>
  <c r="I210" i="170"/>
  <c r="G210" i="170"/>
  <c r="I209" i="170"/>
  <c r="G209" i="170"/>
  <c r="I208" i="170"/>
  <c r="G208" i="170"/>
  <c r="I207" i="170"/>
  <c r="G207" i="170"/>
  <c r="I206" i="170"/>
  <c r="G206" i="170"/>
  <c r="I205" i="170"/>
  <c r="G205" i="170"/>
  <c r="I204" i="170"/>
  <c r="G204" i="170"/>
  <c r="I203" i="170"/>
  <c r="G203" i="170"/>
  <c r="I202" i="170"/>
  <c r="G202" i="170"/>
  <c r="I201" i="170"/>
  <c r="G201" i="170"/>
  <c r="I200" i="170"/>
  <c r="G200" i="170"/>
  <c r="I199" i="170"/>
  <c r="G199" i="170"/>
  <c r="I198" i="170"/>
  <c r="G198" i="170"/>
  <c r="I197" i="170"/>
  <c r="G197" i="170"/>
  <c r="I196" i="170"/>
  <c r="G196" i="170"/>
  <c r="I195" i="170"/>
  <c r="G195" i="170"/>
  <c r="I194" i="170"/>
  <c r="G194" i="170"/>
  <c r="I193" i="170"/>
  <c r="G193" i="170"/>
  <c r="I192" i="170"/>
  <c r="G192" i="170"/>
  <c r="I191" i="170"/>
  <c r="G191" i="170"/>
  <c r="I190" i="170"/>
  <c r="G190" i="170"/>
  <c r="I189" i="170"/>
  <c r="G189" i="170"/>
  <c r="I188" i="170"/>
  <c r="G188" i="170"/>
  <c r="I187" i="170"/>
  <c r="G187" i="170"/>
  <c r="I186" i="170"/>
  <c r="G186" i="170"/>
  <c r="I185" i="170"/>
  <c r="G185" i="170"/>
  <c r="I184" i="170"/>
  <c r="G184" i="170"/>
  <c r="I183" i="170"/>
  <c r="G183" i="170"/>
  <c r="I182" i="170"/>
  <c r="G182" i="170"/>
  <c r="I181" i="170"/>
  <c r="G181" i="170"/>
  <c r="I180" i="170"/>
  <c r="G180" i="170"/>
  <c r="I179" i="170"/>
  <c r="G179" i="170"/>
  <c r="I178" i="170"/>
  <c r="G178" i="170"/>
  <c r="I177" i="170"/>
  <c r="G177" i="170"/>
  <c r="I176" i="170"/>
  <c r="G176" i="170"/>
  <c r="I175" i="170"/>
  <c r="G175" i="170"/>
  <c r="I174" i="170"/>
  <c r="G174" i="170"/>
  <c r="I173" i="170"/>
  <c r="G173" i="170"/>
  <c r="I172" i="170"/>
  <c r="G172" i="170"/>
  <c r="I171" i="170"/>
  <c r="G171" i="170"/>
  <c r="I170" i="170"/>
  <c r="G170" i="170"/>
  <c r="I169" i="170"/>
  <c r="G169" i="170"/>
  <c r="I168" i="170"/>
  <c r="G168" i="170"/>
  <c r="I167" i="170"/>
  <c r="G167" i="170"/>
  <c r="I166" i="170"/>
  <c r="G166" i="170"/>
  <c r="I165" i="170"/>
  <c r="G165" i="170"/>
  <c r="I164" i="170"/>
  <c r="G164" i="170"/>
  <c r="I163" i="170"/>
  <c r="G163" i="170"/>
  <c r="I162" i="170"/>
  <c r="G162" i="170"/>
  <c r="I161" i="170"/>
  <c r="G161" i="170"/>
  <c r="I160" i="170"/>
  <c r="G160" i="170"/>
  <c r="I159" i="170"/>
  <c r="G159" i="170"/>
  <c r="I158" i="170"/>
  <c r="G158" i="170"/>
  <c r="I157" i="170"/>
  <c r="G157" i="170"/>
  <c r="I156" i="170"/>
  <c r="G156" i="170"/>
  <c r="I155" i="170"/>
  <c r="G155" i="170"/>
  <c r="I154" i="170"/>
  <c r="G154" i="170"/>
  <c r="I153" i="170"/>
  <c r="G153" i="170"/>
  <c r="I152" i="170"/>
  <c r="G152" i="170"/>
  <c r="I151" i="170"/>
  <c r="G151" i="170"/>
  <c r="I150" i="170"/>
  <c r="G150" i="170"/>
  <c r="I149" i="170"/>
  <c r="G149" i="170"/>
  <c r="I148" i="170"/>
  <c r="G148" i="170"/>
  <c r="I147" i="170"/>
  <c r="G147" i="170"/>
  <c r="I146" i="170"/>
  <c r="G146" i="170"/>
  <c r="I145" i="170"/>
  <c r="G145" i="170"/>
  <c r="I144" i="170"/>
  <c r="G144" i="170"/>
  <c r="I143" i="170"/>
  <c r="G143" i="170"/>
  <c r="I142" i="170"/>
  <c r="G142" i="170"/>
  <c r="I141" i="170"/>
  <c r="G141" i="170"/>
  <c r="I140" i="170"/>
  <c r="G140" i="170"/>
  <c r="I139" i="170"/>
  <c r="G139" i="170"/>
  <c r="I138" i="170"/>
  <c r="G138" i="170"/>
  <c r="I137" i="170"/>
  <c r="G137" i="170"/>
  <c r="I136" i="170"/>
  <c r="G136" i="170"/>
  <c r="I135" i="170"/>
  <c r="G135" i="170"/>
  <c r="I134" i="170"/>
  <c r="G134" i="170"/>
  <c r="I133" i="170"/>
  <c r="G133" i="170"/>
  <c r="I132" i="170"/>
  <c r="G132" i="170"/>
  <c r="I131" i="170"/>
  <c r="G131" i="170"/>
  <c r="I130" i="170"/>
  <c r="G130" i="170"/>
  <c r="I129" i="170"/>
  <c r="G129" i="170"/>
  <c r="I128" i="170"/>
  <c r="G128" i="170"/>
  <c r="I127" i="170"/>
  <c r="G127" i="170"/>
  <c r="I126" i="170"/>
  <c r="G126" i="170"/>
  <c r="I125" i="170"/>
  <c r="G125" i="170"/>
  <c r="I124" i="170"/>
  <c r="G124" i="170"/>
  <c r="I123" i="170"/>
  <c r="G123" i="170"/>
  <c r="I122" i="170"/>
  <c r="G122" i="170"/>
  <c r="I121" i="170"/>
  <c r="G121" i="170"/>
  <c r="I120" i="170"/>
  <c r="G120" i="170"/>
  <c r="I119" i="170"/>
  <c r="G119" i="170"/>
  <c r="I118" i="170"/>
  <c r="G118" i="170"/>
  <c r="I117" i="170"/>
  <c r="G117" i="170"/>
  <c r="I116" i="170"/>
  <c r="G116" i="170"/>
  <c r="I115" i="170"/>
  <c r="G115" i="170"/>
  <c r="I114" i="170"/>
  <c r="G114" i="170"/>
  <c r="I113" i="170"/>
  <c r="G113" i="170"/>
  <c r="I112" i="170"/>
  <c r="G112" i="170"/>
  <c r="I111" i="170"/>
  <c r="G111" i="170"/>
  <c r="I110" i="170"/>
  <c r="G110" i="170"/>
  <c r="I109" i="170"/>
  <c r="G109" i="170"/>
  <c r="I108" i="170"/>
  <c r="G108" i="170"/>
  <c r="I107" i="170"/>
  <c r="G107" i="170"/>
  <c r="I106" i="170"/>
  <c r="G106" i="170"/>
  <c r="I105" i="170"/>
  <c r="G105" i="170"/>
  <c r="I104" i="170"/>
  <c r="G104" i="170"/>
  <c r="I103" i="170"/>
  <c r="G103" i="170"/>
  <c r="I102" i="170"/>
  <c r="G102" i="170"/>
  <c r="I101" i="170"/>
  <c r="G101" i="170"/>
  <c r="I100" i="170"/>
  <c r="G100" i="170"/>
  <c r="I99" i="170"/>
  <c r="G99" i="170"/>
  <c r="I98" i="170"/>
  <c r="G98" i="170"/>
  <c r="I97" i="170"/>
  <c r="G97" i="170"/>
  <c r="I96" i="170"/>
  <c r="G96" i="170"/>
  <c r="I95" i="170"/>
  <c r="G95" i="170"/>
  <c r="I94" i="170"/>
  <c r="G94" i="170"/>
  <c r="I93" i="170"/>
  <c r="G93" i="170"/>
  <c r="I92" i="170"/>
  <c r="G92" i="170"/>
  <c r="I91" i="170"/>
  <c r="G91" i="170"/>
  <c r="I90" i="170"/>
  <c r="G90" i="170"/>
  <c r="I89" i="170"/>
  <c r="G89" i="170"/>
  <c r="I88" i="170"/>
  <c r="G88" i="170"/>
  <c r="I87" i="170"/>
  <c r="G87" i="170"/>
  <c r="I86" i="170"/>
  <c r="G86" i="170"/>
  <c r="I85" i="170"/>
  <c r="G85" i="170"/>
  <c r="I84" i="170"/>
  <c r="G84" i="170"/>
  <c r="I83" i="170"/>
  <c r="G83" i="170"/>
  <c r="I82" i="170"/>
  <c r="G82" i="170"/>
  <c r="I81" i="170"/>
  <c r="G81" i="170"/>
  <c r="I80" i="170"/>
  <c r="G80" i="170"/>
  <c r="I79" i="170"/>
  <c r="G79" i="170"/>
  <c r="I78" i="170"/>
  <c r="G78" i="170"/>
  <c r="I77" i="170"/>
  <c r="G77" i="170"/>
  <c r="I76" i="170"/>
  <c r="G76" i="170"/>
  <c r="I75" i="170"/>
  <c r="G75" i="170"/>
  <c r="I74" i="170"/>
  <c r="G74" i="170"/>
  <c r="I73" i="170"/>
  <c r="G73" i="170"/>
  <c r="I72" i="170"/>
  <c r="G72" i="170"/>
  <c r="I71" i="170"/>
  <c r="G71" i="170"/>
  <c r="I70" i="170"/>
  <c r="G70" i="170"/>
  <c r="I69" i="170"/>
  <c r="G69" i="170"/>
  <c r="I68" i="170"/>
  <c r="G68" i="170"/>
  <c r="I67" i="170"/>
  <c r="G67" i="170"/>
  <c r="I66" i="170"/>
  <c r="G66" i="170"/>
  <c r="I65" i="170"/>
  <c r="G65" i="170"/>
  <c r="I64" i="170"/>
  <c r="G64" i="170"/>
  <c r="I63" i="170"/>
  <c r="G63" i="170"/>
  <c r="I62" i="170"/>
  <c r="G62" i="170"/>
  <c r="I61" i="170"/>
  <c r="G61" i="170"/>
  <c r="I60" i="170"/>
  <c r="G60" i="170"/>
  <c r="I59" i="170"/>
  <c r="G59" i="170"/>
  <c r="I58" i="170"/>
  <c r="G58" i="170"/>
  <c r="I57" i="170"/>
  <c r="G57" i="170"/>
  <c r="I56" i="170"/>
  <c r="G56" i="170"/>
  <c r="I55" i="170"/>
  <c r="G55" i="170"/>
  <c r="I54" i="170"/>
  <c r="G54" i="170"/>
  <c r="I53" i="170"/>
  <c r="G53" i="170"/>
  <c r="I52" i="170"/>
  <c r="G52" i="170"/>
  <c r="I51" i="170"/>
  <c r="G51" i="170"/>
  <c r="I50" i="170"/>
  <c r="G50" i="170"/>
  <c r="I49" i="170"/>
  <c r="G49" i="170"/>
  <c r="I48" i="170"/>
  <c r="G48" i="170"/>
  <c r="I47" i="170"/>
  <c r="G47" i="170"/>
  <c r="I46" i="170"/>
  <c r="G46" i="170"/>
  <c r="I45" i="170"/>
  <c r="G45" i="170"/>
  <c r="I44" i="170"/>
  <c r="G44" i="170"/>
  <c r="I43" i="170"/>
  <c r="G43" i="170"/>
  <c r="I42" i="170"/>
  <c r="G42" i="170"/>
  <c r="I41" i="170"/>
  <c r="G41" i="170"/>
  <c r="I40" i="170"/>
  <c r="G40" i="170"/>
  <c r="I39" i="170"/>
  <c r="G39" i="170"/>
  <c r="I38" i="170"/>
  <c r="G38" i="170"/>
  <c r="I37" i="170"/>
  <c r="G37" i="170"/>
  <c r="I36" i="170"/>
  <c r="G36" i="170"/>
  <c r="I35" i="170"/>
  <c r="G35" i="170"/>
  <c r="I34" i="170"/>
  <c r="G34" i="170"/>
  <c r="I33" i="170"/>
  <c r="G33" i="170"/>
  <c r="I32" i="170"/>
  <c r="G32" i="170"/>
  <c r="I31" i="170"/>
  <c r="G31" i="170"/>
  <c r="I30" i="170"/>
  <c r="G30" i="170"/>
  <c r="I29" i="170"/>
  <c r="G29" i="170"/>
  <c r="I28" i="170"/>
  <c r="G28" i="170"/>
  <c r="I27" i="170"/>
  <c r="G27" i="170"/>
  <c r="I26" i="170"/>
  <c r="G26" i="170"/>
  <c r="I25" i="170"/>
  <c r="G25" i="170"/>
  <c r="I24" i="170"/>
  <c r="G24" i="170"/>
  <c r="I23" i="170"/>
  <c r="G23" i="170"/>
  <c r="I22" i="170"/>
  <c r="G22" i="170"/>
  <c r="I21" i="170"/>
  <c r="G21" i="170"/>
  <c r="I20" i="170"/>
  <c r="G20" i="170"/>
  <c r="I19" i="170"/>
  <c r="G19" i="170"/>
  <c r="I18" i="170"/>
  <c r="G18" i="170"/>
  <c r="I17" i="170"/>
  <c r="G17" i="170"/>
  <c r="I16" i="170"/>
  <c r="G16" i="170"/>
  <c r="I15" i="170"/>
  <c r="G15" i="170"/>
  <c r="I14" i="170"/>
  <c r="G14" i="170"/>
  <c r="I13" i="170"/>
  <c r="G13" i="170"/>
  <c r="I12" i="170"/>
  <c r="G12" i="170"/>
  <c r="I11" i="170"/>
  <c r="G11" i="170"/>
  <c r="I10" i="170"/>
  <c r="G10" i="170"/>
  <c r="I9" i="170"/>
  <c r="G9" i="170"/>
  <c r="I8" i="170"/>
  <c r="G8" i="170"/>
  <c r="I7" i="170"/>
  <c r="G7" i="170"/>
  <c r="I6" i="170"/>
  <c r="G6" i="170"/>
  <c r="I5" i="170"/>
  <c r="G5" i="170"/>
  <c r="I4" i="170"/>
  <c r="G4" i="170"/>
  <c r="E26" i="188" l="1"/>
  <c r="E25" i="188"/>
  <c r="E34" i="188"/>
  <c r="E35" i="188"/>
  <c r="E37" i="188" s="1"/>
  <c r="E16" i="182"/>
  <c r="E17" i="182" s="1"/>
  <c r="C17" i="175"/>
  <c r="C18" i="175" s="1"/>
  <c r="C20" i="175" s="1"/>
  <c r="E27" i="188" l="1"/>
  <c r="E40" i="188" l="1"/>
  <c r="E28" i="188"/>
</calcChain>
</file>

<file path=xl/comments1.xml><?xml version="1.0" encoding="utf-8"?>
<comments xmlns="http://schemas.openxmlformats.org/spreadsheetml/2006/main">
  <authors>
    <author>T1295</author>
  </authors>
  <commentList>
    <comment ref="L12" authorId="0">
      <text>
        <r>
          <rPr>
            <b/>
            <sz val="12"/>
            <color indexed="10"/>
            <rFont val="PMingLiU"/>
            <family val="1"/>
            <charset val="136"/>
          </rPr>
          <t>輸入單位為</t>
        </r>
        <r>
          <rPr>
            <b/>
            <sz val="12"/>
            <color indexed="10"/>
            <rFont val="Times New Roman"/>
            <family val="1"/>
          </rPr>
          <t xml:space="preserve"> "mm"</t>
        </r>
      </text>
    </comment>
    <comment ref="L14" authorId="0">
      <text>
        <r>
          <rPr>
            <b/>
            <sz val="12"/>
            <color indexed="10"/>
            <rFont val="PMingLiU"/>
            <family val="1"/>
            <charset val="136"/>
          </rPr>
          <t>輸入單位為</t>
        </r>
        <r>
          <rPr>
            <b/>
            <sz val="12"/>
            <color indexed="10"/>
            <rFont val="Times New Roman"/>
            <family val="1"/>
          </rPr>
          <t xml:space="preserve"> "mm"</t>
        </r>
      </text>
    </comment>
    <comment ref="L16" authorId="0">
      <text>
        <r>
          <rPr>
            <b/>
            <sz val="12"/>
            <color indexed="10"/>
            <rFont val="PMingLiU"/>
            <family val="1"/>
            <charset val="136"/>
          </rPr>
          <t>輸入單位為</t>
        </r>
        <r>
          <rPr>
            <b/>
            <sz val="12"/>
            <color indexed="10"/>
            <rFont val="Times New Roman"/>
            <family val="1"/>
          </rPr>
          <t xml:space="preserve"> "mm"</t>
        </r>
      </text>
    </comment>
    <comment ref="F17" authorId="0">
      <text>
        <r>
          <rPr>
            <b/>
            <sz val="12"/>
            <color indexed="10"/>
            <rFont val="PMingLiU"/>
            <family val="1"/>
            <charset val="136"/>
          </rPr>
          <t>輸入單位為</t>
        </r>
        <r>
          <rPr>
            <b/>
            <sz val="12"/>
            <color indexed="10"/>
            <rFont val="Times New Roman"/>
            <family val="1"/>
          </rPr>
          <t xml:space="preserve"> "mm"</t>
        </r>
      </text>
    </comment>
    <comment ref="L19" authorId="0">
      <text>
        <r>
          <rPr>
            <b/>
            <sz val="12"/>
            <color indexed="10"/>
            <rFont val="PMingLiU"/>
            <family val="1"/>
            <charset val="136"/>
          </rPr>
          <t>請選擇正確材料種類
輸入錯誤無法計算重量</t>
        </r>
        <r>
          <rPr>
            <b/>
            <sz val="9"/>
            <rFont val="PMingLiU"/>
            <family val="1"/>
            <charset val="136"/>
          </rPr>
          <t xml:space="preserve">
</t>
        </r>
      </text>
    </comment>
    <comment ref="F26" authorId="0">
      <text>
        <r>
          <rPr>
            <b/>
            <sz val="12"/>
            <color indexed="10"/>
            <rFont val="PMingLiU"/>
            <family val="1"/>
            <charset val="136"/>
          </rPr>
          <t>輸入單位為</t>
        </r>
        <r>
          <rPr>
            <b/>
            <sz val="12"/>
            <color indexed="10"/>
            <rFont val="Times New Roman"/>
            <family val="1"/>
          </rPr>
          <t xml:space="preserve"> "mm"</t>
        </r>
        <r>
          <rPr>
            <sz val="9"/>
            <rFont val="PMingLiU"/>
            <family val="1"/>
            <charset val="136"/>
          </rPr>
          <t xml:space="preserve">
</t>
        </r>
      </text>
    </comment>
  </commentList>
</comments>
</file>

<file path=xl/comments2.xml><?xml version="1.0" encoding="utf-8"?>
<comments xmlns="http://schemas.openxmlformats.org/spreadsheetml/2006/main">
  <authors>
    <author>T1295</author>
  </authors>
  <commentList>
    <comment ref="J4" authorId="0">
      <text>
        <r>
          <rPr>
            <b/>
            <sz val="12"/>
            <color indexed="10"/>
            <rFont val="PMingLiU"/>
            <family val="1"/>
            <charset val="136"/>
          </rPr>
          <t>请利用下列工具帮助您计算剪断长度
每一种形状提供</t>
        </r>
        <r>
          <rPr>
            <b/>
            <sz val="12"/>
            <color indexed="10"/>
            <rFont val="Times New Roman"/>
            <family val="1"/>
          </rPr>
          <t>3</t>
        </r>
        <r>
          <rPr>
            <b/>
            <sz val="12"/>
            <color indexed="10"/>
            <rFont val="PMingLiU"/>
            <family val="1"/>
            <charset val="136"/>
          </rPr>
          <t>种尺寸计算栏位
如栏位不够多请分次计算再加总</t>
        </r>
      </text>
    </comment>
    <comment ref="C5" authorId="0">
      <text>
        <r>
          <rPr>
            <b/>
            <sz val="12"/>
            <color indexed="10"/>
            <rFont val="PMingLiU"/>
            <family val="1"/>
            <charset val="136"/>
          </rPr>
          <t>请选择正确的材料特性种类
不正确的输入计算值将为</t>
        </r>
        <r>
          <rPr>
            <b/>
            <sz val="12"/>
            <color indexed="10"/>
            <rFont val="Times New Roman"/>
            <family val="1"/>
          </rPr>
          <t xml:space="preserve"> " 0 "
</t>
        </r>
        <r>
          <rPr>
            <sz val="9"/>
            <rFont val="PMingLiU"/>
            <family val="1"/>
            <charset val="136"/>
          </rPr>
          <t xml:space="preserve">
</t>
        </r>
      </text>
    </comment>
    <comment ref="F5" authorId="0">
      <text>
        <r>
          <rPr>
            <b/>
            <sz val="8"/>
            <color indexed="10"/>
            <rFont val="PMingLiU"/>
            <family val="1"/>
            <charset val="136"/>
          </rPr>
          <t>请选择正确的材料种类
不正确的选择计算值将为</t>
        </r>
        <r>
          <rPr>
            <b/>
            <sz val="8"/>
            <color indexed="10"/>
            <rFont val="Times New Roman"/>
            <family val="1"/>
          </rPr>
          <t xml:space="preserve"> "0"
 1.  铅		3	---
 2.  锡		4	---
 3.  纯铝		9	16
 4.  杜拉铝		22	36
 5.  耐蚀铝		11	18
 6.  锌		12	20
 7.  铜		20	30
 8.  黄铜		25	40
 9.  磷青铜		35	60
10. 铍铜		45	70
11. 冷轧钢(SPCC)		32	35
12. 冷轧钢(SPCD)		32	35
13. 冷轧钢(SPCE)		32	35
14. 碳钢0.2%C		32	40
15. 碳钢0.3%C		36	48
16. 碳钢0.4%C		45	56
17. 碳钢0.6%C		55	72
18. 碳钢0.8%C		70	90
19. 碳钢1.0%C		80	105
20. 不锈钢		20	56
21. 硅钢片		45	55
22. 镍钢		25	30
23. 热硬化树脂		13	----
24. 云母		8	----
</t>
        </r>
      </text>
    </comment>
    <comment ref="C10" authorId="0">
      <text>
        <r>
          <rPr>
            <b/>
            <sz val="12"/>
            <color indexed="10"/>
            <rFont val="PMingLiU"/>
            <family val="1"/>
            <charset val="136"/>
          </rPr>
          <t>请输入正确的材料厚度
输入单位为</t>
        </r>
        <r>
          <rPr>
            <b/>
            <sz val="12"/>
            <color indexed="10"/>
            <rFont val="Times New Roman"/>
            <family val="1"/>
          </rPr>
          <t xml:space="preserve">mm
</t>
        </r>
        <r>
          <rPr>
            <b/>
            <sz val="12"/>
            <color indexed="10"/>
            <rFont val="PMingLiU"/>
            <family val="1"/>
            <charset val="136"/>
          </rPr>
          <t>无输入时计算值将为</t>
        </r>
        <r>
          <rPr>
            <b/>
            <sz val="12"/>
            <color indexed="10"/>
            <rFont val="Times New Roman"/>
            <family val="1"/>
          </rPr>
          <t xml:space="preserve"> "0"</t>
        </r>
      </text>
    </comment>
    <comment ref="Z12" authorId="0">
      <text>
        <r>
          <rPr>
            <b/>
            <sz val="14"/>
            <color indexed="10"/>
            <rFont val="PMingLiU"/>
            <family val="1"/>
            <charset val="136"/>
          </rPr>
          <t>三角形之短边为</t>
        </r>
        <r>
          <rPr>
            <b/>
            <sz val="14"/>
            <color indexed="10"/>
            <rFont val="Times New Roman"/>
            <family val="1"/>
          </rPr>
          <t xml:space="preserve"> "0"</t>
        </r>
      </text>
    </comment>
    <comment ref="C13" authorId="0">
      <text>
        <r>
          <rPr>
            <b/>
            <sz val="12"/>
            <color indexed="10"/>
            <rFont val="PMingLiU"/>
            <family val="1"/>
            <charset val="136"/>
          </rPr>
          <t>请计算并输入正确周长
输入单位为</t>
        </r>
        <r>
          <rPr>
            <b/>
            <sz val="12"/>
            <color indexed="10"/>
            <rFont val="Times New Roman"/>
            <family val="1"/>
          </rPr>
          <t xml:space="preserve">mm
</t>
        </r>
        <r>
          <rPr>
            <b/>
            <sz val="12"/>
            <color indexed="10"/>
            <rFont val="PMingLiU"/>
            <family val="1"/>
            <charset val="136"/>
          </rPr>
          <t>无输入时计算值将为</t>
        </r>
        <r>
          <rPr>
            <b/>
            <sz val="12"/>
            <color indexed="10"/>
            <rFont val="Times New Roman"/>
            <family val="1"/>
          </rPr>
          <t xml:space="preserve"> "0"</t>
        </r>
      </text>
    </comment>
    <comment ref="C16" authorId="0">
      <text>
        <r>
          <rPr>
            <b/>
            <sz val="14"/>
            <color indexed="10"/>
            <rFont val="PMingLiU"/>
            <family val="1"/>
            <charset val="136"/>
          </rPr>
          <t>一般选择</t>
        </r>
        <r>
          <rPr>
            <b/>
            <sz val="14"/>
            <color indexed="10"/>
            <rFont val="Times New Roman"/>
            <family val="1"/>
          </rPr>
          <t xml:space="preserve">  15%
</t>
        </r>
        <r>
          <rPr>
            <b/>
            <sz val="14"/>
            <color indexed="10"/>
            <rFont val="PMingLiU"/>
            <family val="1"/>
            <charset val="136"/>
          </rPr>
          <t>不需要时输入</t>
        </r>
        <r>
          <rPr>
            <b/>
            <sz val="14"/>
            <color indexed="10"/>
            <rFont val="Times New Roman"/>
            <family val="1"/>
          </rPr>
          <t xml:space="preserve"> " 0 "
</t>
        </r>
        <r>
          <rPr>
            <b/>
            <sz val="14"/>
            <color indexed="10"/>
            <rFont val="PMingLiU"/>
            <family val="1"/>
            <charset val="136"/>
          </rPr>
          <t>输入错误时以</t>
        </r>
        <r>
          <rPr>
            <b/>
            <sz val="14"/>
            <color indexed="10"/>
            <rFont val="Times New Roman"/>
            <family val="1"/>
          </rPr>
          <t xml:space="preserve"> " 0 %  "</t>
        </r>
        <r>
          <rPr>
            <b/>
            <sz val="14"/>
            <color indexed="10"/>
            <rFont val="PMingLiU"/>
            <family val="1"/>
            <charset val="136"/>
          </rPr>
          <t>计算</t>
        </r>
        <r>
          <rPr>
            <b/>
            <sz val="12"/>
            <color indexed="10"/>
            <rFont val="PMingLiU"/>
            <family val="1"/>
            <charset val="136"/>
          </rPr>
          <t xml:space="preserve">
</t>
        </r>
      </text>
    </comment>
    <comment ref="C22" authorId="0">
      <text>
        <r>
          <rPr>
            <b/>
            <sz val="14"/>
            <color indexed="10"/>
            <rFont val="PMingLiU"/>
            <family val="1"/>
            <charset val="136"/>
          </rPr>
          <t>冲剪过程中模具刃口变钝会使抗剪力增加</t>
        </r>
        <r>
          <rPr>
            <b/>
            <sz val="14"/>
            <color indexed="10"/>
            <rFont val="Times New Roman"/>
            <family val="1"/>
          </rPr>
          <t xml:space="preserve">30%
</t>
        </r>
        <r>
          <rPr>
            <b/>
            <sz val="14"/>
            <color indexed="10"/>
            <rFont val="PMingLiU"/>
            <family val="1"/>
            <charset val="136"/>
          </rPr>
          <t>一般选择</t>
        </r>
        <r>
          <rPr>
            <b/>
            <sz val="14"/>
            <color indexed="10"/>
            <rFont val="Times New Roman"/>
            <family val="1"/>
          </rPr>
          <t xml:space="preserve">   35%
</t>
        </r>
        <r>
          <rPr>
            <b/>
            <sz val="14"/>
            <color indexed="10"/>
            <rFont val="PMingLiU"/>
            <family val="1"/>
            <charset val="136"/>
          </rPr>
          <t>不需要时输入</t>
        </r>
        <r>
          <rPr>
            <b/>
            <sz val="14"/>
            <color indexed="10"/>
            <rFont val="Times New Roman"/>
            <family val="1"/>
          </rPr>
          <t xml:space="preserve"> " 0 "
</t>
        </r>
        <r>
          <rPr>
            <b/>
            <sz val="14"/>
            <color indexed="10"/>
            <rFont val="PMingLiU"/>
            <family val="1"/>
            <charset val="136"/>
          </rPr>
          <t>输入错误时以</t>
        </r>
        <r>
          <rPr>
            <b/>
            <sz val="14"/>
            <color indexed="10"/>
            <rFont val="Times New Roman"/>
            <family val="1"/>
          </rPr>
          <t xml:space="preserve"> 0% </t>
        </r>
        <r>
          <rPr>
            <b/>
            <sz val="14"/>
            <color indexed="10"/>
            <rFont val="PMingLiU"/>
            <family val="1"/>
            <charset val="136"/>
          </rPr>
          <t>计算</t>
        </r>
        <r>
          <rPr>
            <sz val="9"/>
            <rFont val="PMingLiU"/>
            <family val="1"/>
            <charset val="136"/>
          </rPr>
          <t xml:space="preserve">
</t>
        </r>
      </text>
    </comment>
    <comment ref="C28" authorId="0">
      <text>
        <r>
          <rPr>
            <b/>
            <sz val="14"/>
            <color indexed="10"/>
            <rFont val="PMingLiU"/>
            <family val="1"/>
            <charset val="136"/>
          </rPr>
          <t>请选择安全系数</t>
        </r>
        <r>
          <rPr>
            <b/>
            <sz val="14"/>
            <color indexed="10"/>
            <rFont val="Times New Roman"/>
            <family val="1"/>
          </rPr>
          <t xml:space="preserve">   
  1.  10%
  2.  20%
</t>
        </r>
        <r>
          <rPr>
            <b/>
            <sz val="14"/>
            <color indexed="10"/>
            <rFont val="PMingLiU"/>
            <family val="1"/>
            <charset val="136"/>
          </rPr>
          <t>不留安全系数时</t>
        </r>
        <r>
          <rPr>
            <b/>
            <sz val="14"/>
            <color indexed="10"/>
            <rFont val="Times New Roman"/>
            <family val="1"/>
          </rPr>
          <t xml:space="preserve"> , </t>
        </r>
        <r>
          <rPr>
            <b/>
            <sz val="14"/>
            <color indexed="10"/>
            <rFont val="PMingLiU"/>
            <family val="1"/>
            <charset val="136"/>
          </rPr>
          <t>输入</t>
        </r>
        <r>
          <rPr>
            <b/>
            <sz val="14"/>
            <color indexed="10"/>
            <rFont val="Times New Roman"/>
            <family val="1"/>
          </rPr>
          <t xml:space="preserve"> " 0 "</t>
        </r>
        <r>
          <rPr>
            <b/>
            <sz val="14"/>
            <color indexed="10"/>
            <rFont val="PMingLiU"/>
            <family val="1"/>
            <charset val="136"/>
          </rPr>
          <t xml:space="preserve">
无输入时以</t>
        </r>
        <r>
          <rPr>
            <b/>
            <sz val="14"/>
            <color indexed="10"/>
            <rFont val="Times New Roman"/>
            <family val="1"/>
          </rPr>
          <t xml:space="preserve"> " 0% " </t>
        </r>
        <r>
          <rPr>
            <b/>
            <sz val="14"/>
            <color indexed="10"/>
            <rFont val="PMingLiU"/>
            <family val="1"/>
            <charset val="136"/>
          </rPr>
          <t>计算</t>
        </r>
      </text>
    </comment>
  </commentList>
</comments>
</file>

<file path=xl/comments3.xml><?xml version="1.0" encoding="utf-8"?>
<comments xmlns="http://schemas.openxmlformats.org/spreadsheetml/2006/main">
  <authors>
    <author>庄筑合</author>
  </authors>
  <commentList>
    <comment ref="E4" authorId="0">
      <text>
        <r>
          <rPr>
            <sz val="9"/>
            <rFont val="宋体"/>
            <charset val="134"/>
          </rPr>
          <t>请注意!!!此分割数的值之结果需为整数,不可有小数点,以免累积误差,此为自动运算值,不要自行输入</t>
        </r>
      </text>
    </comment>
    <comment ref="E24" authorId="0">
      <text>
        <r>
          <rPr>
            <sz val="9"/>
            <rFont val="宋体"/>
            <charset val="134"/>
          </rPr>
          <t xml:space="preserve">此格为自动运算值,不需您重新输入
</t>
        </r>
      </text>
    </comment>
  </commentList>
</comments>
</file>

<file path=xl/comments4.xml><?xml version="1.0" encoding="utf-8"?>
<comments xmlns="http://schemas.openxmlformats.org/spreadsheetml/2006/main">
  <authors>
    <author>f1023529</author>
  </authors>
  <commentList>
    <comment ref="B57" authorId="0">
      <text/>
    </comment>
  </commentList>
</comments>
</file>

<file path=xl/comments5.xml><?xml version="1.0" encoding="utf-8"?>
<comments xmlns="http://schemas.openxmlformats.org/spreadsheetml/2006/main">
  <authors>
    <author>houshuai</author>
  </authors>
  <commentList>
    <comment ref="E5" authorId="0">
      <text>
        <r>
          <rPr>
            <sz val="9"/>
            <rFont val="宋体"/>
            <charset val="134"/>
          </rPr>
          <t xml:space="preserve">houshuai:
</t>
        </r>
      </text>
    </comment>
  </commentList>
</comments>
</file>

<file path=xl/comments6.xml><?xml version="1.0" encoding="utf-8"?>
<comments xmlns="http://schemas.openxmlformats.org/spreadsheetml/2006/main">
  <authors>
    <author>番茄花园</author>
    <author>chenw</author>
  </authors>
  <commentList>
    <comment ref="A1" authorId="0">
      <text>
        <r>
          <rPr>
            <sz val="9"/>
            <rFont val="宋体"/>
            <charset val="134"/>
          </rPr>
          <t>本计算程序只需人工输入绿色单元格参数.</t>
        </r>
      </text>
    </comment>
    <comment ref="A3" authorId="1">
      <text>
        <r>
          <rPr>
            <sz val="9"/>
            <rFont val="宋体"/>
            <charset val="134"/>
          </rPr>
          <t>chenw:
单位：m/s</t>
        </r>
      </text>
    </comment>
    <comment ref="B3" authorId="1">
      <text>
        <r>
          <rPr>
            <sz val="9"/>
            <rFont val="宋体"/>
            <charset val="134"/>
          </rPr>
          <t>chenw:
单位：N</t>
        </r>
      </text>
    </comment>
    <comment ref="C3" authorId="1">
      <text>
        <r>
          <rPr>
            <sz val="9"/>
            <rFont val="宋体"/>
            <charset val="134"/>
          </rPr>
          <t>chenw:
一般取值在0.8～0.95之间</t>
        </r>
      </text>
    </comment>
    <comment ref="A6" authorId="1">
      <text>
        <r>
          <rPr>
            <sz val="9"/>
            <rFont val="宋体"/>
            <charset val="134"/>
          </rPr>
          <t>chenw:
单位：N.M</t>
        </r>
      </text>
    </comment>
    <comment ref="B6" authorId="1">
      <text>
        <r>
          <rPr>
            <sz val="9"/>
            <rFont val="宋体"/>
            <charset val="134"/>
          </rPr>
          <t>chenw:
单位r/min</t>
        </r>
      </text>
    </comment>
    <comment ref="C6" authorId="1">
      <text>
        <r>
          <rPr>
            <sz val="9"/>
            <rFont val="宋体"/>
            <charset val="134"/>
          </rPr>
          <t>chenw:
一般取值在0.8～0.95之间</t>
        </r>
      </text>
    </comment>
    <comment ref="A9" authorId="1">
      <text>
        <r>
          <rPr>
            <sz val="9"/>
            <rFont val="宋体"/>
            <charset val="134"/>
          </rPr>
          <t>chenw:
单位：Kw</t>
        </r>
      </text>
    </comment>
    <comment ref="B9" authorId="1">
      <text>
        <r>
          <rPr>
            <sz val="9"/>
            <rFont val="宋体"/>
            <charset val="134"/>
          </rPr>
          <t>chenw:
单位r/min</t>
        </r>
      </text>
    </comment>
    <comment ref="C9" authorId="1">
      <text>
        <r>
          <rPr>
            <sz val="9"/>
            <rFont val="宋体"/>
            <charset val="134"/>
          </rPr>
          <t>chenw:
若是减速电机，ηd=1;若在电机后安装减速器，ηd=0.95.</t>
        </r>
      </text>
    </comment>
  </commentList>
</comments>
</file>

<file path=xl/comments7.xml><?xml version="1.0" encoding="utf-8"?>
<comments xmlns="http://schemas.openxmlformats.org/spreadsheetml/2006/main">
  <authors>
    <author>fan</author>
  </authors>
  <commentList>
    <comment ref="C24" authorId="0">
      <text>
        <r>
          <rPr>
            <sz val="9"/>
            <rFont val="宋体"/>
            <charset val="134"/>
          </rPr>
          <t xml:space="preserve">中点螺旋角一般为 35 度，当重合度较小时，可适当加大螺旋角。
中点螺旋角为 0 度时即“零度弧齿锥齿轮”。  
</t>
        </r>
      </text>
    </comment>
    <comment ref="G24" authorId="0">
      <text>
        <r>
          <rPr>
            <sz val="9"/>
            <rFont val="宋体"/>
            <charset val="134"/>
          </rPr>
          <t>可查《齿轮手册》上册
图 5.4-2。当齿数比为 1 时，切向变位系数可
取为 0。</t>
        </r>
      </text>
    </comment>
    <comment ref="C25" authorId="0">
      <text>
        <r>
          <rPr>
            <sz val="9"/>
            <rFont val="宋体"/>
            <charset val="134"/>
          </rPr>
          <t xml:space="preserve">齿宽按 0.3 * 外锥距
和 10 * 模数 二者中的小者选取。
</t>
        </r>
      </text>
    </comment>
    <comment ref="C31" authorId="0">
      <text>
        <r>
          <rPr>
            <sz val="9"/>
            <rFont val="宋体"/>
            <charset val="134"/>
          </rPr>
          <t xml:space="preserve">有a, b,c, d, e, h 等6种，最小法向侧隙以 a 最小，h 为 0。
</t>
        </r>
      </text>
    </comment>
    <comment ref="C32" authorId="0">
      <text>
        <r>
          <rPr>
            <sz val="9"/>
            <rFont val="宋体"/>
            <charset val="134"/>
          </rPr>
          <t xml:space="preserve">有 A,B,C,D,H 等5种，A 最大，H 最小。允许与不同最小法向侧隙组合，一般情况，推荐对应组合。即：a-A,b-B,c-C,d-D,e-H,h-H.
</t>
        </r>
      </text>
    </comment>
    <comment ref="C42" authorId="0">
      <text>
        <r>
          <rPr>
            <sz val="9"/>
            <rFont val="宋体"/>
            <charset val="134"/>
          </rPr>
          <t>当“选择刀盘失败”时，请参照下表修正齿轮有关参数：
刀盘直径  中点螺旋角  外锥距    最大齿高  最大齿宽  大端模数
   mm         度        mm         mm        mm        mm
------------------------------------------------------------
         ≤15        20-40                  14   
  88.9    &gt;15-30     30-54        9         18       2.5-4
 (3.5")   &gt;30        45-65                  20
------------------------------------------------------------
          ≤15       35-75                  24       2.5-4.5
 152.4     &gt;15-30    50-87        10        30       2.5-5
 (6")      &gt;30       60-110                 30       2.5-5
------------------------------------------------------------
           ≤15      50-90                  30       4-6
 190.5     &gt;15-30    65-110       15        40       4-7.5
 (7.5")    &gt;30       95-135                 40       4-8
------------------------------------------------------------
          ≤15       60-120                 36       4-6.5
 228.6     &gt;15-30    78-130       15        45       4-7.5
 (9")      &gt;30       115-165                50       4-8
------------------------------------------------------------
          ≤15       90-180                 50       5-9
 304.8     &gt;15-30    105-175      20        60       5-10
 (12")     &gt;30       150-220                65       5-11
------------------------------------------------------------
           ≤15      140-240                70       6-12
 457.2     &gt;15-25    140-230      28        80       6-14
 (18")     &gt;25-35    195-290                100      6-15
           &gt;35       200-360                100      6-15</t>
        </r>
      </text>
    </comment>
    <comment ref="H44" authorId="0">
      <text>
        <r>
          <rPr>
            <sz val="9"/>
            <rFont val="宋体"/>
            <charset val="134"/>
          </rPr>
          <t>当ε总小于 2 时，ε纵向 必须大于 1.25， 否则被认为重合度过小。可通过适当加大螺旋角或齿面宽来解决。</t>
        </r>
      </text>
    </comment>
    <comment ref="E46" authorId="0">
      <text>
        <r>
          <rPr>
            <sz val="9"/>
            <rFont val="宋体"/>
            <charset val="134"/>
          </rPr>
          <t>如果βi大于βa，则出现“反向收缩”，须修改有关参数。</t>
        </r>
      </text>
    </comment>
  </commentList>
</comments>
</file>

<file path=xl/comments8.xml><?xml version="1.0" encoding="utf-8"?>
<comments xmlns="http://schemas.openxmlformats.org/spreadsheetml/2006/main">
  <authors>
    <author>houshuai</author>
  </authors>
  <commentList>
    <comment ref="E8" authorId="0">
      <text>
        <r>
          <rPr>
            <sz val="9"/>
            <rFont val="宋体"/>
            <charset val="134"/>
          </rPr>
          <t xml:space="preserve">houshuai:
</t>
        </r>
      </text>
    </comment>
  </commentList>
</comments>
</file>

<file path=xl/sharedStrings.xml><?xml version="1.0" encoding="utf-8"?>
<sst xmlns="http://schemas.openxmlformats.org/spreadsheetml/2006/main" count="39443" uniqueCount="12729">
  <si>
    <t>类型</t>
  </si>
  <si>
    <t>负载转矩计算</t>
  </si>
  <si>
    <t>皮带轮间歇运动</t>
  </si>
  <si>
    <t>气缸内径选型</t>
  </si>
  <si>
    <t>丝杠水平运动</t>
  </si>
  <si>
    <t>外啮合变位圆柱齿轮传动几何尺寸计算</t>
  </si>
  <si>
    <t>螺纹中小径计算</t>
  </si>
  <si>
    <t>圆柱蜗杆传动</t>
  </si>
  <si>
    <t>惯量（惯性矩）计算</t>
  </si>
  <si>
    <t>皮带轮连续运动</t>
  </si>
  <si>
    <t>丝杠垂直运动</t>
  </si>
  <si>
    <t>齿轮齿条</t>
  </si>
  <si>
    <t>公制/美制 粗螺纹</t>
  </si>
  <si>
    <t>电机常识</t>
  </si>
  <si>
    <t>三角皮带长度计算</t>
  </si>
  <si>
    <t>气缸理论出力表</t>
  </si>
  <si>
    <t>齿轮常用材料及其力学性能</t>
  </si>
  <si>
    <t>公制螺纹大全</t>
  </si>
  <si>
    <t>圆柱蜗杆传动主要参数搭配推荐值</t>
  </si>
  <si>
    <t>常用Y系列电机型号参数表</t>
  </si>
  <si>
    <t>三角皮带参数表</t>
  </si>
  <si>
    <t>真空吸盘的选型</t>
  </si>
  <si>
    <t>高度变位斜齿轮跨棒(球)距</t>
  </si>
  <si>
    <t>英制螺纹底孔对照表</t>
  </si>
  <si>
    <t>蜗轮传动</t>
  </si>
  <si>
    <t>电机功率确定程序</t>
  </si>
  <si>
    <t>SPA、SPB带轮规格</t>
  </si>
  <si>
    <t>耗气量计算及电磁阀选择</t>
  </si>
  <si>
    <t>高变位齿轮尺寸计算</t>
  </si>
  <si>
    <t>美制特细螺纹&amp;英制电器螺纹</t>
  </si>
  <si>
    <t>伺服电机选型自动版</t>
  </si>
  <si>
    <t>A型三角带规格</t>
  </si>
  <si>
    <t>锥齿轮传动设计计算</t>
  </si>
  <si>
    <t>英制、美制管螺纹</t>
  </si>
  <si>
    <t>减速机公称功率</t>
  </si>
  <si>
    <t>B型三角带规格</t>
  </si>
  <si>
    <t>亚德客油压缓冲器</t>
  </si>
  <si>
    <t>齿轮齿条传动设计计算</t>
  </si>
  <si>
    <t>英制螺纹</t>
  </si>
  <si>
    <t>C型三角带规格</t>
  </si>
  <si>
    <t>齿轮齿条电机选型</t>
  </si>
  <si>
    <t>米制细牙螺纹</t>
  </si>
  <si>
    <t>单位换算</t>
  </si>
  <si>
    <t>同步带轮传动设计</t>
  </si>
  <si>
    <t>链轮的基本参数</t>
  </si>
  <si>
    <t>常用工程材料属性</t>
  </si>
  <si>
    <t>外花键跨棒距</t>
  </si>
  <si>
    <t>分割器选型知识</t>
  </si>
  <si>
    <t>立柱计算</t>
  </si>
  <si>
    <t xml:space="preserve"> 电机功率换算转矩（扭矩）</t>
  </si>
  <si>
    <t>轴向齿廓及尺寸</t>
  </si>
  <si>
    <t>材料价格计算表</t>
  </si>
  <si>
    <t>内花键棒间距</t>
  </si>
  <si>
    <t>压入力计算</t>
  </si>
  <si>
    <t>功率计算公式</t>
  </si>
  <si>
    <t>链条长度计算</t>
  </si>
  <si>
    <t>常用材料硬度表</t>
  </si>
  <si>
    <t>键的强度计算</t>
  </si>
  <si>
    <t>圆盘</t>
  </si>
  <si>
    <t>弹性模量、泊松系数</t>
  </si>
  <si>
    <t>传动用短节距精密滚子链</t>
  </si>
  <si>
    <t>金属材料密度表</t>
  </si>
  <si>
    <t>销的强度计算</t>
  </si>
  <si>
    <t>间歇回转转盘运动</t>
  </si>
  <si>
    <t>焊缝及键连接受力计算比较</t>
  </si>
  <si>
    <t>倍速链线马达功率计算</t>
  </si>
  <si>
    <t>塑料材料性能</t>
  </si>
  <si>
    <t>平键和键槽查询</t>
  </si>
  <si>
    <t>摇摆输送驱动</t>
  </si>
  <si>
    <t>倍速链的张力计算</t>
  </si>
  <si>
    <t>七国铝合金牌号对照</t>
  </si>
  <si>
    <t>齿轮分割驱动</t>
  </si>
  <si>
    <t>七国钢材牌号对照表</t>
  </si>
  <si>
    <t>输送带式驱动</t>
  </si>
  <si>
    <t>链轮齿槽形状</t>
  </si>
  <si>
    <t>稳定性系数</t>
  </si>
  <si>
    <t xml:space="preserve"> 转矩【扭矩】计算</t>
  </si>
  <si>
    <t>凸轮各曲线特征</t>
  </si>
  <si>
    <t>公差</t>
  </si>
  <si>
    <t>深沟球轴承规格表</t>
  </si>
  <si>
    <t>孔用弹性挡圈</t>
  </si>
  <si>
    <t>沉孔尺寸</t>
  </si>
  <si>
    <t>弹簧刚度计算大全</t>
  </si>
  <si>
    <t>万向联轴器计算</t>
  </si>
  <si>
    <t>正弦加速度凸轮</t>
  </si>
  <si>
    <t>轴的基本偏差</t>
  </si>
  <si>
    <t>超越离合器设计</t>
  </si>
  <si>
    <t>轴用弹性挡圈</t>
  </si>
  <si>
    <t>塞打螺丝常用规格表</t>
  </si>
  <si>
    <t>弹簧计算</t>
  </si>
  <si>
    <t>齿式联轴器计算</t>
  </si>
  <si>
    <t>正弦余弦对照表</t>
  </si>
  <si>
    <t>孔偏差</t>
  </si>
  <si>
    <t>推力球轴承尺寸表</t>
  </si>
  <si>
    <t>轴用E形扣环</t>
  </si>
  <si>
    <t>UCT带滑块轴承座规格表</t>
  </si>
  <si>
    <t>棘轮计算</t>
  </si>
  <si>
    <t>凸轮轮廓曲线设计</t>
  </si>
  <si>
    <t>形位公差</t>
  </si>
  <si>
    <t>圆锥滚子轴承</t>
  </si>
  <si>
    <t>扳手空间尺寸</t>
  </si>
  <si>
    <t>T型槽尺寸</t>
  </si>
  <si>
    <t>紧固螺钉旋入深度及螺孔底孔深度</t>
  </si>
  <si>
    <t>冲压力计算</t>
  </si>
  <si>
    <t>力学性能</t>
  </si>
  <si>
    <t>液压系统</t>
  </si>
  <si>
    <t>【理论】总冲裁力的计算</t>
  </si>
  <si>
    <t>圆</t>
  </si>
  <si>
    <t>空心正方形（圆）</t>
  </si>
  <si>
    <t>液压油</t>
  </si>
  <si>
    <t>剪切力計算</t>
  </si>
  <si>
    <t>半圆环</t>
  </si>
  <si>
    <t>空心正方形</t>
  </si>
  <si>
    <t>缝隙.管路</t>
  </si>
  <si>
    <t>板材压印成型之加工压力</t>
  </si>
  <si>
    <t>半圆</t>
  </si>
  <si>
    <t>六边形</t>
  </si>
  <si>
    <t>蓄能器</t>
  </si>
  <si>
    <t>V型 弯曲力之计算</t>
  </si>
  <si>
    <t>带横孔圆</t>
  </si>
  <si>
    <t>三角形</t>
  </si>
  <si>
    <t>油箱.热平衡</t>
  </si>
  <si>
    <t>U型 弯曲力之计算</t>
  </si>
  <si>
    <t>钢型截面</t>
  </si>
  <si>
    <t>扇形</t>
  </si>
  <si>
    <t>泵.马达</t>
  </si>
  <si>
    <t>卷料冲压效率</t>
  </si>
  <si>
    <t>花键</t>
  </si>
  <si>
    <t>扇形圆环</t>
  </si>
  <si>
    <t>椭圆</t>
  </si>
  <si>
    <t>薄壁正方形</t>
  </si>
  <si>
    <t>空心椭圆</t>
  </si>
  <si>
    <t>正方形</t>
  </si>
  <si>
    <t>空心圆</t>
  </si>
  <si>
    <t>国内外常用铝及铝合金牌号对照表</t>
  </si>
  <si>
    <t>类</t>
  </si>
  <si>
    <t>中国</t>
  </si>
  <si>
    <t>美国</t>
  </si>
  <si>
    <t>英国</t>
  </si>
  <si>
    <t>日本</t>
  </si>
  <si>
    <t>法国</t>
  </si>
  <si>
    <t>德国</t>
  </si>
  <si>
    <t>前苏联</t>
  </si>
  <si>
    <t>别</t>
  </si>
  <si>
    <t>GB</t>
  </si>
  <si>
    <t>ASTM</t>
  </si>
  <si>
    <t>BS</t>
  </si>
  <si>
    <t>JIS</t>
  </si>
  <si>
    <t>NF</t>
  </si>
  <si>
    <t>DIN</t>
  </si>
  <si>
    <t>ГОСТ</t>
  </si>
  <si>
    <t>工</t>
  </si>
  <si>
    <t>1A99</t>
  </si>
  <si>
    <t>1199</t>
  </si>
  <si>
    <t>A199.99R</t>
  </si>
  <si>
    <t>A99</t>
  </si>
  <si>
    <t>业</t>
  </si>
  <si>
    <t>1A97</t>
  </si>
  <si>
    <t>A199.98R</t>
  </si>
  <si>
    <t>A97</t>
  </si>
  <si>
    <t>纯</t>
  </si>
  <si>
    <t>1A95</t>
  </si>
  <si>
    <t>A95</t>
  </si>
  <si>
    <t>铝</t>
  </si>
  <si>
    <t>1A80</t>
  </si>
  <si>
    <t>1080(1A)</t>
  </si>
  <si>
    <t>1080</t>
  </si>
  <si>
    <t>1080A</t>
  </si>
  <si>
    <t>A199.90</t>
  </si>
  <si>
    <t>A8</t>
  </si>
  <si>
    <t>1A50</t>
  </si>
  <si>
    <t>1050</t>
  </si>
  <si>
    <t>1050(1B)</t>
  </si>
  <si>
    <t>1050A</t>
  </si>
  <si>
    <t>A199.50</t>
  </si>
  <si>
    <t>A5</t>
  </si>
  <si>
    <t>防</t>
  </si>
  <si>
    <t>5A02</t>
  </si>
  <si>
    <t>5052</t>
  </si>
  <si>
    <t>NS4</t>
  </si>
  <si>
    <t>A1Mg2.5</t>
  </si>
  <si>
    <t>Amg</t>
  </si>
  <si>
    <r>
      <rPr>
        <sz val="10"/>
        <rFont val="Times New Roman"/>
        <family val="1"/>
      </rPr>
      <t xml:space="preserve"> </t>
    </r>
    <r>
      <rPr>
        <sz val="10"/>
        <rFont val="宋体"/>
        <charset val="134"/>
      </rPr>
      <t>锈</t>
    </r>
  </si>
  <si>
    <t>5A03</t>
  </si>
  <si>
    <t>NS5</t>
  </si>
  <si>
    <t>AMg3</t>
  </si>
  <si>
    <t>5A05</t>
  </si>
  <si>
    <t>5056</t>
  </si>
  <si>
    <t>NB6</t>
  </si>
  <si>
    <t>A1Mg5</t>
  </si>
  <si>
    <t>AMg5V</t>
  </si>
  <si>
    <t>5A30</t>
  </si>
  <si>
    <t>5456</t>
  </si>
  <si>
    <t>NG61</t>
  </si>
  <si>
    <t>5556</t>
  </si>
  <si>
    <t>5957</t>
  </si>
  <si>
    <t>2A01</t>
  </si>
  <si>
    <t>2036</t>
  </si>
  <si>
    <t>2117</t>
  </si>
  <si>
    <t>AlCu2.5Mg0.5</t>
  </si>
  <si>
    <t>D18</t>
  </si>
  <si>
    <r>
      <rPr>
        <sz val="10"/>
        <rFont val="宋体"/>
        <charset val="134"/>
      </rPr>
      <t>硬</t>
    </r>
    <r>
      <rPr>
        <sz val="10"/>
        <rFont val="Times New Roman"/>
        <family val="1"/>
      </rPr>
      <t xml:space="preserve"> </t>
    </r>
  </si>
  <si>
    <t>2A11</t>
  </si>
  <si>
    <t>HF15</t>
  </si>
  <si>
    <t>2017</t>
  </si>
  <si>
    <t>2017S</t>
  </si>
  <si>
    <t>AlCuMg1</t>
  </si>
  <si>
    <t xml:space="preserve">D1 </t>
  </si>
  <si>
    <t>2A12</t>
  </si>
  <si>
    <t>2124</t>
  </si>
  <si>
    <t>2024</t>
  </si>
  <si>
    <t>AlCuMg2</t>
  </si>
  <si>
    <t>D16AVTV</t>
  </si>
  <si>
    <t>2B16</t>
  </si>
  <si>
    <t>2319</t>
  </si>
  <si>
    <t>锻</t>
  </si>
  <si>
    <t>2A80</t>
  </si>
  <si>
    <t>2N01</t>
  </si>
  <si>
    <t>AK4</t>
  </si>
  <si>
    <t>2A90</t>
  </si>
  <si>
    <t>2218</t>
  </si>
  <si>
    <t>2018</t>
  </si>
  <si>
    <t>AK2</t>
  </si>
  <si>
    <t>2A14</t>
  </si>
  <si>
    <t>2014</t>
  </si>
  <si>
    <t>AlCuSiMn</t>
  </si>
  <si>
    <t>AK8</t>
  </si>
  <si>
    <t>超硬铝</t>
  </si>
  <si>
    <t>7A09</t>
  </si>
  <si>
    <t>7175</t>
  </si>
  <si>
    <t>7075</t>
  </si>
  <si>
    <t>AlZnMgCu1.5</t>
  </si>
  <si>
    <t>V95P</t>
  </si>
  <si>
    <t>ZAlSi7Mn</t>
  </si>
  <si>
    <t>356.2</t>
  </si>
  <si>
    <t>LM25</t>
  </si>
  <si>
    <t>AC4C</t>
  </si>
  <si>
    <t>G-AlSi7Mg</t>
  </si>
  <si>
    <t>铸</t>
  </si>
  <si>
    <t>ZAlSi12</t>
  </si>
  <si>
    <t>413.2</t>
  </si>
  <si>
    <t>LM6</t>
  </si>
  <si>
    <t>AC3A</t>
  </si>
  <si>
    <t>A-S12-Y4</t>
  </si>
  <si>
    <t>G-Al12</t>
  </si>
  <si>
    <t>AL2</t>
  </si>
  <si>
    <t>造</t>
  </si>
  <si>
    <t>ZAlSi5Cu1Mg</t>
  </si>
  <si>
    <t>355.2</t>
  </si>
  <si>
    <t>AL5</t>
  </si>
  <si>
    <t>ZAlSi2Cu2Mg1</t>
  </si>
  <si>
    <t>413.0</t>
  </si>
  <si>
    <t>AC8A</t>
  </si>
  <si>
    <t>G-Al12(Cu)</t>
  </si>
  <si>
    <t>合</t>
  </si>
  <si>
    <t>ZAlCu5Mn</t>
  </si>
  <si>
    <t>AL19</t>
  </si>
  <si>
    <t>金</t>
  </si>
  <si>
    <t>ZAlCu5MnCdVA</t>
  </si>
  <si>
    <t>201.0</t>
  </si>
  <si>
    <t>ZAlMg10</t>
  </si>
  <si>
    <t>520.2</t>
  </si>
  <si>
    <t>LM10</t>
  </si>
  <si>
    <t>AG11</t>
  </si>
  <si>
    <t>G-AlMg10</t>
  </si>
  <si>
    <t>AL8</t>
  </si>
  <si>
    <t>ZAlMg5Si</t>
  </si>
  <si>
    <t>G-AlMg5Si</t>
  </si>
  <si>
    <t>AL13</t>
  </si>
  <si>
    <t>By:Jeffrey Lee Mar.16,2000</t>
  </si>
  <si>
    <t>国内外常用钢钢号对照表</t>
  </si>
  <si>
    <t>钢号</t>
  </si>
  <si>
    <t xml:space="preserve"> </t>
  </si>
  <si>
    <t>08F</t>
  </si>
  <si>
    <t>08КП</t>
  </si>
  <si>
    <t>040A04</t>
  </si>
  <si>
    <t>S09CK</t>
  </si>
  <si>
    <t>C10</t>
  </si>
  <si>
    <t>优</t>
  </si>
  <si>
    <t>08</t>
  </si>
  <si>
    <t>1008</t>
  </si>
  <si>
    <t>045M10</t>
  </si>
  <si>
    <t>S9CK</t>
  </si>
  <si>
    <t>10F</t>
  </si>
  <si>
    <t>1010</t>
  </si>
  <si>
    <t>040A10</t>
  </si>
  <si>
    <t>XC10</t>
  </si>
  <si>
    <t>10</t>
  </si>
  <si>
    <t>1010,1012</t>
  </si>
  <si>
    <t>S10C</t>
  </si>
  <si>
    <t>C10,CK10</t>
  </si>
  <si>
    <t>质</t>
  </si>
  <si>
    <t>15</t>
  </si>
  <si>
    <t>1015</t>
  </si>
  <si>
    <t>095M15</t>
  </si>
  <si>
    <t>S15C</t>
  </si>
  <si>
    <t>XC12</t>
  </si>
  <si>
    <t>C15,CK15</t>
  </si>
  <si>
    <t>20</t>
  </si>
  <si>
    <t>1020</t>
  </si>
  <si>
    <t>050A20</t>
  </si>
  <si>
    <t>S20C</t>
  </si>
  <si>
    <t>XC18</t>
  </si>
  <si>
    <t>C22,CK22</t>
  </si>
  <si>
    <t>25</t>
  </si>
  <si>
    <t>1025</t>
  </si>
  <si>
    <t>S25C</t>
  </si>
  <si>
    <t>CK25</t>
  </si>
  <si>
    <t>碳</t>
  </si>
  <si>
    <t>30</t>
  </si>
  <si>
    <t>1030</t>
  </si>
  <si>
    <t>060A30</t>
  </si>
  <si>
    <t>S30C</t>
  </si>
  <si>
    <t>XC32</t>
  </si>
  <si>
    <t>35</t>
  </si>
  <si>
    <t>1035</t>
  </si>
  <si>
    <t>060A35</t>
  </si>
  <si>
    <t>S35C</t>
  </si>
  <si>
    <t>XC38TS</t>
  </si>
  <si>
    <t>C35,CK35</t>
  </si>
  <si>
    <t>40</t>
  </si>
  <si>
    <t>1040</t>
  </si>
  <si>
    <t>080A40</t>
  </si>
  <si>
    <t>S40C</t>
  </si>
  <si>
    <t>XC38H1</t>
  </si>
  <si>
    <t>素</t>
  </si>
  <si>
    <t>45</t>
  </si>
  <si>
    <t>1045</t>
  </si>
  <si>
    <t>080M46</t>
  </si>
  <si>
    <t>S45C</t>
  </si>
  <si>
    <t>XC45</t>
  </si>
  <si>
    <t>C45,CK45</t>
  </si>
  <si>
    <t>50</t>
  </si>
  <si>
    <t>060A52</t>
  </si>
  <si>
    <t>S50C</t>
  </si>
  <si>
    <t>XC48TS</t>
  </si>
  <si>
    <t>CK53</t>
  </si>
  <si>
    <t>结</t>
  </si>
  <si>
    <t>55</t>
  </si>
  <si>
    <t>1055</t>
  </si>
  <si>
    <t>070M55</t>
  </si>
  <si>
    <t>S55C</t>
  </si>
  <si>
    <t>XC55</t>
  </si>
  <si>
    <t>60</t>
  </si>
  <si>
    <t>1060</t>
  </si>
  <si>
    <t>080A62</t>
  </si>
  <si>
    <t>S58C</t>
  </si>
  <si>
    <t>C60,CK60</t>
  </si>
  <si>
    <t>15Mn</t>
  </si>
  <si>
    <t>15Г</t>
  </si>
  <si>
    <t>1016,1115</t>
  </si>
  <si>
    <t>080A17</t>
  </si>
  <si>
    <t>SB46</t>
  </si>
  <si>
    <t>14Mn4</t>
  </si>
  <si>
    <t>构</t>
  </si>
  <si>
    <t>20Mn</t>
  </si>
  <si>
    <t>20Г</t>
  </si>
  <si>
    <t>1021,1022</t>
  </si>
  <si>
    <t>080A20</t>
  </si>
  <si>
    <t>30Mn</t>
  </si>
  <si>
    <t>30Г</t>
  </si>
  <si>
    <t>1030,1033</t>
  </si>
  <si>
    <t>080A32</t>
  </si>
  <si>
    <t>40Mn</t>
  </si>
  <si>
    <t>40Г</t>
  </si>
  <si>
    <t>1036,1040</t>
  </si>
  <si>
    <t>40M5</t>
  </si>
  <si>
    <t>40Mn4</t>
  </si>
  <si>
    <t>钢</t>
  </si>
  <si>
    <t>45Mn</t>
  </si>
  <si>
    <t>45Г</t>
  </si>
  <si>
    <t>1043,1045</t>
  </si>
  <si>
    <t>080A47</t>
  </si>
  <si>
    <t>50Mn</t>
  </si>
  <si>
    <t>50Г</t>
  </si>
  <si>
    <t>1050,1052</t>
  </si>
  <si>
    <t>030A52</t>
  </si>
  <si>
    <t>S53C</t>
  </si>
  <si>
    <t>XC48</t>
  </si>
  <si>
    <t>080M50</t>
  </si>
  <si>
    <t>20Mn2</t>
  </si>
  <si>
    <t>20Г2</t>
  </si>
  <si>
    <t>1320,1321</t>
  </si>
  <si>
    <t>150M19</t>
  </si>
  <si>
    <t>SMn420</t>
  </si>
  <si>
    <t>20Mn5</t>
  </si>
  <si>
    <t>30Mn2</t>
  </si>
  <si>
    <t>30Г2</t>
  </si>
  <si>
    <t>1330</t>
  </si>
  <si>
    <t>150M28</t>
  </si>
  <si>
    <t>SMn433H</t>
  </si>
  <si>
    <t>32M5</t>
  </si>
  <si>
    <t>30Mn5</t>
  </si>
  <si>
    <t>35Mn2</t>
  </si>
  <si>
    <t>35Г2</t>
  </si>
  <si>
    <t>1335</t>
  </si>
  <si>
    <t>150M36</t>
  </si>
  <si>
    <t>SMn438(H)</t>
  </si>
  <si>
    <t>35M5</t>
  </si>
  <si>
    <t>36Mn5</t>
  </si>
  <si>
    <t>40Mn2</t>
  </si>
  <si>
    <t>40Г2</t>
  </si>
  <si>
    <t>1340</t>
  </si>
  <si>
    <t>SMn443</t>
  </si>
  <si>
    <t>45Mn2</t>
  </si>
  <si>
    <t>45Г2</t>
  </si>
  <si>
    <t>1345</t>
  </si>
  <si>
    <t>46Mn7</t>
  </si>
  <si>
    <t>50Mn2</t>
  </si>
  <si>
    <t>50Г2</t>
  </si>
  <si>
    <t>~55M5</t>
  </si>
  <si>
    <t>20MnV</t>
  </si>
  <si>
    <t>20MnV6</t>
  </si>
  <si>
    <t>35SiMn</t>
  </si>
  <si>
    <t>35CГ</t>
  </si>
  <si>
    <t>En46</t>
  </si>
  <si>
    <t>37MnSi5</t>
  </si>
  <si>
    <t>42SiMn</t>
  </si>
  <si>
    <t>46MnSi4</t>
  </si>
  <si>
    <t>40B</t>
  </si>
  <si>
    <t>TS14B35</t>
  </si>
  <si>
    <t>45B</t>
  </si>
  <si>
    <t>50B46H</t>
  </si>
  <si>
    <t>40MnB</t>
  </si>
  <si>
    <t>50B40</t>
  </si>
  <si>
    <t>45MnB</t>
  </si>
  <si>
    <t>50B44</t>
  </si>
  <si>
    <t>15Cr</t>
  </si>
  <si>
    <t>15X</t>
  </si>
  <si>
    <t>5115</t>
  </si>
  <si>
    <t>523M15</t>
  </si>
  <si>
    <t>SCr415(H)</t>
  </si>
  <si>
    <t>12C3</t>
  </si>
  <si>
    <t>15Cr3</t>
  </si>
  <si>
    <t>20Cr</t>
  </si>
  <si>
    <t>20X</t>
  </si>
  <si>
    <t>5120</t>
  </si>
  <si>
    <t>527A19</t>
  </si>
  <si>
    <t>SCr420H</t>
  </si>
  <si>
    <t>18C3</t>
  </si>
  <si>
    <t>20Cr4</t>
  </si>
  <si>
    <t>30Cr</t>
  </si>
  <si>
    <t>30X</t>
  </si>
  <si>
    <t>5130</t>
  </si>
  <si>
    <t>530A30</t>
  </si>
  <si>
    <t>SCr430</t>
  </si>
  <si>
    <t>28Cr4</t>
  </si>
  <si>
    <t>35Cr</t>
  </si>
  <si>
    <t>35X</t>
  </si>
  <si>
    <t>5132</t>
  </si>
  <si>
    <t>530A36</t>
  </si>
  <si>
    <t>SCr430(H)</t>
  </si>
  <si>
    <t>32C4</t>
  </si>
  <si>
    <t>34Cr4</t>
  </si>
  <si>
    <t>40Cr</t>
  </si>
  <si>
    <t>40X</t>
  </si>
  <si>
    <t>5140</t>
  </si>
  <si>
    <t>520M40</t>
  </si>
  <si>
    <t>SCr440</t>
  </si>
  <si>
    <t>42C4</t>
  </si>
  <si>
    <t>41Cr4</t>
  </si>
  <si>
    <t>45Cr</t>
  </si>
  <si>
    <t>45X</t>
  </si>
  <si>
    <t>5145,5147</t>
  </si>
  <si>
    <t>534A99</t>
  </si>
  <si>
    <t>SCr445</t>
  </si>
  <si>
    <t>45C4</t>
  </si>
  <si>
    <t>38CrSi</t>
  </si>
  <si>
    <t>38XC</t>
  </si>
  <si>
    <t>12CrMo</t>
  </si>
  <si>
    <t>12XM</t>
  </si>
  <si>
    <r>
      <rPr>
        <i/>
        <sz val="10"/>
        <rFont val="宋体"/>
        <charset val="134"/>
      </rPr>
      <t>620C</t>
    </r>
    <r>
      <rPr>
        <i/>
        <vertAlign val="subscript"/>
        <sz val="10"/>
        <rFont val="宋体"/>
        <charset val="134"/>
      </rPr>
      <t>R</t>
    </r>
    <r>
      <rPr>
        <b/>
        <i/>
        <vertAlign val="superscript"/>
        <sz val="10"/>
        <rFont val="宋体"/>
        <charset val="134"/>
      </rPr>
      <t>.</t>
    </r>
    <r>
      <rPr>
        <sz val="10"/>
        <rFont val="宋体"/>
        <charset val="134"/>
      </rPr>
      <t>B</t>
    </r>
  </si>
  <si>
    <t>12CD4</t>
  </si>
  <si>
    <t>13CrMo44</t>
  </si>
  <si>
    <t>15CrMo</t>
  </si>
  <si>
    <t>15XM</t>
  </si>
  <si>
    <r>
      <rPr>
        <sz val="10"/>
        <rFont val="宋体"/>
        <charset val="134"/>
      </rPr>
      <t xml:space="preserve">A-387Cr </t>
    </r>
    <r>
      <rPr>
        <b/>
        <vertAlign val="superscript"/>
        <sz val="10"/>
        <rFont val="宋体"/>
        <charset val="134"/>
      </rPr>
      <t>.</t>
    </r>
    <r>
      <rPr>
        <vertAlign val="superscript"/>
        <sz val="10"/>
        <rFont val="宋体"/>
        <charset val="134"/>
      </rPr>
      <t xml:space="preserve"> </t>
    </r>
    <r>
      <rPr>
        <sz val="10"/>
        <rFont val="宋体"/>
        <charset val="134"/>
      </rPr>
      <t>B</t>
    </r>
  </si>
  <si>
    <t>1653</t>
  </si>
  <si>
    <t>STC42</t>
  </si>
  <si>
    <t>16CrMo44</t>
  </si>
  <si>
    <t>STT42</t>
  </si>
  <si>
    <t>STB42</t>
  </si>
  <si>
    <t>20CrMo</t>
  </si>
  <si>
    <t>20XM</t>
  </si>
  <si>
    <t>4119,4118</t>
  </si>
  <si>
    <t>CDS12</t>
  </si>
  <si>
    <t>SCT42</t>
  </si>
  <si>
    <t>18CD4</t>
  </si>
  <si>
    <t>20CrMo44</t>
  </si>
  <si>
    <t>CDS110</t>
  </si>
  <si>
    <t>25CrMo</t>
  </si>
  <si>
    <t>4125</t>
  </si>
  <si>
    <t>En20A</t>
  </si>
  <si>
    <t>25CD4</t>
  </si>
  <si>
    <t>25CrMo4</t>
  </si>
  <si>
    <t>30CrMo</t>
  </si>
  <si>
    <t>30XM</t>
  </si>
  <si>
    <t>4130</t>
  </si>
  <si>
    <t>1717COS110</t>
  </si>
  <si>
    <t>SCM420</t>
  </si>
  <si>
    <t>30CD4</t>
  </si>
  <si>
    <t>42CrMo</t>
  </si>
  <si>
    <t>4140</t>
  </si>
  <si>
    <t>708A42</t>
  </si>
  <si>
    <t>42CD4</t>
  </si>
  <si>
    <t>42CrMo4</t>
  </si>
  <si>
    <t>708M40</t>
  </si>
  <si>
    <t>35CrMo</t>
  </si>
  <si>
    <t>35XM</t>
  </si>
  <si>
    <t>4135</t>
  </si>
  <si>
    <t>708A37</t>
  </si>
  <si>
    <t>SCM3</t>
  </si>
  <si>
    <t>35CD4</t>
  </si>
  <si>
    <t>34CrMo4</t>
  </si>
  <si>
    <t>12CrMoV</t>
  </si>
  <si>
    <t>12XMΦ</t>
  </si>
  <si>
    <t>12Cr1MoV</t>
  </si>
  <si>
    <t>12X1MΦ</t>
  </si>
  <si>
    <t>13CrMoV42</t>
  </si>
  <si>
    <t>25Cr2Mo1VA</t>
  </si>
  <si>
    <t>25X2M1ΦA</t>
  </si>
  <si>
    <t>20CrV</t>
  </si>
  <si>
    <t>20XΦ</t>
  </si>
  <si>
    <t>6120</t>
  </si>
  <si>
    <t>22CrV4</t>
  </si>
  <si>
    <t>40CrV</t>
  </si>
  <si>
    <t>40XΦA</t>
  </si>
  <si>
    <t>6140</t>
  </si>
  <si>
    <t>42CrV6</t>
  </si>
  <si>
    <t>50CrVA</t>
  </si>
  <si>
    <t>50XΦA</t>
  </si>
  <si>
    <t>6150</t>
  </si>
  <si>
    <t>735A30</t>
  </si>
  <si>
    <t>SUP10</t>
  </si>
  <si>
    <t>50CV4</t>
  </si>
  <si>
    <t>50CrV4</t>
  </si>
  <si>
    <t>15CrMn</t>
  </si>
  <si>
    <t>15XГ,18XГ</t>
  </si>
  <si>
    <t>20CrMn</t>
  </si>
  <si>
    <t>20XГCA</t>
  </si>
  <si>
    <t>5152</t>
  </si>
  <si>
    <t>527A60</t>
  </si>
  <si>
    <t>SUP9</t>
  </si>
  <si>
    <t>30CrMnSiA</t>
  </si>
  <si>
    <t>30XГCA</t>
  </si>
  <si>
    <t>40CrNi</t>
  </si>
  <si>
    <t>40XH</t>
  </si>
  <si>
    <t>3140H</t>
  </si>
  <si>
    <t>640M40</t>
  </si>
  <si>
    <t>SNC236</t>
  </si>
  <si>
    <t>40NiCr6</t>
  </si>
  <si>
    <t>20CrNi3A</t>
  </si>
  <si>
    <t>20XH3A</t>
  </si>
  <si>
    <t>3316</t>
  </si>
  <si>
    <t>20NC11</t>
  </si>
  <si>
    <t>20NiCr14</t>
  </si>
  <si>
    <t>30CrNi3A</t>
  </si>
  <si>
    <t>30XH3A</t>
  </si>
  <si>
    <t>3325</t>
  </si>
  <si>
    <t>653M31</t>
  </si>
  <si>
    <t>SNC631H</t>
  </si>
  <si>
    <t>28NiCr10</t>
  </si>
  <si>
    <t>3330</t>
  </si>
  <si>
    <t xml:space="preserve">SNC631 </t>
  </si>
  <si>
    <t>20MnMoB</t>
  </si>
  <si>
    <t>80B20</t>
  </si>
  <si>
    <t>38CrMoAlA</t>
  </si>
  <si>
    <t>38XMIOA</t>
  </si>
  <si>
    <t>905M39</t>
  </si>
  <si>
    <t>SACM645</t>
  </si>
  <si>
    <t>40CAD6.12</t>
  </si>
  <si>
    <t>41CrAlMo07</t>
  </si>
  <si>
    <t>40CrNiMoA</t>
  </si>
  <si>
    <t>40XHMA</t>
  </si>
  <si>
    <t>4340</t>
  </si>
  <si>
    <t>871M40</t>
  </si>
  <si>
    <t>SNCM439</t>
  </si>
  <si>
    <t>40NiCrMo22</t>
  </si>
  <si>
    <t>弹</t>
  </si>
  <si>
    <t>C60</t>
  </si>
  <si>
    <t>85</t>
  </si>
  <si>
    <t>C1085</t>
  </si>
  <si>
    <t>080A86</t>
  </si>
  <si>
    <t>SUP3</t>
  </si>
  <si>
    <t>1084</t>
  </si>
  <si>
    <t>簧</t>
  </si>
  <si>
    <t>65Mn</t>
  </si>
  <si>
    <t>65Г</t>
  </si>
  <si>
    <t>1566</t>
  </si>
  <si>
    <t>55Si2Mn</t>
  </si>
  <si>
    <t>55C2Г</t>
  </si>
  <si>
    <t>9255</t>
  </si>
  <si>
    <t>250A53</t>
  </si>
  <si>
    <t>SUP6</t>
  </si>
  <si>
    <t>55S6</t>
  </si>
  <si>
    <t>55Si7</t>
  </si>
  <si>
    <t>60Si2MnA</t>
  </si>
  <si>
    <t>60C2ГA</t>
  </si>
  <si>
    <t>9260</t>
  </si>
  <si>
    <t>250A61</t>
  </si>
  <si>
    <t>SUP7</t>
  </si>
  <si>
    <t>61S7</t>
  </si>
  <si>
    <t>65Si7</t>
  </si>
  <si>
    <t>9260H</t>
  </si>
  <si>
    <t>735A50</t>
  </si>
  <si>
    <t>滚</t>
  </si>
  <si>
    <t>GCr9</t>
  </si>
  <si>
    <t>ШX9</t>
  </si>
  <si>
    <t>E51100</t>
  </si>
  <si>
    <t>SUJ1</t>
  </si>
  <si>
    <t>100C5</t>
  </si>
  <si>
    <t>105Cr4</t>
  </si>
  <si>
    <t>动</t>
  </si>
  <si>
    <t>51100</t>
  </si>
  <si>
    <t>轴</t>
  </si>
  <si>
    <t>GCr9SiMn</t>
  </si>
  <si>
    <t>SUJ3</t>
  </si>
  <si>
    <t>承</t>
  </si>
  <si>
    <t>GCr15</t>
  </si>
  <si>
    <t>ШX15</t>
  </si>
  <si>
    <t>E52100</t>
  </si>
  <si>
    <t>SUJ2</t>
  </si>
  <si>
    <t>100C6</t>
  </si>
  <si>
    <t>100Cr6</t>
  </si>
  <si>
    <t>52100</t>
  </si>
  <si>
    <t>GCr15SiMn</t>
  </si>
  <si>
    <t>ШX15CГ</t>
  </si>
  <si>
    <t>100CrMn6</t>
  </si>
  <si>
    <t>易</t>
  </si>
  <si>
    <t>Y12</t>
  </si>
  <si>
    <t>A12</t>
  </si>
  <si>
    <t>C1109</t>
  </si>
  <si>
    <t>SUM12</t>
  </si>
  <si>
    <t>切</t>
  </si>
  <si>
    <t>Y15</t>
  </si>
  <si>
    <t>B1113</t>
  </si>
  <si>
    <t>220M07</t>
  </si>
  <si>
    <t>SUM22</t>
  </si>
  <si>
    <t>10S20</t>
  </si>
  <si>
    <t>削</t>
  </si>
  <si>
    <t>Y20</t>
  </si>
  <si>
    <t>A20</t>
  </si>
  <si>
    <t>C1120</t>
  </si>
  <si>
    <t>SUM32</t>
  </si>
  <si>
    <t>20F2</t>
  </si>
  <si>
    <t>22S20</t>
  </si>
  <si>
    <t>Y30</t>
  </si>
  <si>
    <t>A30</t>
  </si>
  <si>
    <t>C1130</t>
  </si>
  <si>
    <t>SUM42</t>
  </si>
  <si>
    <t>35S20</t>
  </si>
  <si>
    <t>Y40Mn</t>
  </si>
  <si>
    <t>A40Г</t>
  </si>
  <si>
    <t>C1144</t>
  </si>
  <si>
    <t>225M36</t>
  </si>
  <si>
    <t>45MF2</t>
  </si>
  <si>
    <t>40S20</t>
  </si>
  <si>
    <t>耐磨钢</t>
  </si>
  <si>
    <t>ZGMn13</t>
  </si>
  <si>
    <t>116Г13Ю</t>
  </si>
  <si>
    <t>SCMnH11</t>
  </si>
  <si>
    <t>Z120M12</t>
  </si>
  <si>
    <t>X120Mn12</t>
  </si>
  <si>
    <t>T7</t>
  </si>
  <si>
    <t>y7</t>
  </si>
  <si>
    <t>W1-7</t>
  </si>
  <si>
    <t>SK7,SK6</t>
  </si>
  <si>
    <t>C70W1</t>
  </si>
  <si>
    <t>T8</t>
  </si>
  <si>
    <t>y8</t>
  </si>
  <si>
    <t>SK6,SK5</t>
  </si>
  <si>
    <t>T8A</t>
  </si>
  <si>
    <t>y8A</t>
  </si>
  <si>
    <t>W1-0.8C</t>
  </si>
  <si>
    <r>
      <rPr>
        <sz val="10"/>
        <rFont val="宋体"/>
        <charset val="134"/>
      </rPr>
      <t>1104Y</t>
    </r>
    <r>
      <rPr>
        <vertAlign val="subscript"/>
        <sz val="10"/>
        <rFont val="宋体"/>
        <charset val="134"/>
      </rPr>
      <t>1</t>
    </r>
    <r>
      <rPr>
        <sz val="10"/>
        <rFont val="宋体"/>
        <charset val="134"/>
      </rPr>
      <t>75</t>
    </r>
  </si>
  <si>
    <t>C80W1</t>
  </si>
  <si>
    <t>T8Mn</t>
  </si>
  <si>
    <t>y8Г</t>
  </si>
  <si>
    <t>SK5</t>
  </si>
  <si>
    <t>具</t>
  </si>
  <si>
    <t>T10</t>
  </si>
  <si>
    <t>y10</t>
  </si>
  <si>
    <t>W1-1.0C</t>
  </si>
  <si>
    <t>D1</t>
  </si>
  <si>
    <t>SK3</t>
  </si>
  <si>
    <t>T12</t>
  </si>
  <si>
    <t>y12</t>
  </si>
  <si>
    <t>W1-1.2C</t>
  </si>
  <si>
    <t>SK2</t>
  </si>
  <si>
    <t>Y2 120</t>
  </si>
  <si>
    <t>C125W</t>
  </si>
  <si>
    <t>T12A</t>
  </si>
  <si>
    <t>y12A</t>
  </si>
  <si>
    <t>XC 120</t>
  </si>
  <si>
    <t>C125W2</t>
  </si>
  <si>
    <t>T13</t>
  </si>
  <si>
    <t>y13</t>
  </si>
  <si>
    <t>SK1</t>
  </si>
  <si>
    <t>Y2 140</t>
  </si>
  <si>
    <t>C135W</t>
  </si>
  <si>
    <t>8MnSi</t>
  </si>
  <si>
    <t>C75W3</t>
  </si>
  <si>
    <t>9SiCr</t>
  </si>
  <si>
    <t>9XC</t>
  </si>
  <si>
    <t>BH21</t>
  </si>
  <si>
    <t>90CrSi5</t>
  </si>
  <si>
    <t>Cr2</t>
  </si>
  <si>
    <t>X</t>
  </si>
  <si>
    <t>L3</t>
  </si>
  <si>
    <t>Cr06</t>
  </si>
  <si>
    <t>13X</t>
  </si>
  <si>
    <t>W5</t>
  </si>
  <si>
    <t>SKS8</t>
  </si>
  <si>
    <t>140Cr3</t>
  </si>
  <si>
    <t>9Cr2</t>
  </si>
  <si>
    <t xml:space="preserve">9X </t>
  </si>
  <si>
    <t xml:space="preserve">L </t>
  </si>
  <si>
    <t>W</t>
  </si>
  <si>
    <t>B1</t>
  </si>
  <si>
    <t>F1</t>
  </si>
  <si>
    <t>BF1</t>
  </si>
  <si>
    <t>SK21</t>
  </si>
  <si>
    <t>120W4</t>
  </si>
  <si>
    <t>Cr12</t>
  </si>
  <si>
    <t>X12</t>
  </si>
  <si>
    <t>D3</t>
  </si>
  <si>
    <t>BD3</t>
  </si>
  <si>
    <t>SKD1</t>
  </si>
  <si>
    <t>Z200C12</t>
  </si>
  <si>
    <t>X210Cr12</t>
  </si>
  <si>
    <t>Cr12MoV</t>
  </si>
  <si>
    <t>X12M</t>
  </si>
  <si>
    <t>D2</t>
  </si>
  <si>
    <t>BD2</t>
  </si>
  <si>
    <t>SKD11</t>
  </si>
  <si>
    <t>X165CrMoV46</t>
  </si>
  <si>
    <t>9Mn2V</t>
  </si>
  <si>
    <t>9Г2Φ</t>
  </si>
  <si>
    <t>02</t>
  </si>
  <si>
    <t>80M80</t>
  </si>
  <si>
    <t>90MnV8</t>
  </si>
  <si>
    <t>9CrWMn</t>
  </si>
  <si>
    <t>9XBГ</t>
  </si>
  <si>
    <t>01</t>
  </si>
  <si>
    <t>SKS3</t>
  </si>
  <si>
    <t xml:space="preserve">80M8 </t>
  </si>
  <si>
    <t>CrWMn</t>
  </si>
  <si>
    <t>XBГ</t>
  </si>
  <si>
    <t>07</t>
  </si>
  <si>
    <t>SKS31</t>
  </si>
  <si>
    <t>105WC13</t>
  </si>
  <si>
    <t>105WCr6</t>
  </si>
  <si>
    <t>3Cr2W8V</t>
  </si>
  <si>
    <t>3X2B8Φ</t>
  </si>
  <si>
    <t>H21</t>
  </si>
  <si>
    <t>SKD5</t>
  </si>
  <si>
    <t>X30WC9V</t>
  </si>
  <si>
    <t>X30WCrV93</t>
  </si>
  <si>
    <t>5CrMnMo</t>
  </si>
  <si>
    <t>5XГM</t>
  </si>
  <si>
    <t>SKT5</t>
  </si>
  <si>
    <t>40CrMnMo7</t>
  </si>
  <si>
    <t>5CrNiMo</t>
  </si>
  <si>
    <t>5XHM</t>
  </si>
  <si>
    <t>L6</t>
  </si>
  <si>
    <t>SKT4</t>
  </si>
  <si>
    <t>55NCDV7</t>
  </si>
  <si>
    <t>55NiCrMoV6</t>
  </si>
  <si>
    <t>4Cr5MoSiV</t>
  </si>
  <si>
    <t>4X5MΦC</t>
  </si>
  <si>
    <t>H11</t>
  </si>
  <si>
    <t>BH11</t>
  </si>
  <si>
    <t>SKD61</t>
  </si>
  <si>
    <t>Z38CDV5</t>
  </si>
  <si>
    <t>X38CrMoV51</t>
  </si>
  <si>
    <t>4CrW2Si</t>
  </si>
  <si>
    <t>4XB2C</t>
  </si>
  <si>
    <t>SKS41</t>
  </si>
  <si>
    <t>40WCDS35-12</t>
  </si>
  <si>
    <t>35WCrV7</t>
  </si>
  <si>
    <t>5CrW2Si</t>
  </si>
  <si>
    <t>5XB2C</t>
  </si>
  <si>
    <t>S1</t>
  </si>
  <si>
    <t>BSi</t>
  </si>
  <si>
    <t>45WCrV7</t>
  </si>
  <si>
    <t>W18Cr4V</t>
  </si>
  <si>
    <t>P18</t>
  </si>
  <si>
    <t>T1</t>
  </si>
  <si>
    <t>BT1</t>
  </si>
  <si>
    <t>SKH2</t>
  </si>
  <si>
    <t>Z80WCV</t>
  </si>
  <si>
    <t>S18-0-1</t>
  </si>
  <si>
    <t>高</t>
  </si>
  <si>
    <t>18-04-01</t>
  </si>
  <si>
    <t>速</t>
  </si>
  <si>
    <t>W6Mo5Cr4V2</t>
  </si>
  <si>
    <t>P6M3</t>
  </si>
  <si>
    <t>N2</t>
  </si>
  <si>
    <t>BM2</t>
  </si>
  <si>
    <t>SKH9</t>
  </si>
  <si>
    <t>Z85WDCV</t>
  </si>
  <si>
    <t>S6-5-2</t>
  </si>
  <si>
    <t>06-05-04-02</t>
  </si>
  <si>
    <t>W18Cr4VCo5</t>
  </si>
  <si>
    <t>P18K5Φ2</t>
  </si>
  <si>
    <t>T4</t>
  </si>
  <si>
    <t>BT4</t>
  </si>
  <si>
    <t>SKH3</t>
  </si>
  <si>
    <t>Z80WKCV</t>
  </si>
  <si>
    <t>S18-1-2-5</t>
  </si>
  <si>
    <t>18-05-04-01</t>
  </si>
  <si>
    <t>W2Mo9Cr4VCo8</t>
  </si>
  <si>
    <t>M42</t>
  </si>
  <si>
    <t>BM42</t>
  </si>
  <si>
    <t>Z110DKCWV</t>
  </si>
  <si>
    <t>S2-10-1-8</t>
  </si>
  <si>
    <t>09-08-04-02-01</t>
  </si>
  <si>
    <t>1Cr18Ni9</t>
  </si>
  <si>
    <t>12X18H9</t>
  </si>
  <si>
    <t>302</t>
  </si>
  <si>
    <t>302S25</t>
  </si>
  <si>
    <t>SUS302</t>
  </si>
  <si>
    <t>Z10CN18.09</t>
  </si>
  <si>
    <t>X12CrNi188</t>
  </si>
  <si>
    <t>S30200</t>
  </si>
  <si>
    <t>Y1Cr18Ni9</t>
  </si>
  <si>
    <t>303</t>
  </si>
  <si>
    <t>303S21</t>
  </si>
  <si>
    <t>SUS303</t>
  </si>
  <si>
    <t>Z10CNF18.09</t>
  </si>
  <si>
    <t>X12CrNiS188</t>
  </si>
  <si>
    <t>S30300</t>
  </si>
  <si>
    <t>不</t>
  </si>
  <si>
    <t>0Cr19Ni9</t>
  </si>
  <si>
    <t>08X18H10</t>
  </si>
  <si>
    <t>304</t>
  </si>
  <si>
    <t>304S15</t>
  </si>
  <si>
    <t>SUS304</t>
  </si>
  <si>
    <t>Z6CN18.09</t>
  </si>
  <si>
    <t>X5CrNi189</t>
  </si>
  <si>
    <t>S30400</t>
  </si>
  <si>
    <t>00Cr19Ni11</t>
  </si>
  <si>
    <t>03X18H11</t>
  </si>
  <si>
    <t>304L</t>
  </si>
  <si>
    <t>304S12</t>
  </si>
  <si>
    <t>SUS304L</t>
  </si>
  <si>
    <t>Z2CN18.09</t>
  </si>
  <si>
    <t>X2CrNi189</t>
  </si>
  <si>
    <t>S30403</t>
  </si>
  <si>
    <t>0Cr18Ni11Ti</t>
  </si>
  <si>
    <t>08X18H10T</t>
  </si>
  <si>
    <t>321</t>
  </si>
  <si>
    <t>321S12</t>
  </si>
  <si>
    <t>SUS321</t>
  </si>
  <si>
    <t>Z6CNT18.10</t>
  </si>
  <si>
    <t>X10CrNiTi189</t>
  </si>
  <si>
    <t>锈</t>
  </si>
  <si>
    <t>S32100</t>
  </si>
  <si>
    <t>321S20</t>
  </si>
  <si>
    <t>0Cr13Al</t>
  </si>
  <si>
    <t>405</t>
  </si>
  <si>
    <t>405S17</t>
  </si>
  <si>
    <t>SUS405</t>
  </si>
  <si>
    <t>Z6CA13</t>
  </si>
  <si>
    <t>X7CrAl13</t>
  </si>
  <si>
    <t>S40500</t>
  </si>
  <si>
    <t>1Cr17</t>
  </si>
  <si>
    <t>12X17</t>
  </si>
  <si>
    <t>430</t>
  </si>
  <si>
    <t>430S15</t>
  </si>
  <si>
    <t>SUS430</t>
  </si>
  <si>
    <t>Z8C17</t>
  </si>
  <si>
    <t>X8Cr17</t>
  </si>
  <si>
    <r>
      <rPr>
        <sz val="10"/>
        <rFont val="Times New Roman"/>
        <family val="1"/>
      </rPr>
      <t xml:space="preserve"> </t>
    </r>
    <r>
      <rPr>
        <sz val="10"/>
        <rFont val="宋体"/>
        <charset val="134"/>
      </rPr>
      <t>钢</t>
    </r>
  </si>
  <si>
    <t>S43000</t>
  </si>
  <si>
    <t>1Cr13</t>
  </si>
  <si>
    <t>12X13</t>
  </si>
  <si>
    <t>410</t>
  </si>
  <si>
    <t>410S21</t>
  </si>
  <si>
    <t>SUS410</t>
  </si>
  <si>
    <t>Z12C13</t>
  </si>
  <si>
    <t>X10Cr13</t>
  </si>
  <si>
    <t>S41000</t>
  </si>
  <si>
    <t>2Cr13</t>
  </si>
  <si>
    <t>20X13</t>
  </si>
  <si>
    <t>420</t>
  </si>
  <si>
    <t>420S37</t>
  </si>
  <si>
    <t>SUS420J1</t>
  </si>
  <si>
    <t>Z20C13</t>
  </si>
  <si>
    <t>X20Cr13</t>
  </si>
  <si>
    <t>S42000</t>
  </si>
  <si>
    <t>3Cr13</t>
  </si>
  <si>
    <t>30X13</t>
  </si>
  <si>
    <t>420S45</t>
  </si>
  <si>
    <t>SUS420J2</t>
  </si>
  <si>
    <t>7Cr17</t>
  </si>
  <si>
    <t>440A</t>
  </si>
  <si>
    <t>SUS440A</t>
  </si>
  <si>
    <t>S44002</t>
  </si>
  <si>
    <t>0Cr17Ni7Al</t>
  </si>
  <si>
    <t>09X17H7Ю</t>
  </si>
  <si>
    <t>631</t>
  </si>
  <si>
    <t>SUS631</t>
  </si>
  <si>
    <t>Z8CNA17.7</t>
  </si>
  <si>
    <t>X7CrNiAl177</t>
  </si>
  <si>
    <t>S17700</t>
  </si>
  <si>
    <t>2Cr23Ni13</t>
  </si>
  <si>
    <t>20X23H12</t>
  </si>
  <si>
    <t>309</t>
  </si>
  <si>
    <t>309S24</t>
  </si>
  <si>
    <t>SUH309</t>
  </si>
  <si>
    <t>Z15CN24.13</t>
  </si>
  <si>
    <t>S30900</t>
  </si>
  <si>
    <t>2Cr25Ni21</t>
  </si>
  <si>
    <t>20X25H20C2</t>
  </si>
  <si>
    <t>310</t>
  </si>
  <si>
    <t>310S24</t>
  </si>
  <si>
    <t>SUH310</t>
  </si>
  <si>
    <t>Z12CN25.20</t>
  </si>
  <si>
    <t>CrNi2520</t>
  </si>
  <si>
    <t>耐</t>
  </si>
  <si>
    <t>S31000</t>
  </si>
  <si>
    <t>0Cr25Ni20</t>
  </si>
  <si>
    <t>310S</t>
  </si>
  <si>
    <t>SUS310S</t>
  </si>
  <si>
    <t>S31008</t>
  </si>
  <si>
    <t>热</t>
  </si>
  <si>
    <t>0Cr17Ni12Mo2</t>
  </si>
  <si>
    <t>08X17H13M2T</t>
  </si>
  <si>
    <t>316</t>
  </si>
  <si>
    <t>316S16</t>
  </si>
  <si>
    <t>SUS316</t>
  </si>
  <si>
    <t>Z6CND17.12</t>
  </si>
  <si>
    <t>X5CrNiMo1810</t>
  </si>
  <si>
    <t>S31600</t>
  </si>
  <si>
    <t>0Cr18Ni11Nb</t>
  </si>
  <si>
    <t>08X18H12E</t>
  </si>
  <si>
    <t>347</t>
  </si>
  <si>
    <t>347S17</t>
  </si>
  <si>
    <t>SUS347</t>
  </si>
  <si>
    <t>Z6CNNb18.10</t>
  </si>
  <si>
    <t>X10CrNiNb189</t>
  </si>
  <si>
    <t>S34700</t>
  </si>
  <si>
    <t>1Cr13Mo</t>
  </si>
  <si>
    <t>SUS410J1</t>
  </si>
  <si>
    <t>1Cr17Ni2</t>
  </si>
  <si>
    <t>14X17H2</t>
  </si>
  <si>
    <t>431</t>
  </si>
  <si>
    <t>431S29</t>
  </si>
  <si>
    <t>SUS431</t>
  </si>
  <si>
    <t>Z15CN16-02</t>
  </si>
  <si>
    <t>X22CrNi17</t>
  </si>
  <si>
    <t>S43100</t>
  </si>
  <si>
    <t xml:space="preserve">                                BY:李军辉 录入并校对 Mar.16,2000</t>
  </si>
  <si>
    <t>常用工程材料属性（若对数据存在疑问，请对照其他资料核实）</t>
  </si>
  <si>
    <t>材料名称</t>
  </si>
  <si>
    <r>
      <rPr>
        <b/>
        <sz val="12"/>
        <rFont val="宋体"/>
        <charset val="134"/>
      </rPr>
      <t xml:space="preserve">弹性模量
</t>
    </r>
    <r>
      <rPr>
        <b/>
        <sz val="12"/>
        <rFont val="Times New Roman"/>
        <family val="1"/>
      </rPr>
      <t>(N/m</t>
    </r>
    <r>
      <rPr>
        <b/>
        <sz val="12"/>
        <rFont val="Times New Roman"/>
        <family val="1"/>
      </rPr>
      <t>²</t>
    </r>
    <r>
      <rPr>
        <b/>
        <sz val="12"/>
        <rFont val="Times New Roman"/>
        <family val="1"/>
      </rPr>
      <t>)</t>
    </r>
  </si>
  <si>
    <t>泊松比</t>
  </si>
  <si>
    <r>
      <rPr>
        <b/>
        <sz val="12"/>
        <rFont val="宋体"/>
        <charset val="134"/>
      </rPr>
      <t xml:space="preserve">质量密度
</t>
    </r>
    <r>
      <rPr>
        <b/>
        <sz val="12"/>
        <rFont val="Times New Roman"/>
        <family val="1"/>
      </rPr>
      <t>(kg/m</t>
    </r>
    <r>
      <rPr>
        <b/>
        <sz val="12"/>
        <rFont val="Times New Roman"/>
        <family val="1"/>
      </rPr>
      <t>³</t>
    </r>
    <r>
      <rPr>
        <b/>
        <sz val="12"/>
        <rFont val="Times New Roman"/>
        <family val="1"/>
      </rPr>
      <t>)</t>
    </r>
  </si>
  <si>
    <r>
      <rPr>
        <b/>
        <sz val="12"/>
        <rFont val="宋体"/>
        <charset val="134"/>
      </rPr>
      <t xml:space="preserve">抗剪模量
</t>
    </r>
    <r>
      <rPr>
        <b/>
        <sz val="12"/>
        <rFont val="Times New Roman"/>
        <family val="1"/>
      </rPr>
      <t>(N/m</t>
    </r>
    <r>
      <rPr>
        <b/>
        <sz val="12"/>
        <rFont val="Times New Roman"/>
        <family val="1"/>
      </rPr>
      <t>²</t>
    </r>
    <r>
      <rPr>
        <b/>
        <sz val="12"/>
        <rFont val="Times New Roman"/>
        <family val="1"/>
      </rPr>
      <t>)</t>
    </r>
  </si>
  <si>
    <t>张力强度</t>
  </si>
  <si>
    <t>屈服强度</t>
  </si>
  <si>
    <r>
      <rPr>
        <b/>
        <sz val="12"/>
        <rFont val="宋体"/>
        <charset val="134"/>
      </rPr>
      <t xml:space="preserve">热扩张系数
</t>
    </r>
    <r>
      <rPr>
        <b/>
        <sz val="12"/>
        <rFont val="Times New Roman"/>
        <family val="1"/>
      </rPr>
      <t>(/Kelven)</t>
    </r>
  </si>
  <si>
    <r>
      <rPr>
        <b/>
        <sz val="12"/>
        <rFont val="宋体"/>
        <charset val="134"/>
      </rPr>
      <t xml:space="preserve">比热
</t>
    </r>
    <r>
      <rPr>
        <b/>
        <sz val="12"/>
        <rFont val="Times New Roman"/>
        <family val="1"/>
      </rPr>
      <t>(J/(kg.K))</t>
    </r>
  </si>
  <si>
    <r>
      <rPr>
        <b/>
        <sz val="12"/>
        <rFont val="宋体"/>
        <charset val="134"/>
      </rPr>
      <t xml:space="preserve">热导率
</t>
    </r>
    <r>
      <rPr>
        <b/>
        <sz val="12"/>
        <rFont val="Times New Roman"/>
        <family val="1"/>
      </rPr>
      <t>(W/(m.k))</t>
    </r>
  </si>
  <si>
    <r>
      <rPr>
        <b/>
        <sz val="12"/>
        <color indexed="8"/>
        <rFont val="Times New Roman"/>
        <family val="1"/>
      </rPr>
      <t>(N/m</t>
    </r>
    <r>
      <rPr>
        <b/>
        <sz val="12"/>
        <color indexed="8"/>
        <rFont val="Times New Roman"/>
        <family val="1"/>
      </rPr>
      <t>²</t>
    </r>
    <r>
      <rPr>
        <b/>
        <sz val="12"/>
        <color indexed="8"/>
        <rFont val="Times New Roman"/>
        <family val="1"/>
      </rPr>
      <t>)</t>
    </r>
  </si>
  <si>
    <t>Mpa</t>
  </si>
  <si>
    <t>(N/m²)</t>
  </si>
  <si>
    <t xml:space="preserve">Ductile Iron (SN) </t>
  </si>
  <si>
    <t xml:space="preserve">KTH300-06 (GB) </t>
  </si>
  <si>
    <t xml:space="preserve">KTH350-10 (GB) </t>
  </si>
  <si>
    <t xml:space="preserve">KTZ450-06 (GB) </t>
  </si>
  <si>
    <t xml:space="preserve">KTZ550-04 (GB) </t>
  </si>
  <si>
    <t xml:space="preserve">KTZ650-02 (GB) </t>
  </si>
  <si>
    <t xml:space="preserve">KTZ700-02 (GB) </t>
  </si>
  <si>
    <t xml:space="preserve">KTB350-04 (GB) </t>
  </si>
  <si>
    <t xml:space="preserve">KTB380-12 (GB) </t>
  </si>
  <si>
    <t xml:space="preserve">KTB400-05 (GB) </t>
  </si>
  <si>
    <t xml:space="preserve">KTB450-07 (GB) </t>
  </si>
  <si>
    <t xml:space="preserve">Gray Cast Iron (SN) </t>
  </si>
  <si>
    <t xml:space="preserve">HT100 (GB) </t>
  </si>
  <si>
    <t xml:space="preserve">HT150 (GB) </t>
  </si>
  <si>
    <t xml:space="preserve">HT200 (GB) </t>
  </si>
  <si>
    <t xml:space="preserve">HT250 (GB) </t>
  </si>
  <si>
    <t xml:space="preserve">HT300 (GB) </t>
  </si>
  <si>
    <t xml:space="preserve">HT350 (GB) </t>
  </si>
  <si>
    <t xml:space="preserve">Malleable Cast Iron </t>
  </si>
  <si>
    <t xml:space="preserve">QT400-15 </t>
  </si>
  <si>
    <t xml:space="preserve">QT400-18 </t>
  </si>
  <si>
    <t xml:space="preserve">QT450-10 </t>
  </si>
  <si>
    <t xml:space="preserve">QT500-7 </t>
  </si>
  <si>
    <t xml:space="preserve">QT600-3 </t>
  </si>
  <si>
    <t xml:space="preserve">QT700-2 </t>
  </si>
  <si>
    <t xml:space="preserve">QT800-2 </t>
  </si>
  <si>
    <t xml:space="preserve">QT900-2 </t>
  </si>
  <si>
    <t xml:space="preserve">Q195 </t>
  </si>
  <si>
    <t xml:space="preserve">Q215 </t>
  </si>
  <si>
    <t xml:space="preserve">Q235-A(F) </t>
  </si>
  <si>
    <t xml:space="preserve">Q235-A </t>
  </si>
  <si>
    <t xml:space="preserve">Q235-B </t>
  </si>
  <si>
    <t xml:space="preserve">Q255 </t>
  </si>
  <si>
    <t xml:space="preserve">Q275 </t>
  </si>
  <si>
    <t xml:space="preserve">08F </t>
  </si>
  <si>
    <t xml:space="preserve">10F </t>
  </si>
  <si>
    <t xml:space="preserve">15F </t>
  </si>
  <si>
    <t xml:space="preserve">20G </t>
  </si>
  <si>
    <t xml:space="preserve">20g </t>
  </si>
  <si>
    <t xml:space="preserve">15Mn </t>
  </si>
  <si>
    <t xml:space="preserve">16Mn </t>
  </si>
  <si>
    <t xml:space="preserve">25Mn </t>
  </si>
  <si>
    <t xml:space="preserve">35Mn </t>
  </si>
  <si>
    <t xml:space="preserve">45Mn </t>
  </si>
  <si>
    <t xml:space="preserve">60Mn </t>
  </si>
  <si>
    <t xml:space="preserve">65Mn </t>
  </si>
  <si>
    <t xml:space="preserve">70Mn </t>
  </si>
  <si>
    <t xml:space="preserve">T2 </t>
  </si>
  <si>
    <t xml:space="preserve">T3 </t>
  </si>
  <si>
    <t xml:space="preserve">T7 </t>
  </si>
  <si>
    <t xml:space="preserve">T8 </t>
  </si>
  <si>
    <t xml:space="preserve">T8Mn </t>
  </si>
  <si>
    <t xml:space="preserve">T9 </t>
  </si>
  <si>
    <t xml:space="preserve">T10 </t>
  </si>
  <si>
    <t xml:space="preserve">ZG230-450 (GB) </t>
  </si>
  <si>
    <t xml:space="preserve">ZG20SiMn (GB) </t>
  </si>
  <si>
    <t xml:space="preserve">ZG40Cr (GB) </t>
  </si>
  <si>
    <t xml:space="preserve">Q295 </t>
  </si>
  <si>
    <t xml:space="preserve">Q345 </t>
  </si>
  <si>
    <t xml:space="preserve">Q390 </t>
  </si>
  <si>
    <t xml:space="preserve">Q420 </t>
  </si>
  <si>
    <t xml:space="preserve">Q460 </t>
  </si>
  <si>
    <t xml:space="preserve">20Cr </t>
  </si>
  <si>
    <t xml:space="preserve">30Cr </t>
  </si>
  <si>
    <t xml:space="preserve">40Cr </t>
  </si>
  <si>
    <t xml:space="preserve">45Cr </t>
  </si>
  <si>
    <t xml:space="preserve">50Cr </t>
  </si>
  <si>
    <t xml:space="preserve">15CrMo </t>
  </si>
  <si>
    <t xml:space="preserve">20CrMo </t>
  </si>
  <si>
    <t xml:space="preserve">20CrMoH </t>
  </si>
  <si>
    <t xml:space="preserve">25Cr2MoV </t>
  </si>
  <si>
    <t xml:space="preserve">25Cr2MoVA </t>
  </si>
  <si>
    <t xml:space="preserve">25Cr3Mo3VNb# </t>
  </si>
  <si>
    <t xml:space="preserve">30CrMo </t>
  </si>
  <si>
    <t xml:space="preserve">35CrMo </t>
  </si>
  <si>
    <t xml:space="preserve">42CrMo </t>
  </si>
  <si>
    <t xml:space="preserve">7Cr7Mo3V2Si# </t>
  </si>
  <si>
    <t xml:space="preserve">9Cr2Mo# </t>
  </si>
  <si>
    <t xml:space="preserve">Cr12MoV </t>
  </si>
  <si>
    <t xml:space="preserve">Cr4Mo4V# </t>
  </si>
  <si>
    <t xml:space="preserve">CrWMn </t>
  </si>
  <si>
    <t xml:space="preserve">20CrMnMo </t>
  </si>
  <si>
    <t xml:space="preserve">40CrMnMo </t>
  </si>
  <si>
    <t xml:space="preserve">20CrMnTi </t>
  </si>
  <si>
    <t xml:space="preserve">30CrMnTi </t>
  </si>
  <si>
    <t xml:space="preserve">20CrMnSi </t>
  </si>
  <si>
    <t xml:space="preserve">40CrMnSiMoV </t>
  </si>
  <si>
    <t xml:space="preserve">5Cr21Mn9Ni2N </t>
  </si>
  <si>
    <t xml:space="preserve">5Cr21Mn9Ni12N </t>
  </si>
  <si>
    <t xml:space="preserve">20CrNiMo </t>
  </si>
  <si>
    <t xml:space="preserve">20CrNi2MoA </t>
  </si>
  <si>
    <t xml:space="preserve">2Cr12NiMoWV </t>
  </si>
  <si>
    <t xml:space="preserve">28CrNiMoV# </t>
  </si>
  <si>
    <t xml:space="preserve">30Cr2Ni4MoV# </t>
  </si>
  <si>
    <t xml:space="preserve">40CrNiMo </t>
  </si>
  <si>
    <t xml:space="preserve">40CrNiMoA </t>
  </si>
  <si>
    <t xml:space="preserve">45CrNiMoV </t>
  </si>
  <si>
    <t xml:space="preserve">45CrNiMoVA </t>
  </si>
  <si>
    <t xml:space="preserve">10Cr2Mo1# </t>
  </si>
  <si>
    <t xml:space="preserve">10Cr9Mo1VNb# </t>
  </si>
  <si>
    <t xml:space="preserve">10CrMo910# </t>
  </si>
  <si>
    <t xml:space="preserve">12Cr1MoV </t>
  </si>
  <si>
    <t xml:space="preserve">12Cr1MoVTiB# </t>
  </si>
  <si>
    <t xml:space="preserve">12Cr3MoVSiTiB# </t>
  </si>
  <si>
    <t xml:space="preserve">12CrNi3 </t>
  </si>
  <si>
    <t xml:space="preserve">12Cr2Ni4 </t>
  </si>
  <si>
    <t xml:space="preserve">12Cr2Ni4H </t>
  </si>
  <si>
    <t xml:space="preserve">12Cr2Ni4HA </t>
  </si>
  <si>
    <t xml:space="preserve">12Cr18Ni9# </t>
  </si>
  <si>
    <t xml:space="preserve">12Cr11MoV# </t>
  </si>
  <si>
    <t xml:space="preserve">12Cr12Mo# </t>
  </si>
  <si>
    <t xml:space="preserve">1Cr13 </t>
  </si>
  <si>
    <t xml:space="preserve">1Cr18Ni9 </t>
  </si>
  <si>
    <t xml:space="preserve">18Cr2Ni4W </t>
  </si>
  <si>
    <t xml:space="preserve">18Cr2Ni4WA </t>
  </si>
  <si>
    <t xml:space="preserve">20CrMoVNbTiB# </t>
  </si>
  <si>
    <t xml:space="preserve">20CrMo1VTiB# </t>
  </si>
  <si>
    <t xml:space="preserve">4Cr3Mo2MnSiVNbB# </t>
  </si>
  <si>
    <t xml:space="preserve">4Cr5Mo2MnVSi# </t>
  </si>
  <si>
    <t xml:space="preserve">20CrNi4A# </t>
  </si>
  <si>
    <t xml:space="preserve">3Cr2W8V </t>
  </si>
  <si>
    <t xml:space="preserve">16MnCr5 </t>
  </si>
  <si>
    <t xml:space="preserve">16Mng# </t>
  </si>
  <si>
    <t xml:space="preserve">16Mnl# </t>
  </si>
  <si>
    <t xml:space="preserve">16MnR# </t>
  </si>
  <si>
    <t xml:space="preserve">19Mn5 </t>
  </si>
  <si>
    <t xml:space="preserve">35Mn2 </t>
  </si>
  <si>
    <t xml:space="preserve">40MnB </t>
  </si>
  <si>
    <t xml:space="preserve">40MnBH </t>
  </si>
  <si>
    <t xml:space="preserve">40MnBHA </t>
  </si>
  <si>
    <t xml:space="preserve">45Mn2 </t>
  </si>
  <si>
    <t xml:space="preserve">20MnCr5 </t>
  </si>
  <si>
    <t xml:space="preserve">25MnCr5# </t>
  </si>
  <si>
    <t xml:space="preserve">28MnCr5 </t>
  </si>
  <si>
    <t xml:space="preserve">20MnMoB </t>
  </si>
  <si>
    <t xml:space="preserve">20MnMoBH </t>
  </si>
  <si>
    <t xml:space="preserve">20MnMoBHA </t>
  </si>
  <si>
    <t xml:space="preserve">20MnTiBRE# </t>
  </si>
  <si>
    <t xml:space="preserve">20MnVB </t>
  </si>
  <si>
    <t xml:space="preserve">20MnVBH </t>
  </si>
  <si>
    <t xml:space="preserve">20MnVBHA </t>
  </si>
  <si>
    <t xml:space="preserve">20Ni2Mo </t>
  </si>
  <si>
    <t xml:space="preserve">19CN5 </t>
  </si>
  <si>
    <t xml:space="preserve">13MnNiMoNB# </t>
  </si>
  <si>
    <t xml:space="preserve">14MnMoVBRE </t>
  </si>
  <si>
    <t xml:space="preserve">15MnV </t>
  </si>
  <si>
    <t xml:space="preserve">ML15MnV </t>
  </si>
  <si>
    <t xml:space="preserve">53CaS </t>
  </si>
  <si>
    <t xml:space="preserve">55Si2Mn </t>
  </si>
  <si>
    <t xml:space="preserve">55Si2MnB </t>
  </si>
  <si>
    <t xml:space="preserve">55SiMnVB </t>
  </si>
  <si>
    <t xml:space="preserve">55Tis# </t>
  </si>
  <si>
    <t xml:space="preserve">60Si2Mn </t>
  </si>
  <si>
    <t xml:space="preserve">60Si2MnA </t>
  </si>
  <si>
    <t xml:space="preserve">BHW35# </t>
  </si>
  <si>
    <t xml:space="preserve">K409# </t>
  </si>
  <si>
    <t xml:space="preserve">K438# </t>
  </si>
  <si>
    <t xml:space="preserve">GCr15 </t>
  </si>
  <si>
    <t xml:space="preserve">GCr15A </t>
  </si>
  <si>
    <t xml:space="preserve">GCr15SiMn </t>
  </si>
  <si>
    <t xml:space="preserve">GCr15SiMnA </t>
  </si>
  <si>
    <t xml:space="preserve">Ni-Cr-Co-Fe# </t>
  </si>
  <si>
    <t xml:space="preserve">X20CrNiMoV121# </t>
  </si>
  <si>
    <t xml:space="preserve">YF45MnV </t>
  </si>
  <si>
    <t xml:space="preserve">ZG15Cr1Mo# </t>
  </si>
  <si>
    <t xml:space="preserve">ZG15Cr1Mo1V# </t>
  </si>
  <si>
    <t xml:space="preserve">ZG15Cr2Mo# </t>
  </si>
  <si>
    <t xml:space="preserve">ZG1Cr13# </t>
  </si>
  <si>
    <t xml:space="preserve">G20CrNi2Mo </t>
  </si>
  <si>
    <t xml:space="preserve">G20CrNi2MoA </t>
  </si>
  <si>
    <t xml:space="preserve">G20CrNi4A# </t>
  </si>
  <si>
    <t xml:space="preserve">G20CrNiMo </t>
  </si>
  <si>
    <t xml:space="preserve">G20CrNiMoA </t>
  </si>
  <si>
    <t xml:space="preserve">00Cr17Ni14Mo2 (GB) </t>
  </si>
  <si>
    <t xml:space="preserve">0Cr13Al </t>
  </si>
  <si>
    <t xml:space="preserve">0Cr18Ni9 (GB) </t>
  </si>
  <si>
    <t xml:space="preserve">0Cr17Ni4Cu4Nb (GB) </t>
  </si>
  <si>
    <t xml:space="preserve">0Cr18Ni12Mo2Ti (GB) </t>
  </si>
  <si>
    <t xml:space="preserve">0Cr18Ni9Cu3 (GB) </t>
  </si>
  <si>
    <t xml:space="preserve">0Cr18Ni13Si4 (GB) </t>
  </si>
  <si>
    <t xml:space="preserve">1Cr17Mn6Ni5N(GB) </t>
  </si>
  <si>
    <t xml:space="preserve">ZG20Cr13 </t>
  </si>
  <si>
    <t xml:space="preserve">ZG0Cr13Ni6Mo# </t>
  </si>
  <si>
    <t xml:space="preserve">Bronze </t>
  </si>
  <si>
    <t xml:space="preserve">QBe1.7 </t>
  </si>
  <si>
    <t xml:space="preserve">QBe2 </t>
  </si>
  <si>
    <t xml:space="preserve">H90 </t>
  </si>
  <si>
    <t xml:space="preserve">HPb63-3 </t>
  </si>
  <si>
    <t xml:space="preserve">QCr0.5-0.2-0.1 </t>
  </si>
  <si>
    <t xml:space="preserve">QCd-1 </t>
  </si>
  <si>
    <t xml:space="preserve">QMn5 </t>
  </si>
  <si>
    <t xml:space="preserve">QSn4-3 </t>
  </si>
  <si>
    <t xml:space="preserve">QSn6.5-0.4 </t>
  </si>
  <si>
    <t xml:space="preserve">ZChPbSB16-16-2# </t>
  </si>
  <si>
    <t xml:space="preserve">ZChSnSb11-6# </t>
  </si>
  <si>
    <t xml:space="preserve">ZChSnSb8-4# </t>
  </si>
  <si>
    <t xml:space="preserve">ZCuAL10Fe3# </t>
  </si>
  <si>
    <t xml:space="preserve">ZCuAL10Fe3Mn2# </t>
  </si>
  <si>
    <t xml:space="preserve">ZCuPb30 </t>
  </si>
  <si>
    <t xml:space="preserve">ZCuSn5Pb5Zn5 </t>
  </si>
  <si>
    <t xml:space="preserve">AL-1# </t>
  </si>
  <si>
    <t xml:space="preserve">LC4# </t>
  </si>
  <si>
    <t xml:space="preserve">LD5# </t>
  </si>
  <si>
    <t xml:space="preserve">LD9# </t>
  </si>
  <si>
    <t xml:space="preserve">LD10# </t>
  </si>
  <si>
    <t xml:space="preserve">LY12# </t>
  </si>
  <si>
    <t xml:space="preserve">ZALSi12# </t>
  </si>
  <si>
    <t xml:space="preserve">ZALSi9Mg# </t>
  </si>
  <si>
    <t xml:space="preserve">1050 (GB) </t>
  </si>
  <si>
    <t xml:space="preserve">1050-O (GB) </t>
  </si>
  <si>
    <t xml:space="preserve">1050-H12 (GB) </t>
  </si>
  <si>
    <t xml:space="preserve">1050-H12 Rod (GB) </t>
  </si>
  <si>
    <t xml:space="preserve">1050-H14 (GB) </t>
  </si>
  <si>
    <t xml:space="preserve">1050-H16 (GB) </t>
  </si>
  <si>
    <t xml:space="preserve">1050-H18 (GB) </t>
  </si>
  <si>
    <t xml:space="preserve">1050-H18 Rod (GB) </t>
  </si>
  <si>
    <t xml:space="preserve">1200-O Rod (GB) </t>
  </si>
  <si>
    <t xml:space="preserve">1200-H12 Rod (GB) </t>
  </si>
  <si>
    <t xml:space="preserve">1200-H16 Rod (GB) </t>
  </si>
  <si>
    <t xml:space="preserve">1200-H26 Rod (GB) </t>
  </si>
  <si>
    <t xml:space="preserve">1145 (GB) </t>
  </si>
  <si>
    <t xml:space="preserve">2014 Alloy (GB) </t>
  </si>
  <si>
    <t xml:space="preserve">2014-O (GB) </t>
  </si>
  <si>
    <t xml:space="preserve">2014-T4 (GB) </t>
  </si>
  <si>
    <t xml:space="preserve">2014-T6 (GB) </t>
  </si>
  <si>
    <t xml:space="preserve">2014-H112 (GB) </t>
  </si>
  <si>
    <t xml:space="preserve">2014-T62 (GB) </t>
  </si>
  <si>
    <t xml:space="preserve">2A90 (GB) </t>
  </si>
  <si>
    <t xml:space="preserve">2024 (GB) </t>
  </si>
  <si>
    <t xml:space="preserve">2024-O (GB) </t>
  </si>
  <si>
    <t xml:space="preserve">2024-T3 (GB) </t>
  </si>
  <si>
    <t xml:space="preserve">2024-T4 (GB) </t>
  </si>
  <si>
    <t xml:space="preserve">2219-O (GB) </t>
  </si>
  <si>
    <t xml:space="preserve">2219-T31 (GB) </t>
  </si>
  <si>
    <t xml:space="preserve">2219-T37 (GB) </t>
  </si>
  <si>
    <t xml:space="preserve">2219-T62 (GB) </t>
  </si>
  <si>
    <t xml:space="preserve">2219-T81 (GB) </t>
  </si>
  <si>
    <t xml:space="preserve">2219-T87 (GB) </t>
  </si>
  <si>
    <t xml:space="preserve">2618-T61 (GB) </t>
  </si>
  <si>
    <t xml:space="preserve">3003 Alloy (GB) </t>
  </si>
  <si>
    <t xml:space="preserve">3003-O (GB) </t>
  </si>
  <si>
    <t xml:space="preserve">3003-O, Rod (GB) </t>
  </si>
  <si>
    <t xml:space="preserve">3003-H12 (GB) </t>
  </si>
  <si>
    <t xml:space="preserve">3003-H12, Rod (GB) </t>
  </si>
  <si>
    <t xml:space="preserve">3003-H14 (GB) </t>
  </si>
  <si>
    <t xml:space="preserve">3003-H14, Rod (GB) </t>
  </si>
  <si>
    <t xml:space="preserve">3003-H16 (GB) </t>
  </si>
  <si>
    <t xml:space="preserve">3003-H18 (GB) </t>
  </si>
  <si>
    <t xml:space="preserve">3003-H18, Rod (GB) </t>
  </si>
  <si>
    <t xml:space="preserve">3004-H34, Rod (GB) </t>
  </si>
  <si>
    <t xml:space="preserve">3004-O, Rod (GB) </t>
  </si>
  <si>
    <t xml:space="preserve">4032-T6 (GB) </t>
  </si>
  <si>
    <t xml:space="preserve">5A03-O (GB) </t>
  </si>
  <si>
    <t xml:space="preserve">5A03-O, Rod (GB) </t>
  </si>
  <si>
    <t xml:space="preserve">5A03-H32 (GB) </t>
  </si>
  <si>
    <t xml:space="preserve">5A03-H34 (GB) </t>
  </si>
  <si>
    <t xml:space="preserve">5A03-H36 (GB) </t>
  </si>
  <si>
    <t xml:space="preserve">5A03-H38 (GB) </t>
  </si>
  <si>
    <t xml:space="preserve">5A03-H38, Rod (GB) </t>
  </si>
  <si>
    <t xml:space="preserve">5154A-O, Rod (GB) </t>
  </si>
  <si>
    <t xml:space="preserve">5086-H32, Rod (GB) </t>
  </si>
  <si>
    <t xml:space="preserve">5554-O (GB) </t>
  </si>
  <si>
    <t xml:space="preserve">5554-H32 (GB) </t>
  </si>
  <si>
    <t xml:space="preserve">5554-H34 (GB) </t>
  </si>
  <si>
    <t xml:space="preserve">5554-H111 (GB) </t>
  </si>
  <si>
    <t xml:space="preserve">5554-H112 (GB) </t>
  </si>
  <si>
    <t xml:space="preserve">6061 Alloy  (GB) </t>
  </si>
  <si>
    <t xml:space="preserve">6061-O (GB) </t>
  </si>
  <si>
    <t xml:space="preserve">6061-T4 (GB) </t>
  </si>
  <si>
    <t xml:space="preserve">6061-T6 (GB) </t>
  </si>
  <si>
    <t xml:space="preserve">6063-O (GB) </t>
  </si>
  <si>
    <t xml:space="preserve">6063-O, Extruded Rod (GB) </t>
  </si>
  <si>
    <t xml:space="preserve">6063-T1 (GB) </t>
  </si>
  <si>
    <t xml:space="preserve">6063-T4 (GB) </t>
  </si>
  <si>
    <t xml:space="preserve">6063-T5 (GB) </t>
  </si>
  <si>
    <t xml:space="preserve">6063-T6 (GB) </t>
  </si>
  <si>
    <t xml:space="preserve">6063-T6, Rod (GB) </t>
  </si>
  <si>
    <t xml:space="preserve">6063-T83 (GB) </t>
  </si>
  <si>
    <t xml:space="preserve">7075-O (GB) </t>
  </si>
  <si>
    <t xml:space="preserve">7075-T6 (GB) </t>
  </si>
  <si>
    <t xml:space="preserve">7075-T6, Plate (GB) </t>
  </si>
  <si>
    <t xml:space="preserve">7A10 (GB) </t>
  </si>
  <si>
    <t xml:space="preserve">1023 Carbon Steel Sheet #(SS) </t>
  </si>
  <si>
    <t xml:space="preserve">201 Annealed Stainless Steel (SS) </t>
  </si>
  <si>
    <t xml:space="preserve">AISI 1015 Steel, Cold Drawn (SS) </t>
  </si>
  <si>
    <t xml:space="preserve">AISI 1035 Steel (SS) </t>
  </si>
  <si>
    <t xml:space="preserve">AISI 1020 </t>
  </si>
  <si>
    <t xml:space="preserve">AISI 1010 Steel, hot rolled bar </t>
  </si>
  <si>
    <t xml:space="preserve">AISI 1020 Steel, Cold Rolled </t>
  </si>
  <si>
    <t xml:space="preserve">AISI 1045 Steel, cold drawn </t>
  </si>
  <si>
    <t xml:space="preserve">AISI 304 </t>
  </si>
  <si>
    <t xml:space="preserve">AISI 316 Annealed Stainless Steel Bar (SS) </t>
  </si>
  <si>
    <t xml:space="preserve">AISI 316 Stainless Steel Sheet (SS) </t>
  </si>
  <si>
    <t xml:space="preserve">AISI 321 Annealed Stainless Steel (SS) </t>
  </si>
  <si>
    <t xml:space="preserve">AISI 347 Annealed Stainless Steel (SS) </t>
  </si>
  <si>
    <t xml:space="preserve">AISI 4130 Steel, annealed at 865C </t>
  </si>
  <si>
    <t xml:space="preserve">AISI 4130 Steel, normalized at 870C </t>
  </si>
  <si>
    <t xml:space="preserve">AISI 4340 Steel, annealed </t>
  </si>
  <si>
    <t xml:space="preserve">AISI 4340 Steel, normalized </t>
  </si>
  <si>
    <t xml:space="preserve">AISI Type A2 Tool Steel </t>
  </si>
  <si>
    <t xml:space="preserve">AISI Type 316L stainless steel </t>
  </si>
  <si>
    <t xml:space="preserve">A286 Iron Base Superalloy </t>
  </si>
  <si>
    <t xml:space="preserve">ASTM A36 Steel </t>
  </si>
  <si>
    <t xml:space="preserve">Alloy Steel (SS) </t>
  </si>
  <si>
    <t xml:space="preserve">Cast Alloy Steel </t>
  </si>
  <si>
    <t xml:space="preserve">Cast Carbon Steel (SN) </t>
  </si>
  <si>
    <t xml:space="preserve">Cast Stainless Steel </t>
  </si>
  <si>
    <t xml:space="preserve">Chrome Stainless Steel </t>
  </si>
  <si>
    <t xml:space="preserve">Galvanized Steel </t>
  </si>
  <si>
    <t xml:space="preserve">Plain Carbon Steel </t>
  </si>
  <si>
    <t xml:space="preserve">Wrought Stainless Steel </t>
  </si>
  <si>
    <t xml:space="preserve">Stainless Steel (ferritic) </t>
  </si>
  <si>
    <t xml:space="preserve">1060 Alloy </t>
  </si>
  <si>
    <t xml:space="preserve">1060-O (SS) </t>
  </si>
  <si>
    <t xml:space="preserve">1060-H12 </t>
  </si>
  <si>
    <t xml:space="preserve">1060-H12 Rod (SS) </t>
  </si>
  <si>
    <t xml:space="preserve">1060-H14 </t>
  </si>
  <si>
    <t xml:space="preserve">1060-H16 </t>
  </si>
  <si>
    <t xml:space="preserve">1060-H18 </t>
  </si>
  <si>
    <t xml:space="preserve">1060-H18 Rod (SS) </t>
  </si>
  <si>
    <t xml:space="preserve">1100-O Rod (SS) </t>
  </si>
  <si>
    <t xml:space="preserve">1100-H12 Rod (SS) </t>
  </si>
  <si>
    <t xml:space="preserve">1100-H16 Rod (SS) </t>
  </si>
  <si>
    <t xml:space="preserve">1100-H26 Rod (SS) </t>
  </si>
  <si>
    <t xml:space="preserve">1345 Alloy </t>
  </si>
  <si>
    <t xml:space="preserve">1350 Alloy </t>
  </si>
  <si>
    <t xml:space="preserve">201.0-T6 Insulated Mold Casting (SS) </t>
  </si>
  <si>
    <t xml:space="preserve">201.0-T7 Insulated Mold Casting (SS) </t>
  </si>
  <si>
    <t xml:space="preserve">201.0-T43 Insulated Mold Casting (SS) </t>
  </si>
  <si>
    <t xml:space="preserve">2014 Alloy </t>
  </si>
  <si>
    <t xml:space="preserve">2014-O </t>
  </si>
  <si>
    <t xml:space="preserve">2014-T4 </t>
  </si>
  <si>
    <t xml:space="preserve">2014-T6 </t>
  </si>
  <si>
    <t xml:space="preserve">2018 Alloy </t>
  </si>
  <si>
    <t xml:space="preserve">2024 Alloy (SN) </t>
  </si>
  <si>
    <t xml:space="preserve">2024-O </t>
  </si>
  <si>
    <t xml:space="preserve">2024-T3 </t>
  </si>
  <si>
    <t xml:space="preserve">2024-T4 </t>
  </si>
  <si>
    <t xml:space="preserve">2024-T361 </t>
  </si>
  <si>
    <t xml:space="preserve">2219-O </t>
  </si>
  <si>
    <t xml:space="preserve">2219-T31 </t>
  </si>
  <si>
    <t xml:space="preserve">2219-T37 </t>
  </si>
  <si>
    <t xml:space="preserve">2219-T62 </t>
  </si>
  <si>
    <t xml:space="preserve">2219-T81 </t>
  </si>
  <si>
    <t xml:space="preserve">2219-T87 </t>
  </si>
  <si>
    <t xml:space="preserve">2618-T61 (SS) </t>
  </si>
  <si>
    <t xml:space="preserve">3003 Alloy </t>
  </si>
  <si>
    <t xml:space="preserve">3003-O </t>
  </si>
  <si>
    <t xml:space="preserve">3003-O, Rod (SS) </t>
  </si>
  <si>
    <t xml:space="preserve">3003-H12 </t>
  </si>
  <si>
    <t xml:space="preserve">3003-H12, Rod (SS) </t>
  </si>
  <si>
    <t xml:space="preserve">3003-H14 </t>
  </si>
  <si>
    <t xml:space="preserve">3003-H14, Rod (SS) </t>
  </si>
  <si>
    <t xml:space="preserve">3003-H16 </t>
  </si>
  <si>
    <t xml:space="preserve">3003-H18 </t>
  </si>
  <si>
    <t xml:space="preserve">3003-H18, Rod (SS) </t>
  </si>
  <si>
    <t xml:space="preserve">3004-H34, Rod (SS) </t>
  </si>
  <si>
    <t xml:space="preserve">3004-O, Rod (SS) </t>
  </si>
  <si>
    <t xml:space="preserve">356.0-T6 Permanent Mold cast (SS) </t>
  </si>
  <si>
    <t xml:space="preserve">4032-T6 </t>
  </si>
  <si>
    <t xml:space="preserve">5052-O </t>
  </si>
  <si>
    <t xml:space="preserve">5052-O, Rod (SS) </t>
  </si>
  <si>
    <t xml:space="preserve">5052-H32 </t>
  </si>
  <si>
    <t xml:space="preserve">5052-H34 </t>
  </si>
  <si>
    <t xml:space="preserve">5052-H36 </t>
  </si>
  <si>
    <t xml:space="preserve">5052-H38 </t>
  </si>
  <si>
    <t xml:space="preserve">5052-H38, Rod (SS) </t>
  </si>
  <si>
    <t xml:space="preserve">5154-O, Rod (SS) </t>
  </si>
  <si>
    <t xml:space="preserve">5086-H32, Rod (SS) </t>
  </si>
  <si>
    <t xml:space="preserve">5454-O </t>
  </si>
  <si>
    <t xml:space="preserve">5454-H32 </t>
  </si>
  <si>
    <t xml:space="preserve">5454-H34 </t>
  </si>
  <si>
    <t xml:space="preserve">5454-H111 </t>
  </si>
  <si>
    <t xml:space="preserve">5454-H112 </t>
  </si>
  <si>
    <t xml:space="preserve">6061 Alloy </t>
  </si>
  <si>
    <t xml:space="preserve">6061-O (SS) </t>
  </si>
  <si>
    <t xml:space="preserve">6061-T4 (SS) </t>
  </si>
  <si>
    <t xml:space="preserve">6061-T6 (SS) </t>
  </si>
  <si>
    <t xml:space="preserve">6063-O </t>
  </si>
  <si>
    <t xml:space="preserve">6063-O, Extruded Rod (SS) </t>
  </si>
  <si>
    <t xml:space="preserve">6063-T1 </t>
  </si>
  <si>
    <t xml:space="preserve">6063-T4 </t>
  </si>
  <si>
    <t xml:space="preserve">6063-T5 </t>
  </si>
  <si>
    <t xml:space="preserve">6063-T6 </t>
  </si>
  <si>
    <t xml:space="preserve">6063-T6, Rod (SS) </t>
  </si>
  <si>
    <t xml:space="preserve">6063-T83 </t>
  </si>
  <si>
    <t xml:space="preserve">7050-T73510 </t>
  </si>
  <si>
    <t xml:space="preserve">7050-T7451 </t>
  </si>
  <si>
    <t xml:space="preserve">7050-T7651 </t>
  </si>
  <si>
    <t xml:space="preserve">7075-O (SS) </t>
  </si>
  <si>
    <t xml:space="preserve">7075-T6 (SN) </t>
  </si>
  <si>
    <t xml:space="preserve">7075-T6, Plate (SS) </t>
  </si>
  <si>
    <t xml:space="preserve">7079 Alloy </t>
  </si>
  <si>
    <t xml:space="preserve">Alumina </t>
  </si>
  <si>
    <t xml:space="preserve">AA356.0-F  </t>
  </si>
  <si>
    <t xml:space="preserve">AA380.0-F die </t>
  </si>
  <si>
    <t xml:space="preserve">C355.0-T61 Permanent Mold cast (SS) </t>
  </si>
  <si>
    <t xml:space="preserve">Aluminium Bronze </t>
  </si>
  <si>
    <t xml:space="preserve">Beryllium Copper, UNS C17000 </t>
  </si>
  <si>
    <t xml:space="preserve">Beryllium Copper, UNS C17200 </t>
  </si>
  <si>
    <t xml:space="preserve">Beryllium Copper, UNS C17300 </t>
  </si>
  <si>
    <t xml:space="preserve">Beryllium S-65C, Vacuum Hot Pressed </t>
  </si>
  <si>
    <t xml:space="preserve">Beryllium S-200F, Vacuum Hot Pressed </t>
  </si>
  <si>
    <t xml:space="preserve">Brass </t>
  </si>
  <si>
    <t xml:space="preserve">Chromium Copper, UNS C18200 </t>
  </si>
  <si>
    <t xml:space="preserve">Copper </t>
  </si>
  <si>
    <t xml:space="preserve">Commercial Bronze, UNS C22000 (90-10 Bronze) </t>
  </si>
  <si>
    <t xml:space="preserve">Copper-Cobalt-Beryllium alloy, UNS C17500 </t>
  </si>
  <si>
    <t xml:space="preserve">Free-Cutting Brass, UNS C36000 </t>
  </si>
  <si>
    <t xml:space="preserve">High-leaded brass, UNS C34200 </t>
  </si>
  <si>
    <t xml:space="preserve">Leaded Commercial Bronze </t>
  </si>
  <si>
    <t xml:space="preserve">Manganese Bronze </t>
  </si>
  <si>
    <t xml:space="preserve">Nickel silver 65-12, UNS C75700 </t>
  </si>
  <si>
    <t xml:space="preserve">Phosphor bronze 10% D, UNS C52400 </t>
  </si>
  <si>
    <t xml:space="preserve">Tin Bearing Bronze </t>
  </si>
  <si>
    <t xml:space="preserve">Wrought Copper </t>
  </si>
  <si>
    <t xml:space="preserve">Commercially Pure titanium (Ti-55)  UNS R50550* </t>
  </si>
  <si>
    <t xml:space="preserve">Commercially Pure CP-Ti UNS R50700  Grade 4 (SS) </t>
  </si>
  <si>
    <t xml:space="preserve">Commercially Pure CP-Ti UNS R50400 (SS) </t>
  </si>
  <si>
    <t xml:space="preserve">Commercially Pure Grade 2 Textured (SS) </t>
  </si>
  <si>
    <t xml:space="preserve">Commercially Pure grade 2 longitudinal (SS) </t>
  </si>
  <si>
    <t xml:space="preserve">Ti-3Al-8V-6Cr-4Mo-4Zr (SS) </t>
  </si>
  <si>
    <t xml:space="preserve">Ti-5Al-2.5Sn Annealed (SS) </t>
  </si>
  <si>
    <t xml:space="preserve">Ti-6Al-2Sn-2Zr-2Mo-2Cr-0.25Si (SS) </t>
  </si>
  <si>
    <t xml:space="preserve">Ti-6Al-4VSolution treated and aged (SS) </t>
  </si>
  <si>
    <t xml:space="preserve">Ti-8Al-1Mo-1V annealed sheet (SS) </t>
  </si>
  <si>
    <t xml:space="preserve">Ti-8Mn annealed sheet (SS) </t>
  </si>
  <si>
    <t xml:space="preserve">Ti-10V-2Fe-3Al Solution Treated Bar (SS) </t>
  </si>
  <si>
    <t xml:space="preserve">TIMETAL 35A CP Titanium (ASTM Grade 1) 99.1 Ti </t>
  </si>
  <si>
    <t xml:space="preserve">Titanium Ti-5Al-2.5Sn </t>
  </si>
  <si>
    <t xml:space="preserve">Titanium Ti-8Al-1Mo-1V </t>
  </si>
  <si>
    <t xml:space="preserve">Titanium Ti-8Mn, Annealed </t>
  </si>
  <si>
    <t xml:space="preserve">Titanium Ti-13V-11Cr-3Al Solution Treated </t>
  </si>
  <si>
    <t xml:space="preserve">Zinc AC43A (Zn-4Al-2.5Cu-0.04Mg; Number 2 Die Casting Alloy; Zamak 2), Die Cast </t>
  </si>
  <si>
    <t xml:space="preserve">Zinc AG40A (Zn-4Al-0.4Mg; Zamak 3), Cast </t>
  </si>
  <si>
    <t xml:space="preserve">Zinc AC41A Alloy, As Cast </t>
  </si>
  <si>
    <t xml:space="preserve">Zinc Alloy 7; AG40B; Zn-4Al-0.015Mg </t>
  </si>
  <si>
    <t xml:space="preserve">Duranickel&amp;#174; 301 !-- Added &amp;#174; which adds a registered trademark symbol -- </t>
  </si>
  <si>
    <t xml:space="preserve">Magnesium Alloy </t>
  </si>
  <si>
    <t xml:space="preserve">Monel&amp;#174; 400 !-- Added &amp;#174; which adds a registered trademark symbol -- </t>
  </si>
  <si>
    <t xml:space="preserve">Nylon 101 </t>
  </si>
  <si>
    <t xml:space="preserve">ABS </t>
  </si>
  <si>
    <t xml:space="preserve">ABS PC </t>
  </si>
  <si>
    <t xml:space="preserve">Acrylic (Medium-high impact) </t>
  </si>
  <si>
    <t xml:space="preserve">Delrin 2700 NC010, Low Viscosity Acetal Copolymer (SS) </t>
  </si>
  <si>
    <t xml:space="preserve">Nylon 610 </t>
  </si>
  <si>
    <t xml:space="preserve">PA Type 6 </t>
  </si>
  <si>
    <t xml:space="preserve">PBT General Purpose </t>
  </si>
  <si>
    <t xml:space="preserve">PC High Viscosity </t>
  </si>
  <si>
    <t xml:space="preserve">PE High Density </t>
  </si>
  <si>
    <t xml:space="preserve">PE LowMedium Density </t>
  </si>
  <si>
    <t xml:space="preserve">POM Acetal Copolymer </t>
  </si>
  <si>
    <t xml:space="preserve">PP Copolymer </t>
  </si>
  <si>
    <t xml:space="preserve">PS MediumHigh Flow </t>
  </si>
  <si>
    <t xml:space="preserve">PVC 0.007 Plasticized </t>
  </si>
  <si>
    <t xml:space="preserve">PVC Rigid </t>
  </si>
  <si>
    <t xml:space="preserve">Very Low Density PE (SS) </t>
  </si>
  <si>
    <t xml:space="preserve">Perspex (TM) GS Acrylic Cast Sheet </t>
  </si>
  <si>
    <t xml:space="preserve">PTFE (general) </t>
  </si>
  <si>
    <t xml:space="preserve">Beryllium (Be) </t>
  </si>
  <si>
    <t xml:space="preserve">Cobalt (Co) </t>
  </si>
  <si>
    <t xml:space="preserve">Molybdenum (Mo) </t>
  </si>
  <si>
    <t xml:space="preserve">Nickel (Ni) </t>
  </si>
  <si>
    <t xml:space="preserve">Pure Gold </t>
  </si>
  <si>
    <t xml:space="preserve">Pure Lead (Pb) </t>
  </si>
  <si>
    <t xml:space="preserve">Pure Silver (Ag) </t>
  </si>
  <si>
    <t xml:space="preserve">Titanium (Ti) </t>
  </si>
  <si>
    <t xml:space="preserve">Tungsten (W) </t>
  </si>
  <si>
    <t xml:space="preserve">Vanadium (V) </t>
  </si>
  <si>
    <t xml:space="preserve">Zirconium (Zr) </t>
  </si>
  <si>
    <r>
      <rPr>
        <sz val="12"/>
        <rFont val="Times New Roman"/>
        <family val="1"/>
      </rPr>
      <t>Air</t>
    </r>
    <r>
      <rPr>
        <sz val="12"/>
        <rFont val="宋体"/>
        <charset val="134"/>
      </rPr>
      <t xml:space="preserve">（空气） </t>
    </r>
  </si>
  <si>
    <r>
      <rPr>
        <sz val="12"/>
        <rFont val="Times New Roman"/>
        <family val="1"/>
      </rPr>
      <t>Ceramic Porcelain</t>
    </r>
    <r>
      <rPr>
        <sz val="12"/>
        <rFont val="宋体"/>
        <charset val="134"/>
      </rPr>
      <t xml:space="preserve">（陶瓷） </t>
    </r>
  </si>
  <si>
    <r>
      <rPr>
        <sz val="12"/>
        <rFont val="Times New Roman"/>
        <family val="1"/>
      </rPr>
      <t>Glass</t>
    </r>
    <r>
      <rPr>
        <sz val="12"/>
        <rFont val="宋体"/>
        <charset val="134"/>
      </rPr>
      <t xml:space="preserve">（玻璃） </t>
    </r>
  </si>
  <si>
    <r>
      <rPr>
        <sz val="12"/>
        <rFont val="Times New Roman"/>
        <family val="1"/>
      </rPr>
      <t>Rubber</t>
    </r>
    <r>
      <rPr>
        <sz val="12"/>
        <rFont val="宋体"/>
        <charset val="134"/>
      </rPr>
      <t xml:space="preserve">（橡胶） </t>
    </r>
  </si>
  <si>
    <r>
      <rPr>
        <sz val="12"/>
        <rFont val="Times New Roman"/>
        <family val="1"/>
      </rPr>
      <t>Water</t>
    </r>
    <r>
      <rPr>
        <sz val="12"/>
        <rFont val="宋体"/>
        <charset val="134"/>
      </rPr>
      <t xml:space="preserve">（水） </t>
    </r>
  </si>
  <si>
    <t>序号</t>
  </si>
  <si>
    <t>塑料名称</t>
  </si>
  <si>
    <t>代号</t>
  </si>
  <si>
    <t>流动性</t>
  </si>
  <si>
    <t>拉伸强度</t>
  </si>
  <si>
    <t xml:space="preserve"> 收缩率</t>
  </si>
  <si>
    <t>吸水率</t>
  </si>
  <si>
    <t>线膨胀系数</t>
  </si>
  <si>
    <t>产品精度</t>
  </si>
  <si>
    <t>原料价格</t>
  </si>
  <si>
    <t>相对密度</t>
  </si>
  <si>
    <t>弯曲强度</t>
  </si>
  <si>
    <t>压缩强度</t>
  </si>
  <si>
    <t>断裂伸长率</t>
  </si>
  <si>
    <t>冲击强度</t>
  </si>
  <si>
    <t>缺口冲击强度</t>
  </si>
  <si>
    <t>洛氏硬度</t>
  </si>
  <si>
    <t>热变形温度</t>
  </si>
  <si>
    <t>摩擦系数</t>
  </si>
  <si>
    <t>透光率</t>
  </si>
  <si>
    <t>氧指数</t>
  </si>
  <si>
    <t>丙稀腈、丁二稀、苯乙烯</t>
  </si>
  <si>
    <t>ABS</t>
  </si>
  <si>
    <t>一般</t>
  </si>
  <si>
    <t>35～62</t>
  </si>
  <si>
    <t>0.3～0.8</t>
  </si>
  <si>
    <t>0.2～0.45</t>
  </si>
  <si>
    <t>3～60</t>
  </si>
  <si>
    <t>R65～115</t>
  </si>
  <si>
    <t>氨基树脂</t>
  </si>
  <si>
    <t>AF</t>
  </si>
  <si>
    <t>氯化聚醚</t>
  </si>
  <si>
    <t>CP</t>
  </si>
  <si>
    <t>60～130</t>
  </si>
  <si>
    <t>1.6～2.2</t>
  </si>
  <si>
    <t>环氧树脂</t>
  </si>
  <si>
    <t>EP</t>
  </si>
  <si>
    <t>聚三氟氯乙烯</t>
  </si>
  <si>
    <t>F3</t>
  </si>
  <si>
    <t>较差</t>
  </si>
  <si>
    <t>＜0.01</t>
  </si>
  <si>
    <t>R115</t>
  </si>
  <si>
    <t>＞95</t>
  </si>
  <si>
    <t>聚四氟乙烯</t>
  </si>
  <si>
    <t>F4</t>
  </si>
  <si>
    <t>聚四氟乙烯(增强)</t>
  </si>
  <si>
    <t>F4+20%GF</t>
  </si>
  <si>
    <t>聚全氟乙丙烯</t>
  </si>
  <si>
    <t>F46</t>
  </si>
  <si>
    <t>R110</t>
  </si>
  <si>
    <t>高密度聚乙烯(孖力士)</t>
  </si>
  <si>
    <t>HDPE</t>
  </si>
  <si>
    <t>较好</t>
  </si>
  <si>
    <t>22～30</t>
  </si>
  <si>
    <t>2～5.0</t>
  </si>
  <si>
    <t>＞500</t>
  </si>
  <si>
    <t>40～70</t>
  </si>
  <si>
    <t>R70</t>
  </si>
  <si>
    <t>高抗冲聚苯乙烯(不脆胶)</t>
  </si>
  <si>
    <t>HIPS</t>
  </si>
  <si>
    <t>0.2～0.6</t>
  </si>
  <si>
    <t>3.4～21</t>
  </si>
  <si>
    <t>硬质聚氯乙烯</t>
  </si>
  <si>
    <t>HPVC</t>
  </si>
  <si>
    <t>0.6～1.0</t>
  </si>
  <si>
    <t>0.07～0.4</t>
  </si>
  <si>
    <t>2.2～10.6</t>
  </si>
  <si>
    <t>D75～85</t>
  </si>
  <si>
    <t>液晶聚合物</t>
  </si>
  <si>
    <t>LCP</t>
  </si>
  <si>
    <t>低密度聚乙烯</t>
  </si>
  <si>
    <t>LDPE</t>
  </si>
  <si>
    <t>7～15</t>
  </si>
  <si>
    <t>1.5～5.0</t>
  </si>
  <si>
    <t>＞650</t>
  </si>
  <si>
    <t>80～90</t>
  </si>
  <si>
    <t>R45</t>
  </si>
  <si>
    <t>改性聚苯醚</t>
  </si>
  <si>
    <t>MPPO</t>
  </si>
  <si>
    <t>聚酰胺6</t>
  </si>
  <si>
    <t>PA6</t>
  </si>
  <si>
    <t>0.6～1.4</t>
  </si>
  <si>
    <t>M114</t>
  </si>
  <si>
    <t>聚酰胺6(增强)</t>
  </si>
  <si>
    <t>PA6+30%GF</t>
  </si>
  <si>
    <t>0.3～0.7</t>
  </si>
  <si>
    <t>聚酰胺66</t>
  </si>
  <si>
    <t>PA66</t>
  </si>
  <si>
    <t>0.8～1.5</t>
  </si>
  <si>
    <t>3.4～3.6</t>
  </si>
  <si>
    <t>M118</t>
  </si>
  <si>
    <t>聚酰胺66(增强)</t>
  </si>
  <si>
    <t>PA66+30%GF</t>
  </si>
  <si>
    <t>0.2～0.8</t>
  </si>
  <si>
    <t>0.5～1.3</t>
  </si>
  <si>
    <t>聚芳砜</t>
  </si>
  <si>
    <t>PASF</t>
  </si>
  <si>
    <t>M110</t>
  </si>
  <si>
    <t>聚对苯二甲酸丁二醇酯</t>
  </si>
  <si>
    <t>PBT</t>
  </si>
  <si>
    <t>200～300</t>
  </si>
  <si>
    <t>M72</t>
  </si>
  <si>
    <t>聚对苯二甲酸丁二醇酯(增强)</t>
  </si>
  <si>
    <t>PBT+30%GF</t>
  </si>
  <si>
    <t>R121</t>
  </si>
  <si>
    <t>聚碳酸脂(防弹胶)</t>
  </si>
  <si>
    <t>PC</t>
  </si>
  <si>
    <t>M80</t>
  </si>
  <si>
    <t>聚碳酸脂(增强)</t>
  </si>
  <si>
    <t>PC+30%GF</t>
  </si>
  <si>
    <t>＜5</t>
  </si>
  <si>
    <t>M90</t>
  </si>
  <si>
    <t>聚醚醚酮</t>
  </si>
  <si>
    <t>PEEK</t>
  </si>
  <si>
    <t>聚醚酮</t>
  </si>
  <si>
    <t>PEK</t>
  </si>
  <si>
    <t>聚醚酮酮</t>
  </si>
  <si>
    <t>PEKK</t>
  </si>
  <si>
    <t>聚醚砜</t>
  </si>
  <si>
    <t>PES</t>
  </si>
  <si>
    <t>M98</t>
  </si>
  <si>
    <t>聚对苯二甲酸乙二醇酯</t>
  </si>
  <si>
    <t>PET</t>
  </si>
  <si>
    <t>涤纶(的确凉)</t>
  </si>
  <si>
    <t>PET+30%GF</t>
  </si>
  <si>
    <t>0.2～0.9</t>
  </si>
  <si>
    <t>R120</t>
  </si>
  <si>
    <t xml:space="preserve">酚醛塑料(电木粉) </t>
  </si>
  <si>
    <t>PF</t>
  </si>
  <si>
    <t>聚酰亚胺</t>
  </si>
  <si>
    <t>PI</t>
  </si>
  <si>
    <t>聚甲基丙烯酸酯(亚加力)</t>
  </si>
  <si>
    <t>PMMA</t>
  </si>
  <si>
    <t>55～77</t>
  </si>
  <si>
    <t>2.5～6</t>
  </si>
  <si>
    <t>聚甲醛 共聚(赛钢)</t>
  </si>
  <si>
    <t>共聚POM</t>
  </si>
  <si>
    <t>1.5～3.5</t>
  </si>
  <si>
    <t>聚甲醛 共聚(增强)</t>
  </si>
  <si>
    <t>共聚POM+25%GF</t>
  </si>
  <si>
    <t>聚甲醛 均聚</t>
  </si>
  <si>
    <t>均聚POM</t>
  </si>
  <si>
    <t>1.5～3</t>
  </si>
  <si>
    <t>M94</t>
  </si>
  <si>
    <t>聚丙烯(百折胶)</t>
  </si>
  <si>
    <t>PP</t>
  </si>
  <si>
    <t>1～2.5</t>
  </si>
  <si>
    <t>＞200</t>
  </si>
  <si>
    <t>R80～110</t>
  </si>
  <si>
    <t>聚丙烯(增强)</t>
  </si>
  <si>
    <t>PP+30%GF</t>
  </si>
  <si>
    <t>0.4～0.8</t>
  </si>
  <si>
    <t>聚苯醚</t>
  </si>
  <si>
    <t>PPO</t>
  </si>
  <si>
    <t>R119</t>
  </si>
  <si>
    <t>聚苯硫醚(增强)</t>
  </si>
  <si>
    <t>PPS+40%GF</t>
  </si>
  <si>
    <t>＜0.12</t>
  </si>
  <si>
    <t>＜0.05</t>
  </si>
  <si>
    <t>R132</t>
  </si>
  <si>
    <t xml:space="preserve">聚苯乙烯(硬胶) </t>
  </si>
  <si>
    <t>PS</t>
  </si>
  <si>
    <t>0.4～0.7</t>
  </si>
  <si>
    <t>M65～90</t>
  </si>
  <si>
    <t>聚砜</t>
  </si>
  <si>
    <t>PSF</t>
  </si>
  <si>
    <t>50～10</t>
  </si>
  <si>
    <t>M169</t>
  </si>
  <si>
    <t>聚氨酯</t>
  </si>
  <si>
    <t>PU</t>
  </si>
  <si>
    <t>软质聚氯乙烯</t>
  </si>
  <si>
    <t>SPVC</t>
  </si>
  <si>
    <t>10.5～20.5</t>
  </si>
  <si>
    <t>1.5～2.5</t>
  </si>
  <si>
    <t>超高分子量聚乙烯</t>
  </si>
  <si>
    <t>UHMWPE</t>
  </si>
  <si>
    <t>30～50</t>
  </si>
  <si>
    <t>2～3</t>
  </si>
  <si>
    <t>＞100</t>
  </si>
  <si>
    <t>R38</t>
  </si>
  <si>
    <t>醋酸纤维素</t>
  </si>
  <si>
    <t>参考手册：机械设计手册（第五版）第五卷 第21篇 21-32页</t>
  </si>
  <si>
    <t>液压冲击计算公式</t>
  </si>
  <si>
    <t>输入参数区</t>
  </si>
  <si>
    <t>输出结果区</t>
  </si>
  <si>
    <t>输入的参数及代号(单位)</t>
  </si>
  <si>
    <t>输入参数值</t>
  </si>
  <si>
    <t>备注说明</t>
  </si>
  <si>
    <t>计算的参数代号(单位)</t>
  </si>
  <si>
    <t>计算公式</t>
  </si>
  <si>
    <t>计算结果</t>
  </si>
  <si>
    <r>
      <rPr>
        <sz val="11"/>
        <color theme="1"/>
        <rFont val="微软雅黑"/>
        <family val="2"/>
        <charset val="134"/>
      </rPr>
      <t>液体体积弹性模量E</t>
    </r>
    <r>
      <rPr>
        <vertAlign val="subscript"/>
        <sz val="11"/>
        <color theme="1"/>
        <rFont val="微软雅黑"/>
        <family val="2"/>
        <charset val="134"/>
      </rPr>
      <t>0</t>
    </r>
    <r>
      <rPr>
        <sz val="11"/>
        <color theme="1"/>
        <rFont val="微软雅黑"/>
        <family val="2"/>
        <charset val="134"/>
      </rPr>
      <t>（Pa）</t>
    </r>
  </si>
  <si>
    <t>冲击波在管内的转播速度
α（m/s）</t>
  </si>
  <si>
    <r>
      <rPr>
        <sz val="11"/>
        <color theme="1"/>
        <rFont val="微软雅黑"/>
        <family val="2"/>
        <charset val="134"/>
      </rPr>
      <t>液体密度ρ（kg/m</t>
    </r>
    <r>
      <rPr>
        <vertAlign val="superscript"/>
        <sz val="11"/>
        <color theme="1"/>
        <rFont val="微软雅黑"/>
        <family val="2"/>
        <charset val="134"/>
      </rPr>
      <t>3</t>
    </r>
    <r>
      <rPr>
        <sz val="11"/>
        <color theme="1"/>
        <rFont val="微软雅黑"/>
        <family val="2"/>
        <charset val="134"/>
      </rPr>
      <t>）</t>
    </r>
  </si>
  <si>
    <t>管道内径d（m）</t>
  </si>
  <si>
    <t>管壁厚度δ（m）</t>
  </si>
  <si>
    <t>管道材料的弹性模量E（Pa）</t>
  </si>
  <si>
    <t>转播速度α（m/s）</t>
  </si>
  <si>
    <t>冲击波在管内往复所需要的
时间T（s）</t>
  </si>
  <si>
    <t>T=2l/α</t>
  </si>
  <si>
    <t>管道长度l(m)</t>
  </si>
  <si>
    <t>液体密度ρ（kg/m3）</t>
  </si>
  <si>
    <t>直接冲击是管内压力增大值
△p（Pa）</t>
  </si>
  <si>
    <r>
      <rPr>
        <sz val="11"/>
        <color theme="1"/>
        <rFont val="微软雅黑"/>
        <family val="2"/>
        <charset val="134"/>
      </rPr>
      <t>△p=αρ(V</t>
    </r>
    <r>
      <rPr>
        <vertAlign val="subscript"/>
        <sz val="11"/>
        <color theme="1"/>
        <rFont val="微软雅黑"/>
        <family val="2"/>
        <charset val="134"/>
      </rPr>
      <t>1</t>
    </r>
    <r>
      <rPr>
        <sz val="11"/>
        <color theme="1"/>
        <rFont val="微软雅黑"/>
        <family val="2"/>
        <charset val="134"/>
      </rPr>
      <t>-V</t>
    </r>
    <r>
      <rPr>
        <vertAlign val="subscript"/>
        <sz val="11"/>
        <color theme="1"/>
        <rFont val="微软雅黑"/>
        <family val="2"/>
        <charset val="134"/>
      </rPr>
      <t>2</t>
    </r>
    <r>
      <rPr>
        <sz val="11"/>
        <color theme="1"/>
        <rFont val="微软雅黑"/>
        <family val="2"/>
        <charset val="134"/>
      </rPr>
      <t>)</t>
    </r>
  </si>
  <si>
    <r>
      <rPr>
        <sz val="11"/>
        <color theme="1"/>
        <rFont val="微软雅黑"/>
        <family val="2"/>
        <charset val="134"/>
      </rPr>
      <t>管内原流速v</t>
    </r>
    <r>
      <rPr>
        <vertAlign val="subscript"/>
        <sz val="11"/>
        <color theme="1"/>
        <rFont val="微软雅黑"/>
        <family val="2"/>
        <charset val="134"/>
      </rPr>
      <t>1</t>
    </r>
    <r>
      <rPr>
        <sz val="11"/>
        <color theme="1"/>
        <rFont val="微软雅黑"/>
        <family val="2"/>
        <charset val="134"/>
      </rPr>
      <t>（m/s）</t>
    </r>
  </si>
  <si>
    <r>
      <rPr>
        <sz val="11"/>
        <color theme="1"/>
        <rFont val="微软雅黑"/>
        <family val="2"/>
        <charset val="134"/>
      </rPr>
      <t>关闭或打开管内流速v</t>
    </r>
    <r>
      <rPr>
        <vertAlign val="subscript"/>
        <sz val="11"/>
        <color theme="1"/>
        <rFont val="微软雅黑"/>
        <family val="2"/>
        <charset val="134"/>
      </rPr>
      <t>2</t>
    </r>
    <r>
      <rPr>
        <sz val="11"/>
        <color theme="1"/>
        <rFont val="微软雅黑"/>
        <family val="2"/>
        <charset val="134"/>
      </rPr>
      <t>(m/s)</t>
    </r>
  </si>
  <si>
    <t>间接冲击是管内压力增大值
△p（Pa）</t>
  </si>
  <si>
    <r>
      <rPr>
        <sz val="11"/>
        <color theme="1"/>
        <rFont val="微软雅黑"/>
        <family val="2"/>
        <charset val="134"/>
      </rPr>
      <t>△p=αρ(V</t>
    </r>
    <r>
      <rPr>
        <vertAlign val="subscript"/>
        <sz val="11"/>
        <color theme="1"/>
        <rFont val="微软雅黑"/>
        <family val="2"/>
        <charset val="134"/>
      </rPr>
      <t>1</t>
    </r>
    <r>
      <rPr>
        <sz val="11"/>
        <color theme="1"/>
        <rFont val="微软雅黑"/>
        <family val="2"/>
        <charset val="134"/>
      </rPr>
      <t>-V</t>
    </r>
    <r>
      <rPr>
        <vertAlign val="subscript"/>
        <sz val="11"/>
        <color theme="1"/>
        <rFont val="微软雅黑"/>
        <family val="2"/>
        <charset val="134"/>
      </rPr>
      <t>2</t>
    </r>
    <r>
      <rPr>
        <sz val="11"/>
        <color theme="1"/>
        <rFont val="微软雅黑"/>
        <family val="2"/>
        <charset val="134"/>
      </rPr>
      <t>)T/t</t>
    </r>
  </si>
  <si>
    <t>关闭或打开液流通道时间t(s)</t>
  </si>
  <si>
    <t>管道长度l（m）</t>
  </si>
  <si>
    <t>版权所有：杭州新迪数字工程系统有限公司</t>
  </si>
  <si>
    <t>免责声明：本工具的计算结果仅供设计参考，开发方对此不承担任何保证责任。</t>
  </si>
  <si>
    <r>
      <rPr>
        <b/>
        <sz val="20"/>
        <color indexed="12"/>
        <rFont val="Times New Roman"/>
        <family val="1"/>
      </rPr>
      <t xml:space="preserve">                              </t>
    </r>
    <r>
      <rPr>
        <b/>
        <sz val="20"/>
        <color indexed="12"/>
        <rFont val="宋体"/>
        <charset val="134"/>
      </rPr>
      <t>【理论】</t>
    </r>
    <r>
      <rPr>
        <b/>
        <sz val="20"/>
        <color indexed="12"/>
        <rFont val="Times New Roman"/>
        <family val="1"/>
      </rPr>
      <t xml:space="preserve"> </t>
    </r>
    <r>
      <rPr>
        <b/>
        <sz val="20"/>
        <color indexed="12"/>
        <rFont val="宋体"/>
        <charset val="134"/>
      </rPr>
      <t>总冲裁力的计算</t>
    </r>
  </si>
  <si>
    <t>一、</t>
  </si>
  <si>
    <t>前言</t>
  </si>
  <si>
    <t>计算总冲裁力的目的是为了合理地选用压力机（冲床）和设计模具。压力机的吨</t>
  </si>
  <si>
    <r>
      <rPr>
        <sz val="12"/>
        <rFont val="宋体"/>
        <charset val="134"/>
      </rPr>
      <t>位必须大于所计算的总冲裁力，以适应冲裁的要求。</t>
    </r>
    <r>
      <rPr>
        <sz val="12"/>
        <color indexed="53"/>
        <rFont val="宋体"/>
        <charset val="134"/>
      </rPr>
      <t>总冲裁力包含：冲裁力、推</t>
    </r>
  </si>
  <si>
    <t>料力、顶件力、卸料力等。</t>
  </si>
  <si>
    <t>二、</t>
  </si>
  <si>
    <t>冲裁力的计算</t>
  </si>
  <si>
    <t>冲裁力是冲裁过程中凸模对板料施加的压力，它是随凸模进入材料的深度（凸模</t>
  </si>
  <si>
    <t>行程）而变化的。</t>
  </si>
  <si>
    <r>
      <rPr>
        <sz val="12"/>
        <rFont val="宋体"/>
        <charset val="134"/>
      </rPr>
      <t>用普通平刃口模具冲裁时，其冲裁力</t>
    </r>
    <r>
      <rPr>
        <sz val="12"/>
        <rFont val="Times New Roman"/>
        <family val="1"/>
      </rPr>
      <t>F</t>
    </r>
    <r>
      <rPr>
        <sz val="12"/>
        <rFont val="宋体"/>
        <charset val="134"/>
      </rPr>
      <t>一般按下计算：</t>
    </r>
  </si>
  <si>
    <r>
      <rPr>
        <sz val="12"/>
        <rFont val="Times New Roman"/>
        <family val="1"/>
      </rPr>
      <t xml:space="preserve">F = K * L * t * T </t>
    </r>
    <r>
      <rPr>
        <sz val="8"/>
        <rFont val="Times New Roman"/>
        <family val="1"/>
      </rPr>
      <t>b</t>
    </r>
  </si>
  <si>
    <t>式中：</t>
  </si>
  <si>
    <r>
      <rPr>
        <sz val="12"/>
        <rFont val="Times New Roman"/>
        <family val="1"/>
      </rPr>
      <t>F——</t>
    </r>
    <r>
      <rPr>
        <sz val="12"/>
        <rFont val="宋体"/>
        <charset val="134"/>
      </rPr>
      <t>冲裁力</t>
    </r>
    <r>
      <rPr>
        <sz val="12"/>
        <rFont val="Times New Roman"/>
        <family val="1"/>
      </rPr>
      <t>(N)</t>
    </r>
    <r>
      <rPr>
        <sz val="12"/>
        <rFont val="宋体"/>
        <charset val="134"/>
      </rPr>
      <t>；</t>
    </r>
  </si>
  <si>
    <r>
      <rPr>
        <sz val="12"/>
        <rFont val="Times New Roman"/>
        <family val="1"/>
      </rPr>
      <t>K——</t>
    </r>
    <r>
      <rPr>
        <sz val="12"/>
        <rFont val="宋体"/>
        <charset val="134"/>
      </rPr>
      <t>系数</t>
    </r>
    <r>
      <rPr>
        <sz val="12"/>
        <color indexed="10"/>
        <rFont val="宋体"/>
        <charset val="134"/>
      </rPr>
      <t>（注</t>
    </r>
    <r>
      <rPr>
        <sz val="12"/>
        <color indexed="10"/>
        <rFont val="Times New Roman"/>
        <family val="1"/>
      </rPr>
      <t>1</t>
    </r>
    <r>
      <rPr>
        <sz val="12"/>
        <color indexed="10"/>
        <rFont val="宋体"/>
        <charset val="134"/>
      </rPr>
      <t>）</t>
    </r>
  </si>
  <si>
    <r>
      <rPr>
        <sz val="12"/>
        <rFont val="Times New Roman"/>
        <family val="1"/>
      </rPr>
      <t>L——</t>
    </r>
    <r>
      <rPr>
        <sz val="12"/>
        <rFont val="宋体"/>
        <charset val="134"/>
      </rPr>
      <t>冲裁周边长度</t>
    </r>
    <r>
      <rPr>
        <sz val="12"/>
        <rFont val="Times New Roman"/>
        <family val="1"/>
      </rPr>
      <t>(mm)</t>
    </r>
    <r>
      <rPr>
        <sz val="12"/>
        <rFont val="宋体"/>
        <charset val="134"/>
      </rPr>
      <t>；</t>
    </r>
  </si>
  <si>
    <r>
      <rPr>
        <sz val="12"/>
        <rFont val="Times New Roman"/>
        <family val="1"/>
      </rPr>
      <t>t  ——</t>
    </r>
    <r>
      <rPr>
        <sz val="12"/>
        <rFont val="宋体"/>
        <charset val="134"/>
      </rPr>
      <t>材料厚度</t>
    </r>
    <r>
      <rPr>
        <sz val="12"/>
        <rFont val="Times New Roman"/>
        <family val="1"/>
      </rPr>
      <t>(mm)</t>
    </r>
    <r>
      <rPr>
        <sz val="12"/>
        <rFont val="宋体"/>
        <charset val="134"/>
      </rPr>
      <t>；</t>
    </r>
  </si>
  <si>
    <r>
      <rPr>
        <sz val="12"/>
        <rFont val="宋体"/>
        <charset val="134"/>
      </rPr>
      <t>T</t>
    </r>
    <r>
      <rPr>
        <sz val="8"/>
        <rFont val="宋体"/>
        <charset val="134"/>
      </rPr>
      <t>b</t>
    </r>
    <r>
      <rPr>
        <sz val="12"/>
        <rFont val="宋体"/>
        <charset val="134"/>
      </rPr>
      <t>—— 材料抗剪强度</t>
    </r>
    <r>
      <rPr>
        <sz val="12"/>
        <rFont val="宋体"/>
        <charset val="134"/>
      </rPr>
      <t>(MPa)</t>
    </r>
    <r>
      <rPr>
        <sz val="12"/>
        <rFont val="宋体"/>
        <charset val="134"/>
      </rPr>
      <t>；</t>
    </r>
  </si>
  <si>
    <r>
      <rPr>
        <sz val="12"/>
        <color indexed="10"/>
        <rFont val="宋体"/>
        <charset val="134"/>
      </rPr>
      <t>注</t>
    </r>
    <r>
      <rPr>
        <sz val="12"/>
        <color indexed="10"/>
        <rFont val="Times New Roman"/>
        <family val="1"/>
      </rPr>
      <t>1</t>
    </r>
    <r>
      <rPr>
        <sz val="12"/>
        <color indexed="10"/>
        <rFont val="宋体"/>
        <charset val="134"/>
      </rPr>
      <t>：系数</t>
    </r>
    <r>
      <rPr>
        <sz val="12"/>
        <color indexed="10"/>
        <rFont val="Times New Roman"/>
        <family val="1"/>
      </rPr>
      <t>K</t>
    </r>
    <r>
      <rPr>
        <sz val="12"/>
        <color indexed="10"/>
        <rFont val="宋体"/>
        <charset val="134"/>
      </rPr>
      <t>是考虑到实际生产中，模具间隙值的波动和不均匀、刃口的磨损、板</t>
    </r>
  </si>
  <si>
    <r>
      <rPr>
        <sz val="12"/>
        <color indexed="10"/>
        <rFont val="宋体"/>
        <charset val="134"/>
      </rPr>
      <t>料力学性能和厚度波动等因素的影响而给出的修正系数。一般取</t>
    </r>
    <r>
      <rPr>
        <sz val="12"/>
        <color indexed="10"/>
        <rFont val="Times New Roman"/>
        <family val="1"/>
      </rPr>
      <t>K=1.3</t>
    </r>
    <r>
      <rPr>
        <sz val="12"/>
        <color indexed="10"/>
        <rFont val="宋体"/>
        <charset val="134"/>
      </rPr>
      <t>。</t>
    </r>
  </si>
  <si>
    <t>三、</t>
  </si>
  <si>
    <r>
      <rPr>
        <b/>
        <sz val="16"/>
        <color indexed="12"/>
        <rFont val="宋体"/>
        <charset val="134"/>
      </rPr>
      <t>推料力、顶件力、卸料力（见图</t>
    </r>
    <r>
      <rPr>
        <b/>
        <sz val="16"/>
        <color indexed="12"/>
        <rFont val="Times New Roman"/>
        <family val="1"/>
      </rPr>
      <t>1~2</t>
    </r>
    <r>
      <rPr>
        <b/>
        <sz val="16"/>
        <color indexed="12"/>
        <rFont val="宋体"/>
        <charset val="134"/>
      </rPr>
      <t>说明）</t>
    </r>
  </si>
  <si>
    <t>弹簧</t>
  </si>
  <si>
    <t>凸模</t>
  </si>
  <si>
    <t>卸料板</t>
  </si>
  <si>
    <t>制品或废料</t>
  </si>
  <si>
    <t>废料或制品</t>
  </si>
  <si>
    <t>凹模</t>
  </si>
  <si>
    <r>
      <rPr>
        <sz val="12"/>
        <color indexed="10"/>
        <rFont val="宋体"/>
        <charset val="134"/>
      </rPr>
      <t>图</t>
    </r>
    <r>
      <rPr>
        <sz val="12"/>
        <color indexed="10"/>
        <rFont val="Times New Roman"/>
        <family val="1"/>
      </rPr>
      <t xml:space="preserve">1   </t>
    </r>
    <r>
      <rPr>
        <sz val="12"/>
        <color indexed="10"/>
        <rFont val="宋体"/>
        <charset val="134"/>
      </rPr>
      <t>正装结构</t>
    </r>
    <r>
      <rPr>
        <sz val="12"/>
        <color indexed="10"/>
        <rFont val="Times New Roman"/>
        <family val="1"/>
      </rPr>
      <t>(</t>
    </r>
    <r>
      <rPr>
        <sz val="12"/>
        <color indexed="10"/>
        <rFont val="宋体"/>
        <charset val="134"/>
      </rPr>
      <t>在此不用考虑顶件力</t>
    </r>
    <r>
      <rPr>
        <sz val="12"/>
        <color indexed="10"/>
        <rFont val="Times New Roman"/>
        <family val="1"/>
      </rPr>
      <t>)</t>
    </r>
  </si>
  <si>
    <t>P2/3</t>
  </si>
  <si>
    <r>
      <rPr>
        <sz val="12"/>
        <rFont val="宋体"/>
        <charset val="134"/>
      </rPr>
      <t>卸料力：</t>
    </r>
    <r>
      <rPr>
        <sz val="12"/>
        <rFont val="Times New Roman"/>
        <family val="1"/>
      </rPr>
      <t xml:space="preserve">   Fx =Kx * F</t>
    </r>
  </si>
  <si>
    <r>
      <rPr>
        <sz val="12"/>
        <rFont val="宋体"/>
        <charset val="134"/>
      </rPr>
      <t>推料力：</t>
    </r>
    <r>
      <rPr>
        <sz val="12"/>
        <rFont val="Times New Roman"/>
        <family val="1"/>
      </rPr>
      <t xml:space="preserve">   Ft  = n * Kx * F</t>
    </r>
  </si>
  <si>
    <r>
      <rPr>
        <sz val="12"/>
        <color indexed="48"/>
        <rFont val="宋体"/>
        <charset val="134"/>
      </rPr>
      <t>说明</t>
    </r>
    <r>
      <rPr>
        <sz val="12"/>
        <color indexed="48"/>
        <rFont val="Times New Roman"/>
        <family val="1"/>
      </rPr>
      <t>:</t>
    </r>
    <r>
      <rPr>
        <sz val="12"/>
        <color indexed="10"/>
        <rFont val="Times New Roman"/>
        <family val="1"/>
      </rPr>
      <t>Kx</t>
    </r>
    <r>
      <rPr>
        <sz val="12"/>
        <color indexed="10"/>
        <rFont val="宋体"/>
        <charset val="134"/>
      </rPr>
      <t>为系数（这是一个经验值随材料厚度变化，通常取</t>
    </r>
    <r>
      <rPr>
        <sz val="12"/>
        <color indexed="10"/>
        <rFont val="Times New Roman"/>
        <family val="1"/>
      </rPr>
      <t>F</t>
    </r>
    <r>
      <rPr>
        <sz val="12"/>
        <color indexed="10"/>
        <rFont val="宋体"/>
        <charset val="134"/>
      </rPr>
      <t>冲裁力的</t>
    </r>
    <r>
      <rPr>
        <sz val="12"/>
        <color indexed="10"/>
        <rFont val="Times New Roman"/>
        <family val="1"/>
      </rPr>
      <t>0.6%~0.8%</t>
    </r>
    <r>
      <rPr>
        <sz val="12"/>
        <color indexed="10"/>
        <rFont val="宋体"/>
        <charset val="134"/>
      </rPr>
      <t>）</t>
    </r>
  </si>
  <si>
    <r>
      <rPr>
        <sz val="12"/>
        <color indexed="10"/>
        <rFont val="Times New Roman"/>
        <family val="1"/>
      </rPr>
      <t>,</t>
    </r>
    <r>
      <rPr>
        <sz val="12"/>
        <color indexed="10"/>
        <rFont val="宋体"/>
        <charset val="134"/>
      </rPr>
      <t>n为同时卡在凹模内的冲裁件或废料数量，Fx为卸料力。</t>
    </r>
  </si>
  <si>
    <r>
      <rPr>
        <sz val="12"/>
        <color indexed="10"/>
        <rFont val="Times New Roman"/>
        <family val="1"/>
      </rPr>
      <t xml:space="preserve"> </t>
    </r>
    <r>
      <rPr>
        <sz val="12"/>
        <color indexed="10"/>
        <rFont val="宋体"/>
        <charset val="134"/>
      </rPr>
      <t>废料或</t>
    </r>
  </si>
  <si>
    <r>
      <rPr>
        <sz val="12"/>
        <color indexed="10"/>
        <rFont val="Times New Roman"/>
        <family val="1"/>
      </rPr>
      <t xml:space="preserve"> </t>
    </r>
    <r>
      <rPr>
        <sz val="12"/>
        <color indexed="10"/>
        <rFont val="宋体"/>
        <charset val="134"/>
      </rPr>
      <t>制品</t>
    </r>
  </si>
  <si>
    <t>顶料装置</t>
  </si>
  <si>
    <r>
      <rPr>
        <sz val="12"/>
        <color indexed="10"/>
        <rFont val="宋体"/>
        <charset val="134"/>
      </rPr>
      <t>图</t>
    </r>
    <r>
      <rPr>
        <sz val="12"/>
        <color indexed="10"/>
        <rFont val="Times New Roman"/>
        <family val="1"/>
      </rPr>
      <t xml:space="preserve">2   </t>
    </r>
    <r>
      <rPr>
        <sz val="12"/>
        <color indexed="10"/>
        <rFont val="宋体"/>
        <charset val="134"/>
      </rPr>
      <t>倒装结构</t>
    </r>
    <r>
      <rPr>
        <sz val="12"/>
        <color indexed="10"/>
        <rFont val="Times New Roman"/>
        <family val="1"/>
      </rPr>
      <t>(</t>
    </r>
    <r>
      <rPr>
        <sz val="12"/>
        <color indexed="10"/>
        <rFont val="宋体"/>
        <charset val="134"/>
      </rPr>
      <t>在此不用考虑推料力</t>
    </r>
    <r>
      <rPr>
        <sz val="12"/>
        <color indexed="10"/>
        <rFont val="Times New Roman"/>
        <family val="1"/>
      </rPr>
      <t>)</t>
    </r>
  </si>
  <si>
    <r>
      <rPr>
        <sz val="12"/>
        <rFont val="宋体"/>
        <charset val="134"/>
      </rPr>
      <t>顶料力</t>
    </r>
    <r>
      <rPr>
        <sz val="12"/>
        <rFont val="Times New Roman"/>
        <family val="1"/>
      </rPr>
      <t>:   F</t>
    </r>
    <r>
      <rPr>
        <sz val="8"/>
        <rFont val="Times New Roman"/>
        <family val="1"/>
      </rPr>
      <t>d</t>
    </r>
    <r>
      <rPr>
        <sz val="12"/>
        <rFont val="Times New Roman"/>
        <family val="1"/>
      </rPr>
      <t xml:space="preserve">  =  Kx * F</t>
    </r>
  </si>
  <si>
    <t>说明：</t>
  </si>
  <si>
    <r>
      <rPr>
        <sz val="12"/>
        <color indexed="10"/>
        <rFont val="宋体"/>
        <charset val="134"/>
      </rPr>
      <t>最终选择冲床时必须是由：</t>
    </r>
    <r>
      <rPr>
        <sz val="12"/>
        <color indexed="10"/>
        <rFont val="Times New Roman"/>
        <family val="1"/>
      </rPr>
      <t>F</t>
    </r>
    <r>
      <rPr>
        <sz val="8"/>
        <color indexed="10"/>
        <rFont val="宋体"/>
        <charset val="134"/>
      </rPr>
      <t>总</t>
    </r>
    <r>
      <rPr>
        <sz val="8"/>
        <color indexed="10"/>
        <rFont val="Times New Roman"/>
        <family val="1"/>
      </rPr>
      <t xml:space="preserve"> = </t>
    </r>
    <r>
      <rPr>
        <sz val="12"/>
        <color indexed="10"/>
        <rFont val="Times New Roman"/>
        <family val="1"/>
      </rPr>
      <t>F + Fx + Ft + F</t>
    </r>
    <r>
      <rPr>
        <sz val="8"/>
        <color indexed="10"/>
        <rFont val="Times New Roman"/>
        <family val="1"/>
      </rPr>
      <t>d</t>
    </r>
    <r>
      <rPr>
        <sz val="12"/>
        <color indexed="10"/>
        <rFont val="Times New Roman"/>
        <family val="1"/>
      </rPr>
      <t xml:space="preserve"> </t>
    </r>
  </si>
  <si>
    <r>
      <rPr>
        <sz val="12"/>
        <color indexed="10"/>
        <rFont val="宋体"/>
        <charset val="134"/>
      </rPr>
      <t>正装结构：</t>
    </r>
    <r>
      <rPr>
        <sz val="12"/>
        <color indexed="10"/>
        <rFont val="Times New Roman"/>
        <family val="1"/>
      </rPr>
      <t xml:space="preserve">  F</t>
    </r>
    <r>
      <rPr>
        <sz val="8"/>
        <color indexed="10"/>
        <rFont val="宋体"/>
        <charset val="134"/>
      </rPr>
      <t>总</t>
    </r>
    <r>
      <rPr>
        <sz val="8"/>
        <color indexed="10"/>
        <rFont val="Times New Roman"/>
        <family val="1"/>
      </rPr>
      <t xml:space="preserve"> </t>
    </r>
    <r>
      <rPr>
        <sz val="12"/>
        <color indexed="10"/>
        <rFont val="Times New Roman"/>
        <family val="1"/>
      </rPr>
      <t xml:space="preserve"> =  F +  Fx  +  Ft</t>
    </r>
  </si>
  <si>
    <r>
      <rPr>
        <sz val="12"/>
        <color indexed="10"/>
        <rFont val="宋体"/>
        <charset val="134"/>
      </rPr>
      <t>倒装结构:  F</t>
    </r>
    <r>
      <rPr>
        <sz val="8"/>
        <color indexed="10"/>
        <rFont val="宋体"/>
        <charset val="134"/>
      </rPr>
      <t>总</t>
    </r>
    <r>
      <rPr>
        <sz val="12"/>
        <color indexed="10"/>
        <rFont val="宋体"/>
        <charset val="134"/>
      </rPr>
      <t xml:space="preserve"> = F + Fx + F</t>
    </r>
    <r>
      <rPr>
        <sz val="8"/>
        <color indexed="10"/>
        <rFont val="宋体"/>
        <charset val="134"/>
      </rPr>
      <t>d</t>
    </r>
  </si>
  <si>
    <r>
      <rPr>
        <sz val="12"/>
        <color indexed="10"/>
        <rFont val="宋体"/>
        <charset val="134"/>
      </rPr>
      <t>推料力</t>
    </r>
    <r>
      <rPr>
        <sz val="12"/>
        <color indexed="10"/>
        <rFont val="Times New Roman"/>
        <family val="1"/>
      </rPr>
      <t xml:space="preserve">: </t>
    </r>
    <r>
      <rPr>
        <sz val="12"/>
        <rFont val="Times New Roman"/>
        <family val="1"/>
      </rPr>
      <t xml:space="preserve">    </t>
    </r>
    <r>
      <rPr>
        <sz val="12"/>
        <rFont val="宋体"/>
        <charset val="134"/>
      </rPr>
      <t>在冲裁结束时</t>
    </r>
    <r>
      <rPr>
        <sz val="12"/>
        <rFont val="Times New Roman"/>
        <family val="1"/>
      </rPr>
      <t>,</t>
    </r>
    <r>
      <rPr>
        <sz val="12"/>
        <rFont val="宋体"/>
        <charset val="134"/>
      </rPr>
      <t>由于材料的弹性回复及摩擦的存在</t>
    </r>
    <r>
      <rPr>
        <sz val="12"/>
        <rFont val="Times New Roman"/>
        <family val="1"/>
      </rPr>
      <t>,</t>
    </r>
    <r>
      <rPr>
        <sz val="12"/>
        <rFont val="宋体"/>
        <charset val="134"/>
      </rPr>
      <t>将冲落的材料梗塞在</t>
    </r>
  </si>
  <si>
    <t>凹模内,为使冲裁工作继续进行,必须将材料从凹模推下,这样产生的力</t>
  </si>
  <si>
    <t>为推料力!</t>
  </si>
  <si>
    <r>
      <rPr>
        <sz val="12"/>
        <color indexed="10"/>
        <rFont val="宋体"/>
        <charset val="134"/>
      </rPr>
      <t>顶件力</t>
    </r>
    <r>
      <rPr>
        <sz val="12"/>
        <color indexed="10"/>
        <rFont val="Times New Roman"/>
        <family val="1"/>
      </rPr>
      <t>:</t>
    </r>
  </si>
  <si>
    <t>在冲裁结束时,由于材料的弹性回复及摩擦的存在,将冲落的材料梗塞在</t>
  </si>
  <si>
    <t>凹模内,为使冲裁工作继续进行,必须将材料从凹模内往上顶出,这样产</t>
  </si>
  <si>
    <t>生的力为顶料力!</t>
  </si>
  <si>
    <r>
      <rPr>
        <sz val="12"/>
        <color indexed="10"/>
        <rFont val="宋体"/>
        <charset val="134"/>
      </rPr>
      <t>卸料力</t>
    </r>
    <r>
      <rPr>
        <sz val="12"/>
        <color indexed="10"/>
        <rFont val="Times New Roman"/>
        <family val="1"/>
      </rPr>
      <t>:</t>
    </r>
  </si>
  <si>
    <t>从凸模上卸下箍着的材料而产生的力为卸料力。</t>
  </si>
  <si>
    <t>P3/3</t>
  </si>
  <si>
    <t>四、</t>
  </si>
  <si>
    <t>实例计算</t>
  </si>
  <si>
    <r>
      <rPr>
        <sz val="12"/>
        <rFont val="Times New Roman"/>
        <family val="1"/>
      </rPr>
      <t>1</t>
    </r>
    <r>
      <rPr>
        <sz val="12"/>
        <rFont val="宋体"/>
        <charset val="134"/>
      </rPr>
      <t>、</t>
    </r>
  </si>
  <si>
    <r>
      <rPr>
        <sz val="12"/>
        <rFont val="宋体"/>
        <charset val="134"/>
      </rPr>
      <t>制品图：</t>
    </r>
    <r>
      <rPr>
        <sz val="12"/>
        <rFont val="Times New Roman"/>
        <family val="1"/>
      </rPr>
      <t>HOOP-CPU143    68</t>
    </r>
    <r>
      <rPr>
        <sz val="12"/>
        <rFont val="宋体"/>
        <charset val="134"/>
      </rPr>
      <t>黄铜</t>
    </r>
    <r>
      <rPr>
        <sz val="12"/>
        <rFont val="Times New Roman"/>
        <family val="1"/>
      </rPr>
      <t xml:space="preserve"> T=0.4mm</t>
    </r>
  </si>
  <si>
    <r>
      <rPr>
        <sz val="12"/>
        <color indexed="10"/>
        <rFont val="宋体"/>
        <charset val="134"/>
      </rPr>
      <t>红色圆圈处为</t>
    </r>
    <r>
      <rPr>
        <sz val="12"/>
        <color indexed="10"/>
        <rFont val="Times New Roman"/>
        <family val="1"/>
      </rPr>
      <t xml:space="preserve"> </t>
    </r>
    <r>
      <rPr>
        <sz val="14"/>
        <color indexed="10"/>
        <rFont val="Times New Roman"/>
        <family val="1"/>
      </rPr>
      <t>L</t>
    </r>
  </si>
  <si>
    <t>的周边长度</t>
  </si>
  <si>
    <r>
      <rPr>
        <sz val="12"/>
        <color indexed="10"/>
        <rFont val="宋体"/>
        <charset val="134"/>
      </rPr>
      <t>图</t>
    </r>
    <r>
      <rPr>
        <sz val="12"/>
        <color indexed="10"/>
        <rFont val="Times New Roman"/>
        <family val="1"/>
      </rPr>
      <t>3</t>
    </r>
  </si>
  <si>
    <r>
      <rPr>
        <sz val="12"/>
        <color indexed="10"/>
        <rFont val="宋体"/>
        <charset val="134"/>
      </rPr>
      <t>冲裁力：</t>
    </r>
    <r>
      <rPr>
        <sz val="12"/>
        <color indexed="10"/>
        <rFont val="Times New Roman"/>
        <family val="1"/>
      </rPr>
      <t xml:space="preserve">   </t>
    </r>
    <r>
      <rPr>
        <sz val="12"/>
        <rFont val="Times New Roman"/>
        <family val="1"/>
      </rPr>
      <t>F =K*L*t*T b</t>
    </r>
  </si>
  <si>
    <r>
      <rPr>
        <sz val="12"/>
        <color indexed="10"/>
        <rFont val="宋体"/>
        <charset val="134"/>
      </rPr>
      <t>（注：此处的</t>
    </r>
    <r>
      <rPr>
        <sz val="12"/>
        <color indexed="10"/>
        <rFont val="Times New Roman"/>
        <family val="1"/>
      </rPr>
      <t>L</t>
    </r>
    <r>
      <rPr>
        <sz val="12"/>
        <color indexed="10"/>
        <rFont val="宋体"/>
        <charset val="134"/>
      </rPr>
      <t>只是根据制品图的初步反</t>
    </r>
  </si>
  <si>
    <t xml:space="preserve"> F =1.3*286.1*0.4*400</t>
  </si>
  <si>
    <t>应而得出一个大概估算结果。在最终确</t>
  </si>
  <si>
    <r>
      <rPr>
        <sz val="12"/>
        <rFont val="Times New Roman"/>
        <family val="1"/>
      </rPr>
      <t xml:space="preserve"> F =59508.8</t>
    </r>
    <r>
      <rPr>
        <sz val="12"/>
        <rFont val="宋体"/>
        <charset val="134"/>
      </rPr>
      <t>（</t>
    </r>
    <r>
      <rPr>
        <sz val="12"/>
        <rFont val="Times New Roman"/>
        <family val="1"/>
      </rPr>
      <t>N</t>
    </r>
    <r>
      <rPr>
        <sz val="12"/>
        <rFont val="宋体"/>
        <charset val="134"/>
      </rPr>
      <t>）</t>
    </r>
  </si>
  <si>
    <t>定冲床时需计算每一步所冲裁的实际周</t>
  </si>
  <si>
    <r>
      <rPr>
        <sz val="12"/>
        <rFont val="Times New Roman"/>
        <family val="1"/>
      </rPr>
      <t xml:space="preserve"> F =5.95</t>
    </r>
    <r>
      <rPr>
        <sz val="12"/>
        <rFont val="宋体"/>
        <charset val="134"/>
      </rPr>
      <t>（</t>
    </r>
    <r>
      <rPr>
        <sz val="12"/>
        <rFont val="Times New Roman"/>
        <family val="1"/>
      </rPr>
      <t>TON</t>
    </r>
    <r>
      <rPr>
        <sz val="12"/>
        <rFont val="宋体"/>
        <charset val="134"/>
      </rPr>
      <t>）</t>
    </r>
  </si>
  <si>
    <t>边长度。）</t>
  </si>
  <si>
    <r>
      <rPr>
        <sz val="12"/>
        <color indexed="10"/>
        <rFont val="宋体"/>
        <charset val="134"/>
      </rPr>
      <t>卸料力：</t>
    </r>
    <r>
      <rPr>
        <sz val="12"/>
        <rFont val="Times New Roman"/>
        <family val="1"/>
      </rPr>
      <t xml:space="preserve">   Fx =Kx * F</t>
    </r>
  </si>
  <si>
    <t xml:space="preserve"> Fx =0.6%*5.95</t>
  </si>
  <si>
    <t xml:space="preserve"> Fx =0.357(TON)</t>
  </si>
  <si>
    <r>
      <rPr>
        <sz val="12"/>
        <color indexed="10"/>
        <rFont val="宋体"/>
        <charset val="134"/>
      </rPr>
      <t>推料力：</t>
    </r>
    <r>
      <rPr>
        <sz val="12"/>
        <rFont val="Times New Roman"/>
        <family val="1"/>
      </rPr>
      <t xml:space="preserve">   Ft  = n * Kx * F</t>
    </r>
  </si>
  <si>
    <t xml:space="preserve"> Ft  =3*(0.6%*5.95)</t>
  </si>
  <si>
    <t xml:space="preserve"> Ft  =1.07(TON)</t>
  </si>
  <si>
    <r>
      <rPr>
        <sz val="12"/>
        <color indexed="10"/>
        <rFont val="宋体"/>
        <charset val="134"/>
      </rPr>
      <t>顶件力：</t>
    </r>
    <r>
      <rPr>
        <sz val="12"/>
        <rFont val="Times New Roman"/>
        <family val="1"/>
      </rPr>
      <t xml:space="preserve">   Fd  =  Kx * F</t>
    </r>
  </si>
  <si>
    <t>（注：此套模具是不用计算顶件力，在此只是一</t>
  </si>
  <si>
    <t xml:space="preserve"> Fd  =0.6%*5.95</t>
  </si>
  <si>
    <r>
      <rPr>
        <sz val="12"/>
        <color indexed="10"/>
        <rFont val="宋体"/>
        <charset val="134"/>
      </rPr>
      <t>种模拟计算而已，因此没有计算到总冲裁力里面</t>
    </r>
    <r>
      <rPr>
        <sz val="12"/>
        <color indexed="10"/>
        <rFont val="Times New Roman"/>
        <family val="1"/>
      </rPr>
      <t>.</t>
    </r>
    <r>
      <rPr>
        <sz val="12"/>
        <color indexed="10"/>
        <rFont val="宋体"/>
        <charset val="134"/>
      </rPr>
      <t>）</t>
    </r>
  </si>
  <si>
    <t xml:space="preserve"> Fd  =0.357(TON)</t>
  </si>
  <si>
    <r>
      <rPr>
        <sz val="12"/>
        <color indexed="10"/>
        <rFont val="宋体"/>
        <charset val="134"/>
      </rPr>
      <t>总冲裁力：</t>
    </r>
    <r>
      <rPr>
        <sz val="12"/>
        <rFont val="Times New Roman"/>
        <family val="1"/>
      </rPr>
      <t>F</t>
    </r>
    <r>
      <rPr>
        <sz val="8"/>
        <color indexed="10"/>
        <rFont val="宋体"/>
        <charset val="134"/>
      </rPr>
      <t>总</t>
    </r>
    <r>
      <rPr>
        <sz val="8"/>
        <color indexed="10"/>
        <rFont val="Times New Roman"/>
        <family val="1"/>
      </rPr>
      <t xml:space="preserve"> </t>
    </r>
    <r>
      <rPr>
        <sz val="12"/>
        <rFont val="Times New Roman"/>
        <family val="1"/>
      </rPr>
      <t>=</t>
    </r>
    <r>
      <rPr>
        <sz val="12"/>
        <rFont val="宋体"/>
        <charset val="134"/>
      </rPr>
      <t>（</t>
    </r>
    <r>
      <rPr>
        <sz val="12"/>
        <rFont val="Times New Roman"/>
        <family val="1"/>
      </rPr>
      <t>5.95+0.357+1.07</t>
    </r>
    <r>
      <rPr>
        <sz val="12"/>
        <rFont val="宋体"/>
        <charset val="134"/>
      </rPr>
      <t>）</t>
    </r>
    <r>
      <rPr>
        <sz val="12"/>
        <rFont val="Times New Roman"/>
        <family val="1"/>
      </rPr>
      <t>*1.8</t>
    </r>
    <r>
      <rPr>
        <sz val="12"/>
        <color indexed="10"/>
        <rFont val="宋体"/>
        <charset val="134"/>
      </rPr>
      <t>（注）</t>
    </r>
  </si>
  <si>
    <r>
      <rPr>
        <sz val="12"/>
        <rFont val="Times New Roman"/>
        <family val="1"/>
      </rPr>
      <t xml:space="preserve">  F</t>
    </r>
    <r>
      <rPr>
        <sz val="8"/>
        <color indexed="10"/>
        <rFont val="宋体"/>
        <charset val="134"/>
      </rPr>
      <t>总</t>
    </r>
    <r>
      <rPr>
        <sz val="8"/>
        <color indexed="10"/>
        <rFont val="Times New Roman"/>
        <family val="1"/>
      </rPr>
      <t xml:space="preserve"> </t>
    </r>
    <r>
      <rPr>
        <sz val="12"/>
        <rFont val="Times New Roman"/>
        <family val="1"/>
      </rPr>
      <t>= 13.28</t>
    </r>
    <r>
      <rPr>
        <sz val="12"/>
        <rFont val="宋体"/>
        <charset val="134"/>
      </rPr>
      <t>（</t>
    </r>
    <r>
      <rPr>
        <sz val="12"/>
        <rFont val="Times New Roman"/>
        <family val="1"/>
      </rPr>
      <t>TON</t>
    </r>
    <r>
      <rPr>
        <sz val="12"/>
        <rFont val="宋体"/>
        <charset val="134"/>
      </rPr>
      <t>）</t>
    </r>
  </si>
  <si>
    <r>
      <rPr>
        <sz val="12"/>
        <color indexed="10"/>
        <rFont val="宋体"/>
        <charset val="134"/>
      </rPr>
      <t>注</t>
    </r>
    <r>
      <rPr>
        <sz val="12"/>
        <rFont val="宋体"/>
        <charset val="134"/>
      </rPr>
      <t>：</t>
    </r>
    <r>
      <rPr>
        <sz val="12"/>
        <rFont val="Times New Roman"/>
        <family val="1"/>
      </rPr>
      <t>1.8</t>
    </r>
    <r>
      <rPr>
        <sz val="12"/>
        <rFont val="宋体"/>
        <charset val="134"/>
      </rPr>
      <t>是指连续模具设计时选择冲床必须在原有冲裁力的基础上加上的系数。因</t>
    </r>
  </si>
  <si>
    <t>为连续模具是在一套模具内同时完成冲孔、折弯、成型、落料等工序，故还需在</t>
  </si>
  <si>
    <t>总冲裁力上乘以1.8的系数。</t>
  </si>
  <si>
    <r>
      <rPr>
        <sz val="12"/>
        <color indexed="12"/>
        <rFont val="宋体"/>
        <charset val="134"/>
      </rPr>
      <t>根据以上计算结果此模具选择</t>
    </r>
    <r>
      <rPr>
        <sz val="12"/>
        <color indexed="12"/>
        <rFont val="Times New Roman"/>
        <family val="1"/>
      </rPr>
      <t>15</t>
    </r>
    <r>
      <rPr>
        <sz val="12"/>
        <color indexed="12"/>
        <rFont val="宋体"/>
        <charset val="134"/>
      </rPr>
      <t>（</t>
    </r>
    <r>
      <rPr>
        <sz val="12"/>
        <color indexed="12"/>
        <rFont val="Times New Roman"/>
        <family val="1"/>
      </rPr>
      <t>TON</t>
    </r>
    <r>
      <rPr>
        <sz val="12"/>
        <color indexed="12"/>
        <rFont val="宋体"/>
        <charset val="134"/>
      </rPr>
      <t>）的冲床即可。</t>
    </r>
  </si>
  <si>
    <t>以上</t>
  </si>
  <si>
    <t>液压油的压缩性</t>
  </si>
  <si>
    <t>△V ＝P*V/K</t>
  </si>
  <si>
    <t>系统油量 V  (升)</t>
  </si>
  <si>
    <t>P - 系统压力 Mpa（兆帕）</t>
  </si>
  <si>
    <t>系统压力 P  (bar)</t>
  </si>
  <si>
    <t>V－ 油液体积 L（升）</t>
  </si>
  <si>
    <t>系统体积变量△V (升)</t>
  </si>
  <si>
    <t>K－ 油液弹性模量</t>
  </si>
  <si>
    <t>液压油的膨胀量</t>
  </si>
  <si>
    <r>
      <rPr>
        <sz val="12"/>
        <rFont val="宋体"/>
        <charset val="134"/>
      </rPr>
      <t>原系统油量 V</t>
    </r>
    <r>
      <rPr>
        <vertAlign val="subscript"/>
        <sz val="12"/>
        <rFont val="宋体"/>
        <charset val="134"/>
      </rPr>
      <t>0</t>
    </r>
    <r>
      <rPr>
        <sz val="12"/>
        <rFont val="宋体"/>
        <charset val="134"/>
      </rPr>
      <t xml:space="preserve">    (升)</t>
    </r>
  </si>
  <si>
    <r>
      <rPr>
        <sz val="12"/>
        <rFont val="宋体"/>
        <charset val="134"/>
      </rPr>
      <t>Vt＝V</t>
    </r>
    <r>
      <rPr>
        <vertAlign val="subscript"/>
        <sz val="12"/>
        <rFont val="宋体"/>
        <charset val="134"/>
      </rPr>
      <t>0</t>
    </r>
    <r>
      <rPr>
        <sz val="12"/>
        <rFont val="宋体"/>
        <charset val="134"/>
      </rPr>
      <t>*(1+a*△t)</t>
    </r>
  </si>
  <si>
    <t>油温变量△t</t>
  </si>
  <si>
    <r>
      <rPr>
        <sz val="12"/>
        <rFont val="宋体"/>
        <charset val="134"/>
      </rPr>
      <t>a- 油体积膨胀系数, (6～8)*10</t>
    </r>
    <r>
      <rPr>
        <vertAlign val="superscript"/>
        <sz val="12"/>
        <rFont val="宋体"/>
        <charset val="134"/>
      </rPr>
      <t>-4</t>
    </r>
    <r>
      <rPr>
        <sz val="12"/>
        <rFont val="宋体"/>
        <charset val="134"/>
      </rPr>
      <t>/℃</t>
    </r>
  </si>
  <si>
    <t>变化后系统体积Vt (升)</t>
  </si>
  <si>
    <t>压力对粘度的影响</t>
  </si>
  <si>
    <r>
      <rPr>
        <sz val="12"/>
        <rFont val="宋体"/>
        <charset val="134"/>
      </rPr>
      <t>νp=ν</t>
    </r>
    <r>
      <rPr>
        <vertAlign val="subscript"/>
        <sz val="12"/>
        <rFont val="宋体"/>
        <charset val="134"/>
      </rPr>
      <t>0</t>
    </r>
    <r>
      <rPr>
        <sz val="12"/>
        <rFont val="宋体"/>
        <charset val="134"/>
      </rPr>
      <t>·e</t>
    </r>
    <r>
      <rPr>
        <vertAlign val="superscript"/>
        <sz val="12"/>
        <rFont val="宋体"/>
        <charset val="134"/>
      </rPr>
      <t>bp</t>
    </r>
    <r>
      <rPr>
        <sz val="12"/>
        <rFont val="宋体"/>
        <charset val="134"/>
      </rPr>
      <t>≈ν</t>
    </r>
    <r>
      <rPr>
        <vertAlign val="subscript"/>
        <sz val="12"/>
        <rFont val="宋体"/>
        <charset val="134"/>
      </rPr>
      <t>0</t>
    </r>
    <r>
      <rPr>
        <sz val="12"/>
        <rFont val="宋体"/>
        <charset val="134"/>
      </rPr>
      <t>(1+bp)</t>
    </r>
  </si>
  <si>
    <r>
      <rPr>
        <sz val="12"/>
        <rFont val="宋体"/>
        <charset val="134"/>
      </rPr>
      <t>ν</t>
    </r>
    <r>
      <rPr>
        <vertAlign val="subscript"/>
        <sz val="12"/>
        <rFont val="宋体"/>
        <charset val="134"/>
      </rPr>
      <t>0</t>
    </r>
    <r>
      <rPr>
        <sz val="12"/>
        <rFont val="宋体"/>
        <charset val="134"/>
      </rPr>
      <t xml:space="preserve"> (cSt)</t>
    </r>
  </si>
  <si>
    <t>p-系统压力(bar)</t>
  </si>
  <si>
    <t>p(bar)</t>
  </si>
  <si>
    <t>b-系数 0.002～0.003</t>
  </si>
  <si>
    <t>νp</t>
  </si>
  <si>
    <t>温度对粘度的影响</t>
  </si>
  <si>
    <r>
      <rPr>
        <sz val="12"/>
        <rFont val="宋体"/>
        <charset val="134"/>
      </rPr>
      <t>ν</t>
    </r>
    <r>
      <rPr>
        <vertAlign val="subscript"/>
        <sz val="12"/>
        <rFont val="宋体"/>
        <charset val="134"/>
      </rPr>
      <t>50</t>
    </r>
    <r>
      <rPr>
        <sz val="12"/>
        <rFont val="宋体"/>
        <charset val="134"/>
      </rPr>
      <t xml:space="preserve"> (cSt)-50℃时运动粘度</t>
    </r>
  </si>
  <si>
    <t>t(℃)-温度</t>
  </si>
  <si>
    <t>n -指数,参见表格</t>
  </si>
  <si>
    <t>νt</t>
  </si>
  <si>
    <t>粘度换算</t>
  </si>
  <si>
    <t>运动粘度ν  cSt</t>
  </si>
  <si>
    <t>恩氏粘度  °E</t>
  </si>
  <si>
    <t>赛氏秒(Soybolt) SSU/SUS</t>
  </si>
  <si>
    <t>商用雷氏秒(Redwood)   "R</t>
  </si>
  <si>
    <t>压力水头P=ρ·g·h</t>
  </si>
  <si>
    <t>油液密度(kg/m3)</t>
  </si>
  <si>
    <t>吸油口高mm</t>
  </si>
  <si>
    <t>入口真空度(bar)</t>
  </si>
  <si>
    <t>油密度</t>
  </si>
  <si>
    <r>
      <rPr>
        <sz val="12"/>
        <rFont val="宋体"/>
        <charset val="134"/>
      </rPr>
      <t>ρ＝900kg/m</t>
    </r>
    <r>
      <rPr>
        <vertAlign val="superscript"/>
        <sz val="12"/>
        <rFont val="宋体"/>
        <charset val="134"/>
      </rPr>
      <t>3</t>
    </r>
  </si>
  <si>
    <t>油的比热</t>
  </si>
  <si>
    <t>C=(1.7～2.1)*1000 J/kg·℃</t>
  </si>
  <si>
    <t>弹性模量 K</t>
  </si>
  <si>
    <t>纯油</t>
  </si>
  <si>
    <r>
      <rPr>
        <sz val="12"/>
        <rFont val="宋体"/>
        <charset val="134"/>
      </rPr>
      <t>(1.4~2.0)*10</t>
    </r>
    <r>
      <rPr>
        <vertAlign val="superscript"/>
        <sz val="12"/>
        <rFont val="宋体"/>
        <charset val="134"/>
      </rPr>
      <t>9</t>
    </r>
    <r>
      <rPr>
        <sz val="12"/>
        <rFont val="宋体"/>
        <charset val="134"/>
      </rPr>
      <t xml:space="preserve"> N/m</t>
    </r>
    <r>
      <rPr>
        <vertAlign val="superscript"/>
        <sz val="12"/>
        <rFont val="宋体"/>
        <charset val="134"/>
      </rPr>
      <t>2</t>
    </r>
  </si>
  <si>
    <t>实际油气混合</t>
  </si>
  <si>
    <r>
      <rPr>
        <sz val="12"/>
        <rFont val="宋体"/>
        <charset val="134"/>
      </rPr>
      <t>7*10</t>
    </r>
    <r>
      <rPr>
        <vertAlign val="superscript"/>
        <sz val="12"/>
        <rFont val="宋体"/>
        <charset val="134"/>
      </rPr>
      <t>8</t>
    </r>
    <r>
      <rPr>
        <sz val="12"/>
        <rFont val="宋体"/>
        <charset val="134"/>
      </rPr>
      <t xml:space="preserve"> N/m</t>
    </r>
    <r>
      <rPr>
        <vertAlign val="superscript"/>
        <sz val="12"/>
        <rFont val="宋体"/>
        <charset val="134"/>
      </rPr>
      <t>2</t>
    </r>
  </si>
  <si>
    <t>牛顿内摩擦定律</t>
  </si>
  <si>
    <t>τ- 单位面积上的摩擦力(剪切力)</t>
  </si>
  <si>
    <t>du/dz- 速度梯度 级液层间相对速度对液层距离的变化率</t>
  </si>
  <si>
    <t>μ- 动力粘度  帕·秒 (Pa·S)</t>
  </si>
  <si>
    <t>其他单位 泊(P) 厘泊(cP)</t>
  </si>
  <si>
    <r>
      <rPr>
        <sz val="12"/>
        <rFont val="宋体"/>
        <charset val="134"/>
      </rPr>
      <t>1cP=10</t>
    </r>
    <r>
      <rPr>
        <vertAlign val="superscript"/>
        <sz val="12"/>
        <rFont val="宋体"/>
        <charset val="134"/>
      </rPr>
      <t>-2</t>
    </r>
    <r>
      <rPr>
        <sz val="12"/>
        <rFont val="宋体"/>
        <charset val="134"/>
      </rPr>
      <t>P=10</t>
    </r>
    <r>
      <rPr>
        <vertAlign val="superscript"/>
        <sz val="12"/>
        <rFont val="宋体"/>
        <charset val="134"/>
      </rPr>
      <t>-3</t>
    </r>
    <r>
      <rPr>
        <sz val="12"/>
        <rFont val="宋体"/>
        <charset val="134"/>
      </rPr>
      <t>Pa·S</t>
    </r>
  </si>
  <si>
    <t>ν=μ/ρ</t>
  </si>
  <si>
    <r>
      <rPr>
        <sz val="12"/>
        <rFont val="宋体"/>
        <charset val="134"/>
      </rPr>
      <t>ν- 运动粘度  米</t>
    </r>
    <r>
      <rPr>
        <vertAlign val="superscript"/>
        <sz val="12"/>
        <rFont val="宋体"/>
        <charset val="134"/>
      </rPr>
      <t>2</t>
    </r>
    <r>
      <rPr>
        <sz val="12"/>
        <rFont val="宋体"/>
        <charset val="134"/>
      </rPr>
      <t>/秒</t>
    </r>
  </si>
  <si>
    <t>常用单位 斯(St) 厘斯(cSt)</t>
  </si>
  <si>
    <r>
      <rPr>
        <sz val="12"/>
        <rFont val="宋体"/>
        <charset val="134"/>
      </rPr>
      <t>1cSt(mm</t>
    </r>
    <r>
      <rPr>
        <vertAlign val="superscript"/>
        <sz val="12"/>
        <rFont val="宋体"/>
        <charset val="134"/>
      </rPr>
      <t>2</t>
    </r>
    <r>
      <rPr>
        <sz val="12"/>
        <rFont val="宋体"/>
        <charset val="134"/>
      </rPr>
      <t>/s)=0.01St(cm</t>
    </r>
    <r>
      <rPr>
        <vertAlign val="superscript"/>
        <sz val="12"/>
        <rFont val="宋体"/>
        <charset val="134"/>
      </rPr>
      <t>2</t>
    </r>
    <r>
      <rPr>
        <sz val="12"/>
        <rFont val="宋体"/>
        <charset val="134"/>
      </rPr>
      <t>/s)=10</t>
    </r>
    <r>
      <rPr>
        <vertAlign val="superscript"/>
        <sz val="12"/>
        <rFont val="宋体"/>
        <charset val="134"/>
      </rPr>
      <t>-6</t>
    </r>
    <r>
      <rPr>
        <sz val="12"/>
        <rFont val="宋体"/>
        <charset val="134"/>
      </rPr>
      <t>m</t>
    </r>
    <r>
      <rPr>
        <vertAlign val="superscript"/>
        <sz val="12"/>
        <rFont val="宋体"/>
        <charset val="134"/>
      </rPr>
      <t>2</t>
    </r>
    <r>
      <rPr>
        <sz val="12"/>
        <rFont val="宋体"/>
        <charset val="134"/>
      </rPr>
      <t>/s</t>
    </r>
  </si>
  <si>
    <t>恩氏粘度- 以200毫升油在t℃通过一特定容器上φ2.8mm孔时间与同体积20℃蒸馏水通过同样小孔所需时间比值</t>
  </si>
  <si>
    <t>t℃时的粘度 °Et</t>
  </si>
  <si>
    <t>系统压力(bar)</t>
  </si>
  <si>
    <t>系统流量(L/min)</t>
  </si>
  <si>
    <t>管路内径(mm)</t>
  </si>
  <si>
    <t>油液粘度(cSt)</t>
  </si>
  <si>
    <t>压力管路内径(mm)</t>
  </si>
  <si>
    <t>回油管路内径(mm)</t>
  </si>
  <si>
    <t>吸油管路内径(mm)</t>
  </si>
  <si>
    <t>安全壁厚(mm)(20号钢)</t>
  </si>
  <si>
    <t>流速(m/s)</t>
  </si>
  <si>
    <t>雷诺数(Re)</t>
  </si>
  <si>
    <t>金属直管长度(m)</t>
  </si>
  <si>
    <t>软管直管长度(m)</t>
  </si>
  <si>
    <t>层流压力损失(bar)</t>
  </si>
  <si>
    <t>紊流压力损失(bar)</t>
  </si>
  <si>
    <t>作用在滑阀上的稳态液动力</t>
  </si>
  <si>
    <t>系统流量Q(L/min)</t>
  </si>
  <si>
    <t>阀开口度x(mm)</t>
  </si>
  <si>
    <t>滑阀通径d(mm)</t>
  </si>
  <si>
    <t>压力降(bar)</t>
  </si>
  <si>
    <t>射流角θ(°)</t>
  </si>
  <si>
    <t>稳态液动力(N)</t>
  </si>
  <si>
    <t>薄壁小孔流量</t>
  </si>
  <si>
    <t>小孔的直径(mm)</t>
  </si>
  <si>
    <t>压力差(bar)</t>
  </si>
  <si>
    <t>流量系数</t>
  </si>
  <si>
    <t>流量(L/min)</t>
  </si>
  <si>
    <t>细长孔流量</t>
  </si>
  <si>
    <t>孔长度(mm)</t>
  </si>
  <si>
    <t>圆环形间隙流量</t>
  </si>
  <si>
    <t>圆柱直径(mm)</t>
  </si>
  <si>
    <t>平均间隙δ(mm)</t>
  </si>
  <si>
    <t>偏心距e(mm)</t>
  </si>
  <si>
    <t>偏心率ε</t>
  </si>
  <si>
    <t>平面缝隙流量</t>
  </si>
  <si>
    <t>缝隙宽度b(mm)</t>
  </si>
  <si>
    <t>缝隙间隙(mm)</t>
  </si>
  <si>
    <t>缝隙长度(mm)</t>
  </si>
  <si>
    <t>平行圆盘间隙流量</t>
  </si>
  <si>
    <t>圆盘直径(mm)</t>
  </si>
  <si>
    <t>中心孔直径(mm)</t>
  </si>
  <si>
    <t>理想液体伯努利方程</t>
  </si>
  <si>
    <t>实际</t>
  </si>
  <si>
    <t>液体重度</t>
  </si>
  <si>
    <t>γ=ρ·g</t>
  </si>
  <si>
    <t>雷诺数</t>
  </si>
  <si>
    <r>
      <rPr>
        <sz val="12"/>
        <rFont val="宋体"/>
        <charset val="134"/>
      </rPr>
      <t>Re=v·D</t>
    </r>
    <r>
      <rPr>
        <vertAlign val="subscript"/>
        <sz val="12"/>
        <rFont val="宋体"/>
        <charset val="134"/>
      </rPr>
      <t>H</t>
    </r>
    <r>
      <rPr>
        <sz val="12"/>
        <rFont val="宋体"/>
        <charset val="134"/>
      </rPr>
      <t>/ν</t>
    </r>
  </si>
  <si>
    <t>v - 流速</t>
  </si>
  <si>
    <r>
      <rPr>
        <sz val="12"/>
        <rFont val="宋体"/>
        <charset val="134"/>
      </rPr>
      <t>D</t>
    </r>
    <r>
      <rPr>
        <vertAlign val="subscript"/>
        <sz val="12"/>
        <rFont val="宋体"/>
        <charset val="134"/>
      </rPr>
      <t xml:space="preserve">H </t>
    </r>
    <r>
      <rPr>
        <sz val="12"/>
        <rFont val="宋体"/>
        <charset val="134"/>
      </rPr>
      <t>- 水力直径</t>
    </r>
  </si>
  <si>
    <t>ν - 运动粘度</t>
  </si>
  <si>
    <r>
      <rPr>
        <sz val="12"/>
        <rFont val="宋体"/>
        <charset val="134"/>
      </rPr>
      <t>D</t>
    </r>
    <r>
      <rPr>
        <vertAlign val="subscript"/>
        <sz val="12"/>
        <rFont val="宋体"/>
        <charset val="134"/>
      </rPr>
      <t xml:space="preserve">H </t>
    </r>
    <r>
      <rPr>
        <sz val="12"/>
        <rFont val="宋体"/>
        <charset val="134"/>
      </rPr>
      <t>=4A/χ</t>
    </r>
  </si>
  <si>
    <t>A- 通流截面面积</t>
  </si>
  <si>
    <t>χ- 湿周长度</t>
  </si>
  <si>
    <t>沿程压力损失 达西(Darcy)公式</t>
  </si>
  <si>
    <t>l- 直管长度</t>
  </si>
  <si>
    <t>d- 管路内径</t>
  </si>
  <si>
    <t>v- 平均流速</t>
  </si>
  <si>
    <t>ρ- 油密度</t>
  </si>
  <si>
    <t>λ-沿程阻力系数</t>
  </si>
  <si>
    <t>局部压力损失</t>
  </si>
  <si>
    <t>ξ-局部阻力系数</t>
  </si>
  <si>
    <r>
      <rPr>
        <sz val="12"/>
        <rFont val="宋体"/>
        <charset val="134"/>
      </rPr>
      <t>C</t>
    </r>
    <r>
      <rPr>
        <vertAlign val="subscript"/>
        <sz val="12"/>
        <rFont val="宋体"/>
        <charset val="134"/>
      </rPr>
      <t>d</t>
    </r>
    <r>
      <rPr>
        <sz val="12"/>
        <rFont val="宋体"/>
        <charset val="134"/>
      </rPr>
      <t>- 流量系数</t>
    </r>
  </si>
  <si>
    <t>Cd</t>
  </si>
  <si>
    <t>a - 节流面积</t>
  </si>
  <si>
    <t>薄壁小孔 l&lt;0.5d</t>
  </si>
  <si>
    <t>0.62~0.63</t>
  </si>
  <si>
    <t>ρ- 油液密度</t>
  </si>
  <si>
    <r>
      <rPr>
        <sz val="12"/>
        <rFont val="宋体"/>
        <charset val="134"/>
      </rPr>
      <t>阻尼长孔</t>
    </r>
    <r>
      <rPr>
        <sz val="12"/>
        <rFont val="Times New Roman"/>
        <family val="1"/>
      </rPr>
      <t xml:space="preserve"> l=(2~4)d</t>
    </r>
  </si>
  <si>
    <t>ε- 偏心率</t>
  </si>
  <si>
    <t>δ- 同心时的间隙量</t>
  </si>
  <si>
    <t xml:space="preserve"> e - 偏心量</t>
  </si>
  <si>
    <t>ε=e/δ</t>
  </si>
  <si>
    <t>b - 缝隙宽度</t>
  </si>
  <si>
    <t>R - 圆盘的外半径</t>
  </si>
  <si>
    <t>r - 圆盘的中心孔半径</t>
  </si>
  <si>
    <t>工作循环</t>
  </si>
  <si>
    <t>流量(升/分)</t>
  </si>
  <si>
    <t>持续时间(秒)</t>
  </si>
  <si>
    <t>泵流量(升/分)</t>
  </si>
  <si>
    <t>极限工作容积(升)</t>
  </si>
  <si>
    <t>工作容积(升)</t>
  </si>
  <si>
    <t>充压指数</t>
  </si>
  <si>
    <t>折合式气囊</t>
  </si>
  <si>
    <t>波纹形气囊</t>
  </si>
  <si>
    <t>活塞式</t>
  </si>
  <si>
    <t>隔膜式</t>
  </si>
  <si>
    <r>
      <rPr>
        <sz val="12"/>
        <rFont val="宋体"/>
        <charset val="134"/>
      </rPr>
      <t>过程指数</t>
    </r>
    <r>
      <rPr>
        <sz val="12"/>
        <rFont val="Times New Roman"/>
        <family val="1"/>
      </rPr>
      <t xml:space="preserve"> n</t>
    </r>
  </si>
  <si>
    <t>0.8~0.85</t>
  </si>
  <si>
    <t>0.6~0.65</t>
  </si>
  <si>
    <t>0.8~0.9</t>
  </si>
  <si>
    <t>最低压力(bar)</t>
  </si>
  <si>
    <t>吸收液压冲击</t>
  </si>
  <si>
    <r>
      <rPr>
        <sz val="12"/>
        <rFont val="宋体"/>
        <charset val="134"/>
      </rPr>
      <t>p</t>
    </r>
    <r>
      <rPr>
        <vertAlign val="subscript"/>
        <sz val="12"/>
        <rFont val="宋体"/>
        <charset val="134"/>
      </rPr>
      <t>0</t>
    </r>
    <r>
      <rPr>
        <sz val="12"/>
        <rFont val="宋体"/>
        <charset val="134"/>
      </rPr>
      <t>=p</t>
    </r>
    <r>
      <rPr>
        <vertAlign val="subscript"/>
        <sz val="12"/>
        <rFont val="宋体"/>
        <charset val="134"/>
      </rPr>
      <t>1</t>
    </r>
  </si>
  <si>
    <t>充气压力(bar)</t>
  </si>
  <si>
    <t>消除脉动</t>
  </si>
  <si>
    <t>蓄能器容积(升)</t>
  </si>
  <si>
    <t>绝热过程</t>
  </si>
  <si>
    <t>恒温过程</t>
  </si>
  <si>
    <t>蓄能器用于吸收液压冲击</t>
  </si>
  <si>
    <t>管道内径(mm)</t>
  </si>
  <si>
    <t>管路长度(m)</t>
  </si>
  <si>
    <t>峰值压力(bar)</t>
  </si>
  <si>
    <t>切换时间(s)</t>
  </si>
  <si>
    <t>蓄能器容积 (L)</t>
  </si>
  <si>
    <t>经验公式   (L)</t>
  </si>
  <si>
    <t>液压冲击</t>
  </si>
  <si>
    <r>
      <rPr>
        <sz val="12"/>
        <rFont val="宋体"/>
        <charset val="134"/>
      </rPr>
      <t>系统流量</t>
    </r>
    <r>
      <rPr>
        <sz val="12"/>
        <rFont val="Times New Roman"/>
        <family val="1"/>
      </rPr>
      <t>(L/min)</t>
    </r>
  </si>
  <si>
    <r>
      <rPr>
        <sz val="12"/>
        <rFont val="宋体"/>
        <charset val="134"/>
      </rPr>
      <t>管道内径</t>
    </r>
    <r>
      <rPr>
        <sz val="12"/>
        <rFont val="Times New Roman"/>
        <family val="1"/>
      </rPr>
      <t>(mm)</t>
    </r>
  </si>
  <si>
    <t>材料</t>
  </si>
  <si>
    <r>
      <rPr>
        <sz val="12"/>
        <rFont val="宋体"/>
        <charset val="134"/>
      </rPr>
      <t>弹性模量</t>
    </r>
    <r>
      <rPr>
        <sz val="12"/>
        <rFont val="Times New Roman"/>
        <family val="1"/>
      </rPr>
      <t xml:space="preserve"> (Mpa)</t>
    </r>
  </si>
  <si>
    <r>
      <rPr>
        <sz val="12"/>
        <rFont val="宋体"/>
        <charset val="134"/>
      </rPr>
      <t>开</t>
    </r>
    <r>
      <rPr>
        <sz val="12"/>
        <rFont val="Times New Roman"/>
        <family val="1"/>
      </rPr>
      <t>(</t>
    </r>
    <r>
      <rPr>
        <sz val="12"/>
        <rFont val="宋体"/>
        <charset val="134"/>
      </rPr>
      <t>关</t>
    </r>
    <r>
      <rPr>
        <sz val="12"/>
        <rFont val="Times New Roman"/>
        <family val="1"/>
      </rPr>
      <t>)</t>
    </r>
    <r>
      <rPr>
        <sz val="12"/>
        <rFont val="宋体"/>
        <charset val="134"/>
      </rPr>
      <t>时间</t>
    </r>
    <r>
      <rPr>
        <sz val="12"/>
        <rFont val="Times New Roman"/>
        <family val="1"/>
      </rPr>
      <t>t (s)</t>
    </r>
  </si>
  <si>
    <r>
      <rPr>
        <sz val="12"/>
        <rFont val="宋体"/>
        <charset val="134"/>
      </rPr>
      <t>管壁厚度</t>
    </r>
    <r>
      <rPr>
        <sz val="12"/>
        <rFont val="Times New Roman"/>
        <family val="1"/>
      </rPr>
      <t>(mm)</t>
    </r>
  </si>
  <si>
    <t>液体</t>
  </si>
  <si>
    <r>
      <rPr>
        <sz val="12"/>
        <rFont val="宋体"/>
        <charset val="134"/>
      </rPr>
      <t>变化后流量</t>
    </r>
    <r>
      <rPr>
        <sz val="12"/>
        <rFont val="Times New Roman"/>
        <family val="1"/>
      </rPr>
      <t>(L/min)</t>
    </r>
  </si>
  <si>
    <r>
      <rPr>
        <sz val="12"/>
        <rFont val="宋体"/>
        <charset val="134"/>
      </rPr>
      <t>管路长度</t>
    </r>
    <r>
      <rPr>
        <sz val="12"/>
        <rFont val="Times New Roman"/>
        <family val="1"/>
      </rPr>
      <t>(m)</t>
    </r>
  </si>
  <si>
    <r>
      <rPr>
        <sz val="12"/>
        <rFont val="宋体"/>
        <charset val="134"/>
      </rPr>
      <t>液体弹性模量</t>
    </r>
    <r>
      <rPr>
        <sz val="12"/>
        <rFont val="Times New Roman"/>
        <family val="1"/>
      </rPr>
      <t xml:space="preserve"> (Mpa)</t>
    </r>
  </si>
  <si>
    <r>
      <rPr>
        <sz val="12"/>
        <rFont val="宋体"/>
        <charset val="134"/>
      </rPr>
      <t>管壁材料弹性模量</t>
    </r>
    <r>
      <rPr>
        <sz val="12"/>
        <rFont val="Times New Roman"/>
        <family val="1"/>
      </rPr>
      <t xml:space="preserve"> (Mpa)</t>
    </r>
  </si>
  <si>
    <t>紫铜</t>
  </si>
  <si>
    <t>黄铜</t>
  </si>
  <si>
    <r>
      <rPr>
        <sz val="12"/>
        <rFont val="宋体"/>
        <charset val="134"/>
      </rPr>
      <t>冲击波速度</t>
    </r>
    <r>
      <rPr>
        <sz val="12"/>
        <rFont val="Times New Roman"/>
        <family val="1"/>
      </rPr>
      <t>v (m/s)</t>
    </r>
  </si>
  <si>
    <t>直接冲击(t&lt;T)压力变化(bar)</t>
  </si>
  <si>
    <t>橡皮</t>
  </si>
  <si>
    <t>2~6</t>
  </si>
  <si>
    <r>
      <rPr>
        <sz val="12"/>
        <rFont val="宋体"/>
        <charset val="134"/>
      </rPr>
      <t>冲击波时间</t>
    </r>
    <r>
      <rPr>
        <sz val="12"/>
        <rFont val="Times New Roman"/>
        <family val="1"/>
      </rPr>
      <t>T (s)</t>
    </r>
  </si>
  <si>
    <t>间接冲击(t&gt;T)压力变化(bar)</t>
  </si>
  <si>
    <t>铝合金</t>
  </si>
  <si>
    <t>v1(m/s)</t>
  </si>
  <si>
    <t>v2(m/s)</t>
  </si>
  <si>
    <t>蓄能器容积(液压冲击)</t>
  </si>
  <si>
    <t>ρ- 油液密度(kg/m3)</t>
  </si>
  <si>
    <t>Q- 阀关闭前管内流量(L/min)</t>
  </si>
  <si>
    <t>L- 产生冲击波的管长(m)</t>
  </si>
  <si>
    <t>A- 管道通流面积(㎝2)</t>
  </si>
  <si>
    <t>t- 阀由全开到全关的时间(s)</t>
  </si>
  <si>
    <t>p0- 充气压力(Pa)</t>
  </si>
  <si>
    <t>P2- 峰值压力(Pa)</t>
  </si>
  <si>
    <t>p1- 最低工作压力(Pa)</t>
  </si>
  <si>
    <t>经验公式</t>
  </si>
  <si>
    <t>冲击波传播速度</t>
  </si>
  <si>
    <t>冲击波在管内往复所需时间</t>
  </si>
  <si>
    <r>
      <rPr>
        <sz val="12"/>
        <rFont val="宋体"/>
        <charset val="134"/>
      </rPr>
      <t>直接冲击</t>
    </r>
    <r>
      <rPr>
        <sz val="12"/>
        <rFont val="Times New Roman"/>
        <family val="1"/>
      </rPr>
      <t>(t&lt;T)</t>
    </r>
    <r>
      <rPr>
        <sz val="12"/>
        <rFont val="宋体"/>
        <charset val="134"/>
      </rPr>
      <t>压力变化</t>
    </r>
  </si>
  <si>
    <r>
      <rPr>
        <sz val="12"/>
        <rFont val="宋体"/>
        <charset val="134"/>
      </rPr>
      <t>间接冲击</t>
    </r>
    <r>
      <rPr>
        <sz val="12"/>
        <rFont val="Times New Roman"/>
        <family val="1"/>
      </rPr>
      <t>(t&gt;T)</t>
    </r>
    <r>
      <rPr>
        <sz val="12"/>
        <rFont val="宋体"/>
        <charset val="134"/>
      </rPr>
      <t>压力变化</t>
    </r>
  </si>
  <si>
    <t>油箱热平衡</t>
  </si>
  <si>
    <r>
      <rPr>
        <sz val="12"/>
        <rFont val="宋体"/>
        <charset val="134"/>
      </rPr>
      <t>油箱总体积</t>
    </r>
    <r>
      <rPr>
        <sz val="12"/>
        <rFont val="Times New Roman"/>
        <family val="1"/>
      </rPr>
      <t>V       (L)</t>
    </r>
  </si>
  <si>
    <r>
      <rPr>
        <sz val="12"/>
        <rFont val="宋体"/>
        <charset val="134"/>
      </rPr>
      <t>系统发热功率</t>
    </r>
    <r>
      <rPr>
        <sz val="12"/>
        <rFont val="Times New Roman"/>
        <family val="1"/>
      </rPr>
      <t>(Kw)</t>
    </r>
  </si>
  <si>
    <t>通风条件</t>
  </si>
  <si>
    <r>
      <rPr>
        <sz val="12"/>
        <rFont val="宋体"/>
        <charset val="134"/>
      </rPr>
      <t>系数</t>
    </r>
    <r>
      <rPr>
        <sz val="12"/>
        <rFont val="Times New Roman"/>
        <family val="1"/>
      </rPr>
      <t>k</t>
    </r>
  </si>
  <si>
    <r>
      <rPr>
        <sz val="12"/>
        <rFont val="宋体"/>
        <charset val="134"/>
      </rPr>
      <t>油箱传热系数</t>
    </r>
    <r>
      <rPr>
        <sz val="12"/>
        <rFont val="Times New Roman"/>
        <family val="1"/>
      </rPr>
      <t xml:space="preserve">   k</t>
    </r>
  </si>
  <si>
    <r>
      <rPr>
        <sz val="12"/>
        <rFont val="宋体"/>
        <charset val="134"/>
      </rPr>
      <t>加热功率</t>
    </r>
    <r>
      <rPr>
        <sz val="12"/>
        <rFont val="Times New Roman"/>
        <family val="1"/>
      </rPr>
      <t>(Kw)</t>
    </r>
  </si>
  <si>
    <t>差</t>
  </si>
  <si>
    <t>8~9</t>
  </si>
  <si>
    <r>
      <rPr>
        <sz val="12"/>
        <rFont val="宋体"/>
        <charset val="134"/>
      </rPr>
      <t>油比热</t>
    </r>
    <r>
      <rPr>
        <sz val="12"/>
        <rFont val="Times New Roman"/>
        <family val="1"/>
      </rPr>
      <t>( 1.7~2.1 KJ/(kg*K)</t>
    </r>
  </si>
  <si>
    <r>
      <rPr>
        <sz val="12"/>
        <rFont val="宋体"/>
        <charset val="134"/>
      </rPr>
      <t>冷却功率</t>
    </r>
    <r>
      <rPr>
        <sz val="12"/>
        <rFont val="Times New Roman"/>
        <family val="1"/>
      </rPr>
      <t>(Kw)</t>
    </r>
  </si>
  <si>
    <t>良好</t>
  </si>
  <si>
    <r>
      <rPr>
        <sz val="12"/>
        <rFont val="宋体"/>
        <charset val="134"/>
      </rPr>
      <t>环境温度</t>
    </r>
    <r>
      <rPr>
        <sz val="12"/>
        <rFont val="Times New Roman"/>
        <family val="1"/>
      </rPr>
      <t>T</t>
    </r>
    <r>
      <rPr>
        <vertAlign val="subscript"/>
        <sz val="12"/>
        <rFont val="Times New Roman"/>
        <family val="1"/>
      </rPr>
      <t>0</t>
    </r>
    <r>
      <rPr>
        <sz val="12"/>
        <rFont val="Times New Roman"/>
        <family val="1"/>
      </rPr>
      <t xml:space="preserve"> (K) </t>
    </r>
  </si>
  <si>
    <r>
      <rPr>
        <sz val="12"/>
        <rFont val="宋体"/>
        <charset val="134"/>
      </rPr>
      <t>油质量（</t>
    </r>
    <r>
      <rPr>
        <sz val="12"/>
        <rFont val="Times New Roman"/>
        <family val="1"/>
      </rPr>
      <t>kg)</t>
    </r>
  </si>
  <si>
    <t>风冷冷却</t>
  </si>
  <si>
    <r>
      <rPr>
        <sz val="12"/>
        <rFont val="宋体"/>
        <charset val="134"/>
      </rPr>
      <t>设定油温</t>
    </r>
    <r>
      <rPr>
        <sz val="12"/>
        <rFont val="Times New Roman"/>
        <family val="1"/>
      </rPr>
      <t xml:space="preserve"> T (K)</t>
    </r>
  </si>
  <si>
    <r>
      <rPr>
        <sz val="12"/>
        <rFont val="宋体"/>
        <charset val="134"/>
      </rPr>
      <t>油箱散热面积</t>
    </r>
    <r>
      <rPr>
        <sz val="12"/>
        <rFont val="Times New Roman"/>
        <family val="1"/>
      </rPr>
      <t>(m2)</t>
    </r>
    <r>
      <rPr>
        <sz val="12"/>
        <rFont val="宋体"/>
        <charset val="134"/>
      </rPr>
      <t>≈</t>
    </r>
  </si>
  <si>
    <t>循环水冷却</t>
  </si>
  <si>
    <t>110~174</t>
  </si>
  <si>
    <r>
      <rPr>
        <sz val="12"/>
        <rFont val="宋体"/>
        <charset val="134"/>
      </rPr>
      <t>油箱散热面积</t>
    </r>
    <r>
      <rPr>
        <sz val="12"/>
        <rFont val="Times New Roman"/>
        <family val="1"/>
      </rPr>
      <t>(m2)</t>
    </r>
  </si>
  <si>
    <r>
      <rPr>
        <sz val="12"/>
        <rFont val="宋体"/>
        <charset val="134"/>
      </rPr>
      <t>油箱冷却功率</t>
    </r>
    <r>
      <rPr>
        <sz val="12"/>
        <rFont val="Times New Roman"/>
        <family val="1"/>
      </rPr>
      <t>(Kw)</t>
    </r>
  </si>
  <si>
    <r>
      <rPr>
        <sz val="12"/>
        <rFont val="宋体"/>
        <charset val="134"/>
      </rPr>
      <t>系统温升</t>
    </r>
    <r>
      <rPr>
        <sz val="12"/>
        <rFont val="Times New Roman"/>
        <family val="1"/>
      </rPr>
      <t>(</t>
    </r>
    <r>
      <rPr>
        <sz val="12"/>
        <rFont val="宋体"/>
        <charset val="134"/>
      </rPr>
      <t>冷却时间</t>
    </r>
    <r>
      <rPr>
        <sz val="12"/>
        <rFont val="Times New Roman"/>
        <family val="1"/>
      </rPr>
      <t>) t(min)</t>
    </r>
  </si>
  <si>
    <t>油箱壁厚(mm)</t>
  </si>
  <si>
    <t>系统热平衡温度(K)</t>
  </si>
  <si>
    <t>油箱重量(Kg)≈</t>
  </si>
  <si>
    <t>风冷计算</t>
  </si>
  <si>
    <r>
      <rPr>
        <sz val="12"/>
        <rFont val="宋体"/>
        <charset val="134"/>
      </rPr>
      <t>风量</t>
    </r>
    <r>
      <rPr>
        <sz val="12"/>
        <rFont val="Times New Roman"/>
        <family val="1"/>
      </rPr>
      <t>(m3 / h)</t>
    </r>
  </si>
  <si>
    <r>
      <rPr>
        <sz val="12"/>
        <rFont val="宋体"/>
        <charset val="134"/>
      </rPr>
      <t>散热温差</t>
    </r>
    <r>
      <rPr>
        <sz val="12"/>
        <rFont val="Times New Roman"/>
        <family val="1"/>
      </rPr>
      <t>t (K)</t>
    </r>
  </si>
  <si>
    <r>
      <rPr>
        <sz val="12"/>
        <rFont val="宋体"/>
        <charset val="134"/>
      </rPr>
      <t>散热功率</t>
    </r>
    <r>
      <rPr>
        <sz val="12"/>
        <rFont val="Times New Roman"/>
        <family val="1"/>
      </rPr>
      <t xml:space="preserve"> (Kw)</t>
    </r>
  </si>
  <si>
    <t>水冷计算</t>
  </si>
  <si>
    <r>
      <rPr>
        <sz val="12"/>
        <rFont val="宋体"/>
        <charset val="134"/>
      </rPr>
      <t>冷却水量</t>
    </r>
    <r>
      <rPr>
        <sz val="12"/>
        <rFont val="Times New Roman"/>
        <family val="1"/>
      </rPr>
      <t>(m3 / h)</t>
    </r>
  </si>
  <si>
    <r>
      <rPr>
        <sz val="12"/>
        <rFont val="宋体"/>
        <charset val="134"/>
      </rPr>
      <t>进出水温差</t>
    </r>
    <r>
      <rPr>
        <sz val="12"/>
        <rFont val="Times New Roman"/>
        <family val="1"/>
      </rPr>
      <t>t (K)</t>
    </r>
  </si>
  <si>
    <t>温度换算</t>
  </si>
  <si>
    <t>摄氏度</t>
  </si>
  <si>
    <t>——〉华氏度</t>
  </si>
  <si>
    <t>华氏度</t>
  </si>
  <si>
    <t>——〉摄氏度</t>
  </si>
  <si>
    <r>
      <rPr>
        <sz val="12"/>
        <rFont val="宋体"/>
        <charset val="134"/>
      </rPr>
      <t xml:space="preserve">k- </t>
    </r>
    <r>
      <rPr>
        <sz val="12"/>
        <rFont val="宋体"/>
        <charset val="134"/>
      </rPr>
      <t>油箱传热系数</t>
    </r>
    <r>
      <rPr>
        <sz val="12"/>
        <rFont val="Times New Roman"/>
        <family val="1"/>
      </rPr>
      <t xml:space="preserve"> (W/m2*K)</t>
    </r>
  </si>
  <si>
    <r>
      <rPr>
        <sz val="12"/>
        <rFont val="宋体"/>
        <charset val="134"/>
      </rPr>
      <t xml:space="preserve">t - </t>
    </r>
    <r>
      <rPr>
        <sz val="12"/>
        <rFont val="宋体"/>
        <charset val="134"/>
      </rPr>
      <t>运转时间</t>
    </r>
    <r>
      <rPr>
        <sz val="12"/>
        <rFont val="Times New Roman"/>
        <family val="1"/>
      </rPr>
      <t>(s)</t>
    </r>
  </si>
  <si>
    <r>
      <rPr>
        <sz val="12"/>
        <rFont val="宋体"/>
        <charset val="134"/>
      </rPr>
      <t xml:space="preserve">C - </t>
    </r>
    <r>
      <rPr>
        <sz val="12"/>
        <rFont val="宋体"/>
        <charset val="134"/>
      </rPr>
      <t>油比热</t>
    </r>
    <r>
      <rPr>
        <sz val="12"/>
        <rFont val="Times New Roman"/>
        <family val="1"/>
      </rPr>
      <t>( 1.7~2.1 KJ/(kg*K))</t>
    </r>
  </si>
  <si>
    <r>
      <rPr>
        <sz val="12"/>
        <rFont val="宋体"/>
        <charset val="134"/>
      </rPr>
      <t xml:space="preserve">A - </t>
    </r>
    <r>
      <rPr>
        <sz val="12"/>
        <rFont val="宋体"/>
        <charset val="134"/>
      </rPr>
      <t>油箱散热面积</t>
    </r>
    <r>
      <rPr>
        <sz val="12"/>
        <rFont val="Times New Roman"/>
        <family val="1"/>
      </rPr>
      <t>(m2)</t>
    </r>
  </si>
  <si>
    <r>
      <rPr>
        <sz val="12"/>
        <rFont val="宋体"/>
        <charset val="134"/>
      </rPr>
      <t xml:space="preserve">T - </t>
    </r>
    <r>
      <rPr>
        <sz val="12"/>
        <rFont val="宋体"/>
        <charset val="134"/>
      </rPr>
      <t>油液温度</t>
    </r>
    <r>
      <rPr>
        <sz val="12"/>
        <rFont val="Times New Roman"/>
        <family val="1"/>
      </rPr>
      <t>(K)</t>
    </r>
  </si>
  <si>
    <r>
      <rPr>
        <sz val="12"/>
        <rFont val="宋体"/>
        <charset val="134"/>
      </rPr>
      <t xml:space="preserve">T0 - </t>
    </r>
    <r>
      <rPr>
        <sz val="12"/>
        <rFont val="宋体"/>
        <charset val="134"/>
      </rPr>
      <t>环境温度</t>
    </r>
    <r>
      <rPr>
        <sz val="12"/>
        <rFont val="Times New Roman"/>
        <family val="1"/>
      </rPr>
      <t>(K)</t>
    </r>
  </si>
  <si>
    <r>
      <rPr>
        <sz val="12"/>
        <rFont val="宋体"/>
        <charset val="134"/>
      </rPr>
      <t>当</t>
    </r>
    <r>
      <rPr>
        <sz val="12"/>
        <rFont val="Times New Roman"/>
        <family val="1"/>
      </rPr>
      <t xml:space="preserve">t </t>
    </r>
    <r>
      <rPr>
        <sz val="12"/>
        <rFont val="宋体"/>
        <charset val="134"/>
      </rPr>
      <t>→∞</t>
    </r>
    <r>
      <rPr>
        <sz val="12"/>
        <rFont val="Times New Roman"/>
        <family val="1"/>
      </rPr>
      <t xml:space="preserve"> </t>
    </r>
    <r>
      <rPr>
        <sz val="12"/>
        <rFont val="宋体"/>
        <charset val="134"/>
      </rPr>
      <t>时</t>
    </r>
    <r>
      <rPr>
        <sz val="12"/>
        <rFont val="Times New Roman"/>
        <family val="1"/>
      </rPr>
      <t>,</t>
    </r>
    <r>
      <rPr>
        <sz val="12"/>
        <rFont val="宋体"/>
        <charset val="134"/>
      </rPr>
      <t>系统热平衡公式</t>
    </r>
  </si>
  <si>
    <r>
      <rPr>
        <sz val="12"/>
        <rFont val="宋体"/>
        <charset val="134"/>
      </rPr>
      <t xml:space="preserve">m - </t>
    </r>
    <r>
      <rPr>
        <sz val="12"/>
        <rFont val="宋体"/>
        <charset val="134"/>
      </rPr>
      <t>油液质量</t>
    </r>
    <r>
      <rPr>
        <sz val="12"/>
        <rFont val="Times New Roman"/>
        <family val="1"/>
      </rPr>
      <t>(kg)</t>
    </r>
  </si>
  <si>
    <r>
      <rPr>
        <sz val="12"/>
        <rFont val="宋体"/>
        <charset val="134"/>
      </rPr>
      <t xml:space="preserve">H- </t>
    </r>
    <r>
      <rPr>
        <sz val="12"/>
        <rFont val="宋体"/>
        <charset val="134"/>
      </rPr>
      <t>热功率</t>
    </r>
    <r>
      <rPr>
        <sz val="12"/>
        <rFont val="Times New Roman"/>
        <family val="1"/>
      </rPr>
      <t>(W)</t>
    </r>
  </si>
  <si>
    <r>
      <rPr>
        <sz val="12"/>
        <rFont val="宋体"/>
        <charset val="134"/>
      </rPr>
      <t>Ｈ＝Ｑａ</t>
    </r>
    <r>
      <rPr>
        <sz val="10.5"/>
        <rFont val="Times New Roman"/>
        <family val="1"/>
      </rPr>
      <t>*</t>
    </r>
    <r>
      <rPr>
        <sz val="10.5"/>
        <rFont val="宋体"/>
        <charset val="134"/>
      </rPr>
      <t>ρｋ</t>
    </r>
    <r>
      <rPr>
        <sz val="10.5"/>
        <rFont val="Times New Roman"/>
        <family val="1"/>
      </rPr>
      <t>*</t>
    </r>
    <r>
      <rPr>
        <sz val="10.5"/>
        <rFont val="宋体"/>
        <charset val="134"/>
      </rPr>
      <t>Ｃｐ·Δ</t>
    </r>
    <r>
      <rPr>
        <sz val="10.5"/>
        <rFont val="Times New Roman"/>
        <family val="1"/>
      </rPr>
      <t>t</t>
    </r>
    <r>
      <rPr>
        <sz val="10.5"/>
        <rFont val="宋体"/>
        <charset val="134"/>
      </rPr>
      <t>（J/h）</t>
    </r>
  </si>
  <si>
    <r>
      <rPr>
        <sz val="12"/>
        <rFont val="宋体"/>
        <charset val="134"/>
      </rPr>
      <t>Ｑａ</t>
    </r>
    <r>
      <rPr>
        <sz val="12"/>
        <rFont val="Times New Roman"/>
        <family val="1"/>
      </rPr>
      <t>——</t>
    </r>
    <r>
      <rPr>
        <sz val="12"/>
        <rFont val="宋体"/>
        <charset val="134"/>
      </rPr>
      <t>风扇风量（</t>
    </r>
    <r>
      <rPr>
        <sz val="12"/>
        <rFont val="Times New Roman"/>
        <family val="1"/>
      </rPr>
      <t>m3 / h</t>
    </r>
    <r>
      <rPr>
        <sz val="12"/>
        <rFont val="宋体"/>
        <charset val="134"/>
      </rPr>
      <t>）</t>
    </r>
  </si>
  <si>
    <r>
      <rPr>
        <sz val="12"/>
        <rFont val="宋体"/>
        <charset val="134"/>
      </rPr>
      <t>ρｋ</t>
    </r>
    <r>
      <rPr>
        <sz val="12"/>
        <rFont val="Times New Roman"/>
        <family val="1"/>
      </rPr>
      <t>——</t>
    </r>
    <r>
      <rPr>
        <sz val="12"/>
        <rFont val="宋体"/>
        <charset val="134"/>
      </rPr>
      <t>空气密度（取ρｋ＝</t>
    </r>
    <r>
      <rPr>
        <sz val="12"/>
        <rFont val="Times New Roman"/>
        <family val="1"/>
      </rPr>
      <t>1.29kg/m3</t>
    </r>
    <r>
      <rPr>
        <sz val="12"/>
        <rFont val="宋体"/>
        <charset val="134"/>
      </rPr>
      <t>）</t>
    </r>
  </si>
  <si>
    <r>
      <rPr>
        <sz val="12"/>
        <rFont val="宋体"/>
        <charset val="134"/>
      </rPr>
      <t>Ｃｐ</t>
    </r>
    <r>
      <rPr>
        <sz val="12"/>
        <rFont val="Times New Roman"/>
        <family val="1"/>
      </rPr>
      <t>——</t>
    </r>
    <r>
      <rPr>
        <sz val="12"/>
        <rFont val="宋体"/>
        <charset val="134"/>
      </rPr>
      <t>空气比热容（取Ｃｐ＝</t>
    </r>
    <r>
      <rPr>
        <sz val="12"/>
        <rFont val="Times New Roman"/>
        <family val="1"/>
      </rPr>
      <t>1008J/kg·K</t>
    </r>
    <r>
      <rPr>
        <sz val="12"/>
        <rFont val="宋体"/>
        <charset val="134"/>
      </rPr>
      <t>）</t>
    </r>
  </si>
  <si>
    <r>
      <rPr>
        <sz val="12"/>
        <rFont val="宋体"/>
        <charset val="134"/>
      </rPr>
      <t>Δｔ</t>
    </r>
    <r>
      <rPr>
        <sz val="12"/>
        <rFont val="Times New Roman"/>
        <family val="1"/>
      </rPr>
      <t>——</t>
    </r>
    <r>
      <rPr>
        <sz val="12"/>
        <rFont val="宋体"/>
        <charset val="134"/>
      </rPr>
      <t>散热温差（取Δｔ＝１０Ｋ）</t>
    </r>
  </si>
  <si>
    <r>
      <rPr>
        <sz val="12"/>
        <rFont val="宋体"/>
        <charset val="134"/>
      </rPr>
      <t>Ｑａ</t>
    </r>
    <r>
      <rPr>
        <sz val="12"/>
        <rFont val="Times New Roman"/>
        <family val="1"/>
      </rPr>
      <t>——</t>
    </r>
    <r>
      <rPr>
        <sz val="12"/>
        <rFont val="宋体"/>
        <charset val="134"/>
      </rPr>
      <t>冷却水量</t>
    </r>
    <r>
      <rPr>
        <sz val="12"/>
        <rFont val="宋体"/>
        <charset val="134"/>
      </rPr>
      <t>（</t>
    </r>
    <r>
      <rPr>
        <sz val="12"/>
        <rFont val="Times New Roman"/>
        <family val="1"/>
      </rPr>
      <t>m3 / h</t>
    </r>
    <r>
      <rPr>
        <sz val="12"/>
        <rFont val="宋体"/>
        <charset val="134"/>
      </rPr>
      <t>）</t>
    </r>
  </si>
  <si>
    <r>
      <rPr>
        <sz val="12"/>
        <rFont val="宋体"/>
        <charset val="134"/>
      </rPr>
      <t>ρｋ</t>
    </r>
    <r>
      <rPr>
        <sz val="12"/>
        <rFont val="Times New Roman"/>
        <family val="1"/>
      </rPr>
      <t>——</t>
    </r>
    <r>
      <rPr>
        <sz val="12"/>
        <rFont val="宋体"/>
        <charset val="134"/>
      </rPr>
      <t>水</t>
    </r>
    <r>
      <rPr>
        <sz val="12"/>
        <rFont val="宋体"/>
        <charset val="134"/>
      </rPr>
      <t>密度（取ρｋ＝</t>
    </r>
    <r>
      <rPr>
        <sz val="12"/>
        <rFont val="Times New Roman"/>
        <family val="1"/>
      </rPr>
      <t>1000kg/m3</t>
    </r>
    <r>
      <rPr>
        <sz val="12"/>
        <rFont val="宋体"/>
        <charset val="134"/>
      </rPr>
      <t>）</t>
    </r>
  </si>
  <si>
    <r>
      <rPr>
        <sz val="12"/>
        <rFont val="宋体"/>
        <charset val="134"/>
      </rPr>
      <t>Ｃｐ</t>
    </r>
    <r>
      <rPr>
        <sz val="12"/>
        <rFont val="Times New Roman"/>
        <family val="1"/>
      </rPr>
      <t>——</t>
    </r>
    <r>
      <rPr>
        <sz val="12"/>
        <rFont val="宋体"/>
        <charset val="134"/>
      </rPr>
      <t>水比热容（取Ｃｐ＝</t>
    </r>
    <r>
      <rPr>
        <sz val="12"/>
        <rFont val="Times New Roman"/>
        <family val="1"/>
      </rPr>
      <t>4186.8J/kg·K</t>
    </r>
    <r>
      <rPr>
        <sz val="12"/>
        <rFont val="宋体"/>
        <charset val="134"/>
      </rPr>
      <t>）</t>
    </r>
  </si>
  <si>
    <r>
      <rPr>
        <sz val="12"/>
        <rFont val="宋体"/>
        <charset val="134"/>
      </rPr>
      <t>Δｔ</t>
    </r>
    <r>
      <rPr>
        <sz val="12"/>
        <rFont val="Times New Roman"/>
        <family val="1"/>
      </rPr>
      <t>——</t>
    </r>
    <r>
      <rPr>
        <sz val="12"/>
        <rFont val="宋体"/>
        <charset val="134"/>
      </rPr>
      <t>进出水</t>
    </r>
    <r>
      <rPr>
        <sz val="12"/>
        <rFont val="宋体"/>
        <charset val="134"/>
      </rPr>
      <t>温差</t>
    </r>
  </si>
  <si>
    <t>马达工况参数</t>
  </si>
  <si>
    <t>Psi =</t>
  </si>
  <si>
    <t>Bar</t>
  </si>
  <si>
    <r>
      <rPr>
        <sz val="12"/>
        <rFont val="宋体"/>
        <charset val="134"/>
      </rPr>
      <t>卷筒转速</t>
    </r>
    <r>
      <rPr>
        <sz val="14"/>
        <rFont val="Arial"/>
        <family val="2"/>
      </rPr>
      <t xml:space="preserve"> (Required)</t>
    </r>
  </si>
  <si>
    <t>r/min</t>
  </si>
  <si>
    <t>Bar =</t>
  </si>
  <si>
    <t>Psi</t>
  </si>
  <si>
    <r>
      <rPr>
        <sz val="12"/>
        <rFont val="宋体"/>
        <charset val="134"/>
      </rPr>
      <t>卷筒扭矩</t>
    </r>
    <r>
      <rPr>
        <sz val="14"/>
        <rFont val="Times New Roman"/>
        <family val="1"/>
      </rPr>
      <t>(Required)</t>
    </r>
  </si>
  <si>
    <t>N.M</t>
  </si>
  <si>
    <t>Hp  =</t>
  </si>
  <si>
    <t>kw</t>
  </si>
  <si>
    <t>减速比</t>
  </si>
  <si>
    <t>Kw  =</t>
  </si>
  <si>
    <t>Hp</t>
  </si>
  <si>
    <t>马达排量</t>
  </si>
  <si>
    <t>ml / r</t>
  </si>
  <si>
    <t>GPM =</t>
  </si>
  <si>
    <t>LPM</t>
  </si>
  <si>
    <t>马达输出扭矩</t>
  </si>
  <si>
    <t>LPM =</t>
  </si>
  <si>
    <t>GPM</t>
  </si>
  <si>
    <t>马达转速</t>
  </si>
  <si>
    <t>cc/rev</t>
  </si>
  <si>
    <t>rpm</t>
  </si>
  <si>
    <t>系统功率</t>
  </si>
  <si>
    <t>1  gpm ( us)  = 3.785 Liter</t>
  </si>
  <si>
    <r>
      <rPr>
        <sz val="12"/>
        <rFont val="宋体"/>
        <charset val="134"/>
      </rPr>
      <t>1 in</t>
    </r>
    <r>
      <rPr>
        <vertAlign val="superscript"/>
        <sz val="14"/>
        <rFont val="Arial"/>
        <family val="2"/>
      </rPr>
      <t>3</t>
    </r>
    <r>
      <rPr>
        <sz val="14"/>
        <rFont val="Arial"/>
        <family val="2"/>
      </rPr>
      <t xml:space="preserve">  =  16.3871 cm</t>
    </r>
    <r>
      <rPr>
        <vertAlign val="superscript"/>
        <sz val="14"/>
        <rFont val="Arial"/>
        <family val="2"/>
      </rPr>
      <t>3</t>
    </r>
  </si>
  <si>
    <t>工作压力</t>
  </si>
  <si>
    <t>1  psi  =  0.0689  bar</t>
  </si>
  <si>
    <t>1 bar  = 14.5 psi</t>
  </si>
  <si>
    <t>马达流量</t>
  </si>
  <si>
    <t>L/min</t>
  </si>
  <si>
    <t>机械效率</t>
  </si>
  <si>
    <t>Eff</t>
  </si>
  <si>
    <r>
      <rPr>
        <sz val="12"/>
        <rFont val="宋体"/>
        <charset val="134"/>
      </rPr>
      <t>KW x overall efficiency@P max / Pmax x .166 x 10</t>
    </r>
    <r>
      <rPr>
        <vertAlign val="superscript"/>
        <sz val="14"/>
        <rFont val="Arial"/>
        <family val="2"/>
      </rPr>
      <t>-4</t>
    </r>
  </si>
  <si>
    <t>容积效率</t>
  </si>
  <si>
    <t>HP x overall efficiency @ PSI / PSI x 0.000583</t>
  </si>
  <si>
    <t>泵和电机</t>
  </si>
  <si>
    <t>系统流量</t>
  </si>
  <si>
    <t>系统压力</t>
  </si>
  <si>
    <t>电机转速</t>
  </si>
  <si>
    <t>电机功率</t>
  </si>
  <si>
    <t>泵排量</t>
  </si>
  <si>
    <t>钢丝卷筒</t>
  </si>
  <si>
    <t>卷筒钢丝绳拉力</t>
  </si>
  <si>
    <t>Ton</t>
  </si>
  <si>
    <t>卷筒直径</t>
  </si>
  <si>
    <t>mm</t>
  </si>
  <si>
    <t>卷筒钢丝绳层数</t>
  </si>
  <si>
    <t>卷筒钢丝绳直径</t>
  </si>
  <si>
    <t>卷筒钢丝绳速（第一层钢丝）</t>
  </si>
  <si>
    <t>m/min</t>
  </si>
  <si>
    <t>→</t>
  </si>
  <si>
    <t>　</t>
  </si>
  <si>
    <t>∴卷筒转速</t>
  </si>
  <si>
    <t>卷筒最大扭矩（最外钢丝）</t>
  </si>
  <si>
    <t>卷筒最小扭矩（第一层钢丝）</t>
  </si>
  <si>
    <t>卷筒钢丝最大绳速（最外层钢丝）</t>
  </si>
  <si>
    <t>卷筒钢丝最小绳速（第一层钢丝）</t>
  </si>
  <si>
    <t>缸径(mm)</t>
  </si>
  <si>
    <t>杆径(mm)</t>
  </si>
  <si>
    <t>Q235</t>
  </si>
  <si>
    <t>活塞杆直径(mm)</t>
  </si>
  <si>
    <t>安全系数</t>
  </si>
  <si>
    <t>圆锥滚子轴承参数表</t>
  </si>
  <si>
    <t>轴承类型</t>
  </si>
  <si>
    <t>国内新型号</t>
  </si>
  <si>
    <t>内径</t>
  </si>
  <si>
    <t>外径</t>
  </si>
  <si>
    <t>宽度</t>
  </si>
  <si>
    <t>Cr</t>
  </si>
  <si>
    <t>Cor</t>
  </si>
  <si>
    <t>脂润滑转速</t>
  </si>
  <si>
    <t>油润滑转速</t>
  </si>
  <si>
    <t>重量</t>
  </si>
  <si>
    <t>国内旧型号</t>
  </si>
  <si>
    <t>(mm)</t>
  </si>
  <si>
    <t>(kN)</t>
  </si>
  <si>
    <t>(r/min)</t>
  </si>
  <si>
    <t>(kg)</t>
  </si>
  <si>
    <t>7202E</t>
  </si>
  <si>
    <t>—</t>
  </si>
  <si>
    <t>7244E</t>
  </si>
  <si>
    <t>7340E</t>
  </si>
  <si>
    <t>7352E</t>
  </si>
  <si>
    <t>7302E</t>
  </si>
  <si>
    <t>7203E</t>
  </si>
  <si>
    <t>7303E</t>
  </si>
  <si>
    <t>7603E</t>
  </si>
  <si>
    <t>2007904E</t>
  </si>
  <si>
    <t>2007104E</t>
  </si>
  <si>
    <t>7204E</t>
  </si>
  <si>
    <t>7304E</t>
  </si>
  <si>
    <t>7604E</t>
  </si>
  <si>
    <t>329/22</t>
  </si>
  <si>
    <t>-</t>
  </si>
  <si>
    <t>320/22</t>
  </si>
  <si>
    <t>20071/22E</t>
  </si>
  <si>
    <t>2007905E</t>
  </si>
  <si>
    <t>2007105E</t>
  </si>
  <si>
    <t>3007105E</t>
  </si>
  <si>
    <t>7205E</t>
  </si>
  <si>
    <t>3007205E</t>
  </si>
  <si>
    <t>7305E</t>
  </si>
  <si>
    <t>27305E</t>
  </si>
  <si>
    <t>7605E</t>
  </si>
  <si>
    <t>329/28</t>
  </si>
  <si>
    <t>750D</t>
  </si>
  <si>
    <t>320/28</t>
  </si>
  <si>
    <t>20071/28E</t>
  </si>
  <si>
    <t>332/28</t>
  </si>
  <si>
    <t>30072/28E</t>
  </si>
  <si>
    <t>2007906E</t>
  </si>
  <si>
    <t>32006X2</t>
  </si>
  <si>
    <t>2007106X</t>
  </si>
  <si>
    <t>2007106E</t>
  </si>
  <si>
    <t>3007106E</t>
  </si>
  <si>
    <t>7206E</t>
  </si>
  <si>
    <t>7506E</t>
  </si>
  <si>
    <t>3007206E</t>
  </si>
  <si>
    <t>7306E</t>
  </si>
  <si>
    <t>27306E</t>
  </si>
  <si>
    <t>7606E</t>
  </si>
  <si>
    <t>329/32</t>
  </si>
  <si>
    <t>320/32</t>
  </si>
  <si>
    <t>20071/32E</t>
  </si>
  <si>
    <t>332/32</t>
  </si>
  <si>
    <t>30072/32E</t>
  </si>
  <si>
    <t>2007907E</t>
  </si>
  <si>
    <t>32007X2</t>
  </si>
  <si>
    <t>2007117E</t>
  </si>
  <si>
    <t>2007107E</t>
  </si>
  <si>
    <t>3007107E</t>
  </si>
  <si>
    <t>7207E</t>
  </si>
  <si>
    <t>7507E</t>
  </si>
  <si>
    <t>3007207E</t>
  </si>
  <si>
    <t>7307E</t>
  </si>
  <si>
    <t>27307E</t>
  </si>
  <si>
    <t>7607E</t>
  </si>
  <si>
    <t>32908X2</t>
  </si>
  <si>
    <t>2007908E</t>
  </si>
  <si>
    <t>32008X2</t>
  </si>
  <si>
    <t>2007108E</t>
  </si>
  <si>
    <t>3007108E</t>
  </si>
  <si>
    <t>3007708E</t>
  </si>
  <si>
    <t>7208E</t>
  </si>
  <si>
    <t>7508E</t>
  </si>
  <si>
    <t>3007208E</t>
  </si>
  <si>
    <t>7308E</t>
  </si>
  <si>
    <t>27308E</t>
  </si>
  <si>
    <t>7608E</t>
  </si>
  <si>
    <t>32909X2</t>
  </si>
  <si>
    <t>7007909E</t>
  </si>
  <si>
    <t>32009X2</t>
  </si>
  <si>
    <t>2007109X</t>
  </si>
  <si>
    <t>2007109E</t>
  </si>
  <si>
    <t>3007109E</t>
  </si>
  <si>
    <t>3007709E</t>
  </si>
  <si>
    <t>7209E</t>
  </si>
  <si>
    <t>7509E</t>
  </si>
  <si>
    <t>3007209E</t>
  </si>
  <si>
    <t>7309E</t>
  </si>
  <si>
    <t>27309E</t>
  </si>
  <si>
    <t>7609E</t>
  </si>
  <si>
    <t>32910X2</t>
  </si>
  <si>
    <t>2007910E</t>
  </si>
  <si>
    <t>32010X2</t>
  </si>
  <si>
    <t>2007110X</t>
  </si>
  <si>
    <t>2007110E</t>
  </si>
  <si>
    <t>3007110E</t>
  </si>
  <si>
    <t>3007710E</t>
  </si>
  <si>
    <t>7210E</t>
  </si>
  <si>
    <t>7510E</t>
  </si>
  <si>
    <t>3007210E</t>
  </si>
  <si>
    <t>7310E</t>
  </si>
  <si>
    <t>27310E</t>
  </si>
  <si>
    <t>7610E</t>
  </si>
  <si>
    <t>2007911E</t>
  </si>
  <si>
    <t>32011X2</t>
  </si>
  <si>
    <t>2007111E</t>
  </si>
  <si>
    <t>3007111E</t>
  </si>
  <si>
    <t>3007711E</t>
  </si>
  <si>
    <t>7211E</t>
  </si>
  <si>
    <t>7511E</t>
  </si>
  <si>
    <t>3007211E</t>
  </si>
  <si>
    <t>7311E</t>
  </si>
  <si>
    <t>27311E</t>
  </si>
  <si>
    <t>7611E</t>
  </si>
  <si>
    <t>32912X2</t>
  </si>
  <si>
    <t>2007912E</t>
  </si>
  <si>
    <t>32012X2</t>
  </si>
  <si>
    <t>2007112E</t>
  </si>
  <si>
    <t>3007112E</t>
  </si>
  <si>
    <t>3007712E</t>
  </si>
  <si>
    <t>7212E</t>
  </si>
  <si>
    <t>7512E</t>
  </si>
  <si>
    <t>3007212E</t>
  </si>
  <si>
    <t>7312E</t>
  </si>
  <si>
    <t>27312E</t>
  </si>
  <si>
    <t>7612E</t>
  </si>
  <si>
    <t>2007913E</t>
  </si>
  <si>
    <t>32013X2</t>
  </si>
  <si>
    <t>2007113E</t>
  </si>
  <si>
    <t>3007113E</t>
  </si>
  <si>
    <t>3007713E</t>
  </si>
  <si>
    <t>7213E</t>
  </si>
  <si>
    <t>7513E</t>
  </si>
  <si>
    <t>3007213E</t>
  </si>
  <si>
    <t>7313E</t>
  </si>
  <si>
    <t>27313E</t>
  </si>
  <si>
    <t>7613E</t>
  </si>
  <si>
    <t>32914X2</t>
  </si>
  <si>
    <t>2007914E</t>
  </si>
  <si>
    <t>32014X2</t>
  </si>
  <si>
    <t>2007114E</t>
  </si>
  <si>
    <t>3007114E</t>
  </si>
  <si>
    <t>3007714E</t>
  </si>
  <si>
    <t>7214E</t>
  </si>
  <si>
    <t>7514E</t>
  </si>
  <si>
    <t>3007214E</t>
  </si>
  <si>
    <t>7314E</t>
  </si>
  <si>
    <t>27314E</t>
  </si>
  <si>
    <t>7614E</t>
  </si>
  <si>
    <t>2007915E</t>
  </si>
  <si>
    <t>32015X2</t>
  </si>
  <si>
    <t>2007115E</t>
  </si>
  <si>
    <t>3007115E</t>
  </si>
  <si>
    <t>3007715E</t>
  </si>
  <si>
    <t>7215E</t>
  </si>
  <si>
    <t>7515E</t>
  </si>
  <si>
    <t>3007215E</t>
  </si>
  <si>
    <t>7315E</t>
  </si>
  <si>
    <t>27315E</t>
  </si>
  <si>
    <t>7615E</t>
  </si>
  <si>
    <t>2007916E</t>
  </si>
  <si>
    <t>32016X2</t>
  </si>
  <si>
    <t>2007116E</t>
  </si>
  <si>
    <t>3007116E</t>
  </si>
  <si>
    <t>3007716E</t>
  </si>
  <si>
    <t>7216E</t>
  </si>
  <si>
    <t>7516E</t>
  </si>
  <si>
    <t>3007216E</t>
  </si>
  <si>
    <t>7316E</t>
  </si>
  <si>
    <t>27316E</t>
  </si>
  <si>
    <t>7616E</t>
  </si>
  <si>
    <t>32917X2</t>
  </si>
  <si>
    <t>2007917E</t>
  </si>
  <si>
    <t>32017X2</t>
  </si>
  <si>
    <t>3007117E</t>
  </si>
  <si>
    <t>3007717E</t>
  </si>
  <si>
    <t>7217E</t>
  </si>
  <si>
    <t>7517E</t>
  </si>
  <si>
    <t>7317E</t>
  </si>
  <si>
    <t>27317E</t>
  </si>
  <si>
    <t>7617E</t>
  </si>
  <si>
    <t>32918X2</t>
  </si>
  <si>
    <t>2007918E</t>
  </si>
  <si>
    <t>32018X2</t>
  </si>
  <si>
    <t>2007118E</t>
  </si>
  <si>
    <t>3007118E</t>
  </si>
  <si>
    <t>3007718E</t>
  </si>
  <si>
    <t>7218E</t>
  </si>
  <si>
    <t>7518E</t>
  </si>
  <si>
    <t>3007218E</t>
  </si>
  <si>
    <t>7318E</t>
  </si>
  <si>
    <t>27318E</t>
  </si>
  <si>
    <t>7618E</t>
  </si>
  <si>
    <t>2007919E</t>
  </si>
  <si>
    <t>32019X2</t>
  </si>
  <si>
    <t>3007119E</t>
  </si>
  <si>
    <t>3007719E</t>
  </si>
  <si>
    <t>7219E</t>
  </si>
  <si>
    <t>7336E</t>
  </si>
  <si>
    <t>7519E</t>
  </si>
  <si>
    <t>3007219E</t>
  </si>
  <si>
    <t>7319E</t>
  </si>
  <si>
    <t>27319E</t>
  </si>
  <si>
    <t>7619E</t>
  </si>
  <si>
    <t>2007920E</t>
  </si>
  <si>
    <t>32020X2</t>
  </si>
  <si>
    <t>2007120E</t>
  </si>
  <si>
    <t>3007120E</t>
  </si>
  <si>
    <t>7220E</t>
  </si>
  <si>
    <t>7520E</t>
  </si>
  <si>
    <t>3007220E</t>
  </si>
  <si>
    <t>7320E</t>
  </si>
  <si>
    <t>27320E</t>
  </si>
  <si>
    <t>7620E</t>
  </si>
  <si>
    <t>2007921E</t>
  </si>
  <si>
    <t>32021X2</t>
  </si>
  <si>
    <t>2007121E</t>
  </si>
  <si>
    <t>3007121E</t>
  </si>
  <si>
    <t>3007721E</t>
  </si>
  <si>
    <t>7221E</t>
  </si>
  <si>
    <t>7521E</t>
  </si>
  <si>
    <t>3007221E</t>
  </si>
  <si>
    <t>7321E</t>
  </si>
  <si>
    <t>27321E</t>
  </si>
  <si>
    <t>7621E</t>
  </si>
  <si>
    <t>32922X2</t>
  </si>
  <si>
    <t>2007922E</t>
  </si>
  <si>
    <t>32022X2</t>
  </si>
  <si>
    <t>2007122E</t>
  </si>
  <si>
    <t>3007122E</t>
  </si>
  <si>
    <t>3007722E</t>
  </si>
  <si>
    <t>7222E</t>
  </si>
  <si>
    <t>7522E</t>
  </si>
  <si>
    <t>7322E</t>
  </si>
  <si>
    <t>27322E</t>
  </si>
  <si>
    <t>7622E</t>
  </si>
  <si>
    <t>2007924E</t>
  </si>
  <si>
    <t>32024X2</t>
  </si>
  <si>
    <t>2007124E</t>
  </si>
  <si>
    <t>3007124E</t>
  </si>
  <si>
    <t>3007724E</t>
  </si>
  <si>
    <t>7224E</t>
  </si>
  <si>
    <t>7524E</t>
  </si>
  <si>
    <t>7324E</t>
  </si>
  <si>
    <t>27324E</t>
  </si>
  <si>
    <t>7624E</t>
  </si>
  <si>
    <t>32926X2</t>
  </si>
  <si>
    <t>2007926E</t>
  </si>
  <si>
    <t>32026X2</t>
  </si>
  <si>
    <t>2007126E</t>
  </si>
  <si>
    <t>3007126E</t>
  </si>
  <si>
    <t>7226E</t>
  </si>
  <si>
    <t>7526E</t>
  </si>
  <si>
    <t>7326E</t>
  </si>
  <si>
    <t>27326E</t>
  </si>
  <si>
    <t>32928X2</t>
  </si>
  <si>
    <t>2007928E</t>
  </si>
  <si>
    <t>32028X2</t>
  </si>
  <si>
    <t>2007128E</t>
  </si>
  <si>
    <t>3007128E</t>
  </si>
  <si>
    <t>7228E</t>
  </si>
  <si>
    <t>7528E</t>
  </si>
  <si>
    <t>7328E</t>
  </si>
  <si>
    <t>27328E</t>
  </si>
  <si>
    <t>32930X2</t>
  </si>
  <si>
    <t>2007930E</t>
  </si>
  <si>
    <t>32030X2</t>
  </si>
  <si>
    <t>2007130E</t>
  </si>
  <si>
    <t>3007130E</t>
  </si>
  <si>
    <t>7230E</t>
  </si>
  <si>
    <t>7530E</t>
  </si>
  <si>
    <t>7330E</t>
  </si>
  <si>
    <t>27330E</t>
  </si>
  <si>
    <t>32932X2</t>
  </si>
  <si>
    <t>2007932E</t>
  </si>
  <si>
    <t>32032X2</t>
  </si>
  <si>
    <t>2007132E</t>
  </si>
  <si>
    <t>7232E</t>
  </si>
  <si>
    <t>7532E</t>
  </si>
  <si>
    <t>7332E</t>
  </si>
  <si>
    <t>32934X2</t>
  </si>
  <si>
    <t>2007934E</t>
  </si>
  <si>
    <t>32034X2</t>
  </si>
  <si>
    <t>2007134E</t>
  </si>
  <si>
    <t>7234E</t>
  </si>
  <si>
    <t>7534E</t>
  </si>
  <si>
    <t>7334E</t>
  </si>
  <si>
    <t>2007936E</t>
  </si>
  <si>
    <t>32036X2</t>
  </si>
  <si>
    <t>2007136E</t>
  </si>
  <si>
    <t>7236E</t>
  </si>
  <si>
    <t>7536E</t>
  </si>
  <si>
    <t>32938X2</t>
  </si>
  <si>
    <t>2007938E</t>
  </si>
  <si>
    <t>32038X2</t>
  </si>
  <si>
    <t>2007138E</t>
  </si>
  <si>
    <t>7238E</t>
  </si>
  <si>
    <t>7538E</t>
  </si>
  <si>
    <t>32940X2</t>
  </si>
  <si>
    <t>2007940E</t>
  </si>
  <si>
    <t>32040X2</t>
  </si>
  <si>
    <t>2007140E</t>
  </si>
  <si>
    <t>7240E</t>
  </si>
  <si>
    <t>7540E</t>
  </si>
  <si>
    <t>32944X2</t>
  </si>
  <si>
    <t>2007944E</t>
  </si>
  <si>
    <t>32044X2</t>
  </si>
  <si>
    <t>2007144E</t>
  </si>
  <si>
    <t>32948X2</t>
  </si>
  <si>
    <t>2007948E</t>
  </si>
  <si>
    <t>32048X2</t>
  </si>
  <si>
    <t>2007148E</t>
  </si>
  <si>
    <t>32952X2</t>
  </si>
  <si>
    <t>2007952E</t>
  </si>
  <si>
    <t>32052X2</t>
  </si>
  <si>
    <t>2007152E</t>
  </si>
  <si>
    <t>32056X2</t>
  </si>
  <si>
    <t>2007156E</t>
  </si>
  <si>
    <t>32960X2</t>
  </si>
  <si>
    <t>2007960E</t>
  </si>
  <si>
    <t>32060X2</t>
  </si>
  <si>
    <t>2007160E</t>
  </si>
  <si>
    <t>32964X2</t>
  </si>
  <si>
    <t>2007964E</t>
  </si>
  <si>
    <t>32064X2</t>
  </si>
  <si>
    <t>2007164E</t>
  </si>
  <si>
    <t>32968X2</t>
  </si>
  <si>
    <t>2007968E</t>
  </si>
  <si>
    <t>32972X2</t>
  </si>
  <si>
    <t>2007972E</t>
  </si>
  <si>
    <t>3007720E</t>
  </si>
  <si>
    <t>31038X2</t>
  </si>
  <si>
    <t>31068X2</t>
  </si>
  <si>
    <t>31080X2</t>
  </si>
  <si>
    <t>31084X2</t>
  </si>
  <si>
    <t>31088X2</t>
  </si>
  <si>
    <t>310/500X2</t>
  </si>
  <si>
    <t>71/500</t>
  </si>
  <si>
    <t>310/560X2</t>
  </si>
  <si>
    <t>71/560</t>
  </si>
  <si>
    <t>310/600X2</t>
  </si>
  <si>
    <t>71/600</t>
  </si>
  <si>
    <t>310/630X2</t>
  </si>
  <si>
    <t>71/630</t>
  </si>
  <si>
    <t>310/900X2</t>
  </si>
  <si>
    <t>71/900</t>
  </si>
  <si>
    <t>30244/SO</t>
  </si>
  <si>
    <t>32216/YB2</t>
  </si>
  <si>
    <t>7544E</t>
  </si>
  <si>
    <t>7548E</t>
  </si>
  <si>
    <t>T5FD32/YB</t>
  </si>
  <si>
    <t>TSFD040</t>
  </si>
  <si>
    <t>32311/YB2</t>
  </si>
  <si>
    <t>7611EK</t>
  </si>
  <si>
    <t>T5F060</t>
  </si>
  <si>
    <t>T5CD065</t>
  </si>
  <si>
    <t>T5CD070</t>
  </si>
  <si>
    <t>T5GD075</t>
  </si>
  <si>
    <t>7626E</t>
  </si>
  <si>
    <t>7634E</t>
  </si>
  <si>
    <t>807813E</t>
  </si>
  <si>
    <t>T2ED070</t>
  </si>
  <si>
    <t>7816E</t>
  </si>
  <si>
    <t>32318X2</t>
  </si>
  <si>
    <t>32321X3</t>
  </si>
  <si>
    <t>7728E</t>
  </si>
  <si>
    <t>306/33.2</t>
  </si>
  <si>
    <t>306/520</t>
  </si>
  <si>
    <t>77/520</t>
  </si>
  <si>
    <t>30208X2</t>
  </si>
  <si>
    <t>30209X3</t>
  </si>
  <si>
    <t>33113X2</t>
  </si>
  <si>
    <t>33114X2</t>
  </si>
  <si>
    <t>7814E</t>
  </si>
  <si>
    <t>7815E</t>
  </si>
  <si>
    <t>33115/YB2</t>
  </si>
  <si>
    <t>33216X2</t>
  </si>
  <si>
    <t>7817E</t>
  </si>
  <si>
    <t>30328X2</t>
  </si>
  <si>
    <t>30658/RS</t>
  </si>
  <si>
    <t>32880X2</t>
  </si>
  <si>
    <t>306/760</t>
  </si>
  <si>
    <t>78/760</t>
  </si>
  <si>
    <t>306/47</t>
  </si>
  <si>
    <t>306/48</t>
  </si>
  <si>
    <t>462/453X</t>
  </si>
  <si>
    <t>3984/3920</t>
  </si>
  <si>
    <t>56245/56662</t>
  </si>
  <si>
    <t>48290/48220</t>
  </si>
  <si>
    <t>7925E</t>
  </si>
  <si>
    <t>48393/48320</t>
  </si>
  <si>
    <t>7927E</t>
  </si>
  <si>
    <t>HM252343/10</t>
  </si>
  <si>
    <t>27303E</t>
  </si>
  <si>
    <t>27332E</t>
  </si>
  <si>
    <t>30306X2B</t>
  </si>
  <si>
    <t>30309X2B</t>
  </si>
  <si>
    <t>27709E</t>
  </si>
  <si>
    <t>30611B</t>
  </si>
  <si>
    <t>27711E</t>
  </si>
  <si>
    <t>350620D1</t>
  </si>
  <si>
    <t>350626D1</t>
  </si>
  <si>
    <t>350622X2D1</t>
  </si>
  <si>
    <t>350636D1</t>
  </si>
  <si>
    <t>350641D1</t>
  </si>
  <si>
    <t>350645D1</t>
  </si>
  <si>
    <t>350646D1</t>
  </si>
  <si>
    <t>350652D1</t>
  </si>
  <si>
    <t>350668D1</t>
  </si>
  <si>
    <t>350672D1</t>
  </si>
  <si>
    <t>350680D1</t>
  </si>
  <si>
    <t>350684X2D1</t>
  </si>
  <si>
    <t>350660D1</t>
  </si>
  <si>
    <t>LM241149NW/LM241110D</t>
  </si>
  <si>
    <t>32212R</t>
  </si>
  <si>
    <t>32215R</t>
  </si>
  <si>
    <t>32218R</t>
  </si>
  <si>
    <t>33114X2R</t>
  </si>
  <si>
    <t>30628R</t>
  </si>
  <si>
    <t>306/6223RM</t>
  </si>
  <si>
    <t>381072/C9</t>
  </si>
  <si>
    <t>77172U</t>
  </si>
  <si>
    <t>381096/C9</t>
  </si>
  <si>
    <t>77196U</t>
  </si>
  <si>
    <t>3810/500</t>
  </si>
  <si>
    <t>771/500</t>
  </si>
  <si>
    <t>3810/530</t>
  </si>
  <si>
    <t>771/530</t>
  </si>
  <si>
    <t>3810/600</t>
  </si>
  <si>
    <t>771/600</t>
  </si>
  <si>
    <t>3810/630</t>
  </si>
  <si>
    <t>771/630</t>
  </si>
  <si>
    <t>3810/710</t>
  </si>
  <si>
    <t>771/710</t>
  </si>
  <si>
    <t>381030X2</t>
  </si>
  <si>
    <t>381036X2</t>
  </si>
  <si>
    <t>381050/YB2</t>
  </si>
  <si>
    <t>381052X2</t>
  </si>
  <si>
    <t>381056X2</t>
  </si>
  <si>
    <t>381056/S1</t>
  </si>
  <si>
    <t>381060X2</t>
  </si>
  <si>
    <t>381088X2</t>
  </si>
  <si>
    <t>3811/560X2</t>
  </si>
  <si>
    <t>3811/660X2</t>
  </si>
  <si>
    <t>3806/650</t>
  </si>
  <si>
    <t>777/650C</t>
  </si>
  <si>
    <t>3806/650/C9</t>
  </si>
  <si>
    <t>777/650U</t>
  </si>
  <si>
    <t>3806/660</t>
  </si>
  <si>
    <t>777/660</t>
  </si>
  <si>
    <t>3806/750</t>
  </si>
  <si>
    <t>777/750</t>
  </si>
  <si>
    <t>380284X2</t>
  </si>
  <si>
    <t>380692/C9</t>
  </si>
  <si>
    <t>77892U</t>
  </si>
  <si>
    <t>48680DW/48620/48620D</t>
  </si>
  <si>
    <t>LM272248DW/LM272210/272210D</t>
  </si>
  <si>
    <t>R331978/L3319781/1331978-2</t>
  </si>
  <si>
    <t>3819/600X2</t>
  </si>
  <si>
    <t>779/600</t>
  </si>
  <si>
    <t>97192K</t>
  </si>
  <si>
    <t>351/500</t>
  </si>
  <si>
    <t>351/560</t>
  </si>
  <si>
    <t>351/600</t>
  </si>
  <si>
    <t>350210X2</t>
  </si>
  <si>
    <t>97210E</t>
  </si>
  <si>
    <t>350222X2</t>
  </si>
  <si>
    <t>97222E</t>
  </si>
  <si>
    <t>97512E</t>
  </si>
  <si>
    <t>97513E</t>
  </si>
  <si>
    <t>97514E</t>
  </si>
  <si>
    <t>97515E</t>
  </si>
  <si>
    <t>97516E</t>
  </si>
  <si>
    <t>97517E</t>
  </si>
  <si>
    <t>97518E</t>
  </si>
  <si>
    <t>97520E</t>
  </si>
  <si>
    <t>352220/YA</t>
  </si>
  <si>
    <t>352221/YA</t>
  </si>
  <si>
    <t>97524E</t>
  </si>
  <si>
    <t>97526E</t>
  </si>
  <si>
    <t>97528E</t>
  </si>
  <si>
    <t>97530E</t>
  </si>
  <si>
    <t>97532E</t>
  </si>
  <si>
    <t>97536K</t>
  </si>
  <si>
    <t>97540E</t>
  </si>
  <si>
    <t>350630/SO</t>
  </si>
  <si>
    <t>352960/X2-2</t>
  </si>
  <si>
    <t>3506/520</t>
  </si>
  <si>
    <t>977/520</t>
  </si>
  <si>
    <t>3510/710X2</t>
  </si>
  <si>
    <t>977/710</t>
  </si>
  <si>
    <t>306/720</t>
  </si>
  <si>
    <t>352014X2</t>
  </si>
  <si>
    <t>352220X2-2</t>
  </si>
  <si>
    <t>352222X2</t>
  </si>
  <si>
    <t>97522EK</t>
  </si>
  <si>
    <t>350626/C9</t>
  </si>
  <si>
    <t>97826U</t>
  </si>
  <si>
    <t>351072X2</t>
  </si>
  <si>
    <t>35108X2</t>
  </si>
  <si>
    <t>3529/1600X2</t>
  </si>
  <si>
    <t>HM236849/HM256810D</t>
  </si>
  <si>
    <t>EE181453/182351D</t>
  </si>
  <si>
    <t>3506/381</t>
  </si>
  <si>
    <t>3706/305.079</t>
  </si>
  <si>
    <t>187761K</t>
  </si>
  <si>
    <t>371180X2B/HCC9</t>
  </si>
  <si>
    <t>187780SU</t>
  </si>
  <si>
    <t>352220X2-3</t>
  </si>
  <si>
    <t>352226X2-3</t>
  </si>
  <si>
    <t>352216X2R/P4</t>
  </si>
  <si>
    <t>R32304</t>
  </si>
  <si>
    <t>LR306/33.02</t>
  </si>
  <si>
    <t>LR306/40.62</t>
  </si>
  <si>
    <t>LR306/46.673</t>
  </si>
  <si>
    <t>31160X2</t>
  </si>
  <si>
    <t>31856X2/96</t>
  </si>
  <si>
    <t>31976X2</t>
  </si>
  <si>
    <t>31984X2</t>
  </si>
  <si>
    <t>31992X2</t>
  </si>
  <si>
    <t>31996X2</t>
  </si>
  <si>
    <t>319/530X2</t>
  </si>
  <si>
    <t>10079/530</t>
  </si>
  <si>
    <t>319/710X2</t>
  </si>
  <si>
    <t>10079/710</t>
  </si>
  <si>
    <t>319/800X2</t>
  </si>
  <si>
    <t>10079/800</t>
  </si>
  <si>
    <t>319/900X2</t>
  </si>
  <si>
    <t>10079/900</t>
  </si>
  <si>
    <t>319/950X2</t>
  </si>
  <si>
    <t>10079/950</t>
  </si>
  <si>
    <t>381160/C2</t>
  </si>
  <si>
    <t>2G1077760</t>
  </si>
  <si>
    <t>381168/C2</t>
  </si>
  <si>
    <t>2G1077768</t>
  </si>
  <si>
    <t>3811/530</t>
  </si>
  <si>
    <t>10777/530</t>
  </si>
  <si>
    <t>3811/600</t>
  </si>
  <si>
    <t>10777/600</t>
  </si>
  <si>
    <t>3811/630</t>
  </si>
  <si>
    <t>10777/630</t>
  </si>
  <si>
    <t>3811/710</t>
  </si>
  <si>
    <t>10777/710</t>
  </si>
  <si>
    <t>3811/750</t>
  </si>
  <si>
    <t>10777/750</t>
  </si>
  <si>
    <t>3819/560</t>
  </si>
  <si>
    <t>10779/560</t>
  </si>
  <si>
    <t>3819/600</t>
  </si>
  <si>
    <t>10779/600</t>
  </si>
  <si>
    <t>3819/630</t>
  </si>
  <si>
    <t>10779/630</t>
  </si>
  <si>
    <t>3819/670</t>
  </si>
  <si>
    <t>10779/670</t>
  </si>
  <si>
    <t>3519/500</t>
  </si>
  <si>
    <t>10979/500</t>
  </si>
  <si>
    <t>3519/530</t>
  </si>
  <si>
    <t>10979/530</t>
  </si>
  <si>
    <t>3519/560</t>
  </si>
  <si>
    <t>10979/560</t>
  </si>
  <si>
    <t>3519/600</t>
  </si>
  <si>
    <t>10979/600</t>
  </si>
  <si>
    <t>3519/630</t>
  </si>
  <si>
    <t>10979/630</t>
  </si>
  <si>
    <t>3519/670</t>
  </si>
  <si>
    <t>10979/670</t>
  </si>
  <si>
    <t>3519/710</t>
  </si>
  <si>
    <t>10979/710</t>
  </si>
  <si>
    <t>3519/750</t>
  </si>
  <si>
    <t>10979/750</t>
  </si>
  <si>
    <t>3519/800</t>
  </si>
  <si>
    <t>10979/800</t>
  </si>
  <si>
    <t>3519/850</t>
  </si>
  <si>
    <t>10979/850</t>
  </si>
  <si>
    <t>3519/900</t>
  </si>
  <si>
    <t>10979/900</t>
  </si>
  <si>
    <t>3519/950</t>
  </si>
  <si>
    <t>10979/950</t>
  </si>
  <si>
    <t>3519/1120</t>
  </si>
  <si>
    <t>10979/1120</t>
  </si>
  <si>
    <t>2007119E</t>
  </si>
  <si>
    <t>32020/DF</t>
  </si>
  <si>
    <t>32022/DF</t>
  </si>
  <si>
    <t>352930X2D</t>
  </si>
  <si>
    <t>382034/C2</t>
  </si>
  <si>
    <t>2G2077134</t>
  </si>
  <si>
    <t>2077148E</t>
  </si>
  <si>
    <t>2077160E</t>
  </si>
  <si>
    <t>2077164E</t>
  </si>
  <si>
    <t>3820/950</t>
  </si>
  <si>
    <t>20771/950</t>
  </si>
  <si>
    <t>3820/1060</t>
  </si>
  <si>
    <t>20771/1060</t>
  </si>
  <si>
    <t>2097126E</t>
  </si>
  <si>
    <t>2097128E</t>
  </si>
  <si>
    <t>2097132E</t>
  </si>
  <si>
    <t>2097134E</t>
  </si>
  <si>
    <t>2097136E</t>
  </si>
  <si>
    <t>2097138E</t>
  </si>
  <si>
    <t>2097140E</t>
  </si>
  <si>
    <t>2097144E</t>
  </si>
  <si>
    <t>2097148E</t>
  </si>
  <si>
    <t>2097156E</t>
  </si>
  <si>
    <t>2097160E</t>
  </si>
  <si>
    <t>2097164E</t>
  </si>
  <si>
    <t>52952/YA</t>
  </si>
  <si>
    <t>2097964E</t>
  </si>
  <si>
    <t>2097968E</t>
  </si>
  <si>
    <t>2097972E</t>
  </si>
  <si>
    <t>3007217E</t>
  </si>
  <si>
    <t>02474/02420</t>
  </si>
  <si>
    <t>33281/33462</t>
  </si>
  <si>
    <t>33275/33462</t>
  </si>
  <si>
    <t>33262/33462</t>
  </si>
  <si>
    <t>33218X2</t>
  </si>
  <si>
    <t>33215X2</t>
  </si>
  <si>
    <t>7815KE</t>
  </si>
  <si>
    <t>33213/YB2</t>
  </si>
  <si>
    <t>33118X2</t>
  </si>
  <si>
    <t>33118/DF</t>
  </si>
  <si>
    <t>33116X2B</t>
  </si>
  <si>
    <t>27716E</t>
  </si>
  <si>
    <t>33116X2</t>
  </si>
  <si>
    <t>7716E</t>
  </si>
  <si>
    <t>33114X2B</t>
  </si>
  <si>
    <t>33113X2/YB</t>
  </si>
  <si>
    <t>7813Y</t>
  </si>
  <si>
    <t>33113X2/YA</t>
  </si>
  <si>
    <t>7813KE</t>
  </si>
  <si>
    <t>33018/DF</t>
  </si>
  <si>
    <t>32956X2/YB2</t>
  </si>
  <si>
    <t>2007956K</t>
  </si>
  <si>
    <t>32956X2</t>
  </si>
  <si>
    <t>32952X2/YB2</t>
  </si>
  <si>
    <t>32948/YB2</t>
  </si>
  <si>
    <t>32940X2/YA</t>
  </si>
  <si>
    <t>2007940K</t>
  </si>
  <si>
    <t>329/500X2</t>
  </si>
  <si>
    <t>20079/500</t>
  </si>
  <si>
    <t>7556E</t>
  </si>
  <si>
    <t>32244X2</t>
  </si>
  <si>
    <t>33281/33472</t>
  </si>
  <si>
    <t>32226X2</t>
  </si>
  <si>
    <t>32220X2</t>
  </si>
  <si>
    <t>32218X2</t>
  </si>
  <si>
    <t>32218/Z</t>
  </si>
  <si>
    <t>7518EZ</t>
  </si>
  <si>
    <t>32216X2/HV</t>
  </si>
  <si>
    <t>7516X</t>
  </si>
  <si>
    <t>32216X2</t>
  </si>
  <si>
    <t>32215X2</t>
  </si>
  <si>
    <t>32088X2/YA</t>
  </si>
  <si>
    <t>32088X2</t>
  </si>
  <si>
    <t>32064/YA</t>
  </si>
  <si>
    <t>32060X2/C4</t>
  </si>
  <si>
    <t>4G2007160</t>
  </si>
  <si>
    <t>32048/YA</t>
  </si>
  <si>
    <t>32048/HC</t>
  </si>
  <si>
    <t>2007148SY</t>
  </si>
  <si>
    <t>32044X2/C2</t>
  </si>
  <si>
    <t>2G2007144</t>
  </si>
  <si>
    <t>32044/YA</t>
  </si>
  <si>
    <t>32040/YA</t>
  </si>
  <si>
    <t>32038X2/HV</t>
  </si>
  <si>
    <t>2007138N</t>
  </si>
  <si>
    <t>32026/Z1</t>
  </si>
  <si>
    <t>2007126EZ1</t>
  </si>
  <si>
    <t>32210X2</t>
  </si>
  <si>
    <t>32205B</t>
  </si>
  <si>
    <t>7505EK</t>
  </si>
  <si>
    <t>32021/YA</t>
  </si>
  <si>
    <t>2007121EK</t>
  </si>
  <si>
    <t>32010/YB2</t>
  </si>
  <si>
    <t>2007110EK</t>
  </si>
  <si>
    <t>32007X1/YB</t>
  </si>
  <si>
    <t>7707EY</t>
  </si>
  <si>
    <t>32007X1</t>
  </si>
  <si>
    <t>7707E</t>
  </si>
  <si>
    <t>319/560X2</t>
  </si>
  <si>
    <t>10079/560</t>
  </si>
  <si>
    <t>318/850X2</t>
  </si>
  <si>
    <t>10078/850</t>
  </si>
  <si>
    <t>30307B</t>
  </si>
  <si>
    <t>30306B/HC3YB2</t>
  </si>
  <si>
    <t>7256E</t>
  </si>
  <si>
    <t>7252E</t>
  </si>
  <si>
    <t>7248E</t>
  </si>
  <si>
    <t>30244/S0</t>
  </si>
  <si>
    <t>7244ET</t>
  </si>
  <si>
    <t>30230X2</t>
  </si>
  <si>
    <t>7230K</t>
  </si>
  <si>
    <t>30226X2</t>
  </si>
  <si>
    <t>30220X2/HV</t>
  </si>
  <si>
    <t>7220X</t>
  </si>
  <si>
    <t>30219X2/HV</t>
  </si>
  <si>
    <t>7219X</t>
  </si>
  <si>
    <t>30218X2</t>
  </si>
  <si>
    <t>30215/S0</t>
  </si>
  <si>
    <t>7215ET</t>
  </si>
  <si>
    <t>30214/T</t>
  </si>
  <si>
    <t>7214M</t>
  </si>
  <si>
    <t>32016X2/HV</t>
  </si>
  <si>
    <t>E2007116T</t>
  </si>
  <si>
    <t>32015X2/HV</t>
  </si>
  <si>
    <t>2007115X</t>
  </si>
  <si>
    <t>32012X2/HVS0</t>
  </si>
  <si>
    <t>2007112XT</t>
  </si>
  <si>
    <t>30209/HP</t>
  </si>
  <si>
    <t>7209PN</t>
  </si>
  <si>
    <t>30207/YB2</t>
  </si>
  <si>
    <t>302/32</t>
  </si>
  <si>
    <t>72/32</t>
  </si>
  <si>
    <t>TR101204</t>
  </si>
  <si>
    <t>T25590/25523</t>
  </si>
  <si>
    <t>T25590/25520</t>
  </si>
  <si>
    <t>T25580/25520</t>
  </si>
  <si>
    <t>T5FD032/YB</t>
  </si>
  <si>
    <t>76/32BK</t>
  </si>
  <si>
    <t>T5FD032</t>
  </si>
  <si>
    <t>T5FB040</t>
  </si>
  <si>
    <t>T5FB030</t>
  </si>
  <si>
    <t>T2ED045</t>
  </si>
  <si>
    <t>R30206</t>
  </si>
  <si>
    <t>877206E</t>
  </si>
  <si>
    <t>R30204</t>
  </si>
  <si>
    <t>877204E</t>
  </si>
  <si>
    <t>NA95500/95927CD</t>
  </si>
  <si>
    <t>97925TK</t>
  </si>
  <si>
    <t>NA48685SW/48620D</t>
  </si>
  <si>
    <t>NA329120/329173D</t>
  </si>
  <si>
    <t>3-769</t>
  </si>
  <si>
    <t>M88048/M88010</t>
  </si>
  <si>
    <t>M86649A/M86610A</t>
  </si>
  <si>
    <t>M86649/M86610</t>
  </si>
  <si>
    <t>M86648A/M86610</t>
  </si>
  <si>
    <t>M86647/M86610</t>
  </si>
  <si>
    <t>M86643/M86610</t>
  </si>
  <si>
    <t>M84249/M84210</t>
  </si>
  <si>
    <t>M802048/M802011</t>
  </si>
  <si>
    <t>M349549/M349510</t>
  </si>
  <si>
    <t>M348449/M348410</t>
  </si>
  <si>
    <t>M280049D/M280010</t>
  </si>
  <si>
    <t>879/595</t>
  </si>
  <si>
    <t>M278749D/M278710</t>
  </si>
  <si>
    <t>3-754</t>
  </si>
  <si>
    <t>M270749/M270710</t>
  </si>
  <si>
    <t>M267849/M268710</t>
  </si>
  <si>
    <t>M255449/M255410</t>
  </si>
  <si>
    <t>M252349DW/252310</t>
  </si>
  <si>
    <t>M252349D/M252310</t>
  </si>
  <si>
    <t>M252349/M252310</t>
  </si>
  <si>
    <t>M249749/M249710</t>
  </si>
  <si>
    <t>M244249/M244210</t>
  </si>
  <si>
    <t>M241547/M241510</t>
  </si>
  <si>
    <t>M238840/M238810D</t>
  </si>
  <si>
    <t>M236849/M236810</t>
  </si>
  <si>
    <t>M236848/M236810</t>
  </si>
  <si>
    <t>M224749/M224710</t>
  </si>
  <si>
    <t>M201047/M201011</t>
  </si>
  <si>
    <t>M201047/M102011</t>
  </si>
  <si>
    <t>M12649/M12610</t>
  </si>
  <si>
    <t>M12648/M12610</t>
  </si>
  <si>
    <t>LY-3004/P2</t>
  </si>
  <si>
    <t>B3-709(B867710)</t>
  </si>
  <si>
    <t>LY-3003/P2</t>
  </si>
  <si>
    <t>B3-708(B967710)</t>
  </si>
  <si>
    <t>LY-3001/P2</t>
  </si>
  <si>
    <t>B3-706(B867712)</t>
  </si>
  <si>
    <t>LR306/56.62</t>
  </si>
  <si>
    <t>LM78349/LM78310</t>
  </si>
  <si>
    <t>LM78349/LM48510A</t>
  </si>
  <si>
    <t>LM772748/772710</t>
  </si>
  <si>
    <t>LM757049/LM757010</t>
  </si>
  <si>
    <t>LM742749/LM742714</t>
  </si>
  <si>
    <t>LM742745/LM742710</t>
  </si>
  <si>
    <t>LM739749/LM739710</t>
  </si>
  <si>
    <t>LM68149/LM68111</t>
  </si>
  <si>
    <t>LM68149/LM68110</t>
  </si>
  <si>
    <t>LM67049A/LM67010</t>
  </si>
  <si>
    <t>LM67048/LM67010</t>
  </si>
  <si>
    <t>LM654649/LM654610</t>
  </si>
  <si>
    <t>LM607049A/LM607010</t>
  </si>
  <si>
    <t>LM607048/LM607010</t>
  </si>
  <si>
    <t>LM607045/LM607010</t>
  </si>
  <si>
    <t>LM603049/LM603014</t>
  </si>
  <si>
    <t>LM603049/LM603012</t>
  </si>
  <si>
    <t>LM603049/LM603011</t>
  </si>
  <si>
    <t>LM545849/LM545810</t>
  </si>
  <si>
    <t>LM522546/LM522510</t>
  </si>
  <si>
    <t>LM501349/LM501414</t>
  </si>
  <si>
    <t>LM501349/LM501314</t>
  </si>
  <si>
    <t>LM501349/LM501311</t>
  </si>
  <si>
    <t>LM501349/LM501310</t>
  </si>
  <si>
    <t>LM48549X/LM48510</t>
  </si>
  <si>
    <t>LM48548A/LM48510</t>
  </si>
  <si>
    <t>LM48548/LM48511A</t>
  </si>
  <si>
    <t>LM48548/LM48510A</t>
  </si>
  <si>
    <t>LM48548/LM48510</t>
  </si>
  <si>
    <t>LM451349A/LM451310</t>
  </si>
  <si>
    <t>LM451349/LM451310</t>
  </si>
  <si>
    <t>LM451345/LM451310</t>
  </si>
  <si>
    <t>LM377449/LM377410</t>
  </si>
  <si>
    <t>LM300849/LM300811</t>
  </si>
  <si>
    <t>LM29749/LM29711</t>
  </si>
  <si>
    <t>LM29749/LM29710</t>
  </si>
  <si>
    <t>LM29748/LM29748</t>
  </si>
  <si>
    <t>LM29748/LM29710</t>
  </si>
  <si>
    <t>LM272249/LM272210</t>
  </si>
  <si>
    <t>L476549/L476510</t>
  </si>
  <si>
    <t>L467549/L467510</t>
  </si>
  <si>
    <t>L45449/L45410</t>
  </si>
  <si>
    <t>L44649/L44610</t>
  </si>
  <si>
    <t>L44649/L44120</t>
  </si>
  <si>
    <t>L44643L/L44610</t>
  </si>
  <si>
    <t>L44643/L44610</t>
  </si>
  <si>
    <t>L44642/L44610</t>
  </si>
  <si>
    <t>L44640/L44610</t>
  </si>
  <si>
    <t>L432348/L432310</t>
  </si>
  <si>
    <t>L357049NW/L3570100</t>
  </si>
  <si>
    <t>37961K</t>
  </si>
  <si>
    <t>L357049/L357010D</t>
  </si>
  <si>
    <t>2G37961K</t>
  </si>
  <si>
    <t>L357049/L357010</t>
  </si>
  <si>
    <t>L225849/L225818</t>
  </si>
  <si>
    <t>L225842/L225810</t>
  </si>
  <si>
    <t>L183449/L183410</t>
  </si>
  <si>
    <t>L183448/L183410</t>
  </si>
  <si>
    <t>L163149/L163110D</t>
  </si>
  <si>
    <t>L163149/L163110</t>
  </si>
  <si>
    <t>KM88048/KM88010</t>
  </si>
  <si>
    <t>KM802048/KM802011</t>
  </si>
  <si>
    <t>KM349547/KM349510</t>
  </si>
  <si>
    <t>KM348449/KM348410</t>
  </si>
  <si>
    <t>KM249747/KM249710</t>
  </si>
  <si>
    <t>KLM501349/KLM501314</t>
  </si>
  <si>
    <t>KLM48548A/KLM48511A</t>
  </si>
  <si>
    <t>KLM300849/KLM300811</t>
  </si>
  <si>
    <t>KLM300849/KLM30081</t>
  </si>
  <si>
    <t>KLM29749/KLM29710</t>
  </si>
  <si>
    <t>KJM911242/KHM911210</t>
  </si>
  <si>
    <t>KJM822049/KJM822010</t>
  </si>
  <si>
    <t>KJM734449/KJM734410</t>
  </si>
  <si>
    <t>KJM716649/KJM716610</t>
  </si>
  <si>
    <t>KJM714249/KJM714210-3</t>
  </si>
  <si>
    <t>LM249747NW/LM2497100</t>
  </si>
  <si>
    <t>37951K</t>
  </si>
  <si>
    <t>LM241149/LM241110</t>
  </si>
  <si>
    <t>LM201047/LM201011</t>
  </si>
  <si>
    <t>LM12749/LM12711</t>
  </si>
  <si>
    <t>LM12749/LM12710</t>
  </si>
  <si>
    <t>LM12748/LM12710</t>
  </si>
  <si>
    <t>LM11949/LM11910</t>
  </si>
  <si>
    <t>LM11749/LM11710</t>
  </si>
  <si>
    <t>LM10497A/LM104911</t>
  </si>
  <si>
    <t>LM104949E/LM104911</t>
  </si>
  <si>
    <t>LM104949/LM104912</t>
  </si>
  <si>
    <t>LM104949/LM104911A</t>
  </si>
  <si>
    <t>LM104949/LM104911</t>
  </si>
  <si>
    <t>LM104949/LM104910</t>
  </si>
  <si>
    <t>LM104949/JLM104910</t>
  </si>
  <si>
    <t>LM102949/LM102911</t>
  </si>
  <si>
    <t>LM102949/LM102910</t>
  </si>
  <si>
    <t>LL778149/LL778110</t>
  </si>
  <si>
    <t>LL687949/LL687910</t>
  </si>
  <si>
    <t>LL225749/LL225710</t>
  </si>
  <si>
    <t>LL217849/LL217810</t>
  </si>
  <si>
    <t>L865547/L865512</t>
  </si>
  <si>
    <t>L860049/L860010</t>
  </si>
  <si>
    <t>L853049/L853010</t>
  </si>
  <si>
    <t>L68149/L68111</t>
  </si>
  <si>
    <t>L68149/L68110</t>
  </si>
  <si>
    <t>L610549/L610510</t>
  </si>
  <si>
    <t>L610515/L610510</t>
  </si>
  <si>
    <t>L521949/L521910</t>
  </si>
  <si>
    <t>KJM714249/KJM714210</t>
  </si>
  <si>
    <t>KJM511946/KJM511910</t>
  </si>
  <si>
    <t>KJLM104948/KJLM104910</t>
  </si>
  <si>
    <t>KJL848849/KJL848811</t>
  </si>
  <si>
    <t>KJHM534149/KJHM534110</t>
  </si>
  <si>
    <t>KJH211749/KJH211710</t>
  </si>
  <si>
    <t>KHM926740/KHM926710</t>
  </si>
  <si>
    <t>KHM911242/KHM911210</t>
  </si>
  <si>
    <t>KHM237545/KHM237510</t>
  </si>
  <si>
    <t>KHM237542/KHM237510</t>
  </si>
  <si>
    <t>KHH437549/KHH437510</t>
  </si>
  <si>
    <t>KH242649/KH242610</t>
  </si>
  <si>
    <t>HM926747/HM926710</t>
  </si>
  <si>
    <t>HM911245/HM911210</t>
  </si>
  <si>
    <t>HM903249A/HM903210</t>
  </si>
  <si>
    <t>HM903249/HM903210</t>
  </si>
  <si>
    <t>HM89449/HM89411</t>
  </si>
  <si>
    <t>HM89449/HM803110</t>
  </si>
  <si>
    <t>HM89446/HM89446</t>
  </si>
  <si>
    <t>HM89446/HM89410</t>
  </si>
  <si>
    <t>HM89444/HM89410</t>
  </si>
  <si>
    <t>HM89443/HM89410</t>
  </si>
  <si>
    <t>HM89440/HM89410</t>
  </si>
  <si>
    <t>HM88649/HM88610</t>
  </si>
  <si>
    <t>HM88648A/HM903210</t>
  </si>
  <si>
    <t>HM88542/HM88510</t>
  </si>
  <si>
    <t>HM813849/HM813811</t>
  </si>
  <si>
    <t>HM813846/HM813811</t>
  </si>
  <si>
    <t>HM813843/HM813811</t>
  </si>
  <si>
    <t>HM813842/HM813811</t>
  </si>
  <si>
    <t>HM813841/HM813811</t>
  </si>
  <si>
    <t>HM807046/HM807010</t>
  </si>
  <si>
    <t>HM807040/HM807010</t>
  </si>
  <si>
    <t>HM803149/HM803112</t>
  </si>
  <si>
    <t>HM803149/HM803110</t>
  </si>
  <si>
    <t>HM803149/10</t>
  </si>
  <si>
    <t>HM803146/HM803110</t>
  </si>
  <si>
    <t>HM803145/HM803110</t>
  </si>
  <si>
    <t>HM801346X/HM801310</t>
  </si>
  <si>
    <t>HM617049/HM617010</t>
  </si>
  <si>
    <t>HM603049/HM603012</t>
  </si>
  <si>
    <t>HM518445/LM518410</t>
  </si>
  <si>
    <t>HM518445/HM518410</t>
  </si>
  <si>
    <t>HM516449/HM516410</t>
  </si>
  <si>
    <t>HM266449/HM266410</t>
  </si>
  <si>
    <t>HH923649/HH923610</t>
  </si>
  <si>
    <t>HH506348/HH506310</t>
  </si>
  <si>
    <t>HH249949/HH249910</t>
  </si>
  <si>
    <t>HH234048/HH234010</t>
  </si>
  <si>
    <t>HH224346/HH224310</t>
  </si>
  <si>
    <t>HH224340/HH224310</t>
  </si>
  <si>
    <t>HH224335/HH224310</t>
  </si>
  <si>
    <t>HH221449/HH221410</t>
  </si>
  <si>
    <t>HH221434/HH221410</t>
  </si>
  <si>
    <t>HH221430/HH221410</t>
  </si>
  <si>
    <t>H917840-90010</t>
  </si>
  <si>
    <t>H913849/H913810</t>
  </si>
  <si>
    <t>H913842/H913810</t>
  </si>
  <si>
    <t>H715343/H715311</t>
  </si>
  <si>
    <t>H715341/H715311</t>
  </si>
  <si>
    <t>H715340/H715311</t>
  </si>
  <si>
    <t>H715336/H715311</t>
  </si>
  <si>
    <t>H715334/H715310</t>
  </si>
  <si>
    <t>H715332/H715311</t>
  </si>
  <si>
    <t>H714345/H715311</t>
  </si>
  <si>
    <t>H414249/H414210</t>
  </si>
  <si>
    <t>H414245/H414210</t>
  </si>
  <si>
    <t>H414242/H414210</t>
  </si>
  <si>
    <t>H414235/H414210</t>
  </si>
  <si>
    <t>H247549/247510</t>
  </si>
  <si>
    <t>H247535/H247510</t>
  </si>
  <si>
    <t>H242649/H242610</t>
  </si>
  <si>
    <t>H239649/H239612</t>
  </si>
  <si>
    <t>H221647NA/K426864</t>
  </si>
  <si>
    <t>EE941205X/EE941950</t>
  </si>
  <si>
    <t>EE923095/EE923175</t>
  </si>
  <si>
    <t>EE911600/EE912400</t>
  </si>
  <si>
    <t>EE843220/EE843290</t>
  </si>
  <si>
    <t>EE822100/EE822175</t>
  </si>
  <si>
    <t>EE790120/EE790221</t>
  </si>
  <si>
    <t>EE790114/EE790221</t>
  </si>
  <si>
    <t>EE763330/EE763410</t>
  </si>
  <si>
    <t>EE755285/EE755360</t>
  </si>
  <si>
    <t>EE755280/EE755360</t>
  </si>
  <si>
    <t>EE752300/EE752380</t>
  </si>
  <si>
    <t>EE724120/EE724195</t>
  </si>
  <si>
    <t>EE722110/EE722185</t>
  </si>
  <si>
    <t>EE655270/EE655345</t>
  </si>
  <si>
    <t>EE649240/EE649310</t>
  </si>
  <si>
    <t>EE649239/EE649310</t>
  </si>
  <si>
    <t>EE640192/EE640260</t>
  </si>
  <si>
    <t>EE526132/EE526190</t>
  </si>
  <si>
    <t>EE430900/EE431575</t>
  </si>
  <si>
    <t>EE430888/EE431575</t>
  </si>
  <si>
    <t>EE420751/EE421437</t>
  </si>
  <si>
    <t>EE390095/EE390200</t>
  </si>
  <si>
    <t>EE350750/EE351687/P6</t>
  </si>
  <si>
    <t>EE333140/EE338197</t>
  </si>
  <si>
    <t>EE333137/EE333197</t>
  </si>
  <si>
    <t>EE328167/EE328269</t>
  </si>
  <si>
    <t>EE295950/EE295193</t>
  </si>
  <si>
    <t>EE295110/EE295193</t>
  </si>
  <si>
    <t>EE295102/EE295193</t>
  </si>
  <si>
    <t>EE291250/EE291750</t>
  </si>
  <si>
    <t>EE291201/EE291749</t>
  </si>
  <si>
    <t>3-736</t>
  </si>
  <si>
    <t>EE277455/EE277565</t>
  </si>
  <si>
    <t>EE275108/EE275155</t>
  </si>
  <si>
    <t>EE275105/EE275155</t>
  </si>
  <si>
    <t>EE275100/EE275155</t>
  </si>
  <si>
    <t>EE275095/EE275155</t>
  </si>
  <si>
    <t>EE244180/EE244235</t>
  </si>
  <si>
    <t>EE243196/EE243250</t>
  </si>
  <si>
    <t>EE243192/EE243250</t>
  </si>
  <si>
    <t>EE243190/EE243250</t>
  </si>
  <si>
    <t>EE241701/EE242375</t>
  </si>
  <si>
    <t>EE234160/EE234220</t>
  </si>
  <si>
    <t>EE234156/EE234215</t>
  </si>
  <si>
    <t>EE231462/EE232025</t>
  </si>
  <si>
    <t>EE221026/EE221575</t>
  </si>
  <si>
    <t>EE203137/EE203190</t>
  </si>
  <si>
    <t>EE170975/EE171450</t>
  </si>
  <si>
    <t>EE170950/EE171436</t>
  </si>
  <si>
    <t>EE168400/EE168500/P5</t>
  </si>
  <si>
    <t>D79/1016</t>
  </si>
  <si>
    <t>EE168400/EE168500</t>
  </si>
  <si>
    <t>EE161400/EE161850</t>
  </si>
  <si>
    <t>EE161363/EE161900</t>
  </si>
  <si>
    <t>EE161300/EE161850</t>
  </si>
  <si>
    <t>EE134102/EE134143</t>
  </si>
  <si>
    <t>EE132084/EE132125</t>
  </si>
  <si>
    <t>EE130902/EE131400</t>
  </si>
  <si>
    <t>EE130889/EE131400</t>
  </si>
  <si>
    <t>EE130851/EE131400</t>
  </si>
  <si>
    <t>EE128111/EE128160</t>
  </si>
  <si>
    <t>EE107060/EE107105</t>
  </si>
  <si>
    <t>88900/88126</t>
  </si>
  <si>
    <t>87750/87111</t>
  </si>
  <si>
    <t>87737/87111</t>
  </si>
  <si>
    <t>869/854</t>
  </si>
  <si>
    <t>86650/86100</t>
  </si>
  <si>
    <t>866/854</t>
  </si>
  <si>
    <t>864/854</t>
  </si>
  <si>
    <t>861/854D</t>
  </si>
  <si>
    <t>861/854</t>
  </si>
  <si>
    <t>8578/8520DC</t>
  </si>
  <si>
    <t>8578/8520</t>
  </si>
  <si>
    <t>8575/8520</t>
  </si>
  <si>
    <t>8573/8520</t>
  </si>
  <si>
    <t>857/854</t>
  </si>
  <si>
    <t>855/854B</t>
  </si>
  <si>
    <t>855/854</t>
  </si>
  <si>
    <t>850/832</t>
  </si>
  <si>
    <t>842/832</t>
  </si>
  <si>
    <t>841/832</t>
  </si>
  <si>
    <t>838/832</t>
  </si>
  <si>
    <t>82576/82950</t>
  </si>
  <si>
    <t>82562/82932D</t>
  </si>
  <si>
    <t>82550/82932D</t>
  </si>
  <si>
    <t>82550/82050</t>
  </si>
  <si>
    <t>813/832</t>
  </si>
  <si>
    <t>80385/80325</t>
  </si>
  <si>
    <t>802048/802011</t>
  </si>
  <si>
    <t>799/792</t>
  </si>
  <si>
    <t>795/792</t>
  </si>
  <si>
    <t>787/772</t>
  </si>
  <si>
    <t>786/772</t>
  </si>
  <si>
    <t>783/772</t>
  </si>
  <si>
    <t>78250/78551</t>
  </si>
  <si>
    <t>782/772</t>
  </si>
  <si>
    <t>780/772B</t>
  </si>
  <si>
    <t>780/772</t>
  </si>
  <si>
    <t>779/772</t>
  </si>
  <si>
    <t>778/772</t>
  </si>
  <si>
    <t>77375/77675</t>
  </si>
  <si>
    <t>77350/77675</t>
  </si>
  <si>
    <t>760/752</t>
  </si>
  <si>
    <t>758/752</t>
  </si>
  <si>
    <t>757/752</t>
  </si>
  <si>
    <t>756A/752</t>
  </si>
  <si>
    <t>755/752</t>
  </si>
  <si>
    <t>750/742</t>
  </si>
  <si>
    <t>749/742</t>
  </si>
  <si>
    <t>745S/742</t>
  </si>
  <si>
    <t>745A/742</t>
  </si>
  <si>
    <t>74550/74850</t>
  </si>
  <si>
    <t>74537/74850</t>
  </si>
  <si>
    <t>74500/74850</t>
  </si>
  <si>
    <t>744/742</t>
  </si>
  <si>
    <t>740/742</t>
  </si>
  <si>
    <t>72200/72487</t>
  </si>
  <si>
    <t>71455/71750</t>
  </si>
  <si>
    <t>71453/71750</t>
  </si>
  <si>
    <t>71450/71750</t>
  </si>
  <si>
    <t>71425/71750</t>
  </si>
  <si>
    <t>71412/71750</t>
  </si>
  <si>
    <t>687/672D</t>
  </si>
  <si>
    <t>687/672</t>
  </si>
  <si>
    <t>685/672</t>
  </si>
  <si>
    <t>68450/68712</t>
  </si>
  <si>
    <t>683/672</t>
  </si>
  <si>
    <t>681A/672</t>
  </si>
  <si>
    <t>67989/67920</t>
  </si>
  <si>
    <t>67985/67920</t>
  </si>
  <si>
    <t>67983/67920</t>
  </si>
  <si>
    <t>679/672</t>
  </si>
  <si>
    <t>67885/67820</t>
  </si>
  <si>
    <t>67884/67820</t>
  </si>
  <si>
    <t>67883CL4/67820CL4</t>
  </si>
  <si>
    <t>67790/67720</t>
  </si>
  <si>
    <t>67780/67720</t>
  </si>
  <si>
    <t>677/672</t>
  </si>
  <si>
    <t>JM822049/JM822010</t>
  </si>
  <si>
    <t>JM734449/JM734410</t>
  </si>
  <si>
    <t>JM716649/JM716610</t>
  </si>
  <si>
    <t>JM714249/JM714210</t>
  </si>
  <si>
    <t>JM515649/JM515610</t>
  </si>
  <si>
    <t>JM511946/JM511910</t>
  </si>
  <si>
    <t>JM511910/JM511946</t>
  </si>
  <si>
    <t>JM207049/JM207010</t>
  </si>
  <si>
    <t>JM205149/JM205110</t>
  </si>
  <si>
    <t>JLM813049/JLM813010</t>
  </si>
  <si>
    <t>JLM714249/JLM714210</t>
  </si>
  <si>
    <t>JLM714149/JLM714210</t>
  </si>
  <si>
    <t>JLM506849/JLM506810</t>
  </si>
  <si>
    <t>JLM506848/JLM506810</t>
  </si>
  <si>
    <t>JLM3939/JLM3968</t>
  </si>
  <si>
    <t>JLM104948EX/JLM104910</t>
  </si>
  <si>
    <t>JLM104948/JM104910</t>
  </si>
  <si>
    <t>JLM104948/JLM104910</t>
  </si>
  <si>
    <t>JLM104948-N/JLM104910</t>
  </si>
  <si>
    <t>JL819349/JL819310</t>
  </si>
  <si>
    <t>JL69349/JL69310</t>
  </si>
  <si>
    <t>JL68149/JL68111-Z1</t>
  </si>
  <si>
    <t>JL68145/JL68111</t>
  </si>
  <si>
    <t>JHM840449/JHM840410</t>
  </si>
  <si>
    <t>JHM522649/JHM522610</t>
  </si>
  <si>
    <t>JHM318448/JHM318410</t>
  </si>
  <si>
    <t>JH307710/JH307749</t>
  </si>
  <si>
    <t>JH211749/JH211710</t>
  </si>
  <si>
    <t>HM959649/HM959618</t>
  </si>
  <si>
    <t>3-770S</t>
  </si>
  <si>
    <t>HM932145/HH932110</t>
  </si>
  <si>
    <t>HM262749/HM262710</t>
  </si>
  <si>
    <t>HM261049/HM261010</t>
  </si>
  <si>
    <t>HM259049/HM250010</t>
  </si>
  <si>
    <t>HM256849/HM256810</t>
  </si>
  <si>
    <t>HM252348/HM252310</t>
  </si>
  <si>
    <t>HM252343/HM252310</t>
  </si>
  <si>
    <t>HM237545/HM237510</t>
  </si>
  <si>
    <t>HM237542/HM237510</t>
  </si>
  <si>
    <t>HM237535/HM237510</t>
  </si>
  <si>
    <t>HM231149/HM231110</t>
  </si>
  <si>
    <t>HM221449/HM221410</t>
  </si>
  <si>
    <t>HM220149/HM220110</t>
  </si>
  <si>
    <t>HM218248/HM518410</t>
  </si>
  <si>
    <t>HM218248/HM218210</t>
  </si>
  <si>
    <t>HM218238/HM218210</t>
  </si>
  <si>
    <t>HM212049X/HM212011</t>
  </si>
  <si>
    <t>HM212049/HM212011</t>
  </si>
  <si>
    <t>HM212049/HM212010</t>
  </si>
  <si>
    <t>HM212047A/HM212011</t>
  </si>
  <si>
    <t>HM212047/HM212011</t>
  </si>
  <si>
    <t>HM212047/HM212010</t>
  </si>
  <si>
    <t>HM212046/HM212011</t>
  </si>
  <si>
    <t>HM212044/HM212011</t>
  </si>
  <si>
    <t>HM212044/HM212010</t>
  </si>
  <si>
    <t>HM212017/HM212011</t>
  </si>
  <si>
    <t>HH926749/HH926710</t>
  </si>
  <si>
    <t>EE107057/EE107105</t>
  </si>
  <si>
    <t>E323166D/323290</t>
  </si>
  <si>
    <t>99600/99100</t>
  </si>
  <si>
    <t>99587/99100</t>
  </si>
  <si>
    <t>99575/99102CD</t>
  </si>
  <si>
    <t>99575/99100</t>
  </si>
  <si>
    <t>99550/99100</t>
  </si>
  <si>
    <t>995/394A</t>
  </si>
  <si>
    <t>98400/98788</t>
  </si>
  <si>
    <t>98350/98788</t>
  </si>
  <si>
    <t>96925/96140</t>
  </si>
  <si>
    <t>96900/96140</t>
  </si>
  <si>
    <t>96845/96140</t>
  </si>
  <si>
    <t>95525/95925</t>
  </si>
  <si>
    <t>95500/95925</t>
  </si>
  <si>
    <t>95475/95925</t>
  </si>
  <si>
    <t>953566/3030517</t>
  </si>
  <si>
    <t>94700/94113</t>
  </si>
  <si>
    <t>94649/94113</t>
  </si>
  <si>
    <t>94637/94113</t>
  </si>
  <si>
    <t>941/932</t>
  </si>
  <si>
    <t>9385/9321</t>
  </si>
  <si>
    <t>93825/93125</t>
  </si>
  <si>
    <t>93812/93125</t>
  </si>
  <si>
    <t>93800/93125</t>
  </si>
  <si>
    <t>9380/9321</t>
  </si>
  <si>
    <t>938/932</t>
  </si>
  <si>
    <t>93787/93125</t>
  </si>
  <si>
    <t>93775/93125</t>
  </si>
  <si>
    <t>93750/93126</t>
  </si>
  <si>
    <t>936/932</t>
  </si>
  <si>
    <t>9285/9220</t>
  </si>
  <si>
    <t>9185/9121</t>
  </si>
  <si>
    <t>898/892</t>
  </si>
  <si>
    <t>896/892D</t>
  </si>
  <si>
    <t>97528K</t>
  </si>
  <si>
    <t>896/892</t>
  </si>
  <si>
    <t>89440/89410</t>
  </si>
  <si>
    <t>88925/88128</t>
  </si>
  <si>
    <t>67390/67324</t>
  </si>
  <si>
    <t>67390/67322</t>
  </si>
  <si>
    <t>67388/67322</t>
  </si>
  <si>
    <t>665A/653</t>
  </si>
  <si>
    <t>665/653</t>
  </si>
  <si>
    <t>663/653</t>
  </si>
  <si>
    <t>663/652</t>
  </si>
  <si>
    <t>66225/66462</t>
  </si>
  <si>
    <t>661/653</t>
  </si>
  <si>
    <t>661/635</t>
  </si>
  <si>
    <t>659/653</t>
  </si>
  <si>
    <t>659/652</t>
  </si>
  <si>
    <t>6580/6535A</t>
  </si>
  <si>
    <t>6580/6535</t>
  </si>
  <si>
    <t>658/653X</t>
  </si>
  <si>
    <t>6575/6535</t>
  </si>
  <si>
    <t>6559/6535</t>
  </si>
  <si>
    <t>655/653</t>
  </si>
  <si>
    <t>65231/65500</t>
  </si>
  <si>
    <t>65225/65500</t>
  </si>
  <si>
    <t>65212/65500</t>
  </si>
  <si>
    <t>65200/65500</t>
  </si>
  <si>
    <t>6460/6420</t>
  </si>
  <si>
    <t>6454/6420</t>
  </si>
  <si>
    <t>64450/64700</t>
  </si>
  <si>
    <t>644/633</t>
  </si>
  <si>
    <t>641/633</t>
  </si>
  <si>
    <t>639/633</t>
  </si>
  <si>
    <t>6379/6320</t>
  </si>
  <si>
    <t>6376/6320</t>
  </si>
  <si>
    <t>637/633</t>
  </si>
  <si>
    <t>635/632</t>
  </si>
  <si>
    <t>6280/6220</t>
  </si>
  <si>
    <t>621/612</t>
  </si>
  <si>
    <t>6155/6420</t>
  </si>
  <si>
    <t>599X/593X</t>
  </si>
  <si>
    <t>598A/593X</t>
  </si>
  <si>
    <t>598A/592A</t>
  </si>
  <si>
    <t>598/592XE</t>
  </si>
  <si>
    <t>598/592D</t>
  </si>
  <si>
    <t>598/592B</t>
  </si>
  <si>
    <t>598/592A</t>
  </si>
  <si>
    <t>596/592A</t>
  </si>
  <si>
    <t>595/592A</t>
  </si>
  <si>
    <t>594A/592XS</t>
  </si>
  <si>
    <t>594A/592A</t>
  </si>
  <si>
    <t>594/592XE</t>
  </si>
  <si>
    <t>594/592A</t>
  </si>
  <si>
    <t>593A/592A</t>
  </si>
  <si>
    <t>593/592XE</t>
  </si>
  <si>
    <t>593/592A</t>
  </si>
  <si>
    <t>590A/592A</t>
  </si>
  <si>
    <t>582/572</t>
  </si>
  <si>
    <t>581/572X</t>
  </si>
  <si>
    <t>581/572</t>
  </si>
  <si>
    <t>580/572X</t>
  </si>
  <si>
    <t>580/572B</t>
  </si>
  <si>
    <t>580/572</t>
  </si>
  <si>
    <t>5795/5735</t>
  </si>
  <si>
    <t>577/572</t>
  </si>
  <si>
    <t>5760/5725</t>
  </si>
  <si>
    <t>576/572X</t>
  </si>
  <si>
    <t>575S/572</t>
  </si>
  <si>
    <t>575/572X</t>
  </si>
  <si>
    <t>575/572</t>
  </si>
  <si>
    <t>57414/LM300811</t>
  </si>
  <si>
    <t>570/563X</t>
  </si>
  <si>
    <t>569/563</t>
  </si>
  <si>
    <t>567/563X</t>
  </si>
  <si>
    <t>567/563</t>
  </si>
  <si>
    <t>565/563X</t>
  </si>
  <si>
    <t>56425E/56650B</t>
  </si>
  <si>
    <t>56425/56662</t>
  </si>
  <si>
    <t>7912E</t>
  </si>
  <si>
    <t>56425/56650</t>
  </si>
  <si>
    <t>56418/56650</t>
  </si>
  <si>
    <t>560S/553X</t>
  </si>
  <si>
    <t>560S/552A</t>
  </si>
  <si>
    <t>49585/49520</t>
  </si>
  <si>
    <t>495/492A</t>
  </si>
  <si>
    <t>48684/48620</t>
  </si>
  <si>
    <t>48506/48750</t>
  </si>
  <si>
    <t>484/472</t>
  </si>
  <si>
    <t>48393A/48320</t>
  </si>
  <si>
    <t>48385/48320</t>
  </si>
  <si>
    <t>483/472A</t>
  </si>
  <si>
    <t>483/472</t>
  </si>
  <si>
    <t>48286/48220B</t>
  </si>
  <si>
    <t>48286/48120</t>
  </si>
  <si>
    <t>482/472A</t>
  </si>
  <si>
    <t>482/472</t>
  </si>
  <si>
    <t>48190/48120</t>
  </si>
  <si>
    <t>480/472A</t>
  </si>
  <si>
    <t>480/472</t>
  </si>
  <si>
    <t>47896/47820</t>
  </si>
  <si>
    <t>47890/47820</t>
  </si>
  <si>
    <t>477/472</t>
  </si>
  <si>
    <t>47687/47620</t>
  </si>
  <si>
    <t>47686/47620A</t>
  </si>
  <si>
    <t>47686/47620</t>
  </si>
  <si>
    <t>47675/47620A</t>
  </si>
  <si>
    <t>476/472</t>
  </si>
  <si>
    <t>475/472</t>
  </si>
  <si>
    <t>47490/47420</t>
  </si>
  <si>
    <t>47487/47420</t>
  </si>
  <si>
    <t>469/454</t>
  </si>
  <si>
    <t>469/453X</t>
  </si>
  <si>
    <t>469/453A</t>
  </si>
  <si>
    <t>469-N/453X-N</t>
  </si>
  <si>
    <t>468/453X</t>
  </si>
  <si>
    <t>46790/46720</t>
  </si>
  <si>
    <t>46780/46730</t>
  </si>
  <si>
    <t>46780/46720</t>
  </si>
  <si>
    <t>467/453X</t>
  </si>
  <si>
    <t>466/453X</t>
  </si>
  <si>
    <t>463/453X</t>
  </si>
  <si>
    <t>462/454</t>
  </si>
  <si>
    <t>462/453</t>
  </si>
  <si>
    <t>46143/46368</t>
  </si>
  <si>
    <t>460/453A</t>
  </si>
  <si>
    <t>460/453</t>
  </si>
  <si>
    <t>456/453X</t>
  </si>
  <si>
    <t>455S/453X</t>
  </si>
  <si>
    <t>455/453X</t>
  </si>
  <si>
    <t>455/453</t>
  </si>
  <si>
    <t>45290/45221</t>
  </si>
  <si>
    <t>45285/45221</t>
  </si>
  <si>
    <t>45284/45280</t>
  </si>
  <si>
    <t>45284/45220</t>
  </si>
  <si>
    <t>4388/4335</t>
  </si>
  <si>
    <t>42688/42620</t>
  </si>
  <si>
    <t>42687/42620</t>
  </si>
  <si>
    <t>42683/42620</t>
  </si>
  <si>
    <t>42368/42584</t>
  </si>
  <si>
    <t>42362/42584</t>
  </si>
  <si>
    <t>42350/42587</t>
  </si>
  <si>
    <t>420/414</t>
  </si>
  <si>
    <t>419/414</t>
  </si>
  <si>
    <t>418/414</t>
  </si>
  <si>
    <t>41125/41286</t>
  </si>
  <si>
    <t>399AS/394A</t>
  </si>
  <si>
    <t>399A/394A</t>
  </si>
  <si>
    <t>3984/3920XA</t>
  </si>
  <si>
    <t>3982/3925</t>
  </si>
  <si>
    <t>3982/3920</t>
  </si>
  <si>
    <t>3981/3920</t>
  </si>
  <si>
    <t>3980/3920</t>
  </si>
  <si>
    <t>3979/3920</t>
  </si>
  <si>
    <t>3977/3920</t>
  </si>
  <si>
    <t>3975/3926</t>
  </si>
  <si>
    <t>3975/3920</t>
  </si>
  <si>
    <t>395S/394A</t>
  </si>
  <si>
    <t>395A/394A</t>
  </si>
  <si>
    <t>3767/3720</t>
  </si>
  <si>
    <t>37425/37625</t>
  </si>
  <si>
    <t>372216X2/P6</t>
  </si>
  <si>
    <t>E187216E</t>
  </si>
  <si>
    <t>372216X2</t>
  </si>
  <si>
    <t>187216E</t>
  </si>
  <si>
    <t>372016X2</t>
  </si>
  <si>
    <t>2187116E</t>
  </si>
  <si>
    <t>372011X2</t>
  </si>
  <si>
    <t>371180X2/HCYA</t>
  </si>
  <si>
    <t>187880SK</t>
  </si>
  <si>
    <t>3706/670B/YA</t>
  </si>
  <si>
    <t>1877/670</t>
  </si>
  <si>
    <t>3706/570</t>
  </si>
  <si>
    <t>877/570</t>
  </si>
  <si>
    <t>3706/550B/HCC2</t>
  </si>
  <si>
    <t>1879/550</t>
  </si>
  <si>
    <t>3706/501.625/P6</t>
  </si>
  <si>
    <t>E879/500</t>
  </si>
  <si>
    <t>3706/501.625</t>
  </si>
  <si>
    <t>879/500</t>
  </si>
  <si>
    <t>3706/500</t>
  </si>
  <si>
    <t>3706/305.079/YA</t>
  </si>
  <si>
    <t>3706/305.07</t>
  </si>
  <si>
    <t>87961K</t>
  </si>
  <si>
    <t>368A/362A</t>
  </si>
  <si>
    <t>368/362A</t>
  </si>
  <si>
    <t>560/553X</t>
  </si>
  <si>
    <t>559/552A</t>
  </si>
  <si>
    <t>559/552</t>
  </si>
  <si>
    <t>557S/552A</t>
  </si>
  <si>
    <t>557/532</t>
  </si>
  <si>
    <t>5566/5535</t>
  </si>
  <si>
    <t>5565/5535</t>
  </si>
  <si>
    <t>5558/5535X</t>
  </si>
  <si>
    <t>555/553X</t>
  </si>
  <si>
    <t>554/553X</t>
  </si>
  <si>
    <t>55200/55437</t>
  </si>
  <si>
    <t>55187/55437</t>
  </si>
  <si>
    <t>55175/55443</t>
  </si>
  <si>
    <t>545112/545139</t>
  </si>
  <si>
    <t>544091/544118</t>
  </si>
  <si>
    <t>544090/544118</t>
  </si>
  <si>
    <t>544090/544116</t>
  </si>
  <si>
    <t>5395/5335</t>
  </si>
  <si>
    <t>536991A/532168B</t>
  </si>
  <si>
    <t>53178/53375</t>
  </si>
  <si>
    <t>52400/52618</t>
  </si>
  <si>
    <t>52393/52618</t>
  </si>
  <si>
    <t>52387/52637</t>
  </si>
  <si>
    <t>52375/52618</t>
  </si>
  <si>
    <t>498A/492A</t>
  </si>
  <si>
    <t>498/492A</t>
  </si>
  <si>
    <t>497/493</t>
  </si>
  <si>
    <t>497/492A</t>
  </si>
  <si>
    <t>49681/47620A</t>
  </si>
  <si>
    <t>496/493</t>
  </si>
  <si>
    <t>496/492A</t>
  </si>
  <si>
    <t>495AX/492A</t>
  </si>
  <si>
    <t>495AS/492A</t>
  </si>
  <si>
    <t>495A/493</t>
  </si>
  <si>
    <t>39590/39520</t>
  </si>
  <si>
    <t>39585/39520</t>
  </si>
  <si>
    <t>39581/39520</t>
  </si>
  <si>
    <t>39578/39520</t>
  </si>
  <si>
    <t>395/394A</t>
  </si>
  <si>
    <t>390A/394A</t>
  </si>
  <si>
    <t>389A/382A</t>
  </si>
  <si>
    <t>389A/382</t>
  </si>
  <si>
    <t>3892/3920</t>
  </si>
  <si>
    <t>389/382A</t>
  </si>
  <si>
    <t>3880/3925</t>
  </si>
  <si>
    <t>387AS/382A</t>
  </si>
  <si>
    <t>387A/383A</t>
  </si>
  <si>
    <t>387A/382S</t>
  </si>
  <si>
    <t>387A/382A</t>
  </si>
  <si>
    <t>387A/382</t>
  </si>
  <si>
    <t>3878/3820</t>
  </si>
  <si>
    <t>3872/3820</t>
  </si>
  <si>
    <t>387/383</t>
  </si>
  <si>
    <t>387/382S</t>
  </si>
  <si>
    <t>387/382A</t>
  </si>
  <si>
    <t>386A/382A</t>
  </si>
  <si>
    <t>385X/382A</t>
  </si>
  <si>
    <t>385/382A</t>
  </si>
  <si>
    <t>3784/3720</t>
  </si>
  <si>
    <t>3781/3730</t>
  </si>
  <si>
    <t>3781/3720</t>
  </si>
  <si>
    <t>3780/3732</t>
  </si>
  <si>
    <t>3780/3730</t>
  </si>
  <si>
    <t>3780/3726</t>
  </si>
  <si>
    <t>3780/3720</t>
  </si>
  <si>
    <t>3779/3720</t>
  </si>
  <si>
    <t>3778/3720</t>
  </si>
  <si>
    <t>3777/3720</t>
  </si>
  <si>
    <t>3776/3720</t>
  </si>
  <si>
    <t>3775/3730</t>
  </si>
  <si>
    <t>3775/3720</t>
  </si>
  <si>
    <t>368/362</t>
  </si>
  <si>
    <t>36691/36620</t>
  </si>
  <si>
    <t>36690/36626</t>
  </si>
  <si>
    <t>359S/354A</t>
  </si>
  <si>
    <t>359S/352</t>
  </si>
  <si>
    <t>359A/354A</t>
  </si>
  <si>
    <t>3585/3525</t>
  </si>
  <si>
    <t>358/354A</t>
  </si>
  <si>
    <t>3579/3525</t>
  </si>
  <si>
    <t>3578/3525</t>
  </si>
  <si>
    <t>355A/354A</t>
  </si>
  <si>
    <t>355/354A</t>
  </si>
  <si>
    <t>352972X2</t>
  </si>
  <si>
    <t>352968X2</t>
  </si>
  <si>
    <t>352964X2/C2</t>
  </si>
  <si>
    <t>2G2097964</t>
  </si>
  <si>
    <t>352964X2</t>
  </si>
  <si>
    <t>352960X2/P59</t>
  </si>
  <si>
    <t>D2097960U</t>
  </si>
  <si>
    <t>352960X2-2</t>
  </si>
  <si>
    <t>352960X2</t>
  </si>
  <si>
    <t>2097960E</t>
  </si>
  <si>
    <t>352956X2/P59</t>
  </si>
  <si>
    <t>D2097956U</t>
  </si>
  <si>
    <t>352956X2</t>
  </si>
  <si>
    <t>2097956E</t>
  </si>
  <si>
    <t>2097928E</t>
  </si>
  <si>
    <t>352926X2</t>
  </si>
  <si>
    <t>2097926E</t>
  </si>
  <si>
    <t>97538E</t>
  </si>
  <si>
    <t>352236X2</t>
  </si>
  <si>
    <t>97536E</t>
  </si>
  <si>
    <t>352236/S0</t>
  </si>
  <si>
    <t>97536KT</t>
  </si>
  <si>
    <t>97534E</t>
  </si>
  <si>
    <t>352232X2</t>
  </si>
  <si>
    <t>352230X2/YA</t>
  </si>
  <si>
    <t>97530EK</t>
  </si>
  <si>
    <t>352230X2</t>
  </si>
  <si>
    <t>352230-2Z</t>
  </si>
  <si>
    <t>352228X2</t>
  </si>
  <si>
    <t>97528EK</t>
  </si>
  <si>
    <t>352226X3-2Z/HG</t>
  </si>
  <si>
    <t>197826G</t>
  </si>
  <si>
    <t>352226X2-2Z-2</t>
  </si>
  <si>
    <t>197726K2</t>
  </si>
  <si>
    <t>352226X2-2Z</t>
  </si>
  <si>
    <t>352226X2</t>
  </si>
  <si>
    <t>352224D</t>
  </si>
  <si>
    <t>352224/YA</t>
  </si>
  <si>
    <t>97524K</t>
  </si>
  <si>
    <t>352222X2/YA1</t>
  </si>
  <si>
    <t>97822K</t>
  </si>
  <si>
    <t>352221X2</t>
  </si>
  <si>
    <t>97521EK</t>
  </si>
  <si>
    <t>97521E</t>
  </si>
  <si>
    <t>352220X2-2Z</t>
  </si>
  <si>
    <t>352220X2</t>
  </si>
  <si>
    <t>97519E</t>
  </si>
  <si>
    <t>352218X2</t>
  </si>
  <si>
    <t>352217X2/YA</t>
  </si>
  <si>
    <t>97517EK</t>
  </si>
  <si>
    <t>352216X2</t>
  </si>
  <si>
    <t>352214X2</t>
  </si>
  <si>
    <t>97514EK</t>
  </si>
  <si>
    <t>352140/YA1</t>
  </si>
  <si>
    <t>35213X2/C3S0</t>
  </si>
  <si>
    <t>3G97730T</t>
  </si>
  <si>
    <t>2097738E</t>
  </si>
  <si>
    <t>352134/W33</t>
  </si>
  <si>
    <t>2097734Y</t>
  </si>
  <si>
    <t>352132/YB</t>
  </si>
  <si>
    <t>2097732Y</t>
  </si>
  <si>
    <t>352132/YA1</t>
  </si>
  <si>
    <t>352130X2</t>
  </si>
  <si>
    <t>352080X2</t>
  </si>
  <si>
    <t>352072X2/YA</t>
  </si>
  <si>
    <t>352072X2</t>
  </si>
  <si>
    <t>352064X2F1</t>
  </si>
  <si>
    <t>2097164W1</t>
  </si>
  <si>
    <t>352064X2/YA</t>
  </si>
  <si>
    <t>352064X2/C9</t>
  </si>
  <si>
    <t>2097164U</t>
  </si>
  <si>
    <t>352064X2/C3</t>
  </si>
  <si>
    <t>3G2097164</t>
  </si>
  <si>
    <t>352064X2</t>
  </si>
  <si>
    <t>352060X2/C4</t>
  </si>
  <si>
    <t>4G2097160</t>
  </si>
  <si>
    <t>352060X2</t>
  </si>
  <si>
    <t>352056X2/YA</t>
  </si>
  <si>
    <t>352056X2</t>
  </si>
  <si>
    <t>352052X2/YA</t>
  </si>
  <si>
    <t>351984/P59</t>
  </si>
  <si>
    <t>D1097984U</t>
  </si>
  <si>
    <t>351980X2</t>
  </si>
  <si>
    <t>3519/950/HC</t>
  </si>
  <si>
    <t>10979/950S</t>
  </si>
  <si>
    <t>3519/800/S0</t>
  </si>
  <si>
    <t>10979/800T</t>
  </si>
  <si>
    <t>3519/630/C2</t>
  </si>
  <si>
    <t>2G10979/630</t>
  </si>
  <si>
    <t>3519/530J</t>
  </si>
  <si>
    <t>3519/500/HC</t>
  </si>
  <si>
    <t>10979/500S</t>
  </si>
  <si>
    <t>351160X2</t>
  </si>
  <si>
    <t>351084X2D1</t>
  </si>
  <si>
    <t>351076X2</t>
  </si>
  <si>
    <t>351072/YA1</t>
  </si>
  <si>
    <t>97172Y</t>
  </si>
  <si>
    <t>3510/710</t>
  </si>
  <si>
    <t>971/710</t>
  </si>
  <si>
    <t>3510/670</t>
  </si>
  <si>
    <t>971/670</t>
  </si>
  <si>
    <t>3510/630</t>
  </si>
  <si>
    <t>971/630</t>
  </si>
  <si>
    <t>3510/600</t>
  </si>
  <si>
    <t>971/600</t>
  </si>
  <si>
    <t>3510/560</t>
  </si>
  <si>
    <t>971/560</t>
  </si>
  <si>
    <t>3510/530</t>
  </si>
  <si>
    <t>971/530</t>
  </si>
  <si>
    <t>3510/500J</t>
  </si>
  <si>
    <t>971/500</t>
  </si>
  <si>
    <t>3510/500</t>
  </si>
  <si>
    <t>350636/C3</t>
  </si>
  <si>
    <t>3G97736</t>
  </si>
  <si>
    <t>350633/C9</t>
  </si>
  <si>
    <t>97833U</t>
  </si>
  <si>
    <t>350630D1</t>
  </si>
  <si>
    <t>350626-2Z/YB2</t>
  </si>
  <si>
    <t>197726K1</t>
  </si>
  <si>
    <t>3506/99.5/S0</t>
  </si>
  <si>
    <t>97720KT</t>
  </si>
  <si>
    <t>3506/99.5</t>
  </si>
  <si>
    <t>97720K</t>
  </si>
  <si>
    <t>3506/720</t>
  </si>
  <si>
    <t>977/720</t>
  </si>
  <si>
    <t>3506/710/C3</t>
  </si>
  <si>
    <t>3G977/710</t>
  </si>
  <si>
    <t>3506/254D1</t>
  </si>
  <si>
    <t>3506/203.2D1/YA3</t>
  </si>
  <si>
    <t>37941K</t>
  </si>
  <si>
    <t>3506/1600</t>
  </si>
  <si>
    <t>978/1600</t>
  </si>
  <si>
    <t>3506/144.463-2Z</t>
  </si>
  <si>
    <t>344A/332</t>
  </si>
  <si>
    <t>33895/33822</t>
  </si>
  <si>
    <t>3386/3320</t>
  </si>
  <si>
    <t>3384/3320</t>
  </si>
  <si>
    <t>3382/3339</t>
  </si>
  <si>
    <t>3382/3331</t>
  </si>
  <si>
    <t>3382/3328</t>
  </si>
  <si>
    <t>3382/3321</t>
  </si>
  <si>
    <t>3382/3320</t>
  </si>
  <si>
    <t>3381/3320</t>
  </si>
  <si>
    <t>3379/3320</t>
  </si>
  <si>
    <t>7656E</t>
  </si>
  <si>
    <t>7652E</t>
  </si>
  <si>
    <t>7648E</t>
  </si>
  <si>
    <t>7644E</t>
  </si>
  <si>
    <t>7640E</t>
  </si>
  <si>
    <t>7638E</t>
  </si>
  <si>
    <t>7636E</t>
  </si>
  <si>
    <t>32334X2</t>
  </si>
  <si>
    <t>32326X2</t>
  </si>
  <si>
    <t>352952X2/YB2</t>
  </si>
  <si>
    <t>352952X2/YAYB2</t>
  </si>
  <si>
    <t>2097952K</t>
  </si>
  <si>
    <t>352952X2/YA1</t>
  </si>
  <si>
    <t>352952X2</t>
  </si>
  <si>
    <t>2097952E</t>
  </si>
  <si>
    <t>352948X2/YB2</t>
  </si>
  <si>
    <t>352948X2/YA1</t>
  </si>
  <si>
    <t>2097948K</t>
  </si>
  <si>
    <t>352948X2/YA</t>
  </si>
  <si>
    <t>2097948K1</t>
  </si>
  <si>
    <t>352948X2</t>
  </si>
  <si>
    <t>2097948E</t>
  </si>
  <si>
    <t>352944X2</t>
  </si>
  <si>
    <t>2097944E</t>
  </si>
  <si>
    <t>352940X2/YA1</t>
  </si>
  <si>
    <t>2097940K</t>
  </si>
  <si>
    <t>352940X2</t>
  </si>
  <si>
    <t>2097940E</t>
  </si>
  <si>
    <t>352938X2</t>
  </si>
  <si>
    <t>2097938E</t>
  </si>
  <si>
    <t>352936X2D1/YA1</t>
  </si>
  <si>
    <t>37836K</t>
  </si>
  <si>
    <t>352936X2/YA1</t>
  </si>
  <si>
    <t>2097936K</t>
  </si>
  <si>
    <t>352936X2</t>
  </si>
  <si>
    <t>2097936E</t>
  </si>
  <si>
    <t>352934X2</t>
  </si>
  <si>
    <t>2097934E</t>
  </si>
  <si>
    <t>2097932E</t>
  </si>
  <si>
    <t>352052X2</t>
  </si>
  <si>
    <t>352048X2/YA</t>
  </si>
  <si>
    <t>352048X2</t>
  </si>
  <si>
    <t>352044X2/YA</t>
  </si>
  <si>
    <t>352044X2</t>
  </si>
  <si>
    <t>352040X2/YA</t>
  </si>
  <si>
    <t>352040X2</t>
  </si>
  <si>
    <t>352036X2</t>
  </si>
  <si>
    <t>352034X2D</t>
  </si>
  <si>
    <t>352034X2</t>
  </si>
  <si>
    <t>352034/YA</t>
  </si>
  <si>
    <t>2097134K</t>
  </si>
  <si>
    <t>352032X2</t>
  </si>
  <si>
    <t>352032/YA</t>
  </si>
  <si>
    <t>352030X2RD</t>
  </si>
  <si>
    <t>2097130E</t>
  </si>
  <si>
    <t>352028X2RD</t>
  </si>
  <si>
    <t>352028X2/YA</t>
  </si>
  <si>
    <t>2097128K</t>
  </si>
  <si>
    <t>352028X2</t>
  </si>
  <si>
    <t>352026X2</t>
  </si>
  <si>
    <t>352024X2RDL1</t>
  </si>
  <si>
    <t>2657124L</t>
  </si>
  <si>
    <t>352024X2RD</t>
  </si>
  <si>
    <t>2097115E</t>
  </si>
  <si>
    <t>32320X2</t>
  </si>
  <si>
    <t>32312B</t>
  </si>
  <si>
    <t>7612K</t>
  </si>
  <si>
    <t>32311BRJ</t>
  </si>
  <si>
    <t>32310X2</t>
  </si>
  <si>
    <t>7710E</t>
  </si>
  <si>
    <t>32310/YA</t>
  </si>
  <si>
    <t>7610EK</t>
  </si>
  <si>
    <t>32309BR</t>
  </si>
  <si>
    <t>32308/YB2</t>
  </si>
  <si>
    <t>7608EK</t>
  </si>
  <si>
    <t>32306AN</t>
  </si>
  <si>
    <t>323/32CN</t>
  </si>
  <si>
    <t>323/32</t>
  </si>
  <si>
    <t>76/32</t>
  </si>
  <si>
    <t>32210R</t>
  </si>
  <si>
    <t>32209R</t>
  </si>
  <si>
    <t>32208R</t>
  </si>
  <si>
    <t>32028/DF</t>
  </si>
  <si>
    <t>31326/DF</t>
  </si>
  <si>
    <t>31314/YA</t>
  </si>
  <si>
    <t>27314EK</t>
  </si>
  <si>
    <t>31313/YB2</t>
  </si>
  <si>
    <t>27313EK</t>
  </si>
  <si>
    <t>31311/YB2</t>
  </si>
  <si>
    <t>27311EK</t>
  </si>
  <si>
    <t>31311/YA</t>
  </si>
  <si>
    <t>31306WB1</t>
  </si>
  <si>
    <t>306/405</t>
  </si>
  <si>
    <t>306/330.2</t>
  </si>
  <si>
    <t>306/304.8</t>
  </si>
  <si>
    <t>306/276.225</t>
  </si>
  <si>
    <t>7955E</t>
  </si>
  <si>
    <t>30352X2</t>
  </si>
  <si>
    <t>7348E</t>
  </si>
  <si>
    <t>7344E</t>
  </si>
  <si>
    <t>7338E</t>
  </si>
  <si>
    <t>30312X1B</t>
  </si>
  <si>
    <t>30311X3B</t>
  </si>
  <si>
    <t>30305X2B</t>
  </si>
  <si>
    <t>30210AR</t>
  </si>
  <si>
    <t>67210K</t>
  </si>
  <si>
    <t>30208AR</t>
  </si>
  <si>
    <t>67208K</t>
  </si>
  <si>
    <t>29688/29620</t>
  </si>
  <si>
    <t>29685/29620</t>
  </si>
  <si>
    <t>29685/20</t>
  </si>
  <si>
    <t>29675/29620</t>
  </si>
  <si>
    <t>29590/29592</t>
  </si>
  <si>
    <t>29590/29522</t>
  </si>
  <si>
    <t>29587/29520</t>
  </si>
  <si>
    <t>29586A/29522A</t>
  </si>
  <si>
    <t>29586/29520</t>
  </si>
  <si>
    <t>29585/29521</t>
  </si>
  <si>
    <t>29585/29520</t>
  </si>
  <si>
    <t>29522/29590</t>
  </si>
  <si>
    <t>28985A/28920</t>
  </si>
  <si>
    <t>28985/28921</t>
  </si>
  <si>
    <t>28985/28920</t>
  </si>
  <si>
    <t>28958X/28920</t>
  </si>
  <si>
    <t>28682/28522</t>
  </si>
  <si>
    <t>28680/28622</t>
  </si>
  <si>
    <t>28678/28622B</t>
  </si>
  <si>
    <t>28584/28521</t>
  </si>
  <si>
    <t>28580/28521</t>
  </si>
  <si>
    <t>28158/28300</t>
  </si>
  <si>
    <t>2796/2720</t>
  </si>
  <si>
    <t>2794/2720</t>
  </si>
  <si>
    <t>2793/2729</t>
  </si>
  <si>
    <t>2793/2720</t>
  </si>
  <si>
    <t>2790/2720</t>
  </si>
  <si>
    <t>2789/2735X</t>
  </si>
  <si>
    <t>2789/2720</t>
  </si>
  <si>
    <t>2788A/2720</t>
  </si>
  <si>
    <t>2788/2720</t>
  </si>
  <si>
    <t>2786/2720</t>
  </si>
  <si>
    <t>2785/2720</t>
  </si>
  <si>
    <t>2780/2720</t>
  </si>
  <si>
    <t>2777/2720</t>
  </si>
  <si>
    <t>2776/2720</t>
  </si>
  <si>
    <t>27687/27620</t>
  </si>
  <si>
    <t>27678/27620</t>
  </si>
  <si>
    <t>27084/27020</t>
  </si>
  <si>
    <t>26886/26882</t>
  </si>
  <si>
    <t>26886/26822</t>
  </si>
  <si>
    <t>26885/26822</t>
  </si>
  <si>
    <t>26884/26824</t>
  </si>
  <si>
    <t>26884/26823</t>
  </si>
  <si>
    <t>26884/26820</t>
  </si>
  <si>
    <t>26883/26822</t>
  </si>
  <si>
    <t>26882/26824</t>
  </si>
  <si>
    <t>26882/26823</t>
  </si>
  <si>
    <t>26882/26822</t>
  </si>
  <si>
    <t>26882/26820</t>
  </si>
  <si>
    <t>26882/26522A</t>
  </si>
  <si>
    <t>26881/26823</t>
  </si>
  <si>
    <t>26881/26822</t>
  </si>
  <si>
    <t>26880/26822</t>
  </si>
  <si>
    <t>26878/26822</t>
  </si>
  <si>
    <t>26877/26822</t>
  </si>
  <si>
    <t>26685/29620</t>
  </si>
  <si>
    <t>25880/25821</t>
  </si>
  <si>
    <t>7950E</t>
  </si>
  <si>
    <t>30622/S0</t>
  </si>
  <si>
    <t>E7522T</t>
  </si>
  <si>
    <t>30615/YB2</t>
  </si>
  <si>
    <t>30615/YA</t>
  </si>
  <si>
    <t>7815EK</t>
  </si>
  <si>
    <t>30610R</t>
  </si>
  <si>
    <t>30610/S1</t>
  </si>
  <si>
    <t>7710T2</t>
  </si>
  <si>
    <t>2007206K</t>
  </si>
  <si>
    <t>306/82.55</t>
  </si>
  <si>
    <t>306/800/R</t>
  </si>
  <si>
    <t>70678/800</t>
  </si>
  <si>
    <t>306/800</t>
  </si>
  <si>
    <t>306/760/HC</t>
  </si>
  <si>
    <t>78/760S</t>
  </si>
  <si>
    <t>306/62</t>
  </si>
  <si>
    <t>306/560</t>
  </si>
  <si>
    <t>77/560</t>
  </si>
  <si>
    <t>306/41</t>
  </si>
  <si>
    <t>25878/25821</t>
  </si>
  <si>
    <t>25878/25820</t>
  </si>
  <si>
    <t>25854/25821</t>
  </si>
  <si>
    <t>2585/2523</t>
  </si>
  <si>
    <t>2582/2523</t>
  </si>
  <si>
    <t>2581/2523</t>
  </si>
  <si>
    <t>2580/2532</t>
  </si>
  <si>
    <t>2580/2523S</t>
  </si>
  <si>
    <t>2580/2523</t>
  </si>
  <si>
    <t>2580/2520</t>
  </si>
  <si>
    <t>2578/2523</t>
  </si>
  <si>
    <t>25590/25526</t>
  </si>
  <si>
    <t>25590/25523</t>
  </si>
  <si>
    <t>25590/25522</t>
  </si>
  <si>
    <t>25590/25521</t>
  </si>
  <si>
    <t>25590/25520</t>
  </si>
  <si>
    <t>25590/25519</t>
  </si>
  <si>
    <t>2559/2523B</t>
  </si>
  <si>
    <t>25584/25520</t>
  </si>
  <si>
    <t>25582/25520</t>
  </si>
  <si>
    <t>25581/25520</t>
  </si>
  <si>
    <t>25580/25523</t>
  </si>
  <si>
    <t>25580/25521</t>
  </si>
  <si>
    <t>25580/25520</t>
  </si>
  <si>
    <t>2558/2523</t>
  </si>
  <si>
    <t>25578/25520</t>
  </si>
  <si>
    <t>25577/25523</t>
  </si>
  <si>
    <t>25577/25522</t>
  </si>
  <si>
    <t>25577/25521</t>
  </si>
  <si>
    <t>25577/25520</t>
  </si>
  <si>
    <t>24780/24721</t>
  </si>
  <si>
    <t>24780/24720</t>
  </si>
  <si>
    <t>23100/23256</t>
  </si>
  <si>
    <t>22780/22720</t>
  </si>
  <si>
    <t>22580/25520</t>
  </si>
  <si>
    <t>14137A/14274</t>
  </si>
  <si>
    <t>14131/14276</t>
  </si>
  <si>
    <t>14130/14276</t>
  </si>
  <si>
    <t>14125A/14276</t>
  </si>
  <si>
    <t>14125A/14274</t>
  </si>
  <si>
    <t>14124/14276</t>
  </si>
  <si>
    <t>14124/14274</t>
  </si>
  <si>
    <t>14118/14283</t>
  </si>
  <si>
    <t>14117A/14276</t>
  </si>
  <si>
    <t>14116/14283</t>
  </si>
  <si>
    <t>14116/14276</t>
  </si>
  <si>
    <t>14116/14274</t>
  </si>
  <si>
    <t>13682/13620</t>
  </si>
  <si>
    <t>1280/1220</t>
  </si>
  <si>
    <t>12580/12520</t>
  </si>
  <si>
    <t>11590/11520</t>
  </si>
  <si>
    <t>11162/11615</t>
  </si>
  <si>
    <t>11162/11300</t>
  </si>
  <si>
    <t>09074/09194</t>
  </si>
  <si>
    <t>09067/09195</t>
  </si>
  <si>
    <t>07100/07196</t>
  </si>
  <si>
    <t>07093/07196</t>
  </si>
  <si>
    <t>07087/07210X</t>
  </si>
  <si>
    <t>02878/02820</t>
  </si>
  <si>
    <t>02475/02420</t>
  </si>
  <si>
    <t>ZXY-3003</t>
  </si>
  <si>
    <t>ZXY-3002</t>
  </si>
  <si>
    <t>YA006B1/F33</t>
  </si>
  <si>
    <t>39602/F33</t>
  </si>
  <si>
    <t>YA003B1/F29</t>
  </si>
  <si>
    <t>39602/F29</t>
  </si>
  <si>
    <t>TRA0607</t>
  </si>
  <si>
    <t>TR131305R</t>
  </si>
  <si>
    <t>TR070803C</t>
  </si>
  <si>
    <t>T4AA045R-1</t>
  </si>
  <si>
    <t>R40-15A</t>
  </si>
  <si>
    <t>M274149D/110/110D</t>
  </si>
  <si>
    <t>3-755</t>
  </si>
  <si>
    <t>M257248DW/10/10D</t>
  </si>
  <si>
    <t>3-768</t>
  </si>
  <si>
    <t>M252349D/10/10D</t>
  </si>
  <si>
    <t>M252349/10/10D</t>
  </si>
  <si>
    <t>3-729</t>
  </si>
  <si>
    <t>LY-3006/P2</t>
  </si>
  <si>
    <t>B3-711</t>
  </si>
  <si>
    <t>HM259049D/10/10D</t>
  </si>
  <si>
    <t>HL-407</t>
  </si>
  <si>
    <t>HL-406</t>
  </si>
  <si>
    <t>HL-405</t>
  </si>
  <si>
    <t>HL-404</t>
  </si>
  <si>
    <t>HL-403A</t>
  </si>
  <si>
    <t>HL-403</t>
  </si>
  <si>
    <t>HL-402</t>
  </si>
  <si>
    <t>FC12025S07</t>
  </si>
  <si>
    <t>CZ301</t>
  </si>
  <si>
    <t>CR1154</t>
  </si>
  <si>
    <t>C183</t>
  </si>
  <si>
    <t>C107</t>
  </si>
  <si>
    <t>C102</t>
  </si>
  <si>
    <t>C101</t>
  </si>
  <si>
    <t>BT1B328053</t>
  </si>
  <si>
    <t>21075/21212</t>
  </si>
  <si>
    <t>21063/21212</t>
  </si>
  <si>
    <t>18790/18724</t>
  </si>
  <si>
    <t>18790/18720B</t>
  </si>
  <si>
    <t>18790/18720</t>
  </si>
  <si>
    <t>18690/18620</t>
  </si>
  <si>
    <t>18590/18520</t>
  </si>
  <si>
    <t>17887/17831</t>
  </si>
  <si>
    <t>1755/1729</t>
  </si>
  <si>
    <t>16150/16284</t>
  </si>
  <si>
    <t>16150/16282</t>
  </si>
  <si>
    <t>16137/16282</t>
  </si>
  <si>
    <t>15579/15520</t>
  </si>
  <si>
    <t>15126/15245</t>
  </si>
  <si>
    <t>15125/15245</t>
  </si>
  <si>
    <t>15123/15250</t>
  </si>
  <si>
    <t>15123/15245</t>
  </si>
  <si>
    <t>15120/15245</t>
  </si>
  <si>
    <t>15119/15245</t>
  </si>
  <si>
    <t>15118/15245</t>
  </si>
  <si>
    <t>15117/15245</t>
  </si>
  <si>
    <t>15116/15245</t>
  </si>
  <si>
    <t>15113/15245</t>
  </si>
  <si>
    <t>15112/15245</t>
  </si>
  <si>
    <t>15106/15245</t>
  </si>
  <si>
    <t>15103S/15245</t>
  </si>
  <si>
    <t>15103S/15243</t>
  </si>
  <si>
    <t>15102/15245</t>
  </si>
  <si>
    <t>15101/15250X</t>
  </si>
  <si>
    <t>15101/15250</t>
  </si>
  <si>
    <t>15101/15245</t>
  </si>
  <si>
    <t>15101/15244</t>
  </si>
  <si>
    <t>15101/15243</t>
  </si>
  <si>
    <t>15100/15245</t>
  </si>
  <si>
    <t>14139/14276</t>
  </si>
  <si>
    <t>14139/14274A</t>
  </si>
  <si>
    <t>14138A/14276</t>
  </si>
  <si>
    <t>14138A/14274</t>
  </si>
  <si>
    <t>14137A/14276</t>
  </si>
  <si>
    <t>LY-3005/P2</t>
  </si>
  <si>
    <t>B3-710</t>
  </si>
  <si>
    <t>LY-3002/P2</t>
  </si>
  <si>
    <t>B3-707</t>
  </si>
  <si>
    <t>LM761649DW/10/10D</t>
  </si>
  <si>
    <t>3-722</t>
  </si>
  <si>
    <t>LM451349DW/10/10D</t>
  </si>
  <si>
    <t>LM247748DW/10/10D</t>
  </si>
  <si>
    <t>LM247748D/10/10D</t>
  </si>
  <si>
    <t>HS713</t>
  </si>
  <si>
    <t>HS712</t>
  </si>
  <si>
    <t>HS709</t>
  </si>
  <si>
    <t>HS708</t>
  </si>
  <si>
    <t>HS707</t>
  </si>
  <si>
    <t>HS706</t>
  </si>
  <si>
    <t>HS705</t>
  </si>
  <si>
    <t>47T563927AWH/DPGC</t>
  </si>
  <si>
    <t>382972X2</t>
  </si>
  <si>
    <t>382968/C2</t>
  </si>
  <si>
    <t>2G2077968</t>
  </si>
  <si>
    <t>382960/C2</t>
  </si>
  <si>
    <t>2G2077960</t>
  </si>
  <si>
    <t>3819/630/C2</t>
  </si>
  <si>
    <t>2G10779/630</t>
  </si>
  <si>
    <t>3819/600J/HC</t>
  </si>
  <si>
    <t>3819/600HCC2YA3</t>
  </si>
  <si>
    <t>10779/600S</t>
  </si>
  <si>
    <t>3819/600/C2</t>
  </si>
  <si>
    <t>2G10779/600</t>
  </si>
  <si>
    <t>3819/560/HCC2YA3</t>
  </si>
  <si>
    <t>10779/560S</t>
  </si>
  <si>
    <t>3819/560/C2</t>
  </si>
  <si>
    <t>2G10779/560</t>
  </si>
  <si>
    <t>3819/540</t>
  </si>
  <si>
    <t>779/540</t>
  </si>
  <si>
    <t>381184/C2</t>
  </si>
  <si>
    <t>2G1077784</t>
  </si>
  <si>
    <t>381176/HC</t>
  </si>
  <si>
    <t>381176/C9</t>
  </si>
  <si>
    <t>1077776U</t>
  </si>
  <si>
    <t>381176/C2</t>
  </si>
  <si>
    <t>2G1077776</t>
  </si>
  <si>
    <t>381172/HC</t>
  </si>
  <si>
    <t>1077772S</t>
  </si>
  <si>
    <t>381168/C3S0</t>
  </si>
  <si>
    <t>1077768C3T</t>
  </si>
  <si>
    <t>381160X2/HC</t>
  </si>
  <si>
    <t>77760S</t>
  </si>
  <si>
    <t>381160X2/C9</t>
  </si>
  <si>
    <t>77760U</t>
  </si>
  <si>
    <t>381160X2</t>
  </si>
  <si>
    <t>381156/C9</t>
  </si>
  <si>
    <t>1077756U</t>
  </si>
  <si>
    <t>381156/C2</t>
  </si>
  <si>
    <t>2G1077756</t>
  </si>
  <si>
    <t>381152X2</t>
  </si>
  <si>
    <t>3811/750/YA</t>
  </si>
  <si>
    <t>10777/750Y</t>
  </si>
  <si>
    <t>3811/750/HC</t>
  </si>
  <si>
    <t>10777/750S</t>
  </si>
  <si>
    <t>3811/750/C9</t>
  </si>
  <si>
    <t>10777/750U</t>
  </si>
  <si>
    <t>3811/750/C2YA1</t>
  </si>
  <si>
    <t>2G10777/750Y1</t>
  </si>
  <si>
    <t>3811/750/C2YA</t>
  </si>
  <si>
    <t>2G10777/750Y</t>
  </si>
  <si>
    <t>3811/750/C2</t>
  </si>
  <si>
    <t>2G10777/750</t>
  </si>
  <si>
    <t>3811/710/C2</t>
  </si>
  <si>
    <t>2G10777/710</t>
  </si>
  <si>
    <t>3811/670</t>
  </si>
  <si>
    <t>10777/670</t>
  </si>
  <si>
    <t>3811/630/C2</t>
  </si>
  <si>
    <t>2G10777/630</t>
  </si>
  <si>
    <t>3811/600/HC</t>
  </si>
  <si>
    <t>3811/600/C2</t>
  </si>
  <si>
    <t>2G10777/600</t>
  </si>
  <si>
    <t>3811/560/C2</t>
  </si>
  <si>
    <t>2G10777/560</t>
  </si>
  <si>
    <t>3811/560</t>
  </si>
  <si>
    <t>10777/560</t>
  </si>
  <si>
    <t>3811/530/C2</t>
  </si>
  <si>
    <t>2G10777/530</t>
  </si>
  <si>
    <t>3811/500</t>
  </si>
  <si>
    <t>10777/500</t>
  </si>
  <si>
    <t>381096/HC</t>
  </si>
  <si>
    <t>77196S</t>
  </si>
  <si>
    <t>381096/C2</t>
  </si>
  <si>
    <t>2G77196</t>
  </si>
  <si>
    <t>381088X2E/YB2</t>
  </si>
  <si>
    <t>77788E</t>
  </si>
  <si>
    <t>381088X2/YB2</t>
  </si>
  <si>
    <t>381088X2/YA</t>
  </si>
  <si>
    <t>77788K</t>
  </si>
  <si>
    <t>381088X2/HC</t>
  </si>
  <si>
    <t>77788S</t>
  </si>
  <si>
    <t>381088X2/C9YB2</t>
  </si>
  <si>
    <t>77788U</t>
  </si>
  <si>
    <t>381088X2/C2YB2</t>
  </si>
  <si>
    <t>2G77788</t>
  </si>
  <si>
    <t>381088/C2</t>
  </si>
  <si>
    <t>2G77188</t>
  </si>
  <si>
    <t>381084/C2</t>
  </si>
  <si>
    <t>2G77184</t>
  </si>
  <si>
    <t>381080/C3</t>
  </si>
  <si>
    <t>3G77180</t>
  </si>
  <si>
    <t>381080/C2</t>
  </si>
  <si>
    <t>2G77180</t>
  </si>
  <si>
    <t>381076/C2</t>
  </si>
  <si>
    <t>2G77176</t>
  </si>
  <si>
    <t>381072/C2</t>
  </si>
  <si>
    <t>2G77172</t>
  </si>
  <si>
    <t>381068/C2</t>
  </si>
  <si>
    <t>2G77168</t>
  </si>
  <si>
    <t>381050X2</t>
  </si>
  <si>
    <t>77750Y</t>
  </si>
  <si>
    <t>3810/710/C2</t>
  </si>
  <si>
    <t>2G771/710</t>
  </si>
  <si>
    <t>3810/670</t>
  </si>
  <si>
    <t>771/670</t>
  </si>
  <si>
    <t>3810/630/HC</t>
  </si>
  <si>
    <t>3810/630/C2</t>
  </si>
  <si>
    <t>2G771/630</t>
  </si>
  <si>
    <t>3810/600/HC</t>
  </si>
  <si>
    <t>3810/600/C2</t>
  </si>
  <si>
    <t>2G771/600</t>
  </si>
  <si>
    <t>3810/560</t>
  </si>
  <si>
    <t>771/560</t>
  </si>
  <si>
    <t>3806/530/C2</t>
  </si>
  <si>
    <t>2G30777/530</t>
  </si>
  <si>
    <t>3806/530</t>
  </si>
  <si>
    <t>30777/530</t>
  </si>
  <si>
    <t>3806/488.95/YA3</t>
  </si>
  <si>
    <t>3-720</t>
  </si>
  <si>
    <t>382952/C2</t>
  </si>
  <si>
    <t>2G2077952</t>
  </si>
  <si>
    <t>382064X2/YB2</t>
  </si>
  <si>
    <t>382064X2/P52</t>
  </si>
  <si>
    <t>2D2077164</t>
  </si>
  <si>
    <t>382064X2/P5</t>
  </si>
  <si>
    <t>D2077164</t>
  </si>
  <si>
    <t>382064X2/C2YB2</t>
  </si>
  <si>
    <t>2G2077164</t>
  </si>
  <si>
    <t>382064X2/C2</t>
  </si>
  <si>
    <t>382064X2</t>
  </si>
  <si>
    <t>382060/C2</t>
  </si>
  <si>
    <t>2G2077160</t>
  </si>
  <si>
    <t>382056X2</t>
  </si>
  <si>
    <t>2077156E</t>
  </si>
  <si>
    <t>382052X2/HG</t>
  </si>
  <si>
    <t>4G77752</t>
  </si>
  <si>
    <t>382052X2/C9</t>
  </si>
  <si>
    <t>77752U</t>
  </si>
  <si>
    <t>382052X2/C5</t>
  </si>
  <si>
    <t>5G77752</t>
  </si>
  <si>
    <t>382052X2/C4</t>
  </si>
  <si>
    <t>382052X2/C3</t>
  </si>
  <si>
    <t>3G77752</t>
  </si>
  <si>
    <t>382052X2/C2</t>
  </si>
  <si>
    <t>2G77752</t>
  </si>
  <si>
    <t>382052/P62</t>
  </si>
  <si>
    <t>2E2077152</t>
  </si>
  <si>
    <t>382052/P52</t>
  </si>
  <si>
    <t>2D2077152</t>
  </si>
  <si>
    <t>382052/C2</t>
  </si>
  <si>
    <t>2G2077152</t>
  </si>
  <si>
    <t>382044/P52</t>
  </si>
  <si>
    <t>2D2077144</t>
  </si>
  <si>
    <t>382044/C2</t>
  </si>
  <si>
    <t>2G2077144</t>
  </si>
  <si>
    <t>382034/S0</t>
  </si>
  <si>
    <t>2077134T</t>
  </si>
  <si>
    <t>3820/950/C2</t>
  </si>
  <si>
    <t>2G20771/950</t>
  </si>
  <si>
    <t>3820/1060/C2</t>
  </si>
  <si>
    <t>2G20771/1060</t>
  </si>
  <si>
    <t>381992X3/YA</t>
  </si>
  <si>
    <t>381992/P6</t>
  </si>
  <si>
    <t>E1077992S</t>
  </si>
  <si>
    <t>381992/HCC9</t>
  </si>
  <si>
    <t>1077992U</t>
  </si>
  <si>
    <t>381992/HC</t>
  </si>
  <si>
    <t>381992/C2</t>
  </si>
  <si>
    <t>2G1077992</t>
  </si>
  <si>
    <t>3819/670/HC</t>
  </si>
  <si>
    <t>10779/670S</t>
  </si>
  <si>
    <t>3819/670/C2</t>
  </si>
  <si>
    <t>2G10779/670</t>
  </si>
  <si>
    <t>3819/630/HC</t>
  </si>
  <si>
    <t>3810/530C2</t>
  </si>
  <si>
    <t>2G771/530</t>
  </si>
  <si>
    <t>3810/500C2</t>
  </si>
  <si>
    <t>2G771/500</t>
  </si>
  <si>
    <t>380692/YB2</t>
  </si>
  <si>
    <t>380692/C9YB2</t>
  </si>
  <si>
    <t>77792U</t>
  </si>
  <si>
    <t>380692/C2YB2</t>
  </si>
  <si>
    <t>2G77792</t>
  </si>
  <si>
    <t>380692/C2</t>
  </si>
  <si>
    <t>2G77892</t>
  </si>
  <si>
    <t>380688/HC</t>
  </si>
  <si>
    <t>77888S</t>
  </si>
  <si>
    <t>380688/C9</t>
  </si>
  <si>
    <t>77888U</t>
  </si>
  <si>
    <t>380688/C2</t>
  </si>
  <si>
    <t>2G77888</t>
  </si>
  <si>
    <t>380684/C2</t>
  </si>
  <si>
    <t>2G77884</t>
  </si>
  <si>
    <t>380680/HC</t>
  </si>
  <si>
    <t>77880S</t>
  </si>
  <si>
    <t>380679/YA</t>
  </si>
  <si>
    <t>77779K</t>
  </si>
  <si>
    <t>380679/HCC9</t>
  </si>
  <si>
    <t>77779S</t>
  </si>
  <si>
    <t>380679/C9</t>
  </si>
  <si>
    <t>77779U</t>
  </si>
  <si>
    <t>380679/C2</t>
  </si>
  <si>
    <t>2G77779</t>
  </si>
  <si>
    <t>380670/HC</t>
  </si>
  <si>
    <t>777770S</t>
  </si>
  <si>
    <t>380670/C3</t>
  </si>
  <si>
    <t>3G777770</t>
  </si>
  <si>
    <t>380670/C2</t>
  </si>
  <si>
    <t>2G777770</t>
  </si>
  <si>
    <t>380664/YB2</t>
  </si>
  <si>
    <t>3-703</t>
  </si>
  <si>
    <t>380649/C9</t>
  </si>
  <si>
    <t>77949U</t>
  </si>
  <si>
    <t>380641/C2</t>
  </si>
  <si>
    <t>2G77741</t>
  </si>
  <si>
    <t>3-744</t>
  </si>
  <si>
    <t>3806/750/C2</t>
  </si>
  <si>
    <t>2G777/750</t>
  </si>
  <si>
    <t>3806/660/C2</t>
  </si>
  <si>
    <t>2G777/660</t>
  </si>
  <si>
    <t>3806/650/YA5</t>
  </si>
  <si>
    <t>777/650K</t>
  </si>
  <si>
    <t>3806/650/YA</t>
  </si>
  <si>
    <t>3806/650/HCC9</t>
  </si>
  <si>
    <t>777/650SU</t>
  </si>
  <si>
    <t>3806/650/C2</t>
  </si>
  <si>
    <t>2G777/650</t>
  </si>
  <si>
    <t>3806/600</t>
  </si>
  <si>
    <t>777/600</t>
  </si>
  <si>
    <t>3806/530/C3</t>
  </si>
  <si>
    <t>3G30777/530</t>
  </si>
  <si>
    <t>220KBE30+L</t>
  </si>
  <si>
    <t>31313/S0</t>
  </si>
  <si>
    <t>27313ET</t>
  </si>
  <si>
    <t>31315/S0</t>
  </si>
  <si>
    <t>27315ET</t>
  </si>
  <si>
    <t>32209X2B</t>
  </si>
  <si>
    <t>27509E</t>
  </si>
  <si>
    <t>32934YA</t>
  </si>
  <si>
    <t>32005YA</t>
  </si>
  <si>
    <t>2007105EK</t>
  </si>
  <si>
    <t>32022Z1</t>
  </si>
  <si>
    <t>2007122EZ1</t>
  </si>
  <si>
    <t>32024/YA</t>
  </si>
  <si>
    <t>2007124K</t>
  </si>
  <si>
    <t>32028L1</t>
  </si>
  <si>
    <t>2007128EL</t>
  </si>
  <si>
    <t>32060/HC</t>
  </si>
  <si>
    <t>2007160S</t>
  </si>
  <si>
    <t>33118/YB2</t>
  </si>
  <si>
    <t>32213/Z1</t>
  </si>
  <si>
    <t>7513Z1</t>
  </si>
  <si>
    <t>32218/Z1</t>
  </si>
  <si>
    <t>7518EZ1</t>
  </si>
  <si>
    <t>32311/YA</t>
  </si>
  <si>
    <t>308/800YB2</t>
  </si>
  <si>
    <t>31856X2</t>
  </si>
  <si>
    <t>31092X2</t>
  </si>
  <si>
    <t>32008X1/WC</t>
  </si>
  <si>
    <t>32022X2/S0</t>
  </si>
  <si>
    <t>32028X2/L2</t>
  </si>
  <si>
    <t>32032X2/YA</t>
  </si>
  <si>
    <t>2007132K</t>
  </si>
  <si>
    <t>32044X2/S0</t>
  </si>
  <si>
    <t>7244T</t>
  </si>
  <si>
    <t>33011X2</t>
  </si>
  <si>
    <t>331133X2</t>
  </si>
  <si>
    <t>7813EK</t>
  </si>
  <si>
    <t>30203X2</t>
  </si>
  <si>
    <t>30204X2</t>
  </si>
  <si>
    <t>30205X2</t>
  </si>
  <si>
    <t>30211X2/YA</t>
  </si>
  <si>
    <t>30215X2</t>
  </si>
  <si>
    <t>30224X2</t>
  </si>
  <si>
    <t>32213X2</t>
  </si>
  <si>
    <t>32216X2/Z</t>
  </si>
  <si>
    <t>7516Z</t>
  </si>
  <si>
    <t>32222X2</t>
  </si>
  <si>
    <t>7522K</t>
  </si>
  <si>
    <t>33209X3</t>
  </si>
  <si>
    <t>7809E</t>
  </si>
  <si>
    <t>33217/HV</t>
  </si>
  <si>
    <t>7217X</t>
  </si>
  <si>
    <t>323/32X1TN1</t>
  </si>
  <si>
    <t>7806EA</t>
  </si>
  <si>
    <t>T2ED070/YA</t>
  </si>
  <si>
    <t>EXT2ED070K</t>
  </si>
  <si>
    <t>T5DD055</t>
  </si>
  <si>
    <t>306/19.05</t>
  </si>
  <si>
    <t>7804EY</t>
  </si>
  <si>
    <t>306/22.225</t>
  </si>
  <si>
    <t>7905E</t>
  </si>
  <si>
    <t>306/26</t>
  </si>
  <si>
    <t>7905EY</t>
  </si>
  <si>
    <t>306/30.213</t>
  </si>
  <si>
    <t>7906E</t>
  </si>
  <si>
    <t>306/45.25</t>
  </si>
  <si>
    <t>306/50.8</t>
  </si>
  <si>
    <t>306/50.8/S0</t>
  </si>
  <si>
    <t>7910KT</t>
  </si>
  <si>
    <t>7714E</t>
  </si>
  <si>
    <t>306/71</t>
  </si>
  <si>
    <t>7914K</t>
  </si>
  <si>
    <t>306/72</t>
  </si>
  <si>
    <t>7914E</t>
  </si>
  <si>
    <t>30615/HC</t>
  </si>
  <si>
    <t>306/182.6</t>
  </si>
  <si>
    <t>D7858</t>
  </si>
  <si>
    <t>306/209.55</t>
  </si>
  <si>
    <t>306/212.725</t>
  </si>
  <si>
    <t>306/292.1</t>
  </si>
  <si>
    <t>306/760-1</t>
  </si>
  <si>
    <t>79/760</t>
  </si>
  <si>
    <t>R31302</t>
  </si>
  <si>
    <t>877302E</t>
  </si>
  <si>
    <t>R32308</t>
  </si>
  <si>
    <t>877608E</t>
  </si>
  <si>
    <t>LR306/33.02-1</t>
  </si>
  <si>
    <t>977907K</t>
  </si>
  <si>
    <t>LR306/40.62-1</t>
  </si>
  <si>
    <t>977908K(9879)</t>
  </si>
  <si>
    <t>LR306/46.673-1</t>
  </si>
  <si>
    <t>977909K</t>
  </si>
  <si>
    <t>352132X2D1</t>
  </si>
  <si>
    <t>352052X2D1</t>
  </si>
  <si>
    <t>350307X2D</t>
  </si>
  <si>
    <t>372222X3</t>
  </si>
  <si>
    <t>372224X2</t>
  </si>
  <si>
    <t>187224E</t>
  </si>
  <si>
    <t>371180X2</t>
  </si>
  <si>
    <t>371184X2</t>
  </si>
  <si>
    <t>371188X2</t>
  </si>
  <si>
    <t>3711/500X2</t>
  </si>
  <si>
    <t>878/500</t>
  </si>
  <si>
    <t>3706/260.35</t>
  </si>
  <si>
    <t>3706/228.925</t>
  </si>
  <si>
    <t>87958K</t>
  </si>
  <si>
    <t>370660/YA</t>
  </si>
  <si>
    <t>3706/501.13/HC</t>
  </si>
  <si>
    <t>1879/510.13</t>
  </si>
  <si>
    <t>3506/530</t>
  </si>
  <si>
    <t>878/530</t>
  </si>
  <si>
    <t>31980/P59</t>
  </si>
  <si>
    <t>D109780U</t>
  </si>
  <si>
    <t>3519/600HC</t>
  </si>
  <si>
    <t>10979/600S</t>
  </si>
  <si>
    <t>3519/750HC</t>
  </si>
  <si>
    <t>10979/750S</t>
  </si>
  <si>
    <t>3519/800/C3S0</t>
  </si>
  <si>
    <t>3G10979/800T</t>
  </si>
  <si>
    <t>352064/C2</t>
  </si>
  <si>
    <t>2G2097164</t>
  </si>
  <si>
    <t>351184HC</t>
  </si>
  <si>
    <t>1097784S</t>
  </si>
  <si>
    <t>97509E</t>
  </si>
  <si>
    <t>97511E</t>
  </si>
  <si>
    <t>352215X2L1/P2</t>
  </si>
  <si>
    <t>97515L</t>
  </si>
  <si>
    <t>3529X2</t>
  </si>
  <si>
    <t>352952X2-2</t>
  </si>
  <si>
    <t>351080X2</t>
  </si>
  <si>
    <t>3510/710X2/C3</t>
  </si>
  <si>
    <t>3511/500X2</t>
  </si>
  <si>
    <t>978/500</t>
  </si>
  <si>
    <t>352122X2/YA</t>
  </si>
  <si>
    <t>2097722K</t>
  </si>
  <si>
    <t>351232X2</t>
  </si>
  <si>
    <t>352132X2/HA</t>
  </si>
  <si>
    <t>352134X2/YA</t>
  </si>
  <si>
    <t>2097734K</t>
  </si>
  <si>
    <t>97713FKT</t>
  </si>
  <si>
    <t>3506/129.5</t>
  </si>
  <si>
    <t>97726K</t>
  </si>
  <si>
    <t>3709/305.079</t>
  </si>
  <si>
    <t>3509/382/HA</t>
  </si>
  <si>
    <t>352223X2-2Z-1</t>
  </si>
  <si>
    <t>352223X3-2Z/HGS0</t>
  </si>
  <si>
    <t>197826GT</t>
  </si>
  <si>
    <t>3522262Z/S0</t>
  </si>
  <si>
    <t>197726T</t>
  </si>
  <si>
    <t>352226X1-2Z</t>
  </si>
  <si>
    <t>3506/119.095</t>
  </si>
  <si>
    <t>3506/165.087</t>
  </si>
  <si>
    <t>382968X2/C9</t>
  </si>
  <si>
    <t>77860U</t>
  </si>
  <si>
    <t>384080/HC</t>
  </si>
  <si>
    <t>77180S</t>
  </si>
  <si>
    <t>391092/C2</t>
  </si>
  <si>
    <t>2G77192</t>
  </si>
  <si>
    <t>3810/750</t>
  </si>
  <si>
    <t>771/750</t>
  </si>
  <si>
    <t>3810/750/C2</t>
  </si>
  <si>
    <t>2G771/750</t>
  </si>
  <si>
    <t>382064/P42</t>
  </si>
  <si>
    <t>381160/C9</t>
  </si>
  <si>
    <t>1077760U</t>
  </si>
  <si>
    <t>3811/850</t>
  </si>
  <si>
    <t>10777/850</t>
  </si>
  <si>
    <t>381052X2/C2</t>
  </si>
  <si>
    <t>381052X2/C3</t>
  </si>
  <si>
    <t>381152X2/C9</t>
  </si>
  <si>
    <t>77852U</t>
  </si>
  <si>
    <t>3811/750X2/HC</t>
  </si>
  <si>
    <t>3811/560X2/C2</t>
  </si>
  <si>
    <t>2G777/560</t>
  </si>
  <si>
    <t>3811/600X2</t>
  </si>
  <si>
    <t>381176X2</t>
  </si>
  <si>
    <t>380676/C2</t>
  </si>
  <si>
    <t>2G77776</t>
  </si>
  <si>
    <t>3806/488.95/YA3/P5</t>
  </si>
  <si>
    <t>D3-720</t>
  </si>
  <si>
    <t>32024R</t>
  </si>
  <si>
    <t>30601R</t>
  </si>
  <si>
    <t>306/622</t>
  </si>
  <si>
    <t>679/622</t>
  </si>
  <si>
    <t>306/622.3RM</t>
  </si>
  <si>
    <t>679/622H</t>
  </si>
  <si>
    <t>352024X2RDNA</t>
  </si>
  <si>
    <t>350620X2RD</t>
  </si>
  <si>
    <t>350628RD</t>
  </si>
  <si>
    <t>352024X2R</t>
  </si>
  <si>
    <t>2697124K(2657124)</t>
  </si>
  <si>
    <t>352028X2R</t>
  </si>
  <si>
    <t>352032X2RL1</t>
  </si>
  <si>
    <t>A2697132L</t>
  </si>
  <si>
    <t>352124R</t>
  </si>
  <si>
    <t>352216X2R</t>
  </si>
  <si>
    <t>352216X2RL1</t>
  </si>
  <si>
    <t>697516L</t>
  </si>
  <si>
    <t>352019X2R</t>
  </si>
  <si>
    <t>697819K</t>
  </si>
  <si>
    <t>320/328</t>
  </si>
  <si>
    <t>339/332</t>
  </si>
  <si>
    <t>392A/394A</t>
  </si>
  <si>
    <t>438/432</t>
  </si>
  <si>
    <t>444/432</t>
  </si>
  <si>
    <t>498/493</t>
  </si>
  <si>
    <t>527/522</t>
  </si>
  <si>
    <t>528X/520X</t>
  </si>
  <si>
    <t>535/532A</t>
  </si>
  <si>
    <t>536/532A</t>
  </si>
  <si>
    <t>AK53X/532X</t>
  </si>
  <si>
    <t>538/532A</t>
  </si>
  <si>
    <t>539/532</t>
  </si>
  <si>
    <t>539/532X</t>
  </si>
  <si>
    <t>539/532A</t>
  </si>
  <si>
    <t>539A/532X</t>
  </si>
  <si>
    <t>566/563X</t>
  </si>
  <si>
    <t>566/563</t>
  </si>
  <si>
    <t>567X/562X</t>
  </si>
  <si>
    <t>567A/562</t>
  </si>
  <si>
    <t>567/562</t>
  </si>
  <si>
    <t>567A/563</t>
  </si>
  <si>
    <t>569/562X</t>
  </si>
  <si>
    <t>569X/562</t>
  </si>
  <si>
    <t>570/562X</t>
  </si>
  <si>
    <t>570/562</t>
  </si>
  <si>
    <t>575S/572S</t>
  </si>
  <si>
    <t>582S/572S</t>
  </si>
  <si>
    <t>594/493X</t>
  </si>
  <si>
    <t>597/593X</t>
  </si>
  <si>
    <t>597/592</t>
  </si>
  <si>
    <t>615/612</t>
  </si>
  <si>
    <t>622X/613X</t>
  </si>
  <si>
    <t>622/614X</t>
  </si>
  <si>
    <t>639/632</t>
  </si>
  <si>
    <t>645/632X</t>
  </si>
  <si>
    <t>645/632</t>
  </si>
  <si>
    <t>759/752</t>
  </si>
  <si>
    <t>1755/1729X</t>
  </si>
  <si>
    <t>1779/1729</t>
  </si>
  <si>
    <t>1779/1729X</t>
  </si>
  <si>
    <t>1986/1932</t>
  </si>
  <si>
    <t>1998/1922</t>
  </si>
  <si>
    <t>2788/2729</t>
  </si>
  <si>
    <t>2984/2920</t>
  </si>
  <si>
    <t>2984/2924</t>
  </si>
  <si>
    <t>3984/3925</t>
  </si>
  <si>
    <t>3984/3926</t>
  </si>
  <si>
    <t>5557/5520</t>
  </si>
  <si>
    <t>8574/8520</t>
  </si>
  <si>
    <t>02473/02419</t>
  </si>
  <si>
    <t>02872/02820</t>
  </si>
  <si>
    <t>07100/07210</t>
  </si>
  <si>
    <t>07887/07210</t>
  </si>
  <si>
    <t>09074/09195</t>
  </si>
  <si>
    <t>09075/09196</t>
  </si>
  <si>
    <t>KA11020/11020Z</t>
  </si>
  <si>
    <t>KA11410/11410Z</t>
  </si>
  <si>
    <t>M12649S/M12610S</t>
  </si>
  <si>
    <t>M12649S/10</t>
  </si>
  <si>
    <t>15580/15520</t>
  </si>
  <si>
    <t>NA24776SW/K78175</t>
  </si>
  <si>
    <t>15877/25821</t>
  </si>
  <si>
    <t>22570/25520</t>
  </si>
  <si>
    <t>255720/25520</t>
  </si>
  <si>
    <t>26884/26882</t>
  </si>
  <si>
    <t>2780/27620</t>
  </si>
  <si>
    <t>28682/28622</t>
  </si>
  <si>
    <t>29590/29522A</t>
  </si>
  <si>
    <t>31590/31520</t>
  </si>
  <si>
    <t>31593/31520</t>
  </si>
  <si>
    <t>32310/32355</t>
  </si>
  <si>
    <t>33225/33472</t>
  </si>
  <si>
    <t>29.29.794</t>
  </si>
  <si>
    <t>33275/33472</t>
  </si>
  <si>
    <t>33885/33821</t>
  </si>
  <si>
    <t>33889/33821</t>
  </si>
  <si>
    <t>33891/33821</t>
  </si>
  <si>
    <t>36690/36920</t>
  </si>
  <si>
    <t>41126/41286</t>
  </si>
  <si>
    <t>44150/44348</t>
  </si>
  <si>
    <t>48086/48220</t>
  </si>
  <si>
    <t>53176/53375</t>
  </si>
  <si>
    <t>57305/30207J</t>
  </si>
  <si>
    <t>59175/59412</t>
  </si>
  <si>
    <t>59187/59412</t>
  </si>
  <si>
    <t>65237/65500</t>
  </si>
  <si>
    <t>65385/65320</t>
  </si>
  <si>
    <t>K65525/K75925</t>
  </si>
  <si>
    <t>73449/734410</t>
  </si>
  <si>
    <t>K75500/K75925</t>
  </si>
  <si>
    <t>K73825/K73125</t>
  </si>
  <si>
    <t>HN89448/HM89410</t>
  </si>
  <si>
    <t>HM228340/HM228310</t>
  </si>
  <si>
    <t>7924E</t>
  </si>
  <si>
    <t>HM26447/HM266410</t>
  </si>
  <si>
    <t>LL428439/LL428310</t>
  </si>
  <si>
    <t>JLM508748/JLM508710</t>
  </si>
  <si>
    <t>KJHM522649/KJHM522510-3</t>
  </si>
  <si>
    <t>527053/HM80710</t>
  </si>
  <si>
    <t>JM720249/JM716610</t>
  </si>
  <si>
    <t>EE722115/EE7221185</t>
  </si>
  <si>
    <t>FHM803146/FHN803110</t>
  </si>
  <si>
    <t>LM247748DW/710/710D</t>
  </si>
  <si>
    <t>LM451349/DW/310/310D</t>
  </si>
  <si>
    <t>M240648DW/611/611D</t>
  </si>
  <si>
    <t>M240631T/644TD/644TD/647T</t>
  </si>
  <si>
    <t>NA484/472D</t>
  </si>
  <si>
    <t>JRM3535/JRM3564XD</t>
  </si>
  <si>
    <t>JRM3939/JRM3968XD</t>
  </si>
  <si>
    <t>64450/64700D</t>
  </si>
  <si>
    <t>NA46790-SW/46720CD</t>
  </si>
  <si>
    <t>71437/71751D</t>
  </si>
  <si>
    <t>74550/74851ZDC</t>
  </si>
  <si>
    <t>EE114080/EE114161DC</t>
  </si>
  <si>
    <t>EE126098/EE126161CD</t>
  </si>
  <si>
    <t>HM126048/HM124618XD</t>
  </si>
  <si>
    <t>HM129848/HM129814XD</t>
  </si>
  <si>
    <t>EE181453/EE19235LD</t>
  </si>
  <si>
    <t>NA231400/231976CD</t>
  </si>
  <si>
    <t>JH211749/JH211710/DB</t>
  </si>
  <si>
    <t>KJH211749/KJH211710/DB</t>
  </si>
  <si>
    <t>KHM237545/KHM237510D</t>
  </si>
  <si>
    <t>HM237546DW/HM237510</t>
  </si>
  <si>
    <t>3-759</t>
  </si>
  <si>
    <t>HM237545/HM237510DC</t>
  </si>
  <si>
    <t>97136K</t>
  </si>
  <si>
    <t>HM237545/237510CD</t>
  </si>
  <si>
    <t>HM256849/HM256810D</t>
  </si>
  <si>
    <t>379411K</t>
  </si>
  <si>
    <t>LM239530T/LM239546TD-LM239549T</t>
  </si>
  <si>
    <t>(d</t>
  </si>
  <si>
    <t>D</t>
  </si>
  <si>
    <t>EE243196/EE243251DC</t>
  </si>
  <si>
    <t>D3-725</t>
  </si>
  <si>
    <t>HH255149D/HH255110</t>
  </si>
  <si>
    <t>HH258249TD/HH258210</t>
  </si>
  <si>
    <t>HM262749TD/HM262710</t>
  </si>
  <si>
    <t>HM269010R/HM261049D</t>
  </si>
  <si>
    <t>HM265049/HM265010D/P</t>
  </si>
  <si>
    <t>E3-743</t>
  </si>
  <si>
    <t>HM2650497DS/HM265010S</t>
  </si>
  <si>
    <t>LM272249DW/LM27221-LM272210D</t>
  </si>
  <si>
    <t>M238848/M238810DC</t>
  </si>
  <si>
    <t>M249732/M249710CD</t>
  </si>
  <si>
    <t>M255449TD/M255410</t>
  </si>
  <si>
    <t>M268749DW/M268710</t>
  </si>
  <si>
    <t>M270749ADW/M270710</t>
  </si>
  <si>
    <t>M272749/M272710DC</t>
  </si>
  <si>
    <t>E3-723</t>
  </si>
  <si>
    <t>L357049NW/L357010D</t>
  </si>
  <si>
    <t>L357049/L357010D/C</t>
  </si>
  <si>
    <t>EE420800D/EE421450</t>
  </si>
  <si>
    <t>3-758</t>
  </si>
  <si>
    <t>JM511946/JM511910/DB</t>
  </si>
  <si>
    <t>KJHM534149/KJHM534110/DB</t>
  </si>
  <si>
    <t>EE722115/EE722186CD</t>
  </si>
  <si>
    <t>LM772748/LM772710CD</t>
  </si>
  <si>
    <t>EE738101DW/EE738172</t>
  </si>
  <si>
    <t>3-757</t>
  </si>
  <si>
    <t>EE822101D/EE822175</t>
  </si>
  <si>
    <t>EE843220/EE843292D</t>
  </si>
  <si>
    <t>3-737</t>
  </si>
  <si>
    <t>EE843220/EE843292D/P6</t>
  </si>
  <si>
    <t>3E3-737</t>
  </si>
  <si>
    <t>EE843220/EE843292D/C3</t>
  </si>
  <si>
    <t>3G3-737</t>
  </si>
  <si>
    <t>HM926749/HM926710D</t>
  </si>
  <si>
    <t>HH949549/HH949510D</t>
  </si>
  <si>
    <t>LM961548/LM961511D</t>
  </si>
  <si>
    <t>4T-HM903249/HM903210</t>
  </si>
  <si>
    <t>48680DW/4862/48620D</t>
  </si>
  <si>
    <t>77928UK</t>
  </si>
  <si>
    <t>47T513627AWF/DPGCS</t>
  </si>
  <si>
    <t>EE127097D/EE127135-127136D</t>
  </si>
  <si>
    <t>EE231475D/EE231975-231976D</t>
  </si>
  <si>
    <t>EE531201D/EE300/301XD</t>
  </si>
  <si>
    <t>3-721</t>
  </si>
  <si>
    <t>EE649241DW/EE649310/64</t>
  </si>
  <si>
    <t>779/609.6SU</t>
  </si>
  <si>
    <t>EE655271W/EE345/346D</t>
  </si>
  <si>
    <t>3-719</t>
  </si>
  <si>
    <t>EE65527W/EE345/346D/P</t>
  </si>
  <si>
    <t>D3-719</t>
  </si>
  <si>
    <t>HM266449DW/HM266410-HM266410CD</t>
  </si>
  <si>
    <t>K18790/K18720B+K28580/K28521/D</t>
  </si>
  <si>
    <t>KHM218248/KHM218210/DB</t>
  </si>
  <si>
    <t>K387A/K382B+K3979/K3920/DB</t>
  </si>
  <si>
    <t>K95525/K5925-3</t>
  </si>
  <si>
    <t>KEE127097D/K127135-K127136D</t>
  </si>
  <si>
    <t>KEE135111DW/K135155-135156D</t>
  </si>
  <si>
    <t>LM239530T/46TD/49T/1</t>
  </si>
  <si>
    <t>3-771</t>
  </si>
  <si>
    <t>LM247748DW/LM247710-LM247710D</t>
  </si>
  <si>
    <t>LM451349DW/310/310D</t>
  </si>
  <si>
    <t>LM451349DW/LM451310-LM451310D</t>
  </si>
  <si>
    <t>LM761648DW/LM761610-LM761610D</t>
  </si>
  <si>
    <t>LM761649DW/10/10/HC</t>
  </si>
  <si>
    <t>3-722S</t>
  </si>
  <si>
    <t>LM76164DW/610/610D/P</t>
  </si>
  <si>
    <t>D3-722</t>
  </si>
  <si>
    <t>LM761649DW/LW761610D</t>
  </si>
  <si>
    <t>E77969</t>
  </si>
  <si>
    <t>LM716649DW/LM761610-LM761610D</t>
  </si>
  <si>
    <t>LM769349D/LM769310-LM769310D</t>
  </si>
  <si>
    <t>LM274049DW/LM274010-LM2740010D</t>
  </si>
  <si>
    <t>M238849D/M238810-M238810D</t>
  </si>
  <si>
    <t>M204648DW.611.611D</t>
  </si>
  <si>
    <t>M240631T.644T.647T.</t>
  </si>
  <si>
    <t>M249748D/M249710-M249710D</t>
  </si>
  <si>
    <t>M249710C2/ORM249748D</t>
  </si>
  <si>
    <t>M252349/M252310-M252310D</t>
  </si>
  <si>
    <t>M255449DW/M255410-M25540D</t>
  </si>
  <si>
    <t>子轴承</t>
  </si>
  <si>
    <t>M257149DW/110/110D</t>
  </si>
  <si>
    <t>M257148/M257210-M257210D</t>
  </si>
  <si>
    <t>M274149DW/M274110-M27410D</t>
  </si>
  <si>
    <t>M282249DW/M282210/M2</t>
  </si>
  <si>
    <t>779/682.7S</t>
  </si>
  <si>
    <t>SKF 32308 J2/Q</t>
  </si>
  <si>
    <t>1KG</t>
  </si>
  <si>
    <t>LM102949/10</t>
  </si>
  <si>
    <t>T4DB180</t>
  </si>
  <si>
    <t>3.6kg</t>
  </si>
  <si>
    <t>715KG</t>
  </si>
  <si>
    <t>EE531201D/EE531300/EE531301XD</t>
  </si>
  <si>
    <t>579KG</t>
  </si>
  <si>
    <t>EE655271DW/655345/655346D</t>
  </si>
  <si>
    <t>3-723</t>
  </si>
  <si>
    <t>322KG</t>
  </si>
  <si>
    <t>M272749/M272710DC/P6</t>
  </si>
  <si>
    <t>3-752</t>
  </si>
  <si>
    <t>1007KG</t>
  </si>
  <si>
    <t>M278749DW/M278710/M278710D</t>
  </si>
  <si>
    <t>25.1KG</t>
  </si>
  <si>
    <t>EE291202/291749</t>
  </si>
  <si>
    <t>65.4KG</t>
  </si>
  <si>
    <t>3-743</t>
  </si>
  <si>
    <t>141KG</t>
  </si>
  <si>
    <t>HM65049/HM265010D/P6</t>
  </si>
  <si>
    <t>109KG</t>
  </si>
  <si>
    <t>M257248DW/257210/M257210D</t>
  </si>
  <si>
    <t>99.9KG</t>
  </si>
  <si>
    <t>M252349D/M252310/M252310D</t>
  </si>
  <si>
    <t>31.5KG</t>
  </si>
  <si>
    <t>25.2KG</t>
  </si>
  <si>
    <t>LM239530T/LM239546TD/LM239546T/LM239512D</t>
  </si>
  <si>
    <t>3-725</t>
  </si>
  <si>
    <t>127KG</t>
  </si>
  <si>
    <t>EE213196/243251DC/P5</t>
  </si>
  <si>
    <t>3-730</t>
  </si>
  <si>
    <t>107KG</t>
  </si>
  <si>
    <t>EE114080/114161DC</t>
  </si>
  <si>
    <t>334/332</t>
  </si>
  <si>
    <t>0.48KG</t>
  </si>
  <si>
    <t>11749/11710</t>
  </si>
  <si>
    <t>0.08KG</t>
  </si>
  <si>
    <t>11949/11910</t>
  </si>
  <si>
    <t>0.12KG</t>
  </si>
  <si>
    <t>12649/12610</t>
  </si>
  <si>
    <t>0.17KG</t>
  </si>
  <si>
    <t>12749/12711</t>
  </si>
  <si>
    <t>15123/15243</t>
  </si>
  <si>
    <t>0.24kg</t>
  </si>
  <si>
    <t>T25580/T25520</t>
  </si>
  <si>
    <t>0.57KG</t>
  </si>
  <si>
    <t>T25590/T25520</t>
  </si>
  <si>
    <t>0.55KG</t>
  </si>
  <si>
    <t>LM29478/LM29710</t>
  </si>
  <si>
    <t>0.24KG</t>
  </si>
  <si>
    <t>48680D/48620/48620D</t>
  </si>
  <si>
    <t>16KG</t>
  </si>
  <si>
    <t>48685/48620</t>
  </si>
  <si>
    <t>3.84kg</t>
  </si>
  <si>
    <t>M244249DW/M244210/M244210D</t>
  </si>
  <si>
    <t>58.4KG</t>
  </si>
  <si>
    <t>M244249DW/M244210/M211210D</t>
  </si>
  <si>
    <t>L44643/10</t>
  </si>
  <si>
    <t>0.1KG</t>
  </si>
  <si>
    <t>L44649/10</t>
  </si>
  <si>
    <t>46134/368</t>
  </si>
  <si>
    <t>1.7KG</t>
  </si>
  <si>
    <t>47686/20</t>
  </si>
  <si>
    <t>1.6KG</t>
  </si>
  <si>
    <t>48286/20</t>
  </si>
  <si>
    <t>48290/20</t>
  </si>
  <si>
    <t>3.3KG</t>
  </si>
  <si>
    <t>LM48548/10</t>
  </si>
  <si>
    <t>17.7KG</t>
  </si>
  <si>
    <t>LM48548/11A</t>
  </si>
  <si>
    <t>0.2KG</t>
  </si>
  <si>
    <t>56245/50</t>
  </si>
  <si>
    <t>2.7KG</t>
  </si>
  <si>
    <t>64450/700</t>
  </si>
  <si>
    <t>2.5kg</t>
  </si>
  <si>
    <t>LM67048/10</t>
  </si>
  <si>
    <t>LM68145/11</t>
  </si>
  <si>
    <t>L68149/11</t>
  </si>
  <si>
    <t>HM88542/10</t>
  </si>
  <si>
    <t>0.16KG</t>
  </si>
  <si>
    <t>HM86649/10</t>
  </si>
  <si>
    <t>21.7kg</t>
  </si>
  <si>
    <t>99600/100</t>
  </si>
  <si>
    <t>12.3KG</t>
  </si>
  <si>
    <t>LILM101918/10</t>
  </si>
  <si>
    <t>0.4KG</t>
  </si>
  <si>
    <t>JILM101948/10</t>
  </si>
  <si>
    <t>HM212049/10</t>
  </si>
  <si>
    <t>1.8KG</t>
  </si>
  <si>
    <t>HM21848/10</t>
  </si>
  <si>
    <t>2.5KG</t>
  </si>
  <si>
    <t>LM501349/10</t>
  </si>
  <si>
    <t>0.3KG</t>
  </si>
  <si>
    <t>09074/Q</t>
  </si>
  <si>
    <t>30621X2</t>
  </si>
  <si>
    <t>7821E</t>
  </si>
  <si>
    <t>30207 J2/Q</t>
  </si>
  <si>
    <t>30206 J2/Q</t>
  </si>
  <si>
    <t>30205 J2/Q</t>
  </si>
  <si>
    <t>JL69349A/310Q</t>
  </si>
  <si>
    <t>JL69349X/310/Q</t>
  </si>
  <si>
    <t>T2EE040/QVB134</t>
  </si>
  <si>
    <t>T7FC045/HN3QCL7C</t>
  </si>
  <si>
    <t>45364R</t>
  </si>
  <si>
    <t>452/500</t>
  </si>
  <si>
    <t>453/500</t>
  </si>
  <si>
    <t>46T30305DJ/29.5</t>
  </si>
  <si>
    <t>46T30306DJ/31.5</t>
  </si>
  <si>
    <t>46T30307DJ/35.5</t>
  </si>
  <si>
    <t>46T30208J/37.5</t>
  </si>
  <si>
    <t>46T32208J/43.5</t>
  </si>
  <si>
    <t>46T30308DJ/39.5</t>
  </si>
  <si>
    <t>46T30308J/45.5</t>
  </si>
  <si>
    <t>46T30209J/37.5</t>
  </si>
  <si>
    <t>46T32209J/43.5</t>
  </si>
  <si>
    <t>46T30309DJ/41.5</t>
  </si>
  <si>
    <t>46T30309J/49.5</t>
  </si>
  <si>
    <t>46T30210J/39.5</t>
  </si>
  <si>
    <t>46T32210J/43.5</t>
  </si>
  <si>
    <t>46T30310DJ/43.5</t>
  </si>
  <si>
    <t>46T30310J/51.5</t>
  </si>
  <si>
    <t>46T32310J/71.5</t>
  </si>
  <si>
    <t>46T30211J/41.5</t>
  </si>
  <si>
    <t>46T32211J/48.5</t>
  </si>
  <si>
    <t>46T30311DJ/49</t>
  </si>
  <si>
    <t>46T30311J/57</t>
  </si>
  <si>
    <t>46T32311J/76</t>
  </si>
  <si>
    <t>46T30212J/43.5</t>
  </si>
  <si>
    <t>46T32212J/54.5</t>
  </si>
  <si>
    <t>46T30312DJ/51</t>
  </si>
  <si>
    <t>46T30312J/59</t>
  </si>
  <si>
    <t>46T32312J/81</t>
  </si>
  <si>
    <t>46T30213J46.5</t>
  </si>
  <si>
    <t>46T32213J/61.5</t>
  </si>
  <si>
    <t>46T30313DJ/53</t>
  </si>
  <si>
    <t>46T30313J/63</t>
  </si>
  <si>
    <t>46T32313J/84</t>
  </si>
  <si>
    <t>46T30214J/48.5</t>
  </si>
  <si>
    <t>46T32214J/61.5</t>
  </si>
  <si>
    <t>46T30314DJ/57</t>
  </si>
  <si>
    <t>46T30314J/67</t>
  </si>
  <si>
    <t>46T32314J/92</t>
  </si>
  <si>
    <t>46215A</t>
  </si>
  <si>
    <t>46T30215J/51.5</t>
  </si>
  <si>
    <t>46T32215J/61.5</t>
  </si>
  <si>
    <t>46T30315J/69</t>
  </si>
  <si>
    <t>46T32315J/99</t>
  </si>
  <si>
    <t>46T30216J/51.5</t>
  </si>
  <si>
    <t>46T32216J/63.5</t>
  </si>
  <si>
    <t>46T30316J/73</t>
  </si>
  <si>
    <t>46T32316J/104</t>
  </si>
  <si>
    <t>46T30217J/57</t>
  </si>
  <si>
    <t>46T32217J/69</t>
  </si>
  <si>
    <t>46T30317J/77</t>
  </si>
  <si>
    <t>46T32317J/108</t>
  </si>
  <si>
    <t>46218A</t>
  </si>
  <si>
    <t>46T30218J/61</t>
  </si>
  <si>
    <t>46T32218J/77</t>
  </si>
  <si>
    <t>46T30318J/81</t>
  </si>
  <si>
    <t>46T32318J/115</t>
  </si>
  <si>
    <t>46T30219J/63</t>
  </si>
  <si>
    <t>46T32219J/83</t>
  </si>
  <si>
    <t>46T30319J/85</t>
  </si>
  <si>
    <t>46T32319J/118</t>
  </si>
  <si>
    <t>46220A</t>
  </si>
  <si>
    <t>46320A</t>
  </si>
  <si>
    <t>46T30220J/67</t>
  </si>
  <si>
    <t>46T32220J/87</t>
  </si>
  <si>
    <t>46T30320J/87</t>
  </si>
  <si>
    <t>46T32320J/127</t>
  </si>
  <si>
    <t>46T30221J/70</t>
  </si>
  <si>
    <t>46T32221J/95</t>
  </si>
  <si>
    <t>46T30321J/91</t>
  </si>
  <si>
    <t>46T32321J/113</t>
  </si>
  <si>
    <t>46322A</t>
  </si>
  <si>
    <t>46T30222J/74</t>
  </si>
  <si>
    <t>46T32222J/101</t>
  </si>
  <si>
    <t>46T30322J/93</t>
  </si>
  <si>
    <t>46T32322J/142</t>
  </si>
  <si>
    <t>46224A</t>
  </si>
  <si>
    <t>30202JR</t>
  </si>
  <si>
    <t>30203JR</t>
  </si>
  <si>
    <t>32203JR</t>
  </si>
  <si>
    <t>30303JR</t>
  </si>
  <si>
    <t>30303R</t>
  </si>
  <si>
    <t>32303JR</t>
  </si>
  <si>
    <t>32004JR</t>
  </si>
  <si>
    <t>37008R</t>
  </si>
  <si>
    <t>30204JR</t>
  </si>
  <si>
    <t>32204JR</t>
  </si>
  <si>
    <t>32204XR</t>
  </si>
  <si>
    <t>30304AJR</t>
  </si>
  <si>
    <t>32304CR</t>
  </si>
  <si>
    <t>32304JR</t>
  </si>
  <si>
    <t>320/22JR</t>
  </si>
  <si>
    <t>T2CC022</t>
  </si>
  <si>
    <t>302/22CR</t>
  </si>
  <si>
    <t>302/22R</t>
  </si>
  <si>
    <t>322/22CR</t>
  </si>
  <si>
    <t>322/22R</t>
  </si>
  <si>
    <t>303/22XR</t>
  </si>
  <si>
    <t>303/22R</t>
  </si>
  <si>
    <t>323/22CR</t>
  </si>
  <si>
    <t>323/22R</t>
  </si>
  <si>
    <t>32005JR</t>
  </si>
  <si>
    <t>3305JR</t>
  </si>
  <si>
    <t>30205XR</t>
  </si>
  <si>
    <t>30205JR</t>
  </si>
  <si>
    <t>32205XR</t>
  </si>
  <si>
    <t>32205JR</t>
  </si>
  <si>
    <t>33205JR</t>
  </si>
  <si>
    <t>30305DJR</t>
  </si>
  <si>
    <t>TR0506R</t>
  </si>
  <si>
    <t>30305JR</t>
  </si>
  <si>
    <t>32305XR</t>
  </si>
  <si>
    <t>32305JR</t>
  </si>
  <si>
    <t>320/2JR</t>
  </si>
  <si>
    <t>302/28CR</t>
  </si>
  <si>
    <t>302/28R</t>
  </si>
  <si>
    <t>322/28CR</t>
  </si>
  <si>
    <t>322/28R</t>
  </si>
  <si>
    <t>332/28JR</t>
  </si>
  <si>
    <t>303/28CR</t>
  </si>
  <si>
    <t>303/28R</t>
  </si>
  <si>
    <t>323/28CR</t>
  </si>
  <si>
    <t>32006JR</t>
  </si>
  <si>
    <t>33006JR</t>
  </si>
  <si>
    <t>30206CR</t>
  </si>
  <si>
    <t>30206JR</t>
  </si>
  <si>
    <t>32206XR</t>
  </si>
  <si>
    <t>32206JR</t>
  </si>
  <si>
    <t>33206JR</t>
  </si>
  <si>
    <t>30306DJR</t>
  </si>
  <si>
    <t>TRA0607R</t>
  </si>
  <si>
    <t>30306JR</t>
  </si>
  <si>
    <t>32306CR</t>
  </si>
  <si>
    <t>32306JR</t>
  </si>
  <si>
    <t>320/32JR</t>
  </si>
  <si>
    <t>302/32CR</t>
  </si>
  <si>
    <t>302/32R</t>
  </si>
  <si>
    <t>322/32CR</t>
  </si>
  <si>
    <t>322/32</t>
  </si>
  <si>
    <t>332/32JR</t>
  </si>
  <si>
    <t>303/32CR</t>
  </si>
  <si>
    <t>303/32R</t>
  </si>
  <si>
    <t>TR0608A</t>
  </si>
  <si>
    <t>323/32R</t>
  </si>
  <si>
    <t>32907JR</t>
  </si>
  <si>
    <t>32007JR</t>
  </si>
  <si>
    <t>33007JR</t>
  </si>
  <si>
    <t>30207CR</t>
  </si>
  <si>
    <t>30207JR</t>
  </si>
  <si>
    <t>32207-1R</t>
  </si>
  <si>
    <t>32207JR</t>
  </si>
  <si>
    <t>33207JR</t>
  </si>
  <si>
    <t>30307DJR</t>
  </si>
  <si>
    <t>30307XR</t>
  </si>
  <si>
    <t>30307JR-1</t>
  </si>
  <si>
    <t>TR0708-1R</t>
  </si>
  <si>
    <t>32307JR</t>
  </si>
  <si>
    <t>32908JR</t>
  </si>
  <si>
    <t>32008JR</t>
  </si>
  <si>
    <t>33008JR</t>
  </si>
  <si>
    <t>33108JR</t>
  </si>
  <si>
    <t>30208CR</t>
  </si>
  <si>
    <t>30208JR</t>
  </si>
  <si>
    <t>32208CR</t>
  </si>
  <si>
    <t>32208JR</t>
  </si>
  <si>
    <t>33208JR</t>
  </si>
  <si>
    <t>T2EE040</t>
  </si>
  <si>
    <t>30308DJR</t>
  </si>
  <si>
    <t>30308XR</t>
  </si>
  <si>
    <t>30308JR</t>
  </si>
  <si>
    <t>TR0809AR</t>
  </si>
  <si>
    <t>32308JR</t>
  </si>
  <si>
    <t>32909JR</t>
  </si>
  <si>
    <t>32009JR</t>
  </si>
  <si>
    <t>33009JR</t>
  </si>
  <si>
    <t>33109JR</t>
  </si>
  <si>
    <t>30209XR</t>
  </si>
  <si>
    <t>30209JR</t>
  </si>
  <si>
    <t>32209CR</t>
  </si>
  <si>
    <t>32209JR-1</t>
  </si>
  <si>
    <t>33209JR</t>
  </si>
  <si>
    <t>T7FC045</t>
  </si>
  <si>
    <t>T2ED405</t>
  </si>
  <si>
    <t>30309DJR</t>
  </si>
  <si>
    <t>30309CR</t>
  </si>
  <si>
    <t>30309JR</t>
  </si>
  <si>
    <t>32309CR</t>
  </si>
  <si>
    <t>32309JR</t>
  </si>
  <si>
    <t>32910JR</t>
  </si>
  <si>
    <t>32010JR</t>
  </si>
  <si>
    <t>33010JR</t>
  </si>
  <si>
    <t>33110JR</t>
  </si>
  <si>
    <t>30210CR</t>
  </si>
  <si>
    <t>30210JR</t>
  </si>
  <si>
    <t>32210CR</t>
  </si>
  <si>
    <t>32210JR</t>
  </si>
  <si>
    <t>33210JR</t>
  </si>
  <si>
    <t>T2ED050</t>
  </si>
  <si>
    <t>T7EC050</t>
  </si>
  <si>
    <t>30310DJR</t>
  </si>
  <si>
    <t>30310CR</t>
  </si>
  <si>
    <t>30310JR</t>
  </si>
  <si>
    <t>32310CR</t>
  </si>
  <si>
    <t>32310JR</t>
  </si>
  <si>
    <t>32911JR</t>
  </si>
  <si>
    <t>32011JR</t>
  </si>
  <si>
    <t>33011JR</t>
  </si>
  <si>
    <t>33111JR</t>
  </si>
  <si>
    <t>30211CR</t>
  </si>
  <si>
    <t>30211JR</t>
  </si>
  <si>
    <t>32211CR</t>
  </si>
  <si>
    <t>32211JR-1</t>
  </si>
  <si>
    <t>33211JR</t>
  </si>
  <si>
    <t>T7FC055</t>
  </si>
  <si>
    <t>30311DJR</t>
  </si>
  <si>
    <t>30311CR</t>
  </si>
  <si>
    <t>30311JR</t>
  </si>
  <si>
    <t>32311C</t>
  </si>
  <si>
    <t>32311J</t>
  </si>
  <si>
    <t>32311JR</t>
  </si>
  <si>
    <t>2771E</t>
  </si>
  <si>
    <t>32912JR</t>
  </si>
  <si>
    <t>32012JR</t>
  </si>
  <si>
    <t>33012JR</t>
  </si>
  <si>
    <t>33112JR</t>
  </si>
  <si>
    <t>30212CR</t>
  </si>
  <si>
    <t>30212JR</t>
  </si>
  <si>
    <t>32212CR</t>
  </si>
  <si>
    <t>32212JR</t>
  </si>
  <si>
    <t>33212JR</t>
  </si>
  <si>
    <t>T5ED060</t>
  </si>
  <si>
    <t>T2EE060</t>
  </si>
  <si>
    <t>T7FC060</t>
  </si>
  <si>
    <t>30312DJR</t>
  </si>
  <si>
    <t>30312CR</t>
  </si>
  <si>
    <t>30312JR</t>
  </si>
  <si>
    <t>32312CR</t>
  </si>
  <si>
    <t>32312J</t>
  </si>
  <si>
    <t>32312JR</t>
  </si>
  <si>
    <t>32913JR</t>
  </si>
  <si>
    <t>32013JR</t>
  </si>
  <si>
    <t>33013JR</t>
  </si>
  <si>
    <t>33113JR</t>
  </si>
  <si>
    <t>30213CR</t>
  </si>
  <si>
    <t>30213JR</t>
  </si>
  <si>
    <t>32213CR</t>
  </si>
  <si>
    <t>32213JR</t>
  </si>
  <si>
    <t>T5ED065</t>
  </si>
  <si>
    <t>33213JR</t>
  </si>
  <si>
    <t>T7FC065</t>
  </si>
  <si>
    <t>30313DJR</t>
  </si>
  <si>
    <t>30313CR</t>
  </si>
  <si>
    <t>30313JR</t>
  </si>
  <si>
    <t>32313CR</t>
  </si>
  <si>
    <t>32313J</t>
  </si>
  <si>
    <t>32313JR</t>
  </si>
  <si>
    <t>32914JR</t>
  </si>
  <si>
    <t>32014JR</t>
  </si>
  <si>
    <t>33014JR</t>
  </si>
  <si>
    <t>33114JR</t>
  </si>
  <si>
    <t>30214CR</t>
  </si>
  <si>
    <t>30214JR</t>
  </si>
  <si>
    <t>32214CR</t>
  </si>
  <si>
    <t>32214JR</t>
  </si>
  <si>
    <t>33214JR</t>
  </si>
  <si>
    <t>T7FC070</t>
  </si>
  <si>
    <t>T4FE070</t>
  </si>
  <si>
    <t>30314DJR</t>
  </si>
  <si>
    <t>30314CR</t>
  </si>
  <si>
    <t>30314JR</t>
  </si>
  <si>
    <t>32314C</t>
  </si>
  <si>
    <t>32314JR</t>
  </si>
  <si>
    <t>32915JR</t>
  </si>
  <si>
    <t>32015JR</t>
  </si>
  <si>
    <t>33015JR</t>
  </si>
  <si>
    <t>33115JR</t>
  </si>
  <si>
    <t>30215CR</t>
  </si>
  <si>
    <t>30215JR</t>
  </si>
  <si>
    <t>32215CR</t>
  </si>
  <si>
    <t>32215JR</t>
  </si>
  <si>
    <t>33215JR</t>
  </si>
  <si>
    <t>T7FC075</t>
  </si>
  <si>
    <t>30315DJR</t>
  </si>
  <si>
    <t>30315DR</t>
  </si>
  <si>
    <t>30315CR</t>
  </si>
  <si>
    <t>30315JR</t>
  </si>
  <si>
    <t>30315R</t>
  </si>
  <si>
    <t>32315CR</t>
  </si>
  <si>
    <t>32315JR</t>
  </si>
  <si>
    <t>32315R</t>
  </si>
  <si>
    <t>32916JR</t>
  </si>
  <si>
    <t>32016JR</t>
  </si>
  <si>
    <t>33016JR</t>
  </si>
  <si>
    <t>33116JR</t>
  </si>
  <si>
    <t>30216JR</t>
  </si>
  <si>
    <t>32216JR</t>
  </si>
  <si>
    <t>33216JR</t>
  </si>
  <si>
    <t>T2ED080</t>
  </si>
  <si>
    <t>30316DJR</t>
  </si>
  <si>
    <t>30316JR</t>
  </si>
  <si>
    <t>30316R</t>
  </si>
  <si>
    <t>32316J</t>
  </si>
  <si>
    <t>32316JR</t>
  </si>
  <si>
    <t>32917JR</t>
  </si>
  <si>
    <t>32017JR</t>
  </si>
  <si>
    <t>33017JR</t>
  </si>
  <si>
    <t>33117JR</t>
  </si>
  <si>
    <t>30217JR</t>
  </si>
  <si>
    <t>32217JR</t>
  </si>
  <si>
    <t>33217JR</t>
  </si>
  <si>
    <t>30317D</t>
  </si>
  <si>
    <t>30317DJR</t>
  </si>
  <si>
    <t>30317JR</t>
  </si>
  <si>
    <t>30317R</t>
  </si>
  <si>
    <t>32317JR</t>
  </si>
  <si>
    <t>32918JR</t>
  </si>
  <si>
    <t>32018JR</t>
  </si>
  <si>
    <t>33018JR</t>
  </si>
  <si>
    <t>33118JR</t>
  </si>
  <si>
    <t>T2ED090</t>
  </si>
  <si>
    <t>30218JR</t>
  </si>
  <si>
    <t>32218JR</t>
  </si>
  <si>
    <t>33218JR</t>
  </si>
  <si>
    <t>30318DJR</t>
  </si>
  <si>
    <t>30318DR</t>
  </si>
  <si>
    <t>30318JR</t>
  </si>
  <si>
    <t>30318R</t>
  </si>
  <si>
    <t>32318JR</t>
  </si>
  <si>
    <t>32919JR</t>
  </si>
  <si>
    <t>32019JR</t>
  </si>
  <si>
    <t>33019JR</t>
  </si>
  <si>
    <t>T2ED095</t>
  </si>
  <si>
    <t>33119JR</t>
  </si>
  <si>
    <t>30219JR</t>
  </si>
  <si>
    <t>32219JR</t>
  </si>
  <si>
    <t>33219JR</t>
  </si>
  <si>
    <t>30319DJR</t>
  </si>
  <si>
    <t>30319DR</t>
  </si>
  <si>
    <t>30319JR</t>
  </si>
  <si>
    <t>32319JR</t>
  </si>
  <si>
    <t>32920JR</t>
  </si>
  <si>
    <t>T4CB100</t>
  </si>
  <si>
    <t>32020JR</t>
  </si>
  <si>
    <t>33020JR</t>
  </si>
  <si>
    <t>T2EE100</t>
  </si>
  <si>
    <t>33120JR</t>
  </si>
  <si>
    <t>30220JR</t>
  </si>
  <si>
    <t>32220JR</t>
  </si>
  <si>
    <t>33220JR</t>
  </si>
  <si>
    <t>30320D</t>
  </si>
  <si>
    <t>30320JR</t>
  </si>
  <si>
    <t>31320JR</t>
  </si>
  <si>
    <t>32320JR</t>
  </si>
  <si>
    <t>32921JR</t>
  </si>
  <si>
    <t>32021JR</t>
  </si>
  <si>
    <t>33021JR</t>
  </si>
  <si>
    <t>33121JR</t>
  </si>
  <si>
    <t>30221JR</t>
  </si>
  <si>
    <t>32221JR</t>
  </si>
  <si>
    <t>33221JR</t>
  </si>
  <si>
    <t>30321D</t>
  </si>
  <si>
    <t>30321JR</t>
  </si>
  <si>
    <t>31321JR</t>
  </si>
  <si>
    <t>32321JR</t>
  </si>
  <si>
    <t>32922JR</t>
  </si>
  <si>
    <t>T4CB110</t>
  </si>
  <si>
    <t>32022JR</t>
  </si>
  <si>
    <t>33022JR</t>
  </si>
  <si>
    <t>33122JR</t>
  </si>
  <si>
    <t>32222JR</t>
  </si>
  <si>
    <t>30322D</t>
  </si>
  <si>
    <t>30322JR</t>
  </si>
  <si>
    <t>31322JR</t>
  </si>
  <si>
    <t>32322JR</t>
  </si>
  <si>
    <t>32924JR</t>
  </si>
  <si>
    <t>T4CB120</t>
  </si>
  <si>
    <t>32024JR</t>
  </si>
  <si>
    <t>33024JR</t>
  </si>
  <si>
    <t>33124JR</t>
  </si>
  <si>
    <t>30224JR</t>
  </si>
  <si>
    <t>32224JR</t>
  </si>
  <si>
    <t>30324D</t>
  </si>
  <si>
    <t>30324JR</t>
  </si>
  <si>
    <t>31324JR</t>
  </si>
  <si>
    <t>32324JR</t>
  </si>
  <si>
    <t>32324R</t>
  </si>
  <si>
    <t>32926JR</t>
  </si>
  <si>
    <t>T4CB130</t>
  </si>
  <si>
    <t>32026JR</t>
  </si>
  <si>
    <t>33026JR</t>
  </si>
  <si>
    <t>30226JR</t>
  </si>
  <si>
    <t>32226JR</t>
  </si>
  <si>
    <t>30326D</t>
  </si>
  <si>
    <t>30326JR</t>
  </si>
  <si>
    <t>31326JR</t>
  </si>
  <si>
    <t>32928JR</t>
  </si>
  <si>
    <t>T4CB140</t>
  </si>
  <si>
    <t>32028JR</t>
  </si>
  <si>
    <t>33028JR</t>
  </si>
  <si>
    <t>30228JR</t>
  </si>
  <si>
    <t>32228JR</t>
  </si>
  <si>
    <t>30328D</t>
  </si>
  <si>
    <t>30328JR</t>
  </si>
  <si>
    <t>31328JR</t>
  </si>
  <si>
    <t>32328R</t>
  </si>
  <si>
    <t>32930JR</t>
  </si>
  <si>
    <t>32030JR</t>
  </si>
  <si>
    <t>33030JR</t>
  </si>
  <si>
    <t>30230JR</t>
  </si>
  <si>
    <t>32230JR-</t>
  </si>
  <si>
    <t>30330D</t>
  </si>
  <si>
    <t>30330JR</t>
  </si>
  <si>
    <t>31330JR</t>
  </si>
  <si>
    <t>32330R</t>
  </si>
  <si>
    <t>T4DB160</t>
  </si>
  <si>
    <t>32932JR</t>
  </si>
  <si>
    <t>32032JR</t>
  </si>
  <si>
    <t>30232JR</t>
  </si>
  <si>
    <t>32232JR</t>
  </si>
  <si>
    <t>30332D</t>
  </si>
  <si>
    <t>30332JR</t>
  </si>
  <si>
    <t>32934JR</t>
  </si>
  <si>
    <t>32034JR</t>
  </si>
  <si>
    <t>32234JR</t>
  </si>
  <si>
    <t>30334D</t>
  </si>
  <si>
    <t>30334JR</t>
  </si>
  <si>
    <t>32936JR</t>
  </si>
  <si>
    <t>32036JR</t>
  </si>
  <si>
    <t>30236JR</t>
  </si>
  <si>
    <t>32236JR</t>
  </si>
  <si>
    <t>30336D</t>
  </si>
  <si>
    <t>32938JR</t>
  </si>
  <si>
    <t>32038JR</t>
  </si>
  <si>
    <t>30238JR</t>
  </si>
  <si>
    <t>32238JR</t>
  </si>
  <si>
    <t>30338D</t>
  </si>
  <si>
    <t>32940JR</t>
  </si>
  <si>
    <t>32040JR</t>
  </si>
  <si>
    <t>30240JR</t>
  </si>
  <si>
    <t>32240JR</t>
  </si>
  <si>
    <t>30340D</t>
  </si>
  <si>
    <t>32944JR</t>
  </si>
  <si>
    <t>32044JR</t>
  </si>
  <si>
    <t>30244R</t>
  </si>
  <si>
    <t>32948JR</t>
  </si>
  <si>
    <t>32048JR</t>
  </si>
  <si>
    <t>30248R</t>
  </si>
  <si>
    <t>32952JR</t>
  </si>
  <si>
    <t>32052JR</t>
  </si>
  <si>
    <t>32956JR</t>
  </si>
  <si>
    <t>32056JR</t>
  </si>
  <si>
    <t>32960JR</t>
  </si>
  <si>
    <t>32060JR</t>
  </si>
  <si>
    <t>32964JR</t>
  </si>
  <si>
    <t>32064JR</t>
  </si>
  <si>
    <t>32968JR</t>
  </si>
  <si>
    <t>32972JR</t>
  </si>
  <si>
    <t>31084×2</t>
  </si>
  <si>
    <t>46324A</t>
  </si>
  <si>
    <t>46324AS</t>
  </si>
  <si>
    <t>46T30224J/78</t>
  </si>
  <si>
    <t>46T32224J/109</t>
  </si>
  <si>
    <t>46T30324J/101</t>
  </si>
  <si>
    <t>46T32324J/145</t>
  </si>
  <si>
    <t>46226A</t>
  </si>
  <si>
    <t>46326A</t>
  </si>
  <si>
    <t>46T30226J/78.5</t>
  </si>
  <si>
    <t>46T32226J/117.5</t>
  </si>
  <si>
    <t>46T30326J/107.5</t>
  </si>
  <si>
    <t>46T32326J/163.5</t>
  </si>
  <si>
    <t>46228A</t>
  </si>
  <si>
    <r>
      <rPr>
        <b/>
        <sz val="14"/>
        <rFont val="Arial"/>
        <family val="2"/>
      </rPr>
      <t>External</t>
    </r>
    <r>
      <rPr>
        <b/>
        <sz val="14"/>
        <color indexed="10"/>
        <rFont val="細明體"/>
        <charset val="136"/>
      </rPr>
      <t>外螺紋</t>
    </r>
  </si>
  <si>
    <t>Internal</t>
  </si>
  <si>
    <t>ISO Metric profile</t>
  </si>
  <si>
    <r>
      <rPr>
        <b/>
        <sz val="12"/>
        <rFont val="Arial"/>
        <family val="2"/>
      </rPr>
      <t>Major Dia</t>
    </r>
    <r>
      <rPr>
        <b/>
        <sz val="12"/>
        <color indexed="10"/>
        <rFont val="細明體"/>
        <charset val="136"/>
      </rPr>
      <t>大徑</t>
    </r>
  </si>
  <si>
    <r>
      <rPr>
        <b/>
        <sz val="12"/>
        <rFont val="Arial"/>
        <family val="2"/>
      </rPr>
      <t>Pitch Dia</t>
    </r>
    <r>
      <rPr>
        <b/>
        <sz val="12"/>
        <color indexed="10"/>
        <rFont val="細明體"/>
        <charset val="136"/>
      </rPr>
      <t>中徑</t>
    </r>
  </si>
  <si>
    <t>Minor Dia</t>
  </si>
  <si>
    <t>Pitch Dia</t>
  </si>
  <si>
    <t>Major Dia</t>
  </si>
  <si>
    <t>Tap Drill</t>
  </si>
  <si>
    <t>Size</t>
  </si>
  <si>
    <t>Thread Designation</t>
  </si>
  <si>
    <t>Class</t>
  </si>
  <si>
    <t>Max</t>
  </si>
  <si>
    <t>Min</t>
  </si>
  <si>
    <t>Basic</t>
  </si>
  <si>
    <t>M0.25x0.075</t>
  </si>
  <si>
    <t>6g</t>
  </si>
  <si>
    <t>6H</t>
  </si>
  <si>
    <t>4g6g</t>
  </si>
  <si>
    <t>M0.3x0.08</t>
  </si>
  <si>
    <t>M0.3x0.09</t>
  </si>
  <si>
    <t>M0.35x0.09</t>
  </si>
  <si>
    <t>M0.4x0.1</t>
  </si>
  <si>
    <t>M0.45x0.1</t>
  </si>
  <si>
    <t>M0.5x0.125</t>
  </si>
  <si>
    <t>M0.55x0.125</t>
  </si>
  <si>
    <t>M0.6x0.15</t>
  </si>
  <si>
    <t>M0.7x0.175</t>
  </si>
  <si>
    <t>M0.8x0.2</t>
  </si>
  <si>
    <t>M0.9x0.225</t>
  </si>
  <si>
    <t>M1x0.25</t>
  </si>
  <si>
    <t>M1x0.2</t>
  </si>
  <si>
    <t>M1.1x0.25</t>
  </si>
  <si>
    <t>M1.1x0.2</t>
  </si>
  <si>
    <t>M1.2x0.25</t>
  </si>
  <si>
    <t>M1.2x0.2</t>
  </si>
  <si>
    <t>M1.4x0.3</t>
  </si>
  <si>
    <t>M1.4x0.2</t>
  </si>
  <si>
    <t>M1.6x0.35</t>
  </si>
  <si>
    <t>M1.6x0.3</t>
  </si>
  <si>
    <t>M1.6x0.2</t>
  </si>
  <si>
    <t>M1.7x0.35</t>
  </si>
  <si>
    <t>M1.8x0.35</t>
  </si>
  <si>
    <t>M1.8x0.2</t>
  </si>
  <si>
    <t>M2x0.4</t>
  </si>
  <si>
    <t>M2x0.25</t>
  </si>
  <si>
    <t>M2.2x0.45</t>
  </si>
  <si>
    <t>M2.2x0.25</t>
  </si>
  <si>
    <t>M2.3x0.45</t>
  </si>
  <si>
    <t>M2.3x0.4</t>
  </si>
  <si>
    <t>M2.5x0.45</t>
  </si>
  <si>
    <t>M2.5x0.35</t>
  </si>
  <si>
    <t>M2.6x0.45</t>
  </si>
  <si>
    <t>M3x0.5</t>
  </si>
  <si>
    <t>M3x0.35</t>
  </si>
  <si>
    <t>M3.5x0.6</t>
  </si>
  <si>
    <t>M3.5x0.35</t>
  </si>
  <si>
    <t>M4x0.7</t>
  </si>
  <si>
    <t>M4x0.5</t>
  </si>
  <si>
    <t>M4.5x0.75</t>
  </si>
  <si>
    <t>M4.5x0.5</t>
  </si>
  <si>
    <t>M5x0.8</t>
  </si>
  <si>
    <t>M5x0.5</t>
  </si>
  <si>
    <t>M5.5x0.5</t>
  </si>
  <si>
    <t>M6x1</t>
  </si>
  <si>
    <t>M6x0.8</t>
  </si>
  <si>
    <t>M6x0.75</t>
  </si>
  <si>
    <t>M6x0.7</t>
  </si>
  <si>
    <t>M6x0.5</t>
  </si>
  <si>
    <t>M7x1</t>
  </si>
  <si>
    <t>M7x0.75</t>
  </si>
  <si>
    <t>M7x0.5</t>
  </si>
  <si>
    <t>M8x1.25</t>
  </si>
  <si>
    <t>M8x1</t>
  </si>
  <si>
    <t>M8x0.8</t>
  </si>
  <si>
    <t>M8x0.75</t>
  </si>
  <si>
    <t>M8x0.5</t>
  </si>
  <si>
    <t>M9x1.25</t>
  </si>
  <si>
    <t>M9x1</t>
  </si>
  <si>
    <t>M9x0.75</t>
  </si>
  <si>
    <t>M9x0.5</t>
  </si>
  <si>
    <t>M10x1.5</t>
  </si>
  <si>
    <t>M10x1.25</t>
  </si>
  <si>
    <t>M10x1.12</t>
  </si>
  <si>
    <t>M10x1</t>
  </si>
  <si>
    <t>M10x0.75</t>
  </si>
  <si>
    <t>M10x0.5</t>
  </si>
  <si>
    <t>M11x1.5</t>
  </si>
  <si>
    <t>M11x1</t>
  </si>
  <si>
    <t>M11x0.75</t>
  </si>
  <si>
    <t>M11x0.5</t>
  </si>
  <si>
    <t>M12x1.75</t>
  </si>
  <si>
    <t>M12x1.5</t>
  </si>
  <si>
    <t>M12x1.25</t>
  </si>
  <si>
    <t>M12x1</t>
  </si>
  <si>
    <t>M12x0.75</t>
  </si>
  <si>
    <t>M12x0.5</t>
  </si>
  <si>
    <t>M14x2</t>
  </si>
  <si>
    <t>M14x1.5</t>
  </si>
  <si>
    <t>M14x1.25</t>
  </si>
  <si>
    <t>M14x1</t>
  </si>
  <si>
    <t>M14x0.75</t>
  </si>
  <si>
    <t>M14x0.5</t>
  </si>
  <si>
    <t>M15x1.5</t>
  </si>
  <si>
    <t>M15x1</t>
  </si>
  <si>
    <t>M16x2</t>
  </si>
  <si>
    <t>M16x1.6</t>
  </si>
  <si>
    <t>M16x1.5</t>
  </si>
  <si>
    <t>M16x1.25</t>
  </si>
  <si>
    <t>M16x1</t>
  </si>
  <si>
    <t>M16x0.75</t>
  </si>
  <si>
    <t>M16x0.5</t>
  </si>
  <si>
    <t>M17x1.5</t>
  </si>
  <si>
    <t>M17x1</t>
  </si>
  <si>
    <t>M18x2.5</t>
  </si>
  <si>
    <t>M18x2</t>
  </si>
  <si>
    <t>M18x1.5</t>
  </si>
  <si>
    <t>M18x1.25</t>
  </si>
  <si>
    <t>M18x1</t>
  </si>
  <si>
    <t>M18x0.75</t>
  </si>
  <si>
    <t>M18x0.5</t>
  </si>
  <si>
    <t>M20x2.5</t>
  </si>
  <si>
    <t>M20x2</t>
  </si>
  <si>
    <t>M20x1.5</t>
  </si>
  <si>
    <t>M20x1</t>
  </si>
  <si>
    <t>M20x0.75</t>
  </si>
  <si>
    <t>M20x0.5</t>
  </si>
  <si>
    <t>M22x3</t>
  </si>
  <si>
    <t>M22x2.5</t>
  </si>
  <si>
    <t>M22x2</t>
  </si>
  <si>
    <t>M22x1.5</t>
  </si>
  <si>
    <t>M22x1</t>
  </si>
  <si>
    <t>M22x0.75</t>
  </si>
  <si>
    <t>M22x0.5</t>
  </si>
  <si>
    <t>M24x3</t>
  </si>
  <si>
    <t>M24x2.5</t>
  </si>
  <si>
    <t>M24x2</t>
  </si>
  <si>
    <t>M24x1.5</t>
  </si>
  <si>
    <t>M24x1</t>
  </si>
  <si>
    <t>M24x0.75</t>
  </si>
  <si>
    <t>M25x2</t>
  </si>
  <si>
    <t>M25x1.5</t>
  </si>
  <si>
    <t>M25x1</t>
  </si>
  <si>
    <t>M26x1.5</t>
  </si>
  <si>
    <t>M27x3</t>
  </si>
  <si>
    <t>M27x2</t>
  </si>
  <si>
    <t>M27x1.5</t>
  </si>
  <si>
    <t>M27x1</t>
  </si>
  <si>
    <t>M27x0.75</t>
  </si>
  <si>
    <t>M28x2</t>
  </si>
  <si>
    <t>M28x1.5</t>
  </si>
  <si>
    <t>M28x1</t>
  </si>
  <si>
    <t>M30x3.5</t>
  </si>
  <si>
    <t>M30x3</t>
  </si>
  <si>
    <t>M30x2.5</t>
  </si>
  <si>
    <t>M30x2</t>
  </si>
  <si>
    <t>M30x1.5</t>
  </si>
  <si>
    <t>M30x1</t>
  </si>
  <si>
    <t>M30x0.75</t>
  </si>
  <si>
    <t>M32x2</t>
  </si>
  <si>
    <t>M32x1.5</t>
  </si>
  <si>
    <t>M33x3.5</t>
  </si>
  <si>
    <t>M33x3</t>
  </si>
  <si>
    <t>M33x2</t>
  </si>
  <si>
    <t>M33x1.5</t>
  </si>
  <si>
    <t>M33x1</t>
  </si>
  <si>
    <t>M33x0.75</t>
  </si>
  <si>
    <t>M35x1.5</t>
  </si>
  <si>
    <t>M36x4</t>
  </si>
  <si>
    <t>M36x3</t>
  </si>
  <si>
    <t>M36x2</t>
  </si>
  <si>
    <t>M36x1.5</t>
  </si>
  <si>
    <t>M36x1</t>
  </si>
  <si>
    <t>M38x1.5</t>
  </si>
  <si>
    <t>M39x4</t>
  </si>
  <si>
    <t>M39x3</t>
  </si>
  <si>
    <t>M39x2</t>
  </si>
  <si>
    <t>M39x1.5</t>
  </si>
  <si>
    <t>M39x1</t>
  </si>
  <si>
    <t>M40x3</t>
  </si>
  <si>
    <t>M40x2.5</t>
  </si>
  <si>
    <t>M40x2</t>
  </si>
  <si>
    <t>M40x1.5</t>
  </si>
  <si>
    <t>M42x4.5</t>
  </si>
  <si>
    <t>M42x4</t>
  </si>
  <si>
    <t>M42x3</t>
  </si>
  <si>
    <t>M42x2</t>
  </si>
  <si>
    <t>M42x1.5</t>
  </si>
  <si>
    <t>M42x1</t>
  </si>
  <si>
    <t>M45x4.5</t>
  </si>
  <si>
    <t>M45x4</t>
  </si>
  <si>
    <t>M45x3</t>
  </si>
  <si>
    <t>M45x2</t>
  </si>
  <si>
    <t>M45x1.5</t>
  </si>
  <si>
    <t>M45x1</t>
  </si>
  <si>
    <t>M48x5</t>
  </si>
  <si>
    <t>M48x4</t>
  </si>
  <si>
    <t>M48x3</t>
  </si>
  <si>
    <t>M48x2</t>
  </si>
  <si>
    <t>M48x1.5</t>
  </si>
  <si>
    <t>M50x4</t>
  </si>
  <si>
    <t>M50x3</t>
  </si>
  <si>
    <t>M50x2</t>
  </si>
  <si>
    <t>M50x1.5</t>
  </si>
  <si>
    <t>M52x5</t>
  </si>
  <si>
    <t>M52x4</t>
  </si>
  <si>
    <t>M52x3</t>
  </si>
  <si>
    <t>M52x2</t>
  </si>
  <si>
    <t>M52x1.5</t>
  </si>
  <si>
    <t>M55x4</t>
  </si>
  <si>
    <t>M55x3</t>
  </si>
  <si>
    <t>M55x2</t>
  </si>
  <si>
    <t>M55x1.5</t>
  </si>
  <si>
    <t>M56x6.5</t>
  </si>
  <si>
    <t>M56x5.5</t>
  </si>
  <si>
    <t>M56x4</t>
  </si>
  <si>
    <t>M56x3</t>
  </si>
  <si>
    <t>M56x2</t>
  </si>
  <si>
    <t>M56x1.5</t>
  </si>
  <si>
    <t>M56x1</t>
  </si>
  <si>
    <t>M58x4</t>
  </si>
  <si>
    <t>M58x3</t>
  </si>
  <si>
    <t>M58x2</t>
  </si>
  <si>
    <t>M58x1.5</t>
  </si>
  <si>
    <t>M60x5.5</t>
  </si>
  <si>
    <t>M60x4</t>
  </si>
  <si>
    <t>M60x3</t>
  </si>
  <si>
    <t>M60x2</t>
  </si>
  <si>
    <t>M60x1.5</t>
  </si>
  <si>
    <t>M60x1</t>
  </si>
  <si>
    <t>M62x4</t>
  </si>
  <si>
    <t>M62x3</t>
  </si>
  <si>
    <t>M62x2</t>
  </si>
  <si>
    <t>M62x1.5</t>
  </si>
  <si>
    <t>M63x1.5</t>
  </si>
  <si>
    <t>M64x6</t>
  </si>
  <si>
    <t>M64x5.5</t>
  </si>
  <si>
    <t>M64x4</t>
  </si>
  <si>
    <t>M64x3</t>
  </si>
  <si>
    <t>M64x2</t>
  </si>
  <si>
    <t>M64x1.5</t>
  </si>
  <si>
    <t>M64x1</t>
  </si>
  <si>
    <t>M65x4</t>
  </si>
  <si>
    <t>M65x3</t>
  </si>
  <si>
    <t>M65x2</t>
  </si>
  <si>
    <t>M65x1.5</t>
  </si>
  <si>
    <t>M68x6</t>
  </si>
  <si>
    <t>M68x4</t>
  </si>
  <si>
    <t>M68x3</t>
  </si>
  <si>
    <t>M68x2</t>
  </si>
  <si>
    <t>M68x1.5</t>
  </si>
  <si>
    <t>M68x1</t>
  </si>
  <si>
    <t>M70x6</t>
  </si>
  <si>
    <t>M70x4</t>
  </si>
  <si>
    <t>M70x3</t>
  </si>
  <si>
    <t>M70x2</t>
  </si>
  <si>
    <t>M70x1.5</t>
  </si>
  <si>
    <t>M72x6</t>
  </si>
  <si>
    <t>M72x4</t>
  </si>
  <si>
    <t>M72x3</t>
  </si>
  <si>
    <t>M72x2</t>
  </si>
  <si>
    <t>M72x1.5</t>
  </si>
  <si>
    <t>M72x1</t>
  </si>
  <si>
    <t>M75x6</t>
  </si>
  <si>
    <t>M75x4</t>
  </si>
  <si>
    <t>M75x3</t>
  </si>
  <si>
    <t>M75x2</t>
  </si>
  <si>
    <t>M75x1.5</t>
  </si>
  <si>
    <t>M76x6</t>
  </si>
  <si>
    <t>M76x4</t>
  </si>
  <si>
    <t>M76x3</t>
  </si>
  <si>
    <t>M76x2</t>
  </si>
  <si>
    <t>M76x1.5</t>
  </si>
  <si>
    <t>M76x1</t>
  </si>
  <si>
    <t>M78x2</t>
  </si>
  <si>
    <t>M80x6</t>
  </si>
  <si>
    <t>M80x4</t>
  </si>
  <si>
    <t>M80x3</t>
  </si>
  <si>
    <t>M80x2</t>
  </si>
  <si>
    <t>M80x1.5</t>
  </si>
  <si>
    <t>M80x1</t>
  </si>
  <si>
    <t>M82x2</t>
  </si>
  <si>
    <t>M85x6</t>
  </si>
  <si>
    <t>M85x4</t>
  </si>
  <si>
    <t>M85x3</t>
  </si>
  <si>
    <t>M85x2</t>
  </si>
  <si>
    <t>M85x1.5</t>
  </si>
  <si>
    <t>M90x6</t>
  </si>
  <si>
    <t>M90x4</t>
  </si>
  <si>
    <t>M90x3</t>
  </si>
  <si>
    <t>M90x2</t>
  </si>
  <si>
    <t>M90x1.5</t>
  </si>
  <si>
    <t>M95x6</t>
  </si>
  <si>
    <t>M95x4</t>
  </si>
  <si>
    <t>M95x3</t>
  </si>
  <si>
    <t>M95x2</t>
  </si>
  <si>
    <t>M95x1.5</t>
  </si>
  <si>
    <t>M100x6</t>
  </si>
  <si>
    <t>M100x4</t>
  </si>
  <si>
    <t>M100x3</t>
  </si>
  <si>
    <t>M100x2</t>
  </si>
  <si>
    <t>M100x1.5</t>
  </si>
  <si>
    <t>M105x6</t>
  </si>
  <si>
    <t>M105x4</t>
  </si>
  <si>
    <t>M105x3</t>
  </si>
  <si>
    <t>M105x2</t>
  </si>
  <si>
    <t>M105x1.5</t>
  </si>
  <si>
    <t>M110x6</t>
  </si>
  <si>
    <t>M110x4</t>
  </si>
  <si>
    <t>M110x3</t>
  </si>
  <si>
    <t>M110x2</t>
  </si>
  <si>
    <t>M110x1.5</t>
  </si>
  <si>
    <t>M115x6</t>
  </si>
  <si>
    <t>M115x4</t>
  </si>
  <si>
    <t>M115x3</t>
  </si>
  <si>
    <t>M115x2</t>
  </si>
  <si>
    <t>M115x1.5</t>
  </si>
  <si>
    <t>M120x6</t>
  </si>
  <si>
    <t>M120x4</t>
  </si>
  <si>
    <t>M120x3</t>
  </si>
  <si>
    <t>M120x2</t>
  </si>
  <si>
    <t>M120x1.5</t>
  </si>
  <si>
    <t>M125x8</t>
  </si>
  <si>
    <t>M125x6</t>
  </si>
  <si>
    <t>M125x4</t>
  </si>
  <si>
    <t>M125x3</t>
  </si>
  <si>
    <t>M125x2</t>
  </si>
  <si>
    <t>M125x1.5</t>
  </si>
  <si>
    <t>M130x8</t>
  </si>
  <si>
    <t>M130x6</t>
  </si>
  <si>
    <t>M130x4</t>
  </si>
  <si>
    <t>M130x3</t>
  </si>
  <si>
    <t>M130x2</t>
  </si>
  <si>
    <t>M130x1.5</t>
  </si>
  <si>
    <t>M135x6</t>
  </si>
  <si>
    <t>M135x4</t>
  </si>
  <si>
    <t>M135x3</t>
  </si>
  <si>
    <t>M135x2</t>
  </si>
  <si>
    <t>M135x1.5</t>
  </si>
  <si>
    <t>M140x8</t>
  </si>
  <si>
    <t>M140x6</t>
  </si>
  <si>
    <t>M140x4</t>
  </si>
  <si>
    <t>M140x3</t>
  </si>
  <si>
    <t>M140x2</t>
  </si>
  <si>
    <t>M140x1.5</t>
  </si>
  <si>
    <t>M145x6</t>
  </si>
  <si>
    <t>M145x4</t>
  </si>
  <si>
    <t>M145x3</t>
  </si>
  <si>
    <t>M145x2</t>
  </si>
  <si>
    <t>M145x1.5</t>
  </si>
  <si>
    <t>M150x8</t>
  </si>
  <si>
    <t>M150x6</t>
  </si>
  <si>
    <t>M150x4</t>
  </si>
  <si>
    <t>M150x3</t>
  </si>
  <si>
    <t>M150x2</t>
  </si>
  <si>
    <t>M150x1.5</t>
  </si>
  <si>
    <t>M155x6</t>
  </si>
  <si>
    <t>M155x4</t>
  </si>
  <si>
    <t>M155x3</t>
  </si>
  <si>
    <t>M155x2</t>
  </si>
  <si>
    <t>M160x8</t>
  </si>
  <si>
    <t>M160x6</t>
  </si>
  <si>
    <t>M160x4</t>
  </si>
  <si>
    <t>M160x3</t>
  </si>
  <si>
    <t>M160x2</t>
  </si>
  <si>
    <t>M165x6</t>
  </si>
  <si>
    <t>M165x4</t>
  </si>
  <si>
    <t>M165x3</t>
  </si>
  <si>
    <t>M165x2</t>
  </si>
  <si>
    <t>M170x8</t>
  </si>
  <si>
    <t>M170x6</t>
  </si>
  <si>
    <t>M170x4</t>
  </si>
  <si>
    <t>M170x3</t>
  </si>
  <si>
    <t>M170x2</t>
  </si>
  <si>
    <t>M175x6</t>
  </si>
  <si>
    <t>M175x4</t>
  </si>
  <si>
    <t>M175x3</t>
  </si>
  <si>
    <t>M175x2</t>
  </si>
  <si>
    <t>M180x8</t>
  </si>
  <si>
    <t>M180x6</t>
  </si>
  <si>
    <t>M180x4</t>
  </si>
  <si>
    <t>M180x3</t>
  </si>
  <si>
    <t>M180x2</t>
  </si>
  <si>
    <t>M185x6</t>
  </si>
  <si>
    <t>M185x4</t>
  </si>
  <si>
    <t>M185x3</t>
  </si>
  <si>
    <t>M185x2</t>
  </si>
  <si>
    <t>M190x8</t>
  </si>
  <si>
    <t>M190x6</t>
  </si>
  <si>
    <t>M190x4</t>
  </si>
  <si>
    <t>M190x3</t>
  </si>
  <si>
    <t>M190x2</t>
  </si>
  <si>
    <t>M195x6</t>
  </si>
  <si>
    <t>M195x4</t>
  </si>
  <si>
    <t>M195x3</t>
  </si>
  <si>
    <t>M195x2</t>
  </si>
  <si>
    <t>M200x8</t>
  </si>
  <si>
    <t>M200x6</t>
  </si>
  <si>
    <t>M200x4</t>
  </si>
  <si>
    <t>M200x3</t>
  </si>
  <si>
    <t>M200x2</t>
  </si>
  <si>
    <t>M205x6</t>
  </si>
  <si>
    <t>M205x4</t>
  </si>
  <si>
    <t>M205x3</t>
  </si>
  <si>
    <t>M205x2</t>
  </si>
  <si>
    <t>M210x8</t>
  </si>
  <si>
    <t>M210x6</t>
  </si>
  <si>
    <t>M210x4</t>
  </si>
  <si>
    <t>M210x3</t>
  </si>
  <si>
    <t>M210x2</t>
  </si>
  <si>
    <t>M215x6</t>
  </si>
  <si>
    <t>M215x4</t>
  </si>
  <si>
    <t>M215x3</t>
  </si>
  <si>
    <t>M220x8</t>
  </si>
  <si>
    <t>M220x6</t>
  </si>
  <si>
    <t>M220x4</t>
  </si>
  <si>
    <t>M220x3</t>
  </si>
  <si>
    <t>M220x2</t>
  </si>
  <si>
    <t>M225x6</t>
  </si>
  <si>
    <t>M225x4</t>
  </si>
  <si>
    <t>M225x3</t>
  </si>
  <si>
    <t>M225x2</t>
  </si>
  <si>
    <t>M230x6</t>
  </si>
  <si>
    <t>M230x4</t>
  </si>
  <si>
    <t>M230x3</t>
  </si>
  <si>
    <t>M230x2</t>
  </si>
  <si>
    <t>M235x6</t>
  </si>
  <si>
    <t>M235x4</t>
  </si>
  <si>
    <t>M235x3</t>
  </si>
  <si>
    <t>M240x8</t>
  </si>
  <si>
    <t>M240x6</t>
  </si>
  <si>
    <t>M240x4</t>
  </si>
  <si>
    <t>M240x3</t>
  </si>
  <si>
    <t>M240x2</t>
  </si>
  <si>
    <t>M245x6</t>
  </si>
  <si>
    <t>M245x4</t>
  </si>
  <si>
    <t>M245x3</t>
  </si>
  <si>
    <t>M245x2</t>
  </si>
  <si>
    <t>M250x8</t>
  </si>
  <si>
    <t>M250x6</t>
  </si>
  <si>
    <t>M250x4</t>
  </si>
  <si>
    <t>M250x3</t>
  </si>
  <si>
    <t>M250x2</t>
  </si>
  <si>
    <t>M255x6</t>
  </si>
  <si>
    <t>M255x4</t>
  </si>
  <si>
    <t>M255x3</t>
  </si>
  <si>
    <t>M260x8</t>
  </si>
  <si>
    <t>M260x6</t>
  </si>
  <si>
    <t>M260x4</t>
  </si>
  <si>
    <t>M260x3</t>
  </si>
  <si>
    <t>M265x6</t>
  </si>
  <si>
    <t>M265x4</t>
  </si>
  <si>
    <t>M265x3</t>
  </si>
  <si>
    <t>M270x6</t>
  </si>
  <si>
    <t>M270x4</t>
  </si>
  <si>
    <t>M270x3</t>
  </si>
  <si>
    <t>M275x6</t>
  </si>
  <si>
    <t>M275x4</t>
  </si>
  <si>
    <t>M275x3</t>
  </si>
  <si>
    <t>M280x8</t>
  </si>
  <si>
    <t>M280x6</t>
  </si>
  <si>
    <t>M280x4</t>
  </si>
  <si>
    <t>M280x3</t>
  </si>
  <si>
    <t>M285x6</t>
  </si>
  <si>
    <t>M285x4</t>
  </si>
  <si>
    <t>M285x3</t>
  </si>
  <si>
    <t>M290x6</t>
  </si>
  <si>
    <t>M290x4</t>
  </si>
  <si>
    <t>M290x3</t>
  </si>
  <si>
    <t>M295x6</t>
  </si>
  <si>
    <t>M295x4</t>
  </si>
  <si>
    <t>M295x3</t>
  </si>
  <si>
    <t>M300x8</t>
  </si>
  <si>
    <t>M300x6</t>
  </si>
  <si>
    <t>M300x4</t>
  </si>
  <si>
    <t>M300x3</t>
  </si>
  <si>
    <t>M310x6</t>
  </si>
  <si>
    <t>M310x4</t>
  </si>
  <si>
    <t>M320x6</t>
  </si>
  <si>
    <t>M320x4</t>
  </si>
  <si>
    <t>M330x6</t>
  </si>
  <si>
    <t>M330x4</t>
  </si>
  <si>
    <t>M340x6</t>
  </si>
  <si>
    <t>M340x4</t>
  </si>
  <si>
    <t>M350x6</t>
  </si>
  <si>
    <t>M350x4</t>
  </si>
  <si>
    <t>M360x6</t>
  </si>
  <si>
    <t>M360x4</t>
  </si>
  <si>
    <t>M370x6</t>
  </si>
  <si>
    <t>M370x4</t>
  </si>
  <si>
    <t>M380x6</t>
  </si>
  <si>
    <t>M380x4</t>
  </si>
  <si>
    <t>M390x6</t>
  </si>
  <si>
    <t>M390x4</t>
  </si>
  <si>
    <t>M400x6</t>
  </si>
  <si>
    <t>M400x4</t>
  </si>
  <si>
    <t>M410x6</t>
  </si>
  <si>
    <t>M420x6</t>
  </si>
  <si>
    <t>M430x6</t>
  </si>
  <si>
    <t>M440x6</t>
  </si>
  <si>
    <t>M450x6</t>
  </si>
  <si>
    <t>M460x6</t>
  </si>
  <si>
    <t>M470x6</t>
  </si>
  <si>
    <t>M480x6</t>
  </si>
  <si>
    <t>M490x6</t>
  </si>
  <si>
    <t>M500x6</t>
  </si>
  <si>
    <t>M510x6</t>
  </si>
  <si>
    <t>M520x6</t>
  </si>
  <si>
    <t>M530x6</t>
  </si>
  <si>
    <t>M540x6</t>
  </si>
  <si>
    <t>M550x6</t>
  </si>
  <si>
    <t>M560x6</t>
  </si>
  <si>
    <t>M570x6</t>
  </si>
  <si>
    <t>M580x6</t>
  </si>
  <si>
    <t>M590x6</t>
  </si>
  <si>
    <t>M600x6</t>
  </si>
  <si>
    <t>M1060x8</t>
  </si>
  <si>
    <r>
      <rPr>
        <sz val="11"/>
        <color theme="1"/>
        <rFont val="微软雅黑"/>
        <family val="2"/>
        <charset val="134"/>
      </rPr>
      <t xml:space="preserve">参考书籍：机械设计手册（第五版）第一卷 第1篇  1-116页   </t>
    </r>
  </si>
  <si>
    <t>各种截面的力学性能-椭圆</t>
  </si>
  <si>
    <t>长半轴a(cm)</t>
  </si>
  <si>
    <r>
      <rPr>
        <sz val="11"/>
        <color theme="1"/>
        <rFont val="微软雅黑"/>
        <family val="2"/>
        <charset val="134"/>
      </rPr>
      <t>面A(cm</t>
    </r>
    <r>
      <rPr>
        <vertAlign val="superscript"/>
        <sz val="11"/>
        <color theme="1"/>
        <rFont val="微软雅黑"/>
        <family val="2"/>
        <charset val="134"/>
      </rPr>
      <t>2</t>
    </r>
    <r>
      <rPr>
        <sz val="11"/>
        <color theme="1"/>
        <rFont val="微软雅黑"/>
        <family val="2"/>
        <charset val="134"/>
      </rPr>
      <t>)</t>
    </r>
  </si>
  <si>
    <r>
      <rPr>
        <sz val="11"/>
        <color theme="1"/>
        <rFont val="微软雅黑"/>
        <family val="2"/>
        <charset val="134"/>
      </rPr>
      <t>A=</t>
    </r>
    <r>
      <rPr>
        <sz val="11"/>
        <color theme="1"/>
        <rFont val="Symbol"/>
        <family val="1"/>
        <charset val="2"/>
      </rPr>
      <t>p</t>
    </r>
    <r>
      <rPr>
        <sz val="11"/>
        <color theme="1"/>
        <rFont val="微软雅黑"/>
        <family val="2"/>
        <charset val="134"/>
      </rPr>
      <t>ab</t>
    </r>
  </si>
  <si>
    <r>
      <rPr>
        <sz val="11"/>
        <color theme="1"/>
        <rFont val="微软雅黑"/>
        <family val="2"/>
        <charset val="134"/>
      </rPr>
      <t>惯性距I</t>
    </r>
    <r>
      <rPr>
        <vertAlign val="subscript"/>
        <sz val="11"/>
        <color theme="1"/>
        <rFont val="微软雅黑"/>
        <family val="2"/>
        <charset val="134"/>
      </rPr>
      <t>x</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</si>
  <si>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惯性距I</t>
    </r>
    <r>
      <rPr>
        <vertAlign val="subscript"/>
        <sz val="11"/>
        <color theme="1"/>
        <rFont val="微软雅黑"/>
        <family val="2"/>
        <charset val="134"/>
      </rPr>
      <t>y</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</si>
  <si>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抗弯截面系数W</t>
    </r>
    <r>
      <rPr>
        <vertAlign val="subscript"/>
        <sz val="11"/>
        <color theme="1"/>
        <rFont val="微软雅黑"/>
        <family val="2"/>
        <charset val="134"/>
      </rPr>
      <t>x</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</si>
  <si>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r>
      <rPr>
        <sz val="11"/>
        <color theme="1"/>
        <rFont val="微软雅黑"/>
        <family val="2"/>
        <charset val="134"/>
      </rPr>
      <t>抗弯截面系数W</t>
    </r>
    <r>
      <rPr>
        <vertAlign val="subscript"/>
        <sz val="11"/>
        <color theme="1"/>
        <rFont val="微软雅黑"/>
        <family val="2"/>
        <charset val="134"/>
      </rPr>
      <t>y</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</si>
  <si>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t>短半轴b(cm)</t>
  </si>
  <si>
    <r>
      <rPr>
        <sz val="11"/>
        <color theme="1"/>
        <rFont val="微软雅黑"/>
        <family val="2"/>
        <charset val="134"/>
      </rPr>
      <t>重心S到相应边的距离e</t>
    </r>
    <r>
      <rPr>
        <vertAlign val="subscript"/>
        <sz val="11"/>
        <color theme="1"/>
        <rFont val="微软雅黑"/>
        <family val="2"/>
        <charset val="134"/>
      </rPr>
      <t>x</t>
    </r>
    <r>
      <rPr>
        <sz val="11"/>
        <color theme="1"/>
        <rFont val="微软雅黑"/>
        <family val="2"/>
        <charset val="134"/>
      </rPr>
      <t>(cm)</t>
    </r>
  </si>
  <si>
    <r>
      <rPr>
        <sz val="11"/>
        <color theme="1"/>
        <rFont val="微软雅黑"/>
        <family val="2"/>
        <charset val="134"/>
      </rPr>
      <t>重心S到相应边的距离e</t>
    </r>
    <r>
      <rPr>
        <vertAlign val="subscript"/>
        <sz val="11"/>
        <color theme="1"/>
        <rFont val="微软雅黑"/>
        <family val="2"/>
        <charset val="134"/>
      </rPr>
      <t>y</t>
    </r>
    <r>
      <rPr>
        <sz val="11"/>
        <color theme="1"/>
        <rFont val="微软雅黑"/>
        <family val="2"/>
        <charset val="134"/>
      </rPr>
      <t>(cm)</t>
    </r>
  </si>
  <si>
    <r>
      <rPr>
        <sz val="11"/>
        <color theme="1"/>
        <rFont val="微软雅黑"/>
        <family val="2"/>
        <charset val="134"/>
      </rPr>
      <t>惯量半径i</t>
    </r>
    <r>
      <rPr>
        <vertAlign val="subscript"/>
        <sz val="11"/>
        <color theme="1"/>
        <rFont val="微软雅黑"/>
        <family val="2"/>
        <charset val="134"/>
      </rPr>
      <t>x</t>
    </r>
    <r>
      <rPr>
        <sz val="11"/>
        <color theme="1"/>
        <rFont val="微软雅黑"/>
        <family val="2"/>
        <charset val="134"/>
      </rPr>
      <t>(cm)</t>
    </r>
  </si>
  <si>
    <r>
      <rPr>
        <sz val="11"/>
        <color theme="1"/>
        <rFont val="微软雅黑"/>
        <family val="2"/>
        <charset val="134"/>
      </rPr>
      <t>惯量半径i</t>
    </r>
    <r>
      <rPr>
        <vertAlign val="subscript"/>
        <sz val="11"/>
        <color theme="1"/>
        <rFont val="微软雅黑"/>
        <family val="2"/>
        <charset val="134"/>
      </rPr>
      <t>y</t>
    </r>
    <r>
      <rPr>
        <sz val="11"/>
        <color theme="1"/>
        <rFont val="微软雅黑"/>
        <family val="2"/>
        <charset val="134"/>
      </rPr>
      <t>(cm)</t>
    </r>
  </si>
  <si>
    <r>
      <rPr>
        <sz val="11"/>
        <color theme="1"/>
        <rFont val="微软雅黑"/>
        <family val="2"/>
        <charset val="134"/>
      </rPr>
      <t xml:space="preserve">参考书籍：机械设计手册（第五版）第一卷 第1篇  1-111页   </t>
    </r>
  </si>
  <si>
    <t>各种截面的力学性能-正方形</t>
  </si>
  <si>
    <t>边长a(cm)</t>
  </si>
  <si>
    <r>
      <rPr>
        <sz val="11"/>
        <color theme="1"/>
        <rFont val="微软雅黑"/>
        <family val="2"/>
        <charset val="134"/>
      </rPr>
      <t>惯性距I(cm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</si>
  <si>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抗弯截面系数W</t>
    </r>
    <r>
      <rPr>
        <vertAlign val="subscript"/>
        <sz val="11"/>
        <color theme="1"/>
        <rFont val="微软雅黑"/>
        <family val="2"/>
        <charset val="134"/>
      </rPr>
      <t>x1</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</si>
  <si>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r>
      <rPr>
        <sz val="11"/>
        <color theme="1"/>
        <rFont val="微软雅黑"/>
        <family val="2"/>
        <charset val="134"/>
      </rPr>
      <t>重心S到相应边的距离e</t>
    </r>
    <r>
      <rPr>
        <vertAlign val="subscript"/>
        <sz val="11"/>
        <color theme="1"/>
        <rFont val="微软雅黑"/>
        <family val="2"/>
        <charset val="134"/>
      </rPr>
      <t>x1</t>
    </r>
    <r>
      <rPr>
        <sz val="11"/>
        <color theme="1"/>
        <rFont val="微软雅黑"/>
        <family val="2"/>
        <charset val="134"/>
      </rPr>
      <t>(cm)</t>
    </r>
  </si>
  <si>
    <t>惯量半径i(cm)</t>
  </si>
  <si>
    <r>
      <rPr>
        <sz val="11"/>
        <color theme="1"/>
        <rFont val="微软雅黑"/>
        <family val="2"/>
        <charset val="134"/>
      </rPr>
      <t xml:space="preserve">参考书籍：机械设计手册（第五版）第一卷 第1篇  1-113页   </t>
    </r>
  </si>
  <si>
    <t>各种截面的力学性能-圆</t>
  </si>
  <si>
    <t>直径d(cm)</t>
  </si>
  <si>
    <r>
      <rPr>
        <sz val="11"/>
        <color theme="1"/>
        <rFont val="微软雅黑"/>
        <family val="2"/>
        <charset val="134"/>
      </rPr>
      <t>惯性距I</t>
    </r>
    <r>
      <rPr>
        <vertAlign val="subscript"/>
        <sz val="11"/>
        <color theme="1"/>
        <rFont val="微软雅黑"/>
        <family val="2"/>
        <charset val="134"/>
      </rPr>
      <t>x</t>
    </r>
    <r>
      <rPr>
        <sz val="11"/>
        <color theme="1"/>
        <rFont val="微软雅黑"/>
        <family val="2"/>
        <charset val="134"/>
      </rPr>
      <t>=I</t>
    </r>
    <r>
      <rPr>
        <vertAlign val="subscript"/>
        <sz val="11"/>
        <color theme="1"/>
        <rFont val="微软雅黑"/>
        <family val="2"/>
        <charset val="134"/>
      </rPr>
      <t>y</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</si>
  <si>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惯性距I</t>
    </r>
    <r>
      <rPr>
        <vertAlign val="subscript"/>
        <sz val="11"/>
        <color theme="1"/>
        <rFont val="微软雅黑"/>
        <family val="2"/>
        <charset val="134"/>
      </rPr>
      <t>p</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</si>
  <si>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r>
      <rPr>
        <sz val="11"/>
        <color theme="1"/>
        <rFont val="微软雅黑"/>
        <family val="2"/>
        <charset val="134"/>
      </rPr>
      <t>抗弯截面系数W</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</si>
  <si>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r>
      <rPr>
        <sz val="11"/>
        <color theme="1"/>
        <rFont val="微软雅黑"/>
        <family val="2"/>
        <charset val="134"/>
      </rPr>
      <t>惯量半径i</t>
    </r>
    <r>
      <rPr>
        <sz val="11"/>
        <color theme="1"/>
        <rFont val="微软雅黑"/>
        <family val="2"/>
        <charset val="134"/>
      </rPr>
      <t>(cm)</t>
    </r>
  </si>
  <si>
    <r>
      <rPr>
        <sz val="11"/>
        <color theme="1"/>
        <rFont val="微软雅黑"/>
        <family val="2"/>
        <charset val="134"/>
      </rPr>
      <t xml:space="preserve">参考书籍：机械设计手册（第五版）第一卷 第1篇  1-112页   </t>
    </r>
  </si>
  <si>
    <t>各种截面的力学性能-扇形圆环</t>
  </si>
  <si>
    <t>圆环外径R(cm)</t>
  </si>
  <si>
    <r>
      <rPr>
        <sz val="11"/>
        <color theme="1"/>
        <rFont val="微软雅黑"/>
        <family val="2"/>
        <charset val="134"/>
      </rPr>
      <t>惯性距I</t>
    </r>
    <r>
      <rPr>
        <vertAlign val="subscript"/>
        <sz val="11"/>
        <color theme="1"/>
        <rFont val="微软雅黑"/>
        <family val="2"/>
        <charset val="134"/>
      </rPr>
      <t>x1</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</si>
  <si>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t>圆环内径r(cm)</t>
  </si>
  <si>
    <r>
      <rPr>
        <sz val="11"/>
        <color theme="1"/>
        <rFont val="微软雅黑"/>
        <family val="2"/>
        <charset val="134"/>
      </rPr>
      <t>惯性距I</t>
    </r>
    <r>
      <rPr>
        <vertAlign val="subscript"/>
        <sz val="11"/>
        <color theme="1"/>
        <rFont val="微软雅黑"/>
        <family val="2"/>
        <charset val="134"/>
      </rPr>
      <t>y</t>
    </r>
    <r>
      <rPr>
        <sz val="11"/>
        <color theme="1"/>
        <rFont val="微软雅黑"/>
        <family val="2"/>
        <charset val="134"/>
      </rPr>
      <t>(cm</t>
    </r>
    <r>
      <rPr>
        <vertAlign val="superscript"/>
        <sz val="11"/>
        <color theme="1"/>
        <rFont val="微软雅黑"/>
        <family val="2"/>
        <charset val="134"/>
      </rPr>
      <t>5</t>
    </r>
    <r>
      <rPr>
        <sz val="11"/>
        <color theme="1"/>
        <rFont val="微软雅黑"/>
        <family val="2"/>
        <charset val="134"/>
      </rPr>
      <t>)</t>
    </r>
  </si>
  <si>
    <r>
      <rPr>
        <sz val="11"/>
        <color theme="1"/>
        <rFont val="微软雅黑"/>
        <family val="2"/>
        <charset val="134"/>
      </rPr>
      <t>重心S到相应边的距离y</t>
    </r>
    <r>
      <rPr>
        <vertAlign val="subscript"/>
        <sz val="11"/>
        <color theme="1"/>
        <rFont val="微软雅黑"/>
        <family val="2"/>
        <charset val="134"/>
      </rPr>
      <t>s</t>
    </r>
    <r>
      <rPr>
        <sz val="11"/>
        <color theme="1"/>
        <rFont val="微软雅黑"/>
        <family val="2"/>
        <charset val="134"/>
      </rPr>
      <t>(cm)</t>
    </r>
  </si>
  <si>
    <t>弧度α(°)</t>
  </si>
  <si>
    <r>
      <rPr>
        <sz val="11"/>
        <color theme="1"/>
        <rFont val="微软雅黑"/>
        <family val="2"/>
        <charset val="134"/>
      </rPr>
      <t xml:space="preserve">参考书籍：机械设计手册（第五版）第一卷 第1篇  1-115页   </t>
    </r>
  </si>
  <si>
    <t>各种截面的力学性能-扇形</t>
  </si>
  <si>
    <t>半径r(cm)</t>
  </si>
  <si>
    <t>弧长l(cm)</t>
  </si>
  <si>
    <t>弦长C(cm)</t>
  </si>
  <si>
    <t>夹角α(°)</t>
  </si>
  <si>
    <t>各种截面的力学性能-三角形</t>
  </si>
  <si>
    <t>低边b(cm)</t>
  </si>
  <si>
    <r>
      <rPr>
        <sz val="11"/>
        <color theme="1"/>
        <rFont val="微软雅黑"/>
        <family val="2"/>
        <charset val="134"/>
      </rPr>
      <t>惯性距I</t>
    </r>
    <r>
      <rPr>
        <vertAlign val="subscript"/>
        <sz val="11"/>
        <color theme="1"/>
        <rFont val="微软雅黑"/>
        <family val="2"/>
        <charset val="134"/>
      </rPr>
      <t>x2</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</si>
  <si>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t>高h(cm)</t>
  </si>
  <si>
    <r>
      <rPr>
        <sz val="11"/>
        <color theme="1"/>
        <rFont val="微软雅黑"/>
        <family val="2"/>
        <charset val="134"/>
      </rPr>
      <t>抗弯截面系数W</t>
    </r>
    <r>
      <rPr>
        <vertAlign val="subscript"/>
        <sz val="11"/>
        <color theme="1"/>
        <rFont val="微软雅黑"/>
        <family val="2"/>
        <charset val="134"/>
      </rPr>
      <t>x2</t>
    </r>
    <r>
      <rPr>
        <sz val="11"/>
        <color theme="1"/>
        <rFont val="微软雅黑"/>
        <family val="2"/>
        <charset val="134"/>
      </rPr>
      <t>(cm</t>
    </r>
    <r>
      <rPr>
        <vertAlign val="superscript"/>
        <sz val="11"/>
        <color theme="1"/>
        <rFont val="微软雅黑"/>
        <family val="2"/>
        <charset val="134"/>
      </rPr>
      <t>3</t>
    </r>
    <r>
      <rPr>
        <sz val="11"/>
        <color theme="1"/>
        <rFont val="微软雅黑"/>
        <family val="2"/>
        <charset val="134"/>
      </rPr>
      <t>)</t>
    </r>
  </si>
  <si>
    <t>各种截面的力学性能-六边形</t>
  </si>
  <si>
    <t>外切圆半径R(cm)</t>
  </si>
  <si>
    <t>边长C(cm)</t>
  </si>
  <si>
    <t>各种截面的力学性能-空心正方形</t>
  </si>
  <si>
    <t>外正方形边长a(cm)</t>
  </si>
  <si>
    <r>
      <rPr>
        <sz val="11"/>
        <color theme="1"/>
        <rFont val="微软雅黑"/>
        <family val="2"/>
        <charset val="134"/>
      </rPr>
      <t>惯性距I</t>
    </r>
    <r>
      <rPr>
        <sz val="11"/>
        <color theme="1"/>
        <rFont val="微软雅黑"/>
        <family val="2"/>
        <charset val="134"/>
      </rPr>
      <t>(cm</t>
    </r>
    <r>
      <rPr>
        <vertAlign val="superscript"/>
        <sz val="11"/>
        <color theme="1"/>
        <rFont val="微软雅黑"/>
        <family val="2"/>
        <charset val="134"/>
      </rPr>
      <t>4</t>
    </r>
    <r>
      <rPr>
        <sz val="11"/>
        <color theme="1"/>
        <rFont val="微软雅黑"/>
        <family val="2"/>
        <charset val="134"/>
      </rPr>
      <t>)</t>
    </r>
  </si>
  <si>
    <t>内正方形边长b(cm)</t>
  </si>
  <si>
    <t>各种截面的力学性能-空心正方形（圆）</t>
  </si>
  <si>
    <t>正方形边长a(cm)</t>
  </si>
  <si>
    <t>空心圆直径d(cm)</t>
  </si>
  <si>
    <t>各种截面的力学性能-空心圆</t>
  </si>
  <si>
    <t>外圆直径D(cm)</t>
  </si>
  <si>
    <t>内圆直径d(cm)</t>
  </si>
  <si>
    <t>各种截面的力学性能-空心椭圆</t>
  </si>
  <si>
    <t>外长半轴a(cm)</t>
  </si>
  <si>
    <r>
      <rPr>
        <sz val="11"/>
        <color theme="1"/>
        <rFont val="微软雅黑"/>
        <family val="2"/>
        <charset val="134"/>
      </rPr>
      <t>内长半轴a</t>
    </r>
    <r>
      <rPr>
        <vertAlign val="subscript"/>
        <sz val="11"/>
        <color theme="1"/>
        <rFont val="微软雅黑"/>
        <family val="2"/>
        <charset val="134"/>
      </rPr>
      <t>1</t>
    </r>
    <r>
      <rPr>
        <sz val="11"/>
        <color theme="1"/>
        <rFont val="微软雅黑"/>
        <family val="2"/>
        <charset val="134"/>
      </rPr>
      <t>(cm)</t>
    </r>
  </si>
  <si>
    <t>外短半轴b(cm)</t>
  </si>
  <si>
    <r>
      <rPr>
        <sz val="11"/>
        <color theme="1"/>
        <rFont val="微软雅黑"/>
        <family val="2"/>
        <charset val="134"/>
      </rPr>
      <t>外短半轴b</t>
    </r>
    <r>
      <rPr>
        <vertAlign val="subscript"/>
        <sz val="11"/>
        <color theme="1"/>
        <rFont val="微软雅黑"/>
        <family val="2"/>
        <charset val="134"/>
      </rPr>
      <t>1</t>
    </r>
    <r>
      <rPr>
        <sz val="11"/>
        <color theme="1"/>
        <rFont val="微软雅黑"/>
        <family val="2"/>
        <charset val="134"/>
      </rPr>
      <t>(cm)</t>
    </r>
  </si>
  <si>
    <t>各种截面的力学性能-矩形</t>
  </si>
  <si>
    <t xml:space="preserve">                                                                                                                                                                                                                                                                                                                                                                                                          </t>
  </si>
  <si>
    <t>边长b(cm)</t>
  </si>
  <si>
    <r>
      <rPr>
        <sz val="11"/>
        <color theme="1"/>
        <rFont val="微软雅黑"/>
        <family val="2"/>
        <charset val="134"/>
      </rPr>
      <t xml:space="preserve">参考书籍：机械设计手册（第五版）第一卷 第1篇  1-114页   </t>
    </r>
  </si>
  <si>
    <t>各种截面的力学性能-花键</t>
  </si>
  <si>
    <t>外直径D(cm)</t>
  </si>
  <si>
    <t>Z为花键齿数，计算取值为6</t>
  </si>
  <si>
    <t>花键齿数Z</t>
  </si>
  <si>
    <t>齿宽b(cm)</t>
  </si>
  <si>
    <t>内直径d(cm)</t>
  </si>
  <si>
    <r>
      <rPr>
        <sz val="11"/>
        <color theme="1"/>
        <rFont val="微软雅黑"/>
        <family val="2"/>
        <charset val="134"/>
      </rPr>
      <t xml:space="preserve">参考书籍：机械设计手册（第五版）第一卷 第1篇  1-117页   </t>
    </r>
  </si>
  <si>
    <t>各种截面的力学性能-钢型截面</t>
  </si>
  <si>
    <t>如图B(cm)</t>
  </si>
  <si>
    <t>如图H(cm)</t>
  </si>
  <si>
    <t>如图b(cm)</t>
  </si>
  <si>
    <t>如图h(cm)</t>
  </si>
  <si>
    <t>各种截面的力学性能-带横孔圆</t>
  </si>
  <si>
    <t>圆直径d(cm)</t>
  </si>
  <si>
    <r>
      <rPr>
        <sz val="11"/>
        <color theme="1"/>
        <rFont val="Symbol"/>
        <family val="1"/>
        <charset val="2"/>
      </rPr>
      <t>b</t>
    </r>
    <r>
      <rPr>
        <sz val="11"/>
        <color theme="1"/>
        <rFont val="微软雅黑"/>
        <family val="2"/>
        <charset val="134"/>
      </rPr>
      <t>=d</t>
    </r>
    <r>
      <rPr>
        <vertAlign val="subscript"/>
        <sz val="11"/>
        <color theme="1"/>
        <rFont val="微软雅黑"/>
        <family val="2"/>
        <charset val="134"/>
      </rPr>
      <t>1</t>
    </r>
    <r>
      <rPr>
        <sz val="11"/>
        <color theme="1"/>
        <rFont val="微软雅黑"/>
        <family val="2"/>
        <charset val="134"/>
      </rPr>
      <t>/d，其中公式中已经转换</t>
    </r>
  </si>
  <si>
    <r>
      <rPr>
        <sz val="11"/>
        <color theme="1"/>
        <rFont val="微软雅黑"/>
        <family val="2"/>
        <charset val="134"/>
      </rPr>
      <t>横孔圆直径d</t>
    </r>
    <r>
      <rPr>
        <vertAlign val="subscript"/>
        <sz val="11"/>
        <color theme="1"/>
        <rFont val="微软雅黑"/>
        <family val="2"/>
        <charset val="134"/>
      </rPr>
      <t>1</t>
    </r>
    <r>
      <rPr>
        <sz val="11"/>
        <color theme="1"/>
        <rFont val="微软雅黑"/>
        <family val="2"/>
        <charset val="134"/>
      </rPr>
      <t>(cm)</t>
    </r>
  </si>
  <si>
    <t>各种截面的力学性能-薄壁正方形</t>
  </si>
  <si>
    <t>一般δ≤a/15     这里计算取值为δ=a/15</t>
  </si>
  <si>
    <r>
      <rPr>
        <sz val="11"/>
        <color theme="1"/>
        <rFont val="微软雅黑"/>
        <family val="2"/>
        <charset val="134"/>
      </rPr>
      <t>抗弯截面系数W(cm</t>
    </r>
    <r>
      <rPr>
        <vertAlign val="superscript"/>
        <sz val="11"/>
        <color theme="1"/>
        <rFont val="微软雅黑"/>
        <family val="2"/>
        <charset val="134"/>
      </rPr>
      <t>3</t>
    </r>
    <r>
      <rPr>
        <sz val="11"/>
        <color theme="1"/>
        <rFont val="微软雅黑"/>
        <family val="2"/>
        <charset val="134"/>
      </rPr>
      <t>)</t>
    </r>
  </si>
  <si>
    <t>各种截面的力学性能-半圆环</t>
  </si>
  <si>
    <t>外半圆直径D(cm)</t>
  </si>
  <si>
    <t>内半圆直径d(d)</t>
  </si>
  <si>
    <t>各种截面的力学性能-半圆</t>
  </si>
  <si>
    <t>半圆直径d(cm)</t>
  </si>
  <si>
    <t>参考手册：机械设计手册（第五版）第五卷 第17篇 20-98页</t>
  </si>
  <si>
    <r>
      <rPr>
        <sz val="11"/>
        <color theme="1"/>
        <rFont val="微软雅黑"/>
        <family val="2"/>
        <charset val="134"/>
      </rPr>
      <t>电动机转矩T</t>
    </r>
    <r>
      <rPr>
        <vertAlign val="subscript"/>
        <sz val="11"/>
        <color theme="1"/>
        <rFont val="微软雅黑"/>
        <family val="2"/>
        <charset val="134"/>
      </rPr>
      <t>D</t>
    </r>
    <r>
      <rPr>
        <sz val="11"/>
        <color theme="1"/>
        <rFont val="微软雅黑"/>
        <family val="2"/>
        <charset val="134"/>
      </rPr>
      <t>（N·m）</t>
    </r>
  </si>
  <si>
    <t>一般旋转运动的机械P(kW)</t>
  </si>
  <si>
    <r>
      <rPr>
        <sz val="11"/>
        <color theme="1"/>
        <rFont val="微软雅黑"/>
        <family val="2"/>
        <charset val="134"/>
      </rPr>
      <t>电动机转速n</t>
    </r>
    <r>
      <rPr>
        <vertAlign val="subscript"/>
        <sz val="11"/>
        <color theme="1"/>
        <rFont val="微软雅黑"/>
        <family val="2"/>
        <charset val="134"/>
      </rPr>
      <t>D</t>
    </r>
    <r>
      <rPr>
        <sz val="11"/>
        <color theme="1"/>
        <rFont val="微软雅黑"/>
        <family val="2"/>
        <charset val="134"/>
      </rPr>
      <t>（r/min）</t>
    </r>
  </si>
  <si>
    <r>
      <rPr>
        <sz val="11"/>
        <color theme="1"/>
        <rFont val="微软雅黑"/>
        <family val="2"/>
        <charset val="134"/>
      </rPr>
      <t>电动机角速度ω</t>
    </r>
    <r>
      <rPr>
        <vertAlign val="subscript"/>
        <sz val="11"/>
        <color theme="1"/>
        <rFont val="微软雅黑"/>
        <family val="2"/>
        <charset val="134"/>
      </rPr>
      <t>D</t>
    </r>
    <r>
      <rPr>
        <sz val="11"/>
        <color theme="1"/>
        <rFont val="微软雅黑"/>
        <family val="2"/>
        <charset val="134"/>
      </rPr>
      <t>（rad/s）</t>
    </r>
  </si>
  <si>
    <t>余量系数K</t>
  </si>
  <si>
    <t>离心式通风机P（kW）</t>
  </si>
  <si>
    <r>
      <rPr>
        <sz val="11"/>
        <color theme="1"/>
        <rFont val="微软雅黑"/>
        <family val="2"/>
        <charset val="134"/>
      </rPr>
      <t>空气耗量Q（m</t>
    </r>
    <r>
      <rPr>
        <vertAlign val="superscript"/>
        <sz val="11"/>
        <color theme="1"/>
        <rFont val="微软雅黑"/>
        <family val="2"/>
        <charset val="134"/>
      </rPr>
      <t>3</t>
    </r>
    <r>
      <rPr>
        <sz val="11"/>
        <color theme="1"/>
        <rFont val="微软雅黑"/>
        <family val="2"/>
        <charset val="134"/>
      </rPr>
      <t>/s）</t>
    </r>
  </si>
  <si>
    <t>空气压力H（Pa）</t>
  </si>
  <si>
    <t>风机效率η</t>
  </si>
  <si>
    <r>
      <rPr>
        <sz val="11"/>
        <color theme="1"/>
        <rFont val="微软雅黑"/>
        <family val="2"/>
        <charset val="134"/>
      </rPr>
      <t>传动效率η</t>
    </r>
    <r>
      <rPr>
        <vertAlign val="subscript"/>
        <sz val="11"/>
        <color theme="1"/>
        <rFont val="微软雅黑"/>
        <family val="2"/>
        <charset val="134"/>
      </rPr>
      <t>c</t>
    </r>
  </si>
  <si>
    <t>离心泵及活塞泵P（kW）</t>
  </si>
  <si>
    <r>
      <rPr>
        <sz val="11"/>
        <color theme="1"/>
        <rFont val="微软雅黑"/>
        <family val="2"/>
        <charset val="134"/>
      </rPr>
      <t>泵的出水量Q（m</t>
    </r>
    <r>
      <rPr>
        <vertAlign val="superscript"/>
        <sz val="11"/>
        <color theme="1"/>
        <rFont val="微软雅黑"/>
        <family val="2"/>
        <charset val="134"/>
      </rPr>
      <t>3</t>
    </r>
    <r>
      <rPr>
        <sz val="11"/>
        <color theme="1"/>
        <rFont val="微软雅黑"/>
        <family val="2"/>
        <charset val="134"/>
      </rPr>
      <t>/s）</t>
    </r>
  </si>
  <si>
    <t>水头（扬程）H（m）</t>
  </si>
  <si>
    <t>主管损失水头△H（m）</t>
  </si>
  <si>
    <t>泵的效率η</t>
  </si>
  <si>
    <r>
      <rPr>
        <sz val="11"/>
        <color theme="1"/>
        <rFont val="微软雅黑"/>
        <family val="2"/>
        <charset val="134"/>
      </rPr>
      <t>重力加速度g（m/s</t>
    </r>
    <r>
      <rPr>
        <vertAlign val="superscript"/>
        <sz val="11"/>
        <color theme="1"/>
        <rFont val="微软雅黑"/>
        <family val="2"/>
        <charset val="134"/>
      </rPr>
      <t>2</t>
    </r>
    <r>
      <rPr>
        <sz val="11"/>
        <color theme="1"/>
        <rFont val="微软雅黑"/>
        <family val="2"/>
        <charset val="134"/>
      </rPr>
      <t>）</t>
    </r>
  </si>
  <si>
    <r>
      <rPr>
        <sz val="11"/>
        <color theme="1"/>
        <rFont val="微软雅黑"/>
        <family val="2"/>
        <charset val="134"/>
      </rPr>
      <t>压缩机的生产率Q（m</t>
    </r>
    <r>
      <rPr>
        <vertAlign val="superscript"/>
        <sz val="11"/>
        <color theme="1"/>
        <rFont val="微软雅黑"/>
        <family val="2"/>
        <charset val="134"/>
      </rPr>
      <t>3</t>
    </r>
    <r>
      <rPr>
        <sz val="11"/>
        <color theme="1"/>
        <rFont val="微软雅黑"/>
        <family val="2"/>
        <charset val="134"/>
      </rPr>
      <t>/s）</t>
    </r>
  </si>
  <si>
    <t>离心式压缩机P（kW）</t>
  </si>
  <si>
    <r>
      <rPr>
        <sz val="11"/>
        <color theme="1"/>
        <rFont val="微软雅黑"/>
        <family val="2"/>
        <charset val="134"/>
      </rPr>
      <t>等温功A</t>
    </r>
    <r>
      <rPr>
        <vertAlign val="subscript"/>
        <sz val="11"/>
        <color theme="1"/>
        <rFont val="微软雅黑"/>
        <family val="2"/>
        <charset val="134"/>
      </rPr>
      <t>d</t>
    </r>
    <r>
      <rPr>
        <sz val="11"/>
        <color theme="1"/>
        <rFont val="微软雅黑"/>
        <family val="2"/>
        <charset val="134"/>
      </rPr>
      <t>（J）</t>
    </r>
  </si>
  <si>
    <r>
      <rPr>
        <sz val="11"/>
        <color theme="1"/>
        <rFont val="微软雅黑"/>
        <family val="2"/>
        <charset val="134"/>
      </rPr>
      <t>绝热功A</t>
    </r>
    <r>
      <rPr>
        <vertAlign val="subscript"/>
        <sz val="11"/>
        <color theme="1"/>
        <rFont val="微软雅黑"/>
        <family val="2"/>
        <charset val="134"/>
      </rPr>
      <t>r</t>
    </r>
    <r>
      <rPr>
        <sz val="11"/>
        <color theme="1"/>
        <rFont val="微软雅黑"/>
        <family val="2"/>
        <charset val="134"/>
      </rPr>
      <t>（J）</t>
    </r>
  </si>
  <si>
    <t>压缩机总效率η</t>
  </si>
  <si>
    <t>作用力F（N）</t>
  </si>
  <si>
    <t>直线运动机械P（kW）</t>
  </si>
  <si>
    <t>运动速度v（m/s）</t>
  </si>
  <si>
    <t>传动效率η</t>
  </si>
  <si>
    <t>這料捲重量約</t>
  </si>
  <si>
    <t>Kgs</t>
  </si>
  <si>
    <t>這料捲可沖製</t>
  </si>
  <si>
    <t>Pcs</t>
  </si>
  <si>
    <r>
      <rPr>
        <sz val="12"/>
        <rFont val="宋体"/>
        <charset val="134"/>
      </rPr>
      <t>列印日期</t>
    </r>
    <r>
      <rPr>
        <sz val="10"/>
        <rFont val="Times New Roman"/>
        <family val="1"/>
      </rPr>
      <t xml:space="preserve"> :</t>
    </r>
  </si>
  <si>
    <r>
      <rPr>
        <sz val="12"/>
        <rFont val="宋体"/>
        <charset val="134"/>
      </rPr>
      <t>備</t>
    </r>
    <r>
      <rPr>
        <sz val="12"/>
        <rFont val="Times New Roman"/>
        <family val="1"/>
      </rPr>
      <t xml:space="preserve"> </t>
    </r>
    <r>
      <rPr>
        <sz val="12"/>
        <rFont val="新細明體"/>
        <family val="1"/>
      </rPr>
      <t>註</t>
    </r>
    <r>
      <rPr>
        <sz val="12"/>
        <rFont val="Times New Roman"/>
        <family val="1"/>
      </rPr>
      <t xml:space="preserve"> :</t>
    </r>
  </si>
  <si>
    <t>沖製品送距</t>
  </si>
  <si>
    <t>捲料厚度</t>
  </si>
  <si>
    <t>捲料寬度</t>
  </si>
  <si>
    <t>捲料內徑</t>
  </si>
  <si>
    <t>捲料材質</t>
  </si>
  <si>
    <t>我選擇</t>
  </si>
  <si>
    <r>
      <rPr>
        <sz val="12"/>
        <rFont val="宋体"/>
        <charset val="134"/>
      </rPr>
      <t xml:space="preserve">1. </t>
    </r>
    <r>
      <rPr>
        <sz val="12"/>
        <rFont val="新細明體"/>
        <family val="1"/>
      </rPr>
      <t>鋁</t>
    </r>
  </si>
  <si>
    <r>
      <rPr>
        <sz val="12"/>
        <rFont val="宋体"/>
        <charset val="134"/>
      </rPr>
      <t xml:space="preserve">2. </t>
    </r>
    <r>
      <rPr>
        <sz val="12"/>
        <rFont val="新細明體"/>
        <family val="1"/>
      </rPr>
      <t>黃銅</t>
    </r>
    <r>
      <rPr>
        <sz val="12"/>
        <rFont val="Times New Roman"/>
        <family val="1"/>
      </rPr>
      <t xml:space="preserve"> . </t>
    </r>
    <r>
      <rPr>
        <sz val="12"/>
        <rFont val="新細明體"/>
        <family val="1"/>
      </rPr>
      <t>青銅</t>
    </r>
  </si>
  <si>
    <r>
      <rPr>
        <sz val="12"/>
        <rFont val="宋体"/>
        <charset val="134"/>
      </rPr>
      <t xml:space="preserve">3. </t>
    </r>
    <r>
      <rPr>
        <sz val="12"/>
        <rFont val="新細明體"/>
        <family val="1"/>
      </rPr>
      <t>磷青銅</t>
    </r>
  </si>
  <si>
    <r>
      <rPr>
        <sz val="12"/>
        <rFont val="宋体"/>
        <charset val="134"/>
      </rPr>
      <t xml:space="preserve">4. </t>
    </r>
    <r>
      <rPr>
        <sz val="12"/>
        <rFont val="新細明體"/>
        <family val="1"/>
      </rPr>
      <t>冷軋鋼板</t>
    </r>
  </si>
  <si>
    <r>
      <rPr>
        <sz val="12"/>
        <rFont val="宋体"/>
        <charset val="134"/>
      </rPr>
      <t xml:space="preserve">5. </t>
    </r>
    <r>
      <rPr>
        <sz val="12"/>
        <rFont val="新細明體"/>
        <family val="1"/>
      </rPr>
      <t>矽鋼板</t>
    </r>
  </si>
  <si>
    <r>
      <rPr>
        <sz val="12"/>
        <rFont val="宋体"/>
        <charset val="134"/>
      </rPr>
      <t xml:space="preserve">6. </t>
    </r>
    <r>
      <rPr>
        <sz val="12"/>
        <rFont val="新細明體"/>
        <family val="1"/>
      </rPr>
      <t>高碳鋼</t>
    </r>
    <r>
      <rPr>
        <sz val="12"/>
        <rFont val="Times New Roman"/>
        <family val="1"/>
      </rPr>
      <t xml:space="preserve"> . </t>
    </r>
    <r>
      <rPr>
        <sz val="12"/>
        <rFont val="新細明體"/>
        <family val="1"/>
      </rPr>
      <t>工具鋼</t>
    </r>
  </si>
  <si>
    <t>捲料外徑</t>
  </si>
  <si>
    <r>
      <rPr>
        <sz val="12"/>
        <rFont val="宋体"/>
        <charset val="134"/>
      </rPr>
      <t xml:space="preserve">7. </t>
    </r>
    <r>
      <rPr>
        <sz val="12"/>
        <rFont val="新細明體"/>
        <family val="1"/>
      </rPr>
      <t>不</t>
    </r>
    <r>
      <rPr>
        <sz val="12"/>
        <rFont val="新細明體"/>
        <family val="1"/>
      </rPr>
      <t>銹鋼</t>
    </r>
  </si>
  <si>
    <t>落料剪切力之理论(参考)值计算</t>
  </si>
  <si>
    <t>最大抗剪应力 :</t>
  </si>
  <si>
    <t>吨</t>
  </si>
  <si>
    <t>冲剪所需能量</t>
  </si>
  <si>
    <t>Kg-m</t>
  </si>
  <si>
    <r>
      <rPr>
        <sz val="12"/>
        <rFont val="宋体"/>
        <charset val="134"/>
      </rPr>
      <t>列印日期</t>
    </r>
    <r>
      <rPr>
        <b/>
        <sz val="10"/>
        <rFont val="宋体"/>
        <charset val="134"/>
      </rPr>
      <t xml:space="preserve"> : </t>
    </r>
  </si>
  <si>
    <t>B.选择材料特性</t>
  </si>
  <si>
    <t>A.选择材料种类</t>
  </si>
  <si>
    <t>剪断长度计算工具</t>
  </si>
  <si>
    <t>我选择</t>
  </si>
  <si>
    <t>软质</t>
  </si>
  <si>
    <t>硬质</t>
  </si>
  <si>
    <t>Ⅰ.</t>
  </si>
  <si>
    <t>Ⅱ.</t>
  </si>
  <si>
    <t>Ⅲ.</t>
  </si>
  <si>
    <t>Ⅳ.</t>
  </si>
  <si>
    <t>Ⅴ.</t>
  </si>
  <si>
    <t>1. 软质</t>
  </si>
  <si>
    <t xml:space="preserve"> 1.  铅</t>
  </si>
  <si>
    <t>---</t>
  </si>
  <si>
    <t>2. 硬质</t>
  </si>
  <si>
    <t xml:space="preserve"> 2.  锡</t>
  </si>
  <si>
    <t xml:space="preserve"> 3.  纯铝</t>
  </si>
  <si>
    <t>C.输入材料厚度</t>
  </si>
  <si>
    <t xml:space="preserve"> 4.  杜拉铝</t>
  </si>
  <si>
    <t>材料厚</t>
  </si>
  <si>
    <t xml:space="preserve"> 5.  耐蚀铝</t>
  </si>
  <si>
    <t>a</t>
  </si>
  <si>
    <t>b</t>
  </si>
  <si>
    <t>c</t>
  </si>
  <si>
    <t xml:space="preserve"> 6.  锌</t>
  </si>
  <si>
    <t>长度</t>
  </si>
  <si>
    <t>长边</t>
  </si>
  <si>
    <t>D.输入剪断长度</t>
  </si>
  <si>
    <t xml:space="preserve"> 7.  铜</t>
  </si>
  <si>
    <t>长轴</t>
  </si>
  <si>
    <t>短边</t>
  </si>
  <si>
    <t>剪断长</t>
  </si>
  <si>
    <t xml:space="preserve"> 8.  黄铜</t>
  </si>
  <si>
    <t>直径</t>
  </si>
  <si>
    <t>圆角</t>
  </si>
  <si>
    <t>短轴</t>
  </si>
  <si>
    <t>高度</t>
  </si>
  <si>
    <t xml:space="preserve"> 9.  磷青铜</t>
  </si>
  <si>
    <t>数量</t>
  </si>
  <si>
    <t>E.选择弹簧压力</t>
  </si>
  <si>
    <t>10. 铍铜</t>
  </si>
  <si>
    <t>周长</t>
  </si>
  <si>
    <t>11. 冷轧钢(SPCC)</t>
  </si>
  <si>
    <t>剪断长度合计 :</t>
  </si>
  <si>
    <t>1. 10%</t>
  </si>
  <si>
    <t>12. 冷轧钢(SPCD)</t>
  </si>
  <si>
    <t>2. 15%</t>
  </si>
  <si>
    <t>13. 冷轧钢(SPCE)</t>
  </si>
  <si>
    <t>3. 20%</t>
  </si>
  <si>
    <t>14. 碳钢0.2%C</t>
  </si>
  <si>
    <t>A</t>
  </si>
  <si>
    <t>x</t>
  </si>
  <si>
    <t>C</t>
  </si>
  <si>
    <t>E</t>
  </si>
  <si>
    <t>F</t>
  </si>
  <si>
    <t>G</t>
  </si>
  <si>
    <t>=</t>
  </si>
  <si>
    <t>15. 碳钢0.3%C</t>
  </si>
  <si>
    <t>F.预留刀刃磨耗</t>
  </si>
  <si>
    <t>16. 碳钢0.4%C</t>
  </si>
  <si>
    <t>备注:</t>
  </si>
  <si>
    <t>17. 碳钢0.6%C</t>
  </si>
  <si>
    <t>1. 30%</t>
  </si>
  <si>
    <t>18. 碳钢0.8%C</t>
  </si>
  <si>
    <t>2. 35%</t>
  </si>
  <si>
    <t>19. 碳钢1.0%C</t>
  </si>
  <si>
    <t>3. 40%</t>
  </si>
  <si>
    <t>20. 不锈钢</t>
  </si>
  <si>
    <t>21. 硅钢片</t>
  </si>
  <si>
    <t>G.预留安全系数</t>
  </si>
  <si>
    <t>22. 镍钢</t>
  </si>
  <si>
    <t>23. 热硬化树脂</t>
  </si>
  <si>
    <t>----</t>
  </si>
  <si>
    <r>
      <rPr>
        <sz val="12"/>
        <rFont val="宋体"/>
        <charset val="134"/>
      </rPr>
      <t>1.</t>
    </r>
    <r>
      <rPr>
        <sz val="12"/>
        <rFont val="宋体"/>
        <charset val="134"/>
      </rPr>
      <t xml:space="preserve"> 10%  ,</t>
    </r>
  </si>
  <si>
    <r>
      <rPr>
        <sz val="12"/>
        <rFont val="宋体"/>
        <charset val="134"/>
      </rPr>
      <t>2.</t>
    </r>
    <r>
      <rPr>
        <sz val="12"/>
        <rFont val="宋体"/>
        <charset val="134"/>
      </rPr>
      <t xml:space="preserve"> 20%</t>
    </r>
  </si>
  <si>
    <t>24. 云母</t>
  </si>
  <si>
    <t>板材壓印、壓縮成型加工之壓力計算</t>
  </si>
  <si>
    <r>
      <rPr>
        <sz val="12"/>
        <rFont val="宋体"/>
        <charset val="134"/>
      </rPr>
      <t>壓印所需之壓力為</t>
    </r>
    <r>
      <rPr>
        <sz val="16"/>
        <rFont val="宋体"/>
        <charset val="134"/>
      </rPr>
      <t xml:space="preserve"> :</t>
    </r>
  </si>
  <si>
    <t>噸</t>
  </si>
  <si>
    <r>
      <rPr>
        <sz val="12"/>
        <rFont val="宋体"/>
        <charset val="134"/>
      </rPr>
      <t>壓印所需之能量為</t>
    </r>
    <r>
      <rPr>
        <sz val="16"/>
        <rFont val="宋体"/>
        <charset val="134"/>
      </rPr>
      <t xml:space="preserve"> :</t>
    </r>
  </si>
  <si>
    <r>
      <rPr>
        <sz val="12"/>
        <rFont val="宋体"/>
        <charset val="134"/>
      </rPr>
      <t>列印日期</t>
    </r>
    <r>
      <rPr>
        <sz val="10"/>
        <rFont val="宋体"/>
        <charset val="134"/>
      </rPr>
      <t>:</t>
    </r>
  </si>
  <si>
    <t xml:space="preserve">     沖  頭           </t>
  </si>
  <si>
    <t>沖   頭</t>
  </si>
  <si>
    <t>沖 頭</t>
  </si>
  <si>
    <t xml:space="preserve">    下  模</t>
  </si>
  <si>
    <t>下   模</t>
  </si>
  <si>
    <t>下 模</t>
  </si>
  <si>
    <r>
      <rPr>
        <sz val="12"/>
        <rFont val="宋体"/>
        <charset val="134"/>
      </rPr>
      <t xml:space="preserve">    1. </t>
    </r>
    <r>
      <rPr>
        <b/>
        <sz val="12"/>
        <rFont val="宋体"/>
        <charset val="134"/>
      </rPr>
      <t>文字或花紋之刻入</t>
    </r>
  </si>
  <si>
    <r>
      <rPr>
        <sz val="12"/>
        <rFont val="宋体"/>
        <charset val="134"/>
      </rPr>
      <t xml:space="preserve">       2. </t>
    </r>
    <r>
      <rPr>
        <b/>
        <sz val="12"/>
        <rFont val="宋体"/>
        <charset val="134"/>
      </rPr>
      <t>突起沖壓加工</t>
    </r>
  </si>
  <si>
    <r>
      <rPr>
        <sz val="12"/>
        <rFont val="宋体"/>
        <charset val="134"/>
      </rPr>
      <t xml:space="preserve">    3. </t>
    </r>
    <r>
      <rPr>
        <b/>
        <sz val="12"/>
        <rFont val="宋体"/>
        <charset val="134"/>
      </rPr>
      <t>壓印沖壓加工</t>
    </r>
  </si>
  <si>
    <r>
      <rPr>
        <sz val="12"/>
        <rFont val="宋体"/>
        <charset val="134"/>
      </rPr>
      <t xml:space="preserve">4. </t>
    </r>
    <r>
      <rPr>
        <b/>
        <sz val="12"/>
        <rFont val="宋体"/>
        <charset val="134"/>
      </rPr>
      <t>壓縮成型</t>
    </r>
  </si>
  <si>
    <t>突起部位之面積不可過大</t>
  </si>
  <si>
    <t>壓印深度不可大於材料之30%</t>
  </si>
  <si>
    <t xml:space="preserve">          硬幣及紀念章等</t>
  </si>
  <si>
    <t>面積過大應以引伸或成型計算</t>
  </si>
  <si>
    <t>材料側方必須為開放</t>
  </si>
  <si>
    <t>A. 選擇壓印加工型式</t>
  </si>
  <si>
    <t>B.  選擇壓印材料為</t>
  </si>
  <si>
    <t>備註 :</t>
  </si>
  <si>
    <r>
      <rPr>
        <sz val="12"/>
        <rFont val="宋体"/>
        <charset val="134"/>
      </rPr>
      <t>kg/mm</t>
    </r>
    <r>
      <rPr>
        <vertAlign val="superscript"/>
        <sz val="10"/>
        <rFont val="宋体"/>
        <charset val="134"/>
      </rPr>
      <t>2</t>
    </r>
  </si>
  <si>
    <t>文字刻印</t>
  </si>
  <si>
    <t>突起加工</t>
  </si>
  <si>
    <t>壓印加工</t>
  </si>
  <si>
    <t>壓縮成型</t>
  </si>
  <si>
    <t>1.</t>
  </si>
  <si>
    <t>純  鋁</t>
  </si>
  <si>
    <t>2.</t>
  </si>
  <si>
    <t>鋁合金</t>
  </si>
  <si>
    <t>C. 板材壓印之投影面積為</t>
  </si>
  <si>
    <r>
      <rPr>
        <sz val="12"/>
        <rFont val="宋体"/>
        <charset val="134"/>
      </rPr>
      <t>mm</t>
    </r>
    <r>
      <rPr>
        <vertAlign val="superscript"/>
        <sz val="12"/>
        <rFont val="宋体"/>
        <charset val="134"/>
      </rPr>
      <t>2</t>
    </r>
  </si>
  <si>
    <t>3.</t>
  </si>
  <si>
    <t xml:space="preserve">電解銅 </t>
  </si>
  <si>
    <t>4.</t>
  </si>
  <si>
    <t>黃  銅</t>
  </si>
  <si>
    <t>D. 壓印板材厚度為</t>
  </si>
  <si>
    <t>5.</t>
  </si>
  <si>
    <t>軟鋼板</t>
  </si>
  <si>
    <t>6.</t>
  </si>
  <si>
    <t>不銹鋼</t>
  </si>
  <si>
    <t>E. 板材壓印深度為</t>
  </si>
  <si>
    <t>7.</t>
  </si>
  <si>
    <t>鎳</t>
  </si>
  <si>
    <t>8</t>
  </si>
  <si>
    <t>銀合金</t>
  </si>
  <si>
    <t>F. 沖床型式選用</t>
  </si>
  <si>
    <t>9</t>
  </si>
  <si>
    <t xml:space="preserve">黃  金  </t>
  </si>
  <si>
    <t>1. 曲柄式沖床</t>
  </si>
  <si>
    <t xml:space="preserve">白  銀  </t>
  </si>
  <si>
    <t>2. 肘節式沖床</t>
  </si>
  <si>
    <r>
      <rPr>
        <sz val="12"/>
        <rFont val="宋体"/>
        <charset val="134"/>
      </rPr>
      <t>V</t>
    </r>
    <r>
      <rPr>
        <sz val="20"/>
        <rFont val="宋体"/>
        <charset val="134"/>
      </rPr>
      <t>型彎曲之彎曲荷重計算</t>
    </r>
  </si>
  <si>
    <r>
      <rPr>
        <sz val="12"/>
        <rFont val="宋体"/>
        <charset val="134"/>
      </rPr>
      <t xml:space="preserve">A. </t>
    </r>
    <r>
      <rPr>
        <b/>
        <sz val="16"/>
        <rFont val="宋体"/>
        <charset val="134"/>
      </rPr>
      <t>自由彎曲荷重  :</t>
    </r>
  </si>
  <si>
    <r>
      <rPr>
        <sz val="12"/>
        <rFont val="宋体"/>
        <charset val="134"/>
      </rPr>
      <t xml:space="preserve">B. </t>
    </r>
    <r>
      <rPr>
        <b/>
        <sz val="16"/>
        <rFont val="宋体"/>
        <charset val="134"/>
      </rPr>
      <t>限制彎曲荷重  :</t>
    </r>
  </si>
  <si>
    <r>
      <rPr>
        <sz val="12"/>
        <rFont val="宋体"/>
        <charset val="134"/>
      </rPr>
      <t>自由彎曲能量</t>
    </r>
    <r>
      <rPr>
        <b/>
        <sz val="16"/>
        <rFont val="宋体"/>
        <charset val="134"/>
      </rPr>
      <t xml:space="preserve">  :</t>
    </r>
  </si>
  <si>
    <t>Kgf - m</t>
  </si>
  <si>
    <r>
      <rPr>
        <sz val="12"/>
        <rFont val="宋体"/>
        <charset val="134"/>
      </rPr>
      <t>限制彎曲能量</t>
    </r>
    <r>
      <rPr>
        <b/>
        <sz val="16"/>
        <rFont val="宋体"/>
        <charset val="134"/>
      </rPr>
      <t xml:space="preserve">  :</t>
    </r>
  </si>
  <si>
    <r>
      <rPr>
        <sz val="12"/>
        <rFont val="宋体"/>
        <charset val="134"/>
      </rPr>
      <t>列印日期</t>
    </r>
    <r>
      <rPr>
        <sz val="10"/>
        <rFont val="宋体"/>
        <charset val="134"/>
      </rPr>
      <t xml:space="preserve"> :</t>
    </r>
  </si>
  <si>
    <r>
      <rPr>
        <sz val="12"/>
        <rFont val="宋体"/>
        <charset val="134"/>
      </rPr>
      <t xml:space="preserve">A .  </t>
    </r>
    <r>
      <rPr>
        <b/>
        <sz val="14"/>
        <rFont val="宋体"/>
        <charset val="134"/>
      </rPr>
      <t>自由彎曲</t>
    </r>
  </si>
  <si>
    <t xml:space="preserve">材料選擇 : </t>
  </si>
  <si>
    <t>純鋁</t>
  </si>
  <si>
    <t>8.</t>
  </si>
  <si>
    <t>冷軋鋼 (SPCC)</t>
  </si>
  <si>
    <r>
      <rPr>
        <sz val="12"/>
        <rFont val="宋体"/>
        <charset val="134"/>
      </rPr>
      <t>板厚</t>
    </r>
    <r>
      <rPr>
        <sz val="11"/>
        <rFont val="宋体"/>
        <charset val="134"/>
      </rPr>
      <t>=</t>
    </r>
  </si>
  <si>
    <t>9.</t>
  </si>
  <si>
    <t>冷軋鋼 (SPCD)</t>
  </si>
  <si>
    <t>5t</t>
  </si>
  <si>
    <t>6t</t>
  </si>
  <si>
    <t>8t</t>
  </si>
  <si>
    <t>10t</t>
  </si>
  <si>
    <t>12t</t>
  </si>
  <si>
    <t>15t</t>
  </si>
  <si>
    <t>20t</t>
  </si>
  <si>
    <t>25t</t>
  </si>
  <si>
    <t>鎳鋼</t>
  </si>
  <si>
    <t>10.</t>
  </si>
  <si>
    <t>碳鋼  0.1-0.2%C</t>
  </si>
  <si>
    <t>r=t</t>
  </si>
  <si>
    <t>r</t>
  </si>
  <si>
    <t>電解銅</t>
  </si>
  <si>
    <t>11.</t>
  </si>
  <si>
    <t>碳鋼  0.3-0.4%C</t>
  </si>
  <si>
    <t>r=1.5t</t>
  </si>
  <si>
    <t>青銅 (PB)</t>
  </si>
  <si>
    <t>12.</t>
  </si>
  <si>
    <t>碳鋼  0.6-0.8%C</t>
  </si>
  <si>
    <t>r=2t</t>
  </si>
  <si>
    <t>料寬</t>
  </si>
  <si>
    <t>黃銅 (BS)</t>
  </si>
  <si>
    <t>13.</t>
  </si>
  <si>
    <t>碳鋼 1.0%C</t>
  </si>
  <si>
    <t xml:space="preserve">磷青銅 </t>
  </si>
  <si>
    <t>14.</t>
  </si>
  <si>
    <t>不銹鋼 (SUS)</t>
  </si>
  <si>
    <t>深度</t>
  </si>
  <si>
    <t>備  註:</t>
  </si>
  <si>
    <t>係數</t>
  </si>
  <si>
    <r>
      <rPr>
        <sz val="12"/>
        <rFont val="宋体"/>
        <charset val="134"/>
      </rPr>
      <t xml:space="preserve">B .  </t>
    </r>
    <r>
      <rPr>
        <b/>
        <sz val="14"/>
        <rFont val="宋体"/>
        <charset val="134"/>
      </rPr>
      <t>限制彎曲</t>
    </r>
  </si>
  <si>
    <t>最小模寬</t>
  </si>
  <si>
    <r>
      <rPr>
        <sz val="12"/>
        <rFont val="宋体"/>
        <charset val="134"/>
      </rPr>
      <t>U</t>
    </r>
    <r>
      <rPr>
        <sz val="20"/>
        <rFont val="宋体"/>
        <charset val="134"/>
      </rPr>
      <t>型彎曲之彎曲荷重計算</t>
    </r>
  </si>
  <si>
    <r>
      <rPr>
        <sz val="12"/>
        <rFont val="宋体"/>
        <charset val="134"/>
      </rPr>
      <t>A.</t>
    </r>
    <r>
      <rPr>
        <b/>
        <sz val="16"/>
        <rFont val="宋体"/>
        <charset val="134"/>
      </rPr>
      <t>自由彎曲荷重:</t>
    </r>
  </si>
  <si>
    <r>
      <rPr>
        <sz val="12"/>
        <rFont val="宋体"/>
        <charset val="134"/>
      </rPr>
      <t>B.</t>
    </r>
    <r>
      <rPr>
        <b/>
        <sz val="16"/>
        <rFont val="宋体"/>
        <charset val="134"/>
      </rPr>
      <t>限制彎曲荷重:</t>
    </r>
  </si>
  <si>
    <r>
      <rPr>
        <sz val="12"/>
        <rFont val="宋体"/>
        <charset val="134"/>
      </rPr>
      <t xml:space="preserve">    </t>
    </r>
    <r>
      <rPr>
        <b/>
        <sz val="16"/>
        <rFont val="宋体"/>
        <charset val="134"/>
      </rPr>
      <t>自由彎曲能量:</t>
    </r>
  </si>
  <si>
    <r>
      <rPr>
        <sz val="12"/>
        <rFont val="宋体"/>
        <charset val="134"/>
      </rPr>
      <t xml:space="preserve">    </t>
    </r>
    <r>
      <rPr>
        <b/>
        <sz val="16"/>
        <rFont val="宋体"/>
        <charset val="134"/>
      </rPr>
      <t>限制彎曲能量:</t>
    </r>
  </si>
  <si>
    <t>R=2t</t>
  </si>
  <si>
    <t>R=3t</t>
  </si>
  <si>
    <t>R=4t</t>
  </si>
  <si>
    <t>R=5t</t>
  </si>
  <si>
    <t>R=6t</t>
  </si>
  <si>
    <t>R=7t</t>
  </si>
  <si>
    <t>R=8t</t>
  </si>
  <si>
    <t>R=10t</t>
  </si>
  <si>
    <t>r=0.5t</t>
  </si>
  <si>
    <t>r=1t</t>
  </si>
  <si>
    <t>碳鋼  1.0% C</t>
  </si>
  <si>
    <t>r=3t</t>
  </si>
  <si>
    <t>L=</t>
  </si>
  <si>
    <t>W=</t>
  </si>
  <si>
    <t xml:space="preserve">  備  註 :</t>
  </si>
  <si>
    <t>料厚</t>
  </si>
  <si>
    <t>外圓角=</t>
  </si>
  <si>
    <t>如折彎處僅為二邊時,請將此邊尺寸值輸入 " 0 "</t>
  </si>
  <si>
    <t>质量</t>
  </si>
  <si>
    <t>m=</t>
  </si>
  <si>
    <t>kg</t>
  </si>
  <si>
    <t>180+10+80+10</t>
  </si>
  <si>
    <t>定位时间</t>
  </si>
  <si>
    <t>t=</t>
  </si>
  <si>
    <t>s</t>
  </si>
  <si>
    <t>路程</t>
  </si>
  <si>
    <t>s=</t>
  </si>
  <si>
    <t>m</t>
  </si>
  <si>
    <t>u=</t>
  </si>
  <si>
    <t>齿轮模数</t>
  </si>
  <si>
    <t>S=vt+½at²</t>
  </si>
  <si>
    <t>齿轮齿数</t>
  </si>
  <si>
    <t>z=</t>
  </si>
  <si>
    <t>齿轮半径</t>
  </si>
  <si>
    <t>R=</t>
  </si>
  <si>
    <t>电机扭矩</t>
  </si>
  <si>
    <t>T=</t>
  </si>
  <si>
    <t>NM</t>
  </si>
  <si>
    <t>30-90</t>
  </si>
  <si>
    <t>n=</t>
  </si>
  <si>
    <t>2000-4000</t>
  </si>
  <si>
    <t>i=</t>
  </si>
  <si>
    <t>加减速条件</t>
  </si>
  <si>
    <t>a&gt;</t>
  </si>
  <si>
    <t>m/s^2</t>
  </si>
  <si>
    <t>a&gt;4s/t^2</t>
  </si>
  <si>
    <t>重力</t>
  </si>
  <si>
    <t>mg=</t>
  </si>
  <si>
    <t>N</t>
  </si>
  <si>
    <t>物体受的重力</t>
  </si>
  <si>
    <t>摩擦力</t>
  </si>
  <si>
    <t>f=</t>
  </si>
  <si>
    <t>电机要带动</t>
  </si>
  <si>
    <t>牵引力</t>
  </si>
  <si>
    <t>F=</t>
  </si>
  <si>
    <t>电机剩余的力（加速度力）</t>
  </si>
  <si>
    <t>加速度</t>
  </si>
  <si>
    <t>a=</t>
  </si>
  <si>
    <t>加速度确认</t>
  </si>
  <si>
    <t>加速时间</t>
  </si>
  <si>
    <t>t1=</t>
  </si>
  <si>
    <t>无效解</t>
  </si>
  <si>
    <t>匀速时间</t>
  </si>
  <si>
    <t>t2=</t>
  </si>
  <si>
    <t>匀速速度</t>
  </si>
  <si>
    <t>vt1=</t>
  </si>
  <si>
    <t>m/s</t>
  </si>
  <si>
    <t>最高速度</t>
  </si>
  <si>
    <t>路程确认</t>
  </si>
  <si>
    <t>匀速时电机速度</t>
  </si>
  <si>
    <t>V=</t>
  </si>
  <si>
    <t>校核电机转速情况</t>
  </si>
  <si>
    <t>MP=2πM</t>
  </si>
  <si>
    <t>fai</t>
  </si>
  <si>
    <t>y</t>
  </si>
  <si>
    <t>h=30</t>
  </si>
  <si>
    <t>rb=100</t>
  </si>
  <si>
    <t>faio=60</t>
  </si>
  <si>
    <t>faio'=60</t>
  </si>
  <si>
    <t>fais=120</t>
  </si>
  <si>
    <t>fais'=120</t>
  </si>
  <si>
    <t xml:space="preserve">凸轮正弦余弦计算对照表 </t>
  </si>
  <si>
    <t xml:space="preserve"> 70+H/2*{1-COS[π/60*(θ-20)]}  /    70+H*[（θ-20）/60-sin[2π（θ-20）/60] /2π]</t>
  </si>
  <si>
    <t>弧度转角度公式</t>
  </si>
  <si>
    <t>角度</t>
  </si>
  <si>
    <t>圆周率</t>
  </si>
  <si>
    <t>起始角度</t>
  </si>
  <si>
    <t>行程H</t>
  </si>
  <si>
    <t>回程夹角</t>
  </si>
  <si>
    <t>近程夹角</t>
  </si>
  <si>
    <t>推程夹角</t>
  </si>
  <si>
    <t>常数</t>
  </si>
  <si>
    <t>基圆半径</t>
  </si>
  <si>
    <t>余弦值凸轮半径R</t>
  </si>
  <si>
    <t>正弦值凸轮半径R</t>
  </si>
  <si>
    <t>sin(θ/180*PI())</t>
  </si>
  <si>
    <t>cos(θ/180*PI())</t>
  </si>
  <si>
    <t>90-10X{1-COS[90/30X(θ-280)]}</t>
  </si>
  <si>
    <t>凸轮的轮廓曲线设计</t>
  </si>
  <si>
    <t>推程角</t>
  </si>
  <si>
    <t>回程角</t>
  </si>
  <si>
    <t>升距</t>
  </si>
  <si>
    <t>K</t>
  </si>
  <si>
    <t>常用金属材料密度表</t>
  </si>
  <si>
    <t>铁碳合金</t>
  </si>
  <si>
    <r>
      <rPr>
        <b/>
        <sz val="11"/>
        <color indexed="12"/>
        <rFont val="宋体"/>
        <charset val="134"/>
      </rPr>
      <t>密度</t>
    </r>
    <r>
      <rPr>
        <b/>
        <sz val="11"/>
        <color indexed="12"/>
        <rFont val="Times New Roman"/>
        <family val="1"/>
      </rPr>
      <t> g/mm</t>
    </r>
    <r>
      <rPr>
        <b/>
        <sz val="12"/>
        <color indexed="12"/>
        <rFont val="宋体"/>
        <charset val="134"/>
      </rPr>
      <t>³</t>
    </r>
  </si>
  <si>
    <t>铜材</t>
  </si>
  <si>
    <t>铝材</t>
  </si>
  <si>
    <t>镁、锌、钛、镍及合金</t>
  </si>
  <si>
    <t>工程塑料</t>
  </si>
  <si>
    <t>灰口铸铁</t>
  </si>
  <si>
    <t>6.6~7.4</t>
  </si>
  <si>
    <r>
      <rPr>
        <sz val="10.5"/>
        <rFont val="Times New Roman"/>
        <family val="1"/>
      </rPr>
      <t> </t>
    </r>
    <r>
      <rPr>
        <sz val="10.5"/>
        <rFont val="宋体"/>
        <charset val="134"/>
      </rPr>
      <t>纯铜材</t>
    </r>
  </si>
  <si>
    <t>纯铝</t>
  </si>
  <si>
    <t>工业纯镁</t>
  </si>
  <si>
    <t>材质名称</t>
  </si>
  <si>
    <r>
      <rPr>
        <sz val="11"/>
        <rFont val="宋体"/>
        <charset val="134"/>
      </rPr>
      <t>密度（g/cm</t>
    </r>
    <r>
      <rPr>
        <vertAlign val="superscript"/>
        <sz val="11"/>
        <rFont val="宋体"/>
        <charset val="134"/>
      </rPr>
      <t>3</t>
    </r>
    <r>
      <rPr>
        <sz val="11"/>
        <rFont val="宋体"/>
        <charset val="134"/>
      </rPr>
      <t>)</t>
    </r>
  </si>
  <si>
    <t>白口铸铁</t>
  </si>
  <si>
    <t xml:space="preserve"> 7.4~7.7</t>
  </si>
  <si>
    <r>
      <rPr>
        <sz val="10.5"/>
        <rFont val="Times New Roman"/>
        <family val="1"/>
      </rPr>
      <t>59</t>
    </r>
    <r>
      <rPr>
        <sz val="10.5"/>
        <rFont val="宋体"/>
        <charset val="134"/>
      </rPr>
      <t>、</t>
    </r>
    <r>
      <rPr>
        <sz val="10.5"/>
        <rFont val="Times New Roman"/>
        <family val="1"/>
      </rPr>
      <t>62</t>
    </r>
    <r>
      <rPr>
        <sz val="10.5"/>
        <rFont val="宋体"/>
        <charset val="134"/>
      </rPr>
      <t>、</t>
    </r>
    <r>
      <rPr>
        <sz val="10.5"/>
        <rFont val="Times New Roman"/>
        <family val="1"/>
      </rPr>
      <t>65</t>
    </r>
    <r>
      <rPr>
        <sz val="10.5"/>
        <rFont val="宋体"/>
        <charset val="134"/>
      </rPr>
      <t>、</t>
    </r>
    <r>
      <rPr>
        <sz val="10.5"/>
        <rFont val="Times New Roman"/>
        <family val="1"/>
      </rPr>
      <t>68</t>
    </r>
    <r>
      <rPr>
        <sz val="10.5"/>
        <rFont val="宋体"/>
        <charset val="134"/>
      </rPr>
      <t>黄铜</t>
    </r>
  </si>
  <si>
    <r>
      <rPr>
        <sz val="10.5"/>
        <rFont val="宋体"/>
        <charset val="134"/>
      </rPr>
      <t>防锈铝</t>
    </r>
    <r>
      <rPr>
        <sz val="10.5"/>
        <rFont val="Times New Roman"/>
        <family val="1"/>
      </rPr>
      <t xml:space="preserve"> LF2</t>
    </r>
    <r>
      <rPr>
        <sz val="10.5"/>
        <rFont val="宋体"/>
        <charset val="134"/>
      </rPr>
      <t>、</t>
    </r>
    <r>
      <rPr>
        <sz val="10.5"/>
        <rFont val="Times New Roman"/>
        <family val="1"/>
      </rPr>
      <t>LF43</t>
    </r>
  </si>
  <si>
    <r>
      <rPr>
        <sz val="10.5"/>
        <rFont val="宋体"/>
        <charset val="134"/>
      </rPr>
      <t>变形镁</t>
    </r>
    <r>
      <rPr>
        <sz val="10.5"/>
        <rFont val="Times New Roman"/>
        <family val="1"/>
      </rPr>
      <t xml:space="preserve"> MB1</t>
    </r>
  </si>
  <si>
    <t>ULTEM 1000</t>
  </si>
  <si>
    <t>可锻铸铁</t>
  </si>
  <si>
    <t>7.2~7.4</t>
  </si>
  <si>
    <r>
      <rPr>
        <sz val="10.5"/>
        <rFont val="Times New Roman"/>
        <family val="1"/>
      </rPr>
      <t>80</t>
    </r>
    <r>
      <rPr>
        <sz val="10.5"/>
        <rFont val="宋体"/>
        <charset val="134"/>
      </rPr>
      <t>、</t>
    </r>
    <r>
      <rPr>
        <sz val="10.5"/>
        <rFont val="Times New Roman"/>
        <family val="1"/>
      </rPr>
      <t>85</t>
    </r>
    <r>
      <rPr>
        <sz val="10.5"/>
        <rFont val="宋体"/>
        <charset val="134"/>
      </rPr>
      <t>、</t>
    </r>
    <r>
      <rPr>
        <sz val="10.5"/>
        <rFont val="Times New Roman"/>
        <family val="1"/>
      </rPr>
      <t>90</t>
    </r>
    <r>
      <rPr>
        <sz val="10.5"/>
        <rFont val="宋体"/>
        <charset val="134"/>
      </rPr>
      <t>黄铜</t>
    </r>
  </si>
  <si>
    <t>LF3</t>
  </si>
  <si>
    <r>
      <rPr>
        <sz val="10.5"/>
        <rFont val="Times New Roman"/>
        <family val="1"/>
      </rPr>
      <t>MB2</t>
    </r>
    <r>
      <rPr>
        <sz val="10.5"/>
        <rFont val="宋体"/>
        <charset val="134"/>
      </rPr>
      <t>、</t>
    </r>
    <r>
      <rPr>
        <sz val="10.5"/>
        <rFont val="Times New Roman"/>
        <family val="1"/>
      </rPr>
      <t>MB8</t>
    </r>
  </si>
  <si>
    <t>PTFE</t>
  </si>
  <si>
    <r>
      <rPr>
        <sz val="10.5"/>
        <rFont val="宋体"/>
        <charset val="134"/>
      </rPr>
      <t>铸钢</t>
    </r>
    <r>
      <rPr>
        <sz val="10.5"/>
        <rFont val="Times New Roman"/>
        <family val="1"/>
      </rPr>
      <t xml:space="preserve"> </t>
    </r>
  </si>
  <si>
    <r>
      <rPr>
        <sz val="10.5"/>
        <rFont val="Times New Roman"/>
        <family val="1"/>
      </rPr>
      <t>96</t>
    </r>
    <r>
      <rPr>
        <sz val="10.5"/>
        <rFont val="宋体"/>
        <charset val="134"/>
      </rPr>
      <t>黄铜</t>
    </r>
  </si>
  <si>
    <r>
      <rPr>
        <sz val="10.5"/>
        <rFont val="Times New Roman"/>
        <family val="1"/>
      </rPr>
      <t>LF5</t>
    </r>
    <r>
      <rPr>
        <sz val="10.5"/>
        <rFont val="宋体"/>
        <charset val="134"/>
      </rPr>
      <t>、</t>
    </r>
    <r>
      <rPr>
        <sz val="10.5"/>
        <rFont val="Times New Roman"/>
        <family val="1"/>
      </rPr>
      <t>LF10</t>
    </r>
    <r>
      <rPr>
        <sz val="10.5"/>
        <rFont val="宋体"/>
        <charset val="134"/>
      </rPr>
      <t>、</t>
    </r>
    <r>
      <rPr>
        <sz val="10.5"/>
        <rFont val="Times New Roman"/>
        <family val="1"/>
      </rPr>
      <t>LF11</t>
    </r>
  </si>
  <si>
    <t>MB3</t>
  </si>
  <si>
    <t>POLYESTER LAMINATE 
NERMA GPO-3</t>
  </si>
  <si>
    <t>工业纯铁</t>
  </si>
  <si>
    <r>
      <rPr>
        <sz val="10.5"/>
        <rFont val="Times New Roman"/>
        <family val="1"/>
      </rPr>
      <t>59-1</t>
    </r>
    <r>
      <rPr>
        <sz val="10.5"/>
        <rFont val="宋体"/>
        <charset val="134"/>
      </rPr>
      <t>、</t>
    </r>
    <r>
      <rPr>
        <sz val="10.5"/>
        <rFont val="Times New Roman"/>
        <family val="1"/>
      </rPr>
      <t>63-3</t>
    </r>
    <r>
      <rPr>
        <sz val="10.5"/>
        <rFont val="宋体"/>
        <charset val="134"/>
      </rPr>
      <t>铅黄铜</t>
    </r>
  </si>
  <si>
    <t>LF6</t>
  </si>
  <si>
    <r>
      <rPr>
        <sz val="10.5"/>
        <rFont val="Times New Roman"/>
        <family val="1"/>
      </rPr>
      <t>MB5</t>
    </r>
    <r>
      <rPr>
        <sz val="10.5"/>
        <rFont val="宋体"/>
        <charset val="134"/>
      </rPr>
      <t>、</t>
    </r>
    <r>
      <rPr>
        <sz val="10.5"/>
        <rFont val="Times New Roman"/>
        <family val="1"/>
      </rPr>
      <t>MB6</t>
    </r>
    <r>
      <rPr>
        <sz val="10.5"/>
        <rFont val="宋体"/>
        <charset val="134"/>
      </rPr>
      <t>、</t>
    </r>
    <r>
      <rPr>
        <sz val="10.5"/>
        <rFont val="Times New Roman"/>
        <family val="1"/>
      </rPr>
      <t>MB7</t>
    </r>
    <r>
      <rPr>
        <sz val="10.5"/>
        <rFont val="宋体"/>
        <charset val="134"/>
      </rPr>
      <t>、</t>
    </r>
    <r>
      <rPr>
        <sz val="10.5"/>
        <rFont val="Times New Roman"/>
        <family val="1"/>
      </rPr>
      <t>MB15</t>
    </r>
  </si>
  <si>
    <t>WHITE DELRIN</t>
  </si>
  <si>
    <t>普通碳素钢</t>
  </si>
  <si>
    <r>
      <rPr>
        <sz val="10.5"/>
        <rFont val="Times New Roman"/>
        <family val="1"/>
      </rPr>
      <t>74-3</t>
    </r>
    <r>
      <rPr>
        <sz val="10.5"/>
        <rFont val="宋体"/>
        <charset val="134"/>
      </rPr>
      <t>铅黄铜</t>
    </r>
  </si>
  <si>
    <t>LF21</t>
  </si>
  <si>
    <t>铸镁</t>
  </si>
  <si>
    <t>PVC</t>
  </si>
  <si>
    <t>优质碳素钢</t>
  </si>
  <si>
    <r>
      <rPr>
        <sz val="10.5"/>
        <rFont val="Times New Roman"/>
        <family val="1"/>
      </rPr>
      <t>90-1</t>
    </r>
    <r>
      <rPr>
        <sz val="10.5"/>
        <rFont val="宋体"/>
        <charset val="134"/>
      </rPr>
      <t>锡黄铜</t>
    </r>
  </si>
  <si>
    <r>
      <rPr>
        <sz val="10.5"/>
        <rFont val="宋体"/>
        <charset val="134"/>
      </rPr>
      <t>硬铝</t>
    </r>
    <r>
      <rPr>
        <sz val="10.5"/>
        <rFont val="Times New Roman"/>
        <family val="1"/>
      </rPr>
      <t xml:space="preserve"> LY1</t>
    </r>
    <r>
      <rPr>
        <sz val="10.5"/>
        <rFont val="宋体"/>
        <charset val="134"/>
      </rPr>
      <t>、</t>
    </r>
    <r>
      <rPr>
        <sz val="10.5"/>
        <rFont val="Times New Roman"/>
        <family val="1"/>
      </rPr>
      <t>LY2</t>
    </r>
    <r>
      <rPr>
        <sz val="10.5"/>
        <rFont val="宋体"/>
        <charset val="134"/>
      </rPr>
      <t>、</t>
    </r>
    <r>
      <rPr>
        <sz val="10.5"/>
        <rFont val="Times New Roman"/>
        <family val="1"/>
      </rPr>
      <t>LY4</t>
    </r>
    <r>
      <rPr>
        <sz val="10.5"/>
        <rFont val="宋体"/>
        <charset val="134"/>
      </rPr>
      <t>、</t>
    </r>
    <r>
      <rPr>
        <sz val="10.5"/>
        <rFont val="Times New Roman"/>
        <family val="1"/>
      </rPr>
      <t>LY6</t>
    </r>
  </si>
  <si>
    <r>
      <rPr>
        <sz val="10.5"/>
        <rFont val="宋体"/>
        <charset val="134"/>
      </rPr>
      <t>工业纯钛</t>
    </r>
    <r>
      <rPr>
        <sz val="10.5"/>
        <rFont val="Times New Roman"/>
        <family val="1"/>
      </rPr>
      <t>TA1</t>
    </r>
    <r>
      <rPr>
        <sz val="10.5"/>
        <rFont val="宋体"/>
        <charset val="134"/>
      </rPr>
      <t>、</t>
    </r>
    <r>
      <rPr>
        <sz val="10.5"/>
        <rFont val="Times New Roman"/>
        <family val="1"/>
      </rPr>
      <t>TA2</t>
    </r>
    <r>
      <rPr>
        <sz val="10.5"/>
        <rFont val="宋体"/>
        <charset val="134"/>
      </rPr>
      <t>、</t>
    </r>
    <r>
      <rPr>
        <sz val="10.5"/>
        <rFont val="Times New Roman"/>
        <family val="1"/>
      </rPr>
      <t>TA3</t>
    </r>
  </si>
  <si>
    <t>GLASS EPOXY G10</t>
  </si>
  <si>
    <t>碳素工具钢</t>
  </si>
  <si>
    <r>
      <rPr>
        <sz val="10.5"/>
        <rFont val="Times New Roman"/>
        <family val="1"/>
      </rPr>
      <t>70-1</t>
    </r>
    <r>
      <rPr>
        <sz val="10.5"/>
        <rFont val="宋体"/>
        <charset val="134"/>
      </rPr>
      <t>锡黄铜</t>
    </r>
  </si>
  <si>
    <t>LY3</t>
  </si>
  <si>
    <r>
      <rPr>
        <sz val="10.5"/>
        <rFont val="宋体"/>
        <charset val="134"/>
      </rPr>
      <t>钛合金</t>
    </r>
    <r>
      <rPr>
        <sz val="10.5"/>
        <rFont val="Times New Roman"/>
        <family val="1"/>
      </rPr>
      <t xml:space="preserve"> TA4</t>
    </r>
    <r>
      <rPr>
        <sz val="10.5"/>
        <rFont val="宋体"/>
        <charset val="134"/>
      </rPr>
      <t>、</t>
    </r>
    <r>
      <rPr>
        <sz val="10.5"/>
        <rFont val="Times New Roman"/>
        <family val="1"/>
      </rPr>
      <t>TA5</t>
    </r>
    <r>
      <rPr>
        <sz val="10.5"/>
        <rFont val="宋体"/>
        <charset val="134"/>
      </rPr>
      <t>、</t>
    </r>
    <r>
      <rPr>
        <sz val="10.5"/>
        <rFont val="Times New Roman"/>
        <family val="1"/>
      </rPr>
      <t>TC6</t>
    </r>
  </si>
  <si>
    <t>NYLON</t>
  </si>
  <si>
    <r>
      <rPr>
        <sz val="10.5"/>
        <rFont val="宋体"/>
        <charset val="134"/>
      </rPr>
      <t>易切钢</t>
    </r>
    <r>
      <rPr>
        <sz val="10.5"/>
        <rFont val="Times New Roman"/>
        <family val="1"/>
      </rPr>
      <t xml:space="preserve"> </t>
    </r>
  </si>
  <si>
    <r>
      <rPr>
        <sz val="10.5"/>
        <rFont val="Times New Roman"/>
        <family val="1"/>
      </rPr>
      <t>60-1</t>
    </r>
    <r>
      <rPr>
        <sz val="10.5"/>
        <rFont val="宋体"/>
        <charset val="134"/>
      </rPr>
      <t>和</t>
    </r>
    <r>
      <rPr>
        <sz val="10.5"/>
        <rFont val="Times New Roman"/>
        <family val="1"/>
      </rPr>
      <t>62-1</t>
    </r>
    <r>
      <rPr>
        <sz val="10.5"/>
        <rFont val="宋体"/>
        <charset val="134"/>
      </rPr>
      <t>锡黄铜</t>
    </r>
  </si>
  <si>
    <r>
      <rPr>
        <sz val="10.5"/>
        <rFont val="Times New Roman"/>
        <family val="1"/>
      </rPr>
      <t>LY7</t>
    </r>
    <r>
      <rPr>
        <sz val="10.5"/>
        <rFont val="宋体"/>
        <charset val="134"/>
      </rPr>
      <t>、</t>
    </r>
    <r>
      <rPr>
        <sz val="10.5"/>
        <rFont val="Times New Roman"/>
        <family val="1"/>
      </rPr>
      <t>LY8</t>
    </r>
    <r>
      <rPr>
        <sz val="10.5"/>
        <rFont val="宋体"/>
        <charset val="134"/>
      </rPr>
      <t>、</t>
    </r>
    <r>
      <rPr>
        <sz val="10.5"/>
        <rFont val="Times New Roman"/>
        <family val="1"/>
      </rPr>
      <t>LY10</t>
    </r>
    <r>
      <rPr>
        <sz val="10.5"/>
        <rFont val="宋体"/>
        <charset val="134"/>
      </rPr>
      <t>、</t>
    </r>
    <r>
      <rPr>
        <sz val="10.5"/>
        <rFont val="Times New Roman"/>
        <family val="1"/>
      </rPr>
      <t>LY11</t>
    </r>
    <r>
      <rPr>
        <sz val="10.5"/>
        <rFont val="宋体"/>
        <charset val="134"/>
      </rPr>
      <t>、</t>
    </r>
    <r>
      <rPr>
        <sz val="10.5"/>
        <rFont val="Times New Roman"/>
        <family val="1"/>
      </rPr>
      <t xml:space="preserve">LY14 </t>
    </r>
  </si>
  <si>
    <t>TA6</t>
  </si>
  <si>
    <t>PE</t>
  </si>
  <si>
    <t>锰钢</t>
  </si>
  <si>
    <r>
      <rPr>
        <sz val="10.5"/>
        <rFont val="Times New Roman"/>
        <family val="1"/>
      </rPr>
      <t>77-2</t>
    </r>
    <r>
      <rPr>
        <sz val="10.5"/>
        <rFont val="宋体"/>
        <charset val="134"/>
      </rPr>
      <t>铝黄铜</t>
    </r>
  </si>
  <si>
    <r>
      <rPr>
        <sz val="10.5"/>
        <rFont val="Times New Roman"/>
        <family val="1"/>
      </rPr>
      <t>TA7</t>
    </r>
    <r>
      <rPr>
        <sz val="10.5"/>
        <rFont val="宋体"/>
        <charset val="134"/>
      </rPr>
      <t>、</t>
    </r>
    <r>
      <rPr>
        <sz val="10.5"/>
        <rFont val="Times New Roman"/>
        <family val="1"/>
      </rPr>
      <t>TC5</t>
    </r>
  </si>
  <si>
    <t>TORLON 4203L</t>
  </si>
  <si>
    <r>
      <rPr>
        <sz val="10.5"/>
        <rFont val="Times New Roman"/>
        <family val="1"/>
      </rPr>
      <t>15CrA</t>
    </r>
    <r>
      <rPr>
        <sz val="10.5"/>
        <rFont val="宋体"/>
        <charset val="134"/>
      </rPr>
      <t>铬钢</t>
    </r>
  </si>
  <si>
    <r>
      <rPr>
        <sz val="10.5"/>
        <rFont val="Times New Roman"/>
        <family val="1"/>
      </rPr>
      <t>67-2.5</t>
    </r>
    <r>
      <rPr>
        <sz val="10.5"/>
        <rFont val="宋体"/>
        <charset val="134"/>
      </rPr>
      <t>、</t>
    </r>
    <r>
      <rPr>
        <sz val="10.5"/>
        <rFont val="Times New Roman"/>
        <family val="1"/>
      </rPr>
      <t>66-6-3-2</t>
    </r>
    <r>
      <rPr>
        <sz val="10.5"/>
        <rFont val="宋体"/>
        <charset val="134"/>
      </rPr>
      <t>、</t>
    </r>
    <r>
      <rPr>
        <sz val="10.5"/>
        <rFont val="Times New Roman"/>
        <family val="1"/>
      </rPr>
      <t>60-1-1</t>
    </r>
    <r>
      <rPr>
        <sz val="10.5"/>
        <rFont val="宋体"/>
        <charset val="134"/>
      </rPr>
      <t>铝黄铜</t>
    </r>
  </si>
  <si>
    <r>
      <rPr>
        <sz val="10.5"/>
        <rFont val="Times New Roman"/>
        <family val="1"/>
      </rPr>
      <t>LY9</t>
    </r>
    <r>
      <rPr>
        <sz val="10.5"/>
        <rFont val="宋体"/>
        <charset val="134"/>
      </rPr>
      <t>、</t>
    </r>
    <r>
      <rPr>
        <sz val="10.5"/>
        <rFont val="Times New Roman"/>
        <family val="1"/>
      </rPr>
      <t>LY12</t>
    </r>
  </si>
  <si>
    <t>TA8</t>
  </si>
  <si>
    <t>PEER</t>
  </si>
  <si>
    <r>
      <rPr>
        <sz val="10.5"/>
        <rFont val="Times New Roman"/>
        <family val="1"/>
      </rPr>
      <t>20Cr</t>
    </r>
    <r>
      <rPr>
        <sz val="10.5"/>
        <rFont val="宋体"/>
        <charset val="134"/>
      </rPr>
      <t>、</t>
    </r>
    <r>
      <rPr>
        <sz val="10.5"/>
        <rFont val="Times New Roman"/>
        <family val="1"/>
      </rPr>
      <t>30Cr</t>
    </r>
    <r>
      <rPr>
        <sz val="10.5"/>
        <rFont val="宋体"/>
        <charset val="134"/>
      </rPr>
      <t>、</t>
    </r>
    <r>
      <rPr>
        <sz val="10.5"/>
        <rFont val="Times New Roman"/>
        <family val="1"/>
      </rPr>
      <t>40Cr</t>
    </r>
    <r>
      <rPr>
        <sz val="10.5"/>
        <rFont val="宋体"/>
        <charset val="134"/>
      </rPr>
      <t>铬钢</t>
    </r>
  </si>
  <si>
    <r>
      <rPr>
        <sz val="10.5"/>
        <rFont val="Times New Roman"/>
        <family val="1"/>
      </rPr>
      <t>LY16</t>
    </r>
    <r>
      <rPr>
        <sz val="10.5"/>
        <rFont val="宋体"/>
        <charset val="134"/>
      </rPr>
      <t>、</t>
    </r>
    <r>
      <rPr>
        <sz val="10.5"/>
        <rFont val="Times New Roman"/>
        <family val="1"/>
      </rPr>
      <t>LY17</t>
    </r>
  </si>
  <si>
    <r>
      <rPr>
        <sz val="10.5"/>
        <rFont val="Times New Roman"/>
        <family val="1"/>
      </rPr>
      <t>TB1</t>
    </r>
    <r>
      <rPr>
        <sz val="10.5"/>
        <rFont val="宋体"/>
        <charset val="134"/>
      </rPr>
      <t>、</t>
    </r>
    <r>
      <rPr>
        <sz val="10.5"/>
        <rFont val="Times New Roman"/>
        <family val="1"/>
      </rPr>
      <t>TB2</t>
    </r>
  </si>
  <si>
    <t>TOLY CARBONATE</t>
  </si>
  <si>
    <r>
      <rPr>
        <sz val="10.5"/>
        <rFont val="Times New Roman"/>
        <family val="1"/>
      </rPr>
      <t>38CrA</t>
    </r>
    <r>
      <rPr>
        <sz val="10.5"/>
        <rFont val="宋体"/>
        <charset val="134"/>
      </rPr>
      <t>铬钢</t>
    </r>
  </si>
  <si>
    <t>锰黄铜</t>
  </si>
  <si>
    <r>
      <rPr>
        <sz val="10.5"/>
        <rFont val="宋体"/>
        <charset val="134"/>
      </rPr>
      <t>锻铝</t>
    </r>
    <r>
      <rPr>
        <sz val="10.5"/>
        <rFont val="Times New Roman"/>
        <family val="1"/>
      </rPr>
      <t xml:space="preserve"> LD2</t>
    </r>
    <r>
      <rPr>
        <sz val="10.5"/>
        <rFont val="宋体"/>
        <charset val="134"/>
      </rPr>
      <t>、</t>
    </r>
    <r>
      <rPr>
        <sz val="10.5"/>
        <rFont val="Times New Roman"/>
        <family val="1"/>
      </rPr>
      <t>LD30</t>
    </r>
  </si>
  <si>
    <r>
      <rPr>
        <sz val="10.5"/>
        <rFont val="Times New Roman"/>
        <family val="1"/>
      </rPr>
      <t>TC1</t>
    </r>
    <r>
      <rPr>
        <sz val="10.5"/>
        <rFont val="宋体"/>
        <charset val="134"/>
      </rPr>
      <t>、</t>
    </r>
    <r>
      <rPr>
        <sz val="10.5"/>
        <rFont val="Times New Roman"/>
        <family val="1"/>
      </rPr>
      <t>TC2</t>
    </r>
  </si>
  <si>
    <t>ROGERS 4350</t>
  </si>
  <si>
    <t xml:space="preserve">铬钒、铬镍、铬镍钼、铬锰、硅、铬锰硅镍、硅锰、硅铬钢 </t>
  </si>
  <si>
    <t>硅黄铜、镍黄铜、铁黄铜</t>
  </si>
  <si>
    <t>LD4</t>
  </si>
  <si>
    <r>
      <rPr>
        <sz val="10.5"/>
        <rFont val="Times New Roman"/>
        <family val="1"/>
      </rPr>
      <t>TC3</t>
    </r>
    <r>
      <rPr>
        <sz val="10.5"/>
        <rFont val="宋体"/>
        <charset val="134"/>
      </rPr>
      <t>、</t>
    </r>
    <r>
      <rPr>
        <sz val="10.5"/>
        <rFont val="Times New Roman"/>
        <family val="1"/>
      </rPr>
      <t>TC4</t>
    </r>
  </si>
  <si>
    <t>POLYCARBONATE（PC）</t>
  </si>
  <si>
    <r>
      <rPr>
        <sz val="10.5"/>
        <rFont val="Times New Roman"/>
        <family val="1"/>
      </rPr>
      <t>5-5-5</t>
    </r>
    <r>
      <rPr>
        <sz val="10.5"/>
        <rFont val="宋体"/>
        <charset val="134"/>
      </rPr>
      <t>铸锡青铜</t>
    </r>
  </si>
  <si>
    <t xml:space="preserve"> 8.8 </t>
  </si>
  <si>
    <t>LD8</t>
  </si>
  <si>
    <t>TC7</t>
  </si>
  <si>
    <t>ASBESTOS(石棉）</t>
  </si>
  <si>
    <r>
      <rPr>
        <sz val="10.5"/>
        <rFont val="Times New Roman"/>
        <family val="1"/>
      </rPr>
      <t>3-12-5</t>
    </r>
    <r>
      <rPr>
        <sz val="10.5"/>
        <rFont val="宋体"/>
        <charset val="134"/>
      </rPr>
      <t>铸锡青铜</t>
    </r>
    <r>
      <rPr>
        <sz val="10.5"/>
        <rFont val="Times New Roman"/>
        <family val="1"/>
      </rPr>
      <t xml:space="preserve"> </t>
    </r>
  </si>
  <si>
    <r>
      <rPr>
        <sz val="10.5"/>
        <rFont val="Times New Roman"/>
        <family val="1"/>
      </rPr>
      <t>LD7</t>
    </r>
    <r>
      <rPr>
        <sz val="10.5"/>
        <rFont val="宋体"/>
        <charset val="134"/>
      </rPr>
      <t>、</t>
    </r>
    <r>
      <rPr>
        <sz val="10.5"/>
        <rFont val="Times New Roman"/>
        <family val="1"/>
      </rPr>
      <t>LD9</t>
    </r>
    <r>
      <rPr>
        <sz val="10.5"/>
        <rFont val="宋体"/>
        <charset val="134"/>
      </rPr>
      <t>、</t>
    </r>
    <r>
      <rPr>
        <sz val="10.5"/>
        <rFont val="Times New Roman"/>
        <family val="1"/>
      </rPr>
      <t>LD10</t>
    </r>
  </si>
  <si>
    <t>TC8</t>
  </si>
  <si>
    <t>SILCONE SPONGE
PAD</t>
  </si>
  <si>
    <r>
      <rPr>
        <sz val="10.5"/>
        <rFont val="宋体"/>
        <charset val="134"/>
      </rPr>
      <t>铬镍钨钢</t>
    </r>
    <r>
      <rPr>
        <sz val="10.5"/>
        <rFont val="Times New Roman"/>
        <family val="1"/>
      </rPr>
      <t xml:space="preserve"> </t>
    </r>
  </si>
  <si>
    <r>
      <rPr>
        <sz val="10.5"/>
        <rFont val="Times New Roman"/>
        <family val="1"/>
      </rPr>
      <t>6-6-3</t>
    </r>
    <r>
      <rPr>
        <sz val="10.5"/>
        <rFont val="宋体"/>
        <charset val="134"/>
      </rPr>
      <t>铸锡青铜</t>
    </r>
  </si>
  <si>
    <t>TC9</t>
  </si>
  <si>
    <t>POM(赛刚)</t>
  </si>
  <si>
    <t>铬钼铝钢</t>
  </si>
  <si>
    <r>
      <rPr>
        <sz val="10.5"/>
        <rFont val="Times New Roman"/>
        <family val="1"/>
      </rPr>
      <t>7-0.2</t>
    </r>
    <r>
      <rPr>
        <sz val="10.5"/>
        <rFont val="宋体"/>
        <charset val="134"/>
      </rPr>
      <t>、</t>
    </r>
    <r>
      <rPr>
        <sz val="10.5"/>
        <rFont val="Times New Roman"/>
        <family val="1"/>
      </rPr>
      <t>6.5-0.4</t>
    </r>
    <r>
      <rPr>
        <sz val="10.5"/>
        <rFont val="宋体"/>
        <charset val="134"/>
      </rPr>
      <t>、</t>
    </r>
    <r>
      <rPr>
        <sz val="10.5"/>
        <rFont val="Times New Roman"/>
        <family val="1"/>
      </rPr>
      <t>6.5-0.1</t>
    </r>
    <r>
      <rPr>
        <sz val="10.5"/>
        <rFont val="宋体"/>
        <charset val="134"/>
      </rPr>
      <t>、</t>
    </r>
    <r>
      <rPr>
        <sz val="10.5"/>
        <rFont val="Times New Roman"/>
        <family val="1"/>
      </rPr>
      <t>4-3</t>
    </r>
    <r>
      <rPr>
        <sz val="10.5"/>
        <rFont val="宋体"/>
        <charset val="134"/>
      </rPr>
      <t>锡青铜</t>
    </r>
    <r>
      <rPr>
        <sz val="10.5"/>
        <rFont val="Times New Roman"/>
        <family val="1"/>
      </rPr>
      <t xml:space="preserve"> </t>
    </r>
  </si>
  <si>
    <r>
      <rPr>
        <sz val="10.5"/>
        <rFont val="Times New Roman"/>
        <family val="1"/>
      </rPr>
      <t>LT1</t>
    </r>
    <r>
      <rPr>
        <sz val="10.5"/>
        <rFont val="宋体"/>
        <charset val="134"/>
      </rPr>
      <t>特殊铝</t>
    </r>
    <r>
      <rPr>
        <sz val="10.5"/>
        <rFont val="Times New Roman"/>
        <family val="1"/>
      </rPr>
      <t xml:space="preserve"> </t>
    </r>
  </si>
  <si>
    <t>TC10</t>
  </si>
  <si>
    <r>
      <rPr>
        <sz val="10.5"/>
        <rFont val="宋体"/>
        <charset val="134"/>
      </rPr>
      <t>含钨</t>
    </r>
    <r>
      <rPr>
        <sz val="10.5"/>
        <rFont val="Times New Roman"/>
        <family val="1"/>
      </rPr>
      <t>9</t>
    </r>
    <r>
      <rPr>
        <sz val="10.5"/>
        <rFont val="宋体"/>
        <charset val="134"/>
      </rPr>
      <t>高速工具钢</t>
    </r>
  </si>
  <si>
    <t> 8.3</t>
  </si>
  <si>
    <t>纯镍、阳极镍、电真空镍</t>
  </si>
  <si>
    <t>PMMA（亚克力）</t>
  </si>
  <si>
    <r>
      <rPr>
        <sz val="10.5"/>
        <rFont val="宋体"/>
        <charset val="134"/>
      </rPr>
      <t>含钨</t>
    </r>
    <r>
      <rPr>
        <sz val="10.5"/>
        <rFont val="Times New Roman"/>
        <family val="1"/>
      </rPr>
      <t>18</t>
    </r>
    <r>
      <rPr>
        <sz val="10.5"/>
        <rFont val="宋体"/>
        <charset val="134"/>
      </rPr>
      <t>高速工具钢</t>
    </r>
  </si>
  <si>
    <r>
      <rPr>
        <sz val="10.5"/>
        <rFont val="Times New Roman"/>
        <family val="1"/>
      </rPr>
      <t>4-0.3</t>
    </r>
    <r>
      <rPr>
        <sz val="10.5"/>
        <rFont val="宋体"/>
        <charset val="134"/>
      </rPr>
      <t>、</t>
    </r>
    <r>
      <rPr>
        <sz val="10.5"/>
        <rFont val="Times New Roman"/>
        <family val="1"/>
      </rPr>
      <t>4-4-4</t>
    </r>
    <r>
      <rPr>
        <sz val="10.5"/>
        <rFont val="宋体"/>
        <charset val="134"/>
      </rPr>
      <t>锡青铜</t>
    </r>
    <r>
      <rPr>
        <sz val="10.5"/>
        <rFont val="Times New Roman"/>
        <family val="1"/>
      </rPr>
      <t xml:space="preserve"> </t>
    </r>
  </si>
  <si>
    <t>镍铜、镍镁、镍硅合金</t>
  </si>
  <si>
    <t>高强度合金钢</t>
  </si>
  <si>
    <r>
      <rPr>
        <sz val="10.5"/>
        <rFont val="Times New Roman"/>
        <family val="1"/>
      </rPr>
      <t> 4-4-2.5</t>
    </r>
    <r>
      <rPr>
        <sz val="10.5"/>
        <rFont val="宋体"/>
        <charset val="134"/>
      </rPr>
      <t>锡青铜</t>
    </r>
  </si>
  <si>
    <t> 8.75</t>
  </si>
  <si>
    <t>镍铬合金</t>
  </si>
  <si>
    <t>轴承钢</t>
  </si>
  <si>
    <r>
      <rPr>
        <sz val="10.5"/>
        <rFont val="Times New Roman"/>
        <family val="1"/>
      </rPr>
      <t>5</t>
    </r>
    <r>
      <rPr>
        <sz val="10.5"/>
        <rFont val="宋体"/>
        <charset val="134"/>
      </rPr>
      <t>铝青铜</t>
    </r>
    <r>
      <rPr>
        <sz val="10.5"/>
        <rFont val="Times New Roman"/>
        <family val="1"/>
      </rPr>
      <t xml:space="preserve"> </t>
    </r>
  </si>
  <si>
    <r>
      <rPr>
        <sz val="10.5"/>
        <rFont val="宋体"/>
        <charset val="134"/>
      </rPr>
      <t>锌锭</t>
    </r>
    <r>
      <rPr>
        <sz val="10.5"/>
        <rFont val="Times New Roman"/>
        <family val="1"/>
      </rPr>
      <t>Zn0.1</t>
    </r>
    <r>
      <rPr>
        <sz val="10.5"/>
        <rFont val="宋体"/>
        <charset val="134"/>
      </rPr>
      <t>、</t>
    </r>
    <r>
      <rPr>
        <sz val="10.5"/>
        <rFont val="Times New Roman"/>
        <family val="1"/>
      </rPr>
      <t>Zn1</t>
    </r>
    <r>
      <rPr>
        <sz val="10.5"/>
        <rFont val="宋体"/>
        <charset val="134"/>
      </rPr>
      <t>、</t>
    </r>
    <r>
      <rPr>
        <sz val="10.5"/>
        <rFont val="Times New Roman"/>
        <family val="1"/>
      </rPr>
      <t>Zn2</t>
    </r>
    <r>
      <rPr>
        <sz val="10.5"/>
        <rFont val="宋体"/>
        <charset val="134"/>
      </rPr>
      <t>、</t>
    </r>
    <r>
      <rPr>
        <sz val="10.5"/>
        <rFont val="Times New Roman"/>
        <family val="1"/>
      </rPr>
      <t>Zn3</t>
    </r>
  </si>
  <si>
    <t>不锈钢0Cr13、1Cr13、2Cr13、3Cr13、4Cr13、Cr17Ni2、Cr18、9Cr18、Cr25、Cr28</t>
  </si>
  <si>
    <r>
      <rPr>
        <sz val="10.5"/>
        <rFont val="Times New Roman"/>
        <family val="1"/>
      </rPr>
      <t>7</t>
    </r>
    <r>
      <rPr>
        <sz val="10.5"/>
        <rFont val="宋体"/>
        <charset val="134"/>
      </rPr>
      <t>铝青铜</t>
    </r>
  </si>
  <si>
    <t>铸锌</t>
  </si>
  <si>
    <r>
      <rPr>
        <sz val="10.5"/>
        <rFont val="Times New Roman"/>
        <family val="1"/>
      </rPr>
      <t>19-2</t>
    </r>
    <r>
      <rPr>
        <sz val="10.5"/>
        <rFont val="宋体"/>
        <charset val="134"/>
      </rPr>
      <t>铝青铜</t>
    </r>
  </si>
  <si>
    <r>
      <rPr>
        <sz val="10.5"/>
        <rFont val="Times New Roman"/>
        <family val="1"/>
      </rPr>
      <t>4-1</t>
    </r>
    <r>
      <rPr>
        <sz val="10.5"/>
        <rFont val="宋体"/>
        <charset val="134"/>
      </rPr>
      <t>铸造锌铝合金</t>
    </r>
  </si>
  <si>
    <r>
      <rPr>
        <sz val="10.5"/>
        <rFont val="Times New Roman"/>
        <family val="1"/>
      </rPr>
      <t>9-4</t>
    </r>
    <r>
      <rPr>
        <sz val="10.5"/>
        <rFont val="宋体"/>
        <charset val="134"/>
      </rPr>
      <t>、</t>
    </r>
    <r>
      <rPr>
        <sz val="10.5"/>
        <rFont val="Times New Roman"/>
        <family val="1"/>
      </rPr>
      <t>10-3-1.5</t>
    </r>
    <r>
      <rPr>
        <sz val="10.5"/>
        <rFont val="宋体"/>
        <charset val="134"/>
      </rPr>
      <t>铝青铜</t>
    </r>
  </si>
  <si>
    <r>
      <rPr>
        <sz val="10.5"/>
        <rFont val="Times New Roman"/>
        <family val="1"/>
      </rPr>
      <t>4-0.5</t>
    </r>
    <r>
      <rPr>
        <sz val="10.5"/>
        <rFont val="宋体"/>
        <charset val="134"/>
      </rPr>
      <t>铸造锌铝合金</t>
    </r>
  </si>
  <si>
    <r>
      <rPr>
        <sz val="10.5"/>
        <rFont val="Times New Roman"/>
        <family val="1"/>
      </rPr>
      <t>10-4-4</t>
    </r>
    <r>
      <rPr>
        <sz val="10.5"/>
        <rFont val="宋体"/>
        <charset val="134"/>
      </rPr>
      <t>铝青铜</t>
    </r>
  </si>
  <si>
    <t>铅和铅锑合金</t>
  </si>
  <si>
    <r>
      <rPr>
        <sz val="10.5"/>
        <rFont val="Times New Roman"/>
        <family val="1"/>
      </rPr>
      <t>Cr14</t>
    </r>
    <r>
      <rPr>
        <sz val="10.5"/>
        <rFont val="宋体"/>
        <charset val="134"/>
      </rPr>
      <t>、</t>
    </r>
    <r>
      <rPr>
        <sz val="10.5"/>
        <rFont val="Times New Roman"/>
        <family val="1"/>
      </rPr>
      <t xml:space="preserve">Cr17 </t>
    </r>
  </si>
  <si>
    <t>铍青铜</t>
  </si>
  <si>
    <t>铅阳极板</t>
  </si>
  <si>
    <r>
      <rPr>
        <sz val="10.5"/>
        <rFont val="Times New Roman"/>
        <family val="1"/>
      </rPr>
      <t>0Cr18Ni9</t>
    </r>
    <r>
      <rPr>
        <sz val="10.5"/>
        <rFont val="宋体"/>
        <charset val="134"/>
      </rPr>
      <t>、</t>
    </r>
    <r>
      <rPr>
        <sz val="10.5"/>
        <rFont val="Times New Roman"/>
        <family val="1"/>
      </rPr>
      <t>1Cr18Ni9</t>
    </r>
    <r>
      <rPr>
        <sz val="10.5"/>
        <rFont val="宋体"/>
        <charset val="134"/>
      </rPr>
      <t>、</t>
    </r>
    <r>
      <rPr>
        <sz val="10.5"/>
        <rFont val="Times New Roman"/>
        <family val="1"/>
      </rPr>
      <t>Cr18Ni9Ti</t>
    </r>
    <r>
      <rPr>
        <sz val="10.5"/>
        <rFont val="宋体"/>
        <charset val="134"/>
      </rPr>
      <t>、</t>
    </r>
    <r>
      <rPr>
        <sz val="10.5"/>
        <rFont val="Times New Roman"/>
        <family val="1"/>
      </rPr>
      <t xml:space="preserve">2Cr18Ni9 </t>
    </r>
  </si>
  <si>
    <r>
      <rPr>
        <sz val="10.5"/>
        <rFont val="Times New Roman"/>
        <family val="1"/>
      </rPr>
      <t>1</t>
    </r>
    <r>
      <rPr>
        <sz val="10.5"/>
        <rFont val="宋体"/>
        <charset val="134"/>
      </rPr>
      <t>铍青铜</t>
    </r>
  </si>
  <si>
    <r>
      <rPr>
        <sz val="10.5"/>
        <rFont val="Times New Roman"/>
        <family val="1"/>
      </rPr>
      <t>3-1</t>
    </r>
    <r>
      <rPr>
        <sz val="10.5"/>
        <rFont val="宋体"/>
        <charset val="134"/>
      </rPr>
      <t>硅青铜</t>
    </r>
  </si>
  <si>
    <t xml:space="preserve">1Cr18Ni11Si4A1Ti </t>
  </si>
  <si>
    <r>
      <rPr>
        <sz val="10.5"/>
        <rFont val="Times New Roman"/>
        <family val="1"/>
      </rPr>
      <t>1-3</t>
    </r>
    <r>
      <rPr>
        <sz val="10.5"/>
        <rFont val="宋体"/>
        <charset val="134"/>
      </rPr>
      <t>硅青铜</t>
    </r>
  </si>
  <si>
    <r>
      <rPr>
        <sz val="10.5"/>
        <rFont val="Times New Roman"/>
        <family val="1"/>
      </rPr>
      <t>1Crl8NillNb</t>
    </r>
    <r>
      <rPr>
        <sz val="10.5"/>
        <rFont val="宋体"/>
        <charset val="134"/>
      </rPr>
      <t>、</t>
    </r>
    <r>
      <rPr>
        <sz val="10.5"/>
        <rFont val="Times New Roman"/>
        <family val="1"/>
      </rPr>
      <t>Cr23Ni18</t>
    </r>
  </si>
  <si>
    <r>
      <rPr>
        <sz val="10.5"/>
        <rFont val="Times New Roman"/>
        <family val="1"/>
      </rPr>
      <t>0.5</t>
    </r>
    <r>
      <rPr>
        <sz val="10.5"/>
        <rFont val="宋体"/>
        <charset val="134"/>
      </rPr>
      <t>镉青铜</t>
    </r>
  </si>
  <si>
    <t>2Cr13Ni4Mn9</t>
  </si>
  <si>
    <r>
      <rPr>
        <sz val="10.5"/>
        <rFont val="Times New Roman"/>
        <family val="1"/>
      </rPr>
      <t>0.5</t>
    </r>
    <r>
      <rPr>
        <sz val="10.5"/>
        <rFont val="宋体"/>
        <charset val="134"/>
      </rPr>
      <t>铬青铜</t>
    </r>
  </si>
  <si>
    <t>3Cr13Ni7Si2</t>
  </si>
  <si>
    <r>
      <rPr>
        <sz val="10.5"/>
        <rFont val="Times New Roman"/>
        <family val="1"/>
      </rPr>
      <t>1.5</t>
    </r>
    <r>
      <rPr>
        <sz val="10.5"/>
        <rFont val="宋体"/>
        <charset val="134"/>
      </rPr>
      <t>锰青铜</t>
    </r>
  </si>
  <si>
    <r>
      <rPr>
        <sz val="10.5"/>
        <rFont val="Times New Roman"/>
        <family val="1"/>
      </rPr>
      <t>5</t>
    </r>
    <r>
      <rPr>
        <sz val="10.5"/>
        <rFont val="宋体"/>
        <charset val="134"/>
      </rPr>
      <t>锰青铜</t>
    </r>
  </si>
  <si>
    <t>白铜B5、B19、B30、BMn40-1.5</t>
  </si>
  <si>
    <t> 8.9</t>
  </si>
  <si>
    <t>BMn3-12</t>
  </si>
  <si>
    <t>BZN15-20</t>
  </si>
  <si>
    <t>BA16-1.5</t>
  </si>
  <si>
    <t>BA113-3</t>
  </si>
  <si>
    <t>T=G/1000M·{(W1+M)*L1·f1+W2·L2·f2+(W2+M)*L2·f3+1.1M(L1+L2)·f1}</t>
  </si>
  <si>
    <t>T: 作用于链条上的最大张力(KN)</t>
  </si>
  <si>
    <t>得出：</t>
  </si>
  <si>
    <t>L1: 传送部的长度(ｍ)</t>
  </si>
  <si>
    <t xml:space="preserve">L2: 滞留部的长度(ｍ) </t>
  </si>
  <si>
    <t>W1: 含传送部托盘的传送物重量(kg/ｍ)</t>
  </si>
  <si>
    <t>W2: 含滞留部托盘的传送物重量(kg/ｍ)</t>
  </si>
  <si>
    <t>M: 链条重量(kg/ｍ)</t>
  </si>
  <si>
    <t>f1: 有滞留时传送物与链条间的摩擦系数</t>
  </si>
  <si>
    <t>f2: 链条与滑轨的摩擦系数</t>
  </si>
  <si>
    <t>f3: 有滞留时链条与滑轨间的摩擦系数</t>
  </si>
  <si>
    <t>G: 重力加速度=9.80665(m/s2)</t>
  </si>
  <si>
    <t>KW:所需动力（KW）</t>
  </si>
  <si>
    <t>V:链条速度（m/min）</t>
  </si>
  <si>
    <t>n：传动效率（75%）</t>
  </si>
  <si>
    <t>F1：作用在单根链条的最大张力（KN）</t>
  </si>
  <si>
    <t xml:space="preserve">自流式输送机一般并列使用2条链条， 计算每条链条的张力。  </t>
  </si>
  <si>
    <t>链条的容许张力≥(TMK1MK2)/2  如果超过了链条的容许张力，</t>
  </si>
  <si>
    <t>请将链条变更为大一号规格， 或将机械长度进行分割后重新计算.</t>
  </si>
  <si>
    <r>
      <rPr>
        <b/>
        <sz val="18"/>
        <color rgb="FFFFFFFF"/>
        <rFont val="굴림"/>
        <charset val="134"/>
      </rPr>
      <t>倍速</t>
    </r>
    <r>
      <rPr>
        <b/>
        <sz val="18"/>
        <color indexed="9"/>
        <rFont val="宋体"/>
        <charset val="134"/>
      </rPr>
      <t>链线马达功率计算</t>
    </r>
  </si>
  <si>
    <t>变量参数</t>
  </si>
  <si>
    <t>输送速度</t>
  </si>
  <si>
    <t>V</t>
  </si>
  <si>
    <t>速度倍速</t>
  </si>
  <si>
    <t>输送链轮直径</t>
  </si>
  <si>
    <t>电机效率</t>
  </si>
  <si>
    <r>
      <rPr>
        <b/>
        <sz val="12"/>
        <rFont val="宋体"/>
        <charset val="134"/>
      </rPr>
      <t>η</t>
    </r>
    <r>
      <rPr>
        <b/>
        <sz val="13.8"/>
        <rFont val="Arial"/>
        <family val="2"/>
      </rPr>
      <t>1</t>
    </r>
  </si>
  <si>
    <t>输送机构效率</t>
  </si>
  <si>
    <r>
      <rPr>
        <b/>
        <sz val="12"/>
        <rFont val="宋体"/>
        <charset val="134"/>
      </rPr>
      <t>η</t>
    </r>
    <r>
      <rPr>
        <b/>
        <sz val="13.8"/>
        <rFont val="宋体"/>
        <charset val="134"/>
      </rPr>
      <t>2</t>
    </r>
  </si>
  <si>
    <t>电机轴链轮</t>
  </si>
  <si>
    <t>Z1</t>
  </si>
  <si>
    <t>主动轴链轮</t>
  </si>
  <si>
    <t>Z2</t>
  </si>
  <si>
    <t>输送工件总重量</t>
  </si>
  <si>
    <t>M1</t>
  </si>
  <si>
    <t>KG</t>
  </si>
  <si>
    <t>链条重量</t>
  </si>
  <si>
    <t>M2</t>
  </si>
  <si>
    <t>转动物重量</t>
  </si>
  <si>
    <t>M3</t>
  </si>
  <si>
    <t>电机加速时间</t>
  </si>
  <si>
    <t>t</t>
  </si>
  <si>
    <t>S</t>
  </si>
  <si>
    <r>
      <rPr>
        <sz val="12"/>
        <rFont val="宋体"/>
        <charset val="134"/>
      </rPr>
      <t>静</t>
    </r>
    <r>
      <rPr>
        <sz val="12"/>
        <rFont val="굴림"/>
        <charset val="134"/>
      </rPr>
      <t>摩擦系</t>
    </r>
    <r>
      <rPr>
        <sz val="12"/>
        <rFont val="宋体"/>
        <charset val="134"/>
      </rPr>
      <t>数（滑动摩擦）</t>
    </r>
  </si>
  <si>
    <t>μ2</t>
  </si>
  <si>
    <t>得出</t>
  </si>
  <si>
    <t>链条速度</t>
  </si>
  <si>
    <t>Va</t>
  </si>
  <si>
    <t>驱动轴转速</t>
  </si>
  <si>
    <t>n2</t>
  </si>
  <si>
    <t>输送链加速度</t>
  </si>
  <si>
    <t>驱动轴角加速度</t>
  </si>
  <si>
    <t>α</t>
  </si>
  <si>
    <t>rad/s^2</t>
  </si>
  <si>
    <t>n1</t>
  </si>
  <si>
    <t>输送加速度需要扭矩</t>
  </si>
  <si>
    <t>N.m</t>
  </si>
  <si>
    <t>转动物加速度需要扭矩</t>
  </si>
  <si>
    <t>T2</t>
  </si>
  <si>
    <r>
      <rPr>
        <sz val="12"/>
        <rFont val="굴림"/>
        <charset val="134"/>
      </rPr>
      <t>克服</t>
    </r>
    <r>
      <rPr>
        <sz val="12"/>
        <rFont val="宋体"/>
        <charset val="134"/>
      </rPr>
      <t>静摩擦力需要的扭矩</t>
    </r>
  </si>
  <si>
    <t>T3</t>
  </si>
  <si>
    <t>驱动轴所需最小扭矩</t>
  </si>
  <si>
    <t>Te</t>
  </si>
  <si>
    <t>马达所需最小扭矩</t>
  </si>
  <si>
    <t>Ma</t>
  </si>
  <si>
    <t>马达功率</t>
  </si>
  <si>
    <t>P</t>
  </si>
  <si>
    <t>规 格</t>
  </si>
  <si>
    <t>钻孔径</t>
  </si>
  <si>
    <t>硬材</t>
  </si>
  <si>
    <t>软材</t>
  </si>
  <si>
    <t>W 1/8    -40</t>
  </si>
  <si>
    <t>W 5/32   -32</t>
  </si>
  <si>
    <t>W 3/16   -24</t>
  </si>
  <si>
    <t>W 1/4    -20</t>
  </si>
  <si>
    <t>W 5/16   -18</t>
  </si>
  <si>
    <t>W 3/8    -16</t>
  </si>
  <si>
    <t>W 7/16   -14</t>
  </si>
  <si>
    <t>W 1/2    -12</t>
  </si>
  <si>
    <t>W 9/16   -12</t>
  </si>
  <si>
    <t>W 5/8    -11</t>
  </si>
  <si>
    <t>W 3/4    -10</t>
  </si>
  <si>
    <t>W 7/8    -9</t>
  </si>
  <si>
    <t>W 1      -8</t>
  </si>
  <si>
    <t>W 1-1/8  -7</t>
  </si>
  <si>
    <t>W 1-1/4  -7</t>
  </si>
  <si>
    <t>滚珠丝杆水平运动计算【伺服电机】</t>
  </si>
  <si>
    <t>参数名称</t>
  </si>
  <si>
    <t>符号</t>
  </si>
  <si>
    <t>值</t>
  </si>
  <si>
    <t>单位</t>
  </si>
  <si>
    <t>参 数 输 入 区</t>
  </si>
  <si>
    <t>滚珠丝杆机构</t>
  </si>
  <si>
    <t>变化量值</t>
  </si>
  <si>
    <t>工件部分的质量</t>
  </si>
  <si>
    <t>Kg</t>
  </si>
  <si>
    <t>预选电机转数</t>
  </si>
  <si>
    <t>转/min</t>
  </si>
  <si>
    <t>减速比i</t>
  </si>
  <si>
    <t>1/</t>
  </si>
  <si>
    <t>/1</t>
  </si>
  <si>
    <t>滚珠丝杆的长度</t>
  </si>
  <si>
    <t>BL</t>
  </si>
  <si>
    <t>M</t>
  </si>
  <si>
    <t>均速移动时最高速度</t>
  </si>
  <si>
    <t>Vmax</t>
  </si>
  <si>
    <t>铁的密度</t>
  </si>
  <si>
    <t>P1</t>
  </si>
  <si>
    <t>Kg/m3</t>
  </si>
  <si>
    <t>滚珠丝杆的直径</t>
  </si>
  <si>
    <t>BD</t>
  </si>
  <si>
    <t>铝的密度</t>
  </si>
  <si>
    <t>P2</t>
  </si>
  <si>
    <t>滚珠丝杆的螺距</t>
  </si>
  <si>
    <t>BP</t>
  </si>
  <si>
    <t>黄铜的密度</t>
  </si>
  <si>
    <t>P3</t>
  </si>
  <si>
    <t>滚珠丝杆的效率</t>
  </si>
  <si>
    <t>BN</t>
  </si>
  <si>
    <t>联轴器的惯量</t>
  </si>
  <si>
    <t>JC</t>
  </si>
  <si>
    <t>Kg.m2</t>
  </si>
  <si>
    <t>U</t>
  </si>
  <si>
    <t>外力</t>
  </si>
  <si>
    <t>重力加速度</t>
  </si>
  <si>
    <t>g</t>
  </si>
  <si>
    <t>m/s2</t>
  </si>
  <si>
    <t>ta</t>
  </si>
  <si>
    <t>tb</t>
  </si>
  <si>
    <t>减速时间</t>
  </si>
  <si>
    <t>td</t>
  </si>
  <si>
    <t>总共时间</t>
  </si>
  <si>
    <t>T</t>
  </si>
  <si>
    <t>循环时间</t>
  </si>
  <si>
    <t>tc</t>
  </si>
  <si>
    <t>以下为自动计算过程</t>
  </si>
  <si>
    <t>计算量</t>
  </si>
  <si>
    <t>滚珠丝杆的质量</t>
  </si>
  <si>
    <t>BW</t>
  </si>
  <si>
    <t>负载部分的惯量</t>
  </si>
  <si>
    <t>JL</t>
  </si>
  <si>
    <t>预选电机的惯量</t>
  </si>
  <si>
    <t>JM</t>
  </si>
  <si>
    <t>惯量比</t>
  </si>
  <si>
    <t>JL/JM</t>
  </si>
  <si>
    <t>倍</t>
  </si>
  <si>
    <t>定位快的要求惯量比在3-5倍之间，定位慢的要求惯量比在5-8倍之间</t>
  </si>
  <si>
    <t>加速时间换算</t>
  </si>
  <si>
    <t>Vmax/ta</t>
  </si>
  <si>
    <t>加速时转矩</t>
  </si>
  <si>
    <t>Ta</t>
  </si>
  <si>
    <t>M*a+M*g*u</t>
  </si>
  <si>
    <t>固定时转矩</t>
  </si>
  <si>
    <t>Tb</t>
  </si>
  <si>
    <t>M*g*u</t>
  </si>
  <si>
    <t>减速时转矩</t>
  </si>
  <si>
    <t>Td</t>
  </si>
  <si>
    <t>M*a-M*g*u</t>
  </si>
  <si>
    <t>移动转矩</t>
  </si>
  <si>
    <t>Tf</t>
  </si>
  <si>
    <t>确认最大转矩</t>
  </si>
  <si>
    <t>Tmax</t>
  </si>
  <si>
    <t>确认有效转矩</t>
  </si>
  <si>
    <t>Trms</t>
  </si>
  <si>
    <t>加速时转矩=Ta</t>
  </si>
  <si>
    <t>转速</t>
  </si>
  <si>
    <t>r/s</t>
  </si>
  <si>
    <t xml:space="preserve">     异步电机转矩换算</t>
  </si>
  <si>
    <t>电机功率P：KW</t>
  </si>
  <si>
    <t>参数输入</t>
  </si>
  <si>
    <t>电机转速n：rmin</t>
  </si>
  <si>
    <t>额定转矩T：Nm【T=9550P/n】</t>
  </si>
  <si>
    <t>自动计算区</t>
  </si>
  <si>
    <t>扭矩公式：T=9550P/n</t>
  </si>
  <si>
    <t xml:space="preserve">                        T是扭矩，单位N·m</t>
  </si>
  <si>
    <t xml:space="preserve">                        P是输出功率，单位KW</t>
  </si>
  <si>
    <t xml:space="preserve">           n是电机转速，单位r/min</t>
  </si>
  <si>
    <t>以下为参考文献</t>
  </si>
  <si>
    <t>皮带传动机构</t>
  </si>
  <si>
    <t>变化量</t>
  </si>
  <si>
    <t>WA</t>
  </si>
  <si>
    <t>带轮的直径</t>
  </si>
  <si>
    <t>PD</t>
  </si>
  <si>
    <t>带轮的质量</t>
  </si>
  <si>
    <t>WP</t>
  </si>
  <si>
    <t>机构部分的效率</t>
  </si>
  <si>
    <t>运行模式</t>
  </si>
  <si>
    <t>移动距离</t>
  </si>
  <si>
    <t>L</t>
  </si>
  <si>
    <t>滚珠丝杆垂直运动计算</t>
  </si>
  <si>
    <t>以下为参考文献：</t>
  </si>
  <si>
    <r>
      <rPr>
        <sz val="50"/>
        <color indexed="8"/>
        <rFont val="华文新魏"/>
        <charset val="134"/>
      </rPr>
      <t>滚珠丝杆水平运动计算</t>
    </r>
    <r>
      <rPr>
        <sz val="12"/>
        <color indexed="8"/>
        <rFont val="华文新魏"/>
        <charset val="134"/>
      </rPr>
      <t>【伺服电机】</t>
    </r>
  </si>
  <si>
    <t>弹 簧 刚 度 计 算 大 全</t>
  </si>
  <si>
    <t>钢丝直径与旋绕比选择</t>
  </si>
  <si>
    <t xml:space="preserve">角度正弦值的计算方法：SIN(30*PI()/180) </t>
  </si>
  <si>
    <t xml:space="preserve">角度余弦值的计算方法：COS(60*PI()/180) </t>
  </si>
  <si>
    <r>
      <rPr>
        <sz val="10"/>
        <rFont val="宋体"/>
        <charset val="134"/>
      </rPr>
      <t>钢丝直径：</t>
    </r>
    <r>
      <rPr>
        <sz val="10"/>
        <rFont val="Times New Roman"/>
        <family val="1"/>
      </rPr>
      <t xml:space="preserve">           d</t>
    </r>
  </si>
  <si>
    <r>
      <rPr>
        <sz val="10"/>
        <rFont val="Times New Roman"/>
        <family val="1"/>
      </rPr>
      <t>0.2</t>
    </r>
    <r>
      <rPr>
        <sz val="10"/>
        <rFont val="宋体"/>
        <charset val="134"/>
      </rPr>
      <t>～</t>
    </r>
    <r>
      <rPr>
        <sz val="10"/>
        <rFont val="Times New Roman"/>
        <family val="1"/>
      </rPr>
      <t>0.4</t>
    </r>
  </si>
  <si>
    <r>
      <rPr>
        <sz val="10"/>
        <rFont val="Times New Roman"/>
        <family val="1"/>
      </rPr>
      <t>0.45</t>
    </r>
    <r>
      <rPr>
        <sz val="10"/>
        <rFont val="宋体"/>
        <charset val="134"/>
      </rPr>
      <t>～</t>
    </r>
    <r>
      <rPr>
        <sz val="10"/>
        <rFont val="Times New Roman"/>
        <family val="1"/>
      </rPr>
      <t>1</t>
    </r>
  </si>
  <si>
    <r>
      <rPr>
        <sz val="10"/>
        <rFont val="Times New Roman"/>
        <family val="1"/>
      </rPr>
      <t>1.1</t>
    </r>
    <r>
      <rPr>
        <sz val="10"/>
        <rFont val="宋体"/>
        <charset val="134"/>
      </rPr>
      <t>～</t>
    </r>
    <r>
      <rPr>
        <sz val="10"/>
        <rFont val="Times New Roman"/>
        <family val="1"/>
      </rPr>
      <t>2.2</t>
    </r>
  </si>
  <si>
    <r>
      <rPr>
        <sz val="10"/>
        <rFont val="Times New Roman"/>
        <family val="1"/>
      </rPr>
      <t>2.5</t>
    </r>
    <r>
      <rPr>
        <sz val="10"/>
        <rFont val="宋体"/>
        <charset val="134"/>
      </rPr>
      <t>～</t>
    </r>
    <r>
      <rPr>
        <sz val="10"/>
        <rFont val="Times New Roman"/>
        <family val="1"/>
      </rPr>
      <t>6</t>
    </r>
  </si>
  <si>
    <r>
      <rPr>
        <sz val="10"/>
        <rFont val="Times New Roman"/>
        <family val="1"/>
      </rPr>
      <t>7</t>
    </r>
    <r>
      <rPr>
        <sz val="10"/>
        <rFont val="宋体"/>
        <charset val="134"/>
      </rPr>
      <t>～</t>
    </r>
    <r>
      <rPr>
        <sz val="10"/>
        <rFont val="Times New Roman"/>
        <family val="1"/>
      </rPr>
      <t>16</t>
    </r>
  </si>
  <si>
    <r>
      <rPr>
        <sz val="10"/>
        <rFont val="Times New Roman"/>
        <family val="1"/>
      </rPr>
      <t>18</t>
    </r>
    <r>
      <rPr>
        <sz val="10"/>
        <rFont val="宋体"/>
        <charset val="134"/>
      </rPr>
      <t>～</t>
    </r>
    <r>
      <rPr>
        <sz val="10"/>
        <rFont val="Times New Roman"/>
        <family val="1"/>
      </rPr>
      <t>24</t>
    </r>
  </si>
  <si>
    <t xml:space="preserve">角度正切值的计算方法：TAN(45*PI()/180) </t>
  </si>
  <si>
    <r>
      <rPr>
        <sz val="8"/>
        <rFont val="宋体"/>
        <charset val="134"/>
      </rPr>
      <t>乘方或开方计算方法</t>
    </r>
    <r>
      <rPr>
        <sz val="8"/>
        <rFont val="Times New Roman"/>
        <family val="1"/>
      </rPr>
      <t>:</t>
    </r>
  </si>
  <si>
    <t>8^2=64</t>
  </si>
  <si>
    <t>64^(1/3)=4</t>
  </si>
  <si>
    <r>
      <rPr>
        <sz val="10"/>
        <rFont val="宋体"/>
        <charset val="134"/>
      </rPr>
      <t>旋绕比：</t>
    </r>
    <r>
      <rPr>
        <sz val="10"/>
        <rFont val="Times New Roman"/>
        <family val="1"/>
      </rPr>
      <t xml:space="preserve">     C=D2/d</t>
    </r>
  </si>
  <si>
    <r>
      <rPr>
        <sz val="10"/>
        <rFont val="Times New Roman"/>
        <family val="1"/>
      </rPr>
      <t>7</t>
    </r>
    <r>
      <rPr>
        <sz val="10"/>
        <rFont val="宋体"/>
        <charset val="134"/>
      </rPr>
      <t>～</t>
    </r>
    <r>
      <rPr>
        <sz val="10"/>
        <rFont val="Times New Roman"/>
        <family val="1"/>
      </rPr>
      <t>14</t>
    </r>
  </si>
  <si>
    <r>
      <rPr>
        <sz val="10"/>
        <rFont val="Times New Roman"/>
        <family val="1"/>
      </rPr>
      <t>5</t>
    </r>
    <r>
      <rPr>
        <sz val="10"/>
        <rFont val="宋体"/>
        <charset val="134"/>
      </rPr>
      <t>～</t>
    </r>
    <r>
      <rPr>
        <sz val="10"/>
        <rFont val="Times New Roman"/>
        <family val="1"/>
      </rPr>
      <t>12</t>
    </r>
  </si>
  <si>
    <r>
      <rPr>
        <sz val="10"/>
        <rFont val="Times New Roman"/>
        <family val="1"/>
      </rPr>
      <t>5</t>
    </r>
    <r>
      <rPr>
        <sz val="10"/>
        <rFont val="宋体"/>
        <charset val="134"/>
      </rPr>
      <t>～</t>
    </r>
    <r>
      <rPr>
        <sz val="10"/>
        <rFont val="Times New Roman"/>
        <family val="1"/>
      </rPr>
      <t>10</t>
    </r>
  </si>
  <si>
    <r>
      <rPr>
        <sz val="10"/>
        <rFont val="Times New Roman"/>
        <family val="1"/>
      </rPr>
      <t>4</t>
    </r>
    <r>
      <rPr>
        <sz val="10"/>
        <rFont val="宋体"/>
        <charset val="134"/>
      </rPr>
      <t>～</t>
    </r>
    <r>
      <rPr>
        <sz val="10"/>
        <rFont val="Times New Roman"/>
        <family val="1"/>
      </rPr>
      <t>10</t>
    </r>
  </si>
  <si>
    <r>
      <rPr>
        <sz val="10"/>
        <rFont val="Times New Roman"/>
        <family val="1"/>
      </rPr>
      <t>4</t>
    </r>
    <r>
      <rPr>
        <sz val="10"/>
        <rFont val="宋体"/>
        <charset val="134"/>
      </rPr>
      <t>～</t>
    </r>
    <r>
      <rPr>
        <sz val="10"/>
        <rFont val="Times New Roman"/>
        <family val="1"/>
      </rPr>
      <t>8</t>
    </r>
  </si>
  <si>
    <r>
      <rPr>
        <sz val="10"/>
        <rFont val="Times New Roman"/>
        <family val="1"/>
      </rPr>
      <t>4</t>
    </r>
    <r>
      <rPr>
        <sz val="10"/>
        <rFont val="宋体"/>
        <charset val="134"/>
      </rPr>
      <t>～</t>
    </r>
    <r>
      <rPr>
        <sz val="10"/>
        <rFont val="Times New Roman"/>
        <family val="1"/>
      </rPr>
      <t>6</t>
    </r>
  </si>
  <si>
    <t>国内专利网</t>
  </si>
  <si>
    <t>www.sipo.gov.cn</t>
  </si>
  <si>
    <r>
      <rPr>
        <sz val="12"/>
        <color indexed="14"/>
        <rFont val="宋体"/>
        <charset val="134"/>
      </rPr>
      <t>拉伸（压缩）弹簧计算</t>
    </r>
    <r>
      <rPr>
        <sz val="12"/>
        <color indexed="14"/>
        <rFont val="Times New Roman"/>
        <family val="1"/>
      </rPr>
      <t xml:space="preserve">  </t>
    </r>
    <r>
      <rPr>
        <sz val="12"/>
        <color indexed="17"/>
        <rFont val="宋体"/>
        <charset val="134"/>
      </rPr>
      <t>（方案一）</t>
    </r>
  </si>
  <si>
    <r>
      <rPr>
        <sz val="12"/>
        <color indexed="14"/>
        <rFont val="宋体"/>
        <charset val="134"/>
      </rPr>
      <t>拉伸（压缩）弹簧计算</t>
    </r>
    <r>
      <rPr>
        <sz val="12"/>
        <color indexed="14"/>
        <rFont val="Times New Roman"/>
        <family val="1"/>
      </rPr>
      <t xml:space="preserve">  </t>
    </r>
    <r>
      <rPr>
        <sz val="12"/>
        <color indexed="17"/>
        <rFont val="宋体"/>
        <charset val="134"/>
      </rPr>
      <t>（方案四）</t>
    </r>
  </si>
  <si>
    <r>
      <rPr>
        <sz val="8"/>
        <rFont val="宋体"/>
        <charset val="134"/>
      </rPr>
      <t>材料剪切弹性系数：</t>
    </r>
    <r>
      <rPr>
        <sz val="8"/>
        <rFont val="Times New Roman"/>
        <family val="1"/>
      </rPr>
      <t xml:space="preserve">   </t>
    </r>
    <r>
      <rPr>
        <sz val="8"/>
        <color indexed="12"/>
        <rFont val="Times New Roman"/>
        <family val="1"/>
      </rPr>
      <t>G</t>
    </r>
  </si>
  <si>
    <t>kgf/mm2</t>
  </si>
  <si>
    <r>
      <rPr>
        <sz val="10"/>
        <color indexed="12"/>
        <rFont val="宋体"/>
        <charset val="134"/>
      </rPr>
      <t>旋绕比：</t>
    </r>
    <r>
      <rPr>
        <sz val="10"/>
        <color indexed="12"/>
        <rFont val="Times New Roman"/>
        <family val="1"/>
      </rPr>
      <t xml:space="preserve">     C=D2/d</t>
    </r>
  </si>
  <si>
    <r>
      <rPr>
        <sz val="10"/>
        <color indexed="12"/>
        <rFont val="Times New Roman"/>
        <family val="1"/>
      </rPr>
      <t xml:space="preserve">    </t>
    </r>
    <r>
      <rPr>
        <sz val="10"/>
        <color indexed="12"/>
        <rFont val="宋体"/>
        <charset val="134"/>
      </rPr>
      <t>弹簧中径：</t>
    </r>
    <r>
      <rPr>
        <sz val="10"/>
        <color indexed="12"/>
        <rFont val="Times New Roman"/>
        <family val="1"/>
      </rPr>
      <t xml:space="preserve">     D</t>
    </r>
    <r>
      <rPr>
        <sz val="12"/>
        <color indexed="12"/>
        <rFont val="Times New Roman"/>
        <family val="1"/>
      </rPr>
      <t>2</t>
    </r>
  </si>
  <si>
    <r>
      <rPr>
        <sz val="10"/>
        <color indexed="12"/>
        <rFont val="宋体"/>
        <charset val="134"/>
      </rPr>
      <t>拉、压弹簧：</t>
    </r>
    <r>
      <rPr>
        <sz val="10"/>
        <color indexed="12"/>
        <rFont val="Times New Roman"/>
        <family val="1"/>
      </rPr>
      <t xml:space="preserve">      K</t>
    </r>
  </si>
  <si>
    <r>
      <rPr>
        <sz val="10"/>
        <color indexed="12"/>
        <rFont val="Times New Roman"/>
        <family val="1"/>
      </rPr>
      <t xml:space="preserve">    </t>
    </r>
    <r>
      <rPr>
        <sz val="10"/>
        <color indexed="12"/>
        <rFont val="宋体"/>
        <charset val="134"/>
      </rPr>
      <t>钢丝直径：</t>
    </r>
    <r>
      <rPr>
        <sz val="10"/>
        <color indexed="12"/>
        <rFont val="Times New Roman"/>
        <family val="1"/>
      </rPr>
      <t xml:space="preserve">      d</t>
    </r>
  </si>
  <si>
    <t xml:space="preserve">    有效圈数:         n</t>
  </si>
  <si>
    <r>
      <rPr>
        <sz val="8"/>
        <color indexed="12"/>
        <rFont val="宋体"/>
        <charset val="134"/>
      </rPr>
      <t>材料：</t>
    </r>
    <r>
      <rPr>
        <sz val="8"/>
        <color indexed="12"/>
        <rFont val="Times New Roman"/>
        <family val="1"/>
      </rPr>
      <t>65Mn</t>
    </r>
    <r>
      <rPr>
        <sz val="8"/>
        <color indexed="12"/>
        <rFont val="宋体"/>
        <charset val="134"/>
      </rPr>
      <t>τ</t>
    </r>
    <r>
      <rPr>
        <sz val="8"/>
        <color indexed="12"/>
        <rFont val="Times New Roman"/>
        <family val="1"/>
      </rPr>
      <t>(kgf/mm2)</t>
    </r>
  </si>
  <si>
    <r>
      <rPr>
        <sz val="10"/>
        <color indexed="12"/>
        <rFont val="Times New Roman"/>
        <family val="1"/>
      </rPr>
      <t xml:space="preserve">    </t>
    </r>
    <r>
      <rPr>
        <sz val="10"/>
        <color indexed="12"/>
        <rFont val="宋体"/>
        <charset val="134"/>
      </rPr>
      <t>弹簧刚度：</t>
    </r>
    <r>
      <rPr>
        <sz val="10"/>
        <color indexed="12"/>
        <rFont val="Times New Roman"/>
        <family val="1"/>
      </rPr>
      <t xml:space="preserve">      P`</t>
    </r>
  </si>
  <si>
    <t>kgf/mm</t>
  </si>
  <si>
    <t>N/mm</t>
  </si>
  <si>
    <t>拼圈高度</t>
  </si>
  <si>
    <t>设</t>
  </si>
  <si>
    <r>
      <rPr>
        <sz val="10"/>
        <color indexed="12"/>
        <rFont val="宋体"/>
        <charset val="134"/>
      </rPr>
      <t>允许极限负荷：</t>
    </r>
    <r>
      <rPr>
        <sz val="10"/>
        <color indexed="12"/>
        <rFont val="Times New Roman"/>
        <family val="1"/>
      </rPr>
      <t xml:space="preserve"> P3</t>
    </r>
  </si>
  <si>
    <t>kgf</t>
  </si>
  <si>
    <t>（参考）</t>
  </si>
  <si>
    <r>
      <rPr>
        <sz val="10"/>
        <color indexed="12"/>
        <rFont val="宋体"/>
        <charset val="134"/>
      </rPr>
      <t>极限负荷弹簧总变形量：</t>
    </r>
    <r>
      <rPr>
        <sz val="10"/>
        <color indexed="12"/>
        <rFont val="Times New Roman"/>
        <family val="1"/>
      </rPr>
      <t xml:space="preserve">    f3</t>
    </r>
  </si>
  <si>
    <r>
      <rPr>
        <sz val="12"/>
        <color indexed="14"/>
        <rFont val="宋体"/>
        <charset val="134"/>
      </rPr>
      <t>拉伸（压缩）弹簧计算</t>
    </r>
    <r>
      <rPr>
        <sz val="12"/>
        <color indexed="14"/>
        <rFont val="Times New Roman"/>
        <family val="1"/>
      </rPr>
      <t xml:space="preserve">  </t>
    </r>
    <r>
      <rPr>
        <sz val="12"/>
        <color indexed="17"/>
        <rFont val="宋体"/>
        <charset val="134"/>
      </rPr>
      <t>（方案二）</t>
    </r>
  </si>
  <si>
    <r>
      <rPr>
        <sz val="12"/>
        <color indexed="14"/>
        <rFont val="宋体"/>
        <charset val="134"/>
      </rPr>
      <t>拉伸（压缩）弹簧计算</t>
    </r>
    <r>
      <rPr>
        <sz val="12"/>
        <color indexed="14"/>
        <rFont val="Times New Roman"/>
        <family val="1"/>
      </rPr>
      <t xml:space="preserve">  </t>
    </r>
    <r>
      <rPr>
        <sz val="12"/>
        <color indexed="17"/>
        <rFont val="宋体"/>
        <charset val="134"/>
      </rPr>
      <t>（方案五）</t>
    </r>
  </si>
  <si>
    <t>计</t>
  </si>
  <si>
    <t>`</t>
  </si>
  <si>
    <t>``</t>
  </si>
  <si>
    <t>验</t>
  </si>
  <si>
    <r>
      <rPr>
        <sz val="12"/>
        <color indexed="14"/>
        <rFont val="宋体"/>
        <charset val="134"/>
      </rPr>
      <t>拉伸（压缩）弹簧计算</t>
    </r>
    <r>
      <rPr>
        <sz val="12"/>
        <color indexed="14"/>
        <rFont val="Times New Roman"/>
        <family val="1"/>
      </rPr>
      <t xml:space="preserve">  </t>
    </r>
    <r>
      <rPr>
        <sz val="12"/>
        <color indexed="17"/>
        <rFont val="宋体"/>
        <charset val="134"/>
      </rPr>
      <t>（方案三）</t>
    </r>
  </si>
  <si>
    <r>
      <rPr>
        <sz val="12"/>
        <color indexed="14"/>
        <rFont val="宋体"/>
        <charset val="134"/>
      </rPr>
      <t>拉伸（压缩）弹簧计算</t>
    </r>
    <r>
      <rPr>
        <sz val="12"/>
        <color indexed="14"/>
        <rFont val="Times New Roman"/>
        <family val="1"/>
      </rPr>
      <t xml:space="preserve">  </t>
    </r>
    <r>
      <rPr>
        <sz val="12"/>
        <color indexed="17"/>
        <rFont val="宋体"/>
        <charset val="134"/>
      </rPr>
      <t>（方案六）</t>
    </r>
  </si>
  <si>
    <t>算</t>
  </si>
  <si>
    <t>拉伸（压缩）弹簧设计计算步骤</t>
  </si>
  <si>
    <r>
      <rPr>
        <sz val="12"/>
        <rFont val="宋体"/>
        <charset val="134"/>
      </rPr>
      <t>第一步</t>
    </r>
    <r>
      <rPr>
        <sz val="12"/>
        <color indexed="14"/>
        <rFont val="宋体"/>
        <charset val="134"/>
      </rPr>
      <t>（验算弹簧钢丝直径及有关参数）</t>
    </r>
  </si>
  <si>
    <r>
      <rPr>
        <sz val="12"/>
        <rFont val="宋体"/>
        <charset val="134"/>
      </rPr>
      <t>第二步</t>
    </r>
    <r>
      <rPr>
        <sz val="12"/>
        <color indexed="14"/>
        <rFont val="宋体"/>
        <charset val="134"/>
      </rPr>
      <t>（验算弹簧工作圈数及有关参数）</t>
    </r>
  </si>
  <si>
    <r>
      <rPr>
        <sz val="10"/>
        <rFont val="宋体"/>
        <charset val="134"/>
      </rPr>
      <t>弹簧材料：</t>
    </r>
    <r>
      <rPr>
        <sz val="10"/>
        <rFont val="Times New Roman"/>
        <family val="1"/>
      </rPr>
      <t>60Si2Mn</t>
    </r>
  </si>
  <si>
    <r>
      <rPr>
        <sz val="10"/>
        <rFont val="Times New Roman"/>
        <family val="1"/>
      </rPr>
      <t>[</t>
    </r>
    <r>
      <rPr>
        <sz val="10"/>
        <rFont val="宋体"/>
        <charset val="134"/>
      </rPr>
      <t>τ]</t>
    </r>
  </si>
  <si>
    <t>节距</t>
  </si>
  <si>
    <t>τ</t>
  </si>
  <si>
    <r>
      <rPr>
        <sz val="10"/>
        <rFont val="宋体"/>
        <charset val="134"/>
      </rPr>
      <t>自由高度或长度</t>
    </r>
    <r>
      <rPr>
        <sz val="10"/>
        <rFont val="Times New Roman"/>
        <family val="1"/>
      </rPr>
      <t>:           YI</t>
    </r>
    <r>
      <rPr>
        <sz val="10"/>
        <rFont val="宋体"/>
        <charset val="134"/>
      </rPr>
      <t>型</t>
    </r>
  </si>
  <si>
    <t>H</t>
  </si>
  <si>
    <t>弹簧剪切弹性系数</t>
  </si>
  <si>
    <r>
      <rPr>
        <sz val="10"/>
        <color indexed="12"/>
        <rFont val="Times New Roman"/>
        <family val="1"/>
      </rPr>
      <t>YII</t>
    </r>
    <r>
      <rPr>
        <sz val="10"/>
        <color indexed="12"/>
        <rFont val="宋体"/>
        <charset val="134"/>
      </rPr>
      <t>型</t>
    </r>
  </si>
  <si>
    <r>
      <rPr>
        <sz val="10"/>
        <rFont val="宋体"/>
        <charset val="134"/>
      </rPr>
      <t>弹簧指数：</t>
    </r>
    <r>
      <rPr>
        <sz val="10"/>
        <rFont val="Times New Roman"/>
        <family val="1"/>
      </rPr>
      <t xml:space="preserve">    C=D2/d</t>
    </r>
  </si>
  <si>
    <r>
      <rPr>
        <sz val="10"/>
        <rFont val="Times New Roman"/>
        <family val="1"/>
      </rPr>
      <t>L</t>
    </r>
    <r>
      <rPr>
        <sz val="10"/>
        <rFont val="宋体"/>
        <charset val="134"/>
      </rPr>
      <t>型（不加钩环尺寸）</t>
    </r>
  </si>
  <si>
    <t>曲度系数</t>
  </si>
  <si>
    <r>
      <rPr>
        <sz val="10"/>
        <rFont val="宋体"/>
        <charset val="134"/>
      </rPr>
      <t>压缩弹簧稳定性指标</t>
    </r>
    <r>
      <rPr>
        <sz val="10"/>
        <rFont val="Times New Roman"/>
        <family val="1"/>
      </rPr>
      <t>:   YI</t>
    </r>
    <r>
      <rPr>
        <sz val="10"/>
        <rFont val="宋体"/>
        <charset val="134"/>
      </rPr>
      <t>型</t>
    </r>
  </si>
  <si>
    <r>
      <rPr>
        <sz val="10"/>
        <rFont val="Times New Roman"/>
        <family val="1"/>
      </rPr>
      <t>b</t>
    </r>
    <r>
      <rPr>
        <sz val="10"/>
        <rFont val="宋体"/>
        <charset val="134"/>
      </rPr>
      <t>≤</t>
    </r>
    <r>
      <rPr>
        <sz val="10"/>
        <rFont val="Times New Roman"/>
        <family val="1"/>
      </rPr>
      <t>3</t>
    </r>
  </si>
  <si>
    <t>钢丝直径</t>
  </si>
  <si>
    <t>d</t>
  </si>
  <si>
    <r>
      <rPr>
        <sz val="10"/>
        <rFont val="Times New Roman"/>
        <family val="1"/>
      </rPr>
      <t>YII</t>
    </r>
    <r>
      <rPr>
        <sz val="10"/>
        <rFont val="宋体"/>
        <charset val="134"/>
      </rPr>
      <t>型</t>
    </r>
  </si>
  <si>
    <t>弹簧中径</t>
  </si>
  <si>
    <t>工作圈数</t>
  </si>
  <si>
    <t>n</t>
  </si>
  <si>
    <r>
      <rPr>
        <sz val="10"/>
        <rFont val="宋体"/>
        <charset val="134"/>
      </rPr>
      <t>当</t>
    </r>
    <r>
      <rPr>
        <sz val="10"/>
        <rFont val="Times New Roman"/>
        <family val="1"/>
      </rPr>
      <t>b</t>
    </r>
    <r>
      <rPr>
        <sz val="10"/>
        <rFont val="宋体"/>
        <charset val="134"/>
      </rPr>
      <t>＞</t>
    </r>
    <r>
      <rPr>
        <sz val="10"/>
        <rFont val="Times New Roman"/>
        <family val="1"/>
      </rPr>
      <t>3</t>
    </r>
    <r>
      <rPr>
        <sz val="10"/>
        <rFont val="宋体"/>
        <charset val="134"/>
      </rPr>
      <t>时，弹簧须套在心轴上使用。</t>
    </r>
  </si>
  <si>
    <t>总圈数</t>
  </si>
  <si>
    <t>最小工作负荷下变形量</t>
  </si>
  <si>
    <t>最小工作负荷</t>
  </si>
  <si>
    <t>最大工作负荷下变形量</t>
  </si>
  <si>
    <t>F2</t>
  </si>
  <si>
    <t>最大工作负荷</t>
  </si>
  <si>
    <t>极限负荷下变形量</t>
  </si>
  <si>
    <t>允许极限负荷</t>
  </si>
  <si>
    <t>最小工作负荷下高（长）度</t>
  </si>
  <si>
    <t>H1</t>
  </si>
  <si>
    <t>H-F1</t>
  </si>
  <si>
    <t>极限负荷单圈变形量</t>
  </si>
  <si>
    <t>f3</t>
  </si>
  <si>
    <t>最大工作负荷下高（长）度</t>
  </si>
  <si>
    <t>H2</t>
  </si>
  <si>
    <t>H-F2</t>
  </si>
  <si>
    <t>弹簧钢丝间距</t>
  </si>
  <si>
    <t>δ</t>
  </si>
  <si>
    <t>极限负荷下高（长）度</t>
  </si>
  <si>
    <t>H3</t>
  </si>
  <si>
    <t>H-F3</t>
  </si>
  <si>
    <t>弹簧刚度</t>
  </si>
  <si>
    <t>P`</t>
  </si>
  <si>
    <t>螺旋角</t>
  </si>
  <si>
    <r>
      <rPr>
        <sz val="10"/>
        <rFont val="Times New Roman"/>
        <family val="1"/>
      </rPr>
      <t>tg</t>
    </r>
    <r>
      <rPr>
        <sz val="10"/>
        <rFont val="宋体"/>
        <charset val="134"/>
      </rPr>
      <t>α</t>
    </r>
  </si>
  <si>
    <t>最大工作负荷下间距</t>
  </si>
  <si>
    <r>
      <rPr>
        <sz val="10"/>
        <rFont val="宋体"/>
        <charset val="134"/>
      </rPr>
      <t>δ</t>
    </r>
    <r>
      <rPr>
        <sz val="10"/>
        <rFont val="Times New Roman"/>
        <family val="1"/>
      </rPr>
      <t>1</t>
    </r>
  </si>
  <si>
    <r>
      <rPr>
        <sz val="10"/>
        <rFont val="宋体"/>
        <charset val="134"/>
      </rPr>
      <t>←δ</t>
    </r>
    <r>
      <rPr>
        <sz val="10"/>
        <rFont val="Times New Roman"/>
        <family val="1"/>
      </rPr>
      <t>1</t>
    </r>
    <r>
      <rPr>
        <sz val="10"/>
        <rFont val="宋体"/>
        <charset val="134"/>
      </rPr>
      <t>（适用于压缩弹簧，指弹簧钢丝间隙）</t>
    </r>
  </si>
  <si>
    <r>
      <rPr>
        <sz val="12"/>
        <color indexed="8"/>
        <rFont val="Times New Roman"/>
        <family val="1"/>
      </rPr>
      <t>CM8</t>
    </r>
    <r>
      <rPr>
        <sz val="12"/>
        <color indexed="14"/>
        <rFont val="宋体"/>
        <charset val="134"/>
      </rPr>
      <t>（计算弹簧刚度及有关参数）</t>
    </r>
  </si>
  <si>
    <r>
      <rPr>
        <sz val="12"/>
        <rFont val="宋体"/>
        <charset val="134"/>
      </rPr>
      <t>第四步</t>
    </r>
    <r>
      <rPr>
        <sz val="12"/>
        <color indexed="14"/>
        <rFont val="宋体"/>
        <charset val="134"/>
      </rPr>
      <t>（方案确定设计计算）</t>
    </r>
  </si>
  <si>
    <r>
      <rPr>
        <sz val="10"/>
        <rFont val="宋体"/>
        <charset val="134"/>
      </rPr>
      <t>材料剪切弹性系数：</t>
    </r>
    <r>
      <rPr>
        <sz val="10"/>
        <rFont val="Times New Roman"/>
        <family val="1"/>
      </rPr>
      <t xml:space="preserve">   </t>
    </r>
    <r>
      <rPr>
        <sz val="10"/>
        <color indexed="12"/>
        <rFont val="Times New Roman"/>
        <family val="1"/>
      </rPr>
      <t>G</t>
    </r>
  </si>
  <si>
    <r>
      <rPr>
        <sz val="10"/>
        <color indexed="12"/>
        <rFont val="宋体"/>
        <charset val="134"/>
      </rPr>
      <t>注：</t>
    </r>
    <r>
      <rPr>
        <sz val="10"/>
        <color indexed="12"/>
        <rFont val="Times New Roman"/>
        <family val="1"/>
      </rPr>
      <t xml:space="preserve">1. </t>
    </r>
    <r>
      <rPr>
        <sz val="10"/>
        <color indexed="12"/>
        <rFont val="宋体"/>
        <charset val="134"/>
      </rPr>
      <t>弹簧结构形式</t>
    </r>
    <r>
      <rPr>
        <sz val="10"/>
        <color indexed="12"/>
        <rFont val="Times New Roman"/>
        <family val="1"/>
      </rPr>
      <t>-----YII</t>
    </r>
    <r>
      <rPr>
        <sz val="10"/>
        <color indexed="12"/>
        <rFont val="宋体"/>
        <charset val="134"/>
      </rPr>
      <t>型</t>
    </r>
  </si>
  <si>
    <r>
      <rPr>
        <sz val="10"/>
        <color indexed="12"/>
        <rFont val="Times New Roman"/>
        <family val="1"/>
      </rPr>
      <t xml:space="preserve">         2. </t>
    </r>
    <r>
      <rPr>
        <sz val="10"/>
        <color indexed="12"/>
        <rFont val="宋体"/>
        <charset val="134"/>
      </rPr>
      <t>计算结果应满足：</t>
    </r>
    <r>
      <rPr>
        <sz val="10"/>
        <color indexed="12"/>
        <rFont val="Times New Roman"/>
        <family val="1"/>
      </rPr>
      <t>P3</t>
    </r>
    <r>
      <rPr>
        <sz val="10"/>
        <color indexed="12"/>
        <rFont val="宋体"/>
        <charset val="134"/>
      </rPr>
      <t>≥</t>
    </r>
    <r>
      <rPr>
        <sz val="10"/>
        <color indexed="12"/>
        <rFont val="Times New Roman"/>
        <family val="1"/>
      </rPr>
      <t>1.25P2</t>
    </r>
  </si>
  <si>
    <r>
      <rPr>
        <sz val="12"/>
        <color indexed="8"/>
        <rFont val="宋体"/>
        <charset val="134"/>
      </rPr>
      <t>第三步</t>
    </r>
    <r>
      <rPr>
        <sz val="12"/>
        <color indexed="14"/>
        <rFont val="宋体"/>
        <charset val="134"/>
      </rPr>
      <t>（计算弹簧刚度及有关参数）</t>
    </r>
  </si>
  <si>
    <r>
      <rPr>
        <sz val="12"/>
        <color indexed="10"/>
        <rFont val="宋体"/>
        <charset val="134"/>
      </rPr>
      <t>截锥簧</t>
    </r>
    <r>
      <rPr>
        <sz val="12"/>
        <color indexed="14"/>
        <rFont val="宋体"/>
        <charset val="134"/>
      </rPr>
      <t>（计算弹簧刚度及有关参数）</t>
    </r>
  </si>
  <si>
    <t>p '</t>
  </si>
  <si>
    <r>
      <rPr>
        <sz val="10"/>
        <color indexed="12"/>
        <rFont val="Times New Roman"/>
        <family val="1"/>
      </rPr>
      <t xml:space="preserve">    </t>
    </r>
    <r>
      <rPr>
        <sz val="10"/>
        <color indexed="12"/>
        <rFont val="宋体"/>
        <charset val="134"/>
      </rPr>
      <t>弹簧小中径：</t>
    </r>
    <r>
      <rPr>
        <sz val="10"/>
        <color indexed="12"/>
        <rFont val="Times New Roman"/>
        <family val="1"/>
      </rPr>
      <t xml:space="preserve"> d</t>
    </r>
    <r>
      <rPr>
        <sz val="12"/>
        <color indexed="12"/>
        <rFont val="Times New Roman"/>
        <family val="1"/>
      </rPr>
      <t>2</t>
    </r>
  </si>
  <si>
    <r>
      <rPr>
        <sz val="10"/>
        <color indexed="12"/>
        <rFont val="Times New Roman"/>
        <family val="1"/>
      </rPr>
      <t xml:space="preserve">    </t>
    </r>
    <r>
      <rPr>
        <sz val="10"/>
        <color indexed="12"/>
        <rFont val="宋体"/>
        <charset val="134"/>
      </rPr>
      <t>弹簧大中径：</t>
    </r>
    <r>
      <rPr>
        <sz val="10"/>
        <color indexed="12"/>
        <rFont val="Times New Roman"/>
        <family val="1"/>
      </rPr>
      <t xml:space="preserve"> D</t>
    </r>
    <r>
      <rPr>
        <sz val="12"/>
        <color indexed="12"/>
        <rFont val="Times New Roman"/>
        <family val="1"/>
      </rPr>
      <t>2</t>
    </r>
  </si>
  <si>
    <t>d=2.2</t>
  </si>
  <si>
    <t>D=28.8</t>
  </si>
  <si>
    <t>n=22.75</t>
  </si>
  <si>
    <r>
      <rPr>
        <sz val="12"/>
        <color indexed="10"/>
        <rFont val="宋体"/>
        <charset val="134"/>
      </rPr>
      <t>圆柱簧</t>
    </r>
    <r>
      <rPr>
        <sz val="12"/>
        <color indexed="14"/>
        <rFont val="宋体"/>
        <charset val="134"/>
      </rPr>
      <t>（计算弹簧刚度及有关参数）</t>
    </r>
  </si>
  <si>
    <t>请输入齿数</t>
  </si>
  <si>
    <t>齿数Z</t>
  </si>
  <si>
    <t>链条参数</t>
  </si>
  <si>
    <t>基本参数</t>
  </si>
  <si>
    <t>链条编号</t>
  </si>
  <si>
    <t>06B</t>
  </si>
  <si>
    <t>08A</t>
  </si>
  <si>
    <t>08B</t>
  </si>
  <si>
    <t>10A</t>
  </si>
  <si>
    <t>10B</t>
  </si>
  <si>
    <t>12A</t>
  </si>
  <si>
    <t>12B</t>
  </si>
  <si>
    <t>16A</t>
  </si>
  <si>
    <t>16B</t>
  </si>
  <si>
    <t>20A</t>
  </si>
  <si>
    <t>20B</t>
  </si>
  <si>
    <t>节距P</t>
  </si>
  <si>
    <t>滚子外径d1</t>
  </si>
  <si>
    <t>名 称</t>
  </si>
  <si>
    <t>最大齿槽形状--公式</t>
  </si>
  <si>
    <t>最大齿槽形状</t>
  </si>
  <si>
    <t>齿侧圆弧半径</t>
  </si>
  <si>
    <r>
      <rPr>
        <sz val="10.5"/>
        <rFont val="宋体"/>
        <charset val="134"/>
      </rPr>
      <t>r</t>
    </r>
    <r>
      <rPr>
        <vertAlign val="subscript"/>
        <sz val="10.5"/>
        <rFont val="宋体"/>
        <charset val="134"/>
      </rPr>
      <t>e</t>
    </r>
  </si>
  <si>
    <t>滚子定位圆弧半径</t>
  </si>
  <si>
    <r>
      <rPr>
        <sz val="10.5"/>
        <rFont val="宋体"/>
        <charset val="134"/>
      </rPr>
      <t>r</t>
    </r>
    <r>
      <rPr>
        <vertAlign val="subscript"/>
        <sz val="10.5"/>
        <rFont val="宋体"/>
        <charset val="134"/>
      </rPr>
      <t>i</t>
    </r>
  </si>
  <si>
    <t>滚子定位角</t>
  </si>
  <si>
    <t>α(°)</t>
  </si>
  <si>
    <t>最小齿槽形状--公式</t>
  </si>
  <si>
    <t>最小齿槽形状</t>
  </si>
  <si>
    <t>链轮的基本参数和主要尺寸</t>
  </si>
  <si>
    <t>输入链轮齿数z</t>
  </si>
  <si>
    <t>Z</t>
  </si>
  <si>
    <t>名称</t>
  </si>
  <si>
    <t>说明</t>
  </si>
  <si>
    <t>24B</t>
  </si>
  <si>
    <t>配用链条的</t>
  </si>
  <si>
    <t>滚子直径</t>
  </si>
  <si>
    <t>d1</t>
  </si>
  <si>
    <t>排距</t>
  </si>
  <si>
    <t>pt</t>
  </si>
  <si>
    <t>内链节内宽</t>
  </si>
  <si>
    <t>b1</t>
  </si>
  <si>
    <t>内链板高度</t>
  </si>
  <si>
    <t>h2</t>
  </si>
  <si>
    <t>主要尺寸</t>
  </si>
  <si>
    <t>分度圆直径</t>
  </si>
  <si>
    <t>可在damax与damin范围内选取，但当选用damax时，应注意用展成法加工时有可能发生顶切</t>
  </si>
  <si>
    <t>齿顶圆直径</t>
  </si>
  <si>
    <t>da</t>
  </si>
  <si>
    <t>damax=d+1.25p-d1</t>
  </si>
  <si>
    <t>damin=d+(1-1.6/z)p-d1</t>
  </si>
  <si>
    <t>若为三圆弧-直线齿形
则da=p(0.54+cot(180°/z)</t>
  </si>
  <si>
    <t>齿根圆直径</t>
  </si>
  <si>
    <t>df</t>
  </si>
  <si>
    <t>df=d-d1</t>
  </si>
  <si>
    <t>齿侧凸缘直径</t>
  </si>
  <si>
    <t>dg</t>
  </si>
  <si>
    <t>dg&lt;p*cot(180°/z)-1.04*h-0.76</t>
  </si>
  <si>
    <t>滚子链链轮的量柱测量距Mr</t>
  </si>
  <si>
    <t>项目</t>
  </si>
  <si>
    <t>量柱测量距</t>
  </si>
  <si>
    <t>偶数齿</t>
  </si>
  <si>
    <t>MR</t>
  </si>
  <si>
    <t>Mr=d+drmin</t>
  </si>
  <si>
    <t>奇数齿</t>
  </si>
  <si>
    <t>MR=dcos(90°/z)+drmin</t>
  </si>
  <si>
    <t>传动用短节距精密滚子链　GB1243-1997</t>
  </si>
  <si>
    <t>链条名称</t>
  </si>
  <si>
    <t>滚子外径</t>
  </si>
  <si>
    <t>销轴直径</t>
  </si>
  <si>
    <t>销轴长度</t>
  </si>
  <si>
    <t>极限拉伸载荷</t>
  </si>
  <si>
    <t>单排重量</t>
  </si>
  <si>
    <t>单排</t>
  </si>
  <si>
    <t>双排</t>
  </si>
  <si>
    <t>三排</t>
  </si>
  <si>
    <t>p</t>
  </si>
  <si>
    <r>
      <rPr>
        <sz val="12"/>
        <rFont val="宋体"/>
        <charset val="134"/>
      </rPr>
      <t>b</t>
    </r>
    <r>
      <rPr>
        <sz val="12"/>
        <rFont val="宋体"/>
        <charset val="134"/>
      </rPr>
      <t>1</t>
    </r>
  </si>
  <si>
    <t>d2</t>
  </si>
  <si>
    <t>b2</t>
  </si>
  <si>
    <t>b3</t>
  </si>
  <si>
    <t>b4</t>
  </si>
  <si>
    <t>h1</t>
  </si>
  <si>
    <t>Qmin</t>
  </si>
  <si>
    <t>q</t>
  </si>
  <si>
    <t>KN</t>
  </si>
  <si>
    <t>kg/m</t>
  </si>
  <si>
    <t>3/8</t>
  </si>
  <si>
    <t>1/2</t>
  </si>
  <si>
    <t>5/8</t>
  </si>
  <si>
    <t>3/4</t>
  </si>
  <si>
    <t>1</t>
  </si>
  <si>
    <t>11/4</t>
  </si>
  <si>
    <t>11/2</t>
  </si>
  <si>
    <t>24A</t>
  </si>
  <si>
    <t>13/4</t>
  </si>
  <si>
    <t>28A</t>
  </si>
  <si>
    <t>28B</t>
  </si>
  <si>
    <t xml:space="preserve">2 </t>
  </si>
  <si>
    <t>32A</t>
  </si>
  <si>
    <t>32B</t>
  </si>
  <si>
    <t>滚子链长度计算</t>
  </si>
  <si>
    <t>名     称</t>
  </si>
  <si>
    <t>公式</t>
  </si>
  <si>
    <t>04C</t>
  </si>
  <si>
    <t>小链轮齿数z1</t>
  </si>
  <si>
    <t>大链轮齿数z2</t>
  </si>
  <si>
    <t xml:space="preserve">初定中心距a0 (mm)
</t>
  </si>
  <si>
    <t>以节距计的初定中心距a0p</t>
  </si>
  <si>
    <t>c值</t>
  </si>
  <si>
    <t>链条节数Lp (节）</t>
  </si>
  <si>
    <t>实际选用链条节数LP0 (节）</t>
  </si>
  <si>
    <t>LP0&gt;LP,且为整数</t>
  </si>
  <si>
    <t>链条长度L (m)</t>
  </si>
  <si>
    <t>lp0*P</t>
  </si>
  <si>
    <r>
      <rPr>
        <sz val="20"/>
        <rFont val="宋体"/>
        <charset val="134"/>
      </rPr>
      <t>注：只要输入大小链轮的齿数、中心距（</t>
    </r>
    <r>
      <rPr>
        <sz val="20"/>
        <color indexed="10"/>
        <rFont val="宋体"/>
        <charset val="134"/>
      </rPr>
      <t>红色字</t>
    </r>
    <r>
      <rPr>
        <sz val="20"/>
        <rFont val="宋体"/>
        <charset val="134"/>
      </rPr>
      <t>），就可得出链条的节数（</t>
    </r>
    <r>
      <rPr>
        <sz val="20"/>
        <color indexed="11"/>
        <rFont val="宋体"/>
        <charset val="134"/>
      </rPr>
      <t>绿色字</t>
    </r>
    <r>
      <rPr>
        <sz val="20"/>
        <rFont val="宋体"/>
        <charset val="134"/>
      </rPr>
      <t>）</t>
    </r>
  </si>
  <si>
    <r>
      <rPr>
        <sz val="12"/>
        <rFont val="宋体"/>
        <charset val="134"/>
      </rPr>
      <t>2</t>
    </r>
    <r>
      <rPr>
        <sz val="12"/>
        <rFont val="宋体"/>
        <charset val="134"/>
      </rPr>
      <t>4</t>
    </r>
    <r>
      <rPr>
        <sz val="12"/>
        <rFont val="宋体"/>
        <charset val="134"/>
      </rPr>
      <t>B</t>
    </r>
  </si>
  <si>
    <t>备注</t>
  </si>
  <si>
    <t>p≤12.7</t>
  </si>
  <si>
    <t>p&gt;12.7</t>
  </si>
  <si>
    <t>齿
宽</t>
  </si>
  <si>
    <t>bf1</t>
  </si>
  <si>
    <t>0.93b1</t>
  </si>
  <si>
    <t>0.95b1</t>
  </si>
  <si>
    <t>p&gt;12.7时，经制造厂同意，亦可使用p≤12.7时的齿宽。  B1-内链节内宽，查表33.2-2</t>
  </si>
  <si>
    <t>双排、三排</t>
  </si>
  <si>
    <t>0.91b1</t>
  </si>
  <si>
    <t>齿侧倒角</t>
  </si>
  <si>
    <t>ba公称=0.13P</t>
  </si>
  <si>
    <t>适用于其余A或B系列链条</t>
  </si>
  <si>
    <t>齿侧半径</t>
  </si>
  <si>
    <t>rx</t>
  </si>
  <si>
    <t>rx公称=P</t>
  </si>
  <si>
    <t>排数</t>
  </si>
  <si>
    <t>m&gt;1</t>
  </si>
  <si>
    <t>双排齿全宽</t>
  </si>
  <si>
    <t>bfm</t>
  </si>
  <si>
    <t>bfm=(m-1)pt+bf1</t>
  </si>
  <si>
    <t>m-排数</t>
  </si>
  <si>
    <t>英 制 螺 纹 底 孔 对 照 表</t>
  </si>
  <si>
    <t>粗牙螺纹</t>
  </si>
  <si>
    <t>切削丝锥</t>
  </si>
  <si>
    <t>细牙螺纹</t>
  </si>
  <si>
    <t>锥管螺纹</t>
  </si>
  <si>
    <t>钻头直径</t>
  </si>
  <si>
    <t>1#-64UNC</t>
  </si>
  <si>
    <t>Φ1.55</t>
  </si>
  <si>
    <t>1#-72UNF</t>
  </si>
  <si>
    <t>Φ1.6</t>
  </si>
  <si>
    <t>1/8"-27NPT</t>
  </si>
  <si>
    <t>Φ8.4</t>
  </si>
  <si>
    <t>2#-56UNC</t>
  </si>
  <si>
    <t>Φ1.8</t>
  </si>
  <si>
    <t>2#-64UNF</t>
  </si>
  <si>
    <t>Φ1.9</t>
  </si>
  <si>
    <t>1/4"-18NPT</t>
  </si>
  <si>
    <t>Φ11.1</t>
  </si>
  <si>
    <t>3#-48UNC</t>
  </si>
  <si>
    <t>Φ2.1</t>
  </si>
  <si>
    <t>3#-56UNF</t>
  </si>
  <si>
    <t>3/8"-18NPT</t>
  </si>
  <si>
    <t>Φ14.3</t>
  </si>
  <si>
    <t>4#-40UNC</t>
  </si>
  <si>
    <t>Φ2.3</t>
  </si>
  <si>
    <t>4#-48UNF</t>
  </si>
  <si>
    <t>Φ2.4</t>
  </si>
  <si>
    <t>1/2"-14NPT</t>
  </si>
  <si>
    <t>Φ17.9</t>
  </si>
  <si>
    <t>6#-32UNC</t>
  </si>
  <si>
    <t>Φ2.8</t>
  </si>
  <si>
    <t>6#-40UNF</t>
  </si>
  <si>
    <t>Φ3</t>
  </si>
  <si>
    <t>3/4"-14NPT</t>
  </si>
  <si>
    <t>Φ23</t>
  </si>
  <si>
    <t>8#-32UNC</t>
  </si>
  <si>
    <t>Φ3.4</t>
  </si>
  <si>
    <t>8#-36UNF</t>
  </si>
  <si>
    <t>Φ3.5</t>
  </si>
  <si>
    <t>1"-11.5NPT</t>
  </si>
  <si>
    <t>Φ29</t>
  </si>
  <si>
    <t>10#-24UNC</t>
  </si>
  <si>
    <t>Φ3.9</t>
  </si>
  <si>
    <t>10#-32UNF</t>
  </si>
  <si>
    <t>Φ4.1</t>
  </si>
  <si>
    <t>1-14"-11.5NPT</t>
  </si>
  <si>
    <t>Φ37.7</t>
  </si>
  <si>
    <t>12#-24UNC</t>
  </si>
  <si>
    <t>Φ4.5</t>
  </si>
  <si>
    <t>12#-28UNF</t>
  </si>
  <si>
    <t>Φ4.7</t>
  </si>
  <si>
    <t>1-1/2"-11.5NPT</t>
  </si>
  <si>
    <t>Φ44</t>
  </si>
  <si>
    <t>1/4"-20UNC</t>
  </si>
  <si>
    <t>Φ5.1</t>
  </si>
  <si>
    <t>1/4"-28UNF</t>
  </si>
  <si>
    <t>Φ5.5</t>
  </si>
  <si>
    <t>2"-11.5NPT</t>
  </si>
  <si>
    <t>Φ56</t>
  </si>
  <si>
    <t>5/16"-18UNC</t>
  </si>
  <si>
    <t>Φ6.6</t>
  </si>
  <si>
    <t>5/16"-24UNF</t>
  </si>
  <si>
    <t>Φ6.9</t>
  </si>
  <si>
    <t>圆管螺纹</t>
  </si>
  <si>
    <t>3/8"-16UNC</t>
  </si>
  <si>
    <t>Φ8</t>
  </si>
  <si>
    <t>3/8"-24UNF</t>
  </si>
  <si>
    <t>Φ8.5</t>
  </si>
  <si>
    <t>RC1/8"-28</t>
  </si>
  <si>
    <t>Φ8.3</t>
  </si>
  <si>
    <t>7/16"-14UNC</t>
  </si>
  <si>
    <t>Φ9.4</t>
  </si>
  <si>
    <t>7/16"-20UNF</t>
  </si>
  <si>
    <t>Φ9.9</t>
  </si>
  <si>
    <t>RC1/4"-19</t>
  </si>
  <si>
    <t>1/2"-13UNC</t>
  </si>
  <si>
    <t>Φ10.8</t>
  </si>
  <si>
    <t>1/2"-20UNF</t>
  </si>
  <si>
    <t>Φ11.5</t>
  </si>
  <si>
    <t>RC3/8"-19</t>
  </si>
  <si>
    <t>Φ14.5</t>
  </si>
  <si>
    <t>9/16"-12UNC</t>
  </si>
  <si>
    <t>Φ12.2</t>
  </si>
  <si>
    <t>9/16"-18UNF</t>
  </si>
  <si>
    <t>Φ12.9</t>
  </si>
  <si>
    <t>RC1/2"-14</t>
  </si>
  <si>
    <t>Φ18.1</t>
  </si>
  <si>
    <t>5/8"-11UNC</t>
  </si>
  <si>
    <t>Φ13.6</t>
  </si>
  <si>
    <t>5/8"-18UNF</t>
  </si>
  <si>
    <t>RC3/4"-14</t>
  </si>
  <si>
    <t>Φ23.5</t>
  </si>
  <si>
    <t>3/4"-10UNC</t>
  </si>
  <si>
    <t>Φ16.5</t>
  </si>
  <si>
    <t>3/4"-16UNF</t>
  </si>
  <si>
    <t>Φ17.5</t>
  </si>
  <si>
    <t>RC1"-11</t>
  </si>
  <si>
    <t>Φ29.75</t>
  </si>
  <si>
    <t>7/8"-9UNC</t>
  </si>
  <si>
    <t>Φ19.5</t>
  </si>
  <si>
    <t>7/8"-14UNF</t>
  </si>
  <si>
    <t>Φ20.4</t>
  </si>
  <si>
    <t>RC1-1/4"-11</t>
  </si>
  <si>
    <t>Φ38.2</t>
  </si>
  <si>
    <t>1"-8UNC</t>
  </si>
  <si>
    <t>Φ22.2</t>
  </si>
  <si>
    <t>1"-12UNF</t>
  </si>
  <si>
    <t>Φ23.3</t>
  </si>
  <si>
    <t>RC1-1/2"-11</t>
  </si>
  <si>
    <r>
      <rPr>
        <b/>
        <sz val="16"/>
        <rFont val="宋体"/>
        <charset val="134"/>
      </rPr>
      <t>说明</t>
    </r>
    <r>
      <rPr>
        <b/>
        <sz val="16"/>
        <rFont val="Times New Roman"/>
        <family val="1"/>
      </rPr>
      <t>:</t>
    </r>
    <r>
      <rPr>
        <b/>
        <sz val="16"/>
        <rFont val="宋体"/>
        <charset val="134"/>
      </rPr>
      <t>如</t>
    </r>
    <r>
      <rPr>
        <b/>
        <sz val="16"/>
        <rFont val="Times New Roman"/>
        <family val="1"/>
      </rPr>
      <t>7/8"-9UNC</t>
    </r>
    <r>
      <rPr>
        <b/>
        <sz val="16"/>
        <rFont val="宋体"/>
        <charset val="134"/>
      </rPr>
      <t>指的是外径为</t>
    </r>
    <r>
      <rPr>
        <b/>
        <sz val="16"/>
        <rFont val="Times New Roman"/>
        <family val="1"/>
      </rPr>
      <t>7/8</t>
    </r>
    <r>
      <rPr>
        <b/>
        <sz val="16"/>
        <rFont val="宋体"/>
        <charset val="134"/>
      </rPr>
      <t>英寸</t>
    </r>
    <r>
      <rPr>
        <b/>
        <sz val="16"/>
        <rFont val="Times New Roman"/>
        <family val="1"/>
      </rPr>
      <t>,</t>
    </r>
    <r>
      <rPr>
        <b/>
        <sz val="16"/>
        <rFont val="宋体"/>
        <charset val="134"/>
      </rPr>
      <t>在一英寸距离内螺纹牙数为</t>
    </r>
    <r>
      <rPr>
        <b/>
        <sz val="16"/>
        <rFont val="Times New Roman"/>
        <family val="1"/>
      </rPr>
      <t>9</t>
    </r>
    <r>
      <rPr>
        <b/>
        <sz val="16"/>
        <rFont val="宋体"/>
        <charset val="134"/>
      </rPr>
      <t>牙</t>
    </r>
    <r>
      <rPr>
        <b/>
        <sz val="16"/>
        <rFont val="Times New Roman"/>
        <family val="1"/>
      </rPr>
      <t>(</t>
    </r>
    <r>
      <rPr>
        <b/>
        <sz val="16"/>
        <rFont val="宋体"/>
        <charset val="134"/>
      </rPr>
      <t>螺距为</t>
    </r>
    <r>
      <rPr>
        <b/>
        <sz val="16"/>
        <rFont val="Times New Roman"/>
        <family val="1"/>
      </rPr>
      <t>25.4/9=2.822)</t>
    </r>
    <r>
      <rPr>
        <b/>
        <sz val="16"/>
        <rFont val="宋体"/>
        <charset val="134"/>
      </rPr>
      <t>的粗牙螺纹</t>
    </r>
    <r>
      <rPr>
        <b/>
        <sz val="16"/>
        <rFont val="Times New Roman"/>
        <family val="1"/>
      </rPr>
      <t>,</t>
    </r>
  </si>
  <si>
    <r>
      <rPr>
        <b/>
        <sz val="16"/>
        <rFont val="宋体"/>
        <charset val="134"/>
      </rPr>
      <t>其中</t>
    </r>
    <r>
      <rPr>
        <b/>
        <sz val="16"/>
        <rFont val="Times New Roman"/>
        <family val="1"/>
      </rPr>
      <t>UNF</t>
    </r>
    <r>
      <rPr>
        <b/>
        <sz val="16"/>
        <rFont val="宋体"/>
        <charset val="134"/>
      </rPr>
      <t>指的是细牙螺纹</t>
    </r>
    <r>
      <rPr>
        <b/>
        <sz val="16"/>
        <rFont val="Times New Roman"/>
        <family val="1"/>
      </rPr>
      <t>,NPT</t>
    </r>
    <r>
      <rPr>
        <b/>
        <sz val="16"/>
        <rFont val="宋体"/>
        <charset val="134"/>
      </rPr>
      <t>指的是管螺纹</t>
    </r>
    <r>
      <rPr>
        <b/>
        <sz val="16"/>
        <rFont val="Times New Roman"/>
        <family val="1"/>
      </rPr>
      <t>.</t>
    </r>
    <r>
      <rPr>
        <b/>
        <sz val="16"/>
        <rFont val="宋体"/>
        <charset val="134"/>
      </rPr>
      <t>以上基本包括所有的英制螺纹</t>
    </r>
    <r>
      <rPr>
        <b/>
        <sz val="16"/>
        <rFont val="Times New Roman"/>
        <family val="1"/>
      </rPr>
      <t>.,</t>
    </r>
    <r>
      <rPr>
        <b/>
        <sz val="16"/>
        <rFont val="宋体"/>
        <charset val="134"/>
      </rPr>
      <t>请参考</t>
    </r>
  </si>
  <si>
    <r>
      <rPr>
        <sz val="9"/>
        <rFont val="Arial"/>
        <family val="2"/>
      </rPr>
      <t xml:space="preserve">* </t>
    </r>
    <r>
      <rPr>
        <sz val="9"/>
        <rFont val="宋体"/>
        <charset val="134"/>
      </rPr>
      <t>顶宽</t>
    </r>
    <r>
      <rPr>
        <sz val="9"/>
        <rFont val="Arial"/>
        <family val="2"/>
      </rPr>
      <t>: 22mm</t>
    </r>
  </si>
  <si>
    <r>
      <rPr>
        <sz val="9"/>
        <rFont val="Arial"/>
        <family val="2"/>
      </rPr>
      <t xml:space="preserve">* </t>
    </r>
    <r>
      <rPr>
        <sz val="9"/>
        <rFont val="宋体"/>
        <charset val="134"/>
      </rPr>
      <t>最小轮径</t>
    </r>
    <r>
      <rPr>
        <sz val="9"/>
        <rFont val="Arial"/>
        <family val="2"/>
      </rPr>
      <t>: 120mm</t>
    </r>
  </si>
  <si>
    <r>
      <rPr>
        <sz val="9"/>
        <rFont val="Arial"/>
        <family val="2"/>
      </rPr>
      <t xml:space="preserve">* </t>
    </r>
    <r>
      <rPr>
        <sz val="9"/>
        <rFont val="宋体"/>
        <charset val="134"/>
      </rPr>
      <t>高度</t>
    </r>
    <r>
      <rPr>
        <sz val="9"/>
        <rFont val="Arial"/>
        <family val="2"/>
      </rPr>
      <t>: 14mm</t>
    </r>
  </si>
  <si>
    <r>
      <rPr>
        <sz val="9"/>
        <rFont val="Arial"/>
        <family val="2"/>
      </rPr>
      <t>* Li(</t>
    </r>
    <r>
      <rPr>
        <sz val="9"/>
        <rFont val="宋体"/>
        <charset val="134"/>
      </rPr>
      <t>内长</t>
    </r>
    <r>
      <rPr>
        <sz val="9"/>
        <rFont val="Arial"/>
        <family val="2"/>
      </rPr>
      <t>)= La(</t>
    </r>
    <r>
      <rPr>
        <sz val="9"/>
        <rFont val="宋体"/>
        <charset val="134"/>
      </rPr>
      <t>外长</t>
    </r>
    <r>
      <rPr>
        <sz val="9"/>
        <rFont val="Arial"/>
        <family val="2"/>
      </rPr>
      <t>)-88mm</t>
    </r>
  </si>
  <si>
    <r>
      <rPr>
        <sz val="9"/>
        <rFont val="Arial"/>
        <family val="2"/>
      </rPr>
      <t xml:space="preserve">* </t>
    </r>
    <r>
      <rPr>
        <sz val="9"/>
        <rFont val="宋体"/>
        <charset val="134"/>
      </rPr>
      <t>角度</t>
    </r>
    <r>
      <rPr>
        <sz val="9"/>
        <rFont val="Arial"/>
        <family val="2"/>
      </rPr>
      <t>: 40°</t>
    </r>
  </si>
  <si>
    <r>
      <rPr>
        <sz val="9"/>
        <rFont val="Arial"/>
        <family val="2"/>
      </rPr>
      <t>* Li(</t>
    </r>
    <r>
      <rPr>
        <sz val="9"/>
        <rFont val="宋体"/>
        <charset val="134"/>
      </rPr>
      <t>内长</t>
    </r>
    <r>
      <rPr>
        <sz val="9"/>
        <rFont val="Arial"/>
        <family val="2"/>
      </rPr>
      <t>)= Lp(</t>
    </r>
    <r>
      <rPr>
        <sz val="9"/>
        <rFont val="宋体"/>
        <charset val="134"/>
      </rPr>
      <t>节园长</t>
    </r>
    <r>
      <rPr>
        <sz val="9"/>
        <rFont val="Arial"/>
        <family val="2"/>
      </rPr>
      <t>)-56mm</t>
    </r>
  </si>
  <si>
    <t>型号</t>
  </si>
  <si>
    <t>Li mm</t>
  </si>
  <si>
    <t>C38</t>
  </si>
  <si>
    <t>C75</t>
  </si>
  <si>
    <t>C110</t>
  </si>
  <si>
    <t>C160</t>
  </si>
  <si>
    <t>C43</t>
  </si>
  <si>
    <t>C78</t>
  </si>
  <si>
    <t>C111</t>
  </si>
  <si>
    <t>C166</t>
  </si>
  <si>
    <t>C47</t>
  </si>
  <si>
    <t>C80</t>
  </si>
  <si>
    <t>C112</t>
  </si>
  <si>
    <t>C168</t>
  </si>
  <si>
    <t>C48</t>
  </si>
  <si>
    <t>C81</t>
  </si>
  <si>
    <t>C114</t>
  </si>
  <si>
    <t>C173</t>
  </si>
  <si>
    <t>C49</t>
  </si>
  <si>
    <t>C83</t>
  </si>
  <si>
    <t>C115</t>
  </si>
  <si>
    <t>C180</t>
  </si>
  <si>
    <t>C50</t>
  </si>
  <si>
    <t>C84</t>
  </si>
  <si>
    <t>C116</t>
  </si>
  <si>
    <t>C185</t>
  </si>
  <si>
    <t>C51</t>
  </si>
  <si>
    <t>C85</t>
  </si>
  <si>
    <t>C117</t>
  </si>
  <si>
    <t>C187</t>
  </si>
  <si>
    <t>C53</t>
  </si>
  <si>
    <t>C86</t>
  </si>
  <si>
    <t>C120</t>
  </si>
  <si>
    <t>C190</t>
  </si>
  <si>
    <t>C54</t>
  </si>
  <si>
    <t>C87</t>
  </si>
  <si>
    <t>C122</t>
  </si>
  <si>
    <t>C198</t>
  </si>
  <si>
    <t>C57</t>
  </si>
  <si>
    <t>C88</t>
  </si>
  <si>
    <t>C126</t>
  </si>
  <si>
    <t>C200</t>
  </si>
  <si>
    <t>C59</t>
  </si>
  <si>
    <t>C89</t>
  </si>
  <si>
    <t>C130</t>
  </si>
  <si>
    <t>C204</t>
  </si>
  <si>
    <t>C90</t>
  </si>
  <si>
    <t>C132</t>
  </si>
  <si>
    <t>C208</t>
  </si>
  <si>
    <t>C62</t>
  </si>
  <si>
    <t>C91</t>
  </si>
  <si>
    <t>C136</t>
  </si>
  <si>
    <t>C210</t>
  </si>
  <si>
    <t>C63</t>
  </si>
  <si>
    <t>C92</t>
  </si>
  <si>
    <t>C138</t>
  </si>
  <si>
    <t>C220</t>
  </si>
  <si>
    <t>C64</t>
  </si>
  <si>
    <t>C93</t>
  </si>
  <si>
    <t>C140</t>
  </si>
  <si>
    <t>C225</t>
  </si>
  <si>
    <t>C65</t>
  </si>
  <si>
    <t>C95</t>
  </si>
  <si>
    <t>C142</t>
  </si>
  <si>
    <t>C238</t>
  </si>
  <si>
    <t>C66</t>
  </si>
  <si>
    <t>C96</t>
  </si>
  <si>
    <t>C144</t>
  </si>
  <si>
    <t>C240</t>
  </si>
  <si>
    <t>C67</t>
  </si>
  <si>
    <t>C99</t>
  </si>
  <si>
    <t>C146</t>
  </si>
  <si>
    <t>C264</t>
  </si>
  <si>
    <t>C68</t>
  </si>
  <si>
    <t>C148</t>
  </si>
  <si>
    <t>C280</t>
  </si>
  <si>
    <t>C69</t>
  </si>
  <si>
    <t>C149</t>
  </si>
  <si>
    <t>C295</t>
  </si>
  <si>
    <t>C70</t>
  </si>
  <si>
    <t>C104</t>
  </si>
  <si>
    <t>C150</t>
  </si>
  <si>
    <t>C320</t>
  </si>
  <si>
    <t>C71</t>
  </si>
  <si>
    <t>C105</t>
  </si>
  <si>
    <t>C152</t>
  </si>
  <si>
    <t>C328</t>
  </si>
  <si>
    <t>C72</t>
  </si>
  <si>
    <t>C106</t>
  </si>
  <si>
    <t>C153</t>
  </si>
  <si>
    <t>C418</t>
  </si>
  <si>
    <t>C74</t>
  </si>
  <si>
    <t>C108</t>
  </si>
  <si>
    <t>C158</t>
  </si>
  <si>
    <t>C658</t>
  </si>
  <si>
    <r>
      <rPr>
        <sz val="9"/>
        <rFont val="Arial"/>
        <family val="2"/>
      </rPr>
      <t xml:space="preserve">* </t>
    </r>
    <r>
      <rPr>
        <sz val="9"/>
        <rFont val="宋体"/>
        <charset val="134"/>
      </rPr>
      <t>顶宽</t>
    </r>
    <r>
      <rPr>
        <sz val="9"/>
        <rFont val="Arial"/>
        <family val="2"/>
      </rPr>
      <t>: 17mm</t>
    </r>
  </si>
  <si>
    <r>
      <rPr>
        <sz val="9"/>
        <rFont val="Arial"/>
        <family val="2"/>
      </rPr>
      <t xml:space="preserve">* </t>
    </r>
    <r>
      <rPr>
        <sz val="9"/>
        <rFont val="宋体"/>
        <charset val="134"/>
      </rPr>
      <t>最小轮径</t>
    </r>
    <r>
      <rPr>
        <sz val="9"/>
        <rFont val="Arial"/>
        <family val="2"/>
      </rPr>
      <t>: 125mm</t>
    </r>
  </si>
  <si>
    <r>
      <rPr>
        <sz val="9"/>
        <rFont val="Arial"/>
        <family val="2"/>
      </rPr>
      <t xml:space="preserve">* </t>
    </r>
    <r>
      <rPr>
        <sz val="9"/>
        <rFont val="宋体"/>
        <charset val="134"/>
      </rPr>
      <t>高度</t>
    </r>
    <r>
      <rPr>
        <sz val="9"/>
        <rFont val="Arial"/>
        <family val="2"/>
      </rPr>
      <t>: 11mm</t>
    </r>
  </si>
  <si>
    <r>
      <rPr>
        <sz val="9"/>
        <rFont val="Arial"/>
        <family val="2"/>
      </rPr>
      <t>* Li(</t>
    </r>
    <r>
      <rPr>
        <sz val="9"/>
        <rFont val="宋体"/>
        <charset val="134"/>
      </rPr>
      <t>内长</t>
    </r>
    <r>
      <rPr>
        <sz val="9"/>
        <rFont val="Arial"/>
        <family val="2"/>
      </rPr>
      <t>)= La(</t>
    </r>
    <r>
      <rPr>
        <sz val="9"/>
        <rFont val="宋体"/>
        <charset val="134"/>
      </rPr>
      <t>外长</t>
    </r>
    <r>
      <rPr>
        <sz val="9"/>
        <rFont val="Arial"/>
        <family val="2"/>
      </rPr>
      <t>)-69mm</t>
    </r>
  </si>
  <si>
    <r>
      <rPr>
        <sz val="9"/>
        <rFont val="Arial"/>
        <family val="2"/>
      </rPr>
      <t>* Li(</t>
    </r>
    <r>
      <rPr>
        <sz val="9"/>
        <rFont val="宋体"/>
        <charset val="134"/>
      </rPr>
      <t>内长</t>
    </r>
    <r>
      <rPr>
        <sz val="9"/>
        <rFont val="Arial"/>
        <family val="2"/>
      </rPr>
      <t>)= Lp(</t>
    </r>
    <r>
      <rPr>
        <sz val="9"/>
        <rFont val="宋体"/>
        <charset val="134"/>
      </rPr>
      <t>节园长</t>
    </r>
    <r>
      <rPr>
        <sz val="9"/>
        <rFont val="Arial"/>
        <family val="2"/>
      </rPr>
      <t>)-43mm</t>
    </r>
  </si>
  <si>
    <t>B23</t>
  </si>
  <si>
    <t>B52</t>
  </si>
  <si>
    <t>B89</t>
  </si>
  <si>
    <t>B132</t>
  </si>
  <si>
    <t>B24</t>
  </si>
  <si>
    <t>B53</t>
  </si>
  <si>
    <t>B90</t>
  </si>
  <si>
    <t>B136</t>
  </si>
  <si>
    <t>B25</t>
  </si>
  <si>
    <t>B53 1/2</t>
  </si>
  <si>
    <t>B91</t>
  </si>
  <si>
    <t>B140</t>
  </si>
  <si>
    <t>B26</t>
  </si>
  <si>
    <t>B55</t>
  </si>
  <si>
    <t>B92</t>
  </si>
  <si>
    <t>B142</t>
  </si>
  <si>
    <t>B26 1/2</t>
  </si>
  <si>
    <t>B56</t>
  </si>
  <si>
    <t>B93</t>
  </si>
  <si>
    <t>B146</t>
  </si>
  <si>
    <t>B27</t>
  </si>
  <si>
    <t>B57</t>
  </si>
  <si>
    <t>B94</t>
  </si>
  <si>
    <t>B150</t>
  </si>
  <si>
    <t>B28</t>
  </si>
  <si>
    <t>B58</t>
  </si>
  <si>
    <t>B94 1/2</t>
  </si>
  <si>
    <t>B151</t>
  </si>
  <si>
    <t>B29</t>
  </si>
  <si>
    <t>B59</t>
  </si>
  <si>
    <t>B95</t>
  </si>
  <si>
    <t>B152</t>
  </si>
  <si>
    <t>B31</t>
  </si>
  <si>
    <t>B60</t>
  </si>
  <si>
    <t>B96</t>
  </si>
  <si>
    <t>B155</t>
  </si>
  <si>
    <t>B32</t>
  </si>
  <si>
    <t>B62</t>
  </si>
  <si>
    <t>B96 1/2</t>
  </si>
  <si>
    <t>B158</t>
  </si>
  <si>
    <t>B33</t>
  </si>
  <si>
    <t>B63</t>
  </si>
  <si>
    <t>B98</t>
  </si>
  <si>
    <t>B160</t>
  </si>
  <si>
    <t>B341/2</t>
  </si>
  <si>
    <t>B64</t>
  </si>
  <si>
    <t>B99</t>
  </si>
  <si>
    <t>B162</t>
  </si>
  <si>
    <t>B35</t>
  </si>
  <si>
    <t>B65</t>
  </si>
  <si>
    <t>B101</t>
  </si>
  <si>
    <t>B164</t>
  </si>
  <si>
    <t>B37</t>
  </si>
  <si>
    <t>B66</t>
  </si>
  <si>
    <t>B103</t>
  </si>
  <si>
    <t>B167</t>
  </si>
  <si>
    <t>B37 1/2</t>
  </si>
  <si>
    <t>B67</t>
  </si>
  <si>
    <t>B104</t>
  </si>
  <si>
    <t>B168</t>
  </si>
  <si>
    <t>B38</t>
  </si>
  <si>
    <t>B68</t>
  </si>
  <si>
    <t>B106</t>
  </si>
  <si>
    <t>B173</t>
  </si>
  <si>
    <t>B39</t>
  </si>
  <si>
    <t>B69 1/2</t>
  </si>
  <si>
    <t>B108</t>
  </si>
  <si>
    <t>B179</t>
  </si>
  <si>
    <t>B40</t>
  </si>
  <si>
    <t>B70</t>
  </si>
  <si>
    <t>B109</t>
  </si>
  <si>
    <t>B180</t>
  </si>
  <si>
    <t>B41</t>
  </si>
  <si>
    <t>B71</t>
  </si>
  <si>
    <t>B110</t>
  </si>
  <si>
    <t>B187</t>
  </si>
  <si>
    <t>B41 1/2</t>
  </si>
  <si>
    <t>B73</t>
  </si>
  <si>
    <t>B111</t>
  </si>
  <si>
    <t>B191</t>
  </si>
  <si>
    <t>B42</t>
  </si>
  <si>
    <t>B74</t>
  </si>
  <si>
    <t>B114</t>
  </si>
  <si>
    <t>B208</t>
  </si>
  <si>
    <t>B43</t>
  </si>
  <si>
    <t>B78</t>
  </si>
  <si>
    <t>B116</t>
  </si>
  <si>
    <t>B226</t>
  </si>
  <si>
    <t>B44</t>
  </si>
  <si>
    <t>B79</t>
  </si>
  <si>
    <t>B117</t>
  </si>
  <si>
    <t>B236</t>
  </si>
  <si>
    <t>B45</t>
  </si>
  <si>
    <t>B81</t>
  </si>
  <si>
    <t>B118</t>
  </si>
  <si>
    <t>B238</t>
  </si>
  <si>
    <t>B45 1/2</t>
  </si>
  <si>
    <t>B82</t>
  </si>
  <si>
    <t>B119</t>
  </si>
  <si>
    <t>B46</t>
  </si>
  <si>
    <t>B83</t>
  </si>
  <si>
    <t>B120</t>
  </si>
  <si>
    <t>B248</t>
  </si>
  <si>
    <t>B48</t>
  </si>
  <si>
    <t>B85</t>
  </si>
  <si>
    <t>B125</t>
  </si>
  <si>
    <t>B280</t>
  </si>
  <si>
    <t>B49</t>
  </si>
  <si>
    <t>B86</t>
  </si>
  <si>
    <t>B126</t>
  </si>
  <si>
    <t>B298</t>
  </si>
  <si>
    <t>B50</t>
  </si>
  <si>
    <t>B88</t>
  </si>
  <si>
    <t>B128</t>
  </si>
  <si>
    <t>B345</t>
  </si>
  <si>
    <r>
      <rPr>
        <sz val="9"/>
        <rFont val="Arial"/>
        <family val="2"/>
      </rPr>
      <t xml:space="preserve">* </t>
    </r>
    <r>
      <rPr>
        <sz val="9"/>
        <rFont val="宋体"/>
        <charset val="134"/>
      </rPr>
      <t>顶宽</t>
    </r>
    <r>
      <rPr>
        <sz val="9"/>
        <rFont val="Arial"/>
        <family val="2"/>
      </rPr>
      <t>: 13mm</t>
    </r>
  </si>
  <si>
    <r>
      <rPr>
        <sz val="9"/>
        <rFont val="Arial"/>
        <family val="2"/>
      </rPr>
      <t xml:space="preserve">* </t>
    </r>
    <r>
      <rPr>
        <sz val="9"/>
        <rFont val="宋体"/>
        <charset val="134"/>
      </rPr>
      <t>最小轮径</t>
    </r>
    <r>
      <rPr>
        <sz val="9"/>
        <rFont val="Arial"/>
        <family val="2"/>
      </rPr>
      <t>: 75mm</t>
    </r>
  </si>
  <si>
    <r>
      <rPr>
        <sz val="9"/>
        <rFont val="Arial"/>
        <family val="2"/>
      </rPr>
      <t xml:space="preserve">* </t>
    </r>
    <r>
      <rPr>
        <sz val="9"/>
        <rFont val="宋体"/>
        <charset val="134"/>
      </rPr>
      <t>高度</t>
    </r>
    <r>
      <rPr>
        <sz val="9"/>
        <rFont val="Arial"/>
        <family val="2"/>
      </rPr>
      <t>: 8mm</t>
    </r>
  </si>
  <si>
    <r>
      <rPr>
        <sz val="9"/>
        <rFont val="Arial"/>
        <family val="2"/>
      </rPr>
      <t>* Li(</t>
    </r>
    <r>
      <rPr>
        <sz val="9"/>
        <rFont val="宋体"/>
        <charset val="134"/>
      </rPr>
      <t>内长</t>
    </r>
    <r>
      <rPr>
        <sz val="9"/>
        <rFont val="Arial"/>
        <family val="2"/>
      </rPr>
      <t>)= La(</t>
    </r>
    <r>
      <rPr>
        <sz val="9"/>
        <rFont val="宋体"/>
        <charset val="134"/>
      </rPr>
      <t>外长</t>
    </r>
    <r>
      <rPr>
        <sz val="9"/>
        <rFont val="Arial"/>
        <family val="2"/>
      </rPr>
      <t>)-50mm</t>
    </r>
  </si>
  <si>
    <r>
      <rPr>
        <sz val="9"/>
        <rFont val="Arial"/>
        <family val="2"/>
      </rPr>
      <t>* Li(</t>
    </r>
    <r>
      <rPr>
        <sz val="9"/>
        <rFont val="宋体"/>
        <charset val="134"/>
      </rPr>
      <t>内长</t>
    </r>
    <r>
      <rPr>
        <sz val="9"/>
        <rFont val="Arial"/>
        <family val="2"/>
      </rPr>
      <t>)= Lp(</t>
    </r>
    <r>
      <rPr>
        <sz val="9"/>
        <rFont val="宋体"/>
        <charset val="134"/>
      </rPr>
      <t>节园长</t>
    </r>
    <r>
      <rPr>
        <sz val="9"/>
        <rFont val="Arial"/>
        <family val="2"/>
      </rPr>
      <t>)-36mm</t>
    </r>
  </si>
  <si>
    <t>A15</t>
  </si>
  <si>
    <t>A42</t>
  </si>
  <si>
    <t>A72</t>
  </si>
  <si>
    <t>A96</t>
  </si>
  <si>
    <t>A18</t>
  </si>
  <si>
    <t>A43</t>
  </si>
  <si>
    <t>A74</t>
  </si>
  <si>
    <t>A98</t>
  </si>
  <si>
    <t>A43 1/2</t>
  </si>
  <si>
    <t>A75</t>
  </si>
  <si>
    <t>A22</t>
  </si>
  <si>
    <t>A44</t>
  </si>
  <si>
    <t>A76</t>
  </si>
  <si>
    <t>A101</t>
  </si>
  <si>
    <t>A23</t>
  </si>
  <si>
    <t>A45</t>
  </si>
  <si>
    <t>A77</t>
  </si>
  <si>
    <t>A102</t>
  </si>
  <si>
    <t>A23 1/2</t>
  </si>
  <si>
    <t>A45 1/2</t>
  </si>
  <si>
    <t>A78</t>
  </si>
  <si>
    <t>A103</t>
  </si>
  <si>
    <t>A24</t>
  </si>
  <si>
    <t>A46</t>
  </si>
  <si>
    <t>A79</t>
  </si>
  <si>
    <t>A104</t>
  </si>
  <si>
    <t>A25</t>
  </si>
  <si>
    <t>A46 1/2</t>
  </si>
  <si>
    <t>A80</t>
  </si>
  <si>
    <t>A105</t>
  </si>
  <si>
    <t>A26</t>
  </si>
  <si>
    <t>A47</t>
  </si>
  <si>
    <t>A81</t>
  </si>
  <si>
    <t>A107</t>
  </si>
  <si>
    <t>A27</t>
  </si>
  <si>
    <t>A48</t>
  </si>
  <si>
    <t>A83</t>
  </si>
  <si>
    <t>A108</t>
  </si>
  <si>
    <t>A28</t>
  </si>
  <si>
    <t>A49</t>
  </si>
  <si>
    <t>A85</t>
  </si>
  <si>
    <t>A110</t>
  </si>
  <si>
    <t>A29</t>
  </si>
  <si>
    <t>A50</t>
  </si>
  <si>
    <t>A86</t>
  </si>
  <si>
    <t>A112</t>
  </si>
  <si>
    <t>A29 1/2</t>
  </si>
  <si>
    <t>A51</t>
  </si>
  <si>
    <t>A87</t>
  </si>
  <si>
    <t>A113</t>
  </si>
  <si>
    <t>A52</t>
  </si>
  <si>
    <t>A88</t>
  </si>
  <si>
    <t>A114</t>
  </si>
  <si>
    <t>A31</t>
  </si>
  <si>
    <t>A53</t>
  </si>
  <si>
    <t>A89</t>
  </si>
  <si>
    <t>A115</t>
  </si>
  <si>
    <t>A32</t>
  </si>
  <si>
    <t>A55</t>
  </si>
  <si>
    <t>A91</t>
  </si>
  <si>
    <t>A118</t>
  </si>
  <si>
    <t>A32 1/2</t>
  </si>
  <si>
    <t>A56</t>
  </si>
  <si>
    <t>A92</t>
  </si>
  <si>
    <t>A120</t>
  </si>
  <si>
    <t>A33</t>
  </si>
  <si>
    <t>A57</t>
  </si>
  <si>
    <t>A124</t>
  </si>
  <si>
    <t>A34</t>
  </si>
  <si>
    <t>A58</t>
  </si>
  <si>
    <t>A83 1/2</t>
  </si>
  <si>
    <t>A125</t>
  </si>
  <si>
    <t>A34 1/2</t>
  </si>
  <si>
    <t>A59</t>
  </si>
  <si>
    <t>A84</t>
  </si>
  <si>
    <t>A126</t>
  </si>
  <si>
    <t>A35</t>
  </si>
  <si>
    <t>A60</t>
  </si>
  <si>
    <t>A84 1/2</t>
  </si>
  <si>
    <t>A128</t>
  </si>
  <si>
    <t>A35 1/2</t>
  </si>
  <si>
    <t>A61</t>
  </si>
  <si>
    <t>A130</t>
  </si>
  <si>
    <t>A36</t>
  </si>
  <si>
    <t>A62</t>
  </si>
  <si>
    <t>A132</t>
  </si>
  <si>
    <t>A37</t>
  </si>
  <si>
    <t>A63</t>
  </si>
  <si>
    <t>A140</t>
  </si>
  <si>
    <t>A38</t>
  </si>
  <si>
    <t>A65</t>
  </si>
  <si>
    <t>A148</t>
  </si>
  <si>
    <t>A38 1/2</t>
  </si>
  <si>
    <t>A66</t>
  </si>
  <si>
    <t>A90</t>
  </si>
  <si>
    <t>A154</t>
  </si>
  <si>
    <t>A39</t>
  </si>
  <si>
    <t>A67</t>
  </si>
  <si>
    <t>A162</t>
  </si>
  <si>
    <t>A40</t>
  </si>
  <si>
    <t>A68</t>
  </si>
  <si>
    <t>A167</t>
  </si>
  <si>
    <t>A41</t>
  </si>
  <si>
    <t>A70</t>
  </si>
  <si>
    <t>A94</t>
  </si>
  <si>
    <t>A192</t>
  </si>
  <si>
    <t>A41 1/2</t>
  </si>
  <si>
    <t>A71</t>
  </si>
  <si>
    <t>A197</t>
  </si>
  <si>
    <t>V型带槽规格</t>
  </si>
  <si>
    <t>SPA&amp;SPB型带轮规格型号</t>
  </si>
  <si>
    <t>SPA系列</t>
  </si>
  <si>
    <t>dd</t>
  </si>
  <si>
    <t>SPB系列</t>
  </si>
  <si>
    <t>SPC系列</t>
  </si>
  <si>
    <r>
      <rPr>
        <b/>
        <sz val="14"/>
        <rFont val="宋体"/>
        <charset val="134"/>
      </rPr>
      <t>选择凸轮曲线的基本</t>
    </r>
    <r>
      <rPr>
        <b/>
        <u/>
        <sz val="14"/>
        <color indexed="48"/>
        <rFont val="宋体"/>
        <charset val="134"/>
      </rPr>
      <t>原则</t>
    </r>
    <r>
      <rPr>
        <b/>
        <sz val="14"/>
        <rFont val="宋体"/>
        <charset val="134"/>
      </rPr>
      <t>：</t>
    </r>
  </si>
  <si>
    <t>举例</t>
  </si>
  <si>
    <t>1）</t>
  </si>
  <si>
    <t>速度V和加速度A的曲线连续。</t>
  </si>
  <si>
    <t>2）</t>
  </si>
  <si>
    <r>
      <rPr>
        <sz val="11"/>
        <color indexed="8"/>
        <rFont val="宋体"/>
        <charset val="134"/>
      </rPr>
      <t>低速重载时选择 V</t>
    </r>
    <r>
      <rPr>
        <sz val="10"/>
        <rFont val="宋体"/>
        <charset val="134"/>
      </rPr>
      <t>m 和 Qm 值小的曲线。</t>
    </r>
  </si>
  <si>
    <t>3）</t>
  </si>
  <si>
    <t>高速轻载时选择 Am 和 Jm 值小的曲线。</t>
  </si>
  <si>
    <t>4）</t>
  </si>
  <si>
    <t>当要求停留精度，没有残留振动时，选择加速范围小而减速范围大的非对称曲线。</t>
  </si>
  <si>
    <t>5）</t>
  </si>
  <si>
    <t>要求单停留（终端部停止的迅速回程运动）时，选择单停留曲线。</t>
  </si>
  <si>
    <t>6）</t>
  </si>
  <si>
    <t>当要求中间是等速且凸轮直径小时，选择修正等速系列曲线。</t>
  </si>
  <si>
    <t>7）</t>
  </si>
  <si>
    <t>要求加速度小时（如电梯），选择修正梯形曲线。</t>
  </si>
  <si>
    <t>8）</t>
  </si>
  <si>
    <t>如果没有任何限制条件，则选择修正正弦曲线。</t>
  </si>
  <si>
    <r>
      <rPr>
        <b/>
        <sz val="14"/>
        <rFont val="宋体"/>
        <charset val="134"/>
      </rPr>
      <t>标准曲线</t>
    </r>
    <r>
      <rPr>
        <b/>
        <u/>
        <sz val="14"/>
        <color indexed="48"/>
        <rFont val="宋体"/>
        <charset val="134"/>
      </rPr>
      <t>参数值</t>
    </r>
    <r>
      <rPr>
        <b/>
        <sz val="14"/>
        <rFont val="宋体"/>
        <charset val="134"/>
      </rPr>
      <t>：</t>
    </r>
  </si>
  <si>
    <t>曲线号</t>
  </si>
  <si>
    <t>曲线记号</t>
  </si>
  <si>
    <t>曲线名称</t>
  </si>
  <si>
    <t>T5</t>
  </si>
  <si>
    <t>T6</t>
  </si>
  <si>
    <t>1、</t>
  </si>
  <si>
    <t>PB</t>
  </si>
  <si>
    <t>等加速度</t>
  </si>
  <si>
    <t>2、</t>
  </si>
  <si>
    <r>
      <rPr>
        <sz val="12"/>
        <rFont val="宋体"/>
        <charset val="134"/>
      </rPr>
      <t>S</t>
    </r>
    <r>
      <rPr>
        <sz val="12"/>
        <rFont val="宋体"/>
        <charset val="134"/>
      </rPr>
      <t>H</t>
    </r>
  </si>
  <si>
    <t>简谐</t>
  </si>
  <si>
    <t>3、</t>
  </si>
  <si>
    <t>CY</t>
  </si>
  <si>
    <t>摆线</t>
  </si>
  <si>
    <t>4、</t>
  </si>
  <si>
    <t>MT</t>
  </si>
  <si>
    <t>修正梯形</t>
  </si>
  <si>
    <t>5、</t>
  </si>
  <si>
    <t>MS</t>
  </si>
  <si>
    <t>修正正弦</t>
  </si>
  <si>
    <t>6、</t>
  </si>
  <si>
    <t>MCV</t>
  </si>
  <si>
    <t>修正等速</t>
  </si>
  <si>
    <t>7、</t>
  </si>
  <si>
    <t>非对称摆线</t>
  </si>
  <si>
    <t>8、</t>
  </si>
  <si>
    <t>非对称修正梯形</t>
  </si>
  <si>
    <t>9、</t>
  </si>
  <si>
    <t>TRP</t>
  </si>
  <si>
    <t>梯形摆线</t>
  </si>
  <si>
    <r>
      <rPr>
        <sz val="12"/>
        <rFont val="宋体"/>
        <charset val="134"/>
      </rPr>
      <t>A</t>
    </r>
    <r>
      <rPr>
        <sz val="12"/>
        <rFont val="Dotum"/>
        <family val="2"/>
        <charset val="129"/>
      </rPr>
      <t>①</t>
    </r>
  </si>
  <si>
    <r>
      <rPr>
        <sz val="12"/>
        <rFont val="宋体"/>
        <charset val="134"/>
      </rPr>
      <t>A</t>
    </r>
    <r>
      <rPr>
        <sz val="11"/>
        <color indexed="8"/>
        <rFont val="宋体"/>
        <charset val="134"/>
      </rPr>
      <t>+0.125</t>
    </r>
  </si>
  <si>
    <t>10、</t>
  </si>
  <si>
    <r>
      <rPr>
        <sz val="12"/>
        <rFont val="宋体"/>
        <charset val="134"/>
      </rPr>
      <t>单停留摆线</t>
    </r>
    <r>
      <rPr>
        <sz val="12"/>
        <rFont val="SimSun-ExtB"/>
        <family val="3"/>
        <charset val="134"/>
      </rPr>
      <t xml:space="preserve"> m=1</t>
    </r>
  </si>
  <si>
    <t>11、</t>
  </si>
  <si>
    <t>单停留摆线 m=2/3</t>
  </si>
  <si>
    <t>12、</t>
  </si>
  <si>
    <r>
      <rPr>
        <sz val="12"/>
        <rFont val="宋体"/>
        <charset val="134"/>
      </rPr>
      <t xml:space="preserve">单停留修正梯形 </t>
    </r>
    <r>
      <rPr>
        <sz val="11"/>
        <color indexed="8"/>
        <rFont val="宋体"/>
        <charset val="134"/>
      </rPr>
      <t>m=1</t>
    </r>
  </si>
  <si>
    <t>B②</t>
  </si>
  <si>
    <t>B+0.125</t>
  </si>
  <si>
    <t>13、</t>
  </si>
  <si>
    <r>
      <rPr>
        <sz val="12"/>
        <rFont val="宋体"/>
        <charset val="134"/>
      </rPr>
      <t xml:space="preserve">单停留修正梯形 </t>
    </r>
    <r>
      <rPr>
        <sz val="11"/>
        <color indexed="8"/>
        <rFont val="宋体"/>
        <charset val="134"/>
      </rPr>
      <t>Ferguson</t>
    </r>
  </si>
  <si>
    <t>14、</t>
  </si>
  <si>
    <r>
      <rPr>
        <sz val="12"/>
        <rFont val="宋体"/>
        <charset val="134"/>
      </rPr>
      <t xml:space="preserve">单停留修正梯形 </t>
    </r>
    <r>
      <rPr>
        <sz val="11"/>
        <color indexed="8"/>
        <rFont val="宋体"/>
        <charset val="134"/>
      </rPr>
      <t>m=2/3</t>
    </r>
  </si>
  <si>
    <t>C③</t>
  </si>
  <si>
    <t>C+0.125</t>
  </si>
  <si>
    <t>C+5/24</t>
  </si>
  <si>
    <t>15、</t>
  </si>
  <si>
    <t>单停留修正正弦</t>
  </si>
  <si>
    <t>16、</t>
  </si>
  <si>
    <t>单停留梯形摆线</t>
  </si>
  <si>
    <t>D④</t>
  </si>
  <si>
    <t>D+0.125</t>
  </si>
  <si>
    <t>17、</t>
  </si>
  <si>
    <t>无停留修正梯形</t>
  </si>
  <si>
    <t>18、</t>
  </si>
  <si>
    <t>无停留修正等速</t>
  </si>
  <si>
    <t>19、</t>
  </si>
  <si>
    <r>
      <rPr>
        <sz val="12"/>
        <rFont val="宋体"/>
        <charset val="134"/>
      </rPr>
      <t>N</t>
    </r>
    <r>
      <rPr>
        <sz val="11"/>
        <color indexed="8"/>
        <rFont val="宋体"/>
        <charset val="134"/>
      </rPr>
      <t>C2曲线</t>
    </r>
  </si>
  <si>
    <t>1/3</t>
  </si>
  <si>
    <t>5/6</t>
  </si>
  <si>
    <t>注：</t>
  </si>
  <si>
    <t>①②③④</t>
  </si>
  <si>
    <t>①</t>
  </si>
  <si>
    <r>
      <rPr>
        <sz val="12"/>
        <rFont val="宋体"/>
        <charset val="134"/>
      </rPr>
      <t>A</t>
    </r>
    <r>
      <rPr>
        <sz val="11"/>
        <color indexed="8"/>
        <rFont val="宋体"/>
        <charset val="134"/>
      </rPr>
      <t>=(1.25+0.125π)/(2π)</t>
    </r>
  </si>
  <si>
    <t>②</t>
  </si>
  <si>
    <r>
      <rPr>
        <sz val="12"/>
        <rFont val="宋体"/>
        <charset val="134"/>
      </rPr>
      <t>B</t>
    </r>
    <r>
      <rPr>
        <sz val="11"/>
        <color indexed="8"/>
        <rFont val="宋体"/>
        <charset val="134"/>
      </rPr>
      <t>=7/16-0.125π</t>
    </r>
  </si>
  <si>
    <t>③</t>
  </si>
  <si>
    <t>C=0.6*[1-7/(18Л)]-5/24</t>
  </si>
  <si>
    <t>④</t>
  </si>
  <si>
    <t>D=(10+π)/(16+8π)</t>
  </si>
  <si>
    <t>各种凸轮曲线的特点：</t>
  </si>
  <si>
    <t>曲线的特点</t>
  </si>
  <si>
    <t>它的最大加速度Am值是所有凸轮曲线中最小的，即Am=4，用最短的时间控制最大加速度。</t>
  </si>
  <si>
    <t>不是连续曲线，易产生振动。它具有低且平滑的特性，在低速条件下使用较好。</t>
  </si>
  <si>
    <t>连续性好，助振频率成分少，可作为高速使用曲线。但缺点在于Vm 、Am、 Qm 等特性值很高。</t>
  </si>
  <si>
    <t>不但连续性好，而且Am值小，适用于高速轻载场合。对于电梯的运动曲线来说是振动最小的优良曲线。</t>
  </si>
  <si>
    <t>最常使用的标准曲线，多用于高速中载的场合。其Vm 、Qm值比修正梯形曲线低，这可以用于功率较小的电动机上。在分度盘工作台中使用，其综合性能较好。</t>
  </si>
  <si>
    <t>主要用于要求中间部位具有一定速度，而且能把速度控制在最低的场合。这种曲线Vm值很小，但Am值较大，主要用于中速重载场合。</t>
  </si>
  <si>
    <t>这种曲线Amm和Amp相等。</t>
  </si>
  <si>
    <t>这种曲线极为平滑，具有极好的特性。其Vm 、Am、 Qm值都很低，曲线变化平滑，Q曲线非常接近正弦曲线，曲线上没有尖锐突起部分。</t>
  </si>
  <si>
    <t>凸轮曲线的特性值：</t>
  </si>
  <si>
    <t>最大无量纲速度：Vm</t>
  </si>
  <si>
    <t>Vm</t>
  </si>
  <si>
    <t>主要影响凸轮机构的压力角和尺寸的大小。</t>
  </si>
  <si>
    <t>在凸轮机构中，其压力角一般会随速度的增大而增大，而压力角过大会导致磨损加剧、效率降低甚至发生自锁。</t>
  </si>
  <si>
    <t>为了减小压力角，一般选用Vm较小的运动规律，同时较小的Vm可得到较小的基圆半径，从而减小凸轮机构的尺寸。</t>
  </si>
  <si>
    <t>最大无量纲加速度：Am</t>
  </si>
  <si>
    <t>Am</t>
  </si>
  <si>
    <t>是确定动态特性的主要因素之一。Am主要影响凸轮机构的使用寿命和工作精度。</t>
  </si>
  <si>
    <t>在高速凸轮机构中，由于与加速度成正比的惯性力是主要载荷，而较大的惯性力会加剧构件之间的磨损，从而导致从动振动加大，严重影响工作精度。</t>
  </si>
  <si>
    <t>一般在中、高速凸轮机构中，要选用Am较小的凸轮曲线。</t>
  </si>
  <si>
    <t>最大无量纲跃度：Jm</t>
  </si>
  <si>
    <t>Jm</t>
  </si>
  <si>
    <t>表示惯性力的变化率。Jm主要影响高速凸轮机构的运动精度。</t>
  </si>
  <si>
    <t>在高速凸轮机构中，为了提高传动精度、减小机构的振动，并保证设计的凸轮轮廓光滑，通常情况下要控制Jm不超过某个数值。</t>
  </si>
  <si>
    <t>特别在行程终了处使跃度值为零，对改善系统工作的平稳性无疑是有益的。</t>
  </si>
  <si>
    <t>加速度均方根值：Arms</t>
  </si>
  <si>
    <t>Arms</t>
  </si>
  <si>
    <t>反映了凸轮机构受惯性力后偏离平均值的动力扭曲程度。</t>
  </si>
  <si>
    <r>
      <rPr>
        <sz val="12"/>
        <rFont val="宋体"/>
        <charset val="134"/>
      </rPr>
      <t>在运动精度要求较高的条件下，应选用A</t>
    </r>
    <r>
      <rPr>
        <sz val="12"/>
        <rFont val="宋体"/>
        <charset val="134"/>
      </rPr>
      <t>rms较小的运动规律。</t>
    </r>
  </si>
  <si>
    <t>最大动载转矩：（AV)m</t>
  </si>
  <si>
    <t>（AV)m</t>
  </si>
  <si>
    <t>反映了动载转矩的最大值。</t>
  </si>
  <si>
    <t>由于动载惯性力与凸轮转矩(AV)成正比</t>
  </si>
  <si>
    <t>为了减小凸轮转矩、降低电动机功率，应选用（AV)较小的运动规律。</t>
  </si>
  <si>
    <t>GB/T1184-1996</t>
  </si>
  <si>
    <t>直线度、平面度公差</t>
  </si>
  <si>
    <t>主参数</t>
  </si>
  <si>
    <r>
      <rPr>
        <sz val="12"/>
        <rFont val="宋体"/>
        <charset val="134"/>
      </rPr>
      <t>公</t>
    </r>
    <r>
      <rPr>
        <sz val="12"/>
        <rFont val="宋体"/>
        <charset val="134"/>
      </rPr>
      <t xml:space="preserve">          差          等          级</t>
    </r>
  </si>
  <si>
    <t>L [mm]</t>
  </si>
  <si>
    <t>2</t>
  </si>
  <si>
    <t>3</t>
  </si>
  <si>
    <t>4</t>
  </si>
  <si>
    <t>5</t>
  </si>
  <si>
    <t>6</t>
  </si>
  <si>
    <t>7</t>
  </si>
  <si>
    <t>11</t>
  </si>
  <si>
    <t>12</t>
  </si>
  <si>
    <t>大于</t>
  </si>
  <si>
    <t>至</t>
  </si>
  <si>
    <r>
      <rPr>
        <sz val="12"/>
        <rFont val="宋体"/>
        <charset val="134"/>
      </rPr>
      <t>Ra</t>
    </r>
    <r>
      <rPr>
        <sz val="12"/>
        <rFont val="宋体"/>
        <charset val="134"/>
      </rPr>
      <t>及公差[μm]</t>
    </r>
  </si>
  <si>
    <t>0.025</t>
  </si>
  <si>
    <t>0.2</t>
  </si>
  <si>
    <t>0.05</t>
  </si>
  <si>
    <t>0.4</t>
  </si>
  <si>
    <t>0.1</t>
  </si>
  <si>
    <t>0.8</t>
  </si>
  <si>
    <t>1.2</t>
  </si>
  <si>
    <t>1.6</t>
  </si>
  <si>
    <t>3.2</t>
  </si>
  <si>
    <t>6.3</t>
  </si>
  <si>
    <t>16</t>
  </si>
  <si>
    <t>0.25</t>
  </si>
  <si>
    <t>0.5</t>
  </si>
  <si>
    <t>1.5</t>
  </si>
  <si>
    <t>2.5</t>
  </si>
  <si>
    <t>80</t>
  </si>
  <si>
    <t>0.3</t>
  </si>
  <si>
    <t>0.6</t>
  </si>
  <si>
    <t>100</t>
  </si>
  <si>
    <t>12.5</t>
  </si>
  <si>
    <t>120</t>
  </si>
  <si>
    <t>63</t>
  </si>
  <si>
    <t>150</t>
  </si>
  <si>
    <t>200</t>
  </si>
  <si>
    <t>160</t>
  </si>
  <si>
    <t>250</t>
  </si>
  <si>
    <t>300</t>
  </si>
  <si>
    <t>400</t>
  </si>
  <si>
    <t>630</t>
  </si>
  <si>
    <t>500</t>
  </si>
  <si>
    <t>1000</t>
  </si>
  <si>
    <t>600</t>
  </si>
  <si>
    <t>1600</t>
  </si>
  <si>
    <t>800</t>
  </si>
  <si>
    <t>2500</t>
  </si>
  <si>
    <t>4000</t>
  </si>
  <si>
    <t>1200</t>
  </si>
  <si>
    <t>6300</t>
  </si>
  <si>
    <t>1500</t>
  </si>
  <si>
    <t>10000</t>
  </si>
  <si>
    <t>2000</t>
  </si>
  <si>
    <t>圆度、圆柱度公差</t>
  </si>
  <si>
    <t>0</t>
  </si>
  <si>
    <r>
      <rPr>
        <sz val="12"/>
        <rFont val="宋体"/>
        <charset val="134"/>
      </rPr>
      <t>公差</t>
    </r>
    <r>
      <rPr>
        <sz val="12"/>
        <rFont val="宋体"/>
        <charset val="134"/>
      </rPr>
      <t>[μm]</t>
    </r>
  </si>
  <si>
    <t>14</t>
  </si>
  <si>
    <t>18</t>
  </si>
  <si>
    <t>0.12</t>
  </si>
  <si>
    <t>22</t>
  </si>
  <si>
    <t>36</t>
  </si>
  <si>
    <t>0.15</t>
  </si>
  <si>
    <t>27</t>
  </si>
  <si>
    <t>43</t>
  </si>
  <si>
    <t>13</t>
  </si>
  <si>
    <t>21</t>
  </si>
  <si>
    <t>33</t>
  </si>
  <si>
    <t>52</t>
  </si>
  <si>
    <t>39</t>
  </si>
  <si>
    <t>62</t>
  </si>
  <si>
    <t>19</t>
  </si>
  <si>
    <t>46</t>
  </si>
  <si>
    <t>74</t>
  </si>
  <si>
    <t>54</t>
  </si>
  <si>
    <t>87</t>
  </si>
  <si>
    <t>180</t>
  </si>
  <si>
    <t>3.5</t>
  </si>
  <si>
    <t>4.5</t>
  </si>
  <si>
    <t>29</t>
  </si>
  <si>
    <t>72</t>
  </si>
  <si>
    <t>115</t>
  </si>
  <si>
    <t>315</t>
  </si>
  <si>
    <t>23</t>
  </si>
  <si>
    <t>32</t>
  </si>
  <si>
    <t>81</t>
  </si>
  <si>
    <t>130</t>
  </si>
  <si>
    <t>57</t>
  </si>
  <si>
    <t>89</t>
  </si>
  <si>
    <t>140</t>
  </si>
  <si>
    <t>97</t>
  </si>
  <si>
    <t>155</t>
  </si>
  <si>
    <t>平行度、垂直度、倾斜度公差</t>
  </si>
  <si>
    <r>
      <rPr>
        <sz val="12"/>
        <rFont val="宋体"/>
        <charset val="134"/>
      </rPr>
      <t>L</t>
    </r>
    <r>
      <rPr>
        <sz val="12"/>
        <rFont val="宋体"/>
        <charset val="134"/>
      </rPr>
      <t>或d(D) [mm]</t>
    </r>
  </si>
  <si>
    <t>3000</t>
  </si>
  <si>
    <t>同轴度、对称度、圆跳动和全跳动公差</t>
  </si>
  <si>
    <t>d(D),B,L [mm]</t>
  </si>
  <si>
    <t>1250</t>
  </si>
  <si>
    <t>3150</t>
  </si>
  <si>
    <t>5000</t>
  </si>
  <si>
    <t>8000</t>
  </si>
  <si>
    <t>直线度和平面度的未注公差值</t>
  </si>
  <si>
    <t>公差等级</t>
  </si>
  <si>
    <t>≤10</t>
  </si>
  <si>
    <t>＞10～30</t>
  </si>
  <si>
    <t>＞30～100</t>
  </si>
  <si>
    <t>＞100～300</t>
  </si>
  <si>
    <t>＞300～1000</t>
  </si>
  <si>
    <t>＞1000～3000</t>
  </si>
  <si>
    <t>0.02</t>
  </si>
  <si>
    <t>垂直度未注公差值</t>
  </si>
  <si>
    <r>
      <rPr>
        <sz val="12"/>
        <rFont val="宋体"/>
        <charset val="134"/>
      </rPr>
      <t>≤</t>
    </r>
    <r>
      <rPr>
        <sz val="12"/>
        <rFont val="宋体"/>
        <charset val="134"/>
      </rPr>
      <t>100</t>
    </r>
  </si>
  <si>
    <r>
      <rPr>
        <sz val="12"/>
        <rFont val="宋体"/>
        <charset val="134"/>
      </rPr>
      <t>＞</t>
    </r>
    <r>
      <rPr>
        <sz val="12"/>
        <rFont val="宋体"/>
        <charset val="134"/>
      </rPr>
      <t>100～1000</t>
    </r>
  </si>
  <si>
    <t>对称度未注公差值</t>
  </si>
  <si>
    <t>圆跳动未注公差值</t>
  </si>
  <si>
    <t>圆跳动公差值</t>
  </si>
  <si>
    <t>GB/T1800.3-1998</t>
  </si>
  <si>
    <t>基本尺寸</t>
  </si>
  <si>
    <r>
      <rPr>
        <sz val="12"/>
        <rFont val="宋体"/>
        <charset val="134"/>
      </rPr>
      <t>公</t>
    </r>
    <r>
      <rPr>
        <sz val="12"/>
        <rFont val="Times New Roman"/>
        <family val="1"/>
      </rPr>
      <t xml:space="preserve">                    </t>
    </r>
    <r>
      <rPr>
        <sz val="12"/>
        <rFont val="宋体"/>
        <charset val="134"/>
      </rPr>
      <t>差</t>
    </r>
    <r>
      <rPr>
        <sz val="12"/>
        <rFont val="Times New Roman"/>
        <family val="1"/>
      </rPr>
      <t xml:space="preserve">                    </t>
    </r>
    <r>
      <rPr>
        <sz val="12"/>
        <rFont val="宋体"/>
        <charset val="134"/>
      </rPr>
      <t>等</t>
    </r>
    <r>
      <rPr>
        <sz val="12"/>
        <rFont val="Times New Roman"/>
        <family val="1"/>
      </rPr>
      <t xml:space="preserve">                    </t>
    </r>
    <r>
      <rPr>
        <sz val="12"/>
        <rFont val="宋体"/>
        <charset val="134"/>
      </rPr>
      <t>级</t>
    </r>
  </si>
  <si>
    <t>Δ值</t>
  </si>
  <si>
    <t>[mm]</t>
  </si>
  <si>
    <t>B</t>
  </si>
  <si>
    <t>CD</t>
  </si>
  <si>
    <t>EF</t>
  </si>
  <si>
    <t>FG</t>
  </si>
  <si>
    <t>JS</t>
  </si>
  <si>
    <t>J</t>
  </si>
  <si>
    <r>
      <rPr>
        <sz val="12"/>
        <rFont val="Times New Roman"/>
        <family val="1"/>
      </rPr>
      <t>P</t>
    </r>
    <r>
      <rPr>
        <sz val="12"/>
        <rFont val="宋体"/>
        <charset val="134"/>
      </rPr>
      <t>至</t>
    </r>
    <r>
      <rPr>
        <sz val="12"/>
        <rFont val="Times New Roman"/>
        <family val="1"/>
      </rPr>
      <t>ZC</t>
    </r>
  </si>
  <si>
    <t>R</t>
  </si>
  <si>
    <t>Y</t>
  </si>
  <si>
    <t>ZA</t>
  </si>
  <si>
    <t>ZB</t>
  </si>
  <si>
    <t>ZC</t>
  </si>
  <si>
    <r>
      <rPr>
        <sz val="12"/>
        <rFont val="宋体"/>
        <charset val="134"/>
      </rPr>
      <t>所</t>
    </r>
    <r>
      <rPr>
        <sz val="12"/>
        <rFont val="Times New Roman"/>
        <family val="1"/>
      </rPr>
      <t xml:space="preserve">     </t>
    </r>
    <r>
      <rPr>
        <sz val="12"/>
        <rFont val="宋体"/>
        <charset val="134"/>
      </rPr>
      <t>有</t>
    </r>
    <r>
      <rPr>
        <sz val="12"/>
        <rFont val="Times New Roman"/>
        <family val="1"/>
      </rPr>
      <t xml:space="preserve">     </t>
    </r>
    <r>
      <rPr>
        <sz val="12"/>
        <rFont val="宋体"/>
        <charset val="134"/>
      </rPr>
      <t>等</t>
    </r>
    <r>
      <rPr>
        <sz val="12"/>
        <rFont val="Times New Roman"/>
        <family val="1"/>
      </rPr>
      <t xml:space="preserve">     </t>
    </r>
    <r>
      <rPr>
        <sz val="12"/>
        <rFont val="宋体"/>
        <charset val="134"/>
      </rPr>
      <t>级</t>
    </r>
  </si>
  <si>
    <r>
      <rPr>
        <sz val="12"/>
        <rFont val="宋体"/>
        <charset val="134"/>
      </rPr>
      <t>≤</t>
    </r>
    <r>
      <rPr>
        <sz val="12"/>
        <rFont val="Times New Roman"/>
        <family val="1"/>
      </rPr>
      <t>8</t>
    </r>
  </si>
  <si>
    <r>
      <rPr>
        <sz val="12"/>
        <rFont val="宋体"/>
        <charset val="134"/>
      </rPr>
      <t>＞</t>
    </r>
    <r>
      <rPr>
        <sz val="12"/>
        <rFont val="Times New Roman"/>
        <family val="1"/>
      </rPr>
      <t>8</t>
    </r>
  </si>
  <si>
    <r>
      <rPr>
        <sz val="12"/>
        <rFont val="宋体"/>
        <charset val="134"/>
      </rPr>
      <t>≤</t>
    </r>
    <r>
      <rPr>
        <sz val="12"/>
        <rFont val="Times New Roman"/>
        <family val="1"/>
      </rPr>
      <t>7</t>
    </r>
  </si>
  <si>
    <r>
      <rPr>
        <sz val="12"/>
        <rFont val="黑体"/>
        <family val="3"/>
        <charset val="134"/>
      </rPr>
      <t>＞</t>
    </r>
    <r>
      <rPr>
        <sz val="12"/>
        <rFont val="Times New Roman"/>
        <family val="1"/>
      </rPr>
      <t>7</t>
    </r>
  </si>
  <si>
    <t>+270</t>
  </si>
  <si>
    <t>+140</t>
  </si>
  <si>
    <t>+60</t>
  </si>
  <si>
    <t>+34</t>
  </si>
  <si>
    <t>+20</t>
  </si>
  <si>
    <t>+14</t>
  </si>
  <si>
    <t>+10</t>
  </si>
  <si>
    <t>+6</t>
  </si>
  <si>
    <t>+4</t>
  </si>
  <si>
    <t>+2</t>
  </si>
  <si>
    <r>
      <rPr>
        <sz val="12"/>
        <rFont val="宋体"/>
        <charset val="134"/>
      </rPr>
      <t>±</t>
    </r>
    <r>
      <rPr>
        <sz val="12"/>
        <rFont val="Times New Roman"/>
        <family val="1"/>
      </rPr>
      <t>0.5IT</t>
    </r>
  </si>
  <si>
    <t>-2</t>
  </si>
  <si>
    <t>-4</t>
  </si>
  <si>
    <r>
      <rPr>
        <sz val="12"/>
        <rFont val="宋体"/>
        <charset val="134"/>
      </rPr>
      <t>在＞</t>
    </r>
    <r>
      <rPr>
        <sz val="12"/>
        <rFont val="Times New Roman"/>
        <family val="1"/>
      </rPr>
      <t>7</t>
    </r>
    <r>
      <rPr>
        <sz val="12"/>
        <rFont val="宋体"/>
        <charset val="134"/>
      </rPr>
      <t>级的相应数值上增加一个Δ值</t>
    </r>
  </si>
  <si>
    <t>-6</t>
  </si>
  <si>
    <t>-10</t>
  </si>
  <si>
    <t>-14</t>
  </si>
  <si>
    <t>-26</t>
  </si>
  <si>
    <t>-32</t>
  </si>
  <si>
    <t>-40</t>
  </si>
  <si>
    <t>-60</t>
  </si>
  <si>
    <t>+70</t>
  </si>
  <si>
    <t>+46</t>
  </si>
  <si>
    <t>+30</t>
  </si>
  <si>
    <t>+5</t>
  </si>
  <si>
    <r>
      <rPr>
        <sz val="12"/>
        <rFont val="Times New Roman"/>
        <family val="1"/>
      </rPr>
      <t>-1  +</t>
    </r>
    <r>
      <rPr>
        <sz val="12"/>
        <rFont val="宋体"/>
        <charset val="134"/>
      </rPr>
      <t>Δ</t>
    </r>
  </si>
  <si>
    <r>
      <rPr>
        <sz val="12"/>
        <rFont val="Times New Roman"/>
        <family val="1"/>
      </rPr>
      <t>-4  +</t>
    </r>
    <r>
      <rPr>
        <sz val="12"/>
        <rFont val="宋体"/>
        <charset val="134"/>
      </rPr>
      <t>Δ</t>
    </r>
  </si>
  <si>
    <r>
      <rPr>
        <sz val="12"/>
        <rFont val="Times New Roman"/>
        <family val="1"/>
      </rPr>
      <t>-8  +</t>
    </r>
    <r>
      <rPr>
        <sz val="12"/>
        <rFont val="宋体"/>
        <charset val="134"/>
      </rPr>
      <t>Δ</t>
    </r>
  </si>
  <si>
    <t>-12</t>
  </si>
  <si>
    <t>-15</t>
  </si>
  <si>
    <t>-19</t>
  </si>
  <si>
    <t>-23</t>
  </si>
  <si>
    <t>-28</t>
  </si>
  <si>
    <t>-35</t>
  </si>
  <si>
    <t>-42</t>
  </si>
  <si>
    <t>-50</t>
  </si>
  <si>
    <t>-80</t>
  </si>
  <si>
    <t>+280</t>
  </si>
  <si>
    <t>+150</t>
  </si>
  <si>
    <t>+80</t>
  </si>
  <si>
    <t>+56</t>
  </si>
  <si>
    <t>+40</t>
  </si>
  <si>
    <t>+25</t>
  </si>
  <si>
    <t>+18</t>
  </si>
  <si>
    <t>+13</t>
  </si>
  <si>
    <t>+8</t>
  </si>
  <si>
    <t>+12</t>
  </si>
  <si>
    <r>
      <rPr>
        <sz val="12"/>
        <rFont val="Times New Roman"/>
        <family val="1"/>
      </rPr>
      <t>-6  +</t>
    </r>
    <r>
      <rPr>
        <sz val="12"/>
        <rFont val="宋体"/>
        <charset val="134"/>
      </rPr>
      <t>Δ</t>
    </r>
  </si>
  <si>
    <r>
      <rPr>
        <sz val="12"/>
        <rFont val="Times New Roman"/>
        <family val="1"/>
      </rPr>
      <t>-10  +</t>
    </r>
    <r>
      <rPr>
        <sz val="12"/>
        <rFont val="宋体"/>
        <charset val="134"/>
      </rPr>
      <t>Δ</t>
    </r>
  </si>
  <si>
    <t>-34</t>
  </si>
  <si>
    <t>-52</t>
  </si>
  <si>
    <t>-67</t>
  </si>
  <si>
    <t>-97</t>
  </si>
  <si>
    <t>+290</t>
  </si>
  <si>
    <t>+95</t>
  </si>
  <si>
    <t>+50</t>
  </si>
  <si>
    <t>+32</t>
  </si>
  <si>
    <t>+16</t>
  </si>
  <si>
    <t>+15</t>
  </si>
  <si>
    <r>
      <rPr>
        <sz val="12"/>
        <rFont val="Times New Roman"/>
        <family val="1"/>
      </rPr>
      <t>-7  +</t>
    </r>
    <r>
      <rPr>
        <sz val="12"/>
        <rFont val="宋体"/>
        <charset val="134"/>
      </rPr>
      <t>Δ</t>
    </r>
  </si>
  <si>
    <t>-7</t>
  </si>
  <si>
    <r>
      <rPr>
        <sz val="12"/>
        <rFont val="Times New Roman"/>
        <family val="1"/>
      </rPr>
      <t>-12  +</t>
    </r>
    <r>
      <rPr>
        <sz val="12"/>
        <rFont val="宋体"/>
        <charset val="134"/>
      </rPr>
      <t>Δ</t>
    </r>
  </si>
  <si>
    <t>-18</t>
  </si>
  <si>
    <t>-33</t>
  </si>
  <si>
    <t>-64</t>
  </si>
  <si>
    <t>-90</t>
  </si>
  <si>
    <t>-130</t>
  </si>
  <si>
    <t>-39</t>
  </si>
  <si>
    <t>-45</t>
  </si>
  <si>
    <t>-77</t>
  </si>
  <si>
    <t>-108</t>
  </si>
  <si>
    <t>-150</t>
  </si>
  <si>
    <t>24</t>
  </si>
  <si>
    <t>+300</t>
  </si>
  <si>
    <t>+160</t>
  </si>
  <si>
    <t>+110</t>
  </si>
  <si>
    <t>+65</t>
  </si>
  <si>
    <t>+7</t>
  </si>
  <si>
    <r>
      <rPr>
        <sz val="12"/>
        <rFont val="Times New Roman"/>
        <family val="1"/>
      </rPr>
      <t>-2  +</t>
    </r>
    <r>
      <rPr>
        <sz val="12"/>
        <rFont val="宋体"/>
        <charset val="134"/>
      </rPr>
      <t>Δ</t>
    </r>
  </si>
  <si>
    <t>-8</t>
  </si>
  <si>
    <r>
      <rPr>
        <sz val="12"/>
        <rFont val="Times New Roman"/>
        <family val="1"/>
      </rPr>
      <t>-15  +</t>
    </r>
    <r>
      <rPr>
        <sz val="12"/>
        <rFont val="宋体"/>
        <charset val="134"/>
      </rPr>
      <t>Δ</t>
    </r>
  </si>
  <si>
    <t>-22</t>
  </si>
  <si>
    <t>-41</t>
  </si>
  <si>
    <t>-47</t>
  </si>
  <si>
    <t>-54</t>
  </si>
  <si>
    <t>-63</t>
  </si>
  <si>
    <t>-73</t>
  </si>
  <si>
    <t>-98</t>
  </si>
  <si>
    <t>-136</t>
  </si>
  <si>
    <t>-188</t>
  </si>
  <si>
    <t>-48</t>
  </si>
  <si>
    <t>-55</t>
  </si>
  <si>
    <t>-75</t>
  </si>
  <si>
    <t>-88</t>
  </si>
  <si>
    <t>-118</t>
  </si>
  <si>
    <t>-160</t>
  </si>
  <si>
    <t>-218</t>
  </si>
  <si>
    <t>+310</t>
  </si>
  <si>
    <t>+170</t>
  </si>
  <si>
    <t>+120</t>
  </si>
  <si>
    <t>+9</t>
  </si>
  <si>
    <t>+24</t>
  </si>
  <si>
    <r>
      <rPr>
        <sz val="12"/>
        <rFont val="Times New Roman"/>
        <family val="1"/>
      </rPr>
      <t>-9  +</t>
    </r>
    <r>
      <rPr>
        <sz val="12"/>
        <rFont val="宋体"/>
        <charset val="134"/>
      </rPr>
      <t>Δ</t>
    </r>
  </si>
  <si>
    <t>-9</t>
  </si>
  <si>
    <r>
      <rPr>
        <sz val="12"/>
        <rFont val="Times New Roman"/>
        <family val="1"/>
      </rPr>
      <t>-17  +</t>
    </r>
    <r>
      <rPr>
        <sz val="12"/>
        <rFont val="宋体"/>
        <charset val="134"/>
      </rPr>
      <t>Δ</t>
    </r>
  </si>
  <si>
    <t>-43</t>
  </si>
  <si>
    <t>-68</t>
  </si>
  <si>
    <t>-94</t>
  </si>
  <si>
    <t>-112</t>
  </si>
  <si>
    <t>-148</t>
  </si>
  <si>
    <t>-200</t>
  </si>
  <si>
    <t>-274</t>
  </si>
  <si>
    <t>+320</t>
  </si>
  <si>
    <t>+180</t>
  </si>
  <si>
    <t>+130</t>
  </si>
  <si>
    <t>-70</t>
  </si>
  <si>
    <t>-81</t>
  </si>
  <si>
    <t>-114</t>
  </si>
  <si>
    <t>-180</t>
  </si>
  <si>
    <t>-242</t>
  </si>
  <si>
    <t>-325</t>
  </si>
  <si>
    <t>65</t>
  </si>
  <si>
    <t>+340</t>
  </si>
  <si>
    <t>+190</t>
  </si>
  <si>
    <t>+100</t>
  </si>
  <si>
    <t>+28</t>
  </si>
  <si>
    <r>
      <rPr>
        <sz val="12"/>
        <rFont val="Times New Roman"/>
        <family val="1"/>
      </rPr>
      <t>-11  +</t>
    </r>
    <r>
      <rPr>
        <sz val="12"/>
        <rFont val="宋体"/>
        <charset val="134"/>
      </rPr>
      <t>Δ</t>
    </r>
  </si>
  <si>
    <t>-11</t>
  </si>
  <si>
    <r>
      <rPr>
        <sz val="12"/>
        <rFont val="Times New Roman"/>
        <family val="1"/>
      </rPr>
      <t>-20  +</t>
    </r>
    <r>
      <rPr>
        <sz val="12"/>
        <rFont val="宋体"/>
        <charset val="134"/>
      </rPr>
      <t>Δ</t>
    </r>
  </si>
  <si>
    <t>-53</t>
  </si>
  <si>
    <t>-66</t>
  </si>
  <si>
    <t>-87</t>
  </si>
  <si>
    <t>-102</t>
  </si>
  <si>
    <t>-122</t>
  </si>
  <si>
    <t>-144</t>
  </si>
  <si>
    <t>-172</t>
  </si>
  <si>
    <t>-226</t>
  </si>
  <si>
    <t>-300</t>
  </si>
  <si>
    <t>-405</t>
  </si>
  <si>
    <t>+360</t>
  </si>
  <si>
    <t>+200</t>
  </si>
  <si>
    <t>-59</t>
  </si>
  <si>
    <t>-120</t>
  </si>
  <si>
    <t>-146</t>
  </si>
  <si>
    <t>-174</t>
  </si>
  <si>
    <t>-210</t>
  </si>
  <si>
    <t>-360</t>
  </si>
  <si>
    <t>-480</t>
  </si>
  <si>
    <t>+380</t>
  </si>
  <si>
    <t>+220</t>
  </si>
  <si>
    <t>+72</t>
  </si>
  <si>
    <t>+36</t>
  </si>
  <si>
    <t>+22</t>
  </si>
  <si>
    <r>
      <rPr>
        <sz val="12"/>
        <rFont val="Times New Roman"/>
        <family val="1"/>
      </rPr>
      <t>-3 +</t>
    </r>
    <r>
      <rPr>
        <sz val="12"/>
        <rFont val="宋体"/>
        <charset val="134"/>
      </rPr>
      <t>Δ</t>
    </r>
  </si>
  <si>
    <r>
      <rPr>
        <sz val="12"/>
        <rFont val="Times New Roman"/>
        <family val="1"/>
      </rPr>
      <t>-13  +</t>
    </r>
    <r>
      <rPr>
        <sz val="12"/>
        <rFont val="宋体"/>
        <charset val="134"/>
      </rPr>
      <t>Δ</t>
    </r>
  </si>
  <si>
    <t>-13</t>
  </si>
  <si>
    <r>
      <rPr>
        <sz val="12"/>
        <rFont val="Times New Roman"/>
        <family val="1"/>
      </rPr>
      <t>-23  +</t>
    </r>
    <r>
      <rPr>
        <sz val="12"/>
        <rFont val="宋体"/>
        <charset val="134"/>
      </rPr>
      <t>Δ</t>
    </r>
  </si>
  <si>
    <t>-37</t>
  </si>
  <si>
    <t>-51</t>
  </si>
  <si>
    <t>-71</t>
  </si>
  <si>
    <t>-91</t>
  </si>
  <si>
    <t>-124</t>
  </si>
  <si>
    <t>-178</t>
  </si>
  <si>
    <t>-214</t>
  </si>
  <si>
    <t>-258</t>
  </si>
  <si>
    <t>-335</t>
  </si>
  <si>
    <t>-445</t>
  </si>
  <si>
    <t>-585</t>
  </si>
  <si>
    <t>+410</t>
  </si>
  <si>
    <t>+240</t>
  </si>
  <si>
    <t>-79</t>
  </si>
  <si>
    <t>-104</t>
  </si>
  <si>
    <t>-254</t>
  </si>
  <si>
    <t>-310</t>
  </si>
  <si>
    <t>-400</t>
  </si>
  <si>
    <t>-525</t>
  </si>
  <si>
    <t>-690</t>
  </si>
  <si>
    <t>+460</t>
  </si>
  <si>
    <t>+260</t>
  </si>
  <si>
    <t>+145</t>
  </si>
  <si>
    <t>+85</t>
  </si>
  <si>
    <t>+43</t>
  </si>
  <si>
    <t>+26</t>
  </si>
  <si>
    <t>+41</t>
  </si>
  <si>
    <r>
      <rPr>
        <sz val="12"/>
        <rFont val="Times New Roman"/>
        <family val="1"/>
      </rPr>
      <t>-15 +</t>
    </r>
    <r>
      <rPr>
        <sz val="12"/>
        <rFont val="宋体"/>
        <charset val="134"/>
      </rPr>
      <t>Δ</t>
    </r>
  </si>
  <si>
    <r>
      <rPr>
        <sz val="12"/>
        <rFont val="Times New Roman"/>
        <family val="1"/>
      </rPr>
      <t>-27 +</t>
    </r>
    <r>
      <rPr>
        <sz val="12"/>
        <rFont val="宋体"/>
        <charset val="134"/>
      </rPr>
      <t>Δ</t>
    </r>
  </si>
  <si>
    <t>-92</t>
  </si>
  <si>
    <t>-170</t>
  </si>
  <si>
    <t>-202</t>
  </si>
  <si>
    <t>-248</t>
  </si>
  <si>
    <t>-365</t>
  </si>
  <si>
    <t>-470</t>
  </si>
  <si>
    <t>-620</t>
  </si>
  <si>
    <t>-800</t>
  </si>
  <si>
    <t>+520</t>
  </si>
  <si>
    <t>+210</t>
  </si>
  <si>
    <t>-100</t>
  </si>
  <si>
    <t>-134</t>
  </si>
  <si>
    <t>-190</t>
  </si>
  <si>
    <t>-228</t>
  </si>
  <si>
    <t>-280</t>
  </si>
  <si>
    <t>-340</t>
  </si>
  <si>
    <t>-415</t>
  </si>
  <si>
    <t>-535</t>
  </si>
  <si>
    <t>-700</t>
  </si>
  <si>
    <t>-900</t>
  </si>
  <si>
    <t>+580</t>
  </si>
  <si>
    <t>+230</t>
  </si>
  <si>
    <t>-252</t>
  </si>
  <si>
    <t>-380</t>
  </si>
  <si>
    <t>-465</t>
  </si>
  <si>
    <t>-600</t>
  </si>
  <si>
    <t>-780</t>
  </si>
  <si>
    <t>-1000</t>
  </si>
  <si>
    <t>+660</t>
  </si>
  <si>
    <t>+47</t>
  </si>
  <si>
    <r>
      <rPr>
        <sz val="12"/>
        <rFont val="Times New Roman"/>
        <family val="1"/>
      </rPr>
      <t>-4 +</t>
    </r>
    <r>
      <rPr>
        <sz val="12"/>
        <rFont val="宋体"/>
        <charset val="134"/>
      </rPr>
      <t>Δ</t>
    </r>
  </si>
  <si>
    <r>
      <rPr>
        <sz val="12"/>
        <rFont val="Times New Roman"/>
        <family val="1"/>
      </rPr>
      <t>-17 +</t>
    </r>
    <r>
      <rPr>
        <sz val="12"/>
        <rFont val="宋体"/>
        <charset val="134"/>
      </rPr>
      <t>Δ</t>
    </r>
  </si>
  <si>
    <t>-17</t>
  </si>
  <si>
    <r>
      <rPr>
        <sz val="12"/>
        <rFont val="Times New Roman"/>
        <family val="1"/>
      </rPr>
      <t>-31 +</t>
    </r>
    <r>
      <rPr>
        <sz val="12"/>
        <rFont val="宋体"/>
        <charset val="134"/>
      </rPr>
      <t>Δ</t>
    </r>
  </si>
  <si>
    <t>-166</t>
  </si>
  <si>
    <t>-236</t>
  </si>
  <si>
    <t>-284</t>
  </si>
  <si>
    <t>-350</t>
  </si>
  <si>
    <t>-425</t>
  </si>
  <si>
    <t>-520</t>
  </si>
  <si>
    <t>-670</t>
  </si>
  <si>
    <t>-880</t>
  </si>
  <si>
    <t>-1150</t>
  </si>
  <si>
    <t>17</t>
  </si>
  <si>
    <t>26</t>
  </si>
  <si>
    <t>225</t>
  </si>
  <si>
    <t>+740</t>
  </si>
  <si>
    <t>-385</t>
  </si>
  <si>
    <t>-575</t>
  </si>
  <si>
    <t>-740</t>
  </si>
  <si>
    <t>-960</t>
  </si>
  <si>
    <t>-1250</t>
  </si>
  <si>
    <t>+820</t>
  </si>
  <si>
    <t>+420</t>
  </si>
  <si>
    <t>-140</t>
  </si>
  <si>
    <t>-196</t>
  </si>
  <si>
    <t>-640</t>
  </si>
  <si>
    <t>-820</t>
  </si>
  <si>
    <t>-1050</t>
  </si>
  <si>
    <t>-1350</t>
  </si>
  <si>
    <t>280</t>
  </si>
  <si>
    <t>+920</t>
  </si>
  <si>
    <t>+480</t>
  </si>
  <si>
    <t>+17</t>
  </si>
  <si>
    <t>+55</t>
  </si>
  <si>
    <r>
      <rPr>
        <sz val="12"/>
        <rFont val="Times New Roman"/>
        <family val="1"/>
      </rPr>
      <t>-20 +</t>
    </r>
    <r>
      <rPr>
        <sz val="12"/>
        <rFont val="宋体"/>
        <charset val="134"/>
      </rPr>
      <t>Δ</t>
    </r>
  </si>
  <si>
    <t>-20</t>
  </si>
  <si>
    <r>
      <rPr>
        <sz val="12"/>
        <rFont val="Times New Roman"/>
        <family val="1"/>
      </rPr>
      <t>-34  +</t>
    </r>
    <r>
      <rPr>
        <sz val="12"/>
        <rFont val="宋体"/>
        <charset val="134"/>
      </rPr>
      <t>Δ</t>
    </r>
  </si>
  <si>
    <t>-56</t>
  </si>
  <si>
    <t>-158</t>
  </si>
  <si>
    <t>-315</t>
  </si>
  <si>
    <t>-475</t>
  </si>
  <si>
    <t>-580</t>
  </si>
  <si>
    <t>-710</t>
  </si>
  <si>
    <t>-920</t>
  </si>
  <si>
    <t>-1200</t>
  </si>
  <si>
    <t>-1550</t>
  </si>
  <si>
    <t>+1050</t>
  </si>
  <si>
    <t>+540</t>
  </si>
  <si>
    <t>+330</t>
  </si>
  <si>
    <t>-240</t>
  </si>
  <si>
    <t>-650</t>
  </si>
  <si>
    <t>-790</t>
  </si>
  <si>
    <t>-1300</t>
  </si>
  <si>
    <t>-1700</t>
  </si>
  <si>
    <t>355</t>
  </si>
  <si>
    <t>+1200</t>
  </si>
  <si>
    <t>+600</t>
  </si>
  <si>
    <t>+125</t>
  </si>
  <si>
    <t>+62</t>
  </si>
  <si>
    <t>+29</t>
  </si>
  <si>
    <t>+39</t>
  </si>
  <si>
    <r>
      <rPr>
        <sz val="12"/>
        <rFont val="Times New Roman"/>
        <family val="1"/>
      </rPr>
      <t>-21 +</t>
    </r>
    <r>
      <rPr>
        <sz val="12"/>
        <rFont val="宋体"/>
        <charset val="134"/>
      </rPr>
      <t>Δ</t>
    </r>
  </si>
  <si>
    <t>-21</t>
  </si>
  <si>
    <r>
      <rPr>
        <sz val="12"/>
        <rFont val="Times New Roman"/>
        <family val="1"/>
      </rPr>
      <t>-37  +</t>
    </r>
    <r>
      <rPr>
        <sz val="12"/>
        <rFont val="宋体"/>
        <charset val="134"/>
      </rPr>
      <t>Δ</t>
    </r>
  </si>
  <si>
    <t>-62</t>
  </si>
  <si>
    <t>-268</t>
  </si>
  <si>
    <t>-390</t>
  </si>
  <si>
    <t>-590</t>
  </si>
  <si>
    <t>-730</t>
  </si>
  <si>
    <t>-1500</t>
  </si>
  <si>
    <t>-1900</t>
  </si>
  <si>
    <t>+1350</t>
  </si>
  <si>
    <t>+680</t>
  </si>
  <si>
    <t>+400</t>
  </si>
  <si>
    <t>-208</t>
  </si>
  <si>
    <t>-294</t>
  </si>
  <si>
    <t>-435</t>
  </si>
  <si>
    <t>-530</t>
  </si>
  <si>
    <t>-660</t>
  </si>
  <si>
    <t>-1650</t>
  </si>
  <si>
    <t>-2100</t>
  </si>
  <si>
    <t>450</t>
  </si>
  <si>
    <t>+1500</t>
  </si>
  <si>
    <t>+760</t>
  </si>
  <si>
    <t>+440</t>
  </si>
  <si>
    <t>+135</t>
  </si>
  <si>
    <t>+68</t>
  </si>
  <si>
    <t>+33</t>
  </si>
  <si>
    <t>+66</t>
  </si>
  <si>
    <r>
      <rPr>
        <sz val="12"/>
        <rFont val="Times New Roman"/>
        <family val="1"/>
      </rPr>
      <t>-5 +</t>
    </r>
    <r>
      <rPr>
        <sz val="12"/>
        <rFont val="宋体"/>
        <charset val="134"/>
      </rPr>
      <t>Δ</t>
    </r>
  </si>
  <si>
    <r>
      <rPr>
        <sz val="12"/>
        <rFont val="Times New Roman"/>
        <family val="1"/>
      </rPr>
      <t>-23 +</t>
    </r>
    <r>
      <rPr>
        <sz val="12"/>
        <rFont val="宋体"/>
        <charset val="134"/>
      </rPr>
      <t>Δ</t>
    </r>
  </si>
  <si>
    <r>
      <rPr>
        <sz val="12"/>
        <rFont val="Times New Roman"/>
        <family val="1"/>
      </rPr>
      <t>-40  +</t>
    </r>
    <r>
      <rPr>
        <sz val="12"/>
        <rFont val="宋体"/>
        <charset val="134"/>
      </rPr>
      <t>Δ</t>
    </r>
  </si>
  <si>
    <t>-126</t>
  </si>
  <si>
    <t>-232</t>
  </si>
  <si>
    <t>-330</t>
  </si>
  <si>
    <t>-490</t>
  </si>
  <si>
    <t>-595</t>
  </si>
  <si>
    <t>-1100</t>
  </si>
  <si>
    <t>-1450</t>
  </si>
  <si>
    <t>-1850</t>
  </si>
  <si>
    <t>-2400</t>
  </si>
  <si>
    <t>34</t>
  </si>
  <si>
    <t>+1650</t>
  </si>
  <si>
    <t>+840</t>
  </si>
  <si>
    <t>-540</t>
  </si>
  <si>
    <t>-1600</t>
  </si>
  <si>
    <t>-2600</t>
  </si>
  <si>
    <t>560</t>
  </si>
  <si>
    <t>+76</t>
  </si>
  <si>
    <t>-44</t>
  </si>
  <si>
    <t>-78</t>
  </si>
  <si>
    <t>-155</t>
  </si>
  <si>
    <t>-450</t>
  </si>
  <si>
    <t>710</t>
  </si>
  <si>
    <t>-30</t>
  </si>
  <si>
    <t>-175</t>
  </si>
  <si>
    <t>-500</t>
  </si>
  <si>
    <t>-185</t>
  </si>
  <si>
    <t>-560</t>
  </si>
  <si>
    <t>-840</t>
  </si>
  <si>
    <t>900</t>
  </si>
  <si>
    <t>+86</t>
  </si>
  <si>
    <t>-430</t>
  </si>
  <si>
    <t>-940</t>
  </si>
  <si>
    <t>-220</t>
  </si>
  <si>
    <t>-680</t>
  </si>
  <si>
    <t>1150</t>
  </si>
  <si>
    <t>+350</t>
  </si>
  <si>
    <t>+195</t>
  </si>
  <si>
    <t>+98</t>
  </si>
  <si>
    <t>-250</t>
  </si>
  <si>
    <t>-260</t>
  </si>
  <si>
    <t>1400</t>
  </si>
  <si>
    <t>+390</t>
  </si>
  <si>
    <t>47</t>
  </si>
  <si>
    <t>-720</t>
  </si>
  <si>
    <t>1800</t>
  </si>
  <si>
    <t>+430</t>
  </si>
  <si>
    <t>-58</t>
  </si>
  <si>
    <t>-370</t>
  </si>
  <si>
    <t>58</t>
  </si>
  <si>
    <t>-2000</t>
  </si>
  <si>
    <t>2240</t>
  </si>
  <si>
    <t>-110</t>
  </si>
  <si>
    <t>-195</t>
  </si>
  <si>
    <t>-440</t>
  </si>
  <si>
    <t>-2300</t>
  </si>
  <si>
    <t>-460</t>
  </si>
  <si>
    <t>-2500</t>
  </si>
  <si>
    <t>2800</t>
  </si>
  <si>
    <t>+38</t>
  </si>
  <si>
    <t>-76</t>
  </si>
  <si>
    <t>-135</t>
  </si>
  <si>
    <t>-550</t>
  </si>
  <si>
    <t>-2900</t>
  </si>
  <si>
    <t>28</t>
  </si>
  <si>
    <t>75</t>
  </si>
  <si>
    <t>-1400</t>
  </si>
  <si>
    <t>-3200</t>
  </si>
  <si>
    <r>
      <rPr>
        <sz val="12"/>
        <rFont val="宋体"/>
        <charset val="134"/>
      </rPr>
      <t>注：</t>
    </r>
    <r>
      <rPr>
        <sz val="12"/>
        <rFont val="Times New Roman"/>
        <family val="1"/>
      </rPr>
      <t>1.</t>
    </r>
    <r>
      <rPr>
        <sz val="12"/>
        <rFont val="宋体"/>
        <charset val="134"/>
      </rPr>
      <t>基本尺寸小于</t>
    </r>
    <r>
      <rPr>
        <sz val="12"/>
        <rFont val="Times New Roman"/>
        <family val="1"/>
      </rPr>
      <t>1mm</t>
    </r>
    <r>
      <rPr>
        <sz val="12"/>
        <rFont val="宋体"/>
        <charset val="134"/>
      </rPr>
      <t>时，各级的</t>
    </r>
    <r>
      <rPr>
        <sz val="12"/>
        <rFont val="Times New Roman"/>
        <family val="1"/>
      </rPr>
      <t>A</t>
    </r>
    <r>
      <rPr>
        <sz val="12"/>
        <rFont val="宋体"/>
        <charset val="134"/>
      </rPr>
      <t>和</t>
    </r>
    <r>
      <rPr>
        <sz val="12"/>
        <rFont val="Times New Roman"/>
        <family val="1"/>
      </rPr>
      <t>B</t>
    </r>
    <r>
      <rPr>
        <sz val="12"/>
        <rFont val="宋体"/>
        <charset val="134"/>
      </rPr>
      <t>均不采用。</t>
    </r>
  </si>
  <si>
    <r>
      <rPr>
        <sz val="12"/>
        <rFont val="Times New Roman"/>
        <family val="1"/>
      </rPr>
      <t xml:space="preserve">        2.JS</t>
    </r>
    <r>
      <rPr>
        <sz val="12"/>
        <rFont val="宋体"/>
        <charset val="134"/>
      </rPr>
      <t>的数值对</t>
    </r>
    <r>
      <rPr>
        <sz val="12"/>
        <rFont val="Times New Roman"/>
        <family val="1"/>
      </rPr>
      <t>IT7</t>
    </r>
    <r>
      <rPr>
        <sz val="12"/>
        <rFont val="宋体"/>
        <charset val="134"/>
      </rPr>
      <t>至</t>
    </r>
    <r>
      <rPr>
        <sz val="12"/>
        <rFont val="Times New Roman"/>
        <family val="1"/>
      </rPr>
      <t>IT11</t>
    </r>
    <r>
      <rPr>
        <sz val="12"/>
        <rFont val="宋体"/>
        <charset val="134"/>
      </rPr>
      <t>，若</t>
    </r>
    <r>
      <rPr>
        <sz val="12"/>
        <rFont val="Times New Roman"/>
        <family val="1"/>
      </rPr>
      <t>IT</t>
    </r>
    <r>
      <rPr>
        <sz val="12"/>
        <rFont val="宋体"/>
        <charset val="134"/>
      </rPr>
      <t>的数值为奇数则取</t>
    </r>
    <r>
      <rPr>
        <sz val="12"/>
        <rFont val="Times New Roman"/>
        <family val="1"/>
      </rPr>
      <t>js=±0.5(IT-1)</t>
    </r>
    <r>
      <rPr>
        <sz val="12"/>
        <rFont val="宋体"/>
        <charset val="134"/>
      </rPr>
      <t>。</t>
    </r>
  </si>
  <si>
    <r>
      <rPr>
        <sz val="12"/>
        <rFont val="Times New Roman"/>
        <family val="1"/>
      </rPr>
      <t xml:space="preserve">       3.</t>
    </r>
    <r>
      <rPr>
        <sz val="12"/>
        <rFont val="宋体"/>
        <charset val="134"/>
      </rPr>
      <t>特殊情况，当基本尺寸大于</t>
    </r>
    <r>
      <rPr>
        <sz val="12"/>
        <rFont val="Times New Roman"/>
        <family val="1"/>
      </rPr>
      <t>250</t>
    </r>
    <r>
      <rPr>
        <sz val="12"/>
        <rFont val="宋体"/>
        <charset val="134"/>
      </rPr>
      <t>至</t>
    </r>
    <r>
      <rPr>
        <sz val="12"/>
        <rFont val="Times New Roman"/>
        <family val="1"/>
      </rPr>
      <t>315</t>
    </r>
    <r>
      <rPr>
        <sz val="12"/>
        <rFont val="宋体"/>
        <charset val="134"/>
      </rPr>
      <t>时，</t>
    </r>
    <r>
      <rPr>
        <sz val="12"/>
        <rFont val="Times New Roman"/>
        <family val="1"/>
      </rPr>
      <t>M6</t>
    </r>
    <r>
      <rPr>
        <sz val="12"/>
        <rFont val="宋体"/>
        <charset val="134"/>
      </rPr>
      <t>的</t>
    </r>
    <r>
      <rPr>
        <sz val="12"/>
        <rFont val="Times New Roman"/>
        <family val="1"/>
      </rPr>
      <t>ES</t>
    </r>
    <r>
      <rPr>
        <sz val="12"/>
        <rFont val="宋体"/>
        <charset val="134"/>
      </rPr>
      <t>等于</t>
    </r>
    <r>
      <rPr>
        <sz val="12"/>
        <rFont val="Times New Roman"/>
        <family val="1"/>
      </rPr>
      <t>-9</t>
    </r>
    <r>
      <rPr>
        <sz val="12"/>
        <rFont val="宋体"/>
        <charset val="134"/>
      </rPr>
      <t>（不等于</t>
    </r>
    <r>
      <rPr>
        <sz val="12"/>
        <rFont val="Times New Roman"/>
        <family val="1"/>
      </rPr>
      <t>-11</t>
    </r>
    <r>
      <rPr>
        <sz val="12"/>
        <rFont val="宋体"/>
        <charset val="134"/>
      </rPr>
      <t>）。</t>
    </r>
  </si>
  <si>
    <t>GB1800-79</t>
  </si>
  <si>
    <t>1~13</t>
  </si>
  <si>
    <t>6~12</t>
  </si>
  <si>
    <r>
      <rPr>
        <sz val="12"/>
        <rFont val="Times New Roman"/>
        <family val="1"/>
      </rPr>
      <t>6~12</t>
    </r>
    <r>
      <rPr>
        <sz val="12"/>
        <rFont val="宋体"/>
        <charset val="134"/>
      </rPr>
      <t>级常用</t>
    </r>
    <r>
      <rPr>
        <sz val="12"/>
        <rFont val="Times New Roman"/>
        <family val="1"/>
      </rPr>
      <t>7</t>
    </r>
    <r>
      <rPr>
        <sz val="12"/>
        <rFont val="宋体"/>
        <charset val="134"/>
      </rPr>
      <t>、</t>
    </r>
    <r>
      <rPr>
        <sz val="12"/>
        <rFont val="Times New Roman"/>
        <family val="1"/>
      </rPr>
      <t>8</t>
    </r>
    <r>
      <rPr>
        <sz val="12"/>
        <rFont val="宋体"/>
        <charset val="134"/>
      </rPr>
      <t>、</t>
    </r>
    <r>
      <rPr>
        <sz val="12"/>
        <rFont val="Times New Roman"/>
        <family val="1"/>
      </rPr>
      <t>9</t>
    </r>
    <r>
      <rPr>
        <sz val="12"/>
        <rFont val="宋体"/>
        <charset val="134"/>
      </rPr>
      <t>、</t>
    </r>
    <r>
      <rPr>
        <sz val="12"/>
        <rFont val="Times New Roman"/>
        <family val="1"/>
      </rPr>
      <t>11</t>
    </r>
    <r>
      <rPr>
        <sz val="12"/>
        <rFont val="宋体"/>
        <charset val="134"/>
      </rPr>
      <t>级优先</t>
    </r>
    <r>
      <rPr>
        <sz val="12"/>
        <rFont val="Times New Roman"/>
        <family val="1"/>
      </rPr>
      <t xml:space="preserve">                 0</t>
    </r>
  </si>
  <si>
    <r>
      <rPr>
        <sz val="12"/>
        <rFont val="Times New Roman"/>
        <family val="1"/>
      </rPr>
      <t>6~9</t>
    </r>
    <r>
      <rPr>
        <sz val="12"/>
        <rFont val="宋体"/>
        <charset val="134"/>
      </rPr>
      <t>级常用</t>
    </r>
    <r>
      <rPr>
        <sz val="12"/>
        <rFont val="Times New Roman"/>
        <family val="1"/>
      </rPr>
      <t xml:space="preserve">         ±0.5IT</t>
    </r>
  </si>
  <si>
    <t>+3</t>
  </si>
  <si>
    <t>-3</t>
  </si>
  <si>
    <t>+0.5</t>
  </si>
  <si>
    <t>-2.5</t>
  </si>
  <si>
    <t>-1</t>
  </si>
  <si>
    <t>-5</t>
  </si>
  <si>
    <t>-16</t>
  </si>
  <si>
    <t>-25</t>
  </si>
  <si>
    <t>-24</t>
  </si>
  <si>
    <t>-31</t>
  </si>
  <si>
    <t>+1</t>
  </si>
  <si>
    <t>+4.5</t>
  </si>
  <si>
    <t>-36</t>
  </si>
  <si>
    <t>-38</t>
  </si>
  <si>
    <t>-57</t>
  </si>
  <si>
    <t>+0</t>
  </si>
  <si>
    <t>-27</t>
  </si>
  <si>
    <t>-46</t>
  </si>
  <si>
    <t>-69</t>
  </si>
  <si>
    <t>-65</t>
  </si>
  <si>
    <t>-84</t>
  </si>
  <si>
    <t>-29</t>
  </si>
  <si>
    <t>-89</t>
  </si>
  <si>
    <t>-85</t>
  </si>
  <si>
    <t>-107</t>
  </si>
  <si>
    <t>-103</t>
  </si>
  <si>
    <t>-49</t>
  </si>
  <si>
    <t>-61</t>
  </si>
  <si>
    <t>-72</t>
  </si>
  <si>
    <t>-109</t>
  </si>
  <si>
    <t>-105</t>
  </si>
  <si>
    <t>-131</t>
  </si>
  <si>
    <t>-127</t>
  </si>
  <si>
    <t>-96</t>
  </si>
  <si>
    <t>-116</t>
  </si>
  <si>
    <t>-111</t>
  </si>
  <si>
    <t>-138</t>
  </si>
  <si>
    <t>-133</t>
  </si>
  <si>
    <t>-161</t>
  </si>
  <si>
    <t>-168</t>
  </si>
  <si>
    <t>-163</t>
  </si>
  <si>
    <t>-204</t>
  </si>
  <si>
    <t>-199</t>
  </si>
  <si>
    <t>-117</t>
  </si>
  <si>
    <t>-139</t>
  </si>
  <si>
    <t>-171</t>
  </si>
  <si>
    <t>-165</t>
  </si>
  <si>
    <t>-207</t>
  </si>
  <si>
    <t>-201</t>
  </si>
  <si>
    <t>-251</t>
  </si>
  <si>
    <t>-245</t>
  </si>
  <si>
    <t>-74</t>
  </si>
  <si>
    <t>-137</t>
  </si>
  <si>
    <t>-159</t>
  </si>
  <si>
    <t>-203</t>
  </si>
  <si>
    <t>-197</t>
  </si>
  <si>
    <t>-247</t>
  </si>
  <si>
    <t>-241</t>
  </si>
  <si>
    <t>-303</t>
  </si>
  <si>
    <t>-297</t>
  </si>
  <si>
    <t>-86</t>
  </si>
  <si>
    <t>-115</t>
  </si>
  <si>
    <t>-187</t>
  </si>
  <si>
    <t>-233</t>
  </si>
  <si>
    <t>-293</t>
  </si>
  <si>
    <t>-285</t>
  </si>
  <si>
    <t>-358</t>
  </si>
  <si>
    <t>-93</t>
  </si>
  <si>
    <t>-119</t>
  </si>
  <si>
    <t>-183</t>
  </si>
  <si>
    <t>-221</t>
  </si>
  <si>
    <t>-213</t>
  </si>
  <si>
    <t>-273</t>
  </si>
  <si>
    <t>-265</t>
  </si>
  <si>
    <t>-333</t>
  </si>
  <si>
    <t>-408</t>
  </si>
  <si>
    <t>-101</t>
  </si>
  <si>
    <t>-237</t>
  </si>
  <si>
    <t>-295</t>
  </si>
  <si>
    <t>-373</t>
  </si>
  <si>
    <t>-458</t>
  </si>
  <si>
    <t>-113</t>
  </si>
  <si>
    <t>-157</t>
  </si>
  <si>
    <t>-149</t>
  </si>
  <si>
    <t>-227</t>
  </si>
  <si>
    <t>-219</t>
  </si>
  <si>
    <t>-275</t>
  </si>
  <si>
    <t>-267</t>
  </si>
  <si>
    <t>-341</t>
  </si>
  <si>
    <t>-416</t>
  </si>
  <si>
    <t>-511</t>
  </si>
  <si>
    <t>-503</t>
  </si>
  <si>
    <t>-121</t>
  </si>
  <si>
    <t>-249</t>
  </si>
  <si>
    <t>-301</t>
  </si>
  <si>
    <t>-376</t>
  </si>
  <si>
    <t>-368</t>
  </si>
  <si>
    <t>-461</t>
  </si>
  <si>
    <t>-453</t>
  </si>
  <si>
    <t>-566</t>
  </si>
  <si>
    <t>-558</t>
  </si>
  <si>
    <t>-123</t>
  </si>
  <si>
    <t>-179</t>
  </si>
  <si>
    <t>-331</t>
  </si>
  <si>
    <t>-323</t>
  </si>
  <si>
    <t>-631</t>
  </si>
  <si>
    <t>-623</t>
  </si>
  <si>
    <t>-151</t>
  </si>
  <si>
    <t>-209</t>
  </si>
  <si>
    <t>-198</t>
  </si>
  <si>
    <t>-306</t>
  </si>
  <si>
    <t>-466</t>
  </si>
  <si>
    <t>-455</t>
  </si>
  <si>
    <t>-571</t>
  </si>
  <si>
    <t>-701</t>
  </si>
  <si>
    <t>-231</t>
  </si>
  <si>
    <t>-516</t>
  </si>
  <si>
    <t>-505</t>
  </si>
  <si>
    <t>-641</t>
  </si>
  <si>
    <t>-630</t>
  </si>
  <si>
    <t>-781</t>
  </si>
  <si>
    <t>-770</t>
  </si>
  <si>
    <t>+11</t>
  </si>
  <si>
    <t>-169</t>
  </si>
  <si>
    <t>-257</t>
  </si>
  <si>
    <t>-379</t>
  </si>
  <si>
    <t>-369</t>
  </si>
  <si>
    <t>-464</t>
  </si>
  <si>
    <t>-454</t>
  </si>
  <si>
    <t>-579</t>
  </si>
  <si>
    <t>-569</t>
  </si>
  <si>
    <t>-719</t>
  </si>
  <si>
    <t>-709</t>
  </si>
  <si>
    <t>-889</t>
  </si>
  <si>
    <t>-879</t>
  </si>
  <si>
    <t>114</t>
  </si>
  <si>
    <t>-283</t>
  </si>
  <si>
    <t>-424</t>
  </si>
  <si>
    <t>-414</t>
  </si>
  <si>
    <t>-519</t>
  </si>
  <si>
    <t>-509</t>
  </si>
  <si>
    <t>-649</t>
  </si>
  <si>
    <t>-639</t>
  </si>
  <si>
    <t>-809</t>
  </si>
  <si>
    <t>-799</t>
  </si>
  <si>
    <t>-989</t>
  </si>
  <si>
    <t>-979</t>
  </si>
  <si>
    <t>-225</t>
  </si>
  <si>
    <t>-317</t>
  </si>
  <si>
    <t>-307</t>
  </si>
  <si>
    <t>-477</t>
  </si>
  <si>
    <t>-467</t>
  </si>
  <si>
    <t>-582</t>
  </si>
  <si>
    <t>-572</t>
  </si>
  <si>
    <t>-727</t>
  </si>
  <si>
    <t>-717</t>
  </si>
  <si>
    <t>-907</t>
  </si>
  <si>
    <t>-897</t>
  </si>
  <si>
    <t>-1087</t>
  </si>
  <si>
    <t>-1077</t>
  </si>
  <si>
    <t>-125</t>
  </si>
  <si>
    <t>-132</t>
  </si>
  <si>
    <t>-239</t>
  </si>
  <si>
    <t>-229</t>
  </si>
  <si>
    <t>-347</t>
  </si>
  <si>
    <t>-337</t>
  </si>
  <si>
    <t>-527</t>
  </si>
  <si>
    <t>-517</t>
  </si>
  <si>
    <t>-647</t>
  </si>
  <si>
    <t>-637</t>
  </si>
  <si>
    <t>-807</t>
  </si>
  <si>
    <t>-797</t>
  </si>
  <si>
    <t>-987</t>
  </si>
  <si>
    <t>-977</t>
  </si>
  <si>
    <t>-1237</t>
  </si>
  <si>
    <t>-1227</t>
  </si>
  <si>
    <r>
      <rPr>
        <sz val="12"/>
        <rFont val="宋体"/>
        <charset val="134"/>
      </rPr>
      <t>注：基本尺寸小于</t>
    </r>
    <r>
      <rPr>
        <sz val="12"/>
        <rFont val="Times New Roman"/>
        <family val="1"/>
      </rPr>
      <t>1mm</t>
    </r>
    <r>
      <rPr>
        <sz val="12"/>
        <rFont val="宋体"/>
        <charset val="134"/>
      </rPr>
      <t>时，各级的</t>
    </r>
    <r>
      <rPr>
        <sz val="12"/>
        <rFont val="Times New Roman"/>
        <family val="1"/>
      </rPr>
      <t>A</t>
    </r>
    <r>
      <rPr>
        <sz val="12"/>
        <rFont val="宋体"/>
        <charset val="134"/>
      </rPr>
      <t>和</t>
    </r>
    <r>
      <rPr>
        <sz val="12"/>
        <rFont val="Times New Roman"/>
        <family val="1"/>
      </rPr>
      <t>B</t>
    </r>
    <r>
      <rPr>
        <sz val="12"/>
        <rFont val="宋体"/>
        <charset val="134"/>
      </rPr>
      <t>均不采用。</t>
    </r>
  </si>
  <si>
    <r>
      <rPr>
        <sz val="12"/>
        <rFont val="宋体"/>
        <charset val="134"/>
      </rPr>
      <t>注：当基本尺寸大于</t>
    </r>
    <r>
      <rPr>
        <sz val="12"/>
        <rFont val="Times New Roman"/>
        <family val="1"/>
      </rPr>
      <t>250</t>
    </r>
    <r>
      <rPr>
        <sz val="12"/>
        <rFont val="宋体"/>
        <charset val="134"/>
      </rPr>
      <t>至</t>
    </r>
    <r>
      <rPr>
        <sz val="12"/>
        <rFont val="Times New Roman"/>
        <family val="1"/>
      </rPr>
      <t>315mm</t>
    </r>
    <r>
      <rPr>
        <sz val="12"/>
        <rFont val="宋体"/>
        <charset val="134"/>
      </rPr>
      <t>时，</t>
    </r>
    <r>
      <rPr>
        <sz val="12"/>
        <rFont val="Times New Roman"/>
        <family val="1"/>
      </rPr>
      <t>M6</t>
    </r>
    <r>
      <rPr>
        <sz val="12"/>
        <rFont val="宋体"/>
        <charset val="134"/>
      </rPr>
      <t>的</t>
    </r>
    <r>
      <rPr>
        <sz val="12"/>
        <rFont val="Times New Roman"/>
        <family val="1"/>
      </rPr>
      <t>ES=-9</t>
    </r>
    <r>
      <rPr>
        <sz val="12"/>
        <rFont val="宋体"/>
        <charset val="134"/>
      </rPr>
      <t>（不等于</t>
    </r>
    <r>
      <rPr>
        <sz val="12"/>
        <rFont val="Times New Roman"/>
        <family val="1"/>
      </rPr>
      <t>-11</t>
    </r>
    <r>
      <rPr>
        <sz val="12"/>
        <rFont val="宋体"/>
        <charset val="134"/>
      </rPr>
      <t>）。基本尺寸小于</t>
    </r>
    <r>
      <rPr>
        <sz val="12"/>
        <rFont val="Times New Roman"/>
        <family val="1"/>
      </rPr>
      <t>1mm</t>
    </r>
    <r>
      <rPr>
        <sz val="12"/>
        <rFont val="宋体"/>
        <charset val="134"/>
      </rPr>
      <t>时，大于</t>
    </r>
    <r>
      <rPr>
        <sz val="12"/>
        <rFont val="Times New Roman"/>
        <family val="1"/>
      </rPr>
      <t>IT8</t>
    </r>
    <r>
      <rPr>
        <sz val="12"/>
        <rFont val="宋体"/>
        <charset val="134"/>
      </rPr>
      <t>的</t>
    </r>
    <r>
      <rPr>
        <sz val="12"/>
        <rFont val="Times New Roman"/>
        <family val="1"/>
      </rPr>
      <t>N</t>
    </r>
    <r>
      <rPr>
        <sz val="12"/>
        <rFont val="宋体"/>
        <charset val="134"/>
      </rPr>
      <t>不采用。</t>
    </r>
  </si>
  <si>
    <r>
      <rPr>
        <sz val="12"/>
        <rFont val="宋体"/>
        <charset val="134"/>
      </rPr>
      <t>公</t>
    </r>
    <r>
      <rPr>
        <sz val="12"/>
        <rFont val="Times New Roman"/>
        <family val="1"/>
      </rPr>
      <t xml:space="preserve">               </t>
    </r>
    <r>
      <rPr>
        <sz val="12"/>
        <rFont val="宋体"/>
        <charset val="134"/>
      </rPr>
      <t>差</t>
    </r>
    <r>
      <rPr>
        <sz val="12"/>
        <rFont val="Times New Roman"/>
        <family val="1"/>
      </rPr>
      <t xml:space="preserve">               </t>
    </r>
    <r>
      <rPr>
        <sz val="12"/>
        <rFont val="宋体"/>
        <charset val="134"/>
      </rPr>
      <t>等</t>
    </r>
    <r>
      <rPr>
        <sz val="12"/>
        <rFont val="Times New Roman"/>
        <family val="1"/>
      </rPr>
      <t xml:space="preserve">              级</t>
    </r>
  </si>
  <si>
    <t>IT01</t>
  </si>
  <si>
    <t>IT0</t>
  </si>
  <si>
    <t>IT1</t>
  </si>
  <si>
    <t>IT2</t>
  </si>
  <si>
    <t>IT3</t>
  </si>
  <si>
    <t>IT4</t>
  </si>
  <si>
    <t>IT5</t>
  </si>
  <si>
    <t>IT6</t>
  </si>
  <si>
    <t>IT7</t>
  </si>
  <si>
    <t>IT8</t>
  </si>
  <si>
    <t>IT9</t>
  </si>
  <si>
    <t>IT10</t>
  </si>
  <si>
    <t>IT11</t>
  </si>
  <si>
    <t>IT12</t>
  </si>
  <si>
    <t>IT13</t>
  </si>
  <si>
    <t>IT14</t>
  </si>
  <si>
    <t>IT15</t>
  </si>
  <si>
    <t>IT16</t>
  </si>
  <si>
    <t>IT17</t>
  </si>
  <si>
    <t>IT18</t>
  </si>
  <si>
    <r>
      <rPr>
        <sz val="12"/>
        <rFont val="Times New Roman"/>
        <family val="1"/>
      </rPr>
      <t>[</t>
    </r>
    <r>
      <rPr>
        <sz val="12"/>
        <rFont val="宋体"/>
        <charset val="134"/>
      </rPr>
      <t>μ</t>
    </r>
    <r>
      <rPr>
        <sz val="12"/>
        <rFont val="Times New Roman"/>
        <family val="1"/>
      </rPr>
      <t>m]</t>
    </r>
  </si>
  <si>
    <r>
      <rPr>
        <sz val="12"/>
        <rFont val="宋体"/>
        <charset val="134"/>
      </rPr>
      <t>注：基本尺寸小于</t>
    </r>
    <r>
      <rPr>
        <sz val="12"/>
        <rFont val="Times New Roman"/>
        <family val="1"/>
      </rPr>
      <t>1mm</t>
    </r>
    <r>
      <rPr>
        <sz val="12"/>
        <rFont val="宋体"/>
        <charset val="134"/>
      </rPr>
      <t>时，无</t>
    </r>
    <r>
      <rPr>
        <sz val="12"/>
        <rFont val="Times New Roman"/>
        <family val="1"/>
      </rPr>
      <t>IT14</t>
    </r>
    <r>
      <rPr>
        <sz val="12"/>
        <rFont val="宋体"/>
        <charset val="134"/>
      </rPr>
      <t>至</t>
    </r>
    <r>
      <rPr>
        <sz val="12"/>
        <rFont val="Times New Roman"/>
        <family val="1"/>
      </rPr>
      <t>IT18</t>
    </r>
    <r>
      <rPr>
        <sz val="12"/>
        <rFont val="宋体"/>
        <charset val="134"/>
      </rPr>
      <t>。</t>
    </r>
  </si>
  <si>
    <r>
      <rPr>
        <sz val="10"/>
        <rFont val="宋体"/>
        <charset val="134"/>
      </rPr>
      <t>未注公差尺寸的偏差</t>
    </r>
    <r>
      <rPr>
        <sz val="10"/>
        <rFont val="Times New Roman"/>
        <family val="1"/>
      </rPr>
      <t xml:space="preserve">                         </t>
    </r>
    <r>
      <rPr>
        <sz val="10"/>
        <rFont val="宋体"/>
        <charset val="134"/>
      </rPr>
      <t>GB/T1804-1992</t>
    </r>
  </si>
  <si>
    <t>线性尺寸的极限偏差</t>
  </si>
  <si>
    <t>倒圆半径与倒角高度尺寸的极限偏差数值</t>
  </si>
  <si>
    <r>
      <rPr>
        <sz val="10"/>
        <rFont val="宋体"/>
        <charset val="134"/>
      </rPr>
      <t>尺</t>
    </r>
    <r>
      <rPr>
        <sz val="10"/>
        <rFont val="Times New Roman"/>
        <family val="1"/>
      </rPr>
      <t xml:space="preserve">          </t>
    </r>
    <r>
      <rPr>
        <sz val="10"/>
        <rFont val="宋体"/>
        <charset val="134"/>
      </rPr>
      <t>寸</t>
    </r>
    <r>
      <rPr>
        <sz val="10"/>
        <rFont val="Times New Roman"/>
        <family val="1"/>
      </rPr>
      <t xml:space="preserve">          </t>
    </r>
    <r>
      <rPr>
        <sz val="10"/>
        <rFont val="宋体"/>
        <charset val="134"/>
      </rPr>
      <t>分</t>
    </r>
    <r>
      <rPr>
        <sz val="10"/>
        <rFont val="Times New Roman"/>
        <family val="1"/>
      </rPr>
      <t xml:space="preserve">          </t>
    </r>
    <r>
      <rPr>
        <sz val="10"/>
        <rFont val="宋体"/>
        <charset val="134"/>
      </rPr>
      <t>段</t>
    </r>
  </si>
  <si>
    <t>0.5～3</t>
  </si>
  <si>
    <t>&gt;3～6</t>
  </si>
  <si>
    <t>&gt;6～30</t>
  </si>
  <si>
    <t>&gt;30～120</t>
  </si>
  <si>
    <t>&gt;120～400</t>
  </si>
  <si>
    <t>&gt;400～1000</t>
  </si>
  <si>
    <t>&gt;1000～2000</t>
  </si>
  <si>
    <t>&gt;2000～4000</t>
  </si>
  <si>
    <t>&gt;30</t>
  </si>
  <si>
    <t>f</t>
  </si>
  <si>
    <t>±0.05</t>
  </si>
  <si>
    <t>±0.1</t>
  </si>
  <si>
    <t>±0.15</t>
  </si>
  <si>
    <t>±0.2</t>
  </si>
  <si>
    <t>±0.3</t>
  </si>
  <si>
    <t>±0.5</t>
  </si>
  <si>
    <t>－</t>
  </si>
  <si>
    <t>±1</t>
  </si>
  <si>
    <t>±2</t>
  </si>
  <si>
    <t>±0.8</t>
  </si>
  <si>
    <t>±1.2</t>
  </si>
  <si>
    <t>±3</t>
  </si>
  <si>
    <t>±4</t>
  </si>
  <si>
    <t>±0.4</t>
  </si>
  <si>
    <t>v</t>
  </si>
  <si>
    <t>±1.5</t>
  </si>
  <si>
    <t>±2.5</t>
  </si>
  <si>
    <t>±6</t>
  </si>
  <si>
    <t>±8</t>
  </si>
  <si>
    <r>
      <rPr>
        <sz val="12"/>
        <rFont val="宋体"/>
        <charset val="134"/>
      </rPr>
      <t>量</t>
    </r>
    <r>
      <rPr>
        <sz val="12"/>
        <rFont val="Times New Roman"/>
        <family val="1"/>
      </rPr>
      <t xml:space="preserve">          </t>
    </r>
    <r>
      <rPr>
        <sz val="12"/>
        <rFont val="宋体"/>
        <charset val="134"/>
      </rPr>
      <t>规</t>
    </r>
    <r>
      <rPr>
        <sz val="12"/>
        <rFont val="Times New Roman"/>
        <family val="1"/>
      </rPr>
      <t xml:space="preserve">          </t>
    </r>
    <r>
      <rPr>
        <sz val="12"/>
        <rFont val="宋体"/>
        <charset val="134"/>
      </rPr>
      <t>的</t>
    </r>
    <r>
      <rPr>
        <sz val="12"/>
        <rFont val="Times New Roman"/>
        <family val="1"/>
      </rPr>
      <t xml:space="preserve">          </t>
    </r>
    <r>
      <rPr>
        <sz val="12"/>
        <rFont val="宋体"/>
        <charset val="134"/>
      </rPr>
      <t>公</t>
    </r>
    <r>
      <rPr>
        <sz val="12"/>
        <rFont val="Times New Roman"/>
        <family val="1"/>
      </rPr>
      <t xml:space="preserve">          </t>
    </r>
    <r>
      <rPr>
        <sz val="12"/>
        <rFont val="宋体"/>
        <charset val="134"/>
      </rPr>
      <t>差</t>
    </r>
  </si>
  <si>
    <r>
      <rPr>
        <sz val="12"/>
        <rFont val="宋体"/>
        <charset val="134"/>
      </rPr>
      <t>算</t>
    </r>
    <r>
      <rPr>
        <sz val="12"/>
        <rFont val="Times New Roman"/>
        <family val="1"/>
      </rPr>
      <t>T</t>
    </r>
  </si>
  <si>
    <r>
      <rPr>
        <sz val="12"/>
        <rFont val="宋体"/>
        <charset val="134"/>
      </rPr>
      <t>规</t>
    </r>
    <r>
      <rPr>
        <sz val="12"/>
        <rFont val="Times New Roman"/>
        <family val="1"/>
      </rPr>
      <t>T</t>
    </r>
  </si>
  <si>
    <r>
      <rPr>
        <sz val="12"/>
        <rFont val="宋体"/>
        <charset val="134"/>
      </rPr>
      <t>算</t>
    </r>
    <r>
      <rPr>
        <sz val="12"/>
        <rFont val="Times New Roman"/>
        <family val="1"/>
      </rPr>
      <t>Z</t>
    </r>
  </si>
  <si>
    <r>
      <rPr>
        <sz val="12"/>
        <rFont val="宋体"/>
        <charset val="134"/>
      </rPr>
      <t>规</t>
    </r>
    <r>
      <rPr>
        <sz val="12"/>
        <rFont val="Times New Roman"/>
        <family val="1"/>
      </rPr>
      <t>Z</t>
    </r>
  </si>
  <si>
    <r>
      <rPr>
        <sz val="12"/>
        <rFont val="Times New Roman"/>
        <family val="1"/>
      </rPr>
      <t>T</t>
    </r>
    <r>
      <rPr>
        <sz val="12"/>
        <rFont val="宋体"/>
        <charset val="134"/>
      </rPr>
      <t>基</t>
    </r>
  </si>
  <si>
    <t>設備開發    
 設計寶典</t>
  </si>
  <si>
    <t>設計篇之一般設計標准</t>
  </si>
  <si>
    <t>FOXCONN®</t>
  </si>
  <si>
    <r>
      <rPr>
        <sz val="10"/>
        <rFont val="新細明體"/>
        <family val="1"/>
      </rPr>
      <t>共</t>
    </r>
    <r>
      <rPr>
        <sz val="10"/>
        <rFont val="Times New Roman"/>
        <family val="1"/>
      </rPr>
      <t>1</t>
    </r>
    <r>
      <rPr>
        <sz val="10"/>
        <rFont val="新細明體"/>
        <family val="1"/>
      </rPr>
      <t>頁</t>
    </r>
  </si>
  <si>
    <r>
      <rPr>
        <sz val="10"/>
        <rFont val="新細明體"/>
        <family val="1"/>
      </rPr>
      <t>第</t>
    </r>
    <r>
      <rPr>
        <sz val="10"/>
        <rFont val="Times New Roman"/>
        <family val="1"/>
      </rPr>
      <t>1</t>
    </r>
    <r>
      <rPr>
        <sz val="10"/>
        <rFont val="新細明體"/>
        <family val="1"/>
      </rPr>
      <t>頁</t>
    </r>
  </si>
  <si>
    <r>
      <rPr>
        <sz val="10"/>
        <rFont val="Times New Roman"/>
        <family val="1"/>
      </rPr>
      <t>1.2.9</t>
    </r>
    <r>
      <rPr>
        <sz val="10"/>
        <rFont val="新細明體"/>
        <family val="1"/>
      </rPr>
      <t>沉孔尺寸</t>
    </r>
  </si>
  <si>
    <t>普通機床沉孔尺寸</t>
  </si>
  <si>
    <t>公制螺紋的公稱直徑</t>
  </si>
  <si>
    <t>通道的鑽孔直徑</t>
  </si>
  <si>
    <t>用于
螺栓
和帶
有彈
簧墊
圈的
六角
頭螺
栓</t>
  </si>
  <si>
    <t>h</t>
  </si>
  <si>
    <t>用于螺母和帶有彈簧墊圈的螺母</t>
  </si>
  <si>
    <t>用于
墊圈</t>
  </si>
  <si>
    <r>
      <rPr>
        <sz val="10"/>
        <rFont val="Times New Roman"/>
        <family val="1"/>
      </rPr>
      <t>4</t>
    </r>
    <r>
      <rPr>
        <vertAlign val="superscript"/>
        <sz val="10"/>
        <rFont val="Times New Roman"/>
        <family val="1"/>
      </rPr>
      <t>+0.4</t>
    </r>
  </si>
  <si>
    <r>
      <rPr>
        <sz val="10"/>
        <rFont val="Times New Roman"/>
        <family val="1"/>
      </rPr>
      <t>5</t>
    </r>
    <r>
      <rPr>
        <vertAlign val="superscript"/>
        <sz val="10"/>
        <rFont val="Times New Roman"/>
        <family val="1"/>
      </rPr>
      <t>+0.4</t>
    </r>
  </si>
  <si>
    <r>
      <rPr>
        <sz val="10"/>
        <rFont val="Times New Roman"/>
        <family val="1"/>
      </rPr>
      <t>6</t>
    </r>
    <r>
      <rPr>
        <vertAlign val="superscript"/>
        <sz val="10"/>
        <rFont val="Times New Roman"/>
        <family val="1"/>
      </rPr>
      <t>+0.4</t>
    </r>
  </si>
  <si>
    <r>
      <rPr>
        <sz val="10"/>
        <rFont val="Times New Roman"/>
        <family val="1"/>
      </rPr>
      <t>8</t>
    </r>
    <r>
      <rPr>
        <vertAlign val="superscript"/>
        <sz val="10"/>
        <rFont val="Times New Roman"/>
        <family val="1"/>
      </rPr>
      <t>+0.5</t>
    </r>
  </si>
  <si>
    <r>
      <rPr>
        <sz val="10"/>
        <rFont val="Times New Roman"/>
        <family val="1"/>
      </rPr>
      <t>10</t>
    </r>
    <r>
      <rPr>
        <vertAlign val="superscript"/>
        <sz val="10"/>
        <rFont val="Times New Roman"/>
        <family val="1"/>
      </rPr>
      <t>+0.5</t>
    </r>
  </si>
  <si>
    <r>
      <rPr>
        <sz val="10"/>
        <rFont val="Times New Roman"/>
        <family val="1"/>
      </rPr>
      <t>12</t>
    </r>
    <r>
      <rPr>
        <vertAlign val="superscript"/>
        <sz val="10"/>
        <rFont val="Times New Roman"/>
        <family val="1"/>
      </rPr>
      <t>+0.6</t>
    </r>
  </si>
  <si>
    <r>
      <rPr>
        <sz val="10"/>
        <rFont val="Times New Roman"/>
        <family val="1"/>
      </rPr>
      <t>16</t>
    </r>
    <r>
      <rPr>
        <vertAlign val="superscript"/>
        <sz val="10"/>
        <rFont val="Times New Roman"/>
        <family val="1"/>
      </rPr>
      <t>+0.6</t>
    </r>
  </si>
  <si>
    <r>
      <rPr>
        <sz val="10"/>
        <rFont val="Times New Roman"/>
        <family val="1"/>
      </rPr>
      <t>20</t>
    </r>
    <r>
      <rPr>
        <vertAlign val="superscript"/>
        <sz val="10"/>
        <rFont val="Times New Roman"/>
        <family val="1"/>
      </rPr>
      <t>+0.7</t>
    </r>
  </si>
  <si>
    <r>
      <rPr>
        <sz val="10"/>
        <rFont val="Times New Roman"/>
        <family val="1"/>
      </rPr>
      <t>24</t>
    </r>
    <r>
      <rPr>
        <vertAlign val="superscript"/>
        <sz val="10"/>
        <rFont val="Times New Roman"/>
        <family val="1"/>
      </rPr>
      <t>+0.7</t>
    </r>
  </si>
  <si>
    <r>
      <rPr>
        <sz val="10"/>
        <rFont val="Times New Roman"/>
        <family val="1"/>
      </rPr>
      <t>30</t>
    </r>
    <r>
      <rPr>
        <vertAlign val="superscript"/>
        <sz val="10"/>
        <rFont val="Times New Roman"/>
        <family val="1"/>
      </rPr>
      <t>+0.7</t>
    </r>
  </si>
  <si>
    <r>
      <rPr>
        <sz val="10"/>
        <rFont val="Times New Roman"/>
        <family val="1"/>
      </rPr>
      <t>36</t>
    </r>
    <r>
      <rPr>
        <vertAlign val="superscript"/>
        <sz val="10"/>
        <rFont val="Times New Roman"/>
        <family val="1"/>
      </rPr>
      <t>+0.8</t>
    </r>
  </si>
  <si>
    <r>
      <rPr>
        <sz val="10"/>
        <rFont val="Times New Roman"/>
        <family val="1"/>
      </rPr>
      <t>42</t>
    </r>
    <r>
      <rPr>
        <vertAlign val="superscript"/>
        <sz val="10"/>
        <rFont val="Times New Roman"/>
        <family val="1"/>
      </rPr>
      <t>+0.8</t>
    </r>
  </si>
  <si>
    <r>
      <rPr>
        <sz val="10"/>
        <rFont val="Times New Roman"/>
        <family val="1"/>
      </rPr>
      <t>4.5</t>
    </r>
    <r>
      <rPr>
        <vertAlign val="superscript"/>
        <sz val="10"/>
        <rFont val="Times New Roman"/>
        <family val="1"/>
      </rPr>
      <t>+0.4</t>
    </r>
  </si>
  <si>
    <r>
      <rPr>
        <sz val="10"/>
        <rFont val="Times New Roman"/>
        <family val="1"/>
      </rPr>
      <t>7</t>
    </r>
    <r>
      <rPr>
        <vertAlign val="superscript"/>
        <sz val="10"/>
        <rFont val="Times New Roman"/>
        <family val="1"/>
      </rPr>
      <t>+0.4</t>
    </r>
  </si>
  <si>
    <r>
      <rPr>
        <sz val="10"/>
        <rFont val="Times New Roman"/>
        <family val="1"/>
      </rPr>
      <t>9</t>
    </r>
    <r>
      <rPr>
        <vertAlign val="superscript"/>
        <sz val="10"/>
        <rFont val="Times New Roman"/>
        <family val="1"/>
      </rPr>
      <t>+0.5</t>
    </r>
  </si>
  <si>
    <r>
      <rPr>
        <sz val="10"/>
        <rFont val="Times New Roman"/>
        <family val="1"/>
      </rPr>
      <t>11</t>
    </r>
    <r>
      <rPr>
        <vertAlign val="superscript"/>
        <sz val="10"/>
        <rFont val="Times New Roman"/>
        <family val="1"/>
      </rPr>
      <t>+0.5</t>
    </r>
  </si>
  <si>
    <r>
      <rPr>
        <sz val="10"/>
        <rFont val="Times New Roman"/>
        <family val="1"/>
      </rPr>
      <t>13</t>
    </r>
    <r>
      <rPr>
        <vertAlign val="superscript"/>
        <sz val="10"/>
        <rFont val="Times New Roman"/>
        <family val="1"/>
      </rPr>
      <t>+0.6</t>
    </r>
  </si>
  <si>
    <r>
      <rPr>
        <sz val="10"/>
        <rFont val="Times New Roman"/>
        <family val="1"/>
      </rPr>
      <t>17</t>
    </r>
    <r>
      <rPr>
        <vertAlign val="superscript"/>
        <sz val="10"/>
        <rFont val="Times New Roman"/>
        <family val="1"/>
      </rPr>
      <t>+0.6</t>
    </r>
  </si>
  <si>
    <r>
      <rPr>
        <sz val="10"/>
        <rFont val="Times New Roman"/>
        <family val="1"/>
      </rPr>
      <t>21</t>
    </r>
    <r>
      <rPr>
        <vertAlign val="superscript"/>
        <sz val="10"/>
        <rFont val="Times New Roman"/>
        <family val="1"/>
      </rPr>
      <t>+0.7</t>
    </r>
  </si>
  <si>
    <r>
      <rPr>
        <sz val="10"/>
        <rFont val="Times New Roman"/>
        <family val="1"/>
      </rPr>
      <t>25</t>
    </r>
    <r>
      <rPr>
        <vertAlign val="superscript"/>
        <sz val="10"/>
        <rFont val="Times New Roman"/>
        <family val="1"/>
      </rPr>
      <t>+0.7</t>
    </r>
  </si>
  <si>
    <r>
      <rPr>
        <sz val="10"/>
        <rFont val="Times New Roman"/>
        <family val="1"/>
      </rPr>
      <t>31</t>
    </r>
    <r>
      <rPr>
        <vertAlign val="superscript"/>
        <sz val="10"/>
        <rFont val="Times New Roman"/>
        <family val="1"/>
      </rPr>
      <t>+0.7</t>
    </r>
  </si>
  <si>
    <r>
      <rPr>
        <sz val="10"/>
        <rFont val="Times New Roman"/>
        <family val="1"/>
      </rPr>
      <t>37</t>
    </r>
    <r>
      <rPr>
        <vertAlign val="superscript"/>
        <sz val="10"/>
        <rFont val="Times New Roman"/>
        <family val="1"/>
      </rPr>
      <t>+0.8</t>
    </r>
  </si>
  <si>
    <r>
      <rPr>
        <sz val="10"/>
        <rFont val="Times New Roman"/>
        <family val="1"/>
      </rPr>
      <t>43</t>
    </r>
    <r>
      <rPr>
        <vertAlign val="superscript"/>
        <sz val="10"/>
        <rFont val="Times New Roman"/>
        <family val="1"/>
      </rPr>
      <t>+0.8</t>
    </r>
  </si>
  <si>
    <t>用于
螺釘</t>
  </si>
  <si>
    <r>
      <rPr>
        <sz val="10"/>
        <rFont val="Times New Roman"/>
        <family val="1"/>
      </rPr>
      <t>0.8</t>
    </r>
    <r>
      <rPr>
        <vertAlign val="superscript"/>
        <sz val="10"/>
        <rFont val="Times New Roman"/>
        <family val="1"/>
      </rPr>
      <t>+0.2</t>
    </r>
  </si>
  <si>
    <r>
      <rPr>
        <sz val="10"/>
        <rFont val="Times New Roman"/>
        <family val="1"/>
      </rPr>
      <t>1.2</t>
    </r>
    <r>
      <rPr>
        <vertAlign val="superscript"/>
        <sz val="10"/>
        <rFont val="Times New Roman"/>
        <family val="1"/>
      </rPr>
      <t>+0.2</t>
    </r>
  </si>
  <si>
    <r>
      <rPr>
        <sz val="10"/>
        <rFont val="Times New Roman"/>
        <family val="1"/>
      </rPr>
      <t>1.4</t>
    </r>
    <r>
      <rPr>
        <vertAlign val="superscript"/>
        <sz val="10"/>
        <rFont val="Times New Roman"/>
        <family val="1"/>
      </rPr>
      <t>+0.2</t>
    </r>
  </si>
  <si>
    <r>
      <rPr>
        <sz val="10"/>
        <rFont val="Times New Roman"/>
        <family val="1"/>
      </rPr>
      <t>1.7</t>
    </r>
    <r>
      <rPr>
        <vertAlign val="superscript"/>
        <sz val="10"/>
        <rFont val="Times New Roman"/>
        <family val="1"/>
      </rPr>
      <t>+0.2</t>
    </r>
  </si>
  <si>
    <r>
      <rPr>
        <sz val="10"/>
        <rFont val="Times New Roman"/>
        <family val="1"/>
      </rPr>
      <t>2</t>
    </r>
    <r>
      <rPr>
        <vertAlign val="superscript"/>
        <sz val="10"/>
        <rFont val="Times New Roman"/>
        <family val="1"/>
      </rPr>
      <t>+0.3</t>
    </r>
  </si>
  <si>
    <t>2.5+0.3</t>
  </si>
  <si>
    <r>
      <rPr>
        <sz val="10"/>
        <rFont val="Times New Roman"/>
        <family val="1"/>
      </rPr>
      <t>3</t>
    </r>
    <r>
      <rPr>
        <vertAlign val="superscript"/>
        <sz val="10"/>
        <rFont val="Times New Roman"/>
        <family val="1"/>
      </rPr>
      <t>+0.3</t>
    </r>
  </si>
  <si>
    <r>
      <rPr>
        <sz val="10"/>
        <rFont val="Times New Roman"/>
        <family val="1"/>
      </rPr>
      <t>3.5</t>
    </r>
    <r>
      <rPr>
        <vertAlign val="superscript"/>
        <sz val="10"/>
        <rFont val="Times New Roman"/>
        <family val="1"/>
      </rPr>
      <t>+0.4</t>
    </r>
  </si>
  <si>
    <r>
      <rPr>
        <sz val="10"/>
        <rFont val="Times New Roman"/>
        <family val="1"/>
      </rPr>
      <t>7</t>
    </r>
    <r>
      <rPr>
        <vertAlign val="superscript"/>
        <sz val="10"/>
        <rFont val="Times New Roman"/>
        <family val="1"/>
      </rPr>
      <t>+0.5</t>
    </r>
  </si>
  <si>
    <r>
      <rPr>
        <sz val="10"/>
        <rFont val="Times New Roman"/>
        <family val="1"/>
      </rPr>
      <t>11</t>
    </r>
    <r>
      <rPr>
        <vertAlign val="superscript"/>
        <sz val="10"/>
        <rFont val="Times New Roman"/>
        <family val="1"/>
      </rPr>
      <t>+0.6</t>
    </r>
  </si>
  <si>
    <r>
      <rPr>
        <sz val="10"/>
        <rFont val="Times New Roman"/>
        <family val="1"/>
      </rPr>
      <t>H</t>
    </r>
    <r>
      <rPr>
        <vertAlign val="subscript"/>
        <sz val="10"/>
        <rFont val="Times New Roman"/>
        <family val="1"/>
      </rPr>
      <t>1</t>
    </r>
  </si>
  <si>
    <r>
      <rPr>
        <sz val="10"/>
        <rFont val="Times New Roman"/>
        <family val="1"/>
      </rPr>
      <t>1</t>
    </r>
    <r>
      <rPr>
        <vertAlign val="superscript"/>
        <sz val="10"/>
        <rFont val="Times New Roman"/>
        <family val="1"/>
      </rPr>
      <t>+0.2</t>
    </r>
  </si>
  <si>
    <r>
      <rPr>
        <sz val="10"/>
        <rFont val="Times New Roman"/>
        <family val="1"/>
      </rPr>
      <t>1.5</t>
    </r>
    <r>
      <rPr>
        <vertAlign val="superscript"/>
        <sz val="10"/>
        <rFont val="Times New Roman"/>
        <family val="1"/>
      </rPr>
      <t>+0.2</t>
    </r>
  </si>
  <si>
    <r>
      <rPr>
        <sz val="10"/>
        <rFont val="Times New Roman"/>
        <family val="1"/>
      </rPr>
      <t>2</t>
    </r>
    <r>
      <rPr>
        <vertAlign val="superscript"/>
        <sz val="10"/>
        <rFont val="Times New Roman"/>
        <family val="1"/>
      </rPr>
      <t>+0.2</t>
    </r>
  </si>
  <si>
    <r>
      <rPr>
        <sz val="10"/>
        <rFont val="Times New Roman"/>
        <family val="1"/>
      </rPr>
      <t>2.5</t>
    </r>
    <r>
      <rPr>
        <vertAlign val="superscript"/>
        <sz val="10"/>
        <rFont val="Times New Roman"/>
        <family val="1"/>
      </rPr>
      <t>+0.2</t>
    </r>
  </si>
  <si>
    <r>
      <rPr>
        <sz val="10"/>
        <rFont val="Times New Roman"/>
        <family val="1"/>
      </rPr>
      <t>3.5</t>
    </r>
    <r>
      <rPr>
        <vertAlign val="superscript"/>
        <sz val="10"/>
        <rFont val="Times New Roman"/>
        <family val="1"/>
      </rPr>
      <t>+0.3</t>
    </r>
  </si>
  <si>
    <t>6+0.4</t>
  </si>
  <si>
    <r>
      <rPr>
        <sz val="10"/>
        <rFont val="Times New Roman"/>
        <family val="1"/>
      </rPr>
      <t>0.7</t>
    </r>
    <r>
      <rPr>
        <vertAlign val="superscript"/>
        <sz val="10"/>
        <rFont val="Times New Roman"/>
        <family val="1"/>
      </rPr>
      <t>+0.3</t>
    </r>
  </si>
  <si>
    <r>
      <rPr>
        <sz val="10"/>
        <rFont val="Times New Roman"/>
        <family val="1"/>
      </rPr>
      <t>1</t>
    </r>
    <r>
      <rPr>
        <vertAlign val="superscript"/>
        <sz val="10"/>
        <rFont val="Times New Roman"/>
        <family val="1"/>
      </rPr>
      <t>+0.4</t>
    </r>
  </si>
  <si>
    <r>
      <rPr>
        <sz val="10"/>
        <rFont val="Times New Roman"/>
        <family val="1"/>
      </rPr>
      <t>1.2</t>
    </r>
    <r>
      <rPr>
        <vertAlign val="superscript"/>
        <sz val="10"/>
        <rFont val="Times New Roman"/>
        <family val="1"/>
      </rPr>
      <t>+0.4</t>
    </r>
  </si>
  <si>
    <r>
      <rPr>
        <sz val="10"/>
        <rFont val="Times New Roman"/>
        <family val="1"/>
      </rPr>
      <t>1.4</t>
    </r>
    <r>
      <rPr>
        <vertAlign val="superscript"/>
        <sz val="10"/>
        <rFont val="Times New Roman"/>
        <family val="1"/>
      </rPr>
      <t>+0.4</t>
    </r>
  </si>
  <si>
    <r>
      <rPr>
        <sz val="10"/>
        <rFont val="Times New Roman"/>
        <family val="1"/>
      </rPr>
      <t>1.6</t>
    </r>
    <r>
      <rPr>
        <vertAlign val="superscript"/>
        <sz val="10"/>
        <rFont val="Times New Roman"/>
        <family val="1"/>
      </rPr>
      <t>+0.4</t>
    </r>
  </si>
  <si>
    <r>
      <rPr>
        <sz val="10"/>
        <rFont val="Times New Roman"/>
        <family val="1"/>
      </rPr>
      <t>2</t>
    </r>
    <r>
      <rPr>
        <vertAlign val="superscript"/>
        <sz val="10"/>
        <rFont val="Times New Roman"/>
        <family val="1"/>
      </rPr>
      <t>+0.4</t>
    </r>
  </si>
  <si>
    <r>
      <rPr>
        <sz val="10"/>
        <rFont val="Times New Roman"/>
        <family val="1"/>
      </rPr>
      <t>2.5</t>
    </r>
    <r>
      <rPr>
        <vertAlign val="superscript"/>
        <sz val="10"/>
        <rFont val="Times New Roman"/>
        <family val="1"/>
      </rPr>
      <t>+0.4</t>
    </r>
  </si>
  <si>
    <r>
      <rPr>
        <sz val="10"/>
        <rFont val="Times New Roman"/>
        <family val="1"/>
      </rPr>
      <t>3</t>
    </r>
    <r>
      <rPr>
        <vertAlign val="superscript"/>
        <sz val="10"/>
        <rFont val="Times New Roman"/>
        <family val="1"/>
      </rPr>
      <t>+0.4</t>
    </r>
  </si>
  <si>
    <r>
      <rPr>
        <sz val="10"/>
        <rFont val="Times New Roman"/>
        <family val="1"/>
      </rPr>
      <t>4.8</t>
    </r>
    <r>
      <rPr>
        <vertAlign val="superscript"/>
        <sz val="10"/>
        <rFont val="Times New Roman"/>
        <family val="1"/>
      </rPr>
      <t>+0.5</t>
    </r>
  </si>
  <si>
    <r>
      <rPr>
        <sz val="10"/>
        <rFont val="Times New Roman"/>
        <family val="1"/>
      </rPr>
      <t>5.6</t>
    </r>
    <r>
      <rPr>
        <vertAlign val="superscript"/>
        <sz val="10"/>
        <rFont val="Times New Roman"/>
        <family val="1"/>
      </rPr>
      <t>+0.6</t>
    </r>
  </si>
  <si>
    <r>
      <rPr>
        <sz val="10"/>
        <rFont val="Times New Roman"/>
        <family val="1"/>
      </rPr>
      <t>7</t>
    </r>
    <r>
      <rPr>
        <vertAlign val="superscript"/>
        <sz val="10"/>
        <rFont val="Times New Roman"/>
        <family val="1"/>
      </rPr>
      <t>+0.6</t>
    </r>
  </si>
  <si>
    <r>
      <rPr>
        <sz val="10"/>
        <rFont val="Times New Roman"/>
        <family val="1"/>
      </rPr>
      <t>9</t>
    </r>
    <r>
      <rPr>
        <vertAlign val="superscript"/>
        <sz val="10"/>
        <rFont val="Times New Roman"/>
        <family val="1"/>
      </rPr>
      <t>+0.6</t>
    </r>
  </si>
  <si>
    <r>
      <rPr>
        <sz val="12"/>
        <rFont val="標楷體"/>
        <charset val="134"/>
      </rPr>
      <t>根</t>
    </r>
    <r>
      <rPr>
        <sz val="12"/>
        <rFont val="Times New Roman"/>
        <family val="1"/>
      </rPr>
      <t xml:space="preserve">                                 </t>
    </r>
    <r>
      <rPr>
        <sz val="12"/>
        <rFont val="標楷體"/>
        <charset val="134"/>
      </rPr>
      <t>據</t>
    </r>
  </si>
  <si>
    <r>
      <rPr>
        <sz val="12"/>
        <rFont val="標楷體"/>
        <charset val="134"/>
      </rPr>
      <t>編</t>
    </r>
    <r>
      <rPr>
        <sz val="12"/>
        <rFont val="Times New Roman"/>
        <family val="1"/>
      </rPr>
      <t xml:space="preserve">     </t>
    </r>
    <r>
      <rPr>
        <sz val="12"/>
        <rFont val="標楷體"/>
        <charset val="134"/>
      </rPr>
      <t>制</t>
    </r>
  </si>
  <si>
    <t>實施日期</t>
  </si>
  <si>
    <r>
      <rPr>
        <sz val="12"/>
        <rFont val="標楷體"/>
        <charset val="134"/>
      </rPr>
      <t>核</t>
    </r>
    <r>
      <rPr>
        <sz val="12"/>
        <rFont val="Times New Roman"/>
        <family val="1"/>
      </rPr>
      <t xml:space="preserve">                           </t>
    </r>
    <r>
      <rPr>
        <sz val="12"/>
        <rFont val="標楷體"/>
        <charset val="134"/>
      </rPr>
      <t>準</t>
    </r>
  </si>
  <si>
    <t>(GB152-59</t>
  </si>
  <si>
    <t>版次</t>
  </si>
  <si>
    <t>日期</t>
  </si>
  <si>
    <t>MSBG設備開發    
 設計實用手冊</t>
  </si>
  <si>
    <t>緊固螺釘的旋入深度及螺孔底孔深度</t>
  </si>
  <si>
    <r>
      <rPr>
        <sz val="10"/>
        <rFont val="Times New Roman"/>
        <family val="1"/>
      </rPr>
      <t>1.2.12</t>
    </r>
    <r>
      <rPr>
        <sz val="10"/>
        <rFont val="細明體"/>
        <charset val="134"/>
      </rPr>
      <t>緊固螺釘的旋入深度及螺孔底孔深度</t>
    </r>
  </si>
  <si>
    <r>
      <rPr>
        <sz val="10"/>
        <rFont val="新細明體"/>
        <family val="1"/>
      </rPr>
      <t>粗牙螺紋公稱直徑</t>
    </r>
    <r>
      <rPr>
        <sz val="10"/>
        <rFont val="Times New Roman"/>
        <family val="1"/>
      </rPr>
      <t>d</t>
    </r>
  </si>
  <si>
    <r>
      <rPr>
        <sz val="10"/>
        <rFont val="新細明體"/>
        <family val="1"/>
      </rPr>
      <t xml:space="preserve">螺距
</t>
    </r>
    <r>
      <rPr>
        <sz val="10"/>
        <rFont val="Times New Roman"/>
        <family val="1"/>
      </rPr>
      <t>S</t>
    </r>
  </si>
  <si>
    <t>用于青銅</t>
  </si>
  <si>
    <t>用于鑄鐵</t>
  </si>
  <si>
    <t>用于鋁</t>
  </si>
  <si>
    <t>M4</t>
  </si>
  <si>
    <t>M5</t>
  </si>
  <si>
    <t>M6</t>
  </si>
  <si>
    <t>M8</t>
  </si>
  <si>
    <t>M10</t>
  </si>
  <si>
    <t>M12</t>
  </si>
  <si>
    <t>M14</t>
  </si>
  <si>
    <t>M16</t>
  </si>
  <si>
    <t>M18</t>
  </si>
  <si>
    <t>M20</t>
  </si>
  <si>
    <t>M22</t>
  </si>
  <si>
    <t>M24</t>
  </si>
  <si>
    <t>M27</t>
  </si>
  <si>
    <t>M30</t>
  </si>
  <si>
    <t>M36</t>
  </si>
  <si>
    <t>M48</t>
  </si>
  <si>
    <r>
      <rPr>
        <sz val="10"/>
        <rFont val="Times New Roman"/>
        <family val="1"/>
      </rPr>
      <t xml:space="preserve">1.      </t>
    </r>
    <r>
      <rPr>
        <sz val="10"/>
        <rFont val="新細明體"/>
        <family val="1"/>
      </rPr>
      <t>為緊固螺釘旋入深度，</t>
    </r>
    <r>
      <rPr>
        <sz val="10"/>
        <rFont val="Times New Roman"/>
        <family val="1"/>
      </rPr>
      <t xml:space="preserve">    </t>
    </r>
    <r>
      <rPr>
        <sz val="10"/>
        <rFont val="新細明體"/>
        <family val="1"/>
      </rPr>
      <t xml:space="preserve">為螺孔的有效深度（圖樣上注出的螺紋深度）。
</t>
    </r>
    <r>
      <rPr>
        <sz val="10"/>
        <rFont val="Times New Roman"/>
        <family val="1"/>
      </rPr>
      <t>2.</t>
    </r>
    <r>
      <rPr>
        <sz val="10"/>
        <rFont val="新細明體"/>
        <family val="1"/>
      </rPr>
      <t>鑽孔深度</t>
    </r>
    <r>
      <rPr>
        <sz val="10"/>
        <rFont val="Times New Roman"/>
        <family val="1"/>
      </rPr>
      <t xml:space="preserve">     </t>
    </r>
    <r>
      <rPr>
        <sz val="10"/>
        <rFont val="新細明體"/>
        <family val="1"/>
      </rPr>
      <t xml:space="preserve">由工藝規定，螺孔不允許穿透時應在圖樣上注出“不許穿透”的字樣。
</t>
    </r>
    <r>
      <rPr>
        <sz val="10"/>
        <rFont val="Times New Roman"/>
        <family val="1"/>
      </rPr>
      <t>3.</t>
    </r>
    <r>
      <rPr>
        <sz val="10"/>
        <rFont val="新細明體"/>
        <family val="1"/>
      </rPr>
      <t>細牙普通螺紋應按其螺距選用。</t>
    </r>
  </si>
  <si>
    <t>(GB3-58)</t>
  </si>
  <si>
    <t>扳手空間尺寸</t>
  </si>
  <si>
    <r>
      <rPr>
        <sz val="10"/>
        <rFont val="Times New Roman"/>
        <family val="1"/>
      </rPr>
      <t>1.2.11</t>
    </r>
    <r>
      <rPr>
        <sz val="10"/>
        <rFont val="細明體"/>
        <charset val="134"/>
      </rPr>
      <t>扳手空間尺寸</t>
    </r>
  </si>
  <si>
    <t>六角螺母</t>
  </si>
  <si>
    <t>六角螺栓</t>
  </si>
  <si>
    <t>扳手尺寸</t>
  </si>
  <si>
    <r>
      <rPr>
        <sz val="10"/>
        <rFont val="新細明體"/>
        <family val="1"/>
      </rPr>
      <t>螺紋直徑</t>
    </r>
    <r>
      <rPr>
        <sz val="12"/>
        <rFont val="Times New Roman"/>
        <family val="1"/>
      </rPr>
      <t>d</t>
    </r>
  </si>
  <si>
    <t>最大</t>
  </si>
  <si>
    <t>最小</t>
  </si>
  <si>
    <t>(GC116-60)</t>
  </si>
  <si>
    <t>T形槽尺寸</t>
  </si>
  <si>
    <r>
      <rPr>
        <sz val="10"/>
        <rFont val="新細明體"/>
        <family val="1"/>
      </rPr>
      <t>共</t>
    </r>
    <r>
      <rPr>
        <sz val="10"/>
        <rFont val="Times New Roman"/>
        <family val="1"/>
      </rPr>
      <t>3</t>
    </r>
    <r>
      <rPr>
        <sz val="10"/>
        <rFont val="新細明體"/>
        <family val="1"/>
      </rPr>
      <t>頁</t>
    </r>
  </si>
  <si>
    <r>
      <rPr>
        <sz val="10"/>
        <rFont val="Times New Roman"/>
        <family val="1"/>
      </rPr>
      <t>1.2.10  T</t>
    </r>
    <r>
      <rPr>
        <sz val="10"/>
        <rFont val="新細明體"/>
        <family val="1"/>
      </rPr>
      <t>形槽尺寸</t>
    </r>
  </si>
  <si>
    <r>
      <rPr>
        <sz val="10"/>
        <rFont val="細明體"/>
        <charset val="134"/>
      </rPr>
      <t>表</t>
    </r>
    <r>
      <rPr>
        <sz val="10"/>
        <rFont val="Times New Roman"/>
        <family val="1"/>
      </rPr>
      <t>1   T</t>
    </r>
    <r>
      <rPr>
        <sz val="10"/>
        <rFont val="細明體"/>
        <charset val="134"/>
      </rPr>
      <t>形槽</t>
    </r>
    <r>
      <rPr>
        <sz val="10"/>
        <rFont val="Times New Roman"/>
        <family val="1"/>
      </rPr>
      <t xml:space="preserve">      (mm)</t>
    </r>
  </si>
  <si>
    <r>
      <rPr>
        <sz val="10"/>
        <rFont val="Times New Roman"/>
        <family val="1"/>
      </rPr>
      <t>E,F</t>
    </r>
    <r>
      <rPr>
        <sz val="10"/>
        <rFont val="新細明體"/>
        <family val="1"/>
      </rPr>
      <t>和</t>
    </r>
    <r>
      <rPr>
        <sz val="10"/>
        <rFont val="Times New Roman"/>
        <family val="1"/>
      </rPr>
      <t>G</t>
    </r>
    <r>
      <rPr>
        <sz val="10"/>
        <rFont val="新細明體"/>
        <family val="1"/>
      </rPr>
      <t>刀</t>
    </r>
    <r>
      <rPr>
        <sz val="10"/>
        <rFont val="Times New Roman"/>
        <family val="1"/>
      </rPr>
      <t>45</t>
    </r>
    <r>
      <rPr>
        <sz val="10"/>
        <rFont val="新細明體"/>
        <family val="1"/>
      </rPr>
      <t>度角或倒圓</t>
    </r>
  </si>
  <si>
    <t>T形槽</t>
  </si>
  <si>
    <t>螺栓頭部</t>
  </si>
  <si>
    <t>基本
尺寸</t>
  </si>
  <si>
    <t>最小
尺寸</t>
  </si>
  <si>
    <t>最大
尺寸</t>
  </si>
  <si>
    <t>公稱
尺寸</t>
  </si>
  <si>
    <t>(GB/T158-1996)</t>
  </si>
  <si>
    <r>
      <rPr>
        <sz val="10"/>
        <rFont val="新細明體"/>
        <family val="1"/>
      </rPr>
      <t>第</t>
    </r>
    <r>
      <rPr>
        <sz val="10"/>
        <rFont val="Times New Roman"/>
        <family val="1"/>
      </rPr>
      <t>2</t>
    </r>
    <r>
      <rPr>
        <sz val="10"/>
        <rFont val="新細明體"/>
        <family val="1"/>
      </rPr>
      <t>頁</t>
    </r>
  </si>
  <si>
    <r>
      <rPr>
        <sz val="10"/>
        <rFont val="新細明體"/>
        <family val="1"/>
      </rPr>
      <t>表</t>
    </r>
    <r>
      <rPr>
        <sz val="10"/>
        <rFont val="Times New Roman"/>
        <family val="1"/>
      </rPr>
      <t>2    T</t>
    </r>
    <r>
      <rPr>
        <sz val="10"/>
        <rFont val="新細明體"/>
        <family val="1"/>
      </rPr>
      <t>型槽間距尺寸</t>
    </r>
    <r>
      <rPr>
        <sz val="10"/>
        <rFont val="Times New Roman"/>
        <family val="1"/>
      </rPr>
      <t xml:space="preserve">        (mm)</t>
    </r>
  </si>
  <si>
    <r>
      <rPr>
        <sz val="10"/>
        <rFont val="新細明體"/>
        <family val="1"/>
      </rPr>
      <t>注：</t>
    </r>
    <r>
      <rPr>
        <sz val="10"/>
        <rFont val="Times New Roman"/>
        <family val="1"/>
      </rPr>
      <t>T</t>
    </r>
    <r>
      <rPr>
        <sz val="10"/>
        <rFont val="新細明體"/>
        <family val="1"/>
      </rPr>
      <t>形槽間距</t>
    </r>
    <r>
      <rPr>
        <sz val="10"/>
        <rFont val="Times New Roman"/>
        <family val="1"/>
      </rPr>
      <t>p</t>
    </r>
    <r>
      <rPr>
        <sz val="10"/>
        <rFont val="新細明體"/>
        <family val="1"/>
      </rPr>
      <t>欄中，括號內的數值與</t>
    </r>
    <r>
      <rPr>
        <sz val="10"/>
        <rFont val="Times New Roman"/>
        <family val="1"/>
      </rPr>
      <t>T</t>
    </r>
    <r>
      <rPr>
        <sz val="10"/>
        <rFont val="新細明體"/>
        <family val="1"/>
      </rPr>
      <t>形槽槽底寬度最大值之差值，可能較小，應避免使用。
相對於每個</t>
    </r>
    <r>
      <rPr>
        <sz val="10"/>
        <rFont val="Times New Roman"/>
        <family val="1"/>
      </rPr>
      <t>T</t>
    </r>
    <r>
      <rPr>
        <sz val="10"/>
        <rFont val="新細明體"/>
        <family val="1"/>
      </rPr>
      <t>形槽寬度，表</t>
    </r>
    <r>
      <rPr>
        <sz val="10"/>
        <rFont val="Times New Roman"/>
        <family val="1"/>
      </rPr>
      <t>2</t>
    </r>
    <r>
      <rPr>
        <sz val="10"/>
        <rFont val="新細明體"/>
        <family val="1"/>
      </rPr>
      <t>中給出三個間距，應根據使用需要條件選擇</t>
    </r>
    <r>
      <rPr>
        <sz val="10"/>
        <rFont val="Times New Roman"/>
        <family val="1"/>
      </rPr>
      <t>T</t>
    </r>
    <r>
      <rPr>
        <sz val="10"/>
        <rFont val="新細明體"/>
        <family val="1"/>
      </rPr>
      <t xml:space="preserve">形槽間距。特殊情況需採用其他尺寸間距時，則應符合下列原則：
</t>
    </r>
    <r>
      <rPr>
        <sz val="10"/>
        <rFont val="Times New Roman"/>
        <family val="1"/>
      </rPr>
      <t xml:space="preserve">         1</t>
    </r>
    <r>
      <rPr>
        <sz val="10"/>
        <rFont val="新細明體"/>
        <family val="1"/>
      </rPr>
      <t>）採用數值大於或小於規定</t>
    </r>
    <r>
      <rPr>
        <sz val="10"/>
        <rFont val="Times New Roman"/>
        <family val="1"/>
      </rPr>
      <t>T</t>
    </r>
    <r>
      <rPr>
        <sz val="10"/>
        <rFont val="新細明體"/>
        <family val="1"/>
      </rPr>
      <t>形槽間距</t>
    </r>
    <r>
      <rPr>
        <sz val="10"/>
        <rFont val="Times New Roman"/>
        <family val="1"/>
      </rPr>
      <t>P</t>
    </r>
    <r>
      <rPr>
        <sz val="10"/>
        <rFont val="新細明體"/>
        <family val="1"/>
      </rPr>
      <t>的尺寸時，應從優先數系</t>
    </r>
    <r>
      <rPr>
        <sz val="10"/>
        <rFont val="Times New Roman"/>
        <family val="1"/>
      </rPr>
      <t>R10</t>
    </r>
    <r>
      <rPr>
        <sz val="10"/>
        <rFont val="新細明體"/>
        <family val="1"/>
      </rPr>
      <t>系列的數值中選取</t>
    </r>
    <r>
      <rPr>
        <sz val="10"/>
        <rFont val="Times New Roman"/>
        <family val="1"/>
      </rPr>
      <t>;
         2)</t>
    </r>
    <r>
      <rPr>
        <sz val="10"/>
        <rFont val="新細明體"/>
        <family val="1"/>
      </rPr>
      <t>採用數值在規定</t>
    </r>
    <r>
      <rPr>
        <sz val="10"/>
        <rFont val="Times New Roman"/>
        <family val="1"/>
      </rPr>
      <t>T</t>
    </r>
    <r>
      <rPr>
        <sz val="10"/>
        <rFont val="新細明體"/>
        <family val="1"/>
      </rPr>
      <t>形槽間距</t>
    </r>
    <r>
      <rPr>
        <sz val="10"/>
        <rFont val="Times New Roman"/>
        <family val="1"/>
      </rPr>
      <t>p</t>
    </r>
    <r>
      <rPr>
        <sz val="10"/>
        <rFont val="新細明體"/>
        <family val="1"/>
      </rPr>
      <t>的尺寸范圍內，則應從優先數系</t>
    </r>
    <r>
      <rPr>
        <sz val="10"/>
        <rFont val="Times New Roman"/>
        <family val="1"/>
      </rPr>
      <t>R20</t>
    </r>
    <r>
      <rPr>
        <sz val="10"/>
        <rFont val="新細明體"/>
        <family val="1"/>
      </rPr>
      <t xml:space="preserve">系列的數值中選取。
</t>
    </r>
    <r>
      <rPr>
        <sz val="10"/>
        <rFont val="Times New Roman"/>
        <family val="1"/>
      </rPr>
      <t xml:space="preserve">         T</t>
    </r>
    <r>
      <rPr>
        <sz val="10"/>
        <rFont val="新細明體"/>
        <family val="1"/>
      </rPr>
      <t>形槽的間距尺寸</t>
    </r>
    <r>
      <rPr>
        <sz val="10"/>
        <rFont val="Times New Roman"/>
        <family val="1"/>
      </rPr>
      <t>p</t>
    </r>
    <r>
      <rPr>
        <sz val="10"/>
        <rFont val="新細明體"/>
        <family val="1"/>
      </rPr>
      <t>的極限偏差，如表</t>
    </r>
    <r>
      <rPr>
        <sz val="10"/>
        <rFont val="Times New Roman"/>
        <family val="1"/>
      </rPr>
      <t xml:space="preserve">3.
</t>
    </r>
  </si>
  <si>
    <r>
      <rPr>
        <sz val="10"/>
        <rFont val="Times New Roman"/>
        <family val="1"/>
      </rPr>
      <t>T</t>
    </r>
    <r>
      <rPr>
        <sz val="10"/>
        <rFont val="細明體"/>
        <charset val="134"/>
      </rPr>
      <t>形槽寬度</t>
    </r>
    <r>
      <rPr>
        <sz val="10"/>
        <rFont val="Times New Roman"/>
        <family val="1"/>
      </rPr>
      <t>A</t>
    </r>
  </si>
  <si>
    <r>
      <rPr>
        <sz val="10"/>
        <rFont val="Times New Roman"/>
        <family val="1"/>
      </rPr>
      <t>T</t>
    </r>
    <r>
      <rPr>
        <sz val="10"/>
        <rFont val="細明體"/>
        <charset val="134"/>
      </rPr>
      <t>形槽間距</t>
    </r>
    <r>
      <rPr>
        <sz val="10"/>
        <rFont val="Times New Roman"/>
        <family val="1"/>
      </rPr>
      <t xml:space="preserve"> p</t>
    </r>
  </si>
  <si>
    <r>
      <rPr>
        <sz val="10"/>
        <rFont val="新細明體"/>
        <family val="1"/>
      </rPr>
      <t>表</t>
    </r>
    <r>
      <rPr>
        <sz val="10"/>
        <rFont val="Times New Roman"/>
        <family val="1"/>
      </rPr>
      <t>3    T</t>
    </r>
    <r>
      <rPr>
        <sz val="10"/>
        <rFont val="新細明體"/>
        <family val="1"/>
      </rPr>
      <t>形槽間距</t>
    </r>
    <r>
      <rPr>
        <sz val="10"/>
        <rFont val="Times New Roman"/>
        <family val="1"/>
      </rPr>
      <t xml:space="preserve"> p</t>
    </r>
    <r>
      <rPr>
        <sz val="10"/>
        <rFont val="新細明體"/>
        <family val="1"/>
      </rPr>
      <t>尺寸的極限偏差</t>
    </r>
  </si>
  <si>
    <r>
      <rPr>
        <sz val="10"/>
        <rFont val="Times New Roman"/>
        <family val="1"/>
      </rPr>
      <t>T</t>
    </r>
    <r>
      <rPr>
        <sz val="10"/>
        <rFont val="新細明體"/>
        <family val="1"/>
      </rPr>
      <t>形槽間距</t>
    </r>
    <r>
      <rPr>
        <sz val="10"/>
        <rFont val="Times New Roman"/>
        <family val="1"/>
      </rPr>
      <t xml:space="preserve"> p</t>
    </r>
  </si>
  <si>
    <t>極限偏差</t>
  </si>
  <si>
    <t>32~100</t>
  </si>
  <si>
    <t>125~250</t>
  </si>
  <si>
    <t>320~500</t>
  </si>
  <si>
    <r>
      <rPr>
        <sz val="10"/>
        <rFont val="細明體"/>
        <charset val="134"/>
      </rPr>
      <t>注：任一</t>
    </r>
    <r>
      <rPr>
        <sz val="10"/>
        <rFont val="Times New Roman"/>
        <family val="1"/>
      </rPr>
      <t>T</t>
    </r>
    <r>
      <rPr>
        <sz val="10"/>
        <rFont val="細明體"/>
        <charset val="134"/>
      </rPr>
      <t>形槽的極限偏差都不適累計誤差</t>
    </r>
  </si>
  <si>
    <r>
      <rPr>
        <sz val="10"/>
        <rFont val="Times New Roman"/>
        <family val="1"/>
      </rPr>
      <t xml:space="preserve">          3</t>
    </r>
    <r>
      <rPr>
        <sz val="10"/>
        <rFont val="新細明體"/>
        <family val="1"/>
      </rPr>
      <t>）</t>
    </r>
    <r>
      <rPr>
        <sz val="10"/>
        <rFont val="Times New Roman"/>
        <family val="1"/>
      </rPr>
      <t>T</t>
    </r>
    <r>
      <rPr>
        <sz val="10"/>
        <rFont val="新細明體"/>
        <family val="1"/>
      </rPr>
      <t xml:space="preserve">形槽不通端型式及尺寸
</t>
    </r>
    <r>
      <rPr>
        <sz val="10"/>
        <rFont val="Times New Roman"/>
        <family val="1"/>
      </rPr>
      <t xml:space="preserve">          T</t>
    </r>
    <r>
      <rPr>
        <sz val="10"/>
        <rFont val="新細明體"/>
        <family val="1"/>
      </rPr>
      <t>形槽不通端型式及尺寸應符合表</t>
    </r>
    <r>
      <rPr>
        <sz val="10"/>
        <rFont val="Times New Roman"/>
        <family val="1"/>
      </rPr>
      <t>4</t>
    </r>
    <r>
      <rPr>
        <sz val="10"/>
        <rFont val="新細明體"/>
        <family val="1"/>
      </rPr>
      <t xml:space="preserve">規定
</t>
    </r>
  </si>
  <si>
    <t>表4    T形槽不通端型式及尺寸   （mm)</t>
  </si>
  <si>
    <r>
      <rPr>
        <sz val="10"/>
        <rFont val="Times New Roman"/>
        <family val="1"/>
      </rPr>
      <t xml:space="preserve">
</t>
    </r>
    <r>
      <rPr>
        <sz val="10"/>
        <rFont val="細明體"/>
        <charset val="134"/>
      </rPr>
      <t xml:space="preserve">
</t>
    </r>
  </si>
  <si>
    <r>
      <rPr>
        <sz val="10"/>
        <rFont val="Times New Roman"/>
        <family val="1"/>
      </rPr>
      <t>T</t>
    </r>
    <r>
      <rPr>
        <sz val="10"/>
        <rFont val="細明體"/>
        <charset val="134"/>
      </rPr>
      <t>形槽
寬度</t>
    </r>
    <r>
      <rPr>
        <sz val="10"/>
        <rFont val="Times New Roman"/>
        <family val="1"/>
      </rPr>
      <t>A</t>
    </r>
  </si>
  <si>
    <t xml:space="preserve">極限
偏差
</t>
  </si>
  <si>
    <t>e</t>
  </si>
  <si>
    <r>
      <rPr>
        <sz val="10"/>
        <rFont val="Times New Roman"/>
        <family val="1"/>
      </rPr>
      <t xml:space="preserve">          4)T</t>
    </r>
    <r>
      <rPr>
        <sz val="10"/>
        <rFont val="細明體"/>
        <charset val="134"/>
      </rPr>
      <t xml:space="preserve">形槽用螺母尺寸
</t>
    </r>
    <r>
      <rPr>
        <sz val="10"/>
        <rFont val="Times New Roman"/>
        <family val="1"/>
      </rPr>
      <t xml:space="preserve">          T</t>
    </r>
    <r>
      <rPr>
        <sz val="10"/>
        <rFont val="細明體"/>
        <charset val="134"/>
      </rPr>
      <t>形槽用螺母尺寸應符合表</t>
    </r>
    <r>
      <rPr>
        <sz val="10"/>
        <rFont val="Times New Roman"/>
        <family val="1"/>
      </rPr>
      <t>5</t>
    </r>
    <r>
      <rPr>
        <sz val="10"/>
        <rFont val="細明體"/>
        <charset val="134"/>
      </rPr>
      <t>規定</t>
    </r>
  </si>
  <si>
    <r>
      <rPr>
        <sz val="10"/>
        <rFont val="細明體"/>
        <charset val="134"/>
      </rPr>
      <t>表</t>
    </r>
    <r>
      <rPr>
        <sz val="10"/>
        <rFont val="Times New Roman"/>
        <family val="1"/>
      </rPr>
      <t>5   T</t>
    </r>
    <r>
      <rPr>
        <sz val="10"/>
        <rFont val="細明體"/>
        <charset val="134"/>
      </rPr>
      <t>形槽用螺母尺寸</t>
    </r>
    <r>
      <rPr>
        <sz val="10"/>
        <rFont val="Times New Roman"/>
        <family val="1"/>
      </rPr>
      <t xml:space="preserve">     </t>
    </r>
    <r>
      <rPr>
        <sz val="10"/>
        <rFont val="細明體"/>
        <charset val="134"/>
      </rPr>
      <t>（</t>
    </r>
    <r>
      <rPr>
        <sz val="10"/>
        <rFont val="Times New Roman"/>
        <family val="1"/>
      </rPr>
      <t>mm)</t>
    </r>
  </si>
  <si>
    <r>
      <rPr>
        <sz val="10"/>
        <rFont val="新細明體"/>
        <family val="1"/>
      </rPr>
      <t>第</t>
    </r>
    <r>
      <rPr>
        <sz val="10"/>
        <rFont val="Times New Roman"/>
        <family val="1"/>
      </rPr>
      <t>3</t>
    </r>
    <r>
      <rPr>
        <sz val="10"/>
        <rFont val="新細明體"/>
        <family val="1"/>
      </rPr>
      <t>頁</t>
    </r>
  </si>
  <si>
    <t>T形槽
寬度A</t>
  </si>
  <si>
    <t>極限
偏差</t>
  </si>
  <si>
    <t xml:space="preserve">         螺母材料為45鋼。螺母表面粗糙度（按GB1031）最大允許值；基準槽用螺母的E面或F面為            ；其余為          。螺母進行熱處理，硬度為35HRC，並發藍。</t>
  </si>
  <si>
    <t>油压缓冲器选型计算</t>
  </si>
  <si>
    <t>亚德客气缸使用速度：SC、MA系列气缸30-80mm/s    SDA、TN系列气缸：30-500mm/s    无杆、滑台气缸：50-400mm/s</t>
  </si>
  <si>
    <t>气缸推力下的水平撞击</t>
  </si>
  <si>
    <t>负载质量kg</t>
  </si>
  <si>
    <t>撞击速度m/s</t>
  </si>
  <si>
    <t>动能{J(N.m)}</t>
  </si>
  <si>
    <t>气缸输出力(N)</t>
  </si>
  <si>
    <t>缓冲行程(M)</t>
  </si>
  <si>
    <t>驱动能{J(N.m)}</t>
  </si>
  <si>
    <t>总能量{J(N.m)}</t>
  </si>
  <si>
    <t>右图m</t>
  </si>
  <si>
    <t>右图v</t>
  </si>
  <si>
    <t>E1</t>
  </si>
  <si>
    <t>右图F</t>
  </si>
  <si>
    <t>右图L</t>
  </si>
  <si>
    <t>E2</t>
  </si>
  <si>
    <t>E1+E2</t>
  </si>
  <si>
    <t>气缸推力下的垂直撞击</t>
  </si>
  <si>
    <t>右图M</t>
  </si>
  <si>
    <t>右图V</t>
  </si>
  <si>
    <t>右图S</t>
  </si>
  <si>
    <t>注：g为重力加速度：9.8(m/s²)</t>
  </si>
  <si>
    <t>材质硬度对照表</t>
  </si>
  <si>
    <t>硬度范围</t>
  </si>
  <si>
    <t>希望范围</t>
  </si>
  <si>
    <t>冷轧单（双）光板</t>
  </si>
  <si>
    <t>SPCC-SD</t>
  </si>
  <si>
    <t>75-85</t>
  </si>
  <si>
    <t>CC</t>
  </si>
  <si>
    <t>85-98</t>
  </si>
  <si>
    <t>85-95</t>
  </si>
  <si>
    <t>1/8H</t>
  </si>
  <si>
    <t>95-130</t>
  </si>
  <si>
    <t>1/4H</t>
  </si>
  <si>
    <t>115-150</t>
  </si>
  <si>
    <t>135-185</t>
  </si>
  <si>
    <t>1/2H</t>
  </si>
  <si>
    <t>170-UP</t>
  </si>
  <si>
    <t>210-235</t>
  </si>
  <si>
    <t>SPCC-SB</t>
  </si>
  <si>
    <t>95-110</t>
  </si>
  <si>
    <t>SD代表单光，SB代表双光，CD代表拉伸</t>
  </si>
  <si>
    <t>CE代表深拉伸用刀片常使用硬片（H）料，Hv范围220-240</t>
  </si>
  <si>
    <t>热轧（黑皮铁板）酸洗板/SPHC，无结构硬度</t>
  </si>
  <si>
    <t>马口铁</t>
  </si>
  <si>
    <t>锡层我司要求50/50''50''表示每平方素材表面附锡为50g</t>
  </si>
  <si>
    <t>SPTE</t>
  </si>
  <si>
    <t>T-2</t>
  </si>
  <si>
    <t>T-2.5</t>
  </si>
  <si>
    <t>T-3</t>
  </si>
  <si>
    <t>T-4</t>
  </si>
  <si>
    <t>电解板（镀锌板）</t>
  </si>
  <si>
    <t>SECC</t>
  </si>
  <si>
    <t>8D</t>
  </si>
  <si>
    <t>4D</t>
  </si>
  <si>
    <t>2D</t>
  </si>
  <si>
    <t>1D</t>
  </si>
  <si>
    <t>CC代表一般用途，CD代表拉伸，CE代表深拉伸用</t>
  </si>
  <si>
    <t>不锈钢</t>
  </si>
  <si>
    <t>270以下</t>
  </si>
  <si>
    <t>370-290</t>
  </si>
  <si>
    <t>SUS301</t>
  </si>
  <si>
    <t>310以上</t>
  </si>
  <si>
    <t>310-360</t>
  </si>
  <si>
    <t>3/4H</t>
  </si>
  <si>
    <t>370以上</t>
  </si>
  <si>
    <t>370-410</t>
  </si>
  <si>
    <t>430以上</t>
  </si>
  <si>
    <t>430-470</t>
  </si>
  <si>
    <t>EH</t>
  </si>
  <si>
    <t>490以上</t>
  </si>
  <si>
    <t>490-520</t>
  </si>
  <si>
    <t>210以下</t>
  </si>
  <si>
    <t>150-180</t>
  </si>
  <si>
    <t>250以上</t>
  </si>
  <si>
    <t>260-290</t>
  </si>
  <si>
    <t>310-330</t>
  </si>
  <si>
    <t>370-390</t>
  </si>
  <si>
    <t>2B为压延，BA光辉</t>
  </si>
  <si>
    <t>SUS430
SUS410</t>
  </si>
  <si>
    <t>弹性差，导磁弱，放在煤油中，防氧化，脏污</t>
  </si>
  <si>
    <t>150-184</t>
  </si>
  <si>
    <t>无结构硬度</t>
  </si>
  <si>
    <t>炭素钢</t>
  </si>
  <si>
    <t>180-210</t>
  </si>
  <si>
    <t>SK7</t>
  </si>
  <si>
    <t>若SK5厚度在0.25以下时,需要用厚料压延而成,因压延而成改变其结构硬度而增大,参照如下:0.10-0.15  260-300
         0.20-0.25  220-250</t>
  </si>
  <si>
    <t>Aluminum  Alloy  Strips</t>
  </si>
  <si>
    <t>A5052</t>
  </si>
  <si>
    <t>O/H32/H34</t>
  </si>
  <si>
    <t>A1050</t>
  </si>
  <si>
    <t>O/H12/H24</t>
  </si>
  <si>
    <t>A1100</t>
  </si>
  <si>
    <t>红铜</t>
  </si>
  <si>
    <t>一般铜C1100R</t>
  </si>
  <si>
    <t>Tough Pitch Copper</t>
  </si>
  <si>
    <t>55-100</t>
  </si>
  <si>
    <t>75-120</t>
  </si>
  <si>
    <t>Oxygen Free Copper</t>
  </si>
  <si>
    <t>80-UP</t>
  </si>
  <si>
    <t>无酸素铜C1020R</t>
  </si>
  <si>
    <t>磷脱酸铜C1220R</t>
  </si>
  <si>
    <t>钛铜</t>
  </si>
  <si>
    <t>TiCuRi-M</t>
  </si>
  <si>
    <t>250-300</t>
  </si>
  <si>
    <t>300-350</t>
  </si>
  <si>
    <t>低铍铍铜</t>
  </si>
  <si>
    <t>C1750低铍</t>
  </si>
  <si>
    <t>200-250</t>
  </si>
  <si>
    <t>(已做热处理)</t>
  </si>
  <si>
    <t>230-290</t>
  </si>
  <si>
    <t>高铍铍铜</t>
  </si>
  <si>
    <t>90-160</t>
  </si>
  <si>
    <t>C1720</t>
  </si>
  <si>
    <t>145-220</t>
  </si>
  <si>
    <t>(未做热处理)</t>
  </si>
  <si>
    <t>180-240</t>
  </si>
  <si>
    <t>210-270</t>
  </si>
  <si>
    <t>遮光型</t>
  </si>
  <si>
    <t>1B表示碳素涂装厚度为0.018</t>
  </si>
  <si>
    <t>B-H</t>
  </si>
  <si>
    <t>2B表示炭素涂装厚度为0.030</t>
  </si>
  <si>
    <t>B-R</t>
  </si>
  <si>
    <t>一般型</t>
  </si>
  <si>
    <t>MD表示深浅颜色</t>
  </si>
  <si>
    <t>ED表示导电处理</t>
  </si>
  <si>
    <t>青铜C2680R</t>
  </si>
  <si>
    <t>70-UP</t>
  </si>
  <si>
    <t>Cu：64.0+68.0</t>
  </si>
  <si>
    <t>75-125</t>
  </si>
  <si>
    <t>75-100</t>
  </si>
  <si>
    <t>比重:8.47</t>
  </si>
  <si>
    <t>85-145</t>
  </si>
  <si>
    <t>100-130</t>
  </si>
  <si>
    <t>105-175</t>
  </si>
  <si>
    <t>140-170</t>
  </si>
  <si>
    <t>145-UP</t>
  </si>
  <si>
    <t>170-190</t>
  </si>
  <si>
    <t>磷铜C5191R</t>
  </si>
  <si>
    <t>100-160</t>
  </si>
  <si>
    <t>130-160</t>
  </si>
  <si>
    <t>150-205</t>
  </si>
  <si>
    <t>180-230</t>
  </si>
  <si>
    <t>190-210</t>
  </si>
  <si>
    <t>200-UP</t>
  </si>
  <si>
    <t>磷青铜C5210R</t>
  </si>
  <si>
    <t>140-205</t>
  </si>
  <si>
    <t>俗称PBS</t>
  </si>
  <si>
    <t>185-235</t>
  </si>
  <si>
    <t>190-220</t>
  </si>
  <si>
    <t>Cu+Sn+P:99.7</t>
  </si>
  <si>
    <t>210-260</t>
  </si>
  <si>
    <t>210-230</t>
  </si>
  <si>
    <t>比重:8.8</t>
  </si>
  <si>
    <t>SH</t>
  </si>
  <si>
    <t>230-270</t>
  </si>
  <si>
    <t>230-250</t>
  </si>
  <si>
    <t>洋白铜C7521R</t>
  </si>
  <si>
    <t>0.3t以上厚度常用7521R</t>
  </si>
  <si>
    <t>Cu:61-67比重8.75</t>
  </si>
  <si>
    <t>170-195</t>
  </si>
  <si>
    <t>洋白铜C7701R</t>
  </si>
  <si>
    <t>150-210</t>
  </si>
  <si>
    <t>0.2t厚度以下常C7701R</t>
  </si>
  <si>
    <t>220-240</t>
  </si>
  <si>
    <t>Cu:54.58比重:8.69</t>
  </si>
  <si>
    <t>240-260</t>
  </si>
  <si>
    <t>250-270</t>
  </si>
  <si>
    <t>轴承型号</t>
  </si>
  <si>
    <t>外型尺寸（mm)</t>
  </si>
  <si>
    <t>相关安装尺寸</t>
  </si>
  <si>
    <t>内径d</t>
  </si>
  <si>
    <t>外径D</t>
  </si>
  <si>
    <t>厚度T</t>
  </si>
  <si>
    <t>倒角r</t>
  </si>
  <si>
    <t>参考（kg)</t>
  </si>
  <si>
    <t>max</t>
  </si>
  <si>
    <t>min</t>
  </si>
  <si>
    <t>ZRO2</t>
  </si>
  <si>
    <t>SI3N4</t>
  </si>
  <si>
    <t>POM</t>
  </si>
  <si>
    <t>51100CE</t>
  </si>
  <si>
    <t>P51100</t>
  </si>
  <si>
    <t>51200CE</t>
  </si>
  <si>
    <t>P51200</t>
  </si>
  <si>
    <t>51101CE</t>
  </si>
  <si>
    <t>P51101</t>
  </si>
  <si>
    <t>51201CE</t>
  </si>
  <si>
    <t>P51201</t>
  </si>
  <si>
    <t>51102CE</t>
  </si>
  <si>
    <t>P51102</t>
  </si>
  <si>
    <t>51202CE</t>
  </si>
  <si>
    <t>P51202</t>
  </si>
  <si>
    <t>51103CE</t>
  </si>
  <si>
    <t>P51103</t>
  </si>
  <si>
    <t>51203CE</t>
  </si>
  <si>
    <t>P51203</t>
  </si>
  <si>
    <t>51104CE</t>
  </si>
  <si>
    <t>P51104</t>
  </si>
  <si>
    <t>51204CE</t>
  </si>
  <si>
    <t>P51204</t>
  </si>
  <si>
    <t>51304CE</t>
  </si>
  <si>
    <t>P51304</t>
  </si>
  <si>
    <t>51105CE</t>
  </si>
  <si>
    <t>P51105</t>
  </si>
  <si>
    <t>51205CE</t>
  </si>
  <si>
    <t>P51205</t>
  </si>
  <si>
    <t>51305CE</t>
  </si>
  <si>
    <t>P51305</t>
  </si>
  <si>
    <t>51405CE</t>
  </si>
  <si>
    <t>P51405</t>
  </si>
  <si>
    <t>51106CE</t>
  </si>
  <si>
    <t>P51106</t>
  </si>
  <si>
    <t>51206CE</t>
  </si>
  <si>
    <t>P51206</t>
  </si>
  <si>
    <t>51306CE</t>
  </si>
  <si>
    <t>P51306</t>
  </si>
  <si>
    <t>51406CE</t>
  </si>
  <si>
    <t>P51406</t>
  </si>
  <si>
    <t>51107CE</t>
  </si>
  <si>
    <t>P51107</t>
  </si>
  <si>
    <t>51207CE</t>
  </si>
  <si>
    <t>P51207</t>
  </si>
  <si>
    <t>51307CE</t>
  </si>
  <si>
    <t>P51307</t>
  </si>
  <si>
    <t>51407CE</t>
  </si>
  <si>
    <t>P51407</t>
  </si>
  <si>
    <t>51108CE</t>
  </si>
  <si>
    <t>P51108</t>
  </si>
  <si>
    <t>51208CE</t>
  </si>
  <si>
    <t>P51208</t>
  </si>
  <si>
    <t>51308CE</t>
  </si>
  <si>
    <t>P51308</t>
  </si>
  <si>
    <t>51408CE</t>
  </si>
  <si>
    <t>P51408</t>
  </si>
  <si>
    <t>51109CE</t>
  </si>
  <si>
    <t>P51109</t>
  </si>
  <si>
    <t>51209CE</t>
  </si>
  <si>
    <t>P51209</t>
  </si>
  <si>
    <t>51309CE</t>
  </si>
  <si>
    <t>P51309</t>
  </si>
  <si>
    <t>51409CE</t>
  </si>
  <si>
    <t>P51409</t>
  </si>
  <si>
    <t>51110CE</t>
  </si>
  <si>
    <t>P51110</t>
  </si>
  <si>
    <t>51210CE</t>
  </si>
  <si>
    <t>P51210</t>
  </si>
  <si>
    <t>51310CE</t>
  </si>
  <si>
    <t>P51310</t>
  </si>
  <si>
    <t>51410CE</t>
  </si>
  <si>
    <t>P51410</t>
  </si>
  <si>
    <t>51111CE</t>
  </si>
  <si>
    <t>P51111</t>
  </si>
  <si>
    <t>51211CE</t>
  </si>
  <si>
    <t>P51211</t>
  </si>
  <si>
    <t>51311CE</t>
  </si>
  <si>
    <t>P51311</t>
  </si>
  <si>
    <t>51411CE</t>
  </si>
  <si>
    <t>P51411</t>
  </si>
  <si>
    <t>51112CE</t>
  </si>
  <si>
    <t>P51112</t>
  </si>
  <si>
    <t>51212CE</t>
  </si>
  <si>
    <t>P51212</t>
  </si>
  <si>
    <t>51312CE</t>
  </si>
  <si>
    <t>P51312</t>
  </si>
  <si>
    <t>51412CE</t>
  </si>
  <si>
    <t>P51412</t>
  </si>
  <si>
    <t>51113CE</t>
  </si>
  <si>
    <t>P51113</t>
  </si>
  <si>
    <t>51213CE</t>
  </si>
  <si>
    <t>P51213</t>
  </si>
  <si>
    <t>51313CE</t>
  </si>
  <si>
    <t>P51313</t>
  </si>
  <si>
    <t>51413CE</t>
  </si>
  <si>
    <t>P51413</t>
  </si>
  <si>
    <t>51114CE</t>
  </si>
  <si>
    <t>P51114</t>
  </si>
  <si>
    <t>51214CE</t>
  </si>
  <si>
    <t>P51214</t>
  </si>
  <si>
    <t>51314CE</t>
  </si>
  <si>
    <t>P51314</t>
  </si>
  <si>
    <t>51414CE</t>
  </si>
  <si>
    <t>P51414</t>
  </si>
  <si>
    <t>51115CE</t>
  </si>
  <si>
    <t>P51115</t>
  </si>
  <si>
    <t>51215CE</t>
  </si>
  <si>
    <t>P51215</t>
  </si>
  <si>
    <t>51315CE</t>
  </si>
  <si>
    <t>P51315</t>
  </si>
  <si>
    <t>51415CE</t>
  </si>
  <si>
    <t>P51415</t>
  </si>
  <si>
    <t>51116CE</t>
  </si>
  <si>
    <t>P51116</t>
  </si>
  <si>
    <t>51216CE</t>
  </si>
  <si>
    <t>P51216</t>
  </si>
  <si>
    <t>51316CE</t>
  </si>
  <si>
    <t>P51316</t>
  </si>
  <si>
    <t>51416CE</t>
  </si>
  <si>
    <t>P51416</t>
  </si>
  <si>
    <t>51117CE</t>
  </si>
  <si>
    <t>P51117</t>
  </si>
  <si>
    <t>51217CE</t>
  </si>
  <si>
    <t>P51217</t>
  </si>
  <si>
    <t>51317CE</t>
  </si>
  <si>
    <t>P51317</t>
  </si>
  <si>
    <t>51417CE</t>
  </si>
  <si>
    <t>P51417</t>
  </si>
  <si>
    <t>51118CE</t>
  </si>
  <si>
    <t>P51118</t>
  </si>
  <si>
    <t>51218CE</t>
  </si>
  <si>
    <t>P51218</t>
  </si>
  <si>
    <t>51318CE</t>
  </si>
  <si>
    <t>P51318</t>
  </si>
  <si>
    <t>51418CE</t>
  </si>
  <si>
    <t>P51418</t>
  </si>
  <si>
    <t>51120CE</t>
  </si>
  <si>
    <t>P51120</t>
  </si>
  <si>
    <t>51220CE</t>
  </si>
  <si>
    <t>P51220</t>
  </si>
  <si>
    <t>51320CE</t>
  </si>
  <si>
    <t>P51320</t>
  </si>
  <si>
    <t>51420CE</t>
  </si>
  <si>
    <t>P51420</t>
  </si>
  <si>
    <t>51122CE</t>
  </si>
  <si>
    <t>P51122</t>
  </si>
  <si>
    <t>51222CE</t>
  </si>
  <si>
    <t>P51222</t>
  </si>
  <si>
    <t>51322CE</t>
  </si>
  <si>
    <t>P51322</t>
  </si>
  <si>
    <t>51422CE</t>
  </si>
  <si>
    <t>P51422</t>
  </si>
  <si>
    <t>51124CE</t>
  </si>
  <si>
    <t>P51124</t>
  </si>
  <si>
    <t>51224CE</t>
  </si>
  <si>
    <t>P51224</t>
  </si>
  <si>
    <t>51324CE</t>
  </si>
  <si>
    <t>P51324</t>
  </si>
  <si>
    <t>51424CE</t>
  </si>
  <si>
    <t>P51424</t>
  </si>
  <si>
    <t>51126CE</t>
  </si>
  <si>
    <t>P51126</t>
  </si>
  <si>
    <t>51226CE</t>
  </si>
  <si>
    <t>P51226</t>
  </si>
  <si>
    <t>51326CE</t>
  </si>
  <si>
    <t>P51326</t>
  </si>
  <si>
    <t>51426CE</t>
  </si>
  <si>
    <t>P51426</t>
  </si>
  <si>
    <t>51128CE</t>
  </si>
  <si>
    <t>P51128</t>
  </si>
  <si>
    <t>51228CE</t>
  </si>
  <si>
    <t>P51228</t>
  </si>
  <si>
    <t>51328CE</t>
  </si>
  <si>
    <t>P51328</t>
  </si>
  <si>
    <t>51428CE</t>
  </si>
  <si>
    <t>P51428</t>
  </si>
  <si>
    <t>51130CE</t>
  </si>
  <si>
    <t>P51130</t>
  </si>
  <si>
    <t>51230CE</t>
  </si>
  <si>
    <t>P51230</t>
  </si>
  <si>
    <t>51330CE</t>
  </si>
  <si>
    <t>P51330</t>
  </si>
  <si>
    <t>51430CE</t>
  </si>
  <si>
    <t>P51430</t>
  </si>
  <si>
    <t>内径(d)</t>
  </si>
  <si>
    <t>外径(D)</t>
  </si>
  <si>
    <t>宽度(b)</t>
  </si>
  <si>
    <t>允许回转数</t>
  </si>
  <si>
    <r>
      <rPr>
        <sz val="9"/>
        <color indexed="8"/>
        <rFont val="宋体"/>
        <charset val="134"/>
      </rPr>
      <t>宽度</t>
    </r>
    <r>
      <rPr>
        <sz val="9"/>
        <color indexed="8"/>
        <rFont val="Arial"/>
        <family val="2"/>
      </rPr>
      <t>open</t>
    </r>
  </si>
  <si>
    <t>zz</t>
  </si>
  <si>
    <r>
      <rPr>
        <sz val="9"/>
        <color indexed="8"/>
        <rFont val="宋体"/>
        <charset val="134"/>
      </rPr>
      <t>基本额定动负荷</t>
    </r>
    <r>
      <rPr>
        <sz val="9"/>
        <color indexed="8"/>
        <rFont val="Arial"/>
        <family val="2"/>
      </rPr>
      <t xml:space="preserve"> Cr(N)</t>
    </r>
  </si>
  <si>
    <t>基本额定静负荷 Cor(N)</t>
  </si>
  <si>
    <t>润滑脂</t>
  </si>
  <si>
    <t>润滑剂</t>
  </si>
  <si>
    <t>*1000rpm</t>
  </si>
  <si>
    <t>684zz</t>
  </si>
  <si>
    <t>694zz</t>
  </si>
  <si>
    <t>604zz</t>
  </si>
  <si>
    <t>624zz</t>
  </si>
  <si>
    <t>634zz</t>
  </si>
  <si>
    <t>685zz</t>
  </si>
  <si>
    <t>695zz</t>
  </si>
  <si>
    <t>605zz</t>
  </si>
  <si>
    <t>625zz</t>
  </si>
  <si>
    <t>635zz</t>
  </si>
  <si>
    <t>686zz</t>
  </si>
  <si>
    <t>696zz</t>
  </si>
  <si>
    <t>606zz</t>
  </si>
  <si>
    <t>626zz</t>
  </si>
  <si>
    <t>636zz</t>
  </si>
  <si>
    <t>687zz</t>
  </si>
  <si>
    <t>697zz</t>
  </si>
  <si>
    <t>607zz</t>
  </si>
  <si>
    <t>627zz</t>
  </si>
  <si>
    <t>637zz</t>
  </si>
  <si>
    <t>688zz</t>
  </si>
  <si>
    <t>698zz</t>
  </si>
  <si>
    <t>608z</t>
  </si>
  <si>
    <t>628zz</t>
  </si>
  <si>
    <t>638zz</t>
  </si>
  <si>
    <t>679zz</t>
  </si>
  <si>
    <t>689zz</t>
  </si>
  <si>
    <t>699zz</t>
  </si>
  <si>
    <t>609zz</t>
  </si>
  <si>
    <t>629zz</t>
  </si>
  <si>
    <t>639zz</t>
  </si>
  <si>
    <t>6700zz</t>
  </si>
  <si>
    <t>6800zz</t>
  </si>
  <si>
    <t>6900zz</t>
  </si>
  <si>
    <t>6000zz</t>
  </si>
  <si>
    <t>6200zz</t>
  </si>
  <si>
    <t>6300zz</t>
  </si>
  <si>
    <t>6701zz</t>
  </si>
  <si>
    <t>6801zz</t>
  </si>
  <si>
    <t>6901zz</t>
  </si>
  <si>
    <t>6001zz</t>
  </si>
  <si>
    <t>6201zz</t>
  </si>
  <si>
    <t>6301zz</t>
  </si>
  <si>
    <t>60/22</t>
  </si>
  <si>
    <t>62/22</t>
  </si>
  <si>
    <t>63/22</t>
  </si>
  <si>
    <t>60/28</t>
  </si>
  <si>
    <t>62/28</t>
  </si>
  <si>
    <t>63/28</t>
  </si>
  <si>
    <t>60/32</t>
  </si>
  <si>
    <t>62/32</t>
  </si>
  <si>
    <t>63/32</t>
  </si>
  <si>
    <t>平键和键槽的标准尺寸规格表</t>
  </si>
  <si>
    <r>
      <rPr>
        <sz val="12"/>
        <color indexed="8"/>
        <rFont val="宋体"/>
        <charset val="134"/>
      </rPr>
      <t>轴径</t>
    </r>
    <r>
      <rPr>
        <sz val="12"/>
        <color indexed="8"/>
        <rFont val="Arial"/>
        <family val="2"/>
      </rPr>
      <t xml:space="preserve"> </t>
    </r>
  </si>
  <si>
    <r>
      <rPr>
        <sz val="12"/>
        <color indexed="8"/>
        <rFont val="宋体"/>
        <charset val="134"/>
      </rPr>
      <t>键</t>
    </r>
    <r>
      <rPr>
        <sz val="12"/>
        <color indexed="8"/>
        <rFont val="Arial"/>
        <family val="2"/>
      </rPr>
      <t xml:space="preserve"> </t>
    </r>
  </si>
  <si>
    <r>
      <rPr>
        <sz val="12"/>
        <color indexed="8"/>
        <rFont val="宋体"/>
        <charset val="134"/>
      </rPr>
      <t>键　　　　　槽</t>
    </r>
    <r>
      <rPr>
        <sz val="12"/>
        <color indexed="8"/>
        <rFont val="Arial"/>
        <family val="2"/>
      </rPr>
      <t xml:space="preserve"> </t>
    </r>
  </si>
  <si>
    <r>
      <rPr>
        <sz val="12"/>
        <color indexed="8"/>
        <rFont val="宋体"/>
        <charset val="134"/>
      </rPr>
      <t>公称直径</t>
    </r>
    <r>
      <rPr>
        <sz val="12"/>
        <color indexed="8"/>
        <rFont val="Arial"/>
        <family val="2"/>
      </rPr>
      <t>d</t>
    </r>
  </si>
  <si>
    <r>
      <rPr>
        <sz val="12"/>
        <color indexed="8"/>
        <rFont val="宋体"/>
        <charset val="134"/>
      </rPr>
      <t>公称尺寸</t>
    </r>
    <r>
      <rPr>
        <sz val="12"/>
        <color indexed="8"/>
        <rFont val="Arial"/>
        <family val="2"/>
      </rPr>
      <t>b×h</t>
    </r>
  </si>
  <si>
    <r>
      <rPr>
        <sz val="12"/>
        <color indexed="8"/>
        <rFont val="宋体"/>
        <charset val="134"/>
      </rPr>
      <t>宽　　度</t>
    </r>
    <r>
      <rPr>
        <sz val="12"/>
        <color indexed="8"/>
        <rFont val="Arial"/>
        <family val="2"/>
      </rPr>
      <t xml:space="preserve"> </t>
    </r>
  </si>
  <si>
    <r>
      <rPr>
        <sz val="12"/>
        <color indexed="8"/>
        <rFont val="宋体"/>
        <charset val="134"/>
      </rPr>
      <t>深　　度</t>
    </r>
    <r>
      <rPr>
        <sz val="12"/>
        <color indexed="8"/>
        <rFont val="Arial"/>
        <family val="2"/>
      </rPr>
      <t xml:space="preserve"> </t>
    </r>
  </si>
  <si>
    <r>
      <rPr>
        <sz val="12"/>
        <color indexed="8"/>
        <rFont val="宋体"/>
        <charset val="134"/>
      </rPr>
      <t>半径</t>
    </r>
    <r>
      <rPr>
        <sz val="12"/>
        <color indexed="8"/>
        <rFont val="Arial"/>
        <family val="2"/>
      </rPr>
      <t xml:space="preserve"> r</t>
    </r>
  </si>
  <si>
    <r>
      <rPr>
        <sz val="12"/>
        <color indexed="8"/>
        <rFont val="宋体"/>
        <charset val="134"/>
      </rPr>
      <t>偏　</t>
    </r>
    <r>
      <rPr>
        <sz val="12"/>
        <color indexed="8"/>
        <rFont val="Arial"/>
        <family val="2"/>
      </rPr>
      <t xml:space="preserve">     </t>
    </r>
    <r>
      <rPr>
        <sz val="12"/>
        <color indexed="8"/>
        <rFont val="宋体"/>
        <charset val="134"/>
      </rPr>
      <t>　差</t>
    </r>
    <r>
      <rPr>
        <sz val="12"/>
        <color indexed="8"/>
        <rFont val="Arial"/>
        <family val="2"/>
      </rPr>
      <t xml:space="preserve"> </t>
    </r>
  </si>
  <si>
    <r>
      <rPr>
        <sz val="12"/>
        <color indexed="8"/>
        <rFont val="宋体"/>
        <charset val="134"/>
      </rPr>
      <t>轴</t>
    </r>
    <r>
      <rPr>
        <sz val="12"/>
        <color indexed="8"/>
        <rFont val="Arial"/>
        <family val="2"/>
      </rPr>
      <t>t</t>
    </r>
  </si>
  <si>
    <r>
      <rPr>
        <sz val="12"/>
        <color indexed="8"/>
        <rFont val="宋体"/>
        <charset val="134"/>
      </rPr>
      <t>毂</t>
    </r>
    <r>
      <rPr>
        <sz val="12"/>
        <color indexed="8"/>
        <rFont val="Arial"/>
        <family val="2"/>
      </rPr>
      <t xml:space="preserve">t1 </t>
    </r>
  </si>
  <si>
    <r>
      <rPr>
        <sz val="12"/>
        <color indexed="8"/>
        <rFont val="宋体"/>
        <charset val="134"/>
      </rPr>
      <t>较松</t>
    </r>
    <r>
      <rPr>
        <sz val="12"/>
        <color indexed="8"/>
        <rFont val="Arial"/>
        <family val="2"/>
      </rPr>
      <t xml:space="preserve"> </t>
    </r>
  </si>
  <si>
    <r>
      <rPr>
        <sz val="12"/>
        <color indexed="8"/>
        <rFont val="宋体"/>
        <charset val="134"/>
      </rPr>
      <t>一般</t>
    </r>
    <r>
      <rPr>
        <sz val="12"/>
        <color indexed="8"/>
        <rFont val="Arial"/>
        <family val="2"/>
      </rPr>
      <t xml:space="preserve"> </t>
    </r>
  </si>
  <si>
    <r>
      <rPr>
        <sz val="12"/>
        <color indexed="8"/>
        <rFont val="宋体"/>
        <charset val="134"/>
      </rPr>
      <t>较紧</t>
    </r>
    <r>
      <rPr>
        <sz val="12"/>
        <color indexed="8"/>
        <rFont val="Arial"/>
        <family val="2"/>
      </rPr>
      <t xml:space="preserve"> </t>
    </r>
  </si>
  <si>
    <r>
      <rPr>
        <sz val="12"/>
        <color indexed="8"/>
        <rFont val="宋体"/>
        <charset val="134"/>
      </rPr>
      <t>轴</t>
    </r>
    <r>
      <rPr>
        <sz val="12"/>
        <color indexed="8"/>
        <rFont val="Arial"/>
        <family val="2"/>
      </rPr>
      <t>H9</t>
    </r>
  </si>
  <si>
    <r>
      <rPr>
        <sz val="12"/>
        <color indexed="8"/>
        <rFont val="宋体"/>
        <charset val="134"/>
      </rPr>
      <t>毂</t>
    </r>
    <r>
      <rPr>
        <sz val="12"/>
        <color indexed="8"/>
        <rFont val="Arial"/>
        <family val="2"/>
      </rPr>
      <t>D10</t>
    </r>
  </si>
  <si>
    <r>
      <rPr>
        <sz val="12"/>
        <color indexed="8"/>
        <rFont val="宋体"/>
        <charset val="134"/>
      </rPr>
      <t>轴</t>
    </r>
    <r>
      <rPr>
        <sz val="12"/>
        <color indexed="8"/>
        <rFont val="Arial"/>
        <family val="2"/>
      </rPr>
      <t>N8</t>
    </r>
  </si>
  <si>
    <r>
      <rPr>
        <sz val="12"/>
        <color indexed="8"/>
        <rFont val="宋体"/>
        <charset val="134"/>
      </rPr>
      <t>毂</t>
    </r>
    <r>
      <rPr>
        <sz val="12"/>
        <color indexed="8"/>
        <rFont val="Arial"/>
        <family val="2"/>
      </rPr>
      <t>JS9</t>
    </r>
  </si>
  <si>
    <r>
      <rPr>
        <sz val="12"/>
        <color indexed="8"/>
        <rFont val="宋体"/>
        <charset val="134"/>
      </rPr>
      <t>轴毂</t>
    </r>
    <r>
      <rPr>
        <sz val="12"/>
        <color indexed="8"/>
        <rFont val="Arial"/>
        <family val="2"/>
      </rPr>
      <t>P9</t>
    </r>
  </si>
  <si>
    <t>公称</t>
  </si>
  <si>
    <r>
      <rPr>
        <sz val="12"/>
        <color indexed="8"/>
        <rFont val="宋体"/>
        <charset val="134"/>
      </rPr>
      <t>偏差</t>
    </r>
    <r>
      <rPr>
        <sz val="12"/>
        <color indexed="8"/>
        <rFont val="Arial"/>
        <family val="2"/>
      </rPr>
      <t xml:space="preserve"> </t>
    </r>
  </si>
  <si>
    <r>
      <rPr>
        <sz val="12"/>
        <color indexed="8"/>
        <rFont val="宋体"/>
        <charset val="134"/>
      </rPr>
      <t>最大</t>
    </r>
    <r>
      <rPr>
        <sz val="12"/>
        <color indexed="8"/>
        <rFont val="Arial"/>
        <family val="2"/>
      </rPr>
      <t xml:space="preserve"> </t>
    </r>
  </si>
  <si>
    <r>
      <rPr>
        <sz val="12"/>
        <color indexed="8"/>
        <rFont val="宋体"/>
        <charset val="134"/>
      </rPr>
      <t>最小</t>
    </r>
    <r>
      <rPr>
        <sz val="12"/>
        <color indexed="8"/>
        <rFont val="Arial"/>
        <family val="2"/>
      </rPr>
      <t xml:space="preserve"> </t>
    </r>
  </si>
  <si>
    <t>6~8</t>
  </si>
  <si>
    <t>2×2</t>
  </si>
  <si>
    <t>±0.0125</t>
  </si>
  <si>
    <r>
      <rPr>
        <sz val="12"/>
        <color indexed="8"/>
        <rFont val="宋体"/>
        <charset val="134"/>
      </rPr>
      <t>＞</t>
    </r>
    <r>
      <rPr>
        <sz val="12"/>
        <color indexed="8"/>
        <rFont val="Arial"/>
        <family val="2"/>
      </rPr>
      <t>8~10</t>
    </r>
  </si>
  <si>
    <t>3×3</t>
  </si>
  <si>
    <r>
      <rPr>
        <sz val="12"/>
        <color indexed="8"/>
        <rFont val="宋体"/>
        <charset val="134"/>
      </rPr>
      <t>＞</t>
    </r>
    <r>
      <rPr>
        <sz val="12"/>
        <color indexed="8"/>
        <rFont val="Arial"/>
        <family val="2"/>
      </rPr>
      <t>10~12</t>
    </r>
  </si>
  <si>
    <t>4×4</t>
  </si>
  <si>
    <t>±0.015</t>
  </si>
  <si>
    <r>
      <rPr>
        <sz val="12"/>
        <color indexed="8"/>
        <rFont val="宋体"/>
        <charset val="134"/>
      </rPr>
      <t>＞</t>
    </r>
    <r>
      <rPr>
        <sz val="12"/>
        <color indexed="8"/>
        <rFont val="Arial"/>
        <family val="2"/>
      </rPr>
      <t>12~17</t>
    </r>
  </si>
  <si>
    <t>5×5</t>
  </si>
  <si>
    <r>
      <rPr>
        <sz val="12"/>
        <color indexed="8"/>
        <rFont val="宋体"/>
        <charset val="134"/>
      </rPr>
      <t>＞</t>
    </r>
    <r>
      <rPr>
        <sz val="12"/>
        <color indexed="8"/>
        <rFont val="Arial"/>
        <family val="2"/>
      </rPr>
      <t>17~22</t>
    </r>
  </si>
  <si>
    <t>6×6</t>
  </si>
  <si>
    <r>
      <rPr>
        <sz val="12"/>
        <color indexed="8"/>
        <rFont val="宋体"/>
        <charset val="134"/>
      </rPr>
      <t>＞</t>
    </r>
    <r>
      <rPr>
        <sz val="12"/>
        <color indexed="8"/>
        <rFont val="Arial"/>
        <family val="2"/>
      </rPr>
      <t>22~30</t>
    </r>
  </si>
  <si>
    <t>8×7</t>
  </si>
  <si>
    <t>±0.018</t>
  </si>
  <si>
    <r>
      <rPr>
        <sz val="12"/>
        <color indexed="8"/>
        <rFont val="宋体"/>
        <charset val="134"/>
      </rPr>
      <t>＞</t>
    </r>
    <r>
      <rPr>
        <sz val="12"/>
        <color indexed="8"/>
        <rFont val="Arial"/>
        <family val="2"/>
      </rPr>
      <t>30~38</t>
    </r>
  </si>
  <si>
    <t>10×8</t>
  </si>
  <si>
    <r>
      <rPr>
        <sz val="12"/>
        <color indexed="8"/>
        <rFont val="宋体"/>
        <charset val="134"/>
      </rPr>
      <t>＞</t>
    </r>
    <r>
      <rPr>
        <sz val="12"/>
        <color indexed="8"/>
        <rFont val="Arial"/>
        <family val="2"/>
      </rPr>
      <t>38~44</t>
    </r>
  </si>
  <si>
    <t>12×8</t>
  </si>
  <si>
    <t>±0.0215</t>
  </si>
  <si>
    <r>
      <rPr>
        <sz val="12"/>
        <color indexed="8"/>
        <rFont val="宋体"/>
        <charset val="134"/>
      </rPr>
      <t>＞</t>
    </r>
    <r>
      <rPr>
        <sz val="12"/>
        <color indexed="8"/>
        <rFont val="Arial"/>
        <family val="2"/>
      </rPr>
      <t>44~50</t>
    </r>
  </si>
  <si>
    <t>14×9</t>
  </si>
  <si>
    <r>
      <rPr>
        <sz val="12"/>
        <color indexed="8"/>
        <rFont val="宋体"/>
        <charset val="134"/>
      </rPr>
      <t>＞</t>
    </r>
    <r>
      <rPr>
        <sz val="12"/>
        <color indexed="8"/>
        <rFont val="Arial"/>
        <family val="2"/>
      </rPr>
      <t>50~58</t>
    </r>
  </si>
  <si>
    <t>16×10</t>
  </si>
  <si>
    <r>
      <rPr>
        <sz val="12"/>
        <color indexed="8"/>
        <rFont val="宋体"/>
        <charset val="134"/>
      </rPr>
      <t>＞</t>
    </r>
    <r>
      <rPr>
        <sz val="12"/>
        <color indexed="8"/>
        <rFont val="Arial"/>
        <family val="2"/>
      </rPr>
      <t>58~65</t>
    </r>
  </si>
  <si>
    <t>18×11</t>
  </si>
  <si>
    <r>
      <rPr>
        <sz val="12"/>
        <color indexed="8"/>
        <rFont val="宋体"/>
        <charset val="134"/>
      </rPr>
      <t>＞</t>
    </r>
    <r>
      <rPr>
        <sz val="12"/>
        <color indexed="8"/>
        <rFont val="Arial"/>
        <family val="2"/>
      </rPr>
      <t>65~75</t>
    </r>
  </si>
  <si>
    <t>20×12</t>
  </si>
  <si>
    <t>±0.026</t>
  </si>
  <si>
    <r>
      <rPr>
        <sz val="12"/>
        <color indexed="8"/>
        <rFont val="宋体"/>
        <charset val="134"/>
      </rPr>
      <t>＞</t>
    </r>
    <r>
      <rPr>
        <sz val="12"/>
        <color indexed="8"/>
        <rFont val="Arial"/>
        <family val="2"/>
      </rPr>
      <t>75~85</t>
    </r>
  </si>
  <si>
    <t>22×14</t>
  </si>
  <si>
    <r>
      <rPr>
        <sz val="12"/>
        <color indexed="8"/>
        <rFont val="宋体"/>
        <charset val="134"/>
      </rPr>
      <t>＞</t>
    </r>
    <r>
      <rPr>
        <sz val="12"/>
        <color indexed="8"/>
        <rFont val="Arial"/>
        <family val="2"/>
      </rPr>
      <t>85~95</t>
    </r>
  </si>
  <si>
    <t>25×14</t>
  </si>
  <si>
    <r>
      <rPr>
        <sz val="12"/>
        <color indexed="8"/>
        <rFont val="宋体"/>
        <charset val="134"/>
      </rPr>
      <t>＞</t>
    </r>
    <r>
      <rPr>
        <sz val="12"/>
        <color indexed="8"/>
        <rFont val="Arial"/>
        <family val="2"/>
      </rPr>
      <t>95~110</t>
    </r>
  </si>
  <si>
    <t>28×16</t>
  </si>
  <si>
    <r>
      <rPr>
        <sz val="12"/>
        <color indexed="8"/>
        <rFont val="宋体"/>
        <charset val="134"/>
      </rPr>
      <t>＞</t>
    </r>
    <r>
      <rPr>
        <sz val="12"/>
        <color indexed="8"/>
        <rFont val="Arial"/>
        <family val="2"/>
      </rPr>
      <t>110~130</t>
    </r>
  </si>
  <si>
    <t>32×18</t>
  </si>
  <si>
    <t>±0.031</t>
  </si>
  <si>
    <r>
      <rPr>
        <sz val="12"/>
        <color indexed="8"/>
        <rFont val="宋体"/>
        <charset val="134"/>
      </rPr>
      <t>＞</t>
    </r>
    <r>
      <rPr>
        <sz val="12"/>
        <color indexed="8"/>
        <rFont val="Arial"/>
        <family val="2"/>
      </rPr>
      <t>130~150</t>
    </r>
  </si>
  <si>
    <t>36×20</t>
  </si>
  <si>
    <r>
      <rPr>
        <sz val="12"/>
        <color indexed="8"/>
        <rFont val="宋体"/>
        <charset val="134"/>
      </rPr>
      <t>＞</t>
    </r>
    <r>
      <rPr>
        <sz val="12"/>
        <color indexed="8"/>
        <rFont val="Arial"/>
        <family val="2"/>
      </rPr>
      <t>150~170</t>
    </r>
  </si>
  <si>
    <t>40×22</t>
  </si>
  <si>
    <r>
      <rPr>
        <sz val="12"/>
        <color indexed="8"/>
        <rFont val="宋体"/>
        <charset val="134"/>
      </rPr>
      <t>＞</t>
    </r>
    <r>
      <rPr>
        <sz val="12"/>
        <color indexed="8"/>
        <rFont val="Arial"/>
        <family val="2"/>
      </rPr>
      <t>170~200</t>
    </r>
  </si>
  <si>
    <t>45×25</t>
  </si>
  <si>
    <r>
      <rPr>
        <sz val="12"/>
        <color indexed="8"/>
        <rFont val="宋体"/>
        <charset val="134"/>
      </rPr>
      <t>＞</t>
    </r>
    <r>
      <rPr>
        <sz val="12"/>
        <color indexed="8"/>
        <rFont val="Arial"/>
        <family val="2"/>
      </rPr>
      <t>200~230</t>
    </r>
  </si>
  <si>
    <t>50×28</t>
  </si>
  <si>
    <r>
      <rPr>
        <sz val="12"/>
        <color indexed="8"/>
        <rFont val="宋体"/>
        <charset val="134"/>
      </rPr>
      <t>＞</t>
    </r>
    <r>
      <rPr>
        <sz val="12"/>
        <color indexed="8"/>
        <rFont val="Arial"/>
        <family val="2"/>
      </rPr>
      <t>230~260</t>
    </r>
  </si>
  <si>
    <t>56×32</t>
  </si>
  <si>
    <t>±0.037</t>
  </si>
  <si>
    <r>
      <rPr>
        <sz val="12"/>
        <color indexed="8"/>
        <rFont val="宋体"/>
        <charset val="134"/>
      </rPr>
      <t>＞</t>
    </r>
    <r>
      <rPr>
        <sz val="12"/>
        <color indexed="8"/>
        <rFont val="Arial"/>
        <family val="2"/>
      </rPr>
      <t>260~290</t>
    </r>
  </si>
  <si>
    <t>63×32</t>
  </si>
  <si>
    <r>
      <rPr>
        <sz val="12"/>
        <color indexed="8"/>
        <rFont val="宋体"/>
        <charset val="134"/>
      </rPr>
      <t>＞</t>
    </r>
    <r>
      <rPr>
        <sz val="12"/>
        <color indexed="8"/>
        <rFont val="Arial"/>
        <family val="2"/>
      </rPr>
      <t>290~330</t>
    </r>
  </si>
  <si>
    <t>70×36</t>
  </si>
  <si>
    <r>
      <rPr>
        <sz val="12"/>
        <color indexed="8"/>
        <rFont val="宋体"/>
        <charset val="134"/>
      </rPr>
      <t>＞</t>
    </r>
    <r>
      <rPr>
        <sz val="12"/>
        <color indexed="8"/>
        <rFont val="Arial"/>
        <family val="2"/>
      </rPr>
      <t>330~380</t>
    </r>
  </si>
  <si>
    <t>80×40</t>
  </si>
  <si>
    <r>
      <rPr>
        <sz val="12"/>
        <color indexed="8"/>
        <rFont val="宋体"/>
        <charset val="134"/>
      </rPr>
      <t>＞</t>
    </r>
    <r>
      <rPr>
        <sz val="12"/>
        <color indexed="8"/>
        <rFont val="Arial"/>
        <family val="2"/>
      </rPr>
      <t>380~440</t>
    </r>
  </si>
  <si>
    <t>90×45</t>
  </si>
  <si>
    <t>±0.0135</t>
  </si>
  <si>
    <r>
      <rPr>
        <sz val="12"/>
        <color indexed="8"/>
        <rFont val="宋体"/>
        <charset val="134"/>
      </rPr>
      <t>＞</t>
    </r>
    <r>
      <rPr>
        <sz val="12"/>
        <color indexed="8"/>
        <rFont val="Arial"/>
        <family val="2"/>
      </rPr>
      <t>440~500</t>
    </r>
  </si>
  <si>
    <t>100×50</t>
  </si>
  <si>
    <t>轴用E形扣环尺寸表</t>
  </si>
  <si>
    <t>标称直径</t>
  </si>
  <si>
    <t>扣环</t>
  </si>
  <si>
    <t>可适用之轴(参考)</t>
  </si>
  <si>
    <t>d1之划分</t>
  </si>
  <si>
    <t>标准尺寸</t>
  </si>
  <si>
    <t>容许差</t>
  </si>
  <si>
    <t>约</t>
  </si>
  <si>
    <t>未满</t>
  </si>
  <si>
    <r>
      <rPr>
        <sz val="12"/>
        <rFont val="宋体"/>
        <charset val="134"/>
      </rPr>
      <t>0             -</t>
    </r>
    <r>
      <rPr>
        <sz val="12"/>
        <rFont val="宋体"/>
        <charset val="134"/>
      </rPr>
      <t>0.15</t>
    </r>
  </si>
  <si>
    <r>
      <rPr>
        <sz val="12"/>
        <rFont val="宋体"/>
        <charset val="134"/>
      </rPr>
      <t>±</t>
    </r>
    <r>
      <rPr>
        <sz val="12"/>
        <rFont val="宋体"/>
        <charset val="134"/>
      </rPr>
      <t>0.1</t>
    </r>
  </si>
  <si>
    <r>
      <rPr>
        <sz val="12"/>
        <rFont val="宋体"/>
        <charset val="134"/>
      </rPr>
      <t>0             -</t>
    </r>
    <r>
      <rPr>
        <sz val="12"/>
        <rFont val="宋体"/>
        <charset val="134"/>
      </rPr>
      <t>0.25</t>
    </r>
  </si>
  <si>
    <r>
      <rPr>
        <sz val="12"/>
        <rFont val="宋体"/>
        <charset val="134"/>
      </rPr>
      <t>±0.</t>
    </r>
    <r>
      <rPr>
        <sz val="12"/>
        <rFont val="宋体"/>
        <charset val="134"/>
      </rPr>
      <t>02</t>
    </r>
  </si>
  <si>
    <t>0.05             0</t>
  </si>
  <si>
    <r>
      <rPr>
        <sz val="12"/>
        <rFont val="宋体"/>
        <charset val="134"/>
      </rPr>
      <t>0.</t>
    </r>
    <r>
      <rPr>
        <sz val="12"/>
        <rFont val="宋体"/>
        <charset val="134"/>
      </rPr>
      <t>05      0</t>
    </r>
  </si>
  <si>
    <r>
      <rPr>
        <sz val="12"/>
        <rFont val="宋体"/>
        <charset val="134"/>
      </rPr>
      <t>0                   -</t>
    </r>
    <r>
      <rPr>
        <sz val="12"/>
        <rFont val="宋体"/>
        <charset val="134"/>
      </rPr>
      <t>0.09</t>
    </r>
  </si>
  <si>
    <r>
      <rPr>
        <sz val="12"/>
        <rFont val="宋体"/>
        <charset val="134"/>
      </rPr>
      <t>±0.</t>
    </r>
    <r>
      <rPr>
        <sz val="12"/>
        <rFont val="宋体"/>
        <charset val="134"/>
      </rPr>
      <t>025</t>
    </r>
  </si>
  <si>
    <t>0.06             0</t>
  </si>
  <si>
    <r>
      <rPr>
        <sz val="12"/>
        <rFont val="宋体"/>
        <charset val="134"/>
      </rPr>
      <t>±</t>
    </r>
    <r>
      <rPr>
        <sz val="12"/>
        <rFont val="宋体"/>
        <charset val="134"/>
      </rPr>
      <t>0.2</t>
    </r>
  </si>
  <si>
    <r>
      <rPr>
        <sz val="12"/>
        <rFont val="宋体"/>
        <charset val="134"/>
      </rPr>
      <t>±0.</t>
    </r>
    <r>
      <rPr>
        <sz val="12"/>
        <rFont val="宋体"/>
        <charset val="134"/>
      </rPr>
      <t>03</t>
    </r>
  </si>
  <si>
    <r>
      <rPr>
        <sz val="12"/>
        <rFont val="宋体"/>
        <charset val="134"/>
      </rPr>
      <t>±0.</t>
    </r>
    <r>
      <rPr>
        <sz val="12"/>
        <rFont val="宋体"/>
        <charset val="134"/>
      </rPr>
      <t>04</t>
    </r>
  </si>
  <si>
    <t>0.1         0</t>
  </si>
  <si>
    <t>0                   -0.12</t>
  </si>
  <si>
    <t>0             -0.3</t>
  </si>
  <si>
    <t>0.075             0</t>
  </si>
  <si>
    <r>
      <rPr>
        <sz val="12"/>
        <rFont val="宋体"/>
        <charset val="134"/>
      </rPr>
      <t>0               -</t>
    </r>
    <r>
      <rPr>
        <sz val="12"/>
        <rFont val="宋体"/>
        <charset val="134"/>
      </rPr>
      <t>0.15</t>
    </r>
  </si>
  <si>
    <t>0             -0.35</t>
  </si>
  <si>
    <t>0.09             0</t>
  </si>
  <si>
    <r>
      <rPr>
        <sz val="12"/>
        <rFont val="宋体"/>
        <charset val="134"/>
      </rPr>
      <t>±</t>
    </r>
    <r>
      <rPr>
        <sz val="12"/>
        <rFont val="宋体"/>
        <charset val="134"/>
      </rPr>
      <t>0.3</t>
    </r>
  </si>
  <si>
    <t>0.14      0</t>
  </si>
  <si>
    <t>0               -0.18</t>
  </si>
  <si>
    <t>0             -0.45</t>
  </si>
  <si>
    <t>0.11             0</t>
  </si>
  <si>
    <r>
      <rPr>
        <sz val="12"/>
        <rFont val="宋体"/>
        <charset val="134"/>
      </rPr>
      <t>±0.</t>
    </r>
    <r>
      <rPr>
        <sz val="12"/>
        <rFont val="宋体"/>
        <charset val="134"/>
      </rPr>
      <t>05</t>
    </r>
  </si>
  <si>
    <t>0               -0.21</t>
  </si>
  <si>
    <t>0.13             0</t>
  </si>
  <si>
    <t>0             -0.5</t>
  </si>
  <si>
    <r>
      <rPr>
        <sz val="12"/>
        <rFont val="宋体"/>
        <charset val="134"/>
      </rPr>
      <t>±0.</t>
    </r>
    <r>
      <rPr>
        <sz val="12"/>
        <rFont val="宋体"/>
        <charset val="134"/>
      </rPr>
      <t>06</t>
    </r>
  </si>
  <si>
    <t>轴用弹性挡圈尺寸表</t>
  </si>
  <si>
    <t>标称</t>
  </si>
  <si>
    <t>挡圈</t>
  </si>
  <si>
    <t>可适用之轴（参考）</t>
  </si>
  <si>
    <t>d3</t>
  </si>
  <si>
    <t>挡圈厚度t</t>
  </si>
  <si>
    <t>b      约</t>
  </si>
  <si>
    <t>a     约</t>
  </si>
  <si>
    <t>d0    最小</t>
  </si>
  <si>
    <t>d5</t>
  </si>
  <si>
    <t>切槽直径d2</t>
  </si>
  <si>
    <t>切槽宽度m</t>
  </si>
  <si>
    <t>0              -0.09</t>
  </si>
  <si>
    <t>0              -0.11</t>
  </si>
  <si>
    <t>±0.18</t>
  </si>
  <si>
    <t>±0.06</t>
  </si>
  <si>
    <t>±0.20</t>
  </si>
  <si>
    <t>0              -0.21</t>
  </si>
  <si>
    <t>1.6*</t>
  </si>
  <si>
    <t>0                -0.25</t>
  </si>
  <si>
    <t>±0.25</t>
  </si>
  <si>
    <t>±0.07</t>
  </si>
  <si>
    <t>±0.40</t>
  </si>
  <si>
    <t>±0.45</t>
  </si>
  <si>
    <t>0            -0.3</t>
  </si>
  <si>
    <t>±0.08</t>
  </si>
  <si>
    <t>±0.09</t>
  </si>
  <si>
    <t>0               -0.35</t>
  </si>
  <si>
    <t>0.18          0</t>
  </si>
  <si>
    <t>±0.55</t>
  </si>
  <si>
    <t>0                      -0.54</t>
  </si>
  <si>
    <t>0                     -0.63</t>
  </si>
  <si>
    <t>孔用弹性挡圈尺寸表</t>
  </si>
  <si>
    <t>可适用之孔（参考）</t>
  </si>
  <si>
    <t>沟槽直径d2</t>
  </si>
  <si>
    <t>沟槽宽度m</t>
  </si>
  <si>
    <t>0.11              0</t>
  </si>
  <si>
    <t>0.21              0</t>
  </si>
  <si>
    <t>0.25                0</t>
  </si>
  <si>
    <t>1.75*</t>
  </si>
  <si>
    <t>0.3            0</t>
  </si>
  <si>
    <t>0.35               0</t>
  </si>
  <si>
    <t>0.18                     0</t>
  </si>
  <si>
    <t>0.54                     0</t>
  </si>
  <si>
    <t>±0.65</t>
  </si>
  <si>
    <t>0.63                     0</t>
  </si>
  <si>
    <t xml:space="preserve">     齿轮齿条传动设计计算              </t>
  </si>
  <si>
    <t>编号：</t>
  </si>
  <si>
    <r>
      <rPr>
        <b/>
        <sz val="10"/>
        <color indexed="23"/>
        <rFont val="宋体"/>
        <charset val="134"/>
      </rPr>
      <t>说明：</t>
    </r>
    <r>
      <rPr>
        <sz val="10"/>
        <color indexed="23"/>
        <rFont val="宋体"/>
        <charset val="134"/>
      </rPr>
      <t xml:space="preserve">本程序适用于轴交角为 </t>
    </r>
    <r>
      <rPr>
        <sz val="10"/>
        <color indexed="23"/>
        <rFont val="Times New Roman"/>
        <family val="1"/>
      </rPr>
      <t xml:space="preserve">0 </t>
    </r>
    <r>
      <rPr>
        <sz val="10"/>
        <color indexed="23"/>
        <rFont val="宋体"/>
        <charset val="134"/>
      </rPr>
      <t>度的变位和非变位直齿、斜齿渐开线圆柱齿轮与齿条传动的设计计算。公差数值</t>
    </r>
  </si>
  <si>
    <r>
      <rPr>
        <sz val="10"/>
        <color indexed="23"/>
        <rFont val="Times New Roman"/>
        <family val="1"/>
      </rPr>
      <t xml:space="preserve">              </t>
    </r>
    <r>
      <rPr>
        <sz val="10"/>
        <color indexed="23"/>
        <rFont val="宋体"/>
        <charset val="134"/>
      </rPr>
      <t xml:space="preserve">是按照法向模数 </t>
    </r>
    <r>
      <rPr>
        <sz val="10"/>
        <color indexed="23"/>
        <rFont val="Times New Roman"/>
        <family val="1"/>
      </rPr>
      <t xml:space="preserve">1 </t>
    </r>
    <r>
      <rPr>
        <sz val="10"/>
        <color indexed="23"/>
        <rFont val="宋体"/>
        <charset val="134"/>
      </rPr>
      <t>至</t>
    </r>
    <r>
      <rPr>
        <sz val="10"/>
        <color indexed="23"/>
        <rFont val="Times New Roman"/>
        <family val="1"/>
      </rPr>
      <t xml:space="preserve"> 10 </t>
    </r>
    <r>
      <rPr>
        <sz val="10"/>
        <color indexed="23"/>
        <rFont val="宋体"/>
        <charset val="134"/>
      </rPr>
      <t>毫米，齿条长度</t>
    </r>
    <r>
      <rPr>
        <sz val="10"/>
        <color indexed="23"/>
        <rFont val="Times New Roman"/>
        <family val="1"/>
      </rPr>
      <t xml:space="preserve"> 1600 </t>
    </r>
    <r>
      <rPr>
        <sz val="10"/>
        <color indexed="23"/>
        <rFont val="宋体"/>
        <charset val="134"/>
      </rPr>
      <t>毫米以下，精度等级 3、4、5、6、7、8 级设定的。可进行</t>
    </r>
  </si>
  <si>
    <r>
      <rPr>
        <sz val="10"/>
        <color indexed="23"/>
        <rFont val="Times New Roman"/>
        <family val="1"/>
      </rPr>
      <t xml:space="preserve">              </t>
    </r>
    <r>
      <rPr>
        <sz val="10"/>
        <color indexed="23"/>
        <rFont val="宋体"/>
        <charset val="134"/>
      </rPr>
      <t>几何参数计算和传动质量指标的验算。</t>
    </r>
  </si>
  <si>
    <r>
      <rPr>
        <b/>
        <sz val="10"/>
        <color indexed="23"/>
        <rFont val="宋体"/>
        <charset val="134"/>
      </rPr>
      <t>引用标准：</t>
    </r>
    <r>
      <rPr>
        <sz val="10"/>
        <color indexed="23"/>
        <rFont val="Times New Roman"/>
        <family val="1"/>
      </rPr>
      <t xml:space="preserve">GB 10096--88   </t>
    </r>
    <r>
      <rPr>
        <sz val="10"/>
        <color indexed="23"/>
        <rFont val="宋体"/>
        <charset val="134"/>
      </rPr>
      <t>齿条精度，</t>
    </r>
    <r>
      <rPr>
        <sz val="10"/>
        <color indexed="23"/>
        <rFont val="Times New Roman"/>
        <family val="1"/>
      </rPr>
      <t xml:space="preserve">  GB 10095--88   </t>
    </r>
    <r>
      <rPr>
        <sz val="10"/>
        <color indexed="23"/>
        <rFont val="宋体"/>
        <charset val="134"/>
      </rPr>
      <t>渐开线圆柱齿轮</t>
    </r>
    <r>
      <rPr>
        <sz val="10"/>
        <color indexed="23"/>
        <rFont val="Times New Roman"/>
        <family val="1"/>
      </rPr>
      <t xml:space="preserve">  </t>
    </r>
    <r>
      <rPr>
        <sz val="10"/>
        <color indexed="23"/>
        <rFont val="宋体"/>
        <charset val="134"/>
      </rPr>
      <t>精度</t>
    </r>
  </si>
  <si>
    <r>
      <rPr>
        <b/>
        <sz val="10"/>
        <color indexed="23"/>
        <rFont val="宋体"/>
        <charset val="134"/>
      </rPr>
      <t>主要参考书目：</t>
    </r>
    <r>
      <rPr>
        <sz val="10"/>
        <color indexed="23"/>
        <rFont val="宋体"/>
        <charset val="134"/>
      </rPr>
      <t>《齿轮手册》</t>
    </r>
    <r>
      <rPr>
        <sz val="10"/>
        <color indexed="23"/>
        <rFont val="Times New Roman"/>
        <family val="1"/>
      </rPr>
      <t xml:space="preserve"> </t>
    </r>
    <r>
      <rPr>
        <sz val="10"/>
        <color indexed="23"/>
        <rFont val="宋体"/>
        <charset val="134"/>
      </rPr>
      <t>上、下册，</t>
    </r>
    <r>
      <rPr>
        <sz val="10"/>
        <color indexed="23"/>
        <rFont val="Times New Roman"/>
        <family val="1"/>
      </rPr>
      <t xml:space="preserve">    </t>
    </r>
    <r>
      <rPr>
        <sz val="10"/>
        <color indexed="23"/>
        <rFont val="宋体"/>
        <charset val="134"/>
      </rPr>
      <t>《机床设计手册》</t>
    </r>
    <r>
      <rPr>
        <sz val="10"/>
        <color indexed="23"/>
        <rFont val="Times New Roman"/>
        <family val="1"/>
      </rPr>
      <t xml:space="preserve"> 2  </t>
    </r>
    <r>
      <rPr>
        <sz val="10"/>
        <color indexed="23"/>
        <rFont val="宋体"/>
        <charset val="134"/>
      </rPr>
      <t>上册</t>
    </r>
  </si>
  <si>
    <r>
      <rPr>
        <sz val="10"/>
        <color indexed="23"/>
        <rFont val="宋体"/>
        <charset val="134"/>
      </rPr>
      <t>程序设计：</t>
    </r>
    <r>
      <rPr>
        <sz val="10"/>
        <color indexed="23"/>
        <rFont val="Times New Roman"/>
        <family val="1"/>
      </rPr>
      <t xml:space="preserve">  </t>
    </r>
    <r>
      <rPr>
        <sz val="10"/>
        <color indexed="23"/>
        <rFont val="宋体"/>
        <charset val="134"/>
      </rPr>
      <t>邓时俊 2002.06</t>
    </r>
  </si>
  <si>
    <r>
      <rPr>
        <b/>
        <sz val="10"/>
        <color indexed="12"/>
        <rFont val="宋体"/>
        <charset val="134"/>
      </rPr>
      <t>注意：</t>
    </r>
    <r>
      <rPr>
        <sz val="10"/>
        <color indexed="12"/>
        <rFont val="宋体"/>
        <charset val="134"/>
      </rPr>
      <t>本程序有“</t>
    </r>
    <r>
      <rPr>
        <sz val="10"/>
        <color indexed="10"/>
        <rFont val="宋体"/>
        <charset val="134"/>
      </rPr>
      <t>单变量求解</t>
    </r>
    <r>
      <rPr>
        <sz val="10"/>
        <color indexed="12"/>
        <rFont val="宋体"/>
        <charset val="134"/>
      </rPr>
      <t>”，应从</t>
    </r>
    <r>
      <rPr>
        <sz val="10"/>
        <color indexed="10"/>
        <rFont val="宋体"/>
        <charset val="134"/>
      </rPr>
      <t>工具</t>
    </r>
    <r>
      <rPr>
        <sz val="10"/>
        <color indexed="12"/>
        <rFont val="宋体"/>
        <charset val="134"/>
      </rPr>
      <t>--</t>
    </r>
    <r>
      <rPr>
        <sz val="10"/>
        <color indexed="10"/>
        <rFont val="宋体"/>
        <charset val="134"/>
      </rPr>
      <t>选项</t>
    </r>
    <r>
      <rPr>
        <sz val="10"/>
        <color indexed="12"/>
        <rFont val="宋体"/>
        <charset val="134"/>
      </rPr>
      <t>--</t>
    </r>
    <r>
      <rPr>
        <sz val="10"/>
        <color indexed="10"/>
        <rFont val="宋体"/>
        <charset val="134"/>
      </rPr>
      <t>重新计算</t>
    </r>
    <r>
      <rPr>
        <sz val="10"/>
        <color indexed="12"/>
        <rFont val="宋体"/>
        <charset val="134"/>
      </rPr>
      <t>中设置</t>
    </r>
    <r>
      <rPr>
        <sz val="10"/>
        <color indexed="10"/>
        <rFont val="宋体"/>
        <charset val="134"/>
      </rPr>
      <t>反复操作</t>
    </r>
    <r>
      <rPr>
        <sz val="10"/>
        <color indexed="12"/>
        <rFont val="宋体"/>
        <charset val="134"/>
      </rPr>
      <t>，最多迭代次数</t>
    </r>
    <r>
      <rPr>
        <sz val="10"/>
        <color indexed="10"/>
        <rFont val="宋体"/>
        <charset val="134"/>
      </rPr>
      <t>10000</t>
    </r>
    <r>
      <rPr>
        <sz val="10"/>
        <color indexed="12"/>
        <rFont val="宋体"/>
        <charset val="134"/>
      </rPr>
      <t>，最大误差</t>
    </r>
    <r>
      <rPr>
        <sz val="10"/>
        <color indexed="10"/>
        <rFont val="宋体"/>
        <charset val="134"/>
      </rPr>
      <t>0.00001</t>
    </r>
    <r>
      <rPr>
        <sz val="10"/>
        <color indexed="12"/>
        <rFont val="宋体"/>
        <charset val="134"/>
      </rPr>
      <t>。</t>
    </r>
  </si>
  <si>
    <r>
      <rPr>
        <b/>
        <sz val="10"/>
        <color indexed="12"/>
        <rFont val="宋体"/>
        <charset val="134"/>
      </rPr>
      <t>说明：</t>
    </r>
    <r>
      <rPr>
        <sz val="10"/>
        <color indexed="12"/>
        <rFont val="宋体"/>
        <charset val="134"/>
      </rPr>
      <t>请在</t>
    </r>
    <r>
      <rPr>
        <b/>
        <sz val="10"/>
        <color indexed="12"/>
        <rFont val="宋体"/>
        <charset val="134"/>
      </rPr>
      <t>兰</t>
    </r>
    <r>
      <rPr>
        <sz val="10"/>
        <color indexed="12"/>
        <rFont val="宋体"/>
        <charset val="134"/>
      </rPr>
      <t>色框中输入已定或初定数据（黄色框中为判断或参考数据）。输出数据在最后列表，可单独打印。</t>
    </r>
  </si>
  <si>
    <t>产品型号：</t>
  </si>
  <si>
    <r>
      <rPr>
        <sz val="10"/>
        <rFont val="宋体"/>
        <charset val="134"/>
      </rPr>
      <t>订</t>
    </r>
    <r>
      <rPr>
        <sz val="10"/>
        <rFont val="Times New Roman"/>
        <family val="1"/>
      </rPr>
      <t xml:space="preserve">  </t>
    </r>
    <r>
      <rPr>
        <sz val="10"/>
        <rFont val="宋体"/>
        <charset val="134"/>
      </rPr>
      <t>货</t>
    </r>
    <r>
      <rPr>
        <sz val="10"/>
        <rFont val="Times New Roman"/>
        <family val="1"/>
      </rPr>
      <t xml:space="preserve">  </t>
    </r>
    <r>
      <rPr>
        <sz val="10"/>
        <rFont val="宋体"/>
        <charset val="134"/>
      </rPr>
      <t>号：</t>
    </r>
  </si>
  <si>
    <t>零件件号：</t>
  </si>
  <si>
    <r>
      <rPr>
        <sz val="10"/>
        <rFont val="宋体"/>
        <charset val="134"/>
      </rPr>
      <t>计</t>
    </r>
    <r>
      <rPr>
        <sz val="10"/>
        <rFont val="Times New Roman"/>
        <family val="1"/>
      </rPr>
      <t xml:space="preserve"> </t>
    </r>
    <r>
      <rPr>
        <sz val="10"/>
        <rFont val="宋体"/>
        <charset val="134"/>
      </rPr>
      <t>算 人</t>
    </r>
    <r>
      <rPr>
        <sz val="10"/>
        <rFont val="Times New Roman"/>
        <family val="1"/>
      </rPr>
      <t xml:space="preserve"> </t>
    </r>
    <r>
      <rPr>
        <sz val="10"/>
        <rFont val="宋体"/>
        <charset val="134"/>
      </rPr>
      <t>：</t>
    </r>
  </si>
  <si>
    <t>计算日期：</t>
  </si>
  <si>
    <r>
      <rPr>
        <sz val="12"/>
        <rFont val="宋体"/>
        <charset val="134"/>
      </rPr>
      <t>齿</t>
    </r>
    <r>
      <rPr>
        <sz val="12"/>
        <rFont val="Times New Roman"/>
        <family val="1"/>
      </rPr>
      <t xml:space="preserve">   </t>
    </r>
    <r>
      <rPr>
        <sz val="12"/>
        <rFont val="宋体"/>
        <charset val="134"/>
      </rPr>
      <t>轮</t>
    </r>
    <r>
      <rPr>
        <sz val="12"/>
        <rFont val="Times New Roman"/>
        <family val="1"/>
      </rPr>
      <t xml:space="preserve">   </t>
    </r>
    <r>
      <rPr>
        <sz val="12"/>
        <rFont val="宋体"/>
        <charset val="134"/>
      </rPr>
      <t>旋</t>
    </r>
    <r>
      <rPr>
        <sz val="12"/>
        <rFont val="Times New Roman"/>
        <family val="1"/>
      </rPr>
      <t xml:space="preserve">   </t>
    </r>
    <r>
      <rPr>
        <sz val="12"/>
        <rFont val="宋体"/>
        <charset val="134"/>
      </rPr>
      <t>向</t>
    </r>
  </si>
  <si>
    <r>
      <rPr>
        <sz val="10"/>
        <color indexed="12"/>
        <rFont val="宋体"/>
        <charset val="134"/>
      </rPr>
      <t xml:space="preserve">注：左旋输入 </t>
    </r>
    <r>
      <rPr>
        <b/>
        <sz val="10"/>
        <color indexed="10"/>
        <rFont val="Times New Roman"/>
        <family val="1"/>
      </rPr>
      <t>L</t>
    </r>
    <r>
      <rPr>
        <sz val="10"/>
        <color indexed="12"/>
        <rFont val="宋体"/>
        <charset val="134"/>
      </rPr>
      <t xml:space="preserve">，右旋输入 </t>
    </r>
    <r>
      <rPr>
        <b/>
        <sz val="10"/>
        <color indexed="10"/>
        <rFont val="Times New Roman"/>
        <family val="1"/>
      </rPr>
      <t>R</t>
    </r>
    <r>
      <rPr>
        <sz val="10"/>
        <color indexed="12"/>
        <rFont val="宋体"/>
        <charset val="134"/>
      </rPr>
      <t>，直齿不输入。</t>
    </r>
  </si>
  <si>
    <r>
      <rPr>
        <sz val="12"/>
        <rFont val="宋体"/>
        <charset val="134"/>
      </rPr>
      <t>齿</t>
    </r>
    <r>
      <rPr>
        <sz val="12"/>
        <rFont val="Times New Roman"/>
        <family val="1"/>
      </rPr>
      <t xml:space="preserve">   </t>
    </r>
    <r>
      <rPr>
        <sz val="12"/>
        <rFont val="宋体"/>
        <charset val="134"/>
      </rPr>
      <t>条</t>
    </r>
    <r>
      <rPr>
        <sz val="12"/>
        <rFont val="Times New Roman"/>
        <family val="1"/>
      </rPr>
      <t xml:space="preserve">   </t>
    </r>
    <r>
      <rPr>
        <sz val="12"/>
        <rFont val="宋体"/>
        <charset val="134"/>
      </rPr>
      <t>旋</t>
    </r>
    <r>
      <rPr>
        <sz val="12"/>
        <rFont val="Times New Roman"/>
        <family val="1"/>
      </rPr>
      <t xml:space="preserve">   </t>
    </r>
    <r>
      <rPr>
        <sz val="12"/>
        <rFont val="宋体"/>
        <charset val="134"/>
      </rPr>
      <t>向</t>
    </r>
  </si>
  <si>
    <r>
      <rPr>
        <sz val="12"/>
        <rFont val="宋体"/>
        <charset val="134"/>
      </rPr>
      <t>齿</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数</t>
    </r>
  </si>
  <si>
    <r>
      <rPr>
        <sz val="12"/>
        <rFont val="Times New Roman"/>
        <family val="1"/>
      </rPr>
      <t>Z</t>
    </r>
    <r>
      <rPr>
        <sz val="10"/>
        <rFont val="Times New Roman"/>
        <family val="1"/>
      </rPr>
      <t>1</t>
    </r>
  </si>
  <si>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模</t>
    </r>
    <r>
      <rPr>
        <sz val="12"/>
        <rFont val="Times New Roman"/>
        <family val="1"/>
      </rPr>
      <t xml:space="preserve">   </t>
    </r>
    <r>
      <rPr>
        <sz val="12"/>
        <rFont val="宋体"/>
        <charset val="134"/>
      </rPr>
      <t>数</t>
    </r>
  </si>
  <si>
    <r>
      <rPr>
        <sz val="12"/>
        <rFont val="Times New Roman"/>
        <family val="1"/>
      </rPr>
      <t xml:space="preserve">m </t>
    </r>
    <r>
      <rPr>
        <sz val="10"/>
        <rFont val="Times New Roman"/>
        <family val="1"/>
      </rPr>
      <t>n</t>
    </r>
  </si>
  <si>
    <t>毫米</t>
  </si>
  <si>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压</t>
    </r>
    <r>
      <rPr>
        <sz val="12"/>
        <rFont val="Times New Roman"/>
        <family val="1"/>
      </rPr>
      <t xml:space="preserve"> </t>
    </r>
    <r>
      <rPr>
        <sz val="12"/>
        <rFont val="宋体"/>
        <charset val="134"/>
      </rPr>
      <t>力</t>
    </r>
    <r>
      <rPr>
        <sz val="12"/>
        <rFont val="Times New Roman"/>
        <family val="1"/>
      </rPr>
      <t xml:space="preserve"> </t>
    </r>
    <r>
      <rPr>
        <sz val="12"/>
        <rFont val="宋体"/>
        <charset val="134"/>
      </rPr>
      <t>角</t>
    </r>
  </si>
  <si>
    <r>
      <rPr>
        <sz val="12"/>
        <rFont val="宋体"/>
        <charset val="134"/>
      </rPr>
      <t>α</t>
    </r>
    <r>
      <rPr>
        <sz val="10"/>
        <rFont val="宋体"/>
        <charset val="134"/>
      </rPr>
      <t>n</t>
    </r>
  </si>
  <si>
    <r>
      <rPr>
        <sz val="12"/>
        <rFont val="宋体"/>
        <charset val="134"/>
      </rPr>
      <t>螺</t>
    </r>
    <r>
      <rPr>
        <sz val="12"/>
        <rFont val="Times New Roman"/>
        <family val="1"/>
      </rPr>
      <t xml:space="preserve">      </t>
    </r>
    <r>
      <rPr>
        <sz val="12"/>
        <rFont val="宋体"/>
        <charset val="134"/>
      </rPr>
      <t>旋      角</t>
    </r>
  </si>
  <si>
    <r>
      <rPr>
        <sz val="12"/>
        <rFont val="宋体"/>
        <charset val="134"/>
      </rPr>
      <t>β</t>
    </r>
    <r>
      <rPr>
        <sz val="9"/>
        <rFont val="Times New Roman"/>
        <family val="1"/>
      </rPr>
      <t>f</t>
    </r>
  </si>
  <si>
    <r>
      <rPr>
        <sz val="12"/>
        <rFont val="宋体"/>
        <charset val="134"/>
      </rPr>
      <t>有</t>
    </r>
    <r>
      <rPr>
        <sz val="12"/>
        <rFont val="Times New Roman"/>
        <family val="1"/>
      </rPr>
      <t xml:space="preserve">   </t>
    </r>
    <r>
      <rPr>
        <sz val="12"/>
        <rFont val="宋体"/>
        <charset val="134"/>
      </rPr>
      <t>效</t>
    </r>
    <r>
      <rPr>
        <sz val="12"/>
        <rFont val="Times New Roman"/>
        <family val="1"/>
      </rPr>
      <t xml:space="preserve">   </t>
    </r>
    <r>
      <rPr>
        <sz val="12"/>
        <rFont val="宋体"/>
        <charset val="134"/>
      </rPr>
      <t>齿</t>
    </r>
    <r>
      <rPr>
        <sz val="12"/>
        <rFont val="Times New Roman"/>
        <family val="1"/>
      </rPr>
      <t xml:space="preserve">   </t>
    </r>
    <r>
      <rPr>
        <sz val="12"/>
        <rFont val="宋体"/>
        <charset val="134"/>
      </rPr>
      <t>宽</t>
    </r>
  </si>
  <si>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高</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</si>
  <si>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t>ha*</t>
  </si>
  <si>
    <r>
      <rPr>
        <sz val="10"/>
        <color indexed="12"/>
        <rFont val="宋体"/>
        <charset val="134"/>
      </rPr>
      <t xml:space="preserve">注：如不输入，则默认 ha* = </t>
    </r>
    <r>
      <rPr>
        <b/>
        <sz val="10"/>
        <color indexed="10"/>
        <rFont val="宋体"/>
        <charset val="134"/>
      </rPr>
      <t>1</t>
    </r>
  </si>
  <si>
    <t>齿顶倒棱系数</t>
  </si>
  <si>
    <t>hd*</t>
  </si>
  <si>
    <r>
      <rPr>
        <sz val="12"/>
        <rFont val="宋体"/>
        <charset val="134"/>
      </rPr>
      <t>顶</t>
    </r>
    <r>
      <rPr>
        <sz val="12"/>
        <rFont val="Times New Roman"/>
        <family val="1"/>
      </rPr>
      <t xml:space="preserve">   </t>
    </r>
    <r>
      <rPr>
        <sz val="12"/>
        <rFont val="宋体"/>
        <charset val="134"/>
      </rPr>
      <t>隙</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</si>
  <si>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t>c*</t>
  </si>
  <si>
    <r>
      <rPr>
        <sz val="10"/>
        <color indexed="12"/>
        <rFont val="宋体"/>
        <charset val="134"/>
      </rPr>
      <t xml:space="preserve">注：如不输入，则默认 c* = </t>
    </r>
    <r>
      <rPr>
        <b/>
        <sz val="10"/>
        <color indexed="10"/>
        <rFont val="宋体"/>
        <charset val="134"/>
      </rPr>
      <t>0.25</t>
    </r>
  </si>
  <si>
    <t>径向变位系数</t>
  </si>
  <si>
    <r>
      <rPr>
        <sz val="12"/>
        <rFont val="Times New Roman"/>
        <family val="1"/>
      </rPr>
      <t>x</t>
    </r>
    <r>
      <rPr>
        <sz val="10"/>
        <rFont val="Times New Roman"/>
        <family val="1"/>
      </rPr>
      <t>1</t>
    </r>
  </si>
  <si>
    <r>
      <rPr>
        <sz val="10"/>
        <color indexed="12"/>
        <rFont val="宋体"/>
        <charset val="134"/>
      </rPr>
      <t>说明：在下面输入</t>
    </r>
    <r>
      <rPr>
        <sz val="10"/>
        <color indexed="10"/>
        <rFont val="宋体"/>
        <charset val="134"/>
      </rPr>
      <t>安装距</t>
    </r>
    <r>
      <rPr>
        <sz val="10"/>
        <color indexed="12"/>
        <rFont val="宋体"/>
        <charset val="134"/>
      </rPr>
      <t>或</t>
    </r>
    <r>
      <rPr>
        <sz val="10"/>
        <color indexed="10"/>
        <rFont val="宋体"/>
        <charset val="134"/>
      </rPr>
      <t>齿条分度线至基准面距离</t>
    </r>
    <r>
      <rPr>
        <sz val="10"/>
        <color indexed="12"/>
        <rFont val="宋体"/>
        <charset val="134"/>
      </rPr>
      <t>，二者只输入其中之一。</t>
    </r>
  </si>
  <si>
    <r>
      <rPr>
        <sz val="12"/>
        <rFont val="宋体"/>
        <charset val="134"/>
      </rPr>
      <t>齿</t>
    </r>
    <r>
      <rPr>
        <sz val="12"/>
        <rFont val="Times New Roman"/>
        <family val="1"/>
      </rPr>
      <t xml:space="preserve">   </t>
    </r>
    <r>
      <rPr>
        <sz val="12"/>
        <rFont val="宋体"/>
        <charset val="134"/>
      </rPr>
      <t>条</t>
    </r>
    <r>
      <rPr>
        <sz val="12"/>
        <rFont val="Times New Roman"/>
        <family val="1"/>
      </rPr>
      <t xml:space="preserve">   </t>
    </r>
    <r>
      <rPr>
        <sz val="12"/>
        <rFont val="宋体"/>
        <charset val="134"/>
      </rPr>
      <t>长</t>
    </r>
    <r>
      <rPr>
        <sz val="12"/>
        <rFont val="Times New Roman"/>
        <family val="1"/>
      </rPr>
      <t xml:space="preserve">   </t>
    </r>
    <r>
      <rPr>
        <sz val="12"/>
        <rFont val="宋体"/>
        <charset val="134"/>
      </rPr>
      <t>度</t>
    </r>
  </si>
  <si>
    <r>
      <rPr>
        <sz val="12"/>
        <rFont val="Times New Roman"/>
        <family val="1"/>
      </rPr>
      <t>L</t>
    </r>
    <r>
      <rPr>
        <sz val="10"/>
        <rFont val="Times New Roman"/>
        <family val="1"/>
      </rPr>
      <t>2</t>
    </r>
  </si>
  <si>
    <t>第Ⅰ公差组精度等级</t>
  </si>
  <si>
    <t>第Ⅱ公差组精度等级</t>
  </si>
  <si>
    <t>第Ⅲ公差组精度等级</t>
  </si>
  <si>
    <r>
      <rPr>
        <sz val="10"/>
        <color indexed="12"/>
        <rFont val="宋体"/>
        <charset val="134"/>
      </rPr>
      <t>输入方式</t>
    </r>
    <r>
      <rPr>
        <sz val="10"/>
        <color indexed="12"/>
        <rFont val="Times New Roman"/>
        <family val="1"/>
      </rPr>
      <t xml:space="preserve"> 1</t>
    </r>
    <r>
      <rPr>
        <sz val="10"/>
        <color indexed="12"/>
        <rFont val="宋体"/>
        <charset val="134"/>
      </rPr>
      <t>：</t>
    </r>
  </si>
  <si>
    <t>齿轮齿厚上偏差代码</t>
  </si>
  <si>
    <r>
      <rPr>
        <sz val="10"/>
        <color indexed="12"/>
        <rFont val="宋体"/>
        <charset val="134"/>
      </rPr>
      <t>注：齿厚极限偏差共</t>
    </r>
    <r>
      <rPr>
        <sz val="10"/>
        <color indexed="10"/>
        <rFont val="Times New Roman"/>
        <family val="1"/>
      </rPr>
      <t xml:space="preserve">14 </t>
    </r>
    <r>
      <rPr>
        <sz val="10"/>
        <color indexed="12"/>
        <rFont val="宋体"/>
        <charset val="134"/>
      </rPr>
      <t>种，越往后间隙越大：</t>
    </r>
    <r>
      <rPr>
        <sz val="10"/>
        <color indexed="10"/>
        <rFont val="Times New Roman"/>
        <family val="1"/>
      </rPr>
      <t>C</t>
    </r>
    <r>
      <rPr>
        <sz val="10"/>
        <color indexed="12"/>
        <rFont val="Times New Roman"/>
        <family val="1"/>
      </rPr>
      <t>=+fpt</t>
    </r>
    <r>
      <rPr>
        <sz val="10"/>
        <color indexed="12"/>
        <rFont val="宋体"/>
        <charset val="134"/>
      </rPr>
      <t>，</t>
    </r>
    <r>
      <rPr>
        <sz val="10"/>
        <color indexed="10"/>
        <rFont val="宋体"/>
        <charset val="134"/>
      </rPr>
      <t>D</t>
    </r>
    <r>
      <rPr>
        <sz val="10"/>
        <color indexed="12"/>
        <rFont val="宋体"/>
        <charset val="134"/>
      </rPr>
      <t>=0，</t>
    </r>
    <r>
      <rPr>
        <sz val="10"/>
        <color indexed="10"/>
        <rFont val="宋体"/>
        <charset val="134"/>
      </rPr>
      <t>E</t>
    </r>
    <r>
      <rPr>
        <sz val="10"/>
        <color indexed="12"/>
        <rFont val="宋体"/>
        <charset val="134"/>
      </rPr>
      <t>=-2fpt，</t>
    </r>
    <r>
      <rPr>
        <sz val="10"/>
        <color indexed="10"/>
        <rFont val="宋体"/>
        <charset val="134"/>
      </rPr>
      <t>F</t>
    </r>
    <r>
      <rPr>
        <sz val="10"/>
        <color indexed="12"/>
        <rFont val="宋体"/>
        <charset val="134"/>
      </rPr>
      <t>=-4fpt，</t>
    </r>
  </si>
  <si>
    <t>齿轮齿厚下偏差代码</t>
  </si>
  <si>
    <r>
      <rPr>
        <sz val="10"/>
        <color indexed="12"/>
        <rFont val="Times New Roman"/>
        <family val="1"/>
      </rPr>
      <t xml:space="preserve">        </t>
    </r>
    <r>
      <rPr>
        <sz val="10"/>
        <color indexed="10"/>
        <rFont val="宋体"/>
        <charset val="134"/>
      </rPr>
      <t>G</t>
    </r>
    <r>
      <rPr>
        <sz val="10"/>
        <color indexed="12"/>
        <rFont val="宋体"/>
        <charset val="134"/>
      </rPr>
      <t>，</t>
    </r>
    <r>
      <rPr>
        <sz val="10"/>
        <color indexed="10"/>
        <rFont val="宋体"/>
        <charset val="134"/>
      </rPr>
      <t>H</t>
    </r>
    <r>
      <rPr>
        <sz val="10"/>
        <color indexed="12"/>
        <rFont val="宋体"/>
        <charset val="134"/>
      </rPr>
      <t>，</t>
    </r>
    <r>
      <rPr>
        <sz val="10"/>
        <color indexed="10"/>
        <rFont val="宋体"/>
        <charset val="134"/>
      </rPr>
      <t>J</t>
    </r>
    <r>
      <rPr>
        <sz val="10"/>
        <color indexed="12"/>
        <rFont val="宋体"/>
        <charset val="134"/>
      </rPr>
      <t>，</t>
    </r>
    <r>
      <rPr>
        <sz val="10"/>
        <color indexed="10"/>
        <rFont val="宋体"/>
        <charset val="134"/>
      </rPr>
      <t>K</t>
    </r>
    <r>
      <rPr>
        <sz val="10"/>
        <color indexed="12"/>
        <rFont val="宋体"/>
        <charset val="134"/>
      </rPr>
      <t>，</t>
    </r>
    <r>
      <rPr>
        <sz val="10"/>
        <color indexed="10"/>
        <rFont val="宋体"/>
        <charset val="134"/>
      </rPr>
      <t>L</t>
    </r>
    <r>
      <rPr>
        <sz val="10"/>
        <color indexed="12"/>
        <rFont val="宋体"/>
        <charset val="134"/>
      </rPr>
      <t>，</t>
    </r>
    <r>
      <rPr>
        <sz val="10"/>
        <color indexed="10"/>
        <rFont val="宋体"/>
        <charset val="134"/>
      </rPr>
      <t>M</t>
    </r>
    <r>
      <rPr>
        <sz val="10"/>
        <color indexed="12"/>
        <rFont val="宋体"/>
        <charset val="134"/>
      </rPr>
      <t>，</t>
    </r>
    <r>
      <rPr>
        <sz val="10"/>
        <color indexed="10"/>
        <rFont val="宋体"/>
        <charset val="134"/>
      </rPr>
      <t>N</t>
    </r>
    <r>
      <rPr>
        <sz val="10"/>
        <color indexed="12"/>
        <rFont val="宋体"/>
        <charset val="134"/>
      </rPr>
      <t>，</t>
    </r>
    <r>
      <rPr>
        <sz val="10"/>
        <color indexed="10"/>
        <rFont val="宋体"/>
        <charset val="134"/>
      </rPr>
      <t>P</t>
    </r>
    <r>
      <rPr>
        <sz val="10"/>
        <color indexed="12"/>
        <rFont val="宋体"/>
        <charset val="134"/>
      </rPr>
      <t>，</t>
    </r>
    <r>
      <rPr>
        <sz val="10"/>
        <color indexed="10"/>
        <rFont val="宋体"/>
        <charset val="134"/>
      </rPr>
      <t>R</t>
    </r>
    <r>
      <rPr>
        <sz val="10"/>
        <color indexed="12"/>
        <rFont val="宋体"/>
        <charset val="134"/>
      </rPr>
      <t>=-40f</t>
    </r>
    <r>
      <rPr>
        <sz val="8"/>
        <color indexed="12"/>
        <rFont val="宋体"/>
        <charset val="134"/>
      </rPr>
      <t>pt</t>
    </r>
    <r>
      <rPr>
        <sz val="10"/>
        <color indexed="12"/>
        <rFont val="宋体"/>
        <charset val="134"/>
      </rPr>
      <t>，</t>
    </r>
    <r>
      <rPr>
        <sz val="10"/>
        <color indexed="10"/>
        <rFont val="宋体"/>
        <charset val="134"/>
      </rPr>
      <t>S</t>
    </r>
    <r>
      <rPr>
        <sz val="10"/>
        <color indexed="12"/>
        <rFont val="宋体"/>
        <charset val="134"/>
      </rPr>
      <t>=-50f</t>
    </r>
    <r>
      <rPr>
        <sz val="8"/>
        <color indexed="12"/>
        <rFont val="宋体"/>
        <charset val="134"/>
      </rPr>
      <t xml:space="preserve">pt </t>
    </r>
    <r>
      <rPr>
        <sz val="10"/>
        <color indexed="12"/>
        <rFont val="宋体"/>
        <charset val="134"/>
      </rPr>
      <t>（单位：微米）</t>
    </r>
  </si>
  <si>
    <t>齿条齿厚上偏差代码</t>
  </si>
  <si>
    <t>齿条齿厚下偏差代码</t>
  </si>
  <si>
    <r>
      <rPr>
        <sz val="12"/>
        <rFont val="宋体"/>
        <charset val="134"/>
      </rPr>
      <t>最</t>
    </r>
    <r>
      <rPr>
        <sz val="12"/>
        <rFont val="宋体"/>
        <charset val="134"/>
      </rPr>
      <t>小</t>
    </r>
    <r>
      <rPr>
        <sz val="12"/>
        <rFont val="宋体"/>
        <charset val="134"/>
      </rPr>
      <t>法</t>
    </r>
    <r>
      <rPr>
        <sz val="12"/>
        <rFont val="宋体"/>
        <charset val="134"/>
      </rPr>
      <t>向</t>
    </r>
    <r>
      <rPr>
        <sz val="12"/>
        <rFont val="宋体"/>
        <charset val="134"/>
      </rPr>
      <t>侧</t>
    </r>
    <r>
      <rPr>
        <sz val="12"/>
        <rFont val="宋体"/>
        <charset val="134"/>
      </rPr>
      <t>隙</t>
    </r>
  </si>
  <si>
    <r>
      <rPr>
        <sz val="12"/>
        <rFont val="Times New Roman"/>
        <family val="1"/>
      </rPr>
      <t>jn</t>
    </r>
    <r>
      <rPr>
        <sz val="10"/>
        <rFont val="Times New Roman"/>
        <family val="1"/>
      </rPr>
      <t>min</t>
    </r>
  </si>
  <si>
    <r>
      <rPr>
        <sz val="12"/>
        <rFont val="宋体"/>
        <charset val="134"/>
      </rPr>
      <t>最</t>
    </r>
    <r>
      <rPr>
        <sz val="12"/>
        <rFont val="宋体"/>
        <charset val="134"/>
      </rPr>
      <t>大</t>
    </r>
    <r>
      <rPr>
        <sz val="12"/>
        <rFont val="宋体"/>
        <charset val="134"/>
      </rPr>
      <t>法</t>
    </r>
    <r>
      <rPr>
        <sz val="12"/>
        <rFont val="宋体"/>
        <charset val="134"/>
      </rPr>
      <t>向</t>
    </r>
    <r>
      <rPr>
        <sz val="12"/>
        <rFont val="宋体"/>
        <charset val="134"/>
      </rPr>
      <t>侧</t>
    </r>
    <r>
      <rPr>
        <sz val="12"/>
        <rFont val="宋体"/>
        <charset val="134"/>
      </rPr>
      <t>隙</t>
    </r>
  </si>
  <si>
    <r>
      <rPr>
        <sz val="12"/>
        <rFont val="Times New Roman"/>
        <family val="1"/>
      </rPr>
      <t>jn</t>
    </r>
    <r>
      <rPr>
        <sz val="10"/>
        <rFont val="Times New Roman"/>
        <family val="1"/>
      </rPr>
      <t>max</t>
    </r>
  </si>
  <si>
    <t>注：如果侧隙不合适，可重新选择齿厚极限偏差种类。</t>
  </si>
  <si>
    <r>
      <rPr>
        <sz val="10"/>
        <color indexed="12"/>
        <rFont val="宋体"/>
        <charset val="134"/>
      </rPr>
      <t>输入方式</t>
    </r>
    <r>
      <rPr>
        <sz val="10"/>
        <color indexed="12"/>
        <rFont val="Times New Roman"/>
        <family val="1"/>
      </rPr>
      <t xml:space="preserve"> 2</t>
    </r>
    <r>
      <rPr>
        <sz val="10"/>
        <color indexed="12"/>
        <rFont val="宋体"/>
        <charset val="134"/>
      </rPr>
      <t>：</t>
    </r>
  </si>
  <si>
    <t>说明：如在下面输入齿厚上、下偏差的具体数值，则不认上面已输入的齿厚上、下偏差种类代码。</t>
  </si>
  <si>
    <t>齿轮齿厚上偏差</t>
  </si>
  <si>
    <r>
      <rPr>
        <sz val="12"/>
        <rFont val="宋体"/>
        <charset val="134"/>
      </rPr>
      <t>E</t>
    </r>
    <r>
      <rPr>
        <sz val="10"/>
        <rFont val="宋体"/>
        <charset val="134"/>
      </rPr>
      <t>ss1</t>
    </r>
  </si>
  <si>
    <t>齿轮齿厚下偏差</t>
  </si>
  <si>
    <r>
      <rPr>
        <sz val="12"/>
        <rFont val="宋体"/>
        <charset val="134"/>
      </rPr>
      <t>E</t>
    </r>
    <r>
      <rPr>
        <sz val="10"/>
        <rFont val="宋体"/>
        <charset val="134"/>
      </rPr>
      <t>si1</t>
    </r>
  </si>
  <si>
    <t>齿条齿厚上偏差</t>
  </si>
  <si>
    <r>
      <rPr>
        <sz val="12"/>
        <rFont val="宋体"/>
        <charset val="134"/>
      </rPr>
      <t>E</t>
    </r>
    <r>
      <rPr>
        <sz val="10"/>
        <rFont val="宋体"/>
        <charset val="134"/>
      </rPr>
      <t>ss2</t>
    </r>
  </si>
  <si>
    <t>齿条齿厚下偏差</t>
  </si>
  <si>
    <r>
      <rPr>
        <sz val="12"/>
        <rFont val="宋体"/>
        <charset val="134"/>
      </rPr>
      <t>E</t>
    </r>
    <r>
      <rPr>
        <sz val="10"/>
        <rFont val="宋体"/>
        <charset val="134"/>
      </rPr>
      <t>si2</t>
    </r>
  </si>
  <si>
    <t>跨棒距测量：</t>
  </si>
  <si>
    <r>
      <rPr>
        <b/>
        <sz val="12"/>
        <rFont val="宋体"/>
        <charset val="134"/>
      </rPr>
      <t>齿</t>
    </r>
    <r>
      <rPr>
        <b/>
        <sz val="12"/>
        <rFont val="Times New Roman"/>
        <family val="1"/>
      </rPr>
      <t xml:space="preserve">   </t>
    </r>
    <r>
      <rPr>
        <b/>
        <sz val="12"/>
        <rFont val="宋体"/>
        <charset val="134"/>
      </rPr>
      <t xml:space="preserve">轮 </t>
    </r>
    <r>
      <rPr>
        <b/>
        <sz val="12"/>
        <rFont val="Times New Roman"/>
        <family val="1"/>
      </rPr>
      <t xml:space="preserve"> </t>
    </r>
  </si>
  <si>
    <r>
      <rPr>
        <b/>
        <sz val="12"/>
        <rFont val="宋体"/>
        <charset val="134"/>
      </rPr>
      <t>齿</t>
    </r>
    <r>
      <rPr>
        <b/>
        <sz val="12"/>
        <rFont val="Times New Roman"/>
        <family val="1"/>
      </rPr>
      <t xml:space="preserve">   </t>
    </r>
    <r>
      <rPr>
        <b/>
        <sz val="12"/>
        <rFont val="宋体"/>
        <charset val="134"/>
      </rPr>
      <t xml:space="preserve">条 </t>
    </r>
  </si>
  <si>
    <t>跨棒距测量棒（球）直径：</t>
  </si>
  <si>
    <t>注：如不输入圆棒（球）直径实际值，则默认其参考值。</t>
  </si>
  <si>
    <t>圆棒（球）直径参考值</t>
  </si>
  <si>
    <r>
      <rPr>
        <sz val="12"/>
        <rFont val="宋体"/>
        <charset val="134"/>
      </rPr>
      <t>dp</t>
    </r>
    <r>
      <rPr>
        <sz val="10"/>
        <rFont val="宋体"/>
        <charset val="134"/>
      </rPr>
      <t>10</t>
    </r>
  </si>
  <si>
    <r>
      <rPr>
        <sz val="12"/>
        <rFont val="宋体"/>
        <charset val="134"/>
      </rPr>
      <t>dp</t>
    </r>
    <r>
      <rPr>
        <sz val="10"/>
        <rFont val="宋体"/>
        <charset val="134"/>
      </rPr>
      <t>20</t>
    </r>
  </si>
  <si>
    <t>圆棒（球）直径实际值</t>
  </si>
  <si>
    <r>
      <rPr>
        <sz val="12"/>
        <rFont val="宋体"/>
        <charset val="134"/>
      </rPr>
      <t>dp</t>
    </r>
    <r>
      <rPr>
        <sz val="10"/>
        <rFont val="宋体"/>
        <charset val="134"/>
      </rPr>
      <t>1</t>
    </r>
  </si>
  <si>
    <r>
      <rPr>
        <sz val="12"/>
        <rFont val="宋体"/>
        <charset val="134"/>
      </rPr>
      <t>dp</t>
    </r>
    <r>
      <rPr>
        <sz val="10"/>
        <rFont val="宋体"/>
        <charset val="134"/>
      </rPr>
      <t>2</t>
    </r>
  </si>
  <si>
    <t>传动质量指标的验算：</t>
  </si>
  <si>
    <r>
      <rPr>
        <sz val="12"/>
        <rFont val="宋体"/>
        <charset val="134"/>
      </rPr>
      <t>齿 顶</t>
    </r>
    <r>
      <rPr>
        <sz val="12"/>
        <rFont val="宋体"/>
        <charset val="134"/>
      </rPr>
      <t xml:space="preserve"> </t>
    </r>
    <r>
      <rPr>
        <sz val="12"/>
        <rFont val="宋体"/>
        <charset val="134"/>
      </rPr>
      <t>变</t>
    </r>
    <r>
      <rPr>
        <sz val="12"/>
        <rFont val="宋体"/>
        <charset val="134"/>
      </rPr>
      <t xml:space="preserve"> </t>
    </r>
    <r>
      <rPr>
        <sz val="12"/>
        <rFont val="宋体"/>
        <charset val="134"/>
      </rPr>
      <t>尖</t>
    </r>
  </si>
  <si>
    <t>顶宽 &gt;</t>
  </si>
  <si>
    <r>
      <rPr>
        <sz val="10"/>
        <color indexed="12"/>
        <rFont val="宋体"/>
        <charset val="134"/>
      </rPr>
      <t xml:space="preserve">顶宽 </t>
    </r>
    <r>
      <rPr>
        <sz val="10"/>
        <color indexed="12"/>
        <rFont val="Times New Roman"/>
        <family val="1"/>
      </rPr>
      <t>&gt;</t>
    </r>
  </si>
  <si>
    <r>
      <rPr>
        <sz val="12"/>
        <rFont val="宋体"/>
        <charset val="134"/>
      </rPr>
      <t>重</t>
    </r>
    <r>
      <rPr>
        <sz val="12"/>
        <rFont val="Times New Roman"/>
        <family val="1"/>
      </rPr>
      <t xml:space="preserve">     </t>
    </r>
    <r>
      <rPr>
        <sz val="12"/>
        <rFont val="宋体"/>
        <charset val="134"/>
      </rPr>
      <t>合</t>
    </r>
    <r>
      <rPr>
        <sz val="12"/>
        <rFont val="Times New Roman"/>
        <family val="1"/>
      </rPr>
      <t xml:space="preserve">     </t>
    </r>
    <r>
      <rPr>
        <sz val="12"/>
        <rFont val="宋体"/>
        <charset val="134"/>
      </rPr>
      <t>度</t>
    </r>
  </si>
  <si>
    <r>
      <rPr>
        <sz val="12"/>
        <rFont val="宋体"/>
        <charset val="134"/>
      </rPr>
      <t>ε</t>
    </r>
    <r>
      <rPr>
        <sz val="8"/>
        <rFont val="宋体"/>
        <charset val="134"/>
      </rPr>
      <t>总</t>
    </r>
  </si>
  <si>
    <r>
      <rPr>
        <sz val="12"/>
        <rFont val="宋体"/>
        <charset val="134"/>
      </rPr>
      <t>ε</t>
    </r>
    <r>
      <rPr>
        <sz val="8"/>
        <rFont val="宋体"/>
        <charset val="134"/>
      </rPr>
      <t>纵向</t>
    </r>
  </si>
  <si>
    <r>
      <rPr>
        <sz val="12"/>
        <rFont val="宋体"/>
        <charset val="134"/>
      </rPr>
      <t>ε</t>
    </r>
    <r>
      <rPr>
        <sz val="8"/>
        <rFont val="宋体"/>
        <charset val="134"/>
      </rPr>
      <t>端面</t>
    </r>
  </si>
  <si>
    <t>几何参数计算：</t>
  </si>
  <si>
    <t>弧度</t>
  </si>
  <si>
    <t>（INVαn）</t>
  </si>
  <si>
    <t>度</t>
  </si>
  <si>
    <r>
      <rPr>
        <sz val="10"/>
        <rFont val="宋体"/>
        <charset val="134"/>
      </rPr>
      <t>度</t>
    </r>
    <r>
      <rPr>
        <sz val="10"/>
        <rFont val="Times New Roman"/>
        <family val="1"/>
      </rPr>
      <t>.</t>
    </r>
    <r>
      <rPr>
        <sz val="10"/>
        <rFont val="宋体"/>
        <charset val="134"/>
      </rPr>
      <t>分秒</t>
    </r>
  </si>
  <si>
    <r>
      <rPr>
        <sz val="12"/>
        <rFont val="宋体"/>
        <charset val="134"/>
      </rPr>
      <t>端</t>
    </r>
    <r>
      <rPr>
        <sz val="12"/>
        <rFont val="Times New Roman"/>
        <family val="1"/>
      </rPr>
      <t xml:space="preserve"> </t>
    </r>
    <r>
      <rPr>
        <sz val="12"/>
        <rFont val="宋体"/>
        <charset val="134"/>
      </rPr>
      <t>面</t>
    </r>
    <r>
      <rPr>
        <sz val="12"/>
        <rFont val="Times New Roman"/>
        <family val="1"/>
      </rPr>
      <t xml:space="preserve"> </t>
    </r>
    <r>
      <rPr>
        <sz val="12"/>
        <rFont val="宋体"/>
        <charset val="134"/>
      </rPr>
      <t>压</t>
    </r>
    <r>
      <rPr>
        <sz val="12"/>
        <rFont val="Times New Roman"/>
        <family val="1"/>
      </rPr>
      <t xml:space="preserve"> </t>
    </r>
    <r>
      <rPr>
        <sz val="12"/>
        <rFont val="宋体"/>
        <charset val="134"/>
      </rPr>
      <t>力</t>
    </r>
    <r>
      <rPr>
        <sz val="12"/>
        <rFont val="Times New Roman"/>
        <family val="1"/>
      </rPr>
      <t xml:space="preserve"> </t>
    </r>
    <r>
      <rPr>
        <sz val="12"/>
        <rFont val="宋体"/>
        <charset val="134"/>
      </rPr>
      <t>角</t>
    </r>
  </si>
  <si>
    <r>
      <rPr>
        <sz val="12"/>
        <rFont val="宋体"/>
        <charset val="134"/>
      </rPr>
      <t>α</t>
    </r>
    <r>
      <rPr>
        <sz val="10"/>
        <rFont val="宋体"/>
        <charset val="134"/>
      </rPr>
      <t>t</t>
    </r>
  </si>
  <si>
    <t>（INVαt）</t>
  </si>
  <si>
    <t>分度圆柱螺旋角</t>
  </si>
  <si>
    <t>节圆柱螺旋角</t>
  </si>
  <si>
    <r>
      <rPr>
        <sz val="12"/>
        <rFont val="宋体"/>
        <charset val="134"/>
      </rPr>
      <t>β</t>
    </r>
    <r>
      <rPr>
        <sz val="12"/>
        <rFont val="Times New Roman"/>
        <family val="1"/>
      </rPr>
      <t>'</t>
    </r>
  </si>
  <si>
    <t>基圆柱螺旋角</t>
  </si>
  <si>
    <r>
      <rPr>
        <sz val="12"/>
        <rFont val="宋体"/>
        <charset val="134"/>
      </rPr>
      <t>β</t>
    </r>
    <r>
      <rPr>
        <sz val="10"/>
        <rFont val="宋体"/>
        <charset val="134"/>
      </rPr>
      <t>b</t>
    </r>
  </si>
  <si>
    <t>顶圆柱螺旋角</t>
  </si>
  <si>
    <r>
      <rPr>
        <sz val="12"/>
        <rFont val="宋体"/>
        <charset val="134"/>
      </rPr>
      <t>β</t>
    </r>
    <r>
      <rPr>
        <sz val="10"/>
        <rFont val="宋体"/>
        <charset val="134"/>
      </rPr>
      <t>a</t>
    </r>
  </si>
  <si>
    <r>
      <rPr>
        <sz val="12"/>
        <rFont val="宋体"/>
        <charset val="134"/>
      </rPr>
      <t>端</t>
    </r>
    <r>
      <rPr>
        <sz val="12"/>
        <rFont val="Times New Roman"/>
        <family val="1"/>
      </rPr>
      <t xml:space="preserve">   </t>
    </r>
    <r>
      <rPr>
        <sz val="12"/>
        <rFont val="宋体"/>
        <charset val="134"/>
      </rPr>
      <t>面</t>
    </r>
    <r>
      <rPr>
        <sz val="12"/>
        <rFont val="Times New Roman"/>
        <family val="1"/>
      </rPr>
      <t xml:space="preserve">   </t>
    </r>
    <r>
      <rPr>
        <sz val="12"/>
        <rFont val="宋体"/>
        <charset val="134"/>
      </rPr>
      <t>模</t>
    </r>
    <r>
      <rPr>
        <sz val="12"/>
        <rFont val="Times New Roman"/>
        <family val="1"/>
      </rPr>
      <t xml:space="preserve">   </t>
    </r>
    <r>
      <rPr>
        <sz val="12"/>
        <rFont val="宋体"/>
        <charset val="134"/>
      </rPr>
      <t>数</t>
    </r>
  </si>
  <si>
    <r>
      <rPr>
        <sz val="12"/>
        <rFont val="Times New Roman"/>
        <family val="1"/>
      </rPr>
      <t xml:space="preserve">m </t>
    </r>
    <r>
      <rPr>
        <sz val="10"/>
        <rFont val="Times New Roman"/>
        <family val="1"/>
      </rPr>
      <t>t</t>
    </r>
  </si>
  <si>
    <r>
      <rPr>
        <sz val="12"/>
        <rFont val="宋体"/>
        <charset val="134"/>
      </rPr>
      <t>分</t>
    </r>
    <r>
      <rPr>
        <sz val="12"/>
        <rFont val="Times New Roman"/>
        <family val="1"/>
      </rPr>
      <t xml:space="preserve"> </t>
    </r>
    <r>
      <rPr>
        <sz val="12"/>
        <rFont val="宋体"/>
        <charset val="134"/>
      </rPr>
      <t>度</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</si>
  <si>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d</t>
    </r>
    <r>
      <rPr>
        <sz val="10"/>
        <rFont val="Times New Roman"/>
        <family val="1"/>
      </rPr>
      <t xml:space="preserve"> </t>
    </r>
    <r>
      <rPr>
        <sz val="8"/>
        <rFont val="Times New Roman"/>
        <family val="1"/>
      </rPr>
      <t>1</t>
    </r>
  </si>
  <si>
    <r>
      <rPr>
        <sz val="12"/>
        <rFont val="宋体"/>
        <charset val="134"/>
      </rPr>
      <t>节</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</si>
  <si>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 xml:space="preserve">d </t>
    </r>
    <r>
      <rPr>
        <sz val="8"/>
        <rFont val="Times New Roman"/>
        <family val="1"/>
      </rPr>
      <t>1</t>
    </r>
    <r>
      <rPr>
        <sz val="12"/>
        <rFont val="Times New Roman"/>
        <family val="1"/>
      </rPr>
      <t>'</t>
    </r>
  </si>
  <si>
    <t>齿条分度线至基准面距离</t>
  </si>
  <si>
    <r>
      <rPr>
        <sz val="12"/>
        <rFont val="宋体"/>
        <charset val="134"/>
      </rPr>
      <t>基</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</si>
  <si>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 xml:space="preserve">d </t>
    </r>
    <r>
      <rPr>
        <sz val="10"/>
        <rFont val="Times New Roman"/>
        <family val="1"/>
      </rPr>
      <t>b1</t>
    </r>
  </si>
  <si>
    <t>齿条节线至基准面距离</t>
  </si>
  <si>
    <r>
      <rPr>
        <sz val="12"/>
        <rFont val="宋体"/>
        <charset val="134"/>
      </rPr>
      <t>端</t>
    </r>
    <r>
      <rPr>
        <sz val="12"/>
        <rFont val="Times New Roman"/>
        <family val="1"/>
      </rPr>
      <t xml:space="preserve"> </t>
    </r>
    <r>
      <rPr>
        <sz val="12"/>
        <rFont val="宋体"/>
        <charset val="134"/>
      </rPr>
      <t>面</t>
    </r>
    <r>
      <rPr>
        <sz val="12"/>
        <rFont val="Times New Roman"/>
        <family val="1"/>
      </rPr>
      <t xml:space="preserve"> </t>
    </r>
    <r>
      <rPr>
        <sz val="12"/>
        <rFont val="宋体"/>
        <charset val="134"/>
      </rPr>
      <t>啮</t>
    </r>
    <r>
      <rPr>
        <sz val="12"/>
        <rFont val="Times New Roman"/>
        <family val="1"/>
      </rPr>
      <t xml:space="preserve"> </t>
    </r>
    <r>
      <rPr>
        <sz val="12"/>
        <rFont val="宋体"/>
        <charset val="134"/>
      </rPr>
      <t>合</t>
    </r>
    <r>
      <rPr>
        <sz val="12"/>
        <rFont val="Times New Roman"/>
        <family val="1"/>
      </rPr>
      <t xml:space="preserve"> </t>
    </r>
    <r>
      <rPr>
        <sz val="12"/>
        <rFont val="宋体"/>
        <charset val="134"/>
      </rPr>
      <t>角</t>
    </r>
  </si>
  <si>
    <r>
      <rPr>
        <sz val="12"/>
        <rFont val="宋体"/>
        <charset val="134"/>
      </rPr>
      <t>α</t>
    </r>
    <r>
      <rPr>
        <sz val="10"/>
        <rFont val="宋体"/>
        <charset val="134"/>
      </rPr>
      <t>t'</t>
    </r>
  </si>
  <si>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啮</t>
    </r>
    <r>
      <rPr>
        <sz val="12"/>
        <rFont val="Times New Roman"/>
        <family val="1"/>
      </rPr>
      <t xml:space="preserve"> </t>
    </r>
    <r>
      <rPr>
        <sz val="12"/>
        <rFont val="宋体"/>
        <charset val="134"/>
      </rPr>
      <t>合</t>
    </r>
    <r>
      <rPr>
        <sz val="12"/>
        <rFont val="Times New Roman"/>
        <family val="1"/>
      </rPr>
      <t xml:space="preserve"> </t>
    </r>
    <r>
      <rPr>
        <sz val="12"/>
        <rFont val="宋体"/>
        <charset val="134"/>
      </rPr>
      <t>角</t>
    </r>
  </si>
  <si>
    <r>
      <rPr>
        <sz val="12"/>
        <rFont val="宋体"/>
        <charset val="134"/>
      </rPr>
      <t>α</t>
    </r>
    <r>
      <rPr>
        <sz val="10"/>
        <rFont val="宋体"/>
        <charset val="134"/>
      </rPr>
      <t>n'</t>
    </r>
  </si>
  <si>
    <r>
      <rPr>
        <sz val="12"/>
        <rFont val="Times New Roman"/>
        <family val="1"/>
      </rPr>
      <t xml:space="preserve"> </t>
    </r>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齿</t>
    </r>
    <r>
      <rPr>
        <sz val="12"/>
        <rFont val="Times New Roman"/>
        <family val="1"/>
      </rPr>
      <t xml:space="preserve">   </t>
    </r>
    <r>
      <rPr>
        <sz val="12"/>
        <rFont val="宋体"/>
        <charset val="134"/>
      </rPr>
      <t>距</t>
    </r>
  </si>
  <si>
    <r>
      <rPr>
        <sz val="12"/>
        <rFont val="Times New Roman"/>
        <family val="1"/>
      </rPr>
      <t xml:space="preserve">p </t>
    </r>
    <r>
      <rPr>
        <sz val="10"/>
        <rFont val="Times New Roman"/>
        <family val="1"/>
      </rPr>
      <t>n</t>
    </r>
  </si>
  <si>
    <r>
      <rPr>
        <sz val="12"/>
        <rFont val="Times New Roman"/>
        <family val="1"/>
      </rPr>
      <t xml:space="preserve"> </t>
    </r>
    <r>
      <rPr>
        <sz val="12"/>
        <rFont val="宋体"/>
        <charset val="134"/>
      </rPr>
      <t>端</t>
    </r>
    <r>
      <rPr>
        <sz val="12"/>
        <rFont val="Times New Roman"/>
        <family val="1"/>
      </rPr>
      <t xml:space="preserve">   </t>
    </r>
    <r>
      <rPr>
        <sz val="12"/>
        <rFont val="宋体"/>
        <charset val="134"/>
      </rPr>
      <t>面</t>
    </r>
    <r>
      <rPr>
        <sz val="12"/>
        <rFont val="Times New Roman"/>
        <family val="1"/>
      </rPr>
      <t xml:space="preserve">   </t>
    </r>
    <r>
      <rPr>
        <sz val="12"/>
        <rFont val="宋体"/>
        <charset val="134"/>
      </rPr>
      <t>齿</t>
    </r>
    <r>
      <rPr>
        <sz val="12"/>
        <rFont val="Times New Roman"/>
        <family val="1"/>
      </rPr>
      <t xml:space="preserve">   </t>
    </r>
    <r>
      <rPr>
        <sz val="12"/>
        <rFont val="宋体"/>
        <charset val="134"/>
      </rPr>
      <t>距</t>
    </r>
  </si>
  <si>
    <r>
      <rPr>
        <sz val="12"/>
        <rFont val="Times New Roman"/>
        <family val="1"/>
      </rPr>
      <t xml:space="preserve">p </t>
    </r>
    <r>
      <rPr>
        <sz val="9"/>
        <rFont val="Times New Roman"/>
        <family val="1"/>
      </rPr>
      <t>t</t>
    </r>
  </si>
  <si>
    <r>
      <rPr>
        <sz val="12"/>
        <rFont val="Times New Roman"/>
        <family val="1"/>
      </rPr>
      <t xml:space="preserve"> </t>
    </r>
    <r>
      <rPr>
        <sz val="12"/>
        <rFont val="宋体"/>
        <charset val="134"/>
      </rPr>
      <t>基  圆</t>
    </r>
    <r>
      <rPr>
        <sz val="12"/>
        <rFont val="Times New Roman"/>
        <family val="1"/>
      </rPr>
      <t xml:space="preserve">   </t>
    </r>
    <r>
      <rPr>
        <sz val="12"/>
        <rFont val="宋体"/>
        <charset val="134"/>
      </rPr>
      <t>齿</t>
    </r>
    <r>
      <rPr>
        <sz val="12"/>
        <rFont val="Times New Roman"/>
        <family val="1"/>
      </rPr>
      <t xml:space="preserve">   </t>
    </r>
    <r>
      <rPr>
        <sz val="12"/>
        <rFont val="宋体"/>
        <charset val="134"/>
      </rPr>
      <t>距</t>
    </r>
  </si>
  <si>
    <t>pbt</t>
  </si>
  <si>
    <r>
      <rPr>
        <sz val="12"/>
        <rFont val="Times New Roman"/>
        <family val="1"/>
      </rPr>
      <t>x</t>
    </r>
    <r>
      <rPr>
        <sz val="10"/>
        <rFont val="Times New Roman"/>
        <family val="1"/>
      </rPr>
      <t xml:space="preserve"> t1</t>
    </r>
  </si>
  <si>
    <t>法向变位系数</t>
  </si>
  <si>
    <r>
      <rPr>
        <sz val="12"/>
        <rFont val="Times New Roman"/>
        <family val="1"/>
      </rPr>
      <t>x</t>
    </r>
    <r>
      <rPr>
        <sz val="10"/>
        <rFont val="Times New Roman"/>
        <family val="1"/>
      </rPr>
      <t xml:space="preserve"> n1</t>
    </r>
  </si>
  <si>
    <r>
      <rPr>
        <sz val="12"/>
        <rFont val="宋体"/>
        <charset val="134"/>
      </rPr>
      <t>安</t>
    </r>
    <r>
      <rPr>
        <sz val="12"/>
        <rFont val="Times New Roman"/>
        <family val="1"/>
      </rPr>
      <t xml:space="preserve">      </t>
    </r>
    <r>
      <rPr>
        <sz val="12"/>
        <rFont val="宋体"/>
        <charset val="134"/>
      </rPr>
      <t>装</t>
    </r>
    <r>
      <rPr>
        <sz val="12"/>
        <rFont val="Times New Roman"/>
        <family val="1"/>
      </rPr>
      <t xml:space="preserve">      </t>
    </r>
    <r>
      <rPr>
        <sz val="12"/>
        <rFont val="宋体"/>
        <charset val="134"/>
      </rPr>
      <t>距</t>
    </r>
  </si>
  <si>
    <t>（齿轮中心至齿条基准面距离）</t>
  </si>
  <si>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高</t>
    </r>
  </si>
  <si>
    <r>
      <rPr>
        <sz val="12"/>
        <rFont val="Times New Roman"/>
        <family val="1"/>
      </rPr>
      <t>h</t>
    </r>
    <r>
      <rPr>
        <sz val="10"/>
        <rFont val="Times New Roman"/>
        <family val="1"/>
      </rPr>
      <t>a1</t>
    </r>
  </si>
  <si>
    <r>
      <rPr>
        <sz val="12"/>
        <rFont val="Times New Roman"/>
        <family val="1"/>
      </rPr>
      <t>h</t>
    </r>
    <r>
      <rPr>
        <sz val="10"/>
        <rFont val="Times New Roman"/>
        <family val="1"/>
      </rPr>
      <t>a2</t>
    </r>
  </si>
  <si>
    <r>
      <rPr>
        <sz val="12"/>
        <rFont val="宋体"/>
        <charset val="134"/>
      </rPr>
      <t>齿</t>
    </r>
    <r>
      <rPr>
        <sz val="12"/>
        <rFont val="Times New Roman"/>
        <family val="1"/>
      </rPr>
      <t xml:space="preserve">      </t>
    </r>
    <r>
      <rPr>
        <sz val="12"/>
        <rFont val="宋体"/>
        <charset val="134"/>
      </rPr>
      <t>根</t>
    </r>
    <r>
      <rPr>
        <sz val="12"/>
        <rFont val="Times New Roman"/>
        <family val="1"/>
      </rPr>
      <t xml:space="preserve">      </t>
    </r>
    <r>
      <rPr>
        <sz val="12"/>
        <rFont val="宋体"/>
        <charset val="134"/>
      </rPr>
      <t>高</t>
    </r>
  </si>
  <si>
    <r>
      <rPr>
        <sz val="12"/>
        <rFont val="Times New Roman"/>
        <family val="1"/>
      </rPr>
      <t>h</t>
    </r>
    <r>
      <rPr>
        <sz val="10"/>
        <rFont val="Times New Roman"/>
        <family val="1"/>
      </rPr>
      <t>f1</t>
    </r>
  </si>
  <si>
    <r>
      <rPr>
        <sz val="12"/>
        <rFont val="Times New Roman"/>
        <family val="1"/>
      </rPr>
      <t>h</t>
    </r>
    <r>
      <rPr>
        <sz val="10"/>
        <rFont val="Times New Roman"/>
        <family val="1"/>
      </rPr>
      <t>f</t>
    </r>
    <r>
      <rPr>
        <sz val="11"/>
        <rFont val="Times New Roman"/>
        <family val="1"/>
      </rPr>
      <t>2</t>
    </r>
  </si>
  <si>
    <r>
      <rPr>
        <sz val="12"/>
        <rFont val="宋体"/>
        <charset val="134"/>
      </rPr>
      <t>全</t>
    </r>
    <r>
      <rPr>
        <sz val="12"/>
        <rFont val="Times New Roman"/>
        <family val="1"/>
      </rPr>
      <t xml:space="preserve">      </t>
    </r>
    <r>
      <rPr>
        <sz val="12"/>
        <rFont val="宋体"/>
        <charset val="134"/>
      </rPr>
      <t>齿</t>
    </r>
    <r>
      <rPr>
        <sz val="12"/>
        <rFont val="Times New Roman"/>
        <family val="1"/>
      </rPr>
      <t xml:space="preserve">      </t>
    </r>
    <r>
      <rPr>
        <sz val="12"/>
        <rFont val="宋体"/>
        <charset val="134"/>
      </rPr>
      <t>高</t>
    </r>
  </si>
  <si>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</si>
  <si>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 xml:space="preserve">d </t>
    </r>
    <r>
      <rPr>
        <sz val="10"/>
        <rFont val="Times New Roman"/>
        <family val="1"/>
      </rPr>
      <t>a</t>
    </r>
    <r>
      <rPr>
        <sz val="8"/>
        <rFont val="Times New Roman"/>
        <family val="1"/>
      </rPr>
      <t>1</t>
    </r>
  </si>
  <si>
    <t>齿条齿顶至基准面距离</t>
  </si>
  <si>
    <t>齿顶倒棱有效直径</t>
  </si>
  <si>
    <r>
      <rPr>
        <sz val="12"/>
        <rFont val="Times New Roman"/>
        <family val="1"/>
      </rPr>
      <t xml:space="preserve">d </t>
    </r>
    <r>
      <rPr>
        <sz val="10"/>
        <rFont val="Times New Roman"/>
        <family val="1"/>
      </rPr>
      <t>a</t>
    </r>
    <r>
      <rPr>
        <sz val="8"/>
        <rFont val="Times New Roman"/>
        <family val="1"/>
      </rPr>
      <t>1</t>
    </r>
    <r>
      <rPr>
        <sz val="12"/>
        <rFont val="Times New Roman"/>
        <family val="1"/>
      </rPr>
      <t>'</t>
    </r>
  </si>
  <si>
    <r>
      <rPr>
        <sz val="12"/>
        <rFont val="宋体"/>
        <charset val="134"/>
      </rPr>
      <t>齿</t>
    </r>
    <r>
      <rPr>
        <sz val="12"/>
        <rFont val="Times New Roman"/>
        <family val="1"/>
      </rPr>
      <t xml:space="preserve"> </t>
    </r>
    <r>
      <rPr>
        <sz val="12"/>
        <rFont val="宋体"/>
        <charset val="134"/>
      </rPr>
      <t>根</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</si>
  <si>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 xml:space="preserve">d </t>
    </r>
    <r>
      <rPr>
        <sz val="10"/>
        <rFont val="Times New Roman"/>
        <family val="1"/>
      </rPr>
      <t>f</t>
    </r>
    <r>
      <rPr>
        <sz val="8"/>
        <rFont val="Times New Roman"/>
        <family val="1"/>
      </rPr>
      <t>1</t>
    </r>
  </si>
  <si>
    <t>齿条齿根至基准面距离</t>
  </si>
  <si>
    <t>分度圆弧齿厚</t>
  </si>
  <si>
    <r>
      <rPr>
        <sz val="12"/>
        <rFont val="Times New Roman"/>
        <family val="1"/>
      </rPr>
      <t>S</t>
    </r>
    <r>
      <rPr>
        <sz val="10"/>
        <rFont val="Times New Roman"/>
        <family val="1"/>
      </rPr>
      <t xml:space="preserve"> t1</t>
    </r>
  </si>
  <si>
    <r>
      <rPr>
        <sz val="12"/>
        <rFont val="Times New Roman"/>
        <family val="1"/>
      </rPr>
      <t>S</t>
    </r>
    <r>
      <rPr>
        <sz val="10"/>
        <rFont val="Times New Roman"/>
        <family val="1"/>
      </rPr>
      <t xml:space="preserve"> t2</t>
    </r>
  </si>
  <si>
    <r>
      <rPr>
        <sz val="12"/>
        <rFont val="宋体"/>
        <charset val="134"/>
      </rPr>
      <t>接 触</t>
    </r>
    <r>
      <rPr>
        <sz val="12"/>
        <rFont val="Times New Roman"/>
        <family val="1"/>
      </rPr>
      <t xml:space="preserve"> </t>
    </r>
    <r>
      <rPr>
        <sz val="12"/>
        <rFont val="宋体"/>
        <charset val="134"/>
      </rPr>
      <t>线</t>
    </r>
    <r>
      <rPr>
        <sz val="12"/>
        <rFont val="Times New Roman"/>
        <family val="1"/>
      </rPr>
      <t xml:space="preserve"> </t>
    </r>
    <r>
      <rPr>
        <sz val="12"/>
        <rFont val="宋体"/>
        <charset val="134"/>
      </rPr>
      <t>长</t>
    </r>
    <r>
      <rPr>
        <sz val="12"/>
        <rFont val="Times New Roman"/>
        <family val="1"/>
      </rPr>
      <t xml:space="preserve"> </t>
    </r>
    <r>
      <rPr>
        <sz val="12"/>
        <rFont val="宋体"/>
        <charset val="134"/>
      </rPr>
      <t>度</t>
    </r>
  </si>
  <si>
    <r>
      <rPr>
        <sz val="12"/>
        <rFont val="Times New Roman"/>
        <family val="1"/>
      </rPr>
      <t>L</t>
    </r>
    <r>
      <rPr>
        <sz val="10"/>
        <rFont val="Times New Roman"/>
        <family val="1"/>
      </rPr>
      <t>12</t>
    </r>
  </si>
  <si>
    <t>有效齿顶圆压力角</t>
  </si>
  <si>
    <r>
      <rPr>
        <sz val="12"/>
        <rFont val="宋体"/>
        <charset val="134"/>
      </rPr>
      <t>α</t>
    </r>
    <r>
      <rPr>
        <sz val="10"/>
        <rFont val="宋体"/>
        <charset val="134"/>
      </rPr>
      <t>a1'</t>
    </r>
  </si>
  <si>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圆</t>
    </r>
    <r>
      <rPr>
        <sz val="12"/>
        <rFont val="Times New Roman"/>
        <family val="1"/>
      </rPr>
      <t xml:space="preserve"> </t>
    </r>
    <r>
      <rPr>
        <sz val="12"/>
        <rFont val="宋体"/>
        <charset val="134"/>
      </rPr>
      <t>齿</t>
    </r>
    <r>
      <rPr>
        <sz val="12"/>
        <rFont val="Times New Roman"/>
        <family val="1"/>
      </rPr>
      <t xml:space="preserve"> </t>
    </r>
    <r>
      <rPr>
        <sz val="12"/>
        <rFont val="宋体"/>
        <charset val="134"/>
      </rPr>
      <t>厚</t>
    </r>
  </si>
  <si>
    <r>
      <rPr>
        <sz val="12"/>
        <rFont val="Times New Roman"/>
        <family val="1"/>
      </rPr>
      <t>Sa</t>
    </r>
    <r>
      <rPr>
        <sz val="10"/>
        <rFont val="Times New Roman"/>
        <family val="1"/>
      </rPr>
      <t>1</t>
    </r>
  </si>
  <si>
    <t>Sa2</t>
  </si>
  <si>
    <r>
      <rPr>
        <sz val="12"/>
        <rFont val="宋体"/>
        <charset val="134"/>
      </rPr>
      <t>公</t>
    </r>
    <r>
      <rPr>
        <sz val="12"/>
        <rFont val="Times New Roman"/>
        <family val="1"/>
      </rPr>
      <t xml:space="preserve"> </t>
    </r>
    <r>
      <rPr>
        <sz val="12"/>
        <rFont val="宋体"/>
        <charset val="134"/>
      </rPr>
      <t>法</t>
    </r>
    <r>
      <rPr>
        <sz val="12"/>
        <rFont val="Times New Roman"/>
        <family val="1"/>
      </rPr>
      <t xml:space="preserve"> </t>
    </r>
    <r>
      <rPr>
        <sz val="12"/>
        <rFont val="宋体"/>
        <charset val="134"/>
      </rPr>
      <t>线</t>
    </r>
    <r>
      <rPr>
        <sz val="12"/>
        <rFont val="Times New Roman"/>
        <family val="1"/>
      </rPr>
      <t xml:space="preserve"> </t>
    </r>
    <r>
      <rPr>
        <sz val="12"/>
        <rFont val="宋体"/>
        <charset val="134"/>
      </rPr>
      <t>长</t>
    </r>
    <r>
      <rPr>
        <sz val="12"/>
        <rFont val="Times New Roman"/>
        <family val="1"/>
      </rPr>
      <t xml:space="preserve"> </t>
    </r>
    <r>
      <rPr>
        <sz val="12"/>
        <rFont val="宋体"/>
        <charset val="134"/>
      </rPr>
      <t>度</t>
    </r>
  </si>
  <si>
    <r>
      <rPr>
        <sz val="12"/>
        <rFont val="Times New Roman"/>
        <family val="1"/>
      </rPr>
      <t>W</t>
    </r>
    <r>
      <rPr>
        <sz val="10"/>
        <rFont val="Times New Roman"/>
        <family val="1"/>
      </rPr>
      <t>k1</t>
    </r>
  </si>
  <si>
    <r>
      <rPr>
        <sz val="12"/>
        <rFont val="宋体"/>
        <charset val="134"/>
      </rPr>
      <t>卡</t>
    </r>
    <r>
      <rPr>
        <sz val="12"/>
        <rFont val="Times New Roman"/>
        <family val="1"/>
      </rPr>
      <t xml:space="preserve">   </t>
    </r>
    <r>
      <rPr>
        <sz val="12"/>
        <rFont val="宋体"/>
        <charset val="134"/>
      </rPr>
      <t>跨</t>
    </r>
    <r>
      <rPr>
        <sz val="12"/>
        <rFont val="Times New Roman"/>
        <family val="1"/>
      </rPr>
      <t xml:space="preserve">   </t>
    </r>
    <r>
      <rPr>
        <sz val="12"/>
        <rFont val="宋体"/>
        <charset val="134"/>
      </rPr>
      <t>齿</t>
    </r>
    <r>
      <rPr>
        <sz val="12"/>
        <rFont val="Times New Roman"/>
        <family val="1"/>
      </rPr>
      <t xml:space="preserve">   </t>
    </r>
    <r>
      <rPr>
        <sz val="12"/>
        <rFont val="宋体"/>
        <charset val="134"/>
      </rPr>
      <t>数</t>
    </r>
  </si>
  <si>
    <r>
      <rPr>
        <sz val="12"/>
        <rFont val="Times New Roman"/>
        <family val="1"/>
      </rPr>
      <t>k</t>
    </r>
    <r>
      <rPr>
        <sz val="10"/>
        <rFont val="Times New Roman"/>
        <family val="1"/>
      </rPr>
      <t>1</t>
    </r>
  </si>
  <si>
    <r>
      <rPr>
        <sz val="12"/>
        <rFont val="Times New Roman"/>
        <family val="1"/>
      </rPr>
      <t>W</t>
    </r>
    <r>
      <rPr>
        <sz val="10"/>
        <rFont val="Times New Roman"/>
        <family val="1"/>
      </rPr>
      <t xml:space="preserve">k  </t>
    </r>
    <r>
      <rPr>
        <sz val="12"/>
        <rFont val="宋体"/>
        <charset val="134"/>
      </rPr>
      <t>是</t>
    </r>
    <r>
      <rPr>
        <sz val="12"/>
        <rFont val="Times New Roman"/>
        <family val="1"/>
      </rPr>
      <t xml:space="preserve">  </t>
    </r>
    <r>
      <rPr>
        <sz val="12"/>
        <rFont val="宋体"/>
        <charset val="134"/>
      </rPr>
      <t>否</t>
    </r>
    <r>
      <rPr>
        <sz val="12"/>
        <rFont val="Times New Roman"/>
        <family val="1"/>
      </rPr>
      <t xml:space="preserve">   </t>
    </r>
    <r>
      <rPr>
        <sz val="12"/>
        <rFont val="宋体"/>
        <charset val="134"/>
      </rPr>
      <t>测？</t>
    </r>
  </si>
  <si>
    <r>
      <rPr>
        <sz val="12"/>
        <rFont val="Times New Roman"/>
        <family val="1"/>
      </rPr>
      <t>W</t>
    </r>
    <r>
      <rPr>
        <sz val="10"/>
        <rFont val="Times New Roman"/>
        <family val="1"/>
      </rPr>
      <t>k1+1</t>
    </r>
  </si>
  <si>
    <r>
      <rPr>
        <sz val="12"/>
        <rFont val="Times New Roman"/>
        <family val="1"/>
      </rPr>
      <t>k1+</t>
    </r>
    <r>
      <rPr>
        <sz val="10"/>
        <rFont val="Times New Roman"/>
        <family val="1"/>
      </rPr>
      <t>1</t>
    </r>
  </si>
  <si>
    <r>
      <rPr>
        <sz val="12"/>
        <rFont val="Times New Roman"/>
        <family val="1"/>
      </rPr>
      <t>W</t>
    </r>
    <r>
      <rPr>
        <sz val="10"/>
        <rFont val="Times New Roman"/>
        <family val="1"/>
      </rPr>
      <t xml:space="preserve">k+1 </t>
    </r>
    <r>
      <rPr>
        <sz val="12"/>
        <rFont val="宋体"/>
        <charset val="134"/>
      </rPr>
      <t>是</t>
    </r>
    <r>
      <rPr>
        <sz val="12"/>
        <rFont val="Times New Roman"/>
        <family val="1"/>
      </rPr>
      <t xml:space="preserve">  </t>
    </r>
    <r>
      <rPr>
        <sz val="12"/>
        <rFont val="宋体"/>
        <charset val="134"/>
      </rPr>
      <t>否</t>
    </r>
    <r>
      <rPr>
        <sz val="12"/>
        <rFont val="Times New Roman"/>
        <family val="1"/>
      </rPr>
      <t xml:space="preserve">   </t>
    </r>
    <r>
      <rPr>
        <sz val="12"/>
        <rFont val="宋体"/>
        <charset val="134"/>
      </rPr>
      <t>测？</t>
    </r>
  </si>
  <si>
    <r>
      <rPr>
        <sz val="12"/>
        <rFont val="宋体"/>
        <charset val="134"/>
      </rPr>
      <t>固</t>
    </r>
    <r>
      <rPr>
        <sz val="12"/>
        <rFont val="Times New Roman"/>
        <family val="1"/>
      </rPr>
      <t xml:space="preserve"> </t>
    </r>
    <r>
      <rPr>
        <sz val="12"/>
        <rFont val="宋体"/>
        <charset val="134"/>
      </rPr>
      <t>定</t>
    </r>
    <r>
      <rPr>
        <sz val="12"/>
        <rFont val="Times New Roman"/>
        <family val="1"/>
      </rPr>
      <t xml:space="preserve"> </t>
    </r>
    <r>
      <rPr>
        <sz val="12"/>
        <rFont val="宋体"/>
        <charset val="134"/>
      </rPr>
      <t>弦</t>
    </r>
    <r>
      <rPr>
        <sz val="12"/>
        <rFont val="Times New Roman"/>
        <family val="1"/>
      </rPr>
      <t xml:space="preserve"> </t>
    </r>
    <r>
      <rPr>
        <sz val="12"/>
        <rFont val="宋体"/>
        <charset val="134"/>
      </rPr>
      <t>齿</t>
    </r>
    <r>
      <rPr>
        <sz val="12"/>
        <rFont val="Times New Roman"/>
        <family val="1"/>
      </rPr>
      <t xml:space="preserve"> </t>
    </r>
    <r>
      <rPr>
        <sz val="12"/>
        <rFont val="宋体"/>
        <charset val="134"/>
      </rPr>
      <t>厚</t>
    </r>
  </si>
  <si>
    <r>
      <rPr>
        <sz val="12"/>
        <rFont val="Times New Roman"/>
        <family val="1"/>
      </rPr>
      <t>Sc</t>
    </r>
    <r>
      <rPr>
        <sz val="10"/>
        <rFont val="Times New Roman"/>
        <family val="1"/>
      </rPr>
      <t>n1</t>
    </r>
  </si>
  <si>
    <r>
      <rPr>
        <sz val="12"/>
        <rFont val="宋体"/>
        <charset val="134"/>
      </rPr>
      <t>固</t>
    </r>
    <r>
      <rPr>
        <sz val="12"/>
        <rFont val="Times New Roman"/>
        <family val="1"/>
      </rPr>
      <t xml:space="preserve"> </t>
    </r>
    <r>
      <rPr>
        <sz val="12"/>
        <rFont val="宋体"/>
        <charset val="134"/>
      </rPr>
      <t>定</t>
    </r>
    <r>
      <rPr>
        <sz val="12"/>
        <rFont val="Times New Roman"/>
        <family val="1"/>
      </rPr>
      <t xml:space="preserve"> </t>
    </r>
    <r>
      <rPr>
        <sz val="12"/>
        <rFont val="宋体"/>
        <charset val="134"/>
      </rPr>
      <t>弦</t>
    </r>
    <r>
      <rPr>
        <sz val="12"/>
        <rFont val="Times New Roman"/>
        <family val="1"/>
      </rPr>
      <t xml:space="preserve"> </t>
    </r>
    <r>
      <rPr>
        <sz val="12"/>
        <rFont val="宋体"/>
        <charset val="134"/>
      </rPr>
      <t>齿</t>
    </r>
    <r>
      <rPr>
        <sz val="12"/>
        <rFont val="Times New Roman"/>
        <family val="1"/>
      </rPr>
      <t xml:space="preserve"> </t>
    </r>
    <r>
      <rPr>
        <sz val="12"/>
        <rFont val="宋体"/>
        <charset val="134"/>
      </rPr>
      <t>高</t>
    </r>
  </si>
  <si>
    <r>
      <rPr>
        <sz val="12"/>
        <rFont val="Times New Roman"/>
        <family val="1"/>
      </rPr>
      <t>Hc</t>
    </r>
    <r>
      <rPr>
        <sz val="10"/>
        <rFont val="Times New Roman"/>
        <family val="1"/>
      </rPr>
      <t>n1</t>
    </r>
  </si>
  <si>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弦</t>
    </r>
    <r>
      <rPr>
        <sz val="12"/>
        <rFont val="Times New Roman"/>
        <family val="1"/>
      </rPr>
      <t xml:space="preserve"> </t>
    </r>
    <r>
      <rPr>
        <sz val="12"/>
        <rFont val="宋体"/>
        <charset val="134"/>
      </rPr>
      <t>齿</t>
    </r>
    <r>
      <rPr>
        <sz val="12"/>
        <rFont val="Times New Roman"/>
        <family val="1"/>
      </rPr>
      <t xml:space="preserve"> </t>
    </r>
    <r>
      <rPr>
        <sz val="12"/>
        <rFont val="宋体"/>
        <charset val="134"/>
      </rPr>
      <t>厚</t>
    </r>
  </si>
  <si>
    <r>
      <rPr>
        <sz val="12"/>
        <rFont val="Times New Roman"/>
        <family val="1"/>
      </rPr>
      <t>Sx</t>
    </r>
    <r>
      <rPr>
        <sz val="10"/>
        <rFont val="Times New Roman"/>
        <family val="1"/>
      </rPr>
      <t>n1</t>
    </r>
  </si>
  <si>
    <r>
      <rPr>
        <sz val="12"/>
        <rFont val="Times New Roman"/>
        <family val="1"/>
      </rPr>
      <t>Sx</t>
    </r>
    <r>
      <rPr>
        <sz val="10"/>
        <rFont val="Times New Roman"/>
        <family val="1"/>
      </rPr>
      <t>n2</t>
    </r>
  </si>
  <si>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弦</t>
    </r>
    <r>
      <rPr>
        <sz val="12"/>
        <rFont val="Times New Roman"/>
        <family val="1"/>
      </rPr>
      <t xml:space="preserve"> </t>
    </r>
    <r>
      <rPr>
        <sz val="12"/>
        <rFont val="宋体"/>
        <charset val="134"/>
      </rPr>
      <t>齿</t>
    </r>
    <r>
      <rPr>
        <sz val="12"/>
        <rFont val="Times New Roman"/>
        <family val="1"/>
      </rPr>
      <t xml:space="preserve"> </t>
    </r>
    <r>
      <rPr>
        <sz val="12"/>
        <rFont val="宋体"/>
        <charset val="134"/>
      </rPr>
      <t>高</t>
    </r>
  </si>
  <si>
    <r>
      <rPr>
        <sz val="12"/>
        <rFont val="Times New Roman"/>
        <family val="1"/>
      </rPr>
      <t>Hx</t>
    </r>
    <r>
      <rPr>
        <sz val="10"/>
        <rFont val="Times New Roman"/>
        <family val="1"/>
      </rPr>
      <t>n1</t>
    </r>
  </si>
  <si>
    <r>
      <rPr>
        <sz val="12"/>
        <rFont val="Times New Roman"/>
        <family val="1"/>
      </rPr>
      <t>Hx</t>
    </r>
    <r>
      <rPr>
        <sz val="10"/>
        <rFont val="Times New Roman"/>
        <family val="1"/>
      </rPr>
      <t>n2</t>
    </r>
  </si>
  <si>
    <r>
      <rPr>
        <sz val="12"/>
        <rFont val="Times New Roman"/>
        <family val="1"/>
      </rPr>
      <t>dp</t>
    </r>
    <r>
      <rPr>
        <sz val="10"/>
        <rFont val="Times New Roman"/>
        <family val="1"/>
      </rPr>
      <t>10</t>
    </r>
  </si>
  <si>
    <r>
      <rPr>
        <sz val="12"/>
        <rFont val="Times New Roman"/>
        <family val="1"/>
      </rPr>
      <t>dp</t>
    </r>
    <r>
      <rPr>
        <sz val="10"/>
        <rFont val="Times New Roman"/>
        <family val="1"/>
      </rPr>
      <t>20</t>
    </r>
  </si>
  <si>
    <t>圆棒（球）直径</t>
  </si>
  <si>
    <r>
      <rPr>
        <sz val="12"/>
        <rFont val="Times New Roman"/>
        <family val="1"/>
      </rPr>
      <t>dp</t>
    </r>
    <r>
      <rPr>
        <sz val="10"/>
        <rFont val="Times New Roman"/>
        <family val="1"/>
      </rPr>
      <t>1</t>
    </r>
  </si>
  <si>
    <r>
      <rPr>
        <sz val="12"/>
        <rFont val="Times New Roman"/>
        <family val="1"/>
      </rPr>
      <t>dp</t>
    </r>
    <r>
      <rPr>
        <sz val="10"/>
        <rFont val="Times New Roman"/>
        <family val="1"/>
      </rPr>
      <t>2</t>
    </r>
  </si>
  <si>
    <r>
      <rPr>
        <sz val="12"/>
        <rFont val="Times New Roman"/>
        <family val="1"/>
      </rPr>
      <t>INV</t>
    </r>
    <r>
      <rPr>
        <sz val="12"/>
        <rFont val="宋体"/>
        <charset val="134"/>
      </rPr>
      <t>α</t>
    </r>
    <r>
      <rPr>
        <sz val="10"/>
        <rFont val="宋体"/>
        <charset val="134"/>
      </rPr>
      <t>M</t>
    </r>
    <r>
      <rPr>
        <sz val="10"/>
        <rFont val="Times New Roman"/>
        <family val="1"/>
      </rPr>
      <t>t1</t>
    </r>
  </si>
  <si>
    <r>
      <rPr>
        <sz val="12"/>
        <rFont val="宋体"/>
        <charset val="134"/>
      </rPr>
      <t>α</t>
    </r>
    <r>
      <rPr>
        <sz val="10"/>
        <rFont val="宋体"/>
        <charset val="134"/>
      </rPr>
      <t>M</t>
    </r>
    <r>
      <rPr>
        <sz val="10"/>
        <rFont val="Times New Roman"/>
        <family val="1"/>
      </rPr>
      <t>t1</t>
    </r>
  </si>
  <si>
    <r>
      <rPr>
        <sz val="12"/>
        <rFont val="Times New Roman"/>
        <family val="1"/>
      </rPr>
      <t>R</t>
    </r>
    <r>
      <rPr>
        <sz val="10"/>
        <rFont val="Times New Roman"/>
        <family val="1"/>
      </rPr>
      <t>M1</t>
    </r>
  </si>
  <si>
    <t>圆棒（球）跨距</t>
  </si>
  <si>
    <r>
      <rPr>
        <sz val="12"/>
        <rFont val="Times New Roman"/>
        <family val="1"/>
      </rPr>
      <t>M</t>
    </r>
    <r>
      <rPr>
        <sz val="9"/>
        <rFont val="Times New Roman"/>
        <family val="1"/>
      </rPr>
      <t>1</t>
    </r>
  </si>
  <si>
    <r>
      <rPr>
        <sz val="10"/>
        <rFont val="宋体"/>
        <charset val="134"/>
      </rPr>
      <t>圆棒或球</t>
    </r>
    <r>
      <rPr>
        <sz val="10"/>
        <rFont val="宋体"/>
        <charset val="134"/>
      </rPr>
      <t>至基准面距离</t>
    </r>
  </si>
  <si>
    <r>
      <rPr>
        <sz val="12"/>
        <rFont val="宋体"/>
        <charset val="134"/>
      </rPr>
      <t>α</t>
    </r>
    <r>
      <rPr>
        <sz val="12"/>
        <rFont val="Times New Roman"/>
        <family val="1"/>
      </rPr>
      <t xml:space="preserve"> </t>
    </r>
    <r>
      <rPr>
        <sz val="9"/>
        <rFont val="Times New Roman"/>
        <family val="1"/>
      </rPr>
      <t>M1</t>
    </r>
  </si>
  <si>
    <r>
      <rPr>
        <sz val="12"/>
        <rFont val="宋体"/>
        <charset val="134"/>
      </rPr>
      <t>测</t>
    </r>
    <r>
      <rPr>
        <sz val="12"/>
        <rFont val="Times New Roman"/>
        <family val="1"/>
      </rPr>
      <t xml:space="preserve"> </t>
    </r>
    <r>
      <rPr>
        <sz val="12"/>
        <rFont val="宋体"/>
        <charset val="134"/>
      </rPr>
      <t>量</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</si>
  <si>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 xml:space="preserve">d </t>
    </r>
    <r>
      <rPr>
        <sz val="9"/>
        <rFont val="Times New Roman"/>
        <family val="1"/>
      </rPr>
      <t>M1</t>
    </r>
  </si>
  <si>
    <t>齿条测点至基准面距离</t>
  </si>
  <si>
    <t>dx1</t>
  </si>
  <si>
    <r>
      <rPr>
        <sz val="12"/>
        <rFont val="宋体"/>
        <charset val="134"/>
      </rPr>
      <t>α</t>
    </r>
    <r>
      <rPr>
        <sz val="12"/>
        <rFont val="Times New Roman"/>
        <family val="1"/>
      </rPr>
      <t>x1</t>
    </r>
  </si>
  <si>
    <t>Sx1</t>
  </si>
  <si>
    <r>
      <rPr>
        <sz val="12"/>
        <rFont val="宋体"/>
        <charset val="134"/>
      </rPr>
      <t>α</t>
    </r>
    <r>
      <rPr>
        <sz val="12"/>
        <rFont val="Times New Roman"/>
        <family val="1"/>
      </rPr>
      <t>px1</t>
    </r>
  </si>
  <si>
    <t>端面重合度</t>
  </si>
  <si>
    <r>
      <rPr>
        <sz val="12"/>
        <rFont val="宋体"/>
        <charset val="134"/>
      </rPr>
      <t>ε</t>
    </r>
    <r>
      <rPr>
        <sz val="9"/>
        <rFont val="宋体"/>
        <charset val="134"/>
      </rPr>
      <t>端面</t>
    </r>
  </si>
  <si>
    <t>纵向重合度</t>
  </si>
  <si>
    <r>
      <rPr>
        <sz val="12"/>
        <rFont val="宋体"/>
        <charset val="134"/>
      </rPr>
      <t>ε</t>
    </r>
    <r>
      <rPr>
        <sz val="9"/>
        <rFont val="宋体"/>
        <charset val="134"/>
      </rPr>
      <t>纵向</t>
    </r>
  </si>
  <si>
    <t>总重合度</t>
  </si>
  <si>
    <t>ε</t>
  </si>
  <si>
    <t>齿顶变尖</t>
  </si>
  <si>
    <t>不根切的最少齿数</t>
  </si>
  <si>
    <t>Zmin</t>
  </si>
  <si>
    <t>不根切的最小变位系数</t>
  </si>
  <si>
    <t xml:space="preserve"> X1min</t>
  </si>
  <si>
    <t>渐开线展开长度计算：</t>
  </si>
  <si>
    <t>渐开线起始展开长</t>
  </si>
  <si>
    <t>Lf1</t>
  </si>
  <si>
    <t>渐开线终止展开长</t>
  </si>
  <si>
    <t>La1</t>
  </si>
  <si>
    <r>
      <rPr>
        <sz val="12"/>
        <rFont val="宋体"/>
        <charset val="134"/>
      </rPr>
      <t>起始点</t>
    </r>
    <r>
      <rPr>
        <sz val="12"/>
        <rFont val="Times New Roman"/>
        <family val="1"/>
      </rPr>
      <t>(</t>
    </r>
    <r>
      <rPr>
        <sz val="12"/>
        <rFont val="宋体"/>
        <charset val="134"/>
      </rPr>
      <t>齿根</t>
    </r>
    <r>
      <rPr>
        <sz val="12"/>
        <rFont val="Times New Roman"/>
        <family val="1"/>
      </rPr>
      <t xml:space="preserve">) </t>
    </r>
  </si>
  <si>
    <r>
      <rPr>
        <sz val="12"/>
        <rFont val="宋体"/>
        <charset val="134"/>
      </rPr>
      <t>θ</t>
    </r>
    <r>
      <rPr>
        <sz val="10"/>
        <rFont val="Times New Roman"/>
        <family val="1"/>
      </rPr>
      <t>f1</t>
    </r>
  </si>
  <si>
    <r>
      <rPr>
        <sz val="12"/>
        <rFont val="宋体"/>
        <charset val="134"/>
      </rPr>
      <t>终止点</t>
    </r>
    <r>
      <rPr>
        <sz val="12"/>
        <rFont val="Times New Roman"/>
        <family val="1"/>
      </rPr>
      <t>(</t>
    </r>
    <r>
      <rPr>
        <sz val="12"/>
        <rFont val="宋体"/>
        <charset val="134"/>
      </rPr>
      <t>齿顶</t>
    </r>
    <r>
      <rPr>
        <sz val="12"/>
        <rFont val="Times New Roman"/>
        <family val="1"/>
      </rPr>
      <t xml:space="preserve">) </t>
    </r>
  </si>
  <si>
    <r>
      <rPr>
        <sz val="12"/>
        <rFont val="宋体"/>
        <charset val="134"/>
      </rPr>
      <t>θ</t>
    </r>
    <r>
      <rPr>
        <sz val="10"/>
        <rFont val="Times New Roman"/>
        <family val="1"/>
      </rPr>
      <t>a1</t>
    </r>
  </si>
  <si>
    <t>中凸点范围</t>
  </si>
  <si>
    <r>
      <rPr>
        <sz val="12"/>
        <rFont val="宋体"/>
        <charset val="134"/>
      </rPr>
      <t>θ</t>
    </r>
    <r>
      <rPr>
        <sz val="10"/>
        <rFont val="Times New Roman"/>
        <family val="1"/>
      </rPr>
      <t>min1</t>
    </r>
  </si>
  <si>
    <r>
      <rPr>
        <sz val="12"/>
        <rFont val="宋体"/>
        <charset val="134"/>
      </rPr>
      <t>θ</t>
    </r>
    <r>
      <rPr>
        <sz val="10"/>
        <rFont val="Times New Roman"/>
        <family val="1"/>
      </rPr>
      <t>max1</t>
    </r>
  </si>
  <si>
    <t>公差值选取计算：</t>
  </si>
  <si>
    <t>分度圆弧长之半</t>
  </si>
  <si>
    <r>
      <rPr>
        <sz val="12"/>
        <rFont val="宋体"/>
        <charset val="134"/>
      </rPr>
      <t>齿</t>
    </r>
    <r>
      <rPr>
        <sz val="12"/>
        <rFont val="Times New Roman"/>
        <family val="1"/>
      </rPr>
      <t xml:space="preserve">  </t>
    </r>
    <r>
      <rPr>
        <sz val="12"/>
        <rFont val="宋体"/>
        <charset val="134"/>
      </rPr>
      <t>条</t>
    </r>
    <r>
      <rPr>
        <sz val="12"/>
        <rFont val="Times New Roman"/>
        <family val="1"/>
      </rPr>
      <t xml:space="preserve">  </t>
    </r>
    <r>
      <rPr>
        <sz val="12"/>
        <rFont val="宋体"/>
        <charset val="134"/>
      </rPr>
      <t>长</t>
    </r>
    <r>
      <rPr>
        <sz val="12"/>
        <rFont val="Times New Roman"/>
        <family val="1"/>
      </rPr>
      <t xml:space="preserve">  </t>
    </r>
    <r>
      <rPr>
        <sz val="12"/>
        <rFont val="宋体"/>
        <charset val="134"/>
      </rPr>
      <t>度</t>
    </r>
  </si>
  <si>
    <t>齿距累积公差</t>
  </si>
  <si>
    <r>
      <rPr>
        <sz val="12"/>
        <rFont val="Times New Roman"/>
        <family val="1"/>
      </rPr>
      <t>F</t>
    </r>
    <r>
      <rPr>
        <sz val="8"/>
        <rFont val="Times New Roman"/>
        <family val="1"/>
      </rPr>
      <t>P1</t>
    </r>
  </si>
  <si>
    <r>
      <rPr>
        <sz val="12"/>
        <rFont val="Times New Roman"/>
        <family val="1"/>
      </rPr>
      <t>F</t>
    </r>
    <r>
      <rPr>
        <sz val="8"/>
        <rFont val="Times New Roman"/>
        <family val="1"/>
      </rPr>
      <t>P2</t>
    </r>
  </si>
  <si>
    <t>齿圈径向跳动公差</t>
  </si>
  <si>
    <r>
      <rPr>
        <sz val="12"/>
        <rFont val="Times New Roman"/>
        <family val="1"/>
      </rPr>
      <t>Fr</t>
    </r>
    <r>
      <rPr>
        <sz val="9"/>
        <rFont val="Times New Roman"/>
        <family val="1"/>
      </rPr>
      <t>1</t>
    </r>
  </si>
  <si>
    <t>齿槽跳动公差</t>
  </si>
  <si>
    <r>
      <rPr>
        <sz val="12"/>
        <rFont val="Times New Roman"/>
        <family val="1"/>
      </rPr>
      <t>Fr</t>
    </r>
    <r>
      <rPr>
        <sz val="9"/>
        <rFont val="Times New Roman"/>
        <family val="1"/>
      </rPr>
      <t>2</t>
    </r>
  </si>
  <si>
    <t>公法线长度变动公差</t>
  </si>
  <si>
    <t>Fw1</t>
  </si>
  <si>
    <t>齿距极限偏差</t>
  </si>
  <si>
    <r>
      <rPr>
        <sz val="12"/>
        <rFont val="Times New Roman"/>
        <family val="1"/>
      </rPr>
      <t>±</t>
    </r>
    <r>
      <rPr>
        <sz val="12"/>
        <rFont val="宋体"/>
        <charset val="134"/>
      </rPr>
      <t>f</t>
    </r>
    <r>
      <rPr>
        <sz val="8"/>
        <rFont val="Times New Roman"/>
        <family val="1"/>
      </rPr>
      <t>pt1</t>
    </r>
  </si>
  <si>
    <r>
      <rPr>
        <sz val="12"/>
        <rFont val="Times New Roman"/>
        <family val="1"/>
      </rPr>
      <t>±f</t>
    </r>
    <r>
      <rPr>
        <sz val="8"/>
        <rFont val="Times New Roman"/>
        <family val="1"/>
      </rPr>
      <t>pt2</t>
    </r>
  </si>
  <si>
    <t>基节极限偏差</t>
  </si>
  <si>
    <r>
      <rPr>
        <sz val="12"/>
        <rFont val="Times New Roman"/>
        <family val="1"/>
      </rPr>
      <t>±</t>
    </r>
    <r>
      <rPr>
        <sz val="12"/>
        <rFont val="宋体"/>
        <charset val="134"/>
      </rPr>
      <t>f</t>
    </r>
    <r>
      <rPr>
        <sz val="8"/>
        <rFont val="Times New Roman"/>
        <family val="1"/>
      </rPr>
      <t>pb1</t>
    </r>
  </si>
  <si>
    <r>
      <rPr>
        <sz val="12"/>
        <rFont val="宋体"/>
        <charset val="134"/>
      </rPr>
      <t>齿</t>
    </r>
    <r>
      <rPr>
        <sz val="12"/>
        <rFont val="Times New Roman"/>
        <family val="1"/>
      </rPr>
      <t xml:space="preserve">   </t>
    </r>
    <r>
      <rPr>
        <sz val="12"/>
        <rFont val="宋体"/>
        <charset val="134"/>
      </rPr>
      <t>形</t>
    </r>
    <r>
      <rPr>
        <sz val="12"/>
        <rFont val="Times New Roman"/>
        <family val="1"/>
      </rPr>
      <t xml:space="preserve">   </t>
    </r>
    <r>
      <rPr>
        <sz val="12"/>
        <rFont val="宋体"/>
        <charset val="134"/>
      </rPr>
      <t>公</t>
    </r>
    <r>
      <rPr>
        <sz val="12"/>
        <rFont val="Times New Roman"/>
        <family val="1"/>
      </rPr>
      <t xml:space="preserve">   </t>
    </r>
    <r>
      <rPr>
        <sz val="12"/>
        <rFont val="宋体"/>
        <charset val="134"/>
      </rPr>
      <t>差</t>
    </r>
  </si>
  <si>
    <r>
      <rPr>
        <sz val="12"/>
        <rFont val="Times New Roman"/>
        <family val="1"/>
      </rPr>
      <t xml:space="preserve">f </t>
    </r>
    <r>
      <rPr>
        <sz val="8"/>
        <rFont val="Times New Roman"/>
        <family val="1"/>
      </rPr>
      <t>f 1</t>
    </r>
  </si>
  <si>
    <r>
      <rPr>
        <sz val="12"/>
        <rFont val="Times New Roman"/>
        <family val="1"/>
      </rPr>
      <t xml:space="preserve">f </t>
    </r>
    <r>
      <rPr>
        <sz val="8"/>
        <rFont val="Times New Roman"/>
        <family val="1"/>
      </rPr>
      <t>f 2</t>
    </r>
  </si>
  <si>
    <r>
      <rPr>
        <sz val="12"/>
        <rFont val="宋体"/>
        <charset val="134"/>
      </rPr>
      <t>齿</t>
    </r>
    <r>
      <rPr>
        <sz val="12"/>
        <rFont val="Times New Roman"/>
        <family val="1"/>
      </rPr>
      <t xml:space="preserve">   </t>
    </r>
    <r>
      <rPr>
        <sz val="12"/>
        <rFont val="宋体"/>
        <charset val="134"/>
      </rPr>
      <t>向</t>
    </r>
    <r>
      <rPr>
        <sz val="12"/>
        <rFont val="Times New Roman"/>
        <family val="1"/>
      </rPr>
      <t xml:space="preserve">   公   差</t>
    </r>
  </si>
  <si>
    <r>
      <rPr>
        <sz val="12"/>
        <rFont val="宋体"/>
        <charset val="134"/>
      </rPr>
      <t>F</t>
    </r>
    <r>
      <rPr>
        <sz val="9"/>
        <rFont val="宋体"/>
        <charset val="134"/>
      </rPr>
      <t>β</t>
    </r>
  </si>
  <si>
    <r>
      <rPr>
        <sz val="12"/>
        <rFont val="宋体"/>
        <charset val="134"/>
      </rPr>
      <t>齿</t>
    </r>
    <r>
      <rPr>
        <sz val="12"/>
        <rFont val="Times New Roman"/>
        <family val="1"/>
      </rPr>
      <t xml:space="preserve"> </t>
    </r>
    <r>
      <rPr>
        <sz val="12"/>
        <rFont val="宋体"/>
        <charset val="134"/>
      </rPr>
      <t>面</t>
    </r>
    <r>
      <rPr>
        <sz val="12"/>
        <rFont val="Times New Roman"/>
        <family val="1"/>
      </rPr>
      <t xml:space="preserve"> </t>
    </r>
    <r>
      <rPr>
        <sz val="12"/>
        <rFont val="宋体"/>
        <charset val="134"/>
      </rPr>
      <t>接</t>
    </r>
    <r>
      <rPr>
        <sz val="12"/>
        <rFont val="Times New Roman"/>
        <family val="1"/>
      </rPr>
      <t xml:space="preserve"> </t>
    </r>
    <r>
      <rPr>
        <sz val="12"/>
        <rFont val="宋体"/>
        <charset val="134"/>
      </rPr>
      <t>触</t>
    </r>
    <r>
      <rPr>
        <sz val="12"/>
        <rFont val="Times New Roman"/>
        <family val="1"/>
      </rPr>
      <t xml:space="preserve"> </t>
    </r>
    <r>
      <rPr>
        <sz val="12"/>
        <rFont val="宋体"/>
        <charset val="134"/>
      </rPr>
      <t>斑</t>
    </r>
    <r>
      <rPr>
        <sz val="12"/>
        <rFont val="Times New Roman"/>
        <family val="1"/>
      </rPr>
      <t xml:space="preserve"> </t>
    </r>
    <r>
      <rPr>
        <sz val="12"/>
        <rFont val="宋体"/>
        <charset val="134"/>
      </rPr>
      <t>点</t>
    </r>
  </si>
  <si>
    <t>按高度</t>
  </si>
  <si>
    <t>按长度</t>
  </si>
  <si>
    <r>
      <rPr>
        <sz val="12"/>
        <rFont val="宋体"/>
        <charset val="134"/>
      </rPr>
      <t>切</t>
    </r>
    <r>
      <rPr>
        <sz val="12"/>
        <rFont val="Times New Roman"/>
        <family val="1"/>
      </rPr>
      <t xml:space="preserve"> </t>
    </r>
    <r>
      <rPr>
        <sz val="12"/>
        <rFont val="宋体"/>
        <charset val="134"/>
      </rPr>
      <t>向</t>
    </r>
    <r>
      <rPr>
        <sz val="12"/>
        <rFont val="Times New Roman"/>
        <family val="1"/>
      </rPr>
      <t xml:space="preserve"> </t>
    </r>
    <r>
      <rPr>
        <sz val="12"/>
        <rFont val="宋体"/>
        <charset val="134"/>
      </rPr>
      <t>综</t>
    </r>
    <r>
      <rPr>
        <sz val="12"/>
        <rFont val="Times New Roman"/>
        <family val="1"/>
      </rPr>
      <t xml:space="preserve"> </t>
    </r>
    <r>
      <rPr>
        <sz val="12"/>
        <rFont val="宋体"/>
        <charset val="134"/>
      </rPr>
      <t>合</t>
    </r>
    <r>
      <rPr>
        <sz val="12"/>
        <rFont val="Times New Roman"/>
        <family val="1"/>
      </rPr>
      <t xml:space="preserve"> </t>
    </r>
    <r>
      <rPr>
        <sz val="12"/>
        <rFont val="宋体"/>
        <charset val="134"/>
      </rPr>
      <t>公</t>
    </r>
    <r>
      <rPr>
        <sz val="12"/>
        <rFont val="Times New Roman"/>
        <family val="1"/>
      </rPr>
      <t xml:space="preserve"> </t>
    </r>
    <r>
      <rPr>
        <sz val="12"/>
        <rFont val="宋体"/>
        <charset val="134"/>
      </rPr>
      <t>差</t>
    </r>
  </si>
  <si>
    <r>
      <rPr>
        <sz val="12"/>
        <rFont val="Times New Roman"/>
        <family val="1"/>
      </rPr>
      <t>F'i</t>
    </r>
    <r>
      <rPr>
        <sz val="8"/>
        <rFont val="Times New Roman"/>
        <family val="1"/>
      </rPr>
      <t>1</t>
    </r>
  </si>
  <si>
    <r>
      <rPr>
        <sz val="12"/>
        <rFont val="Times New Roman"/>
        <family val="1"/>
      </rPr>
      <t>F'i</t>
    </r>
    <r>
      <rPr>
        <sz val="8"/>
        <rFont val="Times New Roman"/>
        <family val="1"/>
      </rPr>
      <t>2</t>
    </r>
  </si>
  <si>
    <t>一齿切向综合公差</t>
  </si>
  <si>
    <r>
      <rPr>
        <sz val="12"/>
        <rFont val="Times New Roman"/>
        <family val="1"/>
      </rPr>
      <t>f'i</t>
    </r>
    <r>
      <rPr>
        <sz val="8"/>
        <rFont val="Times New Roman"/>
        <family val="1"/>
      </rPr>
      <t>1</t>
    </r>
  </si>
  <si>
    <r>
      <rPr>
        <sz val="12"/>
        <rFont val="Times New Roman"/>
        <family val="1"/>
      </rPr>
      <t>f'i</t>
    </r>
    <r>
      <rPr>
        <sz val="8"/>
        <rFont val="Times New Roman"/>
        <family val="1"/>
      </rPr>
      <t>2</t>
    </r>
  </si>
  <si>
    <r>
      <rPr>
        <sz val="12"/>
        <rFont val="宋体"/>
        <charset val="134"/>
      </rPr>
      <t>齿</t>
    </r>
    <r>
      <rPr>
        <sz val="12"/>
        <rFont val="Times New Roman"/>
        <family val="1"/>
      </rPr>
      <t xml:space="preserve">  </t>
    </r>
    <r>
      <rPr>
        <sz val="12"/>
        <rFont val="宋体"/>
        <charset val="134"/>
      </rPr>
      <t>厚</t>
    </r>
    <r>
      <rPr>
        <sz val="12"/>
        <rFont val="Times New Roman"/>
        <family val="1"/>
      </rPr>
      <t xml:space="preserve">  </t>
    </r>
    <r>
      <rPr>
        <sz val="12"/>
        <rFont val="宋体"/>
        <charset val="134"/>
      </rPr>
      <t>上</t>
    </r>
    <r>
      <rPr>
        <sz val="12"/>
        <rFont val="Times New Roman"/>
        <family val="1"/>
      </rPr>
      <t xml:space="preserve">  </t>
    </r>
    <r>
      <rPr>
        <sz val="12"/>
        <rFont val="宋体"/>
        <charset val="134"/>
      </rPr>
      <t>偏</t>
    </r>
    <r>
      <rPr>
        <sz val="12"/>
        <rFont val="Times New Roman"/>
        <family val="1"/>
      </rPr>
      <t xml:space="preserve">  </t>
    </r>
    <r>
      <rPr>
        <sz val="12"/>
        <rFont val="宋体"/>
        <charset val="134"/>
      </rPr>
      <t>差</t>
    </r>
  </si>
  <si>
    <t>Ess1</t>
  </si>
  <si>
    <t>Ess2</t>
  </si>
  <si>
    <r>
      <rPr>
        <sz val="12"/>
        <rFont val="宋体"/>
        <charset val="134"/>
      </rPr>
      <t>齿</t>
    </r>
    <r>
      <rPr>
        <sz val="12"/>
        <rFont val="Times New Roman"/>
        <family val="1"/>
      </rPr>
      <t xml:space="preserve">  </t>
    </r>
    <r>
      <rPr>
        <sz val="12"/>
        <rFont val="宋体"/>
        <charset val="134"/>
      </rPr>
      <t>厚</t>
    </r>
    <r>
      <rPr>
        <sz val="12"/>
        <rFont val="Times New Roman"/>
        <family val="1"/>
      </rPr>
      <t xml:space="preserve">  </t>
    </r>
    <r>
      <rPr>
        <sz val="12"/>
        <rFont val="宋体"/>
        <charset val="134"/>
      </rPr>
      <t>下</t>
    </r>
    <r>
      <rPr>
        <sz val="12"/>
        <rFont val="Times New Roman"/>
        <family val="1"/>
      </rPr>
      <t xml:space="preserve">  </t>
    </r>
    <r>
      <rPr>
        <sz val="12"/>
        <rFont val="宋体"/>
        <charset val="134"/>
      </rPr>
      <t>偏</t>
    </r>
    <r>
      <rPr>
        <sz val="12"/>
        <rFont val="Times New Roman"/>
        <family val="1"/>
      </rPr>
      <t xml:space="preserve">  </t>
    </r>
    <r>
      <rPr>
        <sz val="12"/>
        <rFont val="宋体"/>
        <charset val="134"/>
      </rPr>
      <t>差</t>
    </r>
  </si>
  <si>
    <t>Esi1</t>
  </si>
  <si>
    <t>Esi2</t>
  </si>
  <si>
    <t>齿   厚   公   差</t>
  </si>
  <si>
    <t>Ts1</t>
  </si>
  <si>
    <t>Ts2</t>
  </si>
  <si>
    <t>公法线平均长度上下偏差及公差：</t>
  </si>
  <si>
    <t>Ews</t>
  </si>
  <si>
    <t>Ewi</t>
  </si>
  <si>
    <t>Ew</t>
  </si>
  <si>
    <t>圆棒（球）跨距上下偏差及公差：</t>
  </si>
  <si>
    <t>Ems</t>
  </si>
  <si>
    <t>Emi</t>
  </si>
  <si>
    <t>Em</t>
  </si>
  <si>
    <r>
      <rPr>
        <sz val="11"/>
        <rFont val="Times New Roman"/>
        <family val="1"/>
      </rPr>
      <t>X</t>
    </r>
    <r>
      <rPr>
        <sz val="11"/>
        <rFont val="宋体"/>
        <charset val="134"/>
      </rPr>
      <t>方向轴线平行度公差</t>
    </r>
  </si>
  <si>
    <t>f x</t>
  </si>
  <si>
    <t>Y方向轴线平行度公差</t>
  </si>
  <si>
    <t>f y</t>
  </si>
  <si>
    <t>安装距极限偏差</t>
  </si>
  <si>
    <r>
      <rPr>
        <sz val="12"/>
        <rFont val="Times New Roman"/>
        <family val="1"/>
      </rPr>
      <t>±</t>
    </r>
    <r>
      <rPr>
        <sz val="12"/>
        <rFont val="宋体"/>
        <charset val="134"/>
      </rPr>
      <t>f</t>
    </r>
    <r>
      <rPr>
        <sz val="10"/>
        <rFont val="宋体"/>
        <charset val="134"/>
      </rPr>
      <t>a</t>
    </r>
  </si>
  <si>
    <r>
      <rPr>
        <sz val="11"/>
        <rFont val="Times New Roman"/>
        <family val="1"/>
      </rPr>
      <t>3</t>
    </r>
    <r>
      <rPr>
        <sz val="11"/>
        <rFont val="宋体"/>
        <charset val="134"/>
      </rPr>
      <t>公差组最高精度等级</t>
    </r>
  </si>
  <si>
    <t>齿坯公差：</t>
  </si>
  <si>
    <t>孔径尺寸公差</t>
  </si>
  <si>
    <t>孔径形状公差</t>
  </si>
  <si>
    <t>顶圆尺寸公差</t>
  </si>
  <si>
    <r>
      <rPr>
        <sz val="12"/>
        <rFont val="Times New Roman"/>
        <family val="1"/>
      </rPr>
      <t>IT11</t>
    </r>
    <r>
      <rPr>
        <sz val="12"/>
        <rFont val="宋体"/>
        <charset val="134"/>
      </rPr>
      <t>，</t>
    </r>
    <r>
      <rPr>
        <sz val="12"/>
        <rFont val="Times New Roman"/>
        <family val="1"/>
      </rPr>
      <t xml:space="preserve"> </t>
    </r>
    <r>
      <rPr>
        <sz val="12"/>
        <rFont val="宋体"/>
        <charset val="134"/>
      </rPr>
      <t>但不大于</t>
    </r>
  </si>
  <si>
    <t>基准面径向和端面跳动</t>
  </si>
  <si>
    <r>
      <rPr>
        <sz val="10"/>
        <color indexed="10"/>
        <rFont val="宋体"/>
        <charset val="134"/>
      </rPr>
      <t>以下是输出数据，请打印：</t>
    </r>
    <r>
      <rPr>
        <sz val="10"/>
        <color indexed="10"/>
        <rFont val="Times New Roman"/>
        <family val="1"/>
      </rPr>
      <t>***************************************************************************</t>
    </r>
  </si>
  <si>
    <t xml:space="preserve">   齿轮齿条传动设计计算              </t>
  </si>
  <si>
    <r>
      <rPr>
        <sz val="10"/>
        <rFont val="宋体"/>
        <charset val="134"/>
      </rPr>
      <t>计</t>
    </r>
    <r>
      <rPr>
        <sz val="10"/>
        <rFont val="Times New Roman"/>
        <family val="1"/>
      </rPr>
      <t xml:space="preserve"> </t>
    </r>
    <r>
      <rPr>
        <sz val="10"/>
        <rFont val="宋体"/>
        <charset val="134"/>
      </rPr>
      <t>算</t>
    </r>
    <r>
      <rPr>
        <sz val="10"/>
        <rFont val="Times New Roman"/>
        <family val="1"/>
      </rPr>
      <t xml:space="preserve"> </t>
    </r>
    <r>
      <rPr>
        <sz val="10"/>
        <rFont val="宋体"/>
        <charset val="134"/>
      </rPr>
      <t>人 ：</t>
    </r>
  </si>
  <si>
    <r>
      <rPr>
        <b/>
        <sz val="10"/>
        <color indexed="12"/>
        <rFont val="宋体"/>
        <charset val="134"/>
      </rPr>
      <t>注：</t>
    </r>
    <r>
      <rPr>
        <sz val="10"/>
        <color indexed="12"/>
        <rFont val="宋体"/>
        <charset val="134"/>
      </rPr>
      <t>“度.分秒”标注示例 — 56.0638 表示56度6分38秒；35.596 表示35度59分60秒（即36度）。</t>
    </r>
  </si>
  <si>
    <r>
      <rPr>
        <b/>
        <sz val="12"/>
        <rFont val="宋体"/>
        <charset val="134"/>
      </rPr>
      <t>项</t>
    </r>
    <r>
      <rPr>
        <b/>
        <sz val="12"/>
        <rFont val="Times New Roman"/>
        <family val="1"/>
      </rPr>
      <t xml:space="preserve">         </t>
    </r>
    <r>
      <rPr>
        <b/>
        <sz val="12"/>
        <rFont val="宋体"/>
        <charset val="134"/>
      </rPr>
      <t>目</t>
    </r>
  </si>
  <si>
    <t>几何参数：</t>
  </si>
  <si>
    <r>
      <rPr>
        <sz val="12"/>
        <rFont val="宋体"/>
        <charset val="134"/>
      </rPr>
      <t>齿</t>
    </r>
    <r>
      <rPr>
        <sz val="12"/>
        <rFont val="Times New Roman"/>
        <family val="1"/>
      </rPr>
      <t xml:space="preserve">                    </t>
    </r>
    <r>
      <rPr>
        <sz val="12"/>
        <rFont val="宋体"/>
        <charset val="134"/>
      </rPr>
      <t>数</t>
    </r>
  </si>
  <si>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模</t>
    </r>
    <r>
      <rPr>
        <sz val="12"/>
        <rFont val="Times New Roman"/>
        <family val="1"/>
      </rPr>
      <t xml:space="preserve">    </t>
    </r>
    <r>
      <rPr>
        <sz val="12"/>
        <rFont val="宋体"/>
        <charset val="134"/>
      </rPr>
      <t>数</t>
    </r>
  </si>
  <si>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压</t>
    </r>
    <r>
      <rPr>
        <sz val="12"/>
        <rFont val="Times New Roman"/>
        <family val="1"/>
      </rPr>
      <t xml:space="preserve">  </t>
    </r>
    <r>
      <rPr>
        <sz val="12"/>
        <rFont val="宋体"/>
        <charset val="134"/>
      </rPr>
      <t>力</t>
    </r>
    <r>
      <rPr>
        <sz val="12"/>
        <rFont val="Times New Roman"/>
        <family val="1"/>
      </rPr>
      <t xml:space="preserve">  </t>
    </r>
    <r>
      <rPr>
        <sz val="12"/>
        <rFont val="宋体"/>
        <charset val="134"/>
      </rPr>
      <t>角</t>
    </r>
  </si>
  <si>
    <r>
      <rPr>
        <sz val="12"/>
        <rFont val="宋体"/>
        <charset val="134"/>
      </rPr>
      <t>螺</t>
    </r>
    <r>
      <rPr>
        <sz val="12"/>
        <rFont val="Times New Roman"/>
        <family val="1"/>
      </rPr>
      <t xml:space="preserve">       </t>
    </r>
    <r>
      <rPr>
        <sz val="12"/>
        <rFont val="宋体"/>
        <charset val="134"/>
      </rPr>
      <t>旋</t>
    </r>
    <r>
      <rPr>
        <sz val="12"/>
        <rFont val="Times New Roman"/>
        <family val="1"/>
      </rPr>
      <t xml:space="preserve">       </t>
    </r>
    <r>
      <rPr>
        <sz val="12"/>
        <rFont val="宋体"/>
        <charset val="134"/>
      </rPr>
      <t>角</t>
    </r>
  </si>
  <si>
    <r>
      <rPr>
        <sz val="12"/>
        <rFont val="宋体"/>
        <charset val="134"/>
      </rPr>
      <t>有</t>
    </r>
    <r>
      <rPr>
        <sz val="12"/>
        <rFont val="Times New Roman"/>
        <family val="1"/>
      </rPr>
      <t xml:space="preserve">    </t>
    </r>
    <r>
      <rPr>
        <sz val="12"/>
        <rFont val="宋体"/>
        <charset val="134"/>
      </rPr>
      <t>效</t>
    </r>
    <r>
      <rPr>
        <sz val="12"/>
        <rFont val="Times New Roman"/>
        <family val="1"/>
      </rPr>
      <t xml:space="preserve">    </t>
    </r>
    <r>
      <rPr>
        <sz val="12"/>
        <rFont val="宋体"/>
        <charset val="134"/>
      </rPr>
      <t>齿</t>
    </r>
    <r>
      <rPr>
        <sz val="12"/>
        <rFont val="Times New Roman"/>
        <family val="1"/>
      </rPr>
      <t xml:space="preserve">    </t>
    </r>
    <r>
      <rPr>
        <sz val="12"/>
        <rFont val="宋体"/>
        <charset val="134"/>
      </rPr>
      <t>宽</t>
    </r>
  </si>
  <si>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高</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</si>
  <si>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倒</t>
    </r>
    <r>
      <rPr>
        <sz val="12"/>
        <rFont val="Times New Roman"/>
        <family val="1"/>
      </rPr>
      <t xml:space="preserve"> </t>
    </r>
    <r>
      <rPr>
        <sz val="12"/>
        <rFont val="宋体"/>
        <charset val="134"/>
      </rPr>
      <t>棱</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</si>
  <si>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宋体"/>
        <charset val="134"/>
      </rPr>
      <t>全</t>
    </r>
    <r>
      <rPr>
        <sz val="12"/>
        <rFont val="Times New Roman"/>
        <family val="1"/>
      </rPr>
      <t xml:space="preserve">  </t>
    </r>
    <r>
      <rPr>
        <sz val="12"/>
        <rFont val="宋体"/>
        <charset val="134"/>
      </rPr>
      <t>齿</t>
    </r>
    <r>
      <rPr>
        <sz val="12"/>
        <rFont val="Times New Roman"/>
        <family val="1"/>
      </rPr>
      <t xml:space="preserve">  </t>
    </r>
    <r>
      <rPr>
        <sz val="12"/>
        <rFont val="宋体"/>
        <charset val="134"/>
      </rPr>
      <t>高</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</si>
  <si>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Times New Roman"/>
        <family val="1"/>
      </rPr>
      <t xml:space="preserve">x </t>
    </r>
    <r>
      <rPr>
        <sz val="10"/>
        <rFont val="Times New Roman"/>
        <family val="1"/>
      </rPr>
      <t>t*</t>
    </r>
  </si>
  <si>
    <r>
      <rPr>
        <sz val="12"/>
        <rFont val="宋体"/>
        <charset val="134"/>
      </rPr>
      <t>安</t>
    </r>
    <r>
      <rPr>
        <sz val="12"/>
        <rFont val="Times New Roman"/>
        <family val="1"/>
      </rPr>
      <t xml:space="preserve">       </t>
    </r>
    <r>
      <rPr>
        <sz val="12"/>
        <rFont val="宋体"/>
        <charset val="134"/>
      </rPr>
      <t>装</t>
    </r>
    <r>
      <rPr>
        <sz val="12"/>
        <rFont val="Times New Roman"/>
        <family val="1"/>
      </rPr>
      <t xml:space="preserve">       </t>
    </r>
    <r>
      <rPr>
        <sz val="12"/>
        <rFont val="宋体"/>
        <charset val="134"/>
      </rPr>
      <t>距</t>
    </r>
  </si>
  <si>
    <t>毫米（齿轮轴线至齿条基准面）</t>
  </si>
  <si>
    <r>
      <rPr>
        <sz val="12"/>
        <rFont val="宋体"/>
        <charset val="134"/>
      </rPr>
      <t>径</t>
    </r>
    <r>
      <rPr>
        <sz val="12"/>
        <rFont val="Times New Roman"/>
        <family val="1"/>
      </rPr>
      <t xml:space="preserve"> </t>
    </r>
    <r>
      <rPr>
        <sz val="12"/>
        <rFont val="宋体"/>
        <charset val="134"/>
      </rPr>
      <t>向</t>
    </r>
    <r>
      <rPr>
        <sz val="12"/>
        <rFont val="Times New Roman"/>
        <family val="1"/>
      </rPr>
      <t xml:space="preserve"> </t>
    </r>
    <r>
      <rPr>
        <sz val="12"/>
        <rFont val="宋体"/>
        <charset val="134"/>
      </rPr>
      <t>变</t>
    </r>
    <r>
      <rPr>
        <sz val="12"/>
        <rFont val="Times New Roman"/>
        <family val="1"/>
      </rPr>
      <t xml:space="preserve"> </t>
    </r>
    <r>
      <rPr>
        <sz val="12"/>
        <rFont val="宋体"/>
        <charset val="134"/>
      </rPr>
      <t>位</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</si>
  <si>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变</t>
    </r>
    <r>
      <rPr>
        <sz val="12"/>
        <rFont val="Times New Roman"/>
        <family val="1"/>
      </rPr>
      <t xml:space="preserve"> </t>
    </r>
    <r>
      <rPr>
        <sz val="12"/>
        <rFont val="宋体"/>
        <charset val="134"/>
      </rPr>
      <t>位</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</si>
  <si>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Times New Roman"/>
        <family val="1"/>
      </rPr>
      <t xml:space="preserve">x </t>
    </r>
    <r>
      <rPr>
        <sz val="10"/>
        <rFont val="Times New Roman"/>
        <family val="1"/>
      </rPr>
      <t>n</t>
    </r>
  </si>
  <si>
    <r>
      <rPr>
        <sz val="12"/>
        <rFont val="宋体"/>
        <charset val="134"/>
      </rPr>
      <t>分</t>
    </r>
    <r>
      <rPr>
        <sz val="12"/>
        <rFont val="Times New Roman"/>
        <family val="1"/>
      </rPr>
      <t xml:space="preserve">  </t>
    </r>
    <r>
      <rPr>
        <sz val="12"/>
        <rFont val="宋体"/>
        <charset val="134"/>
      </rPr>
      <t>度</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</si>
  <si>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宋体"/>
        <charset val="134"/>
      </rPr>
      <t>基</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</si>
  <si>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 xml:space="preserve">d </t>
    </r>
    <r>
      <rPr>
        <sz val="10"/>
        <rFont val="Times New Roman"/>
        <family val="1"/>
      </rPr>
      <t>b</t>
    </r>
  </si>
  <si>
    <r>
      <rPr>
        <sz val="12"/>
        <rFont val="宋体"/>
        <charset val="134"/>
      </rPr>
      <t>顶</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</si>
  <si>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 xml:space="preserve">d </t>
    </r>
    <r>
      <rPr>
        <sz val="10"/>
        <rFont val="Times New Roman"/>
        <family val="1"/>
      </rPr>
      <t>a</t>
    </r>
  </si>
  <si>
    <r>
      <rPr>
        <sz val="12"/>
        <rFont val="宋体"/>
        <charset val="134"/>
      </rPr>
      <t>根</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</si>
  <si>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 xml:space="preserve">d </t>
    </r>
    <r>
      <rPr>
        <sz val="10"/>
        <rFont val="Times New Roman"/>
        <family val="1"/>
      </rPr>
      <t>f</t>
    </r>
  </si>
  <si>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高</t>
    </r>
  </si>
  <si>
    <r>
      <rPr>
        <sz val="12"/>
        <rFont val="Times New Roman"/>
        <family val="1"/>
      </rPr>
      <t xml:space="preserve">h </t>
    </r>
    <r>
      <rPr>
        <sz val="10"/>
        <rFont val="Times New Roman"/>
        <family val="1"/>
      </rPr>
      <t>a</t>
    </r>
  </si>
  <si>
    <r>
      <rPr>
        <sz val="12"/>
        <rFont val="宋体"/>
        <charset val="134"/>
      </rPr>
      <t>齿</t>
    </r>
    <r>
      <rPr>
        <sz val="12"/>
        <rFont val="Times New Roman"/>
        <family val="1"/>
      </rPr>
      <t xml:space="preserve">        </t>
    </r>
    <r>
      <rPr>
        <sz val="12"/>
        <rFont val="宋体"/>
        <charset val="134"/>
      </rPr>
      <t>根</t>
    </r>
    <r>
      <rPr>
        <sz val="12"/>
        <rFont val="Times New Roman"/>
        <family val="1"/>
      </rPr>
      <t xml:space="preserve">        </t>
    </r>
    <r>
      <rPr>
        <sz val="12"/>
        <rFont val="宋体"/>
        <charset val="134"/>
      </rPr>
      <t>高</t>
    </r>
  </si>
  <si>
    <r>
      <rPr>
        <sz val="12"/>
        <rFont val="Times New Roman"/>
        <family val="1"/>
      </rPr>
      <t xml:space="preserve">h </t>
    </r>
    <r>
      <rPr>
        <sz val="10"/>
        <rFont val="Times New Roman"/>
        <family val="1"/>
      </rPr>
      <t>f</t>
    </r>
  </si>
  <si>
    <r>
      <rPr>
        <sz val="12"/>
        <rFont val="宋体"/>
        <charset val="134"/>
      </rPr>
      <t>全</t>
    </r>
    <r>
      <rPr>
        <sz val="12"/>
        <rFont val="Times New Roman"/>
        <family val="1"/>
      </rPr>
      <t xml:space="preserve">        </t>
    </r>
    <r>
      <rPr>
        <sz val="12"/>
        <rFont val="宋体"/>
        <charset val="134"/>
      </rPr>
      <t>齿</t>
    </r>
    <r>
      <rPr>
        <sz val="12"/>
        <rFont val="Times New Roman"/>
        <family val="1"/>
      </rPr>
      <t xml:space="preserve">        </t>
    </r>
    <r>
      <rPr>
        <sz val="12"/>
        <rFont val="宋体"/>
        <charset val="134"/>
      </rPr>
      <t>高</t>
    </r>
  </si>
  <si>
    <r>
      <rPr>
        <sz val="12"/>
        <rFont val="Times New Roman"/>
        <family val="1"/>
      </rPr>
      <t xml:space="preserve">h </t>
    </r>
    <r>
      <rPr>
        <sz val="9"/>
        <rFont val="Times New Roman"/>
        <family val="1"/>
      </rPr>
      <t>t</t>
    </r>
  </si>
  <si>
    <t>弧        齿        厚</t>
  </si>
  <si>
    <r>
      <rPr>
        <sz val="12"/>
        <rFont val="Times New Roman"/>
        <family val="1"/>
      </rPr>
      <t>S</t>
    </r>
    <r>
      <rPr>
        <sz val="10"/>
        <rFont val="Times New Roman"/>
        <family val="1"/>
      </rPr>
      <t xml:space="preserve"> t</t>
    </r>
  </si>
  <si>
    <t>测量尺寸：</t>
  </si>
  <si>
    <r>
      <rPr>
        <sz val="12"/>
        <rFont val="宋体"/>
        <charset val="134"/>
      </rPr>
      <t>公</t>
    </r>
    <r>
      <rPr>
        <sz val="12"/>
        <rFont val="Times New Roman"/>
        <family val="1"/>
      </rPr>
      <t xml:space="preserve">  </t>
    </r>
    <r>
      <rPr>
        <sz val="12"/>
        <rFont val="宋体"/>
        <charset val="134"/>
      </rPr>
      <t>法</t>
    </r>
    <r>
      <rPr>
        <sz val="12"/>
        <rFont val="Times New Roman"/>
        <family val="1"/>
      </rPr>
      <t xml:space="preserve">  </t>
    </r>
    <r>
      <rPr>
        <sz val="12"/>
        <rFont val="宋体"/>
        <charset val="134"/>
      </rPr>
      <t>线</t>
    </r>
    <r>
      <rPr>
        <sz val="12"/>
        <rFont val="Times New Roman"/>
        <family val="1"/>
      </rPr>
      <t xml:space="preserve">  </t>
    </r>
    <r>
      <rPr>
        <sz val="12"/>
        <rFont val="宋体"/>
        <charset val="134"/>
      </rPr>
      <t>长</t>
    </r>
    <r>
      <rPr>
        <sz val="12"/>
        <rFont val="Times New Roman"/>
        <family val="1"/>
      </rPr>
      <t xml:space="preserve">  </t>
    </r>
    <r>
      <rPr>
        <sz val="12"/>
        <rFont val="宋体"/>
        <charset val="134"/>
      </rPr>
      <t>度</t>
    </r>
  </si>
  <si>
    <r>
      <rPr>
        <sz val="12"/>
        <rFont val="Times New Roman"/>
        <family val="1"/>
      </rPr>
      <t>W</t>
    </r>
    <r>
      <rPr>
        <sz val="10"/>
        <rFont val="Times New Roman"/>
        <family val="1"/>
      </rPr>
      <t>k</t>
    </r>
  </si>
  <si>
    <r>
      <rPr>
        <sz val="12"/>
        <rFont val="宋体"/>
        <charset val="134"/>
      </rPr>
      <t>卡</t>
    </r>
    <r>
      <rPr>
        <sz val="12"/>
        <rFont val="Times New Roman"/>
        <family val="1"/>
      </rPr>
      <t xml:space="preserve">    </t>
    </r>
    <r>
      <rPr>
        <sz val="12"/>
        <rFont val="宋体"/>
        <charset val="134"/>
      </rPr>
      <t>跨</t>
    </r>
    <r>
      <rPr>
        <sz val="12"/>
        <rFont val="Times New Roman"/>
        <family val="1"/>
      </rPr>
      <t xml:space="preserve">    </t>
    </r>
    <r>
      <rPr>
        <sz val="12"/>
        <rFont val="宋体"/>
        <charset val="134"/>
      </rPr>
      <t>齿</t>
    </r>
    <r>
      <rPr>
        <sz val="12"/>
        <rFont val="Times New Roman"/>
        <family val="1"/>
      </rPr>
      <t xml:space="preserve">    </t>
    </r>
    <r>
      <rPr>
        <sz val="12"/>
        <rFont val="宋体"/>
        <charset val="134"/>
      </rPr>
      <t>数</t>
    </r>
  </si>
  <si>
    <t>k</t>
  </si>
  <si>
    <r>
      <rPr>
        <sz val="12"/>
        <rFont val="Times New Roman"/>
        <family val="1"/>
      </rPr>
      <t>W</t>
    </r>
    <r>
      <rPr>
        <sz val="10"/>
        <rFont val="Times New Roman"/>
        <family val="1"/>
      </rPr>
      <t xml:space="preserve">k </t>
    </r>
    <r>
      <rPr>
        <sz val="12"/>
        <rFont val="宋体"/>
        <charset val="134"/>
      </rPr>
      <t>是</t>
    </r>
    <r>
      <rPr>
        <sz val="12"/>
        <rFont val="宋体"/>
        <charset val="134"/>
      </rPr>
      <t>否</t>
    </r>
    <r>
      <rPr>
        <sz val="12"/>
        <rFont val="宋体"/>
        <charset val="134"/>
      </rPr>
      <t>可</t>
    </r>
    <r>
      <rPr>
        <sz val="12"/>
        <rFont val="宋体"/>
        <charset val="134"/>
      </rPr>
      <t>以</t>
    </r>
    <r>
      <rPr>
        <sz val="12"/>
        <rFont val="宋体"/>
        <charset val="134"/>
      </rPr>
      <t>测</t>
    </r>
    <r>
      <rPr>
        <sz val="12"/>
        <rFont val="宋体"/>
        <charset val="134"/>
      </rPr>
      <t>量</t>
    </r>
  </si>
  <si>
    <r>
      <rPr>
        <sz val="12"/>
        <rFont val="宋体"/>
        <charset val="134"/>
      </rPr>
      <t>固</t>
    </r>
    <r>
      <rPr>
        <sz val="12"/>
        <rFont val="Times New Roman"/>
        <family val="1"/>
      </rPr>
      <t xml:space="preserve">  </t>
    </r>
    <r>
      <rPr>
        <sz val="12"/>
        <rFont val="宋体"/>
        <charset val="134"/>
      </rPr>
      <t>定</t>
    </r>
    <r>
      <rPr>
        <sz val="12"/>
        <rFont val="Times New Roman"/>
        <family val="1"/>
      </rPr>
      <t xml:space="preserve">  </t>
    </r>
    <r>
      <rPr>
        <sz val="12"/>
        <rFont val="宋体"/>
        <charset val="134"/>
      </rPr>
      <t>弦</t>
    </r>
    <r>
      <rPr>
        <sz val="12"/>
        <rFont val="Times New Roman"/>
        <family val="1"/>
      </rPr>
      <t xml:space="preserve">  </t>
    </r>
    <r>
      <rPr>
        <sz val="12"/>
        <rFont val="宋体"/>
        <charset val="134"/>
      </rPr>
      <t>齿</t>
    </r>
    <r>
      <rPr>
        <sz val="12"/>
        <rFont val="Times New Roman"/>
        <family val="1"/>
      </rPr>
      <t xml:space="preserve">  </t>
    </r>
    <r>
      <rPr>
        <sz val="12"/>
        <rFont val="宋体"/>
        <charset val="134"/>
      </rPr>
      <t>厚</t>
    </r>
  </si>
  <si>
    <r>
      <rPr>
        <sz val="12"/>
        <rFont val="Times New Roman"/>
        <family val="1"/>
      </rPr>
      <t>Sc</t>
    </r>
    <r>
      <rPr>
        <sz val="10"/>
        <rFont val="Times New Roman"/>
        <family val="1"/>
      </rPr>
      <t>n</t>
    </r>
  </si>
  <si>
    <r>
      <rPr>
        <sz val="12"/>
        <rFont val="宋体"/>
        <charset val="134"/>
      </rPr>
      <t>固</t>
    </r>
    <r>
      <rPr>
        <sz val="12"/>
        <rFont val="Times New Roman"/>
        <family val="1"/>
      </rPr>
      <t xml:space="preserve">  </t>
    </r>
    <r>
      <rPr>
        <sz val="12"/>
        <rFont val="宋体"/>
        <charset val="134"/>
      </rPr>
      <t>定</t>
    </r>
    <r>
      <rPr>
        <sz val="12"/>
        <rFont val="Times New Roman"/>
        <family val="1"/>
      </rPr>
      <t xml:space="preserve">  </t>
    </r>
    <r>
      <rPr>
        <sz val="12"/>
        <rFont val="宋体"/>
        <charset val="134"/>
      </rPr>
      <t>弦</t>
    </r>
    <r>
      <rPr>
        <sz val="12"/>
        <rFont val="Times New Roman"/>
        <family val="1"/>
      </rPr>
      <t xml:space="preserve">  </t>
    </r>
    <r>
      <rPr>
        <sz val="12"/>
        <rFont val="宋体"/>
        <charset val="134"/>
      </rPr>
      <t>齿</t>
    </r>
    <r>
      <rPr>
        <sz val="12"/>
        <rFont val="Times New Roman"/>
        <family val="1"/>
      </rPr>
      <t xml:space="preserve">  </t>
    </r>
    <r>
      <rPr>
        <sz val="12"/>
        <rFont val="宋体"/>
        <charset val="134"/>
      </rPr>
      <t>高</t>
    </r>
  </si>
  <si>
    <r>
      <rPr>
        <sz val="12"/>
        <rFont val="Times New Roman"/>
        <family val="1"/>
      </rPr>
      <t>Hc</t>
    </r>
    <r>
      <rPr>
        <sz val="10"/>
        <rFont val="Times New Roman"/>
        <family val="1"/>
      </rPr>
      <t>n</t>
    </r>
  </si>
  <si>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弦</t>
    </r>
    <r>
      <rPr>
        <sz val="12"/>
        <rFont val="Times New Roman"/>
        <family val="1"/>
      </rPr>
      <t xml:space="preserve">  </t>
    </r>
    <r>
      <rPr>
        <sz val="12"/>
        <rFont val="宋体"/>
        <charset val="134"/>
      </rPr>
      <t>齿</t>
    </r>
    <r>
      <rPr>
        <sz val="12"/>
        <rFont val="Times New Roman"/>
        <family val="1"/>
      </rPr>
      <t xml:space="preserve">  </t>
    </r>
    <r>
      <rPr>
        <sz val="12"/>
        <rFont val="宋体"/>
        <charset val="134"/>
      </rPr>
      <t>厚</t>
    </r>
  </si>
  <si>
    <r>
      <rPr>
        <sz val="12"/>
        <rFont val="Times New Roman"/>
        <family val="1"/>
      </rPr>
      <t>S</t>
    </r>
    <r>
      <rPr>
        <sz val="10"/>
        <rFont val="Times New Roman"/>
        <family val="1"/>
      </rPr>
      <t>n</t>
    </r>
  </si>
  <si>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弦</t>
    </r>
    <r>
      <rPr>
        <sz val="12"/>
        <rFont val="Times New Roman"/>
        <family val="1"/>
      </rPr>
      <t xml:space="preserve">  </t>
    </r>
    <r>
      <rPr>
        <sz val="12"/>
        <rFont val="宋体"/>
        <charset val="134"/>
      </rPr>
      <t>齿</t>
    </r>
    <r>
      <rPr>
        <sz val="12"/>
        <rFont val="Times New Roman"/>
        <family val="1"/>
      </rPr>
      <t xml:space="preserve">  </t>
    </r>
    <r>
      <rPr>
        <sz val="12"/>
        <rFont val="宋体"/>
        <charset val="134"/>
      </rPr>
      <t>高</t>
    </r>
  </si>
  <si>
    <r>
      <rPr>
        <sz val="12"/>
        <rFont val="Times New Roman"/>
        <family val="1"/>
      </rPr>
      <t>H</t>
    </r>
    <r>
      <rPr>
        <sz val="10"/>
        <rFont val="Times New Roman"/>
        <family val="1"/>
      </rPr>
      <t>n</t>
    </r>
  </si>
  <si>
    <t>dp</t>
  </si>
  <si>
    <r>
      <rPr>
        <sz val="12"/>
        <rFont val="宋体"/>
        <charset val="134"/>
      </rPr>
      <t>测</t>
    </r>
    <r>
      <rPr>
        <sz val="12"/>
        <rFont val="Times New Roman"/>
        <family val="1"/>
      </rPr>
      <t xml:space="preserve">  </t>
    </r>
    <r>
      <rPr>
        <sz val="12"/>
        <rFont val="宋体"/>
        <charset val="134"/>
      </rPr>
      <t>量</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</si>
  <si>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 xml:space="preserve">d </t>
    </r>
    <r>
      <rPr>
        <sz val="9"/>
        <rFont val="Times New Roman"/>
        <family val="1"/>
      </rPr>
      <t>M</t>
    </r>
  </si>
  <si>
    <t>渐开线展开长度：</t>
  </si>
  <si>
    <t>Lf</t>
  </si>
  <si>
    <t>La</t>
  </si>
  <si>
    <r>
      <rPr>
        <sz val="12"/>
        <rFont val="宋体"/>
        <charset val="134"/>
      </rPr>
      <t>起</t>
    </r>
    <r>
      <rPr>
        <sz val="12"/>
        <rFont val="Times New Roman"/>
        <family val="1"/>
      </rPr>
      <t xml:space="preserve">   </t>
    </r>
    <r>
      <rPr>
        <sz val="12"/>
        <rFont val="宋体"/>
        <charset val="134"/>
      </rPr>
      <t>始</t>
    </r>
    <r>
      <rPr>
        <sz val="12"/>
        <rFont val="Times New Roman"/>
        <family val="1"/>
      </rPr>
      <t xml:space="preserve">   </t>
    </r>
    <r>
      <rPr>
        <sz val="12"/>
        <rFont val="宋体"/>
        <charset val="134"/>
      </rPr>
      <t>点</t>
    </r>
    <r>
      <rPr>
        <sz val="12"/>
        <rFont val="Times New Roman"/>
        <family val="1"/>
      </rPr>
      <t>(</t>
    </r>
    <r>
      <rPr>
        <sz val="12"/>
        <rFont val="宋体"/>
        <charset val="134"/>
      </rPr>
      <t>齿根</t>
    </r>
    <r>
      <rPr>
        <sz val="12"/>
        <rFont val="Times New Roman"/>
        <family val="1"/>
      </rPr>
      <t xml:space="preserve">) </t>
    </r>
  </si>
  <si>
    <r>
      <rPr>
        <sz val="12"/>
        <rFont val="宋体"/>
        <charset val="134"/>
      </rPr>
      <t>θ</t>
    </r>
    <r>
      <rPr>
        <sz val="10"/>
        <rFont val="Times New Roman"/>
        <family val="1"/>
      </rPr>
      <t>f</t>
    </r>
  </si>
  <si>
    <r>
      <rPr>
        <sz val="12"/>
        <rFont val="宋体"/>
        <charset val="134"/>
      </rPr>
      <t>终</t>
    </r>
    <r>
      <rPr>
        <sz val="12"/>
        <rFont val="Times New Roman"/>
        <family val="1"/>
      </rPr>
      <t xml:space="preserve">   </t>
    </r>
    <r>
      <rPr>
        <sz val="12"/>
        <rFont val="宋体"/>
        <charset val="134"/>
      </rPr>
      <t>止</t>
    </r>
    <r>
      <rPr>
        <sz val="12"/>
        <rFont val="Times New Roman"/>
        <family val="1"/>
      </rPr>
      <t xml:space="preserve">   </t>
    </r>
    <r>
      <rPr>
        <sz val="12"/>
        <rFont val="宋体"/>
        <charset val="134"/>
      </rPr>
      <t>点</t>
    </r>
    <r>
      <rPr>
        <sz val="12"/>
        <rFont val="Times New Roman"/>
        <family val="1"/>
      </rPr>
      <t>(</t>
    </r>
    <r>
      <rPr>
        <sz val="12"/>
        <rFont val="宋体"/>
        <charset val="134"/>
      </rPr>
      <t>齿顶</t>
    </r>
    <r>
      <rPr>
        <sz val="12"/>
        <rFont val="Times New Roman"/>
        <family val="1"/>
      </rPr>
      <t xml:space="preserve">) </t>
    </r>
  </si>
  <si>
    <r>
      <rPr>
        <sz val="12"/>
        <rFont val="宋体"/>
        <charset val="134"/>
      </rPr>
      <t>θ</t>
    </r>
    <r>
      <rPr>
        <sz val="10"/>
        <rFont val="Times New Roman"/>
        <family val="1"/>
      </rPr>
      <t>a</t>
    </r>
  </si>
  <si>
    <r>
      <rPr>
        <sz val="12"/>
        <rFont val="宋体"/>
        <charset val="134"/>
      </rPr>
      <t>中</t>
    </r>
    <r>
      <rPr>
        <sz val="12"/>
        <rFont val="Times New Roman"/>
        <family val="1"/>
      </rPr>
      <t xml:space="preserve">  </t>
    </r>
    <r>
      <rPr>
        <sz val="12"/>
        <rFont val="宋体"/>
        <charset val="134"/>
      </rPr>
      <t>凸</t>
    </r>
    <r>
      <rPr>
        <sz val="12"/>
        <rFont val="Times New Roman"/>
        <family val="1"/>
      </rPr>
      <t xml:space="preserve">  </t>
    </r>
    <r>
      <rPr>
        <sz val="12"/>
        <rFont val="宋体"/>
        <charset val="134"/>
      </rPr>
      <t>点</t>
    </r>
    <r>
      <rPr>
        <sz val="12"/>
        <rFont val="Times New Roman"/>
        <family val="1"/>
      </rPr>
      <t xml:space="preserve">  </t>
    </r>
    <r>
      <rPr>
        <sz val="12"/>
        <rFont val="宋体"/>
        <charset val="134"/>
      </rPr>
      <t>范</t>
    </r>
    <r>
      <rPr>
        <sz val="12"/>
        <rFont val="Times New Roman"/>
        <family val="1"/>
      </rPr>
      <t xml:space="preserve">  </t>
    </r>
    <r>
      <rPr>
        <sz val="12"/>
        <rFont val="宋体"/>
        <charset val="134"/>
      </rPr>
      <t>围</t>
    </r>
  </si>
  <si>
    <r>
      <rPr>
        <sz val="12"/>
        <rFont val="宋体"/>
        <charset val="134"/>
      </rPr>
      <t>θ</t>
    </r>
    <r>
      <rPr>
        <sz val="10"/>
        <rFont val="Times New Roman"/>
        <family val="1"/>
      </rPr>
      <t>min</t>
    </r>
  </si>
  <si>
    <r>
      <rPr>
        <sz val="12"/>
        <rFont val="宋体"/>
        <charset val="134"/>
      </rPr>
      <t>θ</t>
    </r>
    <r>
      <rPr>
        <sz val="10"/>
        <rFont val="Times New Roman"/>
        <family val="1"/>
      </rPr>
      <t>max</t>
    </r>
  </si>
  <si>
    <t>传动质量指标算：</t>
  </si>
  <si>
    <r>
      <rPr>
        <sz val="12"/>
        <rFont val="宋体"/>
        <charset val="134"/>
      </rPr>
      <t>重</t>
    </r>
    <r>
      <rPr>
        <sz val="12"/>
        <rFont val="Times New Roman"/>
        <family val="1"/>
      </rPr>
      <t xml:space="preserve">        </t>
    </r>
    <r>
      <rPr>
        <sz val="12"/>
        <rFont val="宋体"/>
        <charset val="134"/>
      </rPr>
      <t>合</t>
    </r>
    <r>
      <rPr>
        <sz val="12"/>
        <rFont val="Times New Roman"/>
        <family val="1"/>
      </rPr>
      <t xml:space="preserve">        </t>
    </r>
    <r>
      <rPr>
        <sz val="12"/>
        <rFont val="宋体"/>
        <charset val="134"/>
      </rPr>
      <t>度</t>
    </r>
  </si>
  <si>
    <r>
      <rPr>
        <sz val="12"/>
        <rFont val="宋体"/>
        <charset val="134"/>
      </rPr>
      <t>ε</t>
    </r>
    <r>
      <rPr>
        <sz val="9"/>
        <rFont val="宋体"/>
        <charset val="134"/>
      </rPr>
      <t>总</t>
    </r>
  </si>
  <si>
    <r>
      <rPr>
        <sz val="12"/>
        <rFont val="宋体"/>
        <charset val="134"/>
      </rPr>
      <t>根</t>
    </r>
    <r>
      <rPr>
        <sz val="12"/>
        <rFont val="Times New Roman"/>
        <family val="1"/>
      </rPr>
      <t xml:space="preserve">                    </t>
    </r>
    <r>
      <rPr>
        <sz val="12"/>
        <rFont val="宋体"/>
        <charset val="134"/>
      </rPr>
      <t>切</t>
    </r>
  </si>
  <si>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变</t>
    </r>
    <r>
      <rPr>
        <sz val="12"/>
        <rFont val="Times New Roman"/>
        <family val="1"/>
      </rPr>
      <t xml:space="preserve">    </t>
    </r>
    <r>
      <rPr>
        <sz val="12"/>
        <rFont val="宋体"/>
        <charset val="134"/>
      </rPr>
      <t>尖</t>
    </r>
  </si>
  <si>
    <t>公差值：</t>
  </si>
  <si>
    <r>
      <rPr>
        <sz val="12"/>
        <rFont val="宋体"/>
        <charset val="134"/>
      </rPr>
      <t>精</t>
    </r>
    <r>
      <rPr>
        <sz val="12"/>
        <rFont val="Times New Roman"/>
        <family val="1"/>
      </rPr>
      <t xml:space="preserve">    </t>
    </r>
    <r>
      <rPr>
        <sz val="12"/>
        <rFont val="宋体"/>
        <charset val="134"/>
      </rPr>
      <t>度</t>
    </r>
    <r>
      <rPr>
        <sz val="12"/>
        <rFont val="Times New Roman"/>
        <family val="1"/>
      </rPr>
      <t xml:space="preserve">    </t>
    </r>
    <r>
      <rPr>
        <sz val="12"/>
        <rFont val="宋体"/>
        <charset val="134"/>
      </rPr>
      <t>等</t>
    </r>
    <r>
      <rPr>
        <sz val="12"/>
        <rFont val="Times New Roman"/>
        <family val="1"/>
      </rPr>
      <t xml:space="preserve">    </t>
    </r>
    <r>
      <rPr>
        <sz val="12"/>
        <rFont val="宋体"/>
        <charset val="134"/>
      </rPr>
      <t xml:space="preserve">级 </t>
    </r>
  </si>
  <si>
    <r>
      <rPr>
        <b/>
        <sz val="12"/>
        <rFont val="宋体"/>
        <charset val="134"/>
      </rPr>
      <t>Ⅰ</t>
    </r>
    <r>
      <rPr>
        <b/>
        <sz val="12"/>
        <rFont val="Times New Roman"/>
        <family val="1"/>
      </rPr>
      <t>:</t>
    </r>
  </si>
  <si>
    <r>
      <rPr>
        <b/>
        <sz val="12"/>
        <rFont val="宋体"/>
        <charset val="134"/>
      </rPr>
      <t>Ⅱ</t>
    </r>
    <r>
      <rPr>
        <b/>
        <sz val="12"/>
        <rFont val="Times New Roman"/>
        <family val="1"/>
      </rPr>
      <t>:</t>
    </r>
  </si>
  <si>
    <r>
      <rPr>
        <b/>
        <sz val="12"/>
        <rFont val="宋体"/>
        <charset val="134"/>
      </rPr>
      <t>Ⅲ</t>
    </r>
    <r>
      <rPr>
        <b/>
        <sz val="12"/>
        <rFont val="Times New Roman"/>
        <family val="1"/>
      </rPr>
      <t>:</t>
    </r>
  </si>
  <si>
    <t>齿厚极限偏差代码</t>
  </si>
  <si>
    <t>上偏差</t>
  </si>
  <si>
    <t>下偏差</t>
  </si>
  <si>
    <t>Ess</t>
  </si>
  <si>
    <t>Esi</t>
  </si>
  <si>
    <r>
      <rPr>
        <sz val="12"/>
        <rFont val="宋体"/>
        <charset val="134"/>
      </rPr>
      <t>齿</t>
    </r>
    <r>
      <rPr>
        <sz val="12"/>
        <rFont val="Times New Roman"/>
        <family val="1"/>
      </rPr>
      <t xml:space="preserve">    </t>
    </r>
    <r>
      <rPr>
        <sz val="12"/>
        <rFont val="宋体"/>
        <charset val="134"/>
      </rPr>
      <t>厚</t>
    </r>
    <r>
      <rPr>
        <sz val="12"/>
        <rFont val="Times New Roman"/>
        <family val="1"/>
      </rPr>
      <t xml:space="preserve">    </t>
    </r>
    <r>
      <rPr>
        <sz val="12"/>
        <rFont val="宋体"/>
        <charset val="134"/>
      </rPr>
      <t>公</t>
    </r>
    <r>
      <rPr>
        <sz val="12"/>
        <rFont val="Times New Roman"/>
        <family val="1"/>
      </rPr>
      <t xml:space="preserve">    </t>
    </r>
    <r>
      <rPr>
        <sz val="12"/>
        <rFont val="宋体"/>
        <charset val="134"/>
      </rPr>
      <t>差</t>
    </r>
  </si>
  <si>
    <t>Ts</t>
  </si>
  <si>
    <r>
      <rPr>
        <sz val="12"/>
        <rFont val="宋体"/>
        <charset val="134"/>
      </rPr>
      <t>最</t>
    </r>
    <r>
      <rPr>
        <sz val="12"/>
        <rFont val="Times New Roman"/>
        <family val="1"/>
      </rPr>
      <t xml:space="preserve"> </t>
    </r>
    <r>
      <rPr>
        <sz val="12"/>
        <rFont val="宋体"/>
        <charset val="134"/>
      </rPr>
      <t>小</t>
    </r>
    <r>
      <rPr>
        <sz val="12"/>
        <rFont val="Times New Roman"/>
        <family val="1"/>
      </rPr>
      <t xml:space="preserve"> </t>
    </r>
    <r>
      <rPr>
        <sz val="12"/>
        <rFont val="宋体"/>
        <charset val="134"/>
      </rPr>
      <t>法</t>
    </r>
    <r>
      <rPr>
        <sz val="12"/>
        <rFont val="Times New Roman"/>
        <family val="1"/>
      </rPr>
      <t xml:space="preserve"> </t>
    </r>
    <r>
      <rPr>
        <sz val="12"/>
        <rFont val="宋体"/>
        <charset val="134"/>
      </rPr>
      <t>向</t>
    </r>
    <r>
      <rPr>
        <sz val="12"/>
        <rFont val="Times New Roman"/>
        <family val="1"/>
      </rPr>
      <t xml:space="preserve"> </t>
    </r>
    <r>
      <rPr>
        <sz val="12"/>
        <rFont val="宋体"/>
        <charset val="134"/>
      </rPr>
      <t>侧</t>
    </r>
    <r>
      <rPr>
        <sz val="12"/>
        <rFont val="Times New Roman"/>
        <family val="1"/>
      </rPr>
      <t xml:space="preserve"> </t>
    </r>
    <r>
      <rPr>
        <sz val="12"/>
        <rFont val="宋体"/>
        <charset val="134"/>
      </rPr>
      <t>隙</t>
    </r>
  </si>
  <si>
    <r>
      <rPr>
        <sz val="12"/>
        <rFont val="Times New Roman"/>
        <family val="1"/>
      </rPr>
      <t>jn</t>
    </r>
    <r>
      <rPr>
        <sz val="8"/>
        <rFont val="Times New Roman"/>
        <family val="1"/>
      </rPr>
      <t>min</t>
    </r>
  </si>
  <si>
    <t>最 大 法 向 侧 隙</t>
  </si>
  <si>
    <r>
      <rPr>
        <sz val="12"/>
        <rFont val="Times New Roman"/>
        <family val="1"/>
      </rPr>
      <t>jn</t>
    </r>
    <r>
      <rPr>
        <sz val="8"/>
        <rFont val="Times New Roman"/>
        <family val="1"/>
      </rPr>
      <t>max</t>
    </r>
  </si>
  <si>
    <t>GB 10095—88</t>
  </si>
  <si>
    <t>F'i</t>
  </si>
  <si>
    <t>f'i</t>
  </si>
  <si>
    <r>
      <rPr>
        <sz val="12"/>
        <rFont val="宋体"/>
        <charset val="134"/>
      </rPr>
      <t>齿</t>
    </r>
    <r>
      <rPr>
        <sz val="12"/>
        <rFont val="Times New Roman"/>
        <family val="1"/>
      </rPr>
      <t xml:space="preserve"> </t>
    </r>
    <r>
      <rPr>
        <sz val="12"/>
        <rFont val="宋体"/>
        <charset val="134"/>
      </rPr>
      <t>距</t>
    </r>
    <r>
      <rPr>
        <sz val="12"/>
        <rFont val="Times New Roman"/>
        <family val="1"/>
      </rPr>
      <t xml:space="preserve"> </t>
    </r>
    <r>
      <rPr>
        <sz val="12"/>
        <rFont val="宋体"/>
        <charset val="134"/>
      </rPr>
      <t>累</t>
    </r>
    <r>
      <rPr>
        <sz val="12"/>
        <rFont val="Times New Roman"/>
        <family val="1"/>
      </rPr>
      <t xml:space="preserve"> </t>
    </r>
    <r>
      <rPr>
        <sz val="12"/>
        <rFont val="宋体"/>
        <charset val="134"/>
      </rPr>
      <t>积</t>
    </r>
    <r>
      <rPr>
        <sz val="12"/>
        <rFont val="Times New Roman"/>
        <family val="1"/>
      </rPr>
      <t xml:space="preserve"> </t>
    </r>
    <r>
      <rPr>
        <sz val="12"/>
        <rFont val="宋体"/>
        <charset val="134"/>
      </rPr>
      <t>公</t>
    </r>
    <r>
      <rPr>
        <sz val="12"/>
        <rFont val="Times New Roman"/>
        <family val="1"/>
      </rPr>
      <t xml:space="preserve"> </t>
    </r>
    <r>
      <rPr>
        <sz val="12"/>
        <rFont val="宋体"/>
        <charset val="134"/>
      </rPr>
      <t>差</t>
    </r>
  </si>
  <si>
    <r>
      <rPr>
        <sz val="12"/>
        <rFont val="Times New Roman"/>
        <family val="1"/>
      </rPr>
      <t>F</t>
    </r>
    <r>
      <rPr>
        <sz val="8"/>
        <rFont val="Times New Roman"/>
        <family val="1"/>
      </rPr>
      <t>P</t>
    </r>
  </si>
  <si>
    <r>
      <rPr>
        <sz val="12"/>
        <rFont val="宋体"/>
        <charset val="134"/>
      </rPr>
      <t>齿</t>
    </r>
    <r>
      <rPr>
        <sz val="12"/>
        <rFont val="Times New Roman"/>
        <family val="1"/>
      </rPr>
      <t xml:space="preserve"> </t>
    </r>
    <r>
      <rPr>
        <sz val="12"/>
        <rFont val="宋体"/>
        <charset val="134"/>
      </rPr>
      <t>距</t>
    </r>
    <r>
      <rPr>
        <sz val="12"/>
        <rFont val="Times New Roman"/>
        <family val="1"/>
      </rPr>
      <t xml:space="preserve"> </t>
    </r>
    <r>
      <rPr>
        <sz val="12"/>
        <rFont val="宋体"/>
        <charset val="134"/>
      </rPr>
      <t>极</t>
    </r>
    <r>
      <rPr>
        <sz val="12"/>
        <rFont val="Times New Roman"/>
        <family val="1"/>
      </rPr>
      <t xml:space="preserve"> </t>
    </r>
    <r>
      <rPr>
        <sz val="12"/>
        <rFont val="宋体"/>
        <charset val="134"/>
      </rPr>
      <t>限</t>
    </r>
    <r>
      <rPr>
        <sz val="12"/>
        <rFont val="Times New Roman"/>
        <family val="1"/>
      </rPr>
      <t xml:space="preserve"> </t>
    </r>
    <r>
      <rPr>
        <sz val="12"/>
        <rFont val="宋体"/>
        <charset val="134"/>
      </rPr>
      <t>偏</t>
    </r>
    <r>
      <rPr>
        <sz val="12"/>
        <rFont val="Times New Roman"/>
        <family val="1"/>
      </rPr>
      <t xml:space="preserve"> </t>
    </r>
    <r>
      <rPr>
        <sz val="12"/>
        <rFont val="宋体"/>
        <charset val="134"/>
      </rPr>
      <t>差</t>
    </r>
  </si>
  <si>
    <r>
      <rPr>
        <sz val="12"/>
        <rFont val="Times New Roman"/>
        <family val="1"/>
      </rPr>
      <t xml:space="preserve">±f </t>
    </r>
    <r>
      <rPr>
        <sz val="8"/>
        <rFont val="Times New Roman"/>
        <family val="1"/>
      </rPr>
      <t>pt</t>
    </r>
  </si>
  <si>
    <r>
      <rPr>
        <sz val="12"/>
        <rFont val="宋体"/>
        <charset val="134"/>
      </rPr>
      <t>基</t>
    </r>
    <r>
      <rPr>
        <sz val="12"/>
        <rFont val="Times New Roman"/>
        <family val="1"/>
      </rPr>
      <t xml:space="preserve"> </t>
    </r>
    <r>
      <rPr>
        <sz val="12"/>
        <rFont val="宋体"/>
        <charset val="134"/>
      </rPr>
      <t>节</t>
    </r>
    <r>
      <rPr>
        <sz val="12"/>
        <rFont val="Times New Roman"/>
        <family val="1"/>
      </rPr>
      <t xml:space="preserve"> </t>
    </r>
    <r>
      <rPr>
        <sz val="12"/>
        <rFont val="宋体"/>
        <charset val="134"/>
      </rPr>
      <t>极</t>
    </r>
    <r>
      <rPr>
        <sz val="12"/>
        <rFont val="Times New Roman"/>
        <family val="1"/>
      </rPr>
      <t xml:space="preserve"> </t>
    </r>
    <r>
      <rPr>
        <sz val="12"/>
        <rFont val="宋体"/>
        <charset val="134"/>
      </rPr>
      <t>限</t>
    </r>
    <r>
      <rPr>
        <sz val="12"/>
        <rFont val="Times New Roman"/>
        <family val="1"/>
      </rPr>
      <t xml:space="preserve"> </t>
    </r>
    <r>
      <rPr>
        <sz val="12"/>
        <rFont val="宋体"/>
        <charset val="134"/>
      </rPr>
      <t>偏</t>
    </r>
    <r>
      <rPr>
        <sz val="12"/>
        <rFont val="Times New Roman"/>
        <family val="1"/>
      </rPr>
      <t xml:space="preserve"> </t>
    </r>
    <r>
      <rPr>
        <sz val="12"/>
        <rFont val="宋体"/>
        <charset val="134"/>
      </rPr>
      <t>差</t>
    </r>
  </si>
  <si>
    <r>
      <rPr>
        <sz val="12"/>
        <rFont val="Times New Roman"/>
        <family val="1"/>
      </rPr>
      <t>±</t>
    </r>
    <r>
      <rPr>
        <sz val="12"/>
        <rFont val="宋体"/>
        <charset val="134"/>
      </rPr>
      <t>f</t>
    </r>
    <r>
      <rPr>
        <sz val="8"/>
        <rFont val="Times New Roman"/>
        <family val="1"/>
      </rPr>
      <t>pb</t>
    </r>
  </si>
  <si>
    <r>
      <rPr>
        <sz val="12"/>
        <rFont val="宋体"/>
        <charset val="134"/>
      </rPr>
      <t>齿</t>
    </r>
    <r>
      <rPr>
        <sz val="12"/>
        <rFont val="Times New Roman"/>
        <family val="1"/>
      </rPr>
      <t xml:space="preserve">    </t>
    </r>
    <r>
      <rPr>
        <sz val="12"/>
        <rFont val="宋体"/>
        <charset val="134"/>
      </rPr>
      <t xml:space="preserve">形 </t>
    </r>
    <r>
      <rPr>
        <sz val="12"/>
        <rFont val="Times New Roman"/>
        <family val="1"/>
      </rPr>
      <t xml:space="preserve">   </t>
    </r>
    <r>
      <rPr>
        <sz val="12"/>
        <rFont val="宋体"/>
        <charset val="134"/>
      </rPr>
      <t>公</t>
    </r>
    <r>
      <rPr>
        <sz val="12"/>
        <rFont val="Times New Roman"/>
        <family val="1"/>
      </rPr>
      <t xml:space="preserve">    </t>
    </r>
    <r>
      <rPr>
        <sz val="12"/>
        <rFont val="宋体"/>
        <charset val="134"/>
      </rPr>
      <t>差</t>
    </r>
  </si>
  <si>
    <r>
      <rPr>
        <sz val="12"/>
        <rFont val="Times New Roman"/>
        <family val="1"/>
      </rPr>
      <t xml:space="preserve">f </t>
    </r>
    <r>
      <rPr>
        <sz val="8"/>
        <rFont val="Times New Roman"/>
        <family val="1"/>
      </rPr>
      <t>f</t>
    </r>
  </si>
  <si>
    <r>
      <rPr>
        <sz val="12"/>
        <rFont val="宋体"/>
        <charset val="134"/>
      </rPr>
      <t>齿</t>
    </r>
    <r>
      <rPr>
        <sz val="12"/>
        <rFont val="Times New Roman"/>
        <family val="1"/>
      </rPr>
      <t xml:space="preserve">    </t>
    </r>
    <r>
      <rPr>
        <sz val="12"/>
        <rFont val="宋体"/>
        <charset val="134"/>
      </rPr>
      <t xml:space="preserve">向 </t>
    </r>
    <r>
      <rPr>
        <sz val="12"/>
        <rFont val="Times New Roman"/>
        <family val="1"/>
      </rPr>
      <t xml:space="preserve">   </t>
    </r>
    <r>
      <rPr>
        <sz val="12"/>
        <rFont val="宋体"/>
        <charset val="134"/>
      </rPr>
      <t>公</t>
    </r>
    <r>
      <rPr>
        <sz val="12"/>
        <rFont val="Times New Roman"/>
        <family val="1"/>
      </rPr>
      <t xml:space="preserve">    </t>
    </r>
    <r>
      <rPr>
        <sz val="12"/>
        <rFont val="宋体"/>
        <charset val="134"/>
      </rPr>
      <t>差</t>
    </r>
  </si>
  <si>
    <r>
      <rPr>
        <sz val="10"/>
        <rFont val="Times New Roman"/>
        <family val="1"/>
      </rPr>
      <t>X</t>
    </r>
    <r>
      <rPr>
        <sz val="10"/>
        <rFont val="宋体"/>
        <charset val="134"/>
      </rPr>
      <t>方向轴线平行度公差</t>
    </r>
  </si>
  <si>
    <r>
      <rPr>
        <sz val="12"/>
        <rFont val="宋体"/>
        <charset val="134"/>
      </rPr>
      <t>顶圆尺寸公差</t>
    </r>
    <r>
      <rPr>
        <sz val="10"/>
        <rFont val="宋体"/>
        <charset val="134"/>
      </rPr>
      <t>（用作基准）</t>
    </r>
  </si>
  <si>
    <r>
      <rPr>
        <sz val="10"/>
        <rFont val="Times New Roman"/>
        <family val="1"/>
      </rPr>
      <t xml:space="preserve">                              </t>
    </r>
    <r>
      <rPr>
        <sz val="10"/>
        <rFont val="宋体"/>
        <charset val="134"/>
      </rPr>
      <t>（不用作基准）</t>
    </r>
  </si>
  <si>
    <r>
      <rPr>
        <b/>
        <sz val="12"/>
        <rFont val="宋体"/>
        <charset val="134"/>
      </rPr>
      <t>图样标注</t>
    </r>
    <r>
      <rPr>
        <b/>
        <sz val="12"/>
        <rFont val="Times New Roman"/>
        <family val="1"/>
      </rPr>
      <t xml:space="preserve">: </t>
    </r>
    <r>
      <rPr>
        <b/>
        <sz val="14"/>
        <rFont val="Times New Roman"/>
        <family val="1"/>
      </rPr>
      <t xml:space="preserve"> </t>
    </r>
    <r>
      <rPr>
        <sz val="12"/>
        <rFont val="宋体"/>
        <charset val="134"/>
      </rPr>
      <t>齿轮</t>
    </r>
    <r>
      <rPr>
        <sz val="12"/>
        <rFont val="Times New Roman"/>
        <family val="1"/>
      </rPr>
      <t>1</t>
    </r>
  </si>
  <si>
    <r>
      <rPr>
        <sz val="12"/>
        <rFont val="宋体"/>
        <charset val="134"/>
      </rPr>
      <t xml:space="preserve"> </t>
    </r>
    <r>
      <rPr>
        <sz val="12"/>
        <rFont val="宋体"/>
        <charset val="134"/>
      </rPr>
      <t xml:space="preserve">         </t>
    </r>
    <r>
      <rPr>
        <sz val="12"/>
        <rFont val="宋体"/>
        <charset val="134"/>
      </rPr>
      <t>齿轮2</t>
    </r>
  </si>
  <si>
    <r>
      <rPr>
        <sz val="10"/>
        <color indexed="10"/>
        <rFont val="宋体"/>
        <charset val="134"/>
      </rPr>
      <t>打印终止</t>
    </r>
    <r>
      <rPr>
        <sz val="10"/>
        <color indexed="10"/>
        <rFont val="Times New Roman"/>
        <family val="1"/>
      </rPr>
      <t>*******************************************************************************************</t>
    </r>
  </si>
  <si>
    <t>分割器摇摆运动选型计算</t>
  </si>
  <si>
    <t>参数输入区</t>
  </si>
  <si>
    <r>
      <rPr>
        <sz val="12"/>
        <rFont val="新宋体"/>
        <family val="3"/>
        <charset val="134"/>
      </rPr>
      <t>输出轴摇摆角</t>
    </r>
    <r>
      <rPr>
        <sz val="12"/>
        <rFont val="新宋体"/>
        <family val="3"/>
        <charset val="134"/>
      </rPr>
      <t>……………(Q)</t>
    </r>
  </si>
  <si>
    <r>
      <rPr>
        <sz val="12"/>
        <rFont val="新宋体"/>
        <family val="3"/>
        <charset val="134"/>
      </rPr>
      <t>输入轴驱动角</t>
    </r>
    <r>
      <rPr>
        <sz val="12"/>
        <rFont val="新宋体"/>
        <family val="3"/>
        <charset val="134"/>
      </rPr>
      <t>……………(Qh)</t>
    </r>
  </si>
  <si>
    <r>
      <rPr>
        <sz val="12"/>
        <color indexed="12"/>
        <rFont val="新宋体"/>
        <family val="3"/>
        <charset val="134"/>
      </rPr>
      <t>(</t>
    </r>
    <r>
      <rPr>
        <sz val="12"/>
        <color indexed="12"/>
        <rFont val="新宋体"/>
        <family val="3"/>
        <charset val="134"/>
      </rPr>
      <t>此栏请键入</t>
    </r>
    <r>
      <rPr>
        <sz val="12"/>
        <color indexed="12"/>
        <rFont val="新宋体"/>
        <family val="3"/>
        <charset val="134"/>
      </rPr>
      <t>,</t>
    </r>
    <r>
      <rPr>
        <sz val="12"/>
        <color indexed="12"/>
        <rFont val="新宋体"/>
        <family val="3"/>
        <charset val="134"/>
      </rPr>
      <t>输入轴之最小驱动角</t>
    </r>
    <r>
      <rPr>
        <sz val="12"/>
        <color indexed="12"/>
        <rFont val="新宋体"/>
        <family val="3"/>
        <charset val="134"/>
      </rPr>
      <t>)</t>
    </r>
  </si>
  <si>
    <r>
      <rPr>
        <sz val="12"/>
        <rFont val="新宋体"/>
        <family val="3"/>
        <charset val="134"/>
      </rPr>
      <t>输出轴行程长度</t>
    </r>
    <r>
      <rPr>
        <sz val="12"/>
        <rFont val="新宋体"/>
        <family val="3"/>
        <charset val="134"/>
      </rPr>
      <t>…………(P)</t>
    </r>
  </si>
  <si>
    <t>(此栏为夹具直线运动行程)</t>
  </si>
  <si>
    <r>
      <rPr>
        <sz val="12"/>
        <rFont val="新宋体"/>
        <family val="3"/>
        <charset val="134"/>
      </rPr>
      <t>输出轴摆臂长度</t>
    </r>
    <r>
      <rPr>
        <sz val="12"/>
        <rFont val="新宋体"/>
        <family val="3"/>
        <charset val="134"/>
      </rPr>
      <t>…………(L)</t>
    </r>
  </si>
  <si>
    <r>
      <rPr>
        <sz val="12"/>
        <rFont val="新宋体"/>
        <family val="3"/>
        <charset val="134"/>
      </rPr>
      <t>每分割定位时间</t>
    </r>
    <r>
      <rPr>
        <sz val="12"/>
        <rFont val="新宋体"/>
        <family val="3"/>
        <charset val="134"/>
      </rPr>
      <t>…</t>
    </r>
    <r>
      <rPr>
        <sz val="12"/>
        <rFont val="新宋体"/>
        <family val="3"/>
        <charset val="134"/>
      </rPr>
      <t>...</t>
    </r>
    <r>
      <rPr>
        <sz val="12"/>
        <rFont val="新宋体"/>
        <family val="3"/>
        <charset val="134"/>
      </rPr>
      <t>……(t1)</t>
    </r>
  </si>
  <si>
    <t>sec</t>
  </si>
  <si>
    <r>
      <rPr>
        <sz val="12"/>
        <color indexed="12"/>
        <rFont val="新宋体"/>
        <family val="3"/>
        <charset val="134"/>
      </rPr>
      <t>(</t>
    </r>
    <r>
      <rPr>
        <sz val="12"/>
        <color indexed="12"/>
        <rFont val="新宋体"/>
        <family val="3"/>
        <charset val="134"/>
      </rPr>
      <t>若已知输入轴驱动角</t>
    </r>
    <r>
      <rPr>
        <sz val="12"/>
        <color indexed="12"/>
        <rFont val="新宋体"/>
        <family val="3"/>
        <charset val="134"/>
      </rPr>
      <t>,</t>
    </r>
    <r>
      <rPr>
        <sz val="12"/>
        <color indexed="12"/>
        <rFont val="新宋体"/>
        <family val="3"/>
        <charset val="134"/>
      </rPr>
      <t>此栏将不列为计算值</t>
    </r>
    <r>
      <rPr>
        <sz val="12"/>
        <color indexed="12"/>
        <rFont val="新宋体"/>
        <family val="3"/>
        <charset val="134"/>
      </rPr>
      <t>,</t>
    </r>
    <r>
      <rPr>
        <sz val="12"/>
        <color indexed="12"/>
        <rFont val="新宋体"/>
        <family val="3"/>
        <charset val="134"/>
      </rPr>
      <t>不需重键</t>
    </r>
    <r>
      <rPr>
        <sz val="12"/>
        <color indexed="12"/>
        <rFont val="新宋体"/>
        <family val="3"/>
        <charset val="134"/>
      </rPr>
      <t>)</t>
    </r>
  </si>
  <si>
    <r>
      <rPr>
        <sz val="12"/>
        <rFont val="新宋体"/>
        <family val="3"/>
        <charset val="134"/>
      </rPr>
      <t>每分割回转时间</t>
    </r>
    <r>
      <rPr>
        <sz val="12"/>
        <rFont val="新宋体"/>
        <family val="3"/>
        <charset val="134"/>
      </rPr>
      <t>…</t>
    </r>
    <r>
      <rPr>
        <sz val="12"/>
        <rFont val="新宋体"/>
        <family val="3"/>
        <charset val="134"/>
      </rPr>
      <t>...</t>
    </r>
    <r>
      <rPr>
        <sz val="12"/>
        <rFont val="新宋体"/>
        <family val="3"/>
        <charset val="134"/>
      </rPr>
      <t>……(t2)</t>
    </r>
  </si>
  <si>
    <r>
      <rPr>
        <sz val="12"/>
        <rFont val="新宋体"/>
        <family val="3"/>
        <charset val="134"/>
      </rPr>
      <t>前进时间</t>
    </r>
    <r>
      <rPr>
        <sz val="12"/>
        <rFont val="新宋体"/>
        <family val="3"/>
        <charset val="134"/>
      </rPr>
      <t>………………...(t3)</t>
    </r>
  </si>
  <si>
    <r>
      <rPr>
        <sz val="12"/>
        <rFont val="新宋体"/>
        <family val="3"/>
        <charset val="134"/>
      </rPr>
      <t>复归时间</t>
    </r>
    <r>
      <rPr>
        <sz val="12"/>
        <rFont val="新宋体"/>
        <family val="3"/>
        <charset val="134"/>
      </rPr>
      <t>…………...……(t4)</t>
    </r>
  </si>
  <si>
    <r>
      <rPr>
        <sz val="12"/>
        <rFont val="新宋体"/>
        <family val="3"/>
        <charset val="134"/>
      </rPr>
      <t>入力轴回转数</t>
    </r>
    <r>
      <rPr>
        <sz val="12"/>
        <rFont val="新宋体"/>
        <family val="3"/>
        <charset val="134"/>
      </rPr>
      <t>……</t>
    </r>
    <r>
      <rPr>
        <sz val="12"/>
        <rFont val="新宋体"/>
        <family val="3"/>
        <charset val="134"/>
      </rPr>
      <t>...</t>
    </r>
    <r>
      <rPr>
        <sz val="12"/>
        <rFont val="新宋体"/>
        <family val="3"/>
        <charset val="134"/>
      </rPr>
      <t>……(n )</t>
    </r>
  </si>
  <si>
    <r>
      <rPr>
        <sz val="12"/>
        <rFont val="新宋体"/>
        <family val="3"/>
        <charset val="134"/>
      </rPr>
      <t>工件重量</t>
    </r>
    <r>
      <rPr>
        <sz val="12"/>
        <rFont val="新宋体"/>
        <family val="3"/>
        <charset val="134"/>
      </rPr>
      <t>…………….…..(W)</t>
    </r>
  </si>
  <si>
    <t xml:space="preserve">kg  </t>
  </si>
  <si>
    <t>摆臂参数</t>
  </si>
  <si>
    <r>
      <rPr>
        <sz val="12"/>
        <rFont val="新宋体"/>
        <family val="3"/>
        <charset val="134"/>
      </rPr>
      <t>摆臂宽度</t>
    </r>
    <r>
      <rPr>
        <sz val="12"/>
        <rFont val="新宋体"/>
        <family val="3"/>
        <charset val="134"/>
      </rPr>
      <t>……………...…(M1)</t>
    </r>
  </si>
  <si>
    <r>
      <rPr>
        <sz val="12"/>
        <rFont val="新宋体"/>
        <family val="3"/>
        <charset val="134"/>
      </rPr>
      <t>摆臂高度</t>
    </r>
    <r>
      <rPr>
        <sz val="12"/>
        <rFont val="新宋体"/>
        <family val="3"/>
        <charset val="134"/>
      </rPr>
      <t>………………...(M2)</t>
    </r>
  </si>
  <si>
    <r>
      <rPr>
        <sz val="12"/>
        <rFont val="新宋体"/>
        <family val="3"/>
        <charset val="134"/>
      </rPr>
      <t>摆臂长度</t>
    </r>
    <r>
      <rPr>
        <sz val="12"/>
        <rFont val="新宋体"/>
        <family val="3"/>
        <charset val="134"/>
      </rPr>
      <t>…………...……(M3)</t>
    </r>
  </si>
  <si>
    <t>摆臂重量(W2)</t>
  </si>
  <si>
    <t>分割数(N)</t>
  </si>
  <si>
    <t>分割数</t>
  </si>
  <si>
    <r>
      <rPr>
        <sz val="12"/>
        <color indexed="10"/>
        <rFont val="新宋体"/>
        <family val="3"/>
        <charset val="134"/>
      </rPr>
      <t>(</t>
    </r>
    <r>
      <rPr>
        <sz val="12"/>
        <color indexed="10"/>
        <rFont val="新宋体"/>
        <family val="3"/>
        <charset val="134"/>
      </rPr>
      <t>此栏为自动运算值</t>
    </r>
    <r>
      <rPr>
        <sz val="12"/>
        <color indexed="10"/>
        <rFont val="新宋体"/>
        <family val="3"/>
        <charset val="134"/>
      </rPr>
      <t>,</t>
    </r>
    <r>
      <rPr>
        <sz val="12"/>
        <color indexed="10"/>
        <rFont val="新宋体"/>
        <family val="3"/>
        <charset val="134"/>
      </rPr>
      <t>不可键值</t>
    </r>
    <r>
      <rPr>
        <sz val="12"/>
        <color indexed="10"/>
        <rFont val="新宋体"/>
        <family val="3"/>
        <charset val="134"/>
      </rPr>
      <t>)</t>
    </r>
  </si>
  <si>
    <t>凸轮曲线系修正正弦曲线</t>
  </si>
  <si>
    <r>
      <rPr>
        <sz val="12"/>
        <color indexed="8"/>
        <rFont val="新宋体"/>
        <family val="3"/>
        <charset val="134"/>
      </rPr>
      <t>(M.S.),</t>
    </r>
    <r>
      <rPr>
        <sz val="12"/>
        <color indexed="8"/>
        <rFont val="新宋体"/>
        <family val="3"/>
        <charset val="134"/>
      </rPr>
      <t>因此</t>
    </r>
    <r>
      <rPr>
        <sz val="12"/>
        <color indexed="8"/>
        <rFont val="新宋体"/>
        <family val="3"/>
        <charset val="134"/>
      </rPr>
      <t>:</t>
    </r>
  </si>
  <si>
    <r>
      <rPr>
        <sz val="12"/>
        <rFont val="新宋体"/>
        <family val="3"/>
        <charset val="134"/>
      </rPr>
      <t>最大非向性速度</t>
    </r>
    <r>
      <rPr>
        <sz val="12"/>
        <rFont val="新宋体"/>
        <family val="3"/>
        <charset val="134"/>
      </rPr>
      <t>……</t>
    </r>
    <r>
      <rPr>
        <sz val="12"/>
        <rFont val="新宋体"/>
        <family val="3"/>
        <charset val="134"/>
      </rPr>
      <t>...</t>
    </r>
    <r>
      <rPr>
        <sz val="12"/>
        <rFont val="新宋体"/>
        <family val="3"/>
        <charset val="134"/>
      </rPr>
      <t>.(Vm)</t>
    </r>
  </si>
  <si>
    <r>
      <rPr>
        <sz val="12"/>
        <rFont val="新宋体"/>
        <family val="3"/>
        <charset val="134"/>
      </rPr>
      <t>最大非向性加速度</t>
    </r>
    <r>
      <rPr>
        <sz val="12"/>
        <rFont val="新宋体"/>
        <family val="3"/>
        <charset val="134"/>
      </rPr>
      <t>…</t>
    </r>
    <r>
      <rPr>
        <sz val="12"/>
        <rFont val="新宋体"/>
        <family val="3"/>
        <charset val="134"/>
      </rPr>
      <t>..</t>
    </r>
    <r>
      <rPr>
        <sz val="12"/>
        <rFont val="新宋体"/>
        <family val="3"/>
        <charset val="134"/>
      </rPr>
      <t>..(Am)</t>
    </r>
  </si>
  <si>
    <r>
      <rPr>
        <sz val="12"/>
        <rFont val="新宋体"/>
        <family val="3"/>
        <charset val="134"/>
      </rPr>
      <t>凸轮最大扭力系数</t>
    </r>
    <r>
      <rPr>
        <sz val="12"/>
        <rFont val="新宋体"/>
        <family val="3"/>
        <charset val="134"/>
      </rPr>
      <t>…....(Qm)</t>
    </r>
  </si>
  <si>
    <r>
      <rPr>
        <b/>
        <sz val="12"/>
        <color indexed="10"/>
        <rFont val="新宋体"/>
        <family val="3"/>
        <charset val="134"/>
      </rPr>
      <t>(</t>
    </r>
    <r>
      <rPr>
        <b/>
        <sz val="12"/>
        <color indexed="10"/>
        <rFont val="新宋体"/>
        <family val="3"/>
        <charset val="134"/>
      </rPr>
      <t>一</t>
    </r>
    <r>
      <rPr>
        <b/>
        <sz val="12"/>
        <color indexed="10"/>
        <rFont val="新宋体"/>
        <family val="3"/>
        <charset val="134"/>
      </rPr>
      <t>).</t>
    </r>
    <r>
      <rPr>
        <b/>
        <sz val="12"/>
        <color indexed="10"/>
        <rFont val="新宋体"/>
        <family val="3"/>
        <charset val="134"/>
      </rPr>
      <t>负荷</t>
    </r>
    <r>
      <rPr>
        <b/>
        <sz val="12"/>
        <color indexed="10"/>
        <rFont val="新宋体"/>
        <family val="3"/>
        <charset val="134"/>
      </rPr>
      <t>………...(GD^2):</t>
    </r>
  </si>
  <si>
    <r>
      <rPr>
        <b/>
        <sz val="12"/>
        <rFont val="新宋体"/>
        <family val="3"/>
        <charset val="134"/>
      </rPr>
      <t>(1).</t>
    </r>
    <r>
      <rPr>
        <b/>
        <sz val="12"/>
        <rFont val="新宋体"/>
        <family val="3"/>
        <charset val="134"/>
      </rPr>
      <t>工件往复直进运动</t>
    </r>
    <r>
      <rPr>
        <b/>
        <sz val="12"/>
        <rFont val="新宋体"/>
        <family val="3"/>
        <charset val="134"/>
      </rPr>
      <t>….GD^2</t>
    </r>
    <r>
      <rPr>
        <sz val="12"/>
        <rFont val="新宋体"/>
        <family val="3"/>
        <charset val="134"/>
      </rPr>
      <t>(1)</t>
    </r>
  </si>
  <si>
    <t>4*W*{(N*P)/(2*3.14159)}^2</t>
  </si>
  <si>
    <t>kgf.m^2</t>
  </si>
  <si>
    <r>
      <rPr>
        <b/>
        <sz val="12"/>
        <rFont val="新宋体"/>
        <family val="3"/>
        <charset val="134"/>
      </rPr>
      <t>(2).</t>
    </r>
    <r>
      <rPr>
        <b/>
        <sz val="12"/>
        <rFont val="新宋体"/>
        <family val="3"/>
        <charset val="134"/>
      </rPr>
      <t>摆臂往复运动</t>
    </r>
    <r>
      <rPr>
        <b/>
        <sz val="12"/>
        <rFont val="新宋体"/>
        <family val="3"/>
        <charset val="134"/>
      </rPr>
      <t>………..GD^2</t>
    </r>
    <r>
      <rPr>
        <sz val="12"/>
        <rFont val="新宋体"/>
        <family val="3"/>
        <charset val="134"/>
      </rPr>
      <t>(2)</t>
    </r>
  </si>
  <si>
    <t>2*{(((M3^2)+(M2^2))/3)+(P^2)}</t>
  </si>
  <si>
    <r>
      <rPr>
        <b/>
        <sz val="12"/>
        <color indexed="10"/>
        <rFont val="新宋体"/>
        <family val="3"/>
        <charset val="134"/>
      </rPr>
      <t>(</t>
    </r>
    <r>
      <rPr>
        <b/>
        <sz val="12"/>
        <color indexed="10"/>
        <rFont val="新宋体"/>
        <family val="3"/>
        <charset val="134"/>
      </rPr>
      <t>二</t>
    </r>
    <r>
      <rPr>
        <b/>
        <sz val="12"/>
        <color indexed="10"/>
        <rFont val="新宋体"/>
        <family val="3"/>
        <charset val="134"/>
      </rPr>
      <t>).</t>
    </r>
    <r>
      <rPr>
        <b/>
        <sz val="12"/>
        <color indexed="10"/>
        <rFont val="新宋体"/>
        <family val="3"/>
        <charset val="134"/>
      </rPr>
      <t>惯性扭矩</t>
    </r>
    <r>
      <rPr>
        <b/>
        <sz val="12"/>
        <color indexed="10"/>
        <rFont val="新宋体"/>
        <family val="3"/>
        <charset val="134"/>
      </rPr>
      <t>…..(Ti)</t>
    </r>
  </si>
  <si>
    <r>
      <rPr>
        <b/>
        <sz val="12"/>
        <rFont val="新宋体"/>
        <family val="3"/>
        <charset val="134"/>
      </rPr>
      <t>(1).</t>
    </r>
    <r>
      <rPr>
        <b/>
        <sz val="12"/>
        <rFont val="新宋体"/>
        <family val="3"/>
        <charset val="134"/>
      </rPr>
      <t>工件直进运动惯性扭矩</t>
    </r>
    <r>
      <rPr>
        <b/>
        <sz val="12"/>
        <rFont val="新宋体"/>
        <family val="3"/>
        <charset val="134"/>
      </rPr>
      <t>…..Ti</t>
    </r>
    <r>
      <rPr>
        <sz val="12"/>
        <rFont val="新宋体"/>
        <family val="3"/>
        <charset val="134"/>
      </rPr>
      <t>1</t>
    </r>
  </si>
  <si>
    <t>0.585*Am*{(W*N*(P^2)*(n^2))/(Qh^2)}</t>
  </si>
  <si>
    <t>kgf.m</t>
  </si>
  <si>
    <r>
      <rPr>
        <b/>
        <sz val="12"/>
        <color indexed="8"/>
        <rFont val="新宋体"/>
        <family val="3"/>
        <charset val="134"/>
      </rPr>
      <t>(</t>
    </r>
    <r>
      <rPr>
        <b/>
        <u/>
        <sz val="12"/>
        <color indexed="8"/>
        <rFont val="新宋体"/>
        <family val="3"/>
        <charset val="134"/>
      </rPr>
      <t>2</t>
    </r>
    <r>
      <rPr>
        <b/>
        <sz val="12"/>
        <color indexed="8"/>
        <rFont val="新宋体"/>
        <family val="3"/>
        <charset val="134"/>
      </rPr>
      <t>).</t>
    </r>
    <r>
      <rPr>
        <b/>
        <sz val="12"/>
        <color indexed="8"/>
        <rFont val="新宋体"/>
        <family val="3"/>
        <charset val="134"/>
      </rPr>
      <t>摆臂往复运动惯性扭矩</t>
    </r>
    <r>
      <rPr>
        <b/>
        <sz val="12"/>
        <color indexed="8"/>
        <rFont val="新宋体"/>
        <family val="3"/>
        <charset val="134"/>
      </rPr>
      <t>…..Ti</t>
    </r>
    <r>
      <rPr>
        <sz val="12"/>
        <color indexed="8"/>
        <rFont val="新宋体"/>
        <family val="3"/>
        <charset val="134"/>
      </rPr>
      <t>2</t>
    </r>
  </si>
  <si>
    <r>
      <rPr>
        <b/>
        <sz val="12"/>
        <rFont val="新宋体"/>
        <family val="3"/>
        <charset val="134"/>
      </rPr>
      <t>5.77*Am*{(GD^2</t>
    </r>
    <r>
      <rPr>
        <sz val="12"/>
        <rFont val="新宋体"/>
        <family val="3"/>
        <charset val="134"/>
      </rPr>
      <t>(2)</t>
    </r>
    <r>
      <rPr>
        <b/>
        <sz val="12"/>
        <rFont val="新宋体"/>
        <family val="3"/>
        <charset val="134"/>
      </rPr>
      <t>*(n^2))/(N*(Qh^2))}</t>
    </r>
  </si>
  <si>
    <t>Ti</t>
  </si>
  <si>
    <t>Ti1+Ti2</t>
  </si>
  <si>
    <r>
      <rPr>
        <b/>
        <sz val="12"/>
        <color indexed="10"/>
        <rFont val="新宋体"/>
        <family val="3"/>
        <charset val="134"/>
      </rPr>
      <t>(</t>
    </r>
    <r>
      <rPr>
        <b/>
        <sz val="12"/>
        <color indexed="10"/>
        <rFont val="新宋体"/>
        <family val="3"/>
        <charset val="134"/>
      </rPr>
      <t>三</t>
    </r>
    <r>
      <rPr>
        <b/>
        <sz val="12"/>
        <color indexed="10"/>
        <rFont val="新宋体"/>
        <family val="3"/>
        <charset val="134"/>
      </rPr>
      <t>).</t>
    </r>
    <r>
      <rPr>
        <b/>
        <sz val="12"/>
        <color indexed="10"/>
        <rFont val="新宋体"/>
        <family val="3"/>
        <charset val="134"/>
      </rPr>
      <t>摩插扭矩</t>
    </r>
    <r>
      <rPr>
        <b/>
        <sz val="12"/>
        <color indexed="10"/>
        <rFont val="新宋体"/>
        <family val="3"/>
        <charset val="134"/>
      </rPr>
      <t>…..(Tf)</t>
    </r>
  </si>
  <si>
    <r>
      <rPr>
        <sz val="12"/>
        <color indexed="14"/>
        <rFont val="新宋体"/>
        <family val="3"/>
        <charset val="134"/>
      </rPr>
      <t xml:space="preserve">        (</t>
    </r>
    <r>
      <rPr>
        <sz val="12"/>
        <color indexed="14"/>
        <rFont val="新宋体"/>
        <family val="3"/>
        <charset val="134"/>
      </rPr>
      <t>摩擦系数</t>
    </r>
    <r>
      <rPr>
        <sz val="12"/>
        <color indexed="14"/>
        <rFont val="新宋体"/>
        <family val="3"/>
        <charset val="134"/>
      </rPr>
      <t xml:space="preserve">.u = 0.05)                    </t>
    </r>
  </si>
  <si>
    <t>{(W*u*N*P)/(2*3.14159)}</t>
  </si>
  <si>
    <r>
      <rPr>
        <b/>
        <sz val="12"/>
        <color indexed="10"/>
        <rFont val="新宋体"/>
        <family val="3"/>
        <charset val="134"/>
      </rPr>
      <t>(</t>
    </r>
    <r>
      <rPr>
        <b/>
        <sz val="12"/>
        <color indexed="10"/>
        <rFont val="新宋体"/>
        <family val="3"/>
        <charset val="134"/>
      </rPr>
      <t>四</t>
    </r>
    <r>
      <rPr>
        <b/>
        <sz val="12"/>
        <color indexed="10"/>
        <rFont val="新宋体"/>
        <family val="3"/>
        <charset val="134"/>
      </rPr>
      <t>).</t>
    </r>
    <r>
      <rPr>
        <b/>
        <sz val="12"/>
        <color indexed="10"/>
        <rFont val="新宋体"/>
        <family val="3"/>
        <charset val="134"/>
      </rPr>
      <t>以上总负载扭矩</t>
    </r>
    <r>
      <rPr>
        <b/>
        <sz val="12"/>
        <color indexed="10"/>
        <rFont val="新宋体"/>
        <family val="3"/>
        <charset val="134"/>
      </rPr>
      <t>………....(Tt)</t>
    </r>
  </si>
  <si>
    <t xml:space="preserve">Ti + Tf </t>
  </si>
  <si>
    <t>kgf . m</t>
  </si>
  <si>
    <r>
      <rPr>
        <b/>
        <sz val="12"/>
        <color indexed="10"/>
        <rFont val="新宋体"/>
        <family val="3"/>
        <charset val="134"/>
      </rPr>
      <t>(</t>
    </r>
    <r>
      <rPr>
        <b/>
        <sz val="12"/>
        <color indexed="10"/>
        <rFont val="新宋体"/>
        <family val="3"/>
        <charset val="134"/>
      </rPr>
      <t>五</t>
    </r>
    <r>
      <rPr>
        <b/>
        <sz val="12"/>
        <color indexed="10"/>
        <rFont val="新宋体"/>
        <family val="3"/>
        <charset val="134"/>
      </rPr>
      <t>).</t>
    </r>
    <r>
      <rPr>
        <b/>
        <sz val="12"/>
        <color indexed="10"/>
        <rFont val="新宋体"/>
        <family val="3"/>
        <charset val="134"/>
      </rPr>
      <t>实际负载扭矩</t>
    </r>
    <r>
      <rPr>
        <b/>
        <sz val="12"/>
        <color indexed="10"/>
        <rFont val="新宋体"/>
        <family val="3"/>
        <charset val="134"/>
      </rPr>
      <t>…...(Te)</t>
    </r>
  </si>
  <si>
    <t>Tt * fc</t>
  </si>
  <si>
    <r>
      <rPr>
        <sz val="12"/>
        <color indexed="14"/>
        <rFont val="新宋体"/>
        <family val="3"/>
        <charset val="134"/>
      </rPr>
      <t xml:space="preserve">        (</t>
    </r>
    <r>
      <rPr>
        <sz val="12"/>
        <color indexed="14"/>
        <rFont val="新宋体"/>
        <family val="3"/>
        <charset val="134"/>
      </rPr>
      <t>安全负载之因数</t>
    </r>
    <r>
      <rPr>
        <sz val="12"/>
        <color indexed="14"/>
        <rFont val="新宋体"/>
        <family val="3"/>
        <charset val="134"/>
      </rPr>
      <t>. fc =1.5)</t>
    </r>
  </si>
  <si>
    <t>kgf . M</t>
  </si>
  <si>
    <r>
      <rPr>
        <b/>
        <sz val="12"/>
        <color indexed="10"/>
        <rFont val="新宋体"/>
        <family val="3"/>
        <charset val="134"/>
      </rPr>
      <t>(</t>
    </r>
    <r>
      <rPr>
        <b/>
        <sz val="12"/>
        <color indexed="10"/>
        <rFont val="新宋体"/>
        <family val="3"/>
        <charset val="134"/>
      </rPr>
      <t>三</t>
    </r>
    <r>
      <rPr>
        <b/>
        <sz val="12"/>
        <color indexed="10"/>
        <rFont val="新宋体"/>
        <family val="3"/>
        <charset val="134"/>
      </rPr>
      <t>).</t>
    </r>
    <r>
      <rPr>
        <b/>
        <sz val="12"/>
        <color indexed="10"/>
        <rFont val="新宋体"/>
        <family val="3"/>
        <charset val="134"/>
      </rPr>
      <t>入力轴扭矩</t>
    </r>
    <r>
      <rPr>
        <b/>
        <sz val="12"/>
        <color indexed="10"/>
        <rFont val="新宋体"/>
        <family val="3"/>
        <charset val="134"/>
      </rPr>
      <t xml:space="preserve">(Tc)   </t>
    </r>
    <r>
      <rPr>
        <b/>
        <sz val="12"/>
        <color indexed="10"/>
        <rFont val="新宋体"/>
        <family val="3"/>
        <charset val="134"/>
      </rPr>
      <t>注</t>
    </r>
    <r>
      <rPr>
        <b/>
        <sz val="12"/>
        <color indexed="10"/>
        <rFont val="新宋体"/>
        <family val="3"/>
        <charset val="134"/>
      </rPr>
      <t>:</t>
    </r>
    <r>
      <rPr>
        <b/>
        <sz val="12"/>
        <color indexed="10"/>
        <rFont val="新宋体"/>
        <family val="3"/>
        <charset val="134"/>
      </rPr>
      <t>入力轴起动负载扭矩视为</t>
    </r>
    <r>
      <rPr>
        <b/>
        <sz val="12"/>
        <color indexed="10"/>
        <rFont val="新宋体"/>
        <family val="3"/>
        <charset val="134"/>
      </rPr>
      <t xml:space="preserve">0 , </t>
    </r>
    <r>
      <rPr>
        <b/>
        <sz val="12"/>
        <color indexed="10"/>
        <rFont val="新宋体"/>
        <family val="3"/>
        <charset val="134"/>
      </rPr>
      <t>因此</t>
    </r>
    <r>
      <rPr>
        <b/>
        <sz val="12"/>
        <color indexed="10"/>
        <rFont val="新宋体"/>
        <family val="3"/>
        <charset val="134"/>
      </rPr>
      <t xml:space="preserve"> Tca =0</t>
    </r>
  </si>
  <si>
    <t xml:space="preserve">                                         Tc</t>
  </si>
  <si>
    <t>[360 / (Qh * N)] * Qm * (Te + Tca)</t>
  </si>
  <si>
    <t>(kg . m)</t>
  </si>
  <si>
    <r>
      <rPr>
        <b/>
        <sz val="12"/>
        <color indexed="10"/>
        <rFont val="新宋体"/>
        <family val="3"/>
        <charset val="134"/>
      </rPr>
      <t>(</t>
    </r>
    <r>
      <rPr>
        <b/>
        <sz val="12"/>
        <color indexed="10"/>
        <rFont val="新宋体"/>
        <family val="3"/>
        <charset val="134"/>
      </rPr>
      <t>四</t>
    </r>
    <r>
      <rPr>
        <b/>
        <sz val="12"/>
        <color indexed="10"/>
        <rFont val="新宋体"/>
        <family val="3"/>
        <charset val="134"/>
      </rPr>
      <t>).</t>
    </r>
    <r>
      <rPr>
        <b/>
        <sz val="12"/>
        <color indexed="10"/>
        <rFont val="新宋体"/>
        <family val="3"/>
        <charset val="134"/>
      </rPr>
      <t>计算所须之马力</t>
    </r>
    <r>
      <rPr>
        <b/>
        <sz val="12"/>
        <color indexed="10"/>
        <rFont val="新宋体"/>
        <family val="3"/>
        <charset val="134"/>
      </rPr>
      <t>….(P)</t>
    </r>
  </si>
  <si>
    <t>( Tc * n ) / (716 * Z)</t>
  </si>
  <si>
    <r>
      <rPr>
        <sz val="12"/>
        <color indexed="14"/>
        <rFont val="新宋体"/>
        <family val="3"/>
        <charset val="134"/>
      </rPr>
      <t xml:space="preserve">       </t>
    </r>
    <r>
      <rPr>
        <sz val="12"/>
        <color indexed="14"/>
        <rFont val="新宋体"/>
        <family val="3"/>
        <charset val="134"/>
      </rPr>
      <t>假设效率</t>
    </r>
    <r>
      <rPr>
        <sz val="12"/>
        <color indexed="14"/>
        <rFont val="新宋体"/>
        <family val="3"/>
        <charset val="134"/>
      </rPr>
      <t xml:space="preserve">  Z = 0.6</t>
    </r>
  </si>
  <si>
    <t>(HP)</t>
  </si>
  <si>
    <r>
      <rPr>
        <sz val="12"/>
        <rFont val="新宋体"/>
        <family val="3"/>
        <charset val="134"/>
      </rPr>
      <t xml:space="preserve">                                  </t>
    </r>
    <r>
      <rPr>
        <sz val="12"/>
        <rFont val="新宋体"/>
        <family val="3"/>
        <charset val="134"/>
      </rPr>
      <t>或</t>
    </r>
    <r>
      <rPr>
        <sz val="12"/>
        <rFont val="新宋体"/>
        <family val="3"/>
        <charset val="134"/>
      </rPr>
      <t xml:space="preserve">   (P)</t>
    </r>
  </si>
  <si>
    <t>( Tc * n ) / (975 * Z)</t>
  </si>
  <si>
    <t>(kw)</t>
  </si>
  <si>
    <r>
      <rPr>
        <sz val="16"/>
        <rFont val="新宋体"/>
        <family val="3"/>
        <charset val="134"/>
      </rPr>
      <t>当</t>
    </r>
    <r>
      <rPr>
        <sz val="16"/>
        <color indexed="10"/>
        <rFont val="新宋体"/>
        <family val="3"/>
        <charset val="134"/>
      </rPr>
      <t>Ti</t>
    </r>
    <r>
      <rPr>
        <sz val="16"/>
        <color indexed="10"/>
        <rFont val="新宋体"/>
        <family val="3"/>
        <charset val="134"/>
      </rPr>
      <t>的值</t>
    </r>
    <r>
      <rPr>
        <sz val="16"/>
        <rFont val="新宋体"/>
        <family val="3"/>
        <charset val="134"/>
      </rPr>
      <t xml:space="preserve"> &gt; </t>
    </r>
    <r>
      <rPr>
        <sz val="16"/>
        <color indexed="10"/>
        <rFont val="新宋体"/>
        <family val="3"/>
        <charset val="134"/>
      </rPr>
      <t>Tf</t>
    </r>
    <r>
      <rPr>
        <sz val="16"/>
        <color indexed="10"/>
        <rFont val="新宋体"/>
        <family val="3"/>
        <charset val="134"/>
      </rPr>
      <t>的值</t>
    </r>
    <r>
      <rPr>
        <sz val="16"/>
        <rFont val="新宋体"/>
        <family val="3"/>
        <charset val="134"/>
      </rPr>
      <t>,</t>
    </r>
    <r>
      <rPr>
        <sz val="16"/>
        <rFont val="新宋体"/>
        <family val="3"/>
        <charset val="134"/>
      </rPr>
      <t>则平均负荷所需动力既为实际计算马力的</t>
    </r>
    <r>
      <rPr>
        <sz val="16"/>
        <color indexed="10"/>
        <rFont val="新宋体"/>
        <family val="3"/>
        <charset val="134"/>
      </rPr>
      <t>一半</t>
    </r>
    <r>
      <rPr>
        <sz val="16"/>
        <rFont val="新宋体"/>
        <family val="3"/>
        <charset val="134"/>
      </rPr>
      <t>.</t>
    </r>
  </si>
  <si>
    <t>凸轮分割器之输送带式传动</t>
  </si>
  <si>
    <t>注意：绿色的框内请根据工况修改，粉红色的框内为建议值，可改可不改。橘色的为自动计算值，不得更改！</t>
  </si>
  <si>
    <t>工况</t>
  </si>
  <si>
    <t>间歇分割等份</t>
  </si>
  <si>
    <t>直接结果</t>
  </si>
  <si>
    <t>选择的实际负载Te要大于</t>
  </si>
  <si>
    <t>kg. m</t>
  </si>
  <si>
    <t>主动齿轮节圆直径</t>
  </si>
  <si>
    <t>cm</t>
  </si>
  <si>
    <t xml:space="preserve">  </t>
  </si>
  <si>
    <t>主动齿轮重量</t>
  </si>
  <si>
    <t>W1</t>
  </si>
  <si>
    <t>需要电机功率要大于</t>
  </si>
  <si>
    <t>从动齿轮节圆直径</t>
  </si>
  <si>
    <t>从动齿轮重量</t>
  </si>
  <si>
    <t>W2</t>
  </si>
  <si>
    <t>摩擦扭矩</t>
  </si>
  <si>
    <t>HP</t>
  </si>
  <si>
    <t>传动轴直径</t>
  </si>
  <si>
    <t>传动轴重量</t>
  </si>
  <si>
    <t>W3</t>
  </si>
  <si>
    <t>静扭矩(惯性扭矩)</t>
  </si>
  <si>
    <t>kg.m</t>
  </si>
  <si>
    <t>传动轴数量</t>
  </si>
  <si>
    <t>A3</t>
  </si>
  <si>
    <t>支</t>
  </si>
  <si>
    <t>链轮节圆直径</t>
  </si>
  <si>
    <t>D4</t>
  </si>
  <si>
    <t>链轮重量</t>
  </si>
  <si>
    <t>W4</t>
  </si>
  <si>
    <t>kg(每组)</t>
  </si>
  <si>
    <t>链轮组数</t>
  </si>
  <si>
    <t>A4</t>
  </si>
  <si>
    <t>组</t>
  </si>
  <si>
    <t>kg(每条)</t>
  </si>
  <si>
    <t>链条数量</t>
  </si>
  <si>
    <t>条</t>
  </si>
  <si>
    <t>夹具重量</t>
  </si>
  <si>
    <t>W6</t>
  </si>
  <si>
    <t>夹具组数</t>
  </si>
  <si>
    <t>A6</t>
  </si>
  <si>
    <t>工件重量</t>
  </si>
  <si>
    <t>W7</t>
  </si>
  <si>
    <t>工件组数</t>
  </si>
  <si>
    <t>A7</t>
  </si>
  <si>
    <t>输送带输送间距</t>
  </si>
  <si>
    <t>Pc</t>
  </si>
  <si>
    <t>凸轮转位角度</t>
  </si>
  <si>
    <t>Qh</t>
  </si>
  <si>
    <t>入力轴回转数</t>
  </si>
  <si>
    <t xml:space="preserve">n </t>
  </si>
  <si>
    <t>速度比</t>
  </si>
  <si>
    <t>凸轮曲线系修正正弦曲线(M.S.),因此:</t>
  </si>
  <si>
    <t>最大非向性速度</t>
  </si>
  <si>
    <t>最大非向性加速度</t>
  </si>
  <si>
    <t>凸轮最大扭力系数</t>
  </si>
  <si>
    <t>Qm</t>
  </si>
  <si>
    <t>u</t>
  </si>
  <si>
    <t>fe</t>
  </si>
  <si>
    <t>马达效率</t>
  </si>
  <si>
    <t>以下为自动计算过程（请勿修改）：</t>
  </si>
  <si>
    <r>
      <rPr>
        <b/>
        <sz val="12"/>
        <color indexed="10"/>
        <rFont val="新宋体"/>
        <family val="3"/>
        <charset val="134"/>
      </rPr>
      <t>(</t>
    </r>
    <r>
      <rPr>
        <b/>
        <sz val="12"/>
        <color indexed="8"/>
        <rFont val="新宋体"/>
        <family val="3"/>
        <charset val="134"/>
      </rPr>
      <t>一).负载扭矩(Tt):</t>
    </r>
  </si>
  <si>
    <r>
      <rPr>
        <b/>
        <sz val="12"/>
        <rFont val="新宋体"/>
        <family val="3"/>
        <charset val="134"/>
      </rPr>
      <t>(1).</t>
    </r>
    <r>
      <rPr>
        <b/>
        <sz val="12"/>
        <color indexed="8"/>
        <rFont val="新宋体"/>
        <family val="3"/>
        <charset val="134"/>
      </rPr>
      <t>惯性扭矩(Ti):</t>
    </r>
  </si>
  <si>
    <r>
      <rPr>
        <sz val="12"/>
        <rFont val="宋体"/>
        <charset val="134"/>
      </rPr>
      <t>(a).</t>
    </r>
    <r>
      <rPr>
        <sz val="12"/>
        <color indexed="8"/>
        <rFont val="新宋体"/>
        <family val="3"/>
        <charset val="134"/>
      </rPr>
      <t>主动齿轮惯性扭矩IA</t>
    </r>
  </si>
  <si>
    <t>((W1*R1^2)/2G)</t>
  </si>
  <si>
    <r>
      <rPr>
        <sz val="12"/>
        <rFont val="宋体"/>
        <charset val="134"/>
      </rPr>
      <t>(kg.m.S</t>
    </r>
    <r>
      <rPr>
        <vertAlign val="superscript"/>
        <sz val="12"/>
        <rFont val="新宋体"/>
        <family val="3"/>
        <charset val="134"/>
      </rPr>
      <t>2</t>
    </r>
    <r>
      <rPr>
        <sz val="12"/>
        <rFont val="新宋体"/>
        <family val="3"/>
        <charset val="134"/>
      </rPr>
      <t>)</t>
    </r>
  </si>
  <si>
    <r>
      <rPr>
        <sz val="12"/>
        <rFont val="宋体"/>
        <charset val="134"/>
      </rPr>
      <t>(b.)</t>
    </r>
    <r>
      <rPr>
        <sz val="12"/>
        <color indexed="8"/>
        <rFont val="新宋体"/>
        <family val="3"/>
        <charset val="134"/>
      </rPr>
      <t>输送带之总惯性矩……..(IB)</t>
    </r>
  </si>
  <si>
    <r>
      <rPr>
        <sz val="12"/>
        <rFont val="宋体"/>
        <charset val="134"/>
      </rPr>
      <t xml:space="preserve">     (1).</t>
    </r>
    <r>
      <rPr>
        <sz val="12"/>
        <color indexed="8"/>
        <rFont val="新宋体"/>
        <family val="3"/>
        <charset val="134"/>
      </rPr>
      <t>从动齿轮惯性矩(I2)</t>
    </r>
  </si>
  <si>
    <t>((W2*((R2^2)+(R3^2)))/(2*G))</t>
  </si>
  <si>
    <r>
      <rPr>
        <sz val="12"/>
        <rFont val="宋体"/>
        <charset val="134"/>
      </rPr>
      <t xml:space="preserve">    (2).</t>
    </r>
    <r>
      <rPr>
        <sz val="12"/>
        <color indexed="8"/>
        <rFont val="新宋体"/>
        <family val="3"/>
        <charset val="134"/>
      </rPr>
      <t>传动轴之惯性矩(I3)</t>
    </r>
  </si>
  <si>
    <t>((W3*(R3^2))/(2*G))*A3</t>
  </si>
  <si>
    <r>
      <rPr>
        <sz val="12"/>
        <rFont val="宋体"/>
        <charset val="134"/>
      </rPr>
      <t xml:space="preserve">    (3).</t>
    </r>
    <r>
      <rPr>
        <sz val="12"/>
        <color indexed="8"/>
        <rFont val="新宋体"/>
        <family val="3"/>
        <charset val="134"/>
      </rPr>
      <t>链轮之惯性矩(I4)</t>
    </r>
  </si>
  <si>
    <t>((W4*((R4^2)+(R3^2)))/(2*G))*A4</t>
  </si>
  <si>
    <r>
      <rPr>
        <sz val="12"/>
        <rFont val="宋体"/>
        <charset val="134"/>
      </rPr>
      <t xml:space="preserve">    (4).</t>
    </r>
    <r>
      <rPr>
        <sz val="12"/>
        <color indexed="8"/>
        <rFont val="新宋体"/>
        <family val="3"/>
        <charset val="134"/>
      </rPr>
      <t>链条之惯性矩(I5)</t>
    </r>
  </si>
  <si>
    <t>((W5*(R4^2))/G)*A5</t>
  </si>
  <si>
    <r>
      <rPr>
        <sz val="12"/>
        <rFont val="宋体"/>
        <charset val="134"/>
      </rPr>
      <t xml:space="preserve">    (5).</t>
    </r>
    <r>
      <rPr>
        <sz val="12"/>
        <color indexed="8"/>
        <rFont val="新宋体"/>
        <family val="3"/>
        <charset val="134"/>
      </rPr>
      <t>夹具之惯性矩(I6)</t>
    </r>
  </si>
  <si>
    <t>((W6*(R4^2))/G)*A6</t>
  </si>
  <si>
    <r>
      <rPr>
        <sz val="12"/>
        <rFont val="宋体"/>
        <charset val="134"/>
      </rPr>
      <t xml:space="preserve">    (6).</t>
    </r>
    <r>
      <rPr>
        <sz val="12"/>
        <color indexed="8"/>
        <rFont val="新宋体"/>
        <family val="3"/>
        <charset val="134"/>
      </rPr>
      <t>工件之惯性矩(I7)</t>
    </r>
  </si>
  <si>
    <t>((W7*(R4^2))/G)*A7</t>
  </si>
  <si>
    <r>
      <rPr>
        <sz val="12"/>
        <rFont val="宋体"/>
        <charset val="134"/>
      </rPr>
      <t>(b.)</t>
    </r>
    <r>
      <rPr>
        <sz val="12"/>
        <color indexed="8"/>
        <rFont val="新宋体"/>
        <family val="3"/>
        <charset val="134"/>
      </rPr>
      <t>输送带之总惯性矩(IB)</t>
    </r>
  </si>
  <si>
    <t>I2+I3+I4+I5+I6+I7</t>
  </si>
  <si>
    <r>
      <rPr>
        <sz val="12"/>
        <rFont val="宋体"/>
        <charset val="134"/>
      </rPr>
      <t>(c.)</t>
    </r>
    <r>
      <rPr>
        <sz val="12"/>
        <color indexed="8"/>
        <rFont val="新宋体"/>
        <family val="3"/>
        <charset val="134"/>
      </rPr>
      <t>输送带之有效总惯性矩.(IC)</t>
    </r>
  </si>
  <si>
    <t>(IB*((D1/D2)^2))</t>
  </si>
  <si>
    <r>
      <rPr>
        <sz val="12"/>
        <rFont val="宋体"/>
        <charset val="134"/>
      </rPr>
      <t>(d.)</t>
    </r>
    <r>
      <rPr>
        <sz val="12"/>
        <color indexed="8"/>
        <rFont val="新宋体"/>
        <family val="3"/>
        <charset val="134"/>
      </rPr>
      <t>总惯性矩为(a)+(b)之和I</t>
    </r>
  </si>
  <si>
    <t>IA+IC</t>
  </si>
  <si>
    <r>
      <rPr>
        <sz val="12"/>
        <rFont val="宋体"/>
        <charset val="134"/>
      </rPr>
      <t>(e.)</t>
    </r>
    <r>
      <rPr>
        <sz val="12"/>
        <color indexed="8"/>
        <rFont val="新宋体"/>
        <family val="3"/>
        <charset val="134"/>
      </rPr>
      <t>出力轴最大角加速度(O)</t>
    </r>
  </si>
  <si>
    <t>Am*(2π/N)*(（(360/Qh)*(（n/2）/60)）^2)</t>
  </si>
  <si>
    <t>(rad .S^2)</t>
  </si>
  <si>
    <r>
      <rPr>
        <sz val="12"/>
        <rFont val="宋体"/>
        <charset val="134"/>
      </rPr>
      <t>(f.)</t>
    </r>
    <r>
      <rPr>
        <sz val="12"/>
        <color indexed="8"/>
        <rFont val="新宋体"/>
        <family val="3"/>
        <charset val="134"/>
      </rPr>
      <t>静扭矩(惯性扭矩)(Ti)</t>
    </r>
  </si>
  <si>
    <t>I*O</t>
  </si>
  <si>
    <t>(kg . cm)</t>
  </si>
  <si>
    <r>
      <rPr>
        <b/>
        <sz val="12"/>
        <color indexed="8"/>
        <rFont val="新宋体"/>
        <family val="3"/>
        <charset val="134"/>
      </rPr>
      <t>(</t>
    </r>
    <r>
      <rPr>
        <b/>
        <u/>
        <sz val="12"/>
        <color indexed="8"/>
        <rFont val="新宋体"/>
        <family val="3"/>
        <charset val="134"/>
      </rPr>
      <t>2</t>
    </r>
    <r>
      <rPr>
        <b/>
        <sz val="12"/>
        <color indexed="8"/>
        <rFont val="新宋体"/>
        <family val="3"/>
        <charset val="134"/>
      </rPr>
      <t xml:space="preserve">).摩擦扭矩 </t>
    </r>
  </si>
  <si>
    <r>
      <rPr>
        <sz val="12"/>
        <rFont val="宋体"/>
        <charset val="134"/>
      </rPr>
      <t xml:space="preserve">     (</t>
    </r>
    <r>
      <rPr>
        <sz val="12"/>
        <color indexed="8"/>
        <rFont val="新宋体"/>
        <family val="3"/>
        <charset val="134"/>
      </rPr>
      <t>a.)输送带上之摩擦扭矩.(Tf)</t>
    </r>
  </si>
  <si>
    <t>u * w * R</t>
  </si>
  <si>
    <r>
      <rPr>
        <sz val="12"/>
        <color indexed="10"/>
        <rFont val="新宋体"/>
        <family val="3"/>
        <charset val="134"/>
      </rPr>
      <t xml:space="preserve">          </t>
    </r>
    <r>
      <rPr>
        <sz val="12"/>
        <color indexed="8"/>
        <rFont val="新宋体"/>
        <family val="3"/>
        <charset val="134"/>
      </rPr>
      <t>摩擦负荷应等于滑动面上链条和夹具的一半重量和工件全部重量所造成之摩擦力</t>
    </r>
  </si>
  <si>
    <r>
      <rPr>
        <sz val="12"/>
        <rFont val="宋体"/>
        <charset val="134"/>
      </rPr>
      <t>(b.)</t>
    </r>
    <r>
      <rPr>
        <sz val="12"/>
        <color indexed="8"/>
        <rFont val="新宋体"/>
        <family val="3"/>
        <charset val="134"/>
      </rPr>
      <t>输送带之有效摩擦扭矩(Tfe)</t>
    </r>
  </si>
  <si>
    <t>Tf*(D1/D2)</t>
  </si>
  <si>
    <t>(3).作功扭矩(Tw)   在间歇分割时没有作功,因此 Tw = 0</t>
  </si>
  <si>
    <t>(4).以上总负载扭矩……...(Tt)</t>
  </si>
  <si>
    <t>Ti + Tf + Tw</t>
  </si>
  <si>
    <r>
      <rPr>
        <sz val="12"/>
        <rFont val="宋体"/>
        <charset val="134"/>
      </rPr>
      <t>(</t>
    </r>
    <r>
      <rPr>
        <b/>
        <sz val="12"/>
        <color indexed="8"/>
        <rFont val="新宋体"/>
        <family val="3"/>
        <charset val="134"/>
      </rPr>
      <t>二).实际负载扭矩…...(Te)</t>
    </r>
  </si>
  <si>
    <r>
      <rPr>
        <sz val="12"/>
        <rFont val="宋体"/>
        <charset val="134"/>
      </rPr>
      <t>(</t>
    </r>
    <r>
      <rPr>
        <b/>
        <sz val="12"/>
        <color indexed="8"/>
        <rFont val="新宋体"/>
        <family val="3"/>
        <charset val="134"/>
      </rPr>
      <t>三).入力轴扭矩(Tc)   注:入力轴起动负载扭矩视为0 , 因此 Tca =0</t>
    </r>
  </si>
  <si>
    <r>
      <rPr>
        <sz val="12"/>
        <rFont val="宋体"/>
        <charset val="134"/>
      </rPr>
      <t>(</t>
    </r>
    <r>
      <rPr>
        <b/>
        <sz val="12"/>
        <color indexed="8"/>
        <rFont val="新宋体"/>
        <family val="3"/>
        <charset val="134"/>
      </rPr>
      <t>四).计算所须之马力….(P)</t>
    </r>
  </si>
  <si>
    <r>
      <rPr>
        <sz val="12"/>
        <rFont val="新宋体"/>
        <family val="3"/>
        <charset val="134"/>
      </rPr>
      <t xml:space="preserve">                                  </t>
    </r>
    <r>
      <rPr>
        <sz val="12"/>
        <color indexed="8"/>
        <rFont val="新宋体"/>
        <family val="3"/>
        <charset val="134"/>
      </rPr>
      <t>或   (P)</t>
    </r>
  </si>
  <si>
    <t>选型案例1（正名分割器）</t>
  </si>
  <si>
    <t>凸轮分割器--齿轮分割驱动计算</t>
  </si>
  <si>
    <t>须知：修改草绿色范围内数值，粉红色的为建议尺寸，可以不用修改；黄色为自动计算尺寸，不得修改；</t>
  </si>
  <si>
    <t>间歇分割定位等份(N)</t>
  </si>
  <si>
    <t>每分割驱动时间(t1)</t>
  </si>
  <si>
    <t>每分割定位时间(t2)</t>
  </si>
  <si>
    <t>入力轴回转数(N)</t>
  </si>
  <si>
    <t>大齿轮直径(D2)</t>
  </si>
  <si>
    <t>大齿轮重量(W2)</t>
  </si>
  <si>
    <t>小齿轮直径(D1)</t>
  </si>
  <si>
    <t>(kg. m)</t>
  </si>
  <si>
    <t>小齿轮重量(W1)</t>
  </si>
  <si>
    <t xml:space="preserve">kg </t>
  </si>
  <si>
    <t>夹具重量m1</t>
  </si>
  <si>
    <t>kg/组</t>
  </si>
  <si>
    <t>工件重量m2</t>
  </si>
  <si>
    <t>夹具数量(N1)</t>
  </si>
  <si>
    <t xml:space="preserve">Pcs </t>
  </si>
  <si>
    <t>夹具固定的节圆半径Re（PCD/2）</t>
  </si>
  <si>
    <t>转盘底部,支撑有效半径(Rf)</t>
  </si>
  <si>
    <r>
      <rPr>
        <sz val="15"/>
        <rFont val="新宋体"/>
        <family val="3"/>
        <charset val="134"/>
      </rPr>
      <t>凸轮转位角度</t>
    </r>
    <r>
      <rPr>
        <sz val="20"/>
        <rFont val="新宋体"/>
        <family val="3"/>
        <charset val="134"/>
      </rPr>
      <t>θ</t>
    </r>
  </si>
  <si>
    <t>回转盘直径D</t>
  </si>
  <si>
    <t>CM</t>
  </si>
  <si>
    <t>回转盘厚度Dh</t>
  </si>
  <si>
    <t>安全系数fe</t>
  </si>
  <si>
    <t>摩擦系数u</t>
  </si>
  <si>
    <t>假设马达效率Z</t>
  </si>
  <si>
    <t>凸轮曲线系修正正弦曲线（m.s）</t>
  </si>
  <si>
    <t>最大非向性速度(Vm)</t>
  </si>
  <si>
    <t>最大非向性加速度(Am)</t>
  </si>
  <si>
    <t>凸轮最大扭力系数(Qm)</t>
  </si>
  <si>
    <t>以下为计算过程：</t>
  </si>
  <si>
    <t>零件质量</t>
  </si>
  <si>
    <t xml:space="preserve"> 回转盘重量( 钢件)W3</t>
  </si>
  <si>
    <t>D2²π/4*Dt*ρ*1/1000</t>
  </si>
  <si>
    <t>夹具总重量(W4)</t>
  </si>
  <si>
    <t>m1×N1</t>
  </si>
  <si>
    <t>工件总重量W5</t>
  </si>
  <si>
    <t>m2×N1</t>
  </si>
  <si>
    <t>圆盘惯性矩</t>
  </si>
  <si>
    <t xml:space="preserve">     小齿轮惯性矩(I1) </t>
  </si>
  <si>
    <t>( W1×R1^2 )/(2*G )</t>
  </si>
  <si>
    <t>(kg.m.S^2)</t>
  </si>
  <si>
    <t xml:space="preserve">大齿轮惯性矩(I2) </t>
  </si>
  <si>
    <t>(W2×R2^2)/(2*G)</t>
  </si>
  <si>
    <t>回转盘惯性矩(I3)</t>
  </si>
  <si>
    <t>W3×R2²/2G</t>
  </si>
  <si>
    <t>(kg . m . S^2)</t>
  </si>
  <si>
    <t>夹具惯性矩(I4)</t>
  </si>
  <si>
    <t xml:space="preserve">( W4×Re^2)/G </t>
  </si>
  <si>
    <t>工件惯性矩(I5)</t>
  </si>
  <si>
    <t>W5*Re²2²/G</t>
  </si>
  <si>
    <t xml:space="preserve">出力轴最大角加速度(α1) </t>
  </si>
  <si>
    <t>72×π×Am×N²/(S×(θ/m)²)</t>
  </si>
  <si>
    <t>(rad / S^2)</t>
  </si>
  <si>
    <t>惯性扭矩Ti</t>
  </si>
  <si>
    <t>静扭矩(惯性扭矩)(Ti)</t>
  </si>
  <si>
    <t>(kg / m)</t>
  </si>
  <si>
    <t>工作圆盘惯性扭矩Ti2</t>
  </si>
  <si>
    <t>(I2+ I3+I4+I5)*(N/N1)^2*α2*(N1/N)</t>
  </si>
  <si>
    <t>小齿轮惯性扭矩Ti1</t>
  </si>
  <si>
    <r>
      <rPr>
        <b/>
        <sz val="16"/>
        <rFont val="新宋体"/>
        <family val="3"/>
        <charset val="134"/>
      </rPr>
      <t>I</t>
    </r>
    <r>
      <rPr>
        <b/>
        <sz val="14"/>
        <rFont val="新宋体"/>
        <family val="3"/>
        <charset val="134"/>
      </rPr>
      <t>1</t>
    </r>
    <r>
      <rPr>
        <b/>
        <sz val="16"/>
        <rFont val="新宋体"/>
        <family val="3"/>
        <charset val="134"/>
      </rPr>
      <t>*α1</t>
    </r>
  </si>
  <si>
    <t>摩擦扭矩(Tf)</t>
  </si>
  <si>
    <t>u * w * R * (N / N1)</t>
  </si>
  <si>
    <t>作功扭矩(Tw)   在间歇分割时没有作功,因此 Tw = 0</t>
  </si>
  <si>
    <t>以上总负载扭矩(Tt)</t>
  </si>
  <si>
    <t>实际负载扭矩…(Te)</t>
  </si>
  <si>
    <t>Tt*fc</t>
  </si>
  <si>
    <t>入力轴扭矩(Tc)</t>
  </si>
  <si>
    <t>360/(S*θ)*Qm*Te</t>
  </si>
  <si>
    <t xml:space="preserve"> 注:入力轴起动负载扭矩视为0 , 因此 Tca =0</t>
  </si>
  <si>
    <t>计算所须之马力(P)</t>
  </si>
  <si>
    <t>(Tc*n)/(975*Z)</t>
  </si>
  <si>
    <t>KW</t>
  </si>
  <si>
    <t>选型案例（兆奕分割器）</t>
  </si>
  <si>
    <r>
      <rPr>
        <sz val="12"/>
        <color indexed="10"/>
        <rFont val="Times New Roman"/>
        <family val="1"/>
      </rPr>
      <t>CONTACT</t>
    </r>
    <r>
      <rPr>
        <sz val="12"/>
        <color indexed="10"/>
        <rFont val="新細明體"/>
        <family val="1"/>
      </rPr>
      <t>棘輪</t>
    </r>
  </si>
  <si>
    <t>參數值</t>
  </si>
  <si>
    <r>
      <rPr>
        <sz val="12"/>
        <rFont val="新細明體"/>
        <family val="1"/>
      </rPr>
      <t>料帶</t>
    </r>
    <r>
      <rPr>
        <sz val="12"/>
        <rFont val="Times New Roman"/>
        <family val="1"/>
      </rPr>
      <t>PITCH</t>
    </r>
    <r>
      <rPr>
        <sz val="12"/>
        <rFont val="新細明體"/>
        <family val="1"/>
      </rPr>
      <t>孔距</t>
    </r>
    <r>
      <rPr>
        <sz val="12"/>
        <rFont val="Times New Roman"/>
        <family val="1"/>
      </rPr>
      <t>(P)</t>
    </r>
  </si>
  <si>
    <r>
      <rPr>
        <sz val="12"/>
        <rFont val="新細明體"/>
        <family val="1"/>
      </rPr>
      <t>料厚</t>
    </r>
    <r>
      <rPr>
        <sz val="12"/>
        <rFont val="Times New Roman"/>
        <family val="1"/>
      </rPr>
      <t>T</t>
    </r>
  </si>
  <si>
    <r>
      <rPr>
        <sz val="12"/>
        <rFont val="Times New Roman"/>
        <family val="1"/>
      </rPr>
      <t>PITCH</t>
    </r>
    <r>
      <rPr>
        <sz val="12"/>
        <rFont val="新細明體"/>
        <family val="1"/>
      </rPr>
      <t>孔徑</t>
    </r>
    <r>
      <rPr>
        <sz val="12"/>
        <rFont val="Times New Roman"/>
        <family val="1"/>
      </rPr>
      <t>D</t>
    </r>
  </si>
  <si>
    <r>
      <rPr>
        <sz val="12"/>
        <rFont val="新細明體"/>
        <family val="1"/>
      </rPr>
      <t>理論周長</t>
    </r>
    <r>
      <rPr>
        <sz val="12"/>
        <rFont val="Times New Roman"/>
        <family val="1"/>
      </rPr>
      <t>S</t>
    </r>
  </si>
  <si>
    <t>S=P*N</t>
  </si>
  <si>
    <r>
      <rPr>
        <sz val="12"/>
        <rFont val="新細明體"/>
        <family val="1"/>
      </rPr>
      <t>理論直徑</t>
    </r>
    <r>
      <rPr>
        <sz val="12"/>
        <rFont val="Times New Roman"/>
        <family val="1"/>
      </rPr>
      <t>D1</t>
    </r>
  </si>
  <si>
    <t>D1=S/PI</t>
  </si>
  <si>
    <r>
      <rPr>
        <sz val="12"/>
        <rFont val="新細明體"/>
        <family val="1"/>
      </rPr>
      <t>理論半徑</t>
    </r>
    <r>
      <rPr>
        <sz val="12"/>
        <rFont val="Times New Roman"/>
        <family val="1"/>
      </rPr>
      <t>R1</t>
    </r>
  </si>
  <si>
    <r>
      <rPr>
        <sz val="12"/>
        <rFont val="新細明體"/>
        <family val="1"/>
      </rPr>
      <t>實際直徑</t>
    </r>
    <r>
      <rPr>
        <sz val="12"/>
        <rFont val="Times New Roman"/>
        <family val="1"/>
      </rPr>
      <t>D2</t>
    </r>
  </si>
  <si>
    <t>D2=D1-2T</t>
  </si>
  <si>
    <r>
      <rPr>
        <sz val="12"/>
        <rFont val="新細明體"/>
        <family val="1"/>
      </rPr>
      <t>實際半徑</t>
    </r>
    <r>
      <rPr>
        <sz val="12"/>
        <rFont val="Times New Roman"/>
        <family val="1"/>
      </rPr>
      <t>R2</t>
    </r>
  </si>
  <si>
    <r>
      <rPr>
        <sz val="12"/>
        <rFont val="新細明體"/>
        <family val="1"/>
      </rPr>
      <t>腰高</t>
    </r>
    <r>
      <rPr>
        <sz val="12"/>
        <rFont val="Times New Roman"/>
        <family val="1"/>
      </rPr>
      <t>D3</t>
    </r>
  </si>
  <si>
    <t>D3=2~2.5T</t>
  </si>
  <si>
    <r>
      <rPr>
        <sz val="12"/>
        <rFont val="細明體"/>
        <charset val="134"/>
      </rPr>
      <t>棘輪齒底</t>
    </r>
    <r>
      <rPr>
        <sz val="12"/>
        <rFont val="Times New Roman"/>
        <family val="1"/>
      </rPr>
      <t>D5</t>
    </r>
  </si>
  <si>
    <r>
      <rPr>
        <sz val="12"/>
        <rFont val="Times New Roman"/>
        <family val="1"/>
      </rPr>
      <t>D5=D-0.3(</t>
    </r>
    <r>
      <rPr>
        <sz val="12"/>
        <rFont val="細明體"/>
        <charset val="134"/>
      </rPr>
      <t>公差</t>
    </r>
    <r>
      <rPr>
        <sz val="12"/>
        <rFont val="Times New Roman"/>
        <family val="1"/>
      </rPr>
      <t>0~-0.02)</t>
    </r>
  </si>
  <si>
    <t>ID</t>
  </si>
  <si>
    <t>OD</t>
  </si>
  <si>
    <r>
      <rPr>
        <sz val="12"/>
        <rFont val="Times New Roman"/>
        <family val="1"/>
      </rPr>
      <t>B</t>
    </r>
    <r>
      <rPr>
        <sz val="12"/>
        <rFont val="細明體"/>
        <charset val="134"/>
      </rPr>
      <t>導齒小徑</t>
    </r>
  </si>
  <si>
    <r>
      <rPr>
        <sz val="12"/>
        <rFont val="Times New Roman"/>
        <family val="1"/>
      </rPr>
      <t>R</t>
    </r>
    <r>
      <rPr>
        <sz val="12"/>
        <rFont val="細明體"/>
        <charset val="134"/>
      </rPr>
      <t>導齒R角</t>
    </r>
  </si>
  <si>
    <r>
      <rPr>
        <sz val="12"/>
        <rFont val="Times New Roman"/>
        <family val="1"/>
      </rPr>
      <t>A</t>
    </r>
    <r>
      <rPr>
        <sz val="12"/>
        <rFont val="細明體"/>
        <charset val="134"/>
      </rPr>
      <t>導齒直徑</t>
    </r>
  </si>
  <si>
    <r>
      <rPr>
        <b/>
        <sz val="11"/>
        <rFont val="楷体_GB2312"/>
        <charset val="134"/>
      </rPr>
      <t>序号</t>
    </r>
  </si>
  <si>
    <r>
      <rPr>
        <b/>
        <sz val="11"/>
        <rFont val="楷体_GB2312"/>
        <charset val="134"/>
      </rPr>
      <t>代号</t>
    </r>
  </si>
  <si>
    <r>
      <rPr>
        <b/>
        <sz val="11"/>
        <rFont val="楷体_GB2312"/>
        <charset val="134"/>
      </rPr>
      <t>定义</t>
    </r>
  </si>
  <si>
    <r>
      <rPr>
        <b/>
        <sz val="11"/>
        <rFont val="楷体_GB2312"/>
        <charset val="134"/>
      </rPr>
      <t>公式</t>
    </r>
    <r>
      <rPr>
        <b/>
        <sz val="11"/>
        <rFont val="Arial"/>
        <family val="2"/>
      </rPr>
      <t>/</t>
    </r>
    <r>
      <rPr>
        <b/>
        <sz val="11"/>
        <rFont val="楷体_GB2312"/>
        <charset val="134"/>
      </rPr>
      <t>出处</t>
    </r>
  </si>
  <si>
    <r>
      <rPr>
        <b/>
        <sz val="11"/>
        <rFont val="楷体_GB2312"/>
        <charset val="134"/>
      </rPr>
      <t>结果</t>
    </r>
  </si>
  <si>
    <r>
      <rPr>
        <b/>
        <sz val="11"/>
        <rFont val="楷体_GB2312"/>
        <charset val="134"/>
      </rPr>
      <t>单位</t>
    </r>
  </si>
  <si>
    <r>
      <rPr>
        <b/>
        <sz val="11"/>
        <rFont val="楷体_GB2312"/>
        <charset val="134"/>
      </rPr>
      <t>一</t>
    </r>
  </si>
  <si>
    <r>
      <rPr>
        <b/>
        <sz val="11"/>
        <rFont val="楷体_GB2312"/>
        <charset val="134"/>
      </rPr>
      <t>已知</t>
    </r>
  </si>
  <si>
    <r>
      <rPr>
        <sz val="11"/>
        <color indexed="8"/>
        <rFont val="Arial"/>
        <family val="2"/>
      </rPr>
      <t>P</t>
    </r>
    <r>
      <rPr>
        <vertAlign val="subscript"/>
        <sz val="11"/>
        <color indexed="8"/>
        <rFont val="Arial"/>
        <family val="2"/>
      </rPr>
      <t>1</t>
    </r>
  </si>
  <si>
    <r>
      <rPr>
        <sz val="11"/>
        <color indexed="8"/>
        <rFont val="楷体_GB2312"/>
        <charset val="134"/>
      </rPr>
      <t>最小工作载荷</t>
    </r>
  </si>
  <si>
    <r>
      <rPr>
        <sz val="12"/>
        <rFont val="Arial"/>
        <family val="2"/>
      </rPr>
      <t>P</t>
    </r>
    <r>
      <rPr>
        <vertAlign val="subscript"/>
        <sz val="12"/>
        <rFont val="Arial"/>
        <family val="2"/>
      </rPr>
      <t>n</t>
    </r>
  </si>
  <si>
    <r>
      <rPr>
        <sz val="11"/>
        <color indexed="8"/>
        <rFont val="楷体_GB2312"/>
        <charset val="134"/>
      </rPr>
      <t>最大工作载荷</t>
    </r>
  </si>
  <si>
    <r>
      <rPr>
        <sz val="11"/>
        <color indexed="8"/>
        <rFont val="楷体_GB2312"/>
        <charset val="134"/>
      </rPr>
      <t>工作行程</t>
    </r>
  </si>
  <si>
    <r>
      <rPr>
        <sz val="11"/>
        <color indexed="8"/>
        <rFont val="楷体_GB2312"/>
        <charset val="134"/>
      </rPr>
      <t>弹簧中径</t>
    </r>
  </si>
  <si>
    <r>
      <rPr>
        <sz val="11"/>
        <color indexed="8"/>
        <rFont val="楷体_GB2312"/>
        <charset val="134"/>
      </rPr>
      <t>弹簧类别（寿命）</t>
    </r>
  </si>
  <si>
    <r>
      <rPr>
        <sz val="12"/>
        <rFont val="Arial"/>
        <family val="2"/>
      </rPr>
      <t>10</t>
    </r>
    <r>
      <rPr>
        <vertAlign val="superscript"/>
        <sz val="12"/>
        <rFont val="Arial"/>
        <family val="2"/>
      </rPr>
      <t>3</t>
    </r>
    <r>
      <rPr>
        <sz val="12"/>
        <rFont val="宋体"/>
        <charset val="134"/>
      </rPr>
      <t>～</t>
    </r>
    <r>
      <rPr>
        <sz val="12"/>
        <rFont val="Arial"/>
        <family val="2"/>
      </rPr>
      <t>10</t>
    </r>
    <r>
      <rPr>
        <vertAlign val="superscript"/>
        <sz val="12"/>
        <rFont val="Arial"/>
        <family val="2"/>
      </rPr>
      <t>6</t>
    </r>
    <r>
      <rPr>
        <sz val="12"/>
        <rFont val="楷体_GB2312"/>
        <charset val="134"/>
      </rPr>
      <t>，Ⅲ类载荷</t>
    </r>
  </si>
  <si>
    <r>
      <rPr>
        <sz val="11"/>
        <color indexed="8"/>
        <rFont val="楷体_GB2312"/>
        <charset val="134"/>
      </rPr>
      <t>次</t>
    </r>
  </si>
  <si>
    <r>
      <rPr>
        <sz val="11"/>
        <color indexed="8"/>
        <rFont val="楷体_GB2312"/>
        <charset val="134"/>
      </rPr>
      <t>弹簧结构</t>
    </r>
  </si>
  <si>
    <r>
      <rPr>
        <sz val="12"/>
        <rFont val="楷体_GB2312"/>
        <charset val="134"/>
      </rPr>
      <t>端部并紧，磨平，支撑圈为</t>
    </r>
    <r>
      <rPr>
        <sz val="12"/>
        <rFont val="Arial"/>
        <family val="2"/>
      </rPr>
      <t>1</t>
    </r>
    <r>
      <rPr>
        <sz val="12"/>
        <rFont val="楷体_GB2312"/>
        <charset val="134"/>
      </rPr>
      <t>圈</t>
    </r>
  </si>
  <si>
    <r>
      <rPr>
        <sz val="11"/>
        <color indexed="8"/>
        <rFont val="楷体_GB2312"/>
        <charset val="134"/>
      </rPr>
      <t>弹簧材料</t>
    </r>
  </si>
  <si>
    <r>
      <rPr>
        <sz val="12"/>
        <rFont val="楷体_GB2312"/>
        <charset val="134"/>
      </rPr>
      <t>碳素弹簧钢丝</t>
    </r>
    <r>
      <rPr>
        <sz val="12"/>
        <rFont val="Arial"/>
        <family val="2"/>
      </rPr>
      <t>C</t>
    </r>
    <r>
      <rPr>
        <sz val="12"/>
        <rFont val="楷体_GB2312"/>
        <charset val="134"/>
      </rPr>
      <t>级</t>
    </r>
  </si>
  <si>
    <r>
      <rPr>
        <sz val="11"/>
        <color indexed="8"/>
        <rFont val="楷体_GB2312"/>
        <charset val="134"/>
      </rPr>
      <t>切变模量</t>
    </r>
  </si>
  <si>
    <t>MPa</t>
  </si>
  <si>
    <r>
      <rPr>
        <sz val="11"/>
        <color indexed="8"/>
        <rFont val="楷体_GB2312"/>
        <charset val="134"/>
      </rPr>
      <t>弹性模量</t>
    </r>
  </si>
  <si>
    <r>
      <rPr>
        <b/>
        <sz val="11"/>
        <rFont val="楷体_GB2312"/>
        <charset val="134"/>
      </rPr>
      <t>二</t>
    </r>
  </si>
  <si>
    <r>
      <rPr>
        <b/>
        <sz val="11"/>
        <rFont val="楷体_GB2312"/>
        <charset val="134"/>
      </rPr>
      <t>计算</t>
    </r>
  </si>
  <si>
    <r>
      <rPr>
        <sz val="11"/>
        <color indexed="8"/>
        <rFont val="Arial"/>
        <family val="2"/>
      </rPr>
      <t>σ</t>
    </r>
    <r>
      <rPr>
        <vertAlign val="subscript"/>
        <sz val="11"/>
        <color indexed="8"/>
        <rFont val="Arial"/>
        <family val="2"/>
      </rPr>
      <t>b</t>
    </r>
  </si>
  <si>
    <r>
      <rPr>
        <sz val="11"/>
        <color indexed="8"/>
        <rFont val="楷体_GB2312"/>
        <charset val="134"/>
      </rPr>
      <t>抗拉极限强度</t>
    </r>
  </si>
  <si>
    <r>
      <rPr>
        <sz val="12"/>
        <rFont val="楷体_GB2312"/>
        <charset val="134"/>
      </rPr>
      <t>查表</t>
    </r>
    <r>
      <rPr>
        <sz val="12"/>
        <rFont val="Arial"/>
        <family val="2"/>
      </rPr>
      <t>11-2-3</t>
    </r>
    <r>
      <rPr>
        <sz val="12"/>
        <rFont val="楷体_GB2312"/>
        <charset val="134"/>
      </rPr>
      <t>初选（钢丝</t>
    </r>
    <r>
      <rPr>
        <sz val="12"/>
        <rFont val="Arial"/>
        <family val="2"/>
      </rPr>
      <t>Φ8</t>
    </r>
    <r>
      <rPr>
        <sz val="12"/>
        <rFont val="楷体_GB2312"/>
        <charset val="134"/>
      </rPr>
      <t>）</t>
    </r>
  </si>
  <si>
    <r>
      <rPr>
        <sz val="12"/>
        <rFont val="Arial"/>
        <family val="2"/>
      </rPr>
      <t>τ</t>
    </r>
    <r>
      <rPr>
        <vertAlign val="subscript"/>
        <sz val="12"/>
        <rFont val="Arial"/>
        <family val="2"/>
      </rPr>
      <t>p</t>
    </r>
  </si>
  <si>
    <r>
      <rPr>
        <sz val="11"/>
        <color indexed="8"/>
        <rFont val="楷体_GB2312"/>
        <charset val="134"/>
      </rPr>
      <t>许用应力</t>
    </r>
  </si>
  <si>
    <r>
      <rPr>
        <sz val="12"/>
        <rFont val="Arial"/>
        <family val="2"/>
      </rPr>
      <t>0.5σ</t>
    </r>
    <r>
      <rPr>
        <vertAlign val="subscript"/>
        <sz val="12"/>
        <rFont val="Arial"/>
        <family val="2"/>
      </rPr>
      <t>b</t>
    </r>
  </si>
  <si>
    <t>C'</t>
  </si>
  <si>
    <r>
      <rPr>
        <sz val="11"/>
        <color indexed="8"/>
        <rFont val="楷体_GB2312"/>
        <charset val="134"/>
      </rPr>
      <t>初选旋绕比</t>
    </r>
  </si>
  <si>
    <r>
      <rPr>
        <sz val="12"/>
        <rFont val="Arial"/>
        <family val="2"/>
      </rPr>
      <t>8/π*KC</t>
    </r>
    <r>
      <rPr>
        <vertAlign val="superscript"/>
        <sz val="12"/>
        <rFont val="Arial"/>
        <family val="2"/>
      </rPr>
      <t>3</t>
    </r>
    <r>
      <rPr>
        <sz val="12"/>
        <rFont val="Arial"/>
        <family val="2"/>
      </rPr>
      <t>=τ</t>
    </r>
    <r>
      <rPr>
        <vertAlign val="subscript"/>
        <sz val="12"/>
        <rFont val="Arial"/>
        <family val="2"/>
      </rPr>
      <t>p</t>
    </r>
    <r>
      <rPr>
        <sz val="12"/>
        <rFont val="Arial"/>
        <family val="2"/>
      </rPr>
      <t>D</t>
    </r>
    <r>
      <rPr>
        <vertAlign val="superscript"/>
        <sz val="12"/>
        <rFont val="Arial"/>
        <family val="2"/>
      </rPr>
      <t>2</t>
    </r>
    <r>
      <rPr>
        <sz val="12"/>
        <rFont val="Arial"/>
        <family val="2"/>
      </rPr>
      <t>/P</t>
    </r>
    <r>
      <rPr>
        <vertAlign val="subscript"/>
        <sz val="12"/>
        <rFont val="Arial"/>
        <family val="2"/>
      </rPr>
      <t>n</t>
    </r>
  </si>
  <si>
    <t>K'</t>
  </si>
  <si>
    <r>
      <rPr>
        <sz val="11"/>
        <color indexed="8"/>
        <rFont val="楷体_GB2312"/>
        <charset val="134"/>
      </rPr>
      <t>初选曲度系数</t>
    </r>
  </si>
  <si>
    <r>
      <rPr>
        <sz val="12"/>
        <rFont val="楷体_GB2312"/>
        <charset val="134"/>
      </rPr>
      <t>查表</t>
    </r>
    <r>
      <rPr>
        <sz val="12"/>
        <rFont val="Arial"/>
        <family val="2"/>
      </rPr>
      <t>11-2-20</t>
    </r>
  </si>
  <si>
    <t>C"</t>
  </si>
  <si>
    <r>
      <rPr>
        <sz val="11"/>
        <color indexed="8"/>
        <rFont val="楷体_GB2312"/>
        <charset val="134"/>
      </rPr>
      <t>旋绕比</t>
    </r>
  </si>
  <si>
    <t>K"</t>
  </si>
  <si>
    <r>
      <rPr>
        <sz val="11"/>
        <color indexed="8"/>
        <rFont val="楷体_GB2312"/>
        <charset val="134"/>
      </rPr>
      <t>曲度系数</t>
    </r>
  </si>
  <si>
    <r>
      <rPr>
        <sz val="11"/>
        <color indexed="8"/>
        <rFont val="楷体_GB2312"/>
        <charset val="134"/>
      </rPr>
      <t>钢丝直径</t>
    </r>
  </si>
  <si>
    <t>d=D/C</t>
  </si>
  <si>
    <r>
      <rPr>
        <sz val="12"/>
        <rFont val="楷体_GB2312"/>
        <charset val="134"/>
      </rPr>
      <t>选取</t>
    </r>
  </si>
  <si>
    <r>
      <rPr>
        <sz val="11"/>
        <color indexed="8"/>
        <rFont val="楷体_GB2312"/>
        <charset val="134"/>
      </rPr>
      <t>实际旋绕比</t>
    </r>
  </si>
  <si>
    <t>C=D/d</t>
  </si>
  <si>
    <r>
      <rPr>
        <sz val="11"/>
        <color indexed="8"/>
        <rFont val="楷体_GB2312"/>
        <charset val="134"/>
      </rPr>
      <t>实际曲度系数</t>
    </r>
  </si>
  <si>
    <r>
      <rPr>
        <sz val="12"/>
        <rFont val="Arial"/>
        <family val="2"/>
      </rPr>
      <t>K=</t>
    </r>
    <r>
      <rPr>
        <sz val="12"/>
        <rFont val="楷体_GB2312"/>
        <charset val="134"/>
      </rPr>
      <t>（</t>
    </r>
    <r>
      <rPr>
        <sz val="12"/>
        <rFont val="Arial"/>
        <family val="2"/>
      </rPr>
      <t>4C-1</t>
    </r>
    <r>
      <rPr>
        <sz val="12"/>
        <rFont val="楷体_GB2312"/>
        <charset val="134"/>
      </rPr>
      <t>）</t>
    </r>
    <r>
      <rPr>
        <sz val="12"/>
        <rFont val="Arial"/>
        <family val="2"/>
      </rPr>
      <t>/</t>
    </r>
    <r>
      <rPr>
        <sz val="12"/>
        <rFont val="楷体_GB2312"/>
        <charset val="134"/>
      </rPr>
      <t>（</t>
    </r>
    <r>
      <rPr>
        <sz val="12"/>
        <rFont val="Arial"/>
        <family val="2"/>
      </rPr>
      <t>4C-4</t>
    </r>
    <r>
      <rPr>
        <sz val="12"/>
        <rFont val="楷体_GB2312"/>
        <charset val="134"/>
      </rPr>
      <t>）</t>
    </r>
    <r>
      <rPr>
        <sz val="12"/>
        <rFont val="Arial"/>
        <family val="2"/>
      </rPr>
      <t xml:space="preserve">+0.615/C              </t>
    </r>
    <r>
      <rPr>
        <sz val="12"/>
        <rFont val="楷体_GB2312"/>
        <charset val="134"/>
      </rPr>
      <t>或查表</t>
    </r>
    <r>
      <rPr>
        <sz val="12"/>
        <rFont val="Arial"/>
        <family val="2"/>
      </rPr>
      <t>11-2-20</t>
    </r>
  </si>
  <si>
    <t>P'</t>
  </si>
  <si>
    <r>
      <rPr>
        <sz val="11"/>
        <color indexed="8"/>
        <rFont val="楷体_GB2312"/>
        <charset val="134"/>
      </rPr>
      <t>初算弹簧刚度</t>
    </r>
  </si>
  <si>
    <t>P'=(Pn-P1)/h</t>
  </si>
  <si>
    <r>
      <rPr>
        <sz val="12"/>
        <rFont val="Arial"/>
        <family val="2"/>
      </rPr>
      <t>F</t>
    </r>
    <r>
      <rPr>
        <vertAlign val="subscript"/>
        <sz val="12"/>
        <rFont val="Arial"/>
        <family val="2"/>
      </rPr>
      <t>1</t>
    </r>
  </si>
  <si>
    <r>
      <rPr>
        <sz val="11"/>
        <color indexed="8"/>
        <rFont val="楷体_GB2312"/>
        <charset val="134"/>
      </rPr>
      <t>最小载荷下变形量</t>
    </r>
  </si>
  <si>
    <r>
      <rPr>
        <sz val="12"/>
        <rFont val="Arial"/>
        <family val="2"/>
      </rPr>
      <t>F</t>
    </r>
    <r>
      <rPr>
        <vertAlign val="subscript"/>
        <sz val="12"/>
        <rFont val="Arial"/>
        <family val="2"/>
      </rPr>
      <t>1</t>
    </r>
    <r>
      <rPr>
        <sz val="12"/>
        <rFont val="Arial"/>
        <family val="2"/>
      </rPr>
      <t>=P</t>
    </r>
    <r>
      <rPr>
        <vertAlign val="subscript"/>
        <sz val="12"/>
        <rFont val="Arial"/>
        <family val="2"/>
      </rPr>
      <t xml:space="preserve">1 </t>
    </r>
    <r>
      <rPr>
        <sz val="12"/>
        <rFont val="Arial"/>
        <family val="2"/>
      </rPr>
      <t>/ P'</t>
    </r>
  </si>
  <si>
    <r>
      <rPr>
        <sz val="12"/>
        <rFont val="Arial"/>
        <family val="2"/>
      </rPr>
      <t>F</t>
    </r>
    <r>
      <rPr>
        <vertAlign val="subscript"/>
        <sz val="12"/>
        <rFont val="Arial"/>
        <family val="2"/>
      </rPr>
      <t>n</t>
    </r>
  </si>
  <si>
    <r>
      <rPr>
        <sz val="11"/>
        <color indexed="8"/>
        <rFont val="楷体_GB2312"/>
        <charset val="134"/>
      </rPr>
      <t>最大载荷下变形量</t>
    </r>
  </si>
  <si>
    <r>
      <rPr>
        <sz val="12"/>
        <rFont val="Arial"/>
        <family val="2"/>
      </rPr>
      <t>F</t>
    </r>
    <r>
      <rPr>
        <vertAlign val="subscript"/>
        <sz val="12"/>
        <rFont val="Arial"/>
        <family val="2"/>
      </rPr>
      <t>n</t>
    </r>
    <r>
      <rPr>
        <sz val="12"/>
        <rFont val="Arial"/>
        <family val="2"/>
      </rPr>
      <t>=P</t>
    </r>
    <r>
      <rPr>
        <vertAlign val="subscript"/>
        <sz val="12"/>
        <rFont val="Arial"/>
        <family val="2"/>
      </rPr>
      <t xml:space="preserve">n </t>
    </r>
    <r>
      <rPr>
        <sz val="12"/>
        <rFont val="Arial"/>
        <family val="2"/>
      </rPr>
      <t>/ P</t>
    </r>
    <r>
      <rPr>
        <vertAlign val="subscript"/>
        <sz val="12"/>
        <rFont val="Arial"/>
        <family val="2"/>
      </rPr>
      <t>'</t>
    </r>
  </si>
  <si>
    <r>
      <rPr>
        <sz val="12"/>
        <rFont val="Arial"/>
        <family val="2"/>
      </rPr>
      <t>F</t>
    </r>
    <r>
      <rPr>
        <vertAlign val="subscript"/>
        <sz val="12"/>
        <rFont val="Arial"/>
        <family val="2"/>
      </rPr>
      <t>b</t>
    </r>
  </si>
  <si>
    <r>
      <rPr>
        <sz val="11"/>
        <color indexed="8"/>
        <rFont val="楷体_GB2312"/>
        <charset val="134"/>
      </rPr>
      <t>压并时变形量</t>
    </r>
  </si>
  <si>
    <r>
      <rPr>
        <sz val="12"/>
        <rFont val="Arial"/>
        <family val="2"/>
      </rPr>
      <t>F</t>
    </r>
    <r>
      <rPr>
        <vertAlign val="subscript"/>
        <sz val="12"/>
        <rFont val="Arial"/>
        <family val="2"/>
      </rPr>
      <t>b</t>
    </r>
    <r>
      <rPr>
        <sz val="12"/>
        <rFont val="Arial"/>
        <family val="2"/>
      </rPr>
      <t>=F</t>
    </r>
    <r>
      <rPr>
        <vertAlign val="subscript"/>
        <sz val="12"/>
        <rFont val="Arial"/>
        <family val="2"/>
      </rPr>
      <t xml:space="preserve">n </t>
    </r>
    <r>
      <rPr>
        <sz val="12"/>
        <rFont val="Arial"/>
        <family val="2"/>
      </rPr>
      <t>/ 0.65</t>
    </r>
  </si>
  <si>
    <r>
      <rPr>
        <sz val="12"/>
        <rFont val="Arial"/>
        <family val="2"/>
      </rPr>
      <t>P</t>
    </r>
    <r>
      <rPr>
        <vertAlign val="subscript"/>
        <sz val="12"/>
        <rFont val="Arial"/>
        <family val="2"/>
      </rPr>
      <t>b</t>
    </r>
  </si>
  <si>
    <r>
      <rPr>
        <sz val="11"/>
        <color indexed="8"/>
        <rFont val="楷体_GB2312"/>
        <charset val="134"/>
      </rPr>
      <t>压并载荷</t>
    </r>
  </si>
  <si>
    <r>
      <rPr>
        <sz val="12"/>
        <rFont val="Arial"/>
        <family val="2"/>
      </rPr>
      <t>P</t>
    </r>
    <r>
      <rPr>
        <vertAlign val="subscript"/>
        <sz val="12"/>
        <rFont val="Arial"/>
        <family val="2"/>
      </rPr>
      <t>b</t>
    </r>
    <r>
      <rPr>
        <sz val="12"/>
        <rFont val="Arial"/>
        <family val="2"/>
      </rPr>
      <t>=P</t>
    </r>
    <r>
      <rPr>
        <vertAlign val="subscript"/>
        <sz val="12"/>
        <rFont val="Arial"/>
        <family val="2"/>
      </rPr>
      <t xml:space="preserve">n </t>
    </r>
    <r>
      <rPr>
        <sz val="12"/>
        <rFont val="Arial"/>
        <family val="2"/>
      </rPr>
      <t>/ 0.65</t>
    </r>
  </si>
  <si>
    <r>
      <rPr>
        <sz val="12"/>
        <rFont val="楷体_GB2312"/>
        <charset val="134"/>
      </rPr>
      <t>有效圈数</t>
    </r>
  </si>
  <si>
    <r>
      <rPr>
        <sz val="12"/>
        <rFont val="Arial"/>
        <family val="2"/>
      </rPr>
      <t>n=Gd</t>
    </r>
    <r>
      <rPr>
        <vertAlign val="superscript"/>
        <sz val="12"/>
        <rFont val="Arial"/>
        <family val="2"/>
      </rPr>
      <t>4</t>
    </r>
    <r>
      <rPr>
        <sz val="12"/>
        <rFont val="Arial"/>
        <family val="2"/>
      </rPr>
      <t>F</t>
    </r>
    <r>
      <rPr>
        <vertAlign val="subscript"/>
        <sz val="12"/>
        <rFont val="Arial"/>
        <family val="2"/>
      </rPr>
      <t xml:space="preserve">n </t>
    </r>
    <r>
      <rPr>
        <sz val="12"/>
        <rFont val="Arial"/>
        <family val="2"/>
      </rPr>
      <t>/ 8P</t>
    </r>
    <r>
      <rPr>
        <vertAlign val="subscript"/>
        <sz val="12"/>
        <rFont val="Arial"/>
        <family val="2"/>
      </rPr>
      <t>n</t>
    </r>
    <r>
      <rPr>
        <sz val="12"/>
        <rFont val="Arial"/>
        <family val="2"/>
      </rPr>
      <t>D</t>
    </r>
    <r>
      <rPr>
        <vertAlign val="superscript"/>
        <sz val="12"/>
        <rFont val="Arial"/>
        <family val="2"/>
      </rPr>
      <t>3</t>
    </r>
  </si>
  <si>
    <r>
      <rPr>
        <sz val="12"/>
        <rFont val="Arial"/>
        <family val="2"/>
      </rPr>
      <t>n</t>
    </r>
    <r>
      <rPr>
        <vertAlign val="subscript"/>
        <sz val="12"/>
        <rFont val="Arial"/>
        <family val="2"/>
      </rPr>
      <t>1</t>
    </r>
  </si>
  <si>
    <r>
      <rPr>
        <sz val="12"/>
        <rFont val="楷体_GB2312"/>
        <charset val="134"/>
      </rPr>
      <t>总圈数</t>
    </r>
  </si>
  <si>
    <r>
      <rPr>
        <sz val="12"/>
        <rFont val="楷体_GB2312"/>
        <charset val="134"/>
      </rPr>
      <t>查表</t>
    </r>
    <r>
      <rPr>
        <sz val="12"/>
        <rFont val="Arial"/>
        <family val="2"/>
      </rPr>
      <t>11-2-14    n1=n+2</t>
    </r>
  </si>
  <si>
    <r>
      <rPr>
        <sz val="12"/>
        <rFont val="Arial"/>
        <family val="2"/>
      </rPr>
      <t>H</t>
    </r>
    <r>
      <rPr>
        <vertAlign val="subscript"/>
        <sz val="12"/>
        <rFont val="Arial"/>
        <family val="2"/>
      </rPr>
      <t>b</t>
    </r>
  </si>
  <si>
    <r>
      <rPr>
        <sz val="11"/>
        <color indexed="8"/>
        <rFont val="楷体_GB2312"/>
        <charset val="134"/>
      </rPr>
      <t>压并高度</t>
    </r>
  </si>
  <si>
    <r>
      <rPr>
        <sz val="12"/>
        <rFont val="Arial"/>
        <family val="2"/>
      </rPr>
      <t>H</t>
    </r>
    <r>
      <rPr>
        <vertAlign val="subscript"/>
        <sz val="12"/>
        <rFont val="Arial"/>
        <family val="2"/>
      </rPr>
      <t>b</t>
    </r>
    <r>
      <rPr>
        <sz val="12"/>
        <rFont val="Arial"/>
        <family val="2"/>
      </rPr>
      <t>=(n+1.5)d</t>
    </r>
  </si>
  <si>
    <r>
      <rPr>
        <sz val="12"/>
        <rFont val="Arial"/>
        <family val="2"/>
      </rPr>
      <t>H</t>
    </r>
    <r>
      <rPr>
        <vertAlign val="subscript"/>
        <sz val="12"/>
        <rFont val="Arial"/>
        <family val="2"/>
      </rPr>
      <t>o</t>
    </r>
  </si>
  <si>
    <r>
      <rPr>
        <sz val="11"/>
        <color indexed="8"/>
        <rFont val="楷体_GB2312"/>
        <charset val="134"/>
      </rPr>
      <t>自由高度</t>
    </r>
  </si>
  <si>
    <r>
      <rPr>
        <sz val="12"/>
        <rFont val="Arial"/>
        <family val="2"/>
      </rPr>
      <t>H</t>
    </r>
    <r>
      <rPr>
        <vertAlign val="subscript"/>
        <sz val="12"/>
        <rFont val="Arial"/>
        <family val="2"/>
      </rPr>
      <t>o</t>
    </r>
    <r>
      <rPr>
        <sz val="12"/>
        <rFont val="Arial"/>
        <family val="2"/>
      </rPr>
      <t>=H</t>
    </r>
    <r>
      <rPr>
        <vertAlign val="subscript"/>
        <sz val="12"/>
        <rFont val="Arial"/>
        <family val="2"/>
      </rPr>
      <t>b</t>
    </r>
    <r>
      <rPr>
        <sz val="12"/>
        <rFont val="Arial"/>
        <family val="2"/>
      </rPr>
      <t>+F</t>
    </r>
    <r>
      <rPr>
        <vertAlign val="subscript"/>
        <sz val="12"/>
        <rFont val="Arial"/>
        <family val="2"/>
      </rPr>
      <t>b</t>
    </r>
  </si>
  <si>
    <r>
      <rPr>
        <sz val="12"/>
        <rFont val="楷体_GB2312"/>
        <charset val="134"/>
      </rPr>
      <t>节距</t>
    </r>
  </si>
  <si>
    <r>
      <rPr>
        <sz val="12"/>
        <rFont val="Arial"/>
        <family val="2"/>
      </rPr>
      <t>t=(H</t>
    </r>
    <r>
      <rPr>
        <vertAlign val="subscript"/>
        <sz val="12"/>
        <rFont val="Arial"/>
        <family val="2"/>
      </rPr>
      <t>o</t>
    </r>
    <r>
      <rPr>
        <sz val="12"/>
        <rFont val="Arial"/>
        <family val="2"/>
      </rPr>
      <t>-1.5d) / n</t>
    </r>
  </si>
  <si>
    <r>
      <rPr>
        <sz val="12"/>
        <rFont val="楷体_GB2312"/>
        <charset val="134"/>
      </rPr>
      <t>螺旋角</t>
    </r>
  </si>
  <si>
    <t>α=arc(t / π*D)</t>
  </si>
  <si>
    <t>°</t>
  </si>
  <si>
    <r>
      <rPr>
        <sz val="12"/>
        <rFont val="楷体_GB2312"/>
        <charset val="134"/>
      </rPr>
      <t>展开长度</t>
    </r>
  </si>
  <si>
    <t>L= π*Dn1/COSα</t>
  </si>
  <si>
    <t>三</t>
  </si>
  <si>
    <t>结论(验算)</t>
  </si>
  <si>
    <r>
      <rPr>
        <b/>
        <sz val="12"/>
        <rFont val="楷体_GB2312"/>
        <charset val="134"/>
      </rPr>
      <t>稳定性</t>
    </r>
  </si>
  <si>
    <t>31</t>
  </si>
  <si>
    <r>
      <rPr>
        <sz val="12"/>
        <rFont val="楷体_GB2312"/>
        <charset val="134"/>
      </rPr>
      <t>高径比</t>
    </r>
  </si>
  <si>
    <r>
      <rPr>
        <sz val="12"/>
        <rFont val="Arial"/>
        <family val="2"/>
      </rPr>
      <t>b=H</t>
    </r>
    <r>
      <rPr>
        <vertAlign val="subscript"/>
        <sz val="12"/>
        <rFont val="Arial"/>
        <family val="2"/>
      </rPr>
      <t>O</t>
    </r>
    <r>
      <rPr>
        <sz val="12"/>
        <rFont val="Arial"/>
        <family val="2"/>
      </rPr>
      <t>/D</t>
    </r>
  </si>
  <si>
    <r>
      <rPr>
        <sz val="12"/>
        <rFont val="楷体_GB2312"/>
        <charset val="134"/>
      </rPr>
      <t>两端固定</t>
    </r>
    <r>
      <rPr>
        <sz val="12"/>
        <rFont val="Arial"/>
        <family val="2"/>
      </rPr>
      <t xml:space="preserve"> b＜5.3</t>
    </r>
  </si>
  <si>
    <r>
      <rPr>
        <sz val="12"/>
        <rFont val="楷体_GB2312"/>
        <charset val="134"/>
      </rPr>
      <t>满足要求</t>
    </r>
  </si>
  <si>
    <r>
      <rPr>
        <b/>
        <sz val="12"/>
        <rFont val="楷体_GB2312"/>
        <charset val="134"/>
      </rPr>
      <t>强度</t>
    </r>
  </si>
  <si>
    <r>
      <rPr>
        <sz val="12"/>
        <rFont val="Arial"/>
        <family val="2"/>
      </rPr>
      <t>τ</t>
    </r>
    <r>
      <rPr>
        <vertAlign val="subscript"/>
        <sz val="12"/>
        <rFont val="Arial"/>
        <family val="2"/>
      </rPr>
      <t>max</t>
    </r>
  </si>
  <si>
    <r>
      <rPr>
        <sz val="11"/>
        <color indexed="8"/>
        <rFont val="楷体_GB2312"/>
        <charset val="134"/>
      </rPr>
      <t>最大切应力</t>
    </r>
  </si>
  <si>
    <r>
      <rPr>
        <sz val="12"/>
        <rFont val="Arial"/>
        <family val="2"/>
      </rPr>
      <t>τ</t>
    </r>
    <r>
      <rPr>
        <vertAlign val="subscript"/>
        <sz val="12"/>
        <rFont val="Arial"/>
        <family val="2"/>
      </rPr>
      <t>max</t>
    </r>
    <r>
      <rPr>
        <sz val="12"/>
        <rFont val="Arial"/>
        <family val="2"/>
      </rPr>
      <t>=8KDP</t>
    </r>
    <r>
      <rPr>
        <vertAlign val="subscript"/>
        <sz val="12"/>
        <rFont val="Arial"/>
        <family val="2"/>
      </rPr>
      <t>n</t>
    </r>
    <r>
      <rPr>
        <sz val="12"/>
        <rFont val="Arial"/>
        <family val="2"/>
      </rPr>
      <t>/ πd</t>
    </r>
    <r>
      <rPr>
        <vertAlign val="superscript"/>
        <sz val="12"/>
        <rFont val="Arial"/>
        <family val="2"/>
      </rPr>
      <t>3</t>
    </r>
  </si>
  <si>
    <r>
      <rPr>
        <sz val="12"/>
        <rFont val="Arial"/>
        <family val="2"/>
      </rPr>
      <t>τ</t>
    </r>
    <r>
      <rPr>
        <vertAlign val="subscript"/>
        <sz val="12"/>
        <rFont val="Arial"/>
        <family val="2"/>
      </rPr>
      <t>s</t>
    </r>
  </si>
  <si>
    <r>
      <rPr>
        <sz val="11"/>
        <color indexed="8"/>
        <rFont val="楷体_GB2312"/>
        <charset val="134"/>
      </rPr>
      <t>屈服极限</t>
    </r>
  </si>
  <si>
    <r>
      <rPr>
        <sz val="11"/>
        <color indexed="8"/>
        <rFont val="楷体_GB2312"/>
        <charset val="134"/>
      </rPr>
      <t>静载荷，</t>
    </r>
    <r>
      <rPr>
        <sz val="11"/>
        <color indexed="8"/>
        <rFont val="Arial"/>
        <family val="2"/>
      </rPr>
      <t>80</t>
    </r>
    <r>
      <rPr>
        <sz val="11"/>
        <color indexed="8"/>
        <rFont val="楷体_GB2312"/>
        <charset val="134"/>
      </rPr>
      <t>钢</t>
    </r>
  </si>
  <si>
    <r>
      <rPr>
        <sz val="12"/>
        <rFont val="楷体_GB2312"/>
        <charset val="134"/>
      </rPr>
      <t>疲劳安全系数</t>
    </r>
  </si>
  <si>
    <r>
      <rPr>
        <sz val="12"/>
        <rFont val="Arial"/>
        <family val="2"/>
      </rPr>
      <t>S=τ</t>
    </r>
    <r>
      <rPr>
        <vertAlign val="subscript"/>
        <sz val="12"/>
        <rFont val="Arial"/>
        <family val="2"/>
      </rPr>
      <t xml:space="preserve">p </t>
    </r>
    <r>
      <rPr>
        <sz val="12"/>
        <rFont val="Arial"/>
        <family val="2"/>
      </rPr>
      <t>/ τ</t>
    </r>
    <r>
      <rPr>
        <vertAlign val="subscript"/>
        <sz val="12"/>
        <rFont val="Arial"/>
        <family val="2"/>
      </rPr>
      <t>max</t>
    </r>
  </si>
  <si>
    <r>
      <rPr>
        <sz val="12"/>
        <rFont val="Arial"/>
        <family val="2"/>
      </rPr>
      <t>S</t>
    </r>
    <r>
      <rPr>
        <vertAlign val="subscript"/>
        <sz val="12"/>
        <rFont val="Arial"/>
        <family val="2"/>
      </rPr>
      <t>p</t>
    </r>
  </si>
  <si>
    <r>
      <rPr>
        <sz val="12"/>
        <rFont val="Arial"/>
        <family val="2"/>
      </rPr>
      <t>1.3</t>
    </r>
    <r>
      <rPr>
        <sz val="12"/>
        <rFont val="宋体"/>
        <charset val="134"/>
      </rPr>
      <t>～</t>
    </r>
    <r>
      <rPr>
        <sz val="12"/>
        <rFont val="Arial"/>
        <family val="2"/>
      </rPr>
      <t>1.7</t>
    </r>
  </si>
  <si>
    <r>
      <rPr>
        <sz val="12"/>
        <rFont val="Arial"/>
        <family val="2"/>
      </rPr>
      <t>S</t>
    </r>
    <r>
      <rPr>
        <sz val="12"/>
        <rFont val="楷体_GB2312"/>
        <charset val="134"/>
      </rPr>
      <t>＞</t>
    </r>
    <r>
      <rPr>
        <sz val="12"/>
        <rFont val="Arial"/>
        <family val="2"/>
      </rPr>
      <t>S</t>
    </r>
    <r>
      <rPr>
        <vertAlign val="subscript"/>
        <sz val="12"/>
        <rFont val="Arial"/>
        <family val="2"/>
      </rPr>
      <t>p</t>
    </r>
    <r>
      <rPr>
        <sz val="12"/>
        <rFont val="Arial"/>
        <family val="2"/>
      </rPr>
      <t>,</t>
    </r>
    <r>
      <rPr>
        <sz val="12"/>
        <rFont val="楷体_GB2312"/>
        <charset val="134"/>
      </rPr>
      <t>强度满足要求</t>
    </r>
  </si>
  <si>
    <r>
      <rPr>
        <sz val="12"/>
        <rFont val="楷体_GB2312"/>
        <charset val="134"/>
      </rPr>
      <t>理论转矩</t>
    </r>
  </si>
  <si>
    <t>N·m</t>
  </si>
  <si>
    <r>
      <rPr>
        <sz val="12"/>
        <rFont val="Arial"/>
        <family val="2"/>
      </rPr>
      <t>P</t>
    </r>
    <r>
      <rPr>
        <vertAlign val="subscript"/>
        <sz val="12"/>
        <rFont val="Arial"/>
        <family val="2"/>
      </rPr>
      <t>w</t>
    </r>
  </si>
  <si>
    <r>
      <rPr>
        <sz val="12"/>
        <rFont val="楷体_GB2312"/>
        <charset val="134"/>
      </rPr>
      <t>驱动功率</t>
    </r>
  </si>
  <si>
    <t>Kw</t>
  </si>
  <si>
    <r>
      <rPr>
        <sz val="12"/>
        <rFont val="楷体_GB2312"/>
        <charset val="134"/>
      </rPr>
      <t>工作转速</t>
    </r>
  </si>
  <si>
    <r>
      <rPr>
        <sz val="12"/>
        <rFont val="Arial"/>
        <family val="2"/>
      </rPr>
      <t>K</t>
    </r>
    <r>
      <rPr>
        <vertAlign val="subscript"/>
        <sz val="12"/>
        <rFont val="Arial"/>
        <family val="2"/>
      </rPr>
      <t>w</t>
    </r>
  </si>
  <si>
    <r>
      <rPr>
        <sz val="12"/>
        <rFont val="楷体_GB2312"/>
        <charset val="134"/>
      </rPr>
      <t>动力机系数</t>
    </r>
  </si>
  <si>
    <r>
      <rPr>
        <sz val="12"/>
        <rFont val="楷体_GB2312"/>
        <charset val="134"/>
      </rPr>
      <t>机械Ⅱ</t>
    </r>
    <r>
      <rPr>
        <sz val="12"/>
        <rFont val="Arial"/>
        <family val="2"/>
      </rPr>
      <t>6-54</t>
    </r>
    <r>
      <rPr>
        <sz val="12"/>
        <rFont val="楷体_GB2312"/>
        <charset val="134"/>
      </rPr>
      <t>页</t>
    </r>
  </si>
  <si>
    <r>
      <rPr>
        <sz val="12"/>
        <rFont val="楷体_GB2312"/>
        <charset val="134"/>
      </rPr>
      <t>工况系数</t>
    </r>
  </si>
  <si>
    <r>
      <rPr>
        <sz val="12"/>
        <rFont val="楷体_GB2312"/>
        <charset val="134"/>
      </rPr>
      <t>机械Ⅱ</t>
    </r>
    <r>
      <rPr>
        <sz val="12"/>
        <rFont val="Arial"/>
        <family val="2"/>
      </rPr>
      <t>6-54</t>
    </r>
    <r>
      <rPr>
        <sz val="12"/>
        <rFont val="楷体_GB2312"/>
        <charset val="134"/>
      </rPr>
      <t>页表</t>
    </r>
    <r>
      <rPr>
        <sz val="12"/>
        <rFont val="Arial"/>
        <family val="2"/>
      </rPr>
      <t>6-2-2</t>
    </r>
  </si>
  <si>
    <r>
      <rPr>
        <sz val="12"/>
        <rFont val="Arial"/>
        <family val="2"/>
      </rPr>
      <t>K</t>
    </r>
    <r>
      <rPr>
        <vertAlign val="subscript"/>
        <sz val="12"/>
        <rFont val="Arial"/>
        <family val="2"/>
      </rPr>
      <t>t</t>
    </r>
  </si>
  <si>
    <t>温度系数</t>
  </si>
  <si>
    <r>
      <rPr>
        <sz val="12"/>
        <rFont val="Arial"/>
        <family val="2"/>
      </rPr>
      <t>K</t>
    </r>
    <r>
      <rPr>
        <vertAlign val="subscript"/>
        <sz val="12"/>
        <rFont val="Arial"/>
        <family val="2"/>
      </rPr>
      <t>z</t>
    </r>
  </si>
  <si>
    <r>
      <rPr>
        <sz val="12"/>
        <rFont val="楷体_GB2312"/>
        <charset val="134"/>
      </rPr>
      <t>启动系数</t>
    </r>
  </si>
  <si>
    <r>
      <rPr>
        <sz val="12"/>
        <rFont val="楷体_GB2312"/>
        <charset val="134"/>
      </rPr>
      <t>机械Ⅱ</t>
    </r>
    <r>
      <rPr>
        <sz val="12"/>
        <rFont val="Arial"/>
        <family val="2"/>
      </rPr>
      <t>6-56</t>
    </r>
    <r>
      <rPr>
        <sz val="12"/>
        <rFont val="楷体_GB2312"/>
        <charset val="134"/>
      </rPr>
      <t>页表</t>
    </r>
    <r>
      <rPr>
        <sz val="12"/>
        <rFont val="Arial"/>
        <family val="2"/>
      </rPr>
      <t>6-2-3</t>
    </r>
  </si>
  <si>
    <t>参考外方图纸选取</t>
  </si>
  <si>
    <t>制动盘直径</t>
  </si>
  <si>
    <r>
      <rPr>
        <sz val="12"/>
        <rFont val="Arial"/>
        <family val="2"/>
      </rPr>
      <t>T</t>
    </r>
    <r>
      <rPr>
        <vertAlign val="subscript"/>
        <sz val="12"/>
        <rFont val="Arial"/>
        <family val="2"/>
      </rPr>
      <t>n</t>
    </r>
  </si>
  <si>
    <r>
      <rPr>
        <sz val="12"/>
        <rFont val="楷体_GB2312"/>
        <charset val="134"/>
      </rPr>
      <t>公称转矩</t>
    </r>
  </si>
  <si>
    <t>WGP7</t>
  </si>
  <si>
    <r>
      <rPr>
        <sz val="12"/>
        <rFont val="Arial"/>
        <family val="2"/>
      </rPr>
      <t>T</t>
    </r>
    <r>
      <rPr>
        <vertAlign val="subscript"/>
        <sz val="12"/>
        <rFont val="Arial"/>
        <family val="2"/>
      </rPr>
      <t>c</t>
    </r>
  </si>
  <si>
    <r>
      <rPr>
        <sz val="12"/>
        <rFont val="楷体_GB2312"/>
        <charset val="134"/>
      </rPr>
      <t>联轴器计算转矩</t>
    </r>
  </si>
  <si>
    <r>
      <rPr>
        <sz val="12"/>
        <rFont val="楷体_GB2312"/>
        <charset val="134"/>
      </rPr>
      <t>T</t>
    </r>
    <r>
      <rPr>
        <vertAlign val="subscript"/>
        <sz val="12"/>
        <rFont val="Arial"/>
        <family val="2"/>
      </rPr>
      <t>c</t>
    </r>
    <r>
      <rPr>
        <sz val="12"/>
        <rFont val="Arial"/>
        <family val="2"/>
      </rPr>
      <t>=TK</t>
    </r>
    <r>
      <rPr>
        <vertAlign val="subscript"/>
        <sz val="12"/>
        <rFont val="Arial"/>
        <family val="2"/>
      </rPr>
      <t>w</t>
    </r>
    <r>
      <rPr>
        <sz val="12"/>
        <rFont val="Arial"/>
        <family val="2"/>
      </rPr>
      <t>KK</t>
    </r>
    <r>
      <rPr>
        <vertAlign val="subscript"/>
        <sz val="12"/>
        <rFont val="Arial"/>
        <family val="2"/>
      </rPr>
      <t>z</t>
    </r>
    <r>
      <rPr>
        <sz val="12"/>
        <rFont val="Arial"/>
        <family val="2"/>
      </rPr>
      <t>K</t>
    </r>
    <r>
      <rPr>
        <vertAlign val="subscript"/>
        <sz val="12"/>
        <rFont val="Arial"/>
        <family val="2"/>
      </rPr>
      <t>t</t>
    </r>
  </si>
  <si>
    <r>
      <rPr>
        <sz val="12"/>
        <rFont val="Arial"/>
        <family val="2"/>
      </rPr>
      <t>Tc</t>
    </r>
    <r>
      <rPr>
        <sz val="12"/>
        <rFont val="宋体"/>
        <charset val="134"/>
      </rPr>
      <t>＜</t>
    </r>
    <r>
      <rPr>
        <sz val="12"/>
        <rFont val="Arial"/>
        <family val="2"/>
      </rPr>
      <t>Tn</t>
    </r>
  </si>
  <si>
    <t>满足要求</t>
  </si>
  <si>
    <r>
      <rPr>
        <sz val="12"/>
        <rFont val="楷体_GB2312"/>
        <charset val="134"/>
      </rPr>
      <t>传动功率</t>
    </r>
  </si>
  <si>
    <r>
      <rPr>
        <sz val="12"/>
        <rFont val="楷体_GB2312"/>
        <charset val="134"/>
      </rPr>
      <t>转速</t>
    </r>
  </si>
  <si>
    <t>T=9550*P/n</t>
  </si>
  <si>
    <t>kN·m</t>
  </si>
  <si>
    <t>工况系数</t>
  </si>
  <si>
    <r>
      <rPr>
        <sz val="12"/>
        <rFont val="楷体_GB2312"/>
        <charset val="134"/>
      </rPr>
      <t>机械手册Ⅱ</t>
    </r>
    <r>
      <rPr>
        <sz val="12"/>
        <rFont val="Arial"/>
        <family val="2"/>
      </rPr>
      <t>6-89</t>
    </r>
    <r>
      <rPr>
        <sz val="12"/>
        <rFont val="楷体_GB2312"/>
        <charset val="134"/>
      </rPr>
      <t>页表</t>
    </r>
    <r>
      <rPr>
        <sz val="12"/>
        <rFont val="Arial"/>
        <family val="2"/>
      </rPr>
      <t>6-2-22</t>
    </r>
  </si>
  <si>
    <r>
      <rPr>
        <sz val="12"/>
        <rFont val="楷体_GB2312"/>
        <charset val="134"/>
      </rPr>
      <t>计算转矩</t>
    </r>
  </si>
  <si>
    <r>
      <rPr>
        <sz val="12"/>
        <rFont val="Arial"/>
        <family val="2"/>
      </rPr>
      <t>T</t>
    </r>
    <r>
      <rPr>
        <vertAlign val="subscript"/>
        <sz val="12"/>
        <rFont val="Arial"/>
        <family val="2"/>
      </rPr>
      <t>c</t>
    </r>
    <r>
      <rPr>
        <sz val="12"/>
        <rFont val="Arial"/>
        <family val="2"/>
      </rPr>
      <t>=TK</t>
    </r>
  </si>
  <si>
    <r>
      <rPr>
        <sz val="12"/>
        <rFont val="Arial"/>
        <family val="2"/>
      </rPr>
      <t>β</t>
    </r>
    <r>
      <rPr>
        <vertAlign val="subscript"/>
        <sz val="12"/>
        <rFont val="Arial"/>
        <family val="2"/>
      </rPr>
      <t>1</t>
    </r>
  </si>
  <si>
    <r>
      <rPr>
        <sz val="12"/>
        <rFont val="Arial"/>
        <family val="2"/>
      </rPr>
      <t>β</t>
    </r>
    <r>
      <rPr>
        <vertAlign val="subscript"/>
        <sz val="12"/>
        <rFont val="Arial"/>
        <family val="2"/>
      </rPr>
      <t>2</t>
    </r>
  </si>
  <si>
    <t>tanβ</t>
  </si>
  <si>
    <t>tanβ=（tan2β1＋tan2β2）1/2</t>
  </si>
  <si>
    <t>β</t>
  </si>
  <si>
    <r>
      <rPr>
        <sz val="12"/>
        <rFont val="楷体_GB2312"/>
        <charset val="134"/>
      </rPr>
      <t>选用</t>
    </r>
    <r>
      <rPr>
        <sz val="12"/>
        <rFont val="Arial"/>
        <family val="2"/>
      </rPr>
      <t>SWC 180 BH1 1420</t>
    </r>
  </si>
  <si>
    <t>公称转矩</t>
  </si>
  <si>
    <r>
      <rPr>
        <sz val="12"/>
        <rFont val="Arial"/>
        <family val="2"/>
      </rPr>
      <t>T</t>
    </r>
    <r>
      <rPr>
        <vertAlign val="subscript"/>
        <sz val="12"/>
        <rFont val="Arial"/>
        <family val="2"/>
      </rPr>
      <t>f</t>
    </r>
  </si>
  <si>
    <t>疲劳转矩</t>
  </si>
  <si>
    <r>
      <rPr>
        <sz val="12"/>
        <rFont val="Arial"/>
        <family val="2"/>
      </rPr>
      <t>T</t>
    </r>
    <r>
      <rPr>
        <vertAlign val="subscript"/>
        <sz val="12"/>
        <rFont val="Arial"/>
        <family val="2"/>
      </rPr>
      <t>n</t>
    </r>
    <r>
      <rPr>
        <sz val="11"/>
        <color indexed="8"/>
        <rFont val="楷体_GB2312"/>
        <charset val="134"/>
      </rPr>
      <t>≥</t>
    </r>
    <r>
      <rPr>
        <sz val="12"/>
        <rFont val="Arial"/>
        <family val="2"/>
      </rPr>
      <t>T</t>
    </r>
    <r>
      <rPr>
        <vertAlign val="subscript"/>
        <sz val="12"/>
        <rFont val="Arial"/>
        <family val="2"/>
      </rPr>
      <t xml:space="preserve">c   </t>
    </r>
    <r>
      <rPr>
        <sz val="12"/>
        <rFont val="Arial"/>
        <family val="2"/>
      </rPr>
      <t>T</t>
    </r>
    <r>
      <rPr>
        <vertAlign val="subscript"/>
        <sz val="12"/>
        <rFont val="Arial"/>
        <family val="2"/>
      </rPr>
      <t>f≥Tc</t>
    </r>
  </si>
  <si>
    <r>
      <rPr>
        <sz val="12"/>
        <rFont val="Arial"/>
        <family val="2"/>
      </rPr>
      <t>d</t>
    </r>
    <r>
      <rPr>
        <vertAlign val="subscript"/>
        <sz val="12"/>
        <rFont val="Arial"/>
        <family val="2"/>
      </rPr>
      <t>a</t>
    </r>
  </si>
  <si>
    <r>
      <rPr>
        <sz val="12"/>
        <rFont val="楷体_GB2312"/>
        <charset val="134"/>
      </rPr>
      <t>包容件外径</t>
    </r>
  </si>
  <si>
    <r>
      <rPr>
        <sz val="12"/>
        <rFont val="Arial"/>
        <family val="2"/>
      </rPr>
      <t>d</t>
    </r>
    <r>
      <rPr>
        <vertAlign val="subscript"/>
        <sz val="12"/>
        <rFont val="Arial"/>
        <family val="2"/>
      </rPr>
      <t>f</t>
    </r>
  </si>
  <si>
    <r>
      <rPr>
        <sz val="12"/>
        <rFont val="楷体_GB2312"/>
        <charset val="134"/>
      </rPr>
      <t>结合直径</t>
    </r>
  </si>
  <si>
    <r>
      <rPr>
        <sz val="12"/>
        <rFont val="Arial"/>
        <family val="2"/>
      </rPr>
      <t>d</t>
    </r>
    <r>
      <rPr>
        <vertAlign val="subscript"/>
        <sz val="12"/>
        <rFont val="Arial"/>
        <family val="2"/>
      </rPr>
      <t>i</t>
    </r>
  </si>
  <si>
    <r>
      <rPr>
        <sz val="12"/>
        <rFont val="楷体_GB2312"/>
        <charset val="134"/>
      </rPr>
      <t>被包容件内径</t>
    </r>
  </si>
  <si>
    <r>
      <rPr>
        <sz val="12"/>
        <rFont val="Arial"/>
        <family val="2"/>
      </rPr>
      <t>l</t>
    </r>
    <r>
      <rPr>
        <vertAlign val="subscript"/>
        <sz val="12"/>
        <rFont val="Arial"/>
        <family val="2"/>
      </rPr>
      <t>f</t>
    </r>
  </si>
  <si>
    <r>
      <rPr>
        <sz val="12"/>
        <rFont val="楷体_GB2312"/>
        <charset val="134"/>
      </rPr>
      <t>结合长度</t>
    </r>
  </si>
  <si>
    <t>μ</t>
  </si>
  <si>
    <r>
      <rPr>
        <sz val="12"/>
        <rFont val="楷体_GB2312"/>
        <charset val="134"/>
      </rPr>
      <t>摩擦因数</t>
    </r>
  </si>
  <si>
    <r>
      <rPr>
        <sz val="12"/>
        <rFont val="楷体_GB2312"/>
        <charset val="134"/>
      </rPr>
      <t>机械手册Ⅱ表</t>
    </r>
    <r>
      <rPr>
        <sz val="12"/>
        <rFont val="Arial"/>
        <family val="2"/>
      </rPr>
      <t>5-4-4(</t>
    </r>
    <r>
      <rPr>
        <sz val="12"/>
        <rFont val="楷体_GB2312"/>
        <charset val="134"/>
      </rPr>
      <t>钢</t>
    </r>
    <r>
      <rPr>
        <sz val="12"/>
        <rFont val="Arial"/>
        <family val="2"/>
      </rPr>
      <t>-</t>
    </r>
    <r>
      <rPr>
        <sz val="12"/>
        <rFont val="楷体_GB2312"/>
        <charset val="134"/>
      </rPr>
      <t>钢</t>
    </r>
    <r>
      <rPr>
        <sz val="12"/>
        <rFont val="Arial"/>
        <family val="2"/>
      </rPr>
      <t>)</t>
    </r>
  </si>
  <si>
    <r>
      <rPr>
        <sz val="12"/>
        <rFont val="Arial"/>
        <family val="2"/>
      </rPr>
      <t>E</t>
    </r>
    <r>
      <rPr>
        <vertAlign val="subscript"/>
        <sz val="12"/>
        <rFont val="Arial"/>
        <family val="2"/>
      </rPr>
      <t>a</t>
    </r>
  </si>
  <si>
    <r>
      <rPr>
        <sz val="12"/>
        <rFont val="楷体_GB2312"/>
        <charset val="134"/>
      </rPr>
      <t>包容件弹性模量</t>
    </r>
  </si>
  <si>
    <r>
      <rPr>
        <sz val="12"/>
        <rFont val="Arial"/>
        <family val="2"/>
      </rPr>
      <t>E</t>
    </r>
    <r>
      <rPr>
        <vertAlign val="subscript"/>
        <sz val="12"/>
        <rFont val="Arial"/>
        <family val="2"/>
      </rPr>
      <t>i</t>
    </r>
  </si>
  <si>
    <r>
      <rPr>
        <sz val="12"/>
        <rFont val="楷体_GB2312"/>
        <charset val="134"/>
      </rPr>
      <t>被包容件弹性模量</t>
    </r>
  </si>
  <si>
    <r>
      <rPr>
        <sz val="12"/>
        <rFont val="Arial"/>
        <family val="2"/>
      </rPr>
      <t>ν</t>
    </r>
    <r>
      <rPr>
        <vertAlign val="subscript"/>
        <sz val="12"/>
        <rFont val="Arial"/>
        <family val="2"/>
      </rPr>
      <t>a</t>
    </r>
  </si>
  <si>
    <r>
      <rPr>
        <sz val="12"/>
        <rFont val="楷体_GB2312"/>
        <charset val="134"/>
      </rPr>
      <t>包容件泊松比</t>
    </r>
  </si>
  <si>
    <r>
      <rPr>
        <sz val="12"/>
        <rFont val="Arial"/>
        <family val="2"/>
      </rPr>
      <t>ν</t>
    </r>
    <r>
      <rPr>
        <vertAlign val="subscript"/>
        <sz val="12"/>
        <rFont val="Arial"/>
        <family val="2"/>
      </rPr>
      <t>i</t>
    </r>
  </si>
  <si>
    <r>
      <rPr>
        <sz val="12"/>
        <rFont val="楷体_GB2312"/>
        <charset val="134"/>
      </rPr>
      <t>被包容件泊松比</t>
    </r>
  </si>
  <si>
    <r>
      <rPr>
        <sz val="12"/>
        <rFont val="Arial"/>
        <family val="2"/>
      </rPr>
      <t>σ</t>
    </r>
    <r>
      <rPr>
        <vertAlign val="subscript"/>
        <sz val="12"/>
        <rFont val="Arial"/>
        <family val="2"/>
      </rPr>
      <t>sa</t>
    </r>
  </si>
  <si>
    <r>
      <rPr>
        <sz val="12"/>
        <rFont val="楷体_GB2312"/>
        <charset val="134"/>
      </rPr>
      <t>包容件屈服强度</t>
    </r>
  </si>
  <si>
    <r>
      <rPr>
        <sz val="12"/>
        <rFont val="Arial"/>
        <family val="2"/>
      </rPr>
      <t>σ</t>
    </r>
    <r>
      <rPr>
        <vertAlign val="subscript"/>
        <sz val="12"/>
        <rFont val="Arial"/>
        <family val="2"/>
      </rPr>
      <t>si</t>
    </r>
  </si>
  <si>
    <r>
      <rPr>
        <sz val="12"/>
        <rFont val="楷体_GB2312"/>
        <charset val="134"/>
      </rPr>
      <t>被包容件屈服强度</t>
    </r>
  </si>
  <si>
    <r>
      <rPr>
        <sz val="12"/>
        <rFont val="楷体_GB2312"/>
        <charset val="134"/>
      </rPr>
      <t>功率</t>
    </r>
  </si>
  <si>
    <r>
      <rPr>
        <sz val="12"/>
        <rFont val="Arial"/>
        <family val="2"/>
      </rPr>
      <t>k</t>
    </r>
    <r>
      <rPr>
        <vertAlign val="subscript"/>
        <sz val="12"/>
        <rFont val="楷体_GB2312"/>
        <charset val="134"/>
      </rPr>
      <t>过载</t>
    </r>
  </si>
  <si>
    <r>
      <rPr>
        <sz val="12"/>
        <rFont val="楷体_GB2312"/>
        <charset val="134"/>
      </rPr>
      <t>电机过载系数</t>
    </r>
  </si>
  <si>
    <r>
      <rPr>
        <sz val="12"/>
        <rFont val="楷体_GB2312"/>
        <charset val="134"/>
      </rPr>
      <t>传递扭矩</t>
    </r>
  </si>
  <si>
    <r>
      <rPr>
        <sz val="12"/>
        <rFont val="Arial"/>
        <family val="2"/>
      </rPr>
      <t>T=9550k</t>
    </r>
    <r>
      <rPr>
        <vertAlign val="subscript"/>
        <sz val="12"/>
        <rFont val="楷体_GB2312"/>
        <charset val="134"/>
      </rPr>
      <t>过载</t>
    </r>
    <r>
      <rPr>
        <sz val="12"/>
        <rFont val="Arial"/>
        <family val="2"/>
      </rPr>
      <t>N/n</t>
    </r>
  </si>
  <si>
    <r>
      <rPr>
        <sz val="12"/>
        <rFont val="Arial"/>
        <family val="2"/>
      </rPr>
      <t>P</t>
    </r>
    <r>
      <rPr>
        <vertAlign val="subscript"/>
        <sz val="12"/>
        <rFont val="Arial"/>
        <family val="2"/>
      </rPr>
      <t>fmin</t>
    </r>
  </si>
  <si>
    <r>
      <rPr>
        <sz val="12"/>
        <rFont val="楷体_GB2312"/>
        <charset val="134"/>
      </rPr>
      <t>传递载荷所需最小压强</t>
    </r>
  </si>
  <si>
    <r>
      <rPr>
        <sz val="12"/>
        <rFont val="Arial"/>
        <family val="2"/>
      </rPr>
      <t>P</t>
    </r>
    <r>
      <rPr>
        <vertAlign val="subscript"/>
        <sz val="12"/>
        <rFont val="Arial"/>
        <family val="2"/>
      </rPr>
      <t>fmin</t>
    </r>
    <r>
      <rPr>
        <sz val="12"/>
        <rFont val="Arial"/>
        <family val="2"/>
      </rPr>
      <t>=2T/πd</t>
    </r>
    <r>
      <rPr>
        <vertAlign val="subscript"/>
        <sz val="12"/>
        <rFont val="Arial"/>
        <family val="2"/>
      </rPr>
      <t>f</t>
    </r>
    <r>
      <rPr>
        <vertAlign val="superscript"/>
        <sz val="12"/>
        <rFont val="Arial"/>
        <family val="2"/>
      </rPr>
      <t>2</t>
    </r>
    <r>
      <rPr>
        <sz val="12"/>
        <rFont val="Arial"/>
        <family val="2"/>
      </rPr>
      <t>l</t>
    </r>
    <r>
      <rPr>
        <vertAlign val="subscript"/>
        <sz val="12"/>
        <rFont val="Arial"/>
        <family val="2"/>
      </rPr>
      <t>f</t>
    </r>
    <r>
      <rPr>
        <sz val="12"/>
        <rFont val="Arial"/>
        <family val="2"/>
      </rPr>
      <t>μ</t>
    </r>
  </si>
  <si>
    <r>
      <rPr>
        <sz val="12"/>
        <rFont val="Arial"/>
        <family val="2"/>
      </rPr>
      <t>q</t>
    </r>
    <r>
      <rPr>
        <vertAlign val="subscript"/>
        <sz val="12"/>
        <rFont val="Arial"/>
        <family val="2"/>
      </rPr>
      <t>a</t>
    </r>
  </si>
  <si>
    <r>
      <rPr>
        <sz val="12"/>
        <rFont val="楷体_GB2312"/>
        <charset val="134"/>
      </rPr>
      <t>包容件直径比</t>
    </r>
  </si>
  <si>
    <r>
      <rPr>
        <sz val="12"/>
        <rFont val="Arial"/>
        <family val="2"/>
      </rPr>
      <t>q</t>
    </r>
    <r>
      <rPr>
        <vertAlign val="subscript"/>
        <sz val="12"/>
        <rFont val="Arial"/>
        <family val="2"/>
      </rPr>
      <t>a</t>
    </r>
    <r>
      <rPr>
        <sz val="12"/>
        <rFont val="Arial"/>
        <family val="2"/>
      </rPr>
      <t>=d</t>
    </r>
    <r>
      <rPr>
        <vertAlign val="subscript"/>
        <sz val="12"/>
        <rFont val="Arial"/>
        <family val="2"/>
      </rPr>
      <t>f</t>
    </r>
    <r>
      <rPr>
        <sz val="12"/>
        <rFont val="Arial"/>
        <family val="2"/>
      </rPr>
      <t>/d</t>
    </r>
    <r>
      <rPr>
        <vertAlign val="subscript"/>
        <sz val="12"/>
        <rFont val="Arial"/>
        <family val="2"/>
      </rPr>
      <t>a</t>
    </r>
  </si>
  <si>
    <r>
      <rPr>
        <sz val="12"/>
        <rFont val="Arial"/>
        <family val="2"/>
      </rPr>
      <t>q</t>
    </r>
    <r>
      <rPr>
        <vertAlign val="subscript"/>
        <sz val="12"/>
        <rFont val="Arial"/>
        <family val="2"/>
      </rPr>
      <t>i</t>
    </r>
  </si>
  <si>
    <r>
      <rPr>
        <sz val="12"/>
        <rFont val="楷体_GB2312"/>
        <charset val="134"/>
      </rPr>
      <t>被包容件直径比</t>
    </r>
  </si>
  <si>
    <r>
      <rPr>
        <sz val="12"/>
        <rFont val="Arial"/>
        <family val="2"/>
      </rPr>
      <t>q</t>
    </r>
    <r>
      <rPr>
        <vertAlign val="subscript"/>
        <sz val="12"/>
        <rFont val="Arial"/>
        <family val="2"/>
      </rPr>
      <t>i</t>
    </r>
    <r>
      <rPr>
        <sz val="12"/>
        <rFont val="Arial"/>
        <family val="2"/>
      </rPr>
      <t>=d</t>
    </r>
    <r>
      <rPr>
        <vertAlign val="subscript"/>
        <sz val="12"/>
        <rFont val="Arial"/>
        <family val="2"/>
      </rPr>
      <t>i</t>
    </r>
    <r>
      <rPr>
        <sz val="12"/>
        <rFont val="Arial"/>
        <family val="2"/>
      </rPr>
      <t>/d</t>
    </r>
    <r>
      <rPr>
        <vertAlign val="subscript"/>
        <sz val="12"/>
        <rFont val="Arial"/>
        <family val="2"/>
      </rPr>
      <t>f</t>
    </r>
  </si>
  <si>
    <r>
      <rPr>
        <sz val="12"/>
        <rFont val="Arial"/>
        <family val="2"/>
      </rPr>
      <t>C</t>
    </r>
    <r>
      <rPr>
        <vertAlign val="subscript"/>
        <sz val="12"/>
        <rFont val="Arial"/>
        <family val="2"/>
      </rPr>
      <t>a</t>
    </r>
  </si>
  <si>
    <r>
      <rPr>
        <sz val="12"/>
        <rFont val="楷体_GB2312"/>
        <charset val="134"/>
      </rPr>
      <t>系数</t>
    </r>
  </si>
  <si>
    <r>
      <rPr>
        <sz val="12"/>
        <rFont val="楷体_GB2312"/>
        <charset val="134"/>
      </rPr>
      <t>机械手册Ⅱ表</t>
    </r>
    <r>
      <rPr>
        <sz val="12"/>
        <rFont val="Arial"/>
        <family val="2"/>
      </rPr>
      <t>5-4-5</t>
    </r>
  </si>
  <si>
    <r>
      <rPr>
        <sz val="12"/>
        <rFont val="Arial"/>
        <family val="2"/>
      </rPr>
      <t>C</t>
    </r>
    <r>
      <rPr>
        <vertAlign val="subscript"/>
        <sz val="12"/>
        <rFont val="Arial"/>
        <family val="2"/>
      </rPr>
      <t>i</t>
    </r>
  </si>
  <si>
    <r>
      <rPr>
        <sz val="12"/>
        <rFont val="Arial"/>
        <family val="2"/>
      </rPr>
      <t>e</t>
    </r>
    <r>
      <rPr>
        <vertAlign val="subscript"/>
        <sz val="12"/>
        <rFont val="Arial"/>
        <family val="2"/>
      </rPr>
      <t>amin</t>
    </r>
  </si>
  <si>
    <r>
      <rPr>
        <sz val="12"/>
        <rFont val="楷体_GB2312"/>
        <charset val="134"/>
      </rPr>
      <t>传递载荷所需的最小变化量</t>
    </r>
    <r>
      <rPr>
        <sz val="12"/>
        <rFont val="Arial"/>
        <family val="2"/>
      </rPr>
      <t>(</t>
    </r>
    <r>
      <rPr>
        <sz val="12"/>
        <rFont val="楷体_GB2312"/>
        <charset val="134"/>
      </rPr>
      <t>包容件</t>
    </r>
    <r>
      <rPr>
        <sz val="12"/>
        <rFont val="Arial"/>
        <family val="2"/>
      </rPr>
      <t>)</t>
    </r>
  </si>
  <si>
    <t>eamin=Pfmin*df*Ca/Ea</t>
  </si>
  <si>
    <r>
      <rPr>
        <sz val="12"/>
        <rFont val="Arial"/>
        <family val="2"/>
      </rPr>
      <t>e</t>
    </r>
    <r>
      <rPr>
        <vertAlign val="subscript"/>
        <sz val="12"/>
        <rFont val="Arial"/>
        <family val="2"/>
      </rPr>
      <t>imin</t>
    </r>
  </si>
  <si>
    <r>
      <rPr>
        <sz val="12"/>
        <rFont val="楷体_GB2312"/>
        <charset val="134"/>
      </rPr>
      <t>传递载荷所需的最小变化量</t>
    </r>
    <r>
      <rPr>
        <sz val="12"/>
        <rFont val="Arial"/>
        <family val="2"/>
      </rPr>
      <t>(</t>
    </r>
    <r>
      <rPr>
        <sz val="12"/>
        <rFont val="楷体_GB2312"/>
        <charset val="134"/>
      </rPr>
      <t>被包容件</t>
    </r>
    <r>
      <rPr>
        <sz val="12"/>
        <rFont val="Arial"/>
        <family val="2"/>
      </rPr>
      <t>)</t>
    </r>
  </si>
  <si>
    <r>
      <rPr>
        <sz val="12"/>
        <rFont val="Arial"/>
        <family val="2"/>
      </rPr>
      <t>e</t>
    </r>
    <r>
      <rPr>
        <vertAlign val="subscript"/>
        <sz val="12"/>
        <rFont val="Arial"/>
        <family val="2"/>
      </rPr>
      <t>imin</t>
    </r>
    <r>
      <rPr>
        <sz val="12"/>
        <rFont val="Arial"/>
        <family val="2"/>
      </rPr>
      <t>=P</t>
    </r>
    <r>
      <rPr>
        <vertAlign val="subscript"/>
        <sz val="12"/>
        <rFont val="Arial"/>
        <family val="2"/>
      </rPr>
      <t>fmin</t>
    </r>
    <r>
      <rPr>
        <sz val="12"/>
        <rFont val="Arial"/>
        <family val="2"/>
      </rPr>
      <t>*d</t>
    </r>
    <r>
      <rPr>
        <vertAlign val="subscript"/>
        <sz val="12"/>
        <rFont val="Arial"/>
        <family val="2"/>
      </rPr>
      <t>f*</t>
    </r>
    <r>
      <rPr>
        <sz val="12"/>
        <rFont val="Arial"/>
        <family val="2"/>
      </rPr>
      <t>C</t>
    </r>
    <r>
      <rPr>
        <vertAlign val="subscript"/>
        <sz val="12"/>
        <rFont val="Arial"/>
        <family val="2"/>
      </rPr>
      <t>i</t>
    </r>
    <r>
      <rPr>
        <sz val="12"/>
        <rFont val="Arial"/>
        <family val="2"/>
      </rPr>
      <t>/E</t>
    </r>
    <r>
      <rPr>
        <vertAlign val="subscript"/>
        <sz val="12"/>
        <rFont val="Arial"/>
        <family val="2"/>
      </rPr>
      <t>i</t>
    </r>
  </si>
  <si>
    <r>
      <rPr>
        <sz val="12"/>
        <rFont val="Arial"/>
        <family val="2"/>
      </rPr>
      <t>δ</t>
    </r>
    <r>
      <rPr>
        <vertAlign val="subscript"/>
        <sz val="12"/>
        <rFont val="Arial"/>
        <family val="2"/>
      </rPr>
      <t>emin</t>
    </r>
  </si>
  <si>
    <r>
      <rPr>
        <sz val="12"/>
        <rFont val="楷体_GB2312"/>
        <charset val="134"/>
      </rPr>
      <t>传递载荷所需的最小有效过盈量</t>
    </r>
  </si>
  <si>
    <r>
      <rPr>
        <sz val="12"/>
        <rFont val="Arial"/>
        <family val="2"/>
      </rPr>
      <t>δ</t>
    </r>
    <r>
      <rPr>
        <vertAlign val="subscript"/>
        <sz val="12"/>
        <rFont val="Arial"/>
        <family val="2"/>
      </rPr>
      <t>emin</t>
    </r>
    <r>
      <rPr>
        <sz val="12"/>
        <rFont val="Arial"/>
        <family val="2"/>
      </rPr>
      <t>=e</t>
    </r>
    <r>
      <rPr>
        <vertAlign val="subscript"/>
        <sz val="12"/>
        <rFont val="Arial"/>
        <family val="2"/>
      </rPr>
      <t>amin</t>
    </r>
    <r>
      <rPr>
        <sz val="12"/>
        <rFont val="Arial"/>
        <family val="2"/>
      </rPr>
      <t>+e</t>
    </r>
    <r>
      <rPr>
        <vertAlign val="subscript"/>
        <sz val="12"/>
        <rFont val="Arial"/>
        <family val="2"/>
      </rPr>
      <t>imin</t>
    </r>
  </si>
  <si>
    <r>
      <rPr>
        <sz val="12"/>
        <rFont val="Arial"/>
        <family val="2"/>
      </rPr>
      <t>δ</t>
    </r>
    <r>
      <rPr>
        <vertAlign val="subscript"/>
        <sz val="12"/>
        <rFont val="Arial"/>
        <family val="2"/>
      </rPr>
      <t>min</t>
    </r>
  </si>
  <si>
    <r>
      <rPr>
        <sz val="12"/>
        <rFont val="楷体_GB2312"/>
        <charset val="134"/>
      </rPr>
      <t>考虑压平后的最小过盈量</t>
    </r>
  </si>
  <si>
    <r>
      <rPr>
        <sz val="12"/>
        <rFont val="Arial"/>
        <family val="2"/>
      </rPr>
      <t>δ</t>
    </r>
    <r>
      <rPr>
        <vertAlign val="subscript"/>
        <sz val="12"/>
        <rFont val="Arial"/>
        <family val="2"/>
      </rPr>
      <t>min</t>
    </r>
    <r>
      <rPr>
        <sz val="12"/>
        <rFont val="Arial"/>
        <family val="2"/>
      </rPr>
      <t>=δ</t>
    </r>
    <r>
      <rPr>
        <vertAlign val="subscript"/>
        <sz val="12"/>
        <rFont val="Arial"/>
        <family val="2"/>
      </rPr>
      <t>emin</t>
    </r>
  </si>
  <si>
    <r>
      <rPr>
        <sz val="12"/>
        <rFont val="楷体_GB2312"/>
        <charset val="134"/>
      </rPr>
      <t>机械手册Ⅱ图</t>
    </r>
    <r>
      <rPr>
        <sz val="12"/>
        <rFont val="Arial"/>
        <family val="2"/>
      </rPr>
      <t>5-4-8</t>
    </r>
  </si>
  <si>
    <r>
      <rPr>
        <sz val="12"/>
        <rFont val="Arial"/>
        <family val="2"/>
      </rPr>
      <t>P</t>
    </r>
    <r>
      <rPr>
        <vertAlign val="subscript"/>
        <sz val="12"/>
        <rFont val="Arial"/>
        <family val="2"/>
      </rPr>
      <t>famax</t>
    </r>
  </si>
  <si>
    <r>
      <rPr>
        <sz val="12"/>
        <rFont val="楷体_GB2312"/>
        <charset val="134"/>
      </rPr>
      <t>不产生塑性变形所允许的最大压强</t>
    </r>
  </si>
  <si>
    <r>
      <rPr>
        <sz val="12"/>
        <rFont val="楷体_GB2312"/>
        <charset val="134"/>
      </rPr>
      <t>包容件</t>
    </r>
    <r>
      <rPr>
        <sz val="12"/>
        <rFont val="Arial"/>
        <family val="2"/>
      </rPr>
      <t>:P</t>
    </r>
    <r>
      <rPr>
        <vertAlign val="subscript"/>
        <sz val="12"/>
        <rFont val="Arial"/>
        <family val="2"/>
      </rPr>
      <t>famax</t>
    </r>
    <r>
      <rPr>
        <sz val="12"/>
        <rFont val="Arial"/>
        <family val="2"/>
      </rPr>
      <t>=a*σ</t>
    </r>
    <r>
      <rPr>
        <vertAlign val="subscript"/>
        <sz val="12"/>
        <rFont val="Arial"/>
        <family val="2"/>
      </rPr>
      <t>sa</t>
    </r>
  </si>
  <si>
    <r>
      <rPr>
        <sz val="12"/>
        <rFont val="Arial"/>
        <family val="2"/>
      </rPr>
      <t>P</t>
    </r>
    <r>
      <rPr>
        <vertAlign val="subscript"/>
        <sz val="12"/>
        <rFont val="Arial"/>
        <family val="2"/>
      </rPr>
      <t>fimax</t>
    </r>
  </si>
  <si>
    <r>
      <rPr>
        <sz val="12"/>
        <rFont val="楷体_GB2312"/>
        <charset val="134"/>
      </rPr>
      <t>被包容件</t>
    </r>
    <r>
      <rPr>
        <sz val="12"/>
        <rFont val="Arial"/>
        <family val="2"/>
      </rPr>
      <t>:P</t>
    </r>
    <r>
      <rPr>
        <vertAlign val="subscript"/>
        <sz val="12"/>
        <rFont val="Arial"/>
        <family val="2"/>
      </rPr>
      <t>fimax</t>
    </r>
    <r>
      <rPr>
        <sz val="12"/>
        <rFont val="Arial"/>
        <family val="2"/>
      </rPr>
      <t>=c*σ</t>
    </r>
    <r>
      <rPr>
        <vertAlign val="subscript"/>
        <sz val="12"/>
        <rFont val="Arial"/>
        <family val="2"/>
      </rPr>
      <t>si</t>
    </r>
  </si>
  <si>
    <r>
      <rPr>
        <sz val="12"/>
        <rFont val="Arial"/>
        <family val="2"/>
      </rPr>
      <t>P</t>
    </r>
    <r>
      <rPr>
        <vertAlign val="subscript"/>
        <sz val="12"/>
        <rFont val="Arial"/>
        <family val="2"/>
      </rPr>
      <t>fmax</t>
    </r>
  </si>
  <si>
    <r>
      <rPr>
        <sz val="12"/>
        <rFont val="楷体_GB2312"/>
        <charset val="134"/>
      </rPr>
      <t>被联结件</t>
    </r>
    <r>
      <rPr>
        <sz val="12"/>
        <rFont val="Arial"/>
        <family val="2"/>
      </rPr>
      <t>:</t>
    </r>
    <r>
      <rPr>
        <sz val="12"/>
        <rFont val="楷体_GB2312"/>
        <charset val="134"/>
      </rPr>
      <t>取</t>
    </r>
    <r>
      <rPr>
        <sz val="12"/>
        <rFont val="Arial"/>
        <family val="2"/>
      </rPr>
      <t>P</t>
    </r>
    <r>
      <rPr>
        <vertAlign val="subscript"/>
        <sz val="12"/>
        <rFont val="Arial"/>
        <family val="2"/>
      </rPr>
      <t>famax</t>
    </r>
    <r>
      <rPr>
        <sz val="12"/>
        <rFont val="楷体_GB2312"/>
        <charset val="134"/>
      </rPr>
      <t>和</t>
    </r>
    <r>
      <rPr>
        <sz val="12"/>
        <rFont val="Arial"/>
        <family val="2"/>
      </rPr>
      <t>P</t>
    </r>
    <r>
      <rPr>
        <vertAlign val="subscript"/>
        <sz val="12"/>
        <rFont val="Arial"/>
        <family val="2"/>
      </rPr>
      <t>fimax</t>
    </r>
    <r>
      <rPr>
        <sz val="12"/>
        <rFont val="楷体_GB2312"/>
        <charset val="134"/>
      </rPr>
      <t>较小的值</t>
    </r>
  </si>
  <si>
    <r>
      <rPr>
        <sz val="12"/>
        <rFont val="Arial"/>
        <family val="2"/>
      </rPr>
      <t>F</t>
    </r>
    <r>
      <rPr>
        <vertAlign val="subscript"/>
        <sz val="12"/>
        <rFont val="Arial"/>
        <family val="2"/>
      </rPr>
      <t>t</t>
    </r>
  </si>
  <si>
    <r>
      <rPr>
        <sz val="12"/>
        <rFont val="楷体_GB2312"/>
        <charset val="134"/>
      </rPr>
      <t>不产生塑性变形所允许的最大传递力</t>
    </r>
  </si>
  <si>
    <r>
      <rPr>
        <sz val="12"/>
        <rFont val="Arial"/>
        <family val="2"/>
      </rPr>
      <t>F</t>
    </r>
    <r>
      <rPr>
        <vertAlign val="subscript"/>
        <sz val="12"/>
        <rFont val="Arial"/>
        <family val="2"/>
      </rPr>
      <t>t</t>
    </r>
    <r>
      <rPr>
        <sz val="12"/>
        <rFont val="Arial"/>
        <family val="2"/>
      </rPr>
      <t>=P</t>
    </r>
    <r>
      <rPr>
        <vertAlign val="subscript"/>
        <sz val="12"/>
        <rFont val="Arial"/>
        <family val="2"/>
      </rPr>
      <t>fmax</t>
    </r>
    <r>
      <rPr>
        <sz val="12"/>
        <rFont val="Arial"/>
        <family val="2"/>
      </rPr>
      <t>πd</t>
    </r>
    <r>
      <rPr>
        <vertAlign val="subscript"/>
        <sz val="12"/>
        <rFont val="Arial"/>
        <family val="2"/>
      </rPr>
      <t>f</t>
    </r>
    <r>
      <rPr>
        <sz val="12"/>
        <rFont val="Arial"/>
        <family val="2"/>
      </rPr>
      <t>l</t>
    </r>
    <r>
      <rPr>
        <vertAlign val="subscript"/>
        <sz val="12"/>
        <rFont val="Arial"/>
        <family val="2"/>
      </rPr>
      <t>f</t>
    </r>
    <r>
      <rPr>
        <sz val="12"/>
        <rFont val="Arial"/>
        <family val="2"/>
      </rPr>
      <t>μ</t>
    </r>
  </si>
  <si>
    <r>
      <rPr>
        <sz val="12"/>
        <rFont val="Arial"/>
        <family val="2"/>
      </rPr>
      <t>e</t>
    </r>
    <r>
      <rPr>
        <vertAlign val="subscript"/>
        <sz val="12"/>
        <rFont val="Arial"/>
        <family val="2"/>
      </rPr>
      <t>amax</t>
    </r>
  </si>
  <si>
    <r>
      <rPr>
        <sz val="12"/>
        <rFont val="楷体_GB2312"/>
        <charset val="134"/>
      </rPr>
      <t>不产生塑性变形允许的最大直径变化量</t>
    </r>
    <r>
      <rPr>
        <sz val="12"/>
        <rFont val="Arial"/>
        <family val="2"/>
      </rPr>
      <t>(</t>
    </r>
    <r>
      <rPr>
        <sz val="12"/>
        <rFont val="楷体_GB2312"/>
        <charset val="134"/>
      </rPr>
      <t>包容件</t>
    </r>
    <r>
      <rPr>
        <sz val="12"/>
        <rFont val="Arial"/>
        <family val="2"/>
      </rPr>
      <t>)</t>
    </r>
  </si>
  <si>
    <r>
      <rPr>
        <sz val="12"/>
        <rFont val="Arial"/>
        <family val="2"/>
      </rPr>
      <t>e</t>
    </r>
    <r>
      <rPr>
        <vertAlign val="subscript"/>
        <sz val="12"/>
        <rFont val="Arial"/>
        <family val="2"/>
      </rPr>
      <t>amax</t>
    </r>
    <r>
      <rPr>
        <sz val="12"/>
        <rFont val="Arial"/>
        <family val="2"/>
      </rPr>
      <t>=P</t>
    </r>
    <r>
      <rPr>
        <vertAlign val="subscript"/>
        <sz val="12"/>
        <rFont val="Arial"/>
        <family val="2"/>
      </rPr>
      <t>fmax</t>
    </r>
    <r>
      <rPr>
        <sz val="12"/>
        <rFont val="Arial"/>
        <family val="2"/>
      </rPr>
      <t>dfC</t>
    </r>
    <r>
      <rPr>
        <vertAlign val="subscript"/>
        <sz val="12"/>
        <rFont val="Arial"/>
        <family val="2"/>
      </rPr>
      <t>a</t>
    </r>
    <r>
      <rPr>
        <sz val="12"/>
        <rFont val="Arial"/>
        <family val="2"/>
      </rPr>
      <t>/E</t>
    </r>
    <r>
      <rPr>
        <vertAlign val="subscript"/>
        <sz val="12"/>
        <rFont val="Arial"/>
        <family val="2"/>
      </rPr>
      <t>a</t>
    </r>
  </si>
  <si>
    <r>
      <rPr>
        <sz val="12"/>
        <rFont val="Arial"/>
        <family val="2"/>
      </rPr>
      <t>e</t>
    </r>
    <r>
      <rPr>
        <vertAlign val="subscript"/>
        <sz val="12"/>
        <rFont val="Arial"/>
        <family val="2"/>
      </rPr>
      <t>imax</t>
    </r>
  </si>
  <si>
    <r>
      <rPr>
        <sz val="12"/>
        <rFont val="楷体_GB2312"/>
        <charset val="134"/>
      </rPr>
      <t>不产生塑性变形允许的最大直径变化量</t>
    </r>
    <r>
      <rPr>
        <sz val="12"/>
        <rFont val="Arial"/>
        <family val="2"/>
      </rPr>
      <t>(</t>
    </r>
    <r>
      <rPr>
        <sz val="12"/>
        <rFont val="楷体_GB2312"/>
        <charset val="134"/>
      </rPr>
      <t>被包容件</t>
    </r>
    <r>
      <rPr>
        <sz val="12"/>
        <rFont val="Arial"/>
        <family val="2"/>
      </rPr>
      <t>)</t>
    </r>
  </si>
  <si>
    <r>
      <rPr>
        <sz val="12"/>
        <rFont val="Arial"/>
        <family val="2"/>
      </rPr>
      <t>e</t>
    </r>
    <r>
      <rPr>
        <vertAlign val="subscript"/>
        <sz val="12"/>
        <rFont val="Arial"/>
        <family val="2"/>
      </rPr>
      <t>imax</t>
    </r>
    <r>
      <rPr>
        <sz val="12"/>
        <rFont val="Arial"/>
        <family val="2"/>
      </rPr>
      <t>=P</t>
    </r>
    <r>
      <rPr>
        <vertAlign val="subscript"/>
        <sz val="12"/>
        <rFont val="Arial"/>
        <family val="2"/>
      </rPr>
      <t>fmax</t>
    </r>
    <r>
      <rPr>
        <sz val="12"/>
        <rFont val="Arial"/>
        <family val="2"/>
      </rPr>
      <t>dfC</t>
    </r>
    <r>
      <rPr>
        <vertAlign val="subscript"/>
        <sz val="12"/>
        <rFont val="Arial"/>
        <family val="2"/>
      </rPr>
      <t>i</t>
    </r>
    <r>
      <rPr>
        <sz val="12"/>
        <rFont val="Arial"/>
        <family val="2"/>
      </rPr>
      <t>/E</t>
    </r>
    <r>
      <rPr>
        <vertAlign val="subscript"/>
        <sz val="12"/>
        <rFont val="Arial"/>
        <family val="2"/>
      </rPr>
      <t>i</t>
    </r>
  </si>
  <si>
    <r>
      <rPr>
        <sz val="12"/>
        <rFont val="Arial"/>
        <family val="2"/>
      </rPr>
      <t>δ</t>
    </r>
    <r>
      <rPr>
        <vertAlign val="subscript"/>
        <sz val="12"/>
        <rFont val="Arial"/>
        <family val="2"/>
      </rPr>
      <t>emax</t>
    </r>
  </si>
  <si>
    <r>
      <rPr>
        <sz val="12"/>
        <rFont val="楷体_GB2312"/>
        <charset val="134"/>
      </rPr>
      <t>被联结件不产生塑性变形允许的最大有效过盈量</t>
    </r>
  </si>
  <si>
    <r>
      <rPr>
        <sz val="12"/>
        <rFont val="Arial"/>
        <family val="2"/>
      </rPr>
      <t>δ</t>
    </r>
    <r>
      <rPr>
        <vertAlign val="subscript"/>
        <sz val="12"/>
        <rFont val="Arial"/>
        <family val="2"/>
      </rPr>
      <t>emax</t>
    </r>
    <r>
      <rPr>
        <sz val="12"/>
        <rFont val="Arial"/>
        <family val="2"/>
      </rPr>
      <t>=e</t>
    </r>
    <r>
      <rPr>
        <vertAlign val="subscript"/>
        <sz val="12"/>
        <rFont val="Arial"/>
        <family val="2"/>
      </rPr>
      <t>amax</t>
    </r>
    <r>
      <rPr>
        <sz val="12"/>
        <rFont val="Arial"/>
        <family val="2"/>
      </rPr>
      <t>+e</t>
    </r>
    <r>
      <rPr>
        <vertAlign val="subscript"/>
        <sz val="12"/>
        <rFont val="Arial"/>
        <family val="2"/>
      </rPr>
      <t>imax</t>
    </r>
  </si>
  <si>
    <r>
      <rPr>
        <sz val="12"/>
        <rFont val="Arial"/>
        <family val="2"/>
      </rPr>
      <t>[δ</t>
    </r>
    <r>
      <rPr>
        <vertAlign val="subscript"/>
        <sz val="12"/>
        <rFont val="Arial"/>
        <family val="2"/>
      </rPr>
      <t>min</t>
    </r>
    <r>
      <rPr>
        <sz val="12"/>
        <rFont val="Arial"/>
        <family val="2"/>
      </rPr>
      <t>]</t>
    </r>
  </si>
  <si>
    <r>
      <rPr>
        <sz val="12"/>
        <rFont val="楷体_GB2312"/>
        <charset val="134"/>
      </rPr>
      <t>选择配合的要求</t>
    </r>
  </si>
  <si>
    <r>
      <rPr>
        <sz val="12"/>
        <rFont val="Arial"/>
        <family val="2"/>
      </rPr>
      <t>[δ</t>
    </r>
    <r>
      <rPr>
        <vertAlign val="subscript"/>
        <sz val="12"/>
        <rFont val="Arial"/>
        <family val="2"/>
      </rPr>
      <t>min</t>
    </r>
    <r>
      <rPr>
        <sz val="12"/>
        <rFont val="Arial"/>
        <family val="2"/>
      </rPr>
      <t>]</t>
    </r>
    <r>
      <rPr>
        <sz val="12"/>
        <rFont val="楷体_GB2312"/>
        <charset val="134"/>
      </rPr>
      <t>＞</t>
    </r>
    <r>
      <rPr>
        <sz val="12"/>
        <rFont val="Arial"/>
        <family val="2"/>
      </rPr>
      <t>δ</t>
    </r>
    <r>
      <rPr>
        <vertAlign val="subscript"/>
        <sz val="12"/>
        <rFont val="Arial"/>
        <family val="2"/>
      </rPr>
      <t>emin</t>
    </r>
  </si>
  <si>
    <r>
      <rPr>
        <sz val="12"/>
        <rFont val="Arial"/>
        <family val="2"/>
      </rPr>
      <t>[δ</t>
    </r>
    <r>
      <rPr>
        <vertAlign val="subscript"/>
        <sz val="12"/>
        <rFont val="Arial"/>
        <family val="2"/>
      </rPr>
      <t>max</t>
    </r>
    <r>
      <rPr>
        <sz val="12"/>
        <rFont val="Arial"/>
        <family val="2"/>
      </rPr>
      <t>]</t>
    </r>
  </si>
  <si>
    <r>
      <rPr>
        <sz val="12"/>
        <rFont val="Arial"/>
        <family val="2"/>
      </rPr>
      <t>[δ</t>
    </r>
    <r>
      <rPr>
        <vertAlign val="subscript"/>
        <sz val="12"/>
        <rFont val="Arial"/>
        <family val="2"/>
      </rPr>
      <t>max</t>
    </r>
    <r>
      <rPr>
        <sz val="12"/>
        <rFont val="Arial"/>
        <family val="2"/>
      </rPr>
      <t>]</t>
    </r>
    <r>
      <rPr>
        <sz val="12"/>
        <rFont val="楷体_GB2312"/>
        <charset val="134"/>
      </rPr>
      <t>≤</t>
    </r>
    <r>
      <rPr>
        <sz val="12"/>
        <rFont val="Arial"/>
        <family val="2"/>
      </rPr>
      <t>δ</t>
    </r>
    <r>
      <rPr>
        <vertAlign val="subscript"/>
        <sz val="12"/>
        <rFont val="Arial"/>
        <family val="2"/>
      </rPr>
      <t>emax</t>
    </r>
  </si>
  <si>
    <r>
      <rPr>
        <sz val="12"/>
        <rFont val="Arial"/>
        <family val="2"/>
      </rPr>
      <t>δ</t>
    </r>
    <r>
      <rPr>
        <vertAlign val="subscript"/>
        <sz val="12"/>
        <rFont val="Arial"/>
        <family val="2"/>
      </rPr>
      <t>b</t>
    </r>
  </si>
  <si>
    <r>
      <rPr>
        <sz val="12"/>
        <rFont val="楷体_GB2312"/>
        <charset val="134"/>
      </rPr>
      <t>初选基本过盈量</t>
    </r>
  </si>
  <si>
    <r>
      <rPr>
        <sz val="12"/>
        <rFont val="Arial"/>
        <family val="2"/>
      </rPr>
      <t>δ</t>
    </r>
    <r>
      <rPr>
        <vertAlign val="subscript"/>
        <sz val="12"/>
        <rFont val="Arial"/>
        <family val="2"/>
      </rPr>
      <t>b</t>
    </r>
    <r>
      <rPr>
        <sz val="12"/>
        <rFont val="Arial"/>
        <family val="2"/>
      </rPr>
      <t>=(δ</t>
    </r>
    <r>
      <rPr>
        <vertAlign val="subscript"/>
        <sz val="12"/>
        <rFont val="Arial"/>
        <family val="2"/>
      </rPr>
      <t>emin</t>
    </r>
    <r>
      <rPr>
        <sz val="12"/>
        <rFont val="Arial"/>
        <family val="2"/>
      </rPr>
      <t>+δ</t>
    </r>
    <r>
      <rPr>
        <vertAlign val="subscript"/>
        <sz val="12"/>
        <rFont val="Arial"/>
        <family val="2"/>
      </rPr>
      <t>emin</t>
    </r>
    <r>
      <rPr>
        <sz val="12"/>
        <rFont val="Arial"/>
        <family val="2"/>
      </rPr>
      <t>)/2</t>
    </r>
  </si>
  <si>
    <r>
      <rPr>
        <sz val="12"/>
        <rFont val="楷体_GB2312"/>
        <charset val="134"/>
      </rPr>
      <t>初选基本偏差代号</t>
    </r>
  </si>
  <si>
    <r>
      <rPr>
        <sz val="12"/>
        <rFont val="楷体_GB2312"/>
        <charset val="134"/>
      </rPr>
      <t>机械手册Ⅱ图</t>
    </r>
    <r>
      <rPr>
        <sz val="12"/>
        <rFont val="Arial"/>
        <family val="2"/>
      </rPr>
      <t>5-4-7</t>
    </r>
  </si>
  <si>
    <r>
      <rPr>
        <sz val="12"/>
        <rFont val="楷体_GB2312"/>
        <charset val="134"/>
      </rPr>
      <t>确定公差等级</t>
    </r>
  </si>
  <si>
    <r>
      <rPr>
        <sz val="12"/>
        <rFont val="楷体_GB2312"/>
        <charset val="134"/>
      </rPr>
      <t>孔</t>
    </r>
    <r>
      <rPr>
        <sz val="12"/>
        <rFont val="Arial"/>
        <family val="2"/>
      </rPr>
      <t>:IT7,</t>
    </r>
    <r>
      <rPr>
        <sz val="12"/>
        <rFont val="楷体_GB2312"/>
        <charset val="134"/>
      </rPr>
      <t>轴</t>
    </r>
    <r>
      <rPr>
        <sz val="12"/>
        <rFont val="Arial"/>
        <family val="2"/>
      </rPr>
      <t>:IT6</t>
    </r>
  </si>
  <si>
    <r>
      <rPr>
        <sz val="12"/>
        <rFont val="楷体_GB2312"/>
        <charset val="134"/>
      </rPr>
      <t>要求较多的联结强度储备</t>
    </r>
  </si>
  <si>
    <r>
      <rPr>
        <sz val="12"/>
        <rFont val="Arial"/>
        <family val="2"/>
      </rPr>
      <t>(δ</t>
    </r>
    <r>
      <rPr>
        <vertAlign val="subscript"/>
        <sz val="12"/>
        <rFont val="Arial"/>
        <family val="2"/>
      </rPr>
      <t>emin</t>
    </r>
    <r>
      <rPr>
        <sz val="12"/>
        <rFont val="Arial"/>
        <family val="2"/>
      </rPr>
      <t>+δ</t>
    </r>
    <r>
      <rPr>
        <vertAlign val="subscript"/>
        <sz val="12"/>
        <rFont val="Arial"/>
        <family val="2"/>
      </rPr>
      <t>emin</t>
    </r>
    <r>
      <rPr>
        <sz val="12"/>
        <rFont val="Arial"/>
        <family val="2"/>
      </rPr>
      <t>)/2</t>
    </r>
    <r>
      <rPr>
        <sz val="12"/>
        <rFont val="楷体_GB2312"/>
        <charset val="134"/>
      </rPr>
      <t>＜</t>
    </r>
    <r>
      <rPr>
        <sz val="12"/>
        <rFont val="Arial"/>
        <family val="2"/>
      </rPr>
      <t>δ</t>
    </r>
    <r>
      <rPr>
        <vertAlign val="subscript"/>
        <sz val="12"/>
        <rFont val="Arial"/>
        <family val="2"/>
      </rPr>
      <t>b</t>
    </r>
    <r>
      <rPr>
        <sz val="12"/>
        <rFont val="楷体_GB2312"/>
        <charset val="134"/>
      </rPr>
      <t>＜</t>
    </r>
    <r>
      <rPr>
        <sz val="12"/>
        <rFont val="Arial"/>
        <family val="2"/>
      </rPr>
      <t>δ</t>
    </r>
    <r>
      <rPr>
        <vertAlign val="subscript"/>
        <sz val="12"/>
        <rFont val="Arial"/>
        <family val="2"/>
      </rPr>
      <t>emax</t>
    </r>
  </si>
  <si>
    <r>
      <rPr>
        <sz val="12"/>
        <rFont val="楷体_GB2312"/>
        <charset val="134"/>
      </rPr>
      <t>选用基本偏差代号</t>
    </r>
    <r>
      <rPr>
        <sz val="12"/>
        <rFont val="Arial"/>
        <family val="2"/>
      </rPr>
      <t>:"u"</t>
    </r>
  </si>
  <si>
    <t>ω</t>
  </si>
  <si>
    <r>
      <rPr>
        <sz val="12"/>
        <rFont val="Arial"/>
        <family val="2"/>
      </rPr>
      <t>u</t>
    </r>
    <r>
      <rPr>
        <sz val="12"/>
        <rFont val="楷体_GB2312"/>
        <charset val="134"/>
      </rPr>
      <t>的基本偏差</t>
    </r>
  </si>
  <si>
    <r>
      <rPr>
        <sz val="12"/>
        <rFont val="楷体_GB2312"/>
        <charset val="134"/>
      </rPr>
      <t>机械手册Ⅰ表</t>
    </r>
    <r>
      <rPr>
        <sz val="12"/>
        <rFont val="Arial"/>
        <family val="2"/>
      </rPr>
      <t>2-2-39</t>
    </r>
  </si>
  <si>
    <r>
      <rPr>
        <sz val="12"/>
        <rFont val="Arial"/>
        <family val="2"/>
      </rPr>
      <t>[δ</t>
    </r>
    <r>
      <rPr>
        <vertAlign val="subscript"/>
        <sz val="12"/>
        <rFont val="Arial"/>
        <family val="2"/>
      </rPr>
      <t>min</t>
    </r>
    <r>
      <rPr>
        <sz val="12"/>
        <rFont val="Arial"/>
        <family val="2"/>
      </rPr>
      <t>]=ω-IT7</t>
    </r>
    <r>
      <rPr>
        <sz val="12"/>
        <rFont val="楷体_GB2312"/>
        <charset val="134"/>
      </rPr>
      <t>＞δemin</t>
    </r>
  </si>
  <si>
    <r>
      <rPr>
        <sz val="12"/>
        <rFont val="楷体_GB2312"/>
        <charset val="134"/>
      </rPr>
      <t>＞</t>
    </r>
    <r>
      <rPr>
        <sz val="12"/>
        <rFont val="Arial"/>
        <family val="2"/>
      </rPr>
      <t>0.0171</t>
    </r>
  </si>
  <si>
    <r>
      <rPr>
        <sz val="12"/>
        <rFont val="Arial"/>
        <family val="2"/>
      </rPr>
      <t>[δ</t>
    </r>
    <r>
      <rPr>
        <vertAlign val="subscript"/>
        <sz val="12"/>
        <rFont val="Arial"/>
        <family val="2"/>
      </rPr>
      <t>max</t>
    </r>
    <r>
      <rPr>
        <sz val="12"/>
        <rFont val="Arial"/>
        <family val="2"/>
      </rPr>
      <t>]=ω+IT6</t>
    </r>
    <r>
      <rPr>
        <sz val="12"/>
        <rFont val="楷体_GB2312"/>
        <charset val="134"/>
      </rPr>
      <t>≤</t>
    </r>
    <r>
      <rPr>
        <sz val="12"/>
        <rFont val="Arial"/>
        <family val="2"/>
      </rPr>
      <t>δ</t>
    </r>
    <r>
      <rPr>
        <vertAlign val="subscript"/>
        <sz val="12"/>
        <rFont val="Arial"/>
        <family val="2"/>
      </rPr>
      <t>emax</t>
    </r>
  </si>
  <si>
    <r>
      <rPr>
        <sz val="12"/>
        <rFont val="楷体_GB2312"/>
        <charset val="134"/>
      </rPr>
      <t>＜</t>
    </r>
    <r>
      <rPr>
        <sz val="12"/>
        <rFont val="Arial"/>
        <family val="2"/>
      </rPr>
      <t>0.157</t>
    </r>
  </si>
  <si>
    <t>选用配合:H7/u6</t>
  </si>
  <si>
    <r>
      <rPr>
        <sz val="11"/>
        <color indexed="8"/>
        <rFont val="Arial"/>
        <family val="2"/>
      </rPr>
      <t>K</t>
    </r>
    <r>
      <rPr>
        <vertAlign val="subscript"/>
        <sz val="11"/>
        <color indexed="8"/>
        <rFont val="Arial"/>
        <family val="2"/>
      </rPr>
      <t>A</t>
    </r>
  </si>
  <si>
    <r>
      <rPr>
        <sz val="11"/>
        <color indexed="8"/>
        <rFont val="Arial"/>
        <family val="2"/>
      </rPr>
      <t>K</t>
    </r>
    <r>
      <rPr>
        <vertAlign val="subscript"/>
        <sz val="11"/>
        <color indexed="8"/>
        <rFont val="Arial"/>
        <family val="2"/>
      </rPr>
      <t>S</t>
    </r>
  </si>
  <si>
    <t>输入功率</t>
  </si>
  <si>
    <t>kW</t>
  </si>
  <si>
    <t>输入转速</t>
  </si>
  <si>
    <r>
      <rPr>
        <sz val="11"/>
        <color indexed="8"/>
        <rFont val="Arial"/>
        <family val="2"/>
      </rPr>
      <t>r</t>
    </r>
    <r>
      <rPr>
        <sz val="11"/>
        <color indexed="8"/>
        <rFont val="Arial"/>
        <family val="2"/>
      </rPr>
      <t>/min</t>
    </r>
  </si>
  <si>
    <t>输出转速</t>
  </si>
  <si>
    <r>
      <rPr>
        <sz val="11"/>
        <color indexed="8"/>
        <rFont val="Arial"/>
        <family val="2"/>
      </rPr>
      <t>P</t>
    </r>
    <r>
      <rPr>
        <vertAlign val="subscript"/>
        <sz val="11"/>
        <color indexed="8"/>
        <rFont val="Arial"/>
        <family val="2"/>
      </rPr>
      <t>2m</t>
    </r>
  </si>
  <si>
    <t>计算功率</t>
  </si>
  <si>
    <r>
      <rPr>
        <sz val="11"/>
        <color indexed="8"/>
        <rFont val="Arial"/>
        <family val="2"/>
      </rPr>
      <t>P</t>
    </r>
    <r>
      <rPr>
        <vertAlign val="subscript"/>
        <sz val="11"/>
        <color indexed="8"/>
        <rFont val="Arial"/>
        <family val="2"/>
      </rPr>
      <t>2m</t>
    </r>
    <r>
      <rPr>
        <sz val="11"/>
        <color indexed="8"/>
        <rFont val="Arial"/>
        <family val="2"/>
      </rPr>
      <t>=P×K</t>
    </r>
    <r>
      <rPr>
        <vertAlign val="subscript"/>
        <sz val="11"/>
        <color indexed="8"/>
        <rFont val="Arial"/>
        <family val="2"/>
      </rPr>
      <t>A</t>
    </r>
    <r>
      <rPr>
        <sz val="11"/>
        <color indexed="8"/>
        <rFont val="Arial"/>
        <family val="2"/>
      </rPr>
      <t>×K</t>
    </r>
    <r>
      <rPr>
        <vertAlign val="subscript"/>
        <sz val="11"/>
        <color indexed="8"/>
        <rFont val="Arial"/>
        <family val="2"/>
      </rPr>
      <t>S</t>
    </r>
  </si>
  <si>
    <t>i</t>
  </si>
  <si>
    <t>i=N/n</t>
  </si>
  <si>
    <t>公称输入功率</t>
  </si>
  <si>
    <r>
      <rPr>
        <sz val="11"/>
        <color indexed="8"/>
        <rFont val="Arial"/>
        <family val="2"/>
      </rPr>
      <t>P</t>
    </r>
    <r>
      <rPr>
        <vertAlign val="subscript"/>
        <sz val="11"/>
        <color indexed="8"/>
        <rFont val="Arial"/>
        <family val="2"/>
      </rPr>
      <t>2m</t>
    </r>
    <r>
      <rPr>
        <sz val="11"/>
        <color indexed="8"/>
        <rFont val="宋体"/>
        <charset val="134"/>
      </rPr>
      <t>＜</t>
    </r>
    <r>
      <rPr>
        <sz val="11"/>
        <color indexed="8"/>
        <rFont val="Arial"/>
        <family val="2"/>
      </rPr>
      <t>P</t>
    </r>
    <r>
      <rPr>
        <vertAlign val="subscript"/>
        <sz val="11"/>
        <color indexed="8"/>
        <rFont val="Arial"/>
        <family val="2"/>
      </rPr>
      <t>1</t>
    </r>
  </si>
  <si>
    <r>
      <rPr>
        <sz val="11"/>
        <color indexed="8"/>
        <rFont val="楷体_GB2312"/>
        <charset val="134"/>
      </rPr>
      <t>查表得</t>
    </r>
    <r>
      <rPr>
        <sz val="11"/>
        <color indexed="8"/>
        <rFont val="Arial"/>
        <family val="2"/>
      </rPr>
      <t>ZSY500</t>
    </r>
  </si>
  <si>
    <r>
      <rPr>
        <sz val="11"/>
        <color indexed="8"/>
        <rFont val="Arial"/>
        <family val="2"/>
      </rPr>
      <t>N</t>
    </r>
    <r>
      <rPr>
        <sz val="11"/>
        <color indexed="8"/>
        <rFont val="Arial"/>
        <family val="2"/>
      </rPr>
      <t>m</t>
    </r>
  </si>
  <si>
    <t>公式/出处</t>
  </si>
  <si>
    <t>结果</t>
  </si>
  <si>
    <t>一</t>
  </si>
  <si>
    <t>已知</t>
  </si>
  <si>
    <r>
      <rPr>
        <sz val="12"/>
        <rFont val="Arial"/>
        <family val="2"/>
      </rPr>
      <t>n</t>
    </r>
    <r>
      <rPr>
        <sz val="8"/>
        <rFont val="Arial"/>
        <family val="2"/>
      </rPr>
      <t>1</t>
    </r>
  </si>
  <si>
    <r>
      <rPr>
        <sz val="12"/>
        <rFont val="楷体_GB2312"/>
        <charset val="134"/>
      </rPr>
      <t>链轮</t>
    </r>
    <r>
      <rPr>
        <sz val="12"/>
        <rFont val="Arial"/>
        <family val="2"/>
      </rPr>
      <t>1</t>
    </r>
    <r>
      <rPr>
        <sz val="12"/>
        <rFont val="楷体_GB2312"/>
        <charset val="134"/>
      </rPr>
      <t>转速</t>
    </r>
  </si>
  <si>
    <r>
      <rPr>
        <sz val="12"/>
        <rFont val="Arial"/>
        <family val="2"/>
      </rPr>
      <t>n</t>
    </r>
    <r>
      <rPr>
        <sz val="8"/>
        <rFont val="Arial"/>
        <family val="2"/>
      </rPr>
      <t>2</t>
    </r>
  </si>
  <si>
    <r>
      <rPr>
        <sz val="12"/>
        <rFont val="楷体_GB2312"/>
        <charset val="134"/>
      </rPr>
      <t>链轮</t>
    </r>
    <r>
      <rPr>
        <sz val="12"/>
        <rFont val="Arial"/>
        <family val="2"/>
      </rPr>
      <t>2</t>
    </r>
    <r>
      <rPr>
        <sz val="12"/>
        <rFont val="楷体_GB2312"/>
        <charset val="134"/>
      </rPr>
      <t>转速</t>
    </r>
  </si>
  <si>
    <r>
      <rPr>
        <sz val="12"/>
        <rFont val="楷体_GB2312"/>
        <charset val="134"/>
      </rPr>
      <t>传动比</t>
    </r>
  </si>
  <si>
    <r>
      <rPr>
        <sz val="12"/>
        <rFont val="Arial"/>
        <family val="2"/>
      </rPr>
      <t>i=n</t>
    </r>
    <r>
      <rPr>
        <sz val="8"/>
        <rFont val="Arial"/>
        <family val="2"/>
      </rPr>
      <t>1</t>
    </r>
    <r>
      <rPr>
        <sz val="12"/>
        <rFont val="Arial"/>
        <family val="2"/>
      </rPr>
      <t>/n</t>
    </r>
    <r>
      <rPr>
        <sz val="8"/>
        <rFont val="Arial"/>
        <family val="2"/>
      </rPr>
      <t>2</t>
    </r>
  </si>
  <si>
    <r>
      <rPr>
        <sz val="12"/>
        <rFont val="Arial"/>
        <family val="2"/>
      </rPr>
      <t>z</t>
    </r>
    <r>
      <rPr>
        <sz val="8"/>
        <rFont val="Arial"/>
        <family val="2"/>
      </rPr>
      <t>1</t>
    </r>
  </si>
  <si>
    <r>
      <rPr>
        <sz val="12"/>
        <rFont val="楷体_GB2312"/>
        <charset val="134"/>
      </rPr>
      <t>链轮</t>
    </r>
    <r>
      <rPr>
        <sz val="12"/>
        <rFont val="Arial"/>
        <family val="2"/>
      </rPr>
      <t>1</t>
    </r>
    <r>
      <rPr>
        <sz val="12"/>
        <rFont val="楷体_GB2312"/>
        <charset val="134"/>
      </rPr>
      <t>齿数</t>
    </r>
  </si>
  <si>
    <r>
      <rPr>
        <sz val="12"/>
        <rFont val="Arial"/>
        <family val="2"/>
      </rPr>
      <t>z</t>
    </r>
    <r>
      <rPr>
        <sz val="8"/>
        <rFont val="Arial"/>
        <family val="2"/>
      </rPr>
      <t>2</t>
    </r>
  </si>
  <si>
    <r>
      <rPr>
        <sz val="12"/>
        <rFont val="楷体_GB2312"/>
        <charset val="134"/>
      </rPr>
      <t>链轮</t>
    </r>
    <r>
      <rPr>
        <sz val="12"/>
        <rFont val="Arial"/>
        <family val="2"/>
      </rPr>
      <t>2</t>
    </r>
    <r>
      <rPr>
        <sz val="12"/>
        <rFont val="楷体_GB2312"/>
        <charset val="134"/>
      </rPr>
      <t>齿数</t>
    </r>
  </si>
  <si>
    <r>
      <rPr>
        <sz val="12"/>
        <rFont val="Arial"/>
        <family val="2"/>
      </rPr>
      <t>z</t>
    </r>
    <r>
      <rPr>
        <sz val="8"/>
        <rFont val="Arial"/>
        <family val="2"/>
      </rPr>
      <t>2</t>
    </r>
    <r>
      <rPr>
        <sz val="12"/>
        <rFont val="Arial"/>
        <family val="2"/>
      </rPr>
      <t>=i*z</t>
    </r>
    <r>
      <rPr>
        <sz val="8"/>
        <rFont val="Arial"/>
        <family val="2"/>
      </rPr>
      <t>1</t>
    </r>
  </si>
  <si>
    <r>
      <rPr>
        <sz val="12"/>
        <rFont val="楷体_GB2312"/>
        <charset val="134"/>
      </rPr>
      <t>传递功率</t>
    </r>
  </si>
  <si>
    <r>
      <rPr>
        <sz val="12"/>
        <rFont val="Arial"/>
        <family val="2"/>
      </rPr>
      <t>K</t>
    </r>
    <r>
      <rPr>
        <vertAlign val="subscript"/>
        <sz val="12"/>
        <rFont val="Arial"/>
        <family val="2"/>
      </rPr>
      <t>A</t>
    </r>
  </si>
  <si>
    <r>
      <rPr>
        <sz val="12"/>
        <rFont val="楷体_GB2312"/>
        <charset val="134"/>
      </rPr>
      <t>共况系数</t>
    </r>
  </si>
  <si>
    <r>
      <rPr>
        <sz val="12"/>
        <rFont val="楷体_GB2312"/>
        <charset val="134"/>
      </rPr>
      <t>机械Ⅲ表</t>
    </r>
    <r>
      <rPr>
        <sz val="12"/>
        <rFont val="Arial"/>
        <family val="2"/>
      </rPr>
      <t>13-2-3</t>
    </r>
  </si>
  <si>
    <r>
      <rPr>
        <sz val="12"/>
        <rFont val="Arial"/>
        <family val="2"/>
      </rPr>
      <t>P</t>
    </r>
    <r>
      <rPr>
        <sz val="8"/>
        <rFont val="Arial"/>
        <family val="2"/>
      </rPr>
      <t>d</t>
    </r>
  </si>
  <si>
    <r>
      <rPr>
        <sz val="12"/>
        <rFont val="楷体_GB2312"/>
        <charset val="134"/>
      </rPr>
      <t>设计功率</t>
    </r>
  </si>
  <si>
    <r>
      <rPr>
        <sz val="12"/>
        <rFont val="Arial"/>
        <family val="2"/>
      </rPr>
      <t>P</t>
    </r>
    <r>
      <rPr>
        <sz val="8"/>
        <rFont val="Arial"/>
        <family val="2"/>
      </rPr>
      <t>d</t>
    </r>
    <r>
      <rPr>
        <sz val="12"/>
        <rFont val="Arial"/>
        <family val="2"/>
      </rPr>
      <t>=K</t>
    </r>
    <r>
      <rPr>
        <vertAlign val="subscript"/>
        <sz val="12"/>
        <rFont val="Arial"/>
        <family val="2"/>
      </rPr>
      <t>A*</t>
    </r>
    <r>
      <rPr>
        <sz val="12"/>
        <rFont val="Arial"/>
        <family val="2"/>
      </rPr>
      <t>P</t>
    </r>
  </si>
  <si>
    <r>
      <rPr>
        <sz val="12"/>
        <rFont val="Arial"/>
        <family val="2"/>
      </rPr>
      <t>K</t>
    </r>
    <r>
      <rPr>
        <sz val="8"/>
        <rFont val="Arial"/>
        <family val="2"/>
      </rPr>
      <t>z'</t>
    </r>
  </si>
  <si>
    <r>
      <rPr>
        <sz val="12"/>
        <rFont val="楷体_GB2312"/>
        <charset val="134"/>
      </rPr>
      <t>链轮齿数系数</t>
    </r>
  </si>
  <si>
    <r>
      <rPr>
        <sz val="12"/>
        <rFont val="楷体_GB2312"/>
        <charset val="134"/>
      </rPr>
      <t>机械Ⅲ表</t>
    </r>
    <r>
      <rPr>
        <sz val="12"/>
        <rFont val="Arial"/>
        <family val="2"/>
      </rPr>
      <t>13-2-4</t>
    </r>
  </si>
  <si>
    <r>
      <rPr>
        <sz val="12"/>
        <rFont val="Arial"/>
        <family val="2"/>
      </rPr>
      <t>K</t>
    </r>
    <r>
      <rPr>
        <sz val="8"/>
        <rFont val="Arial"/>
        <family val="2"/>
      </rPr>
      <t>p</t>
    </r>
  </si>
  <si>
    <r>
      <rPr>
        <sz val="12"/>
        <rFont val="楷体_GB2312"/>
        <charset val="134"/>
      </rPr>
      <t>排数系数</t>
    </r>
  </si>
  <si>
    <r>
      <rPr>
        <sz val="12"/>
        <rFont val="楷体_GB2312"/>
        <charset val="134"/>
      </rPr>
      <t>机械Ⅲ表</t>
    </r>
    <r>
      <rPr>
        <sz val="12"/>
        <rFont val="Arial"/>
        <family val="2"/>
      </rPr>
      <t>13-2-5</t>
    </r>
  </si>
  <si>
    <t>二</t>
  </si>
  <si>
    <t>计算</t>
  </si>
  <si>
    <r>
      <rPr>
        <sz val="12"/>
        <rFont val="Arial"/>
        <family val="2"/>
      </rPr>
      <t>P</t>
    </r>
    <r>
      <rPr>
        <sz val="8"/>
        <rFont val="Arial"/>
        <family val="2"/>
      </rPr>
      <t>o</t>
    </r>
  </si>
  <si>
    <r>
      <rPr>
        <sz val="12"/>
        <rFont val="楷体_GB2312"/>
        <charset val="134"/>
      </rPr>
      <t>单排链功率</t>
    </r>
  </si>
  <si>
    <r>
      <rPr>
        <sz val="12"/>
        <rFont val="Arial"/>
        <family val="2"/>
      </rPr>
      <t>P</t>
    </r>
    <r>
      <rPr>
        <sz val="8"/>
        <rFont val="Arial"/>
        <family val="2"/>
      </rPr>
      <t>o</t>
    </r>
    <r>
      <rPr>
        <sz val="12"/>
        <rFont val="Arial"/>
        <family val="2"/>
      </rPr>
      <t>=P</t>
    </r>
    <r>
      <rPr>
        <sz val="8"/>
        <rFont val="Arial"/>
        <family val="2"/>
      </rPr>
      <t>d</t>
    </r>
    <r>
      <rPr>
        <sz val="12"/>
        <rFont val="Arial"/>
        <family val="2"/>
      </rPr>
      <t>/</t>
    </r>
    <r>
      <rPr>
        <sz val="12"/>
        <rFont val="楷体_GB2312"/>
        <charset val="134"/>
      </rPr>
      <t>（</t>
    </r>
    <r>
      <rPr>
        <sz val="12"/>
        <rFont val="Arial"/>
        <family val="2"/>
      </rPr>
      <t>K</t>
    </r>
    <r>
      <rPr>
        <sz val="8"/>
        <rFont val="Arial"/>
        <family val="2"/>
      </rPr>
      <t>z</t>
    </r>
    <r>
      <rPr>
        <sz val="12"/>
        <rFont val="Arial"/>
        <family val="2"/>
      </rPr>
      <t>*K</t>
    </r>
    <r>
      <rPr>
        <sz val="8"/>
        <rFont val="Arial"/>
        <family val="2"/>
      </rPr>
      <t>p</t>
    </r>
    <r>
      <rPr>
        <sz val="12"/>
        <rFont val="楷体_GB2312"/>
        <charset val="134"/>
      </rPr>
      <t>）</t>
    </r>
  </si>
  <si>
    <r>
      <rPr>
        <sz val="12"/>
        <rFont val="楷体_GB2312"/>
        <charset val="134"/>
      </rPr>
      <t>链条节距</t>
    </r>
  </si>
  <si>
    <r>
      <rPr>
        <sz val="12"/>
        <rFont val="楷体_GB2312"/>
        <charset val="134"/>
      </rPr>
      <t>机械Ⅲ图</t>
    </r>
    <r>
      <rPr>
        <sz val="12"/>
        <rFont val="Arial"/>
        <family val="2"/>
      </rPr>
      <t>13-2-2</t>
    </r>
  </si>
  <si>
    <r>
      <rPr>
        <sz val="12"/>
        <rFont val="Arial"/>
        <family val="2"/>
      </rPr>
      <t>d</t>
    </r>
    <r>
      <rPr>
        <vertAlign val="subscript"/>
        <sz val="12"/>
        <rFont val="Arial"/>
        <family val="2"/>
      </rPr>
      <t>kmax</t>
    </r>
  </si>
  <si>
    <r>
      <rPr>
        <sz val="12"/>
        <rFont val="楷体_GB2312"/>
        <charset val="134"/>
      </rPr>
      <t>链轮轴孔最大许用直径</t>
    </r>
  </si>
  <si>
    <r>
      <rPr>
        <sz val="12"/>
        <rFont val="楷体_GB2312"/>
        <charset val="134"/>
      </rPr>
      <t>机械Ⅲ表</t>
    </r>
    <r>
      <rPr>
        <sz val="12"/>
        <rFont val="Arial"/>
        <family val="2"/>
      </rPr>
      <t>13-2-6</t>
    </r>
  </si>
  <si>
    <r>
      <rPr>
        <sz val="11"/>
        <rFont val="楷体_GB2312"/>
        <charset val="134"/>
      </rPr>
      <t>因不满足结构需要，增大节距和齿数，</t>
    </r>
    <r>
      <rPr>
        <sz val="11"/>
        <rFont val="Arial"/>
        <family val="2"/>
      </rPr>
      <t>p=25.4</t>
    </r>
    <r>
      <rPr>
        <sz val="11"/>
        <rFont val="宋体"/>
        <charset val="134"/>
      </rPr>
      <t>，</t>
    </r>
    <r>
      <rPr>
        <sz val="11"/>
        <rFont val="Arial"/>
        <family val="2"/>
      </rPr>
      <t>Z1=z2=29</t>
    </r>
    <r>
      <rPr>
        <sz val="11"/>
        <rFont val="宋体"/>
        <charset val="134"/>
      </rPr>
      <t>，</t>
    </r>
    <r>
      <rPr>
        <sz val="11"/>
        <rFont val="Arial"/>
        <family val="2"/>
      </rPr>
      <t>dkmax=120mm</t>
    </r>
  </si>
  <si>
    <t>dk</t>
  </si>
  <si>
    <r>
      <rPr>
        <sz val="12"/>
        <rFont val="Arial"/>
        <family val="2"/>
      </rPr>
      <t>dk</t>
    </r>
    <r>
      <rPr>
        <sz val="11"/>
        <color indexed="8"/>
        <rFont val="楷体_GB2312"/>
        <charset val="134"/>
      </rPr>
      <t>≤</t>
    </r>
    <r>
      <rPr>
        <sz val="12"/>
        <rFont val="Arial"/>
        <family val="2"/>
      </rPr>
      <t>dkmax=120</t>
    </r>
  </si>
  <si>
    <r>
      <rPr>
        <sz val="12"/>
        <rFont val="Arial"/>
        <family val="2"/>
      </rPr>
      <t>a</t>
    </r>
    <r>
      <rPr>
        <vertAlign val="subscript"/>
        <sz val="12"/>
        <rFont val="Arial"/>
        <family val="2"/>
      </rPr>
      <t>0</t>
    </r>
  </si>
  <si>
    <t>初定中心距</t>
  </si>
  <si>
    <r>
      <rPr>
        <sz val="12"/>
        <rFont val="Arial"/>
        <family val="2"/>
      </rPr>
      <t>a</t>
    </r>
    <r>
      <rPr>
        <vertAlign val="subscript"/>
        <sz val="12"/>
        <rFont val="Arial"/>
        <family val="2"/>
      </rPr>
      <t>0min=</t>
    </r>
    <r>
      <rPr>
        <sz val="12"/>
        <rFont val="Arial"/>
        <family val="2"/>
      </rPr>
      <t>0.2z</t>
    </r>
    <r>
      <rPr>
        <sz val="8"/>
        <color indexed="8"/>
        <rFont val="Arial"/>
        <family val="2"/>
      </rPr>
      <t>1</t>
    </r>
    <r>
      <rPr>
        <sz val="11"/>
        <color indexed="8"/>
        <rFont val="楷体_GB2312"/>
        <charset val="134"/>
      </rPr>
      <t>（</t>
    </r>
    <r>
      <rPr>
        <sz val="11"/>
        <color indexed="8"/>
        <rFont val="Arial"/>
        <family val="2"/>
      </rPr>
      <t>i+1</t>
    </r>
    <r>
      <rPr>
        <sz val="11"/>
        <color indexed="8"/>
        <rFont val="楷体_GB2312"/>
        <charset val="134"/>
      </rPr>
      <t>）</t>
    </r>
    <r>
      <rPr>
        <sz val="11"/>
        <color indexed="8"/>
        <rFont val="Arial"/>
        <family val="2"/>
      </rPr>
      <t>p</t>
    </r>
  </si>
  <si>
    <r>
      <rPr>
        <sz val="11"/>
        <rFont val="楷体_GB2312"/>
        <charset val="134"/>
      </rPr>
      <t>有张紧装置</t>
    </r>
    <r>
      <rPr>
        <sz val="11"/>
        <rFont val="宋体"/>
        <charset val="134"/>
      </rPr>
      <t>，</t>
    </r>
    <r>
      <rPr>
        <sz val="11"/>
        <rFont val="Arial"/>
        <family val="2"/>
      </rPr>
      <t>a</t>
    </r>
    <r>
      <rPr>
        <sz val="8"/>
        <rFont val="Arial"/>
        <family val="2"/>
      </rPr>
      <t>0</t>
    </r>
    <r>
      <rPr>
        <sz val="11"/>
        <rFont val="Arial"/>
        <family val="2"/>
      </rPr>
      <t xml:space="preserve">max </t>
    </r>
    <r>
      <rPr>
        <sz val="11"/>
        <rFont val="宋体"/>
        <charset val="134"/>
      </rPr>
      <t>＞</t>
    </r>
    <r>
      <rPr>
        <sz val="11"/>
        <rFont val="Arial"/>
        <family val="2"/>
      </rPr>
      <t>80p</t>
    </r>
  </si>
  <si>
    <r>
      <rPr>
        <sz val="12"/>
        <rFont val="楷体_GB2312"/>
        <charset val="134"/>
      </rPr>
      <t>选</t>
    </r>
    <r>
      <rPr>
        <sz val="12"/>
        <rFont val="Arial"/>
        <family val="2"/>
      </rPr>
      <t>a</t>
    </r>
    <r>
      <rPr>
        <vertAlign val="subscript"/>
        <sz val="12"/>
        <rFont val="Arial"/>
        <family val="2"/>
      </rPr>
      <t>0</t>
    </r>
  </si>
  <si>
    <r>
      <rPr>
        <sz val="12"/>
        <rFont val="Arial"/>
        <family val="2"/>
      </rPr>
      <t>a</t>
    </r>
    <r>
      <rPr>
        <vertAlign val="subscript"/>
        <sz val="12"/>
        <rFont val="Arial"/>
        <family val="2"/>
      </rPr>
      <t>0p</t>
    </r>
  </si>
  <si>
    <r>
      <rPr>
        <sz val="12"/>
        <rFont val="楷体_GB2312"/>
        <charset val="134"/>
      </rPr>
      <t>以节距计的初定中心距</t>
    </r>
  </si>
  <si>
    <r>
      <rPr>
        <sz val="12"/>
        <rFont val="Arial"/>
        <family val="2"/>
      </rPr>
      <t>a</t>
    </r>
    <r>
      <rPr>
        <vertAlign val="subscript"/>
        <sz val="12"/>
        <rFont val="Arial"/>
        <family val="2"/>
      </rPr>
      <t>0p=</t>
    </r>
    <r>
      <rPr>
        <sz val="12"/>
        <rFont val="Arial"/>
        <family val="2"/>
      </rPr>
      <t>a</t>
    </r>
    <r>
      <rPr>
        <vertAlign val="subscript"/>
        <sz val="12"/>
        <rFont val="Arial"/>
        <family val="2"/>
      </rPr>
      <t>0/</t>
    </r>
    <r>
      <rPr>
        <sz val="12"/>
        <rFont val="Arial"/>
        <family val="2"/>
      </rPr>
      <t>p</t>
    </r>
  </si>
  <si>
    <r>
      <rPr>
        <sz val="12"/>
        <rFont val="楷体_GB2312"/>
        <charset val="134"/>
      </rPr>
      <t>机械Ⅲ表</t>
    </r>
    <r>
      <rPr>
        <sz val="12"/>
        <rFont val="Arial"/>
        <family val="2"/>
      </rPr>
      <t>13-2-7</t>
    </r>
  </si>
  <si>
    <r>
      <rPr>
        <sz val="12"/>
        <rFont val="Arial"/>
        <family val="2"/>
      </rPr>
      <t>L</t>
    </r>
    <r>
      <rPr>
        <vertAlign val="subscript"/>
        <sz val="12"/>
        <rFont val="Arial"/>
        <family val="2"/>
      </rPr>
      <t>p</t>
    </r>
  </si>
  <si>
    <r>
      <rPr>
        <sz val="12"/>
        <rFont val="楷体_GB2312"/>
        <charset val="134"/>
      </rPr>
      <t>链条节数</t>
    </r>
  </si>
  <si>
    <r>
      <rPr>
        <sz val="12"/>
        <rFont val="Arial"/>
        <family val="2"/>
      </rPr>
      <t>L</t>
    </r>
    <r>
      <rPr>
        <vertAlign val="subscript"/>
        <sz val="12"/>
        <rFont val="Arial"/>
        <family val="2"/>
      </rPr>
      <t>p</t>
    </r>
    <r>
      <rPr>
        <sz val="11"/>
        <color indexed="8"/>
        <rFont val="Arial"/>
        <family val="2"/>
      </rPr>
      <t>=</t>
    </r>
    <r>
      <rPr>
        <sz val="11"/>
        <color indexed="8"/>
        <rFont val="楷体_GB2312"/>
        <charset val="134"/>
      </rPr>
      <t>（</t>
    </r>
    <r>
      <rPr>
        <sz val="11"/>
        <color indexed="8"/>
        <rFont val="Arial"/>
        <family val="2"/>
      </rPr>
      <t>z1+z2</t>
    </r>
    <r>
      <rPr>
        <sz val="11"/>
        <color indexed="8"/>
        <rFont val="楷体_GB2312"/>
        <charset val="134"/>
      </rPr>
      <t>）</t>
    </r>
    <r>
      <rPr>
        <sz val="11"/>
        <color indexed="8"/>
        <rFont val="Arial"/>
        <family val="2"/>
      </rPr>
      <t>/2+2a</t>
    </r>
    <r>
      <rPr>
        <vertAlign val="subscript"/>
        <sz val="12"/>
        <rFont val="Arial"/>
        <family val="2"/>
      </rPr>
      <t>0p</t>
    </r>
    <r>
      <rPr>
        <sz val="11"/>
        <color indexed="8"/>
        <rFont val="Arial"/>
        <family val="2"/>
      </rPr>
      <t>+k/a0p</t>
    </r>
  </si>
  <si>
    <r>
      <rPr>
        <sz val="12"/>
        <rFont val="楷体_GB2312"/>
        <charset val="134"/>
      </rPr>
      <t>节</t>
    </r>
  </si>
  <si>
    <r>
      <rPr>
        <sz val="12"/>
        <rFont val="楷体_GB2312"/>
        <charset val="134"/>
      </rPr>
      <t>链条长度</t>
    </r>
  </si>
  <si>
    <r>
      <rPr>
        <sz val="12"/>
        <rFont val="Arial"/>
        <family val="2"/>
      </rPr>
      <t>L=L</t>
    </r>
    <r>
      <rPr>
        <vertAlign val="subscript"/>
        <sz val="12"/>
        <rFont val="Arial"/>
        <family val="2"/>
      </rPr>
      <t>p</t>
    </r>
    <r>
      <rPr>
        <sz val="11"/>
        <color indexed="8"/>
        <rFont val="Arial"/>
        <family val="2"/>
      </rPr>
      <t>*p/1000</t>
    </r>
  </si>
  <si>
    <r>
      <rPr>
        <sz val="12"/>
        <rFont val="Arial"/>
        <family val="2"/>
      </rPr>
      <t>k</t>
    </r>
    <r>
      <rPr>
        <vertAlign val="subscript"/>
        <sz val="12"/>
        <rFont val="Arial"/>
        <family val="2"/>
      </rPr>
      <t>a</t>
    </r>
  </si>
  <si>
    <r>
      <rPr>
        <sz val="12"/>
        <rFont val="楷体_GB2312"/>
        <charset val="134"/>
      </rPr>
      <t>机械Ⅲ表</t>
    </r>
    <r>
      <rPr>
        <sz val="12"/>
        <rFont val="Arial"/>
        <family val="2"/>
      </rPr>
      <t>13-2-8</t>
    </r>
  </si>
  <si>
    <r>
      <rPr>
        <sz val="12"/>
        <rFont val="Arial"/>
        <family val="2"/>
      </rPr>
      <t>a</t>
    </r>
    <r>
      <rPr>
        <vertAlign val="subscript"/>
        <sz val="12"/>
        <rFont val="Arial"/>
        <family val="2"/>
      </rPr>
      <t>c</t>
    </r>
  </si>
  <si>
    <r>
      <rPr>
        <sz val="12"/>
        <rFont val="楷体_GB2312"/>
        <charset val="134"/>
      </rPr>
      <t>计算中心距</t>
    </r>
  </si>
  <si>
    <r>
      <rPr>
        <sz val="12"/>
        <rFont val="Arial"/>
        <family val="2"/>
      </rPr>
      <t>a</t>
    </r>
    <r>
      <rPr>
        <vertAlign val="subscript"/>
        <sz val="12"/>
        <rFont val="Arial"/>
        <family val="2"/>
      </rPr>
      <t>c</t>
    </r>
    <r>
      <rPr>
        <sz val="12"/>
        <rFont val="Arial"/>
        <family val="2"/>
      </rPr>
      <t>=</t>
    </r>
    <r>
      <rPr>
        <sz val="11"/>
        <color indexed="8"/>
        <rFont val="Arial"/>
        <family val="2"/>
      </rPr>
      <t>p</t>
    </r>
    <r>
      <rPr>
        <sz val="11"/>
        <color indexed="8"/>
        <rFont val="楷体_GB2312"/>
        <charset val="134"/>
      </rPr>
      <t>（</t>
    </r>
    <r>
      <rPr>
        <sz val="11"/>
        <color indexed="8"/>
        <rFont val="Arial"/>
        <family val="2"/>
      </rPr>
      <t>2L</t>
    </r>
    <r>
      <rPr>
        <vertAlign val="subscript"/>
        <sz val="12"/>
        <rFont val="Arial"/>
        <family val="2"/>
      </rPr>
      <t>p</t>
    </r>
    <r>
      <rPr>
        <sz val="12"/>
        <rFont val="Arial"/>
        <family val="2"/>
      </rPr>
      <t>-</t>
    </r>
    <r>
      <rPr>
        <sz val="11"/>
        <color indexed="8"/>
        <rFont val="Arial"/>
        <family val="2"/>
      </rPr>
      <t>z1-z2</t>
    </r>
    <r>
      <rPr>
        <sz val="11"/>
        <color indexed="8"/>
        <rFont val="楷体_GB2312"/>
        <charset val="134"/>
      </rPr>
      <t>）</t>
    </r>
    <r>
      <rPr>
        <sz val="11"/>
        <color indexed="8"/>
        <rFont val="Arial"/>
        <family val="2"/>
      </rPr>
      <t>*k</t>
    </r>
    <r>
      <rPr>
        <vertAlign val="subscript"/>
        <sz val="12"/>
        <rFont val="Arial"/>
        <family val="2"/>
      </rPr>
      <t>a</t>
    </r>
  </si>
  <si>
    <r>
      <rPr>
        <sz val="12"/>
        <rFont val="楷体_GB2312"/>
        <charset val="134"/>
      </rPr>
      <t>△</t>
    </r>
    <r>
      <rPr>
        <sz val="12"/>
        <rFont val="Arial"/>
        <family val="2"/>
      </rPr>
      <t>a</t>
    </r>
  </si>
  <si>
    <r>
      <rPr>
        <sz val="12"/>
        <rFont val="Arial"/>
        <family val="2"/>
      </rPr>
      <t>0.002*a</t>
    </r>
    <r>
      <rPr>
        <vertAlign val="subscript"/>
        <sz val="12"/>
        <rFont val="Arial"/>
        <family val="2"/>
      </rPr>
      <t>c</t>
    </r>
  </si>
  <si>
    <r>
      <rPr>
        <sz val="12"/>
        <rFont val="楷体_GB2312"/>
        <charset val="134"/>
      </rPr>
      <t>实际中心距</t>
    </r>
  </si>
  <si>
    <r>
      <rPr>
        <sz val="12"/>
        <rFont val="Arial"/>
        <family val="2"/>
      </rPr>
      <t>a=a</t>
    </r>
    <r>
      <rPr>
        <vertAlign val="subscript"/>
        <sz val="12"/>
        <rFont val="Arial"/>
        <family val="2"/>
      </rPr>
      <t>c-</t>
    </r>
    <r>
      <rPr>
        <sz val="12"/>
        <rFont val="楷体_GB2312"/>
        <charset val="134"/>
      </rPr>
      <t>△</t>
    </r>
    <r>
      <rPr>
        <sz val="12"/>
        <rFont val="Arial"/>
        <family val="2"/>
      </rPr>
      <t>a</t>
    </r>
  </si>
  <si>
    <r>
      <rPr>
        <sz val="12"/>
        <rFont val="楷体_GB2312"/>
        <charset val="134"/>
      </rPr>
      <t>链条速度</t>
    </r>
  </si>
  <si>
    <t>v=z1n1p/60*1000</t>
  </si>
  <si>
    <t>Ft</t>
  </si>
  <si>
    <r>
      <rPr>
        <sz val="12"/>
        <rFont val="楷体_GB2312"/>
        <charset val="134"/>
      </rPr>
      <t>有效圆周力</t>
    </r>
  </si>
  <si>
    <t>Ft=1000P/v</t>
  </si>
  <si>
    <r>
      <rPr>
        <sz val="12"/>
        <rFont val="楷体_GB2312"/>
        <charset val="134"/>
      </rPr>
      <t>序号</t>
    </r>
  </si>
  <si>
    <r>
      <rPr>
        <sz val="12"/>
        <rFont val="楷体_GB2312"/>
        <charset val="134"/>
      </rPr>
      <t>代号</t>
    </r>
  </si>
  <si>
    <r>
      <rPr>
        <sz val="12"/>
        <rFont val="楷体_GB2312"/>
        <charset val="134"/>
      </rPr>
      <t>定义</t>
    </r>
  </si>
  <si>
    <r>
      <rPr>
        <sz val="12"/>
        <rFont val="楷体_GB2312"/>
        <charset val="134"/>
      </rPr>
      <t>备注</t>
    </r>
  </si>
  <si>
    <r>
      <rPr>
        <sz val="12"/>
        <rFont val="楷体_GB2312"/>
        <charset val="134"/>
      </rPr>
      <t>结果</t>
    </r>
  </si>
  <si>
    <r>
      <rPr>
        <sz val="12"/>
        <rFont val="楷体_GB2312"/>
        <charset val="134"/>
      </rPr>
      <t>单位</t>
    </r>
  </si>
  <si>
    <r>
      <rPr>
        <b/>
        <sz val="12"/>
        <rFont val="楷体_GB2312"/>
        <charset val="134"/>
      </rPr>
      <t>一</t>
    </r>
  </si>
  <si>
    <r>
      <rPr>
        <b/>
        <sz val="12"/>
        <rFont val="楷体_GB2312"/>
        <charset val="134"/>
      </rPr>
      <t>焊缝计算</t>
    </r>
    <r>
      <rPr>
        <b/>
        <sz val="12"/>
        <rFont val="Arial"/>
        <family val="2"/>
      </rPr>
      <t>(</t>
    </r>
    <r>
      <rPr>
        <b/>
        <sz val="12"/>
        <rFont val="楷体_GB2312"/>
        <charset val="134"/>
      </rPr>
      <t>已知条件</t>
    </r>
    <r>
      <rPr>
        <b/>
        <sz val="12"/>
        <rFont val="Arial"/>
        <family val="2"/>
      </rPr>
      <t>)</t>
    </r>
  </si>
  <si>
    <r>
      <rPr>
        <sz val="12"/>
        <rFont val="楷体_GB2312"/>
        <charset val="134"/>
      </rPr>
      <t>扭矩</t>
    </r>
  </si>
  <si>
    <r>
      <rPr>
        <sz val="12"/>
        <rFont val="楷体_GB2312"/>
        <charset val="134"/>
      </rPr>
      <t>轴径</t>
    </r>
  </si>
  <si>
    <r>
      <rPr>
        <sz val="12"/>
        <rFont val="楷体_GB2312"/>
        <charset val="134"/>
      </rPr>
      <t>焊缝高度</t>
    </r>
  </si>
  <si>
    <t>a=0.7k</t>
  </si>
  <si>
    <r>
      <rPr>
        <b/>
        <sz val="12"/>
        <rFont val="楷体_GB2312"/>
        <charset val="134"/>
      </rPr>
      <t>计算受力</t>
    </r>
  </si>
  <si>
    <r>
      <rPr>
        <sz val="12"/>
        <rFont val="楷体_GB2312"/>
        <charset val="134"/>
      </rPr>
      <t>剪切力</t>
    </r>
    <r>
      <rPr>
        <sz val="12"/>
        <rFont val="Arial"/>
        <family val="2"/>
      </rPr>
      <t>(</t>
    </r>
    <r>
      <rPr>
        <sz val="12"/>
        <rFont val="楷体_GB2312"/>
        <charset val="134"/>
      </rPr>
      <t>双面焊缝</t>
    </r>
    <r>
      <rPr>
        <sz val="12"/>
        <rFont val="Arial"/>
        <family val="2"/>
      </rPr>
      <t>)</t>
    </r>
  </si>
  <si>
    <t>τ=2*M*(R+a)/2π((R+a)4-R4))</t>
  </si>
  <si>
    <t>τp</t>
  </si>
  <si>
    <r>
      <rPr>
        <sz val="12"/>
        <rFont val="Arial"/>
        <family val="2"/>
      </rPr>
      <t>τ</t>
    </r>
    <r>
      <rPr>
        <sz val="12"/>
        <rFont val="楷体_GB2312"/>
        <charset val="134"/>
      </rPr>
      <t>＜</t>
    </r>
    <r>
      <rPr>
        <sz val="12"/>
        <rFont val="Arial"/>
        <family val="2"/>
      </rPr>
      <t>τp,</t>
    </r>
    <r>
      <rPr>
        <sz val="12"/>
        <rFont val="楷体_GB2312"/>
        <charset val="134"/>
      </rPr>
      <t>强度满足要求</t>
    </r>
  </si>
  <si>
    <r>
      <rPr>
        <b/>
        <sz val="12"/>
        <rFont val="楷体_GB2312"/>
        <charset val="134"/>
      </rPr>
      <t>二</t>
    </r>
  </si>
  <si>
    <r>
      <rPr>
        <b/>
        <sz val="12"/>
        <rFont val="楷体_GB2312"/>
        <charset val="134"/>
      </rPr>
      <t>键计算</t>
    </r>
    <r>
      <rPr>
        <b/>
        <sz val="12"/>
        <rFont val="Arial"/>
        <family val="2"/>
      </rPr>
      <t>(</t>
    </r>
    <r>
      <rPr>
        <b/>
        <sz val="12"/>
        <rFont val="楷体_GB2312"/>
        <charset val="134"/>
      </rPr>
      <t>已知条件</t>
    </r>
    <r>
      <rPr>
        <b/>
        <sz val="12"/>
        <rFont val="Arial"/>
        <family val="2"/>
      </rPr>
      <t>)</t>
    </r>
  </si>
  <si>
    <r>
      <rPr>
        <sz val="12"/>
        <rFont val="楷体_GB2312"/>
        <charset val="134"/>
      </rPr>
      <t>键宽</t>
    </r>
  </si>
  <si>
    <r>
      <rPr>
        <sz val="12"/>
        <rFont val="楷体_GB2312"/>
        <charset val="134"/>
      </rPr>
      <t>键长</t>
    </r>
  </si>
  <si>
    <r>
      <rPr>
        <sz val="12"/>
        <rFont val="楷体_GB2312"/>
        <charset val="134"/>
      </rPr>
      <t>剪切力</t>
    </r>
  </si>
  <si>
    <t>τ=2*T/DbL</t>
  </si>
  <si>
    <r>
      <rPr>
        <sz val="12"/>
        <rFont val="楷体_GB2312"/>
        <charset val="134"/>
      </rPr>
      <t>三</t>
    </r>
  </si>
  <si>
    <r>
      <rPr>
        <b/>
        <sz val="12"/>
        <rFont val="楷体_GB2312"/>
        <charset val="134"/>
      </rPr>
      <t>结论</t>
    </r>
  </si>
  <si>
    <r>
      <rPr>
        <sz val="12"/>
        <rFont val="楷体_GB2312"/>
        <charset val="134"/>
      </rPr>
      <t>轴头采用焊缝联结和键联结均能满足要求</t>
    </r>
    <r>
      <rPr>
        <sz val="12"/>
        <rFont val="Arial"/>
        <family val="2"/>
      </rPr>
      <t>,</t>
    </r>
    <r>
      <rPr>
        <sz val="12"/>
        <rFont val="楷体_GB2312"/>
        <charset val="134"/>
      </rPr>
      <t>但根据计算数据</t>
    </r>
    <r>
      <rPr>
        <sz val="12"/>
        <rFont val="Arial"/>
        <family val="2"/>
      </rPr>
      <t>,</t>
    </r>
    <r>
      <rPr>
        <sz val="12"/>
        <rFont val="楷体_GB2312"/>
        <charset val="134"/>
      </rPr>
      <t>通过比较</t>
    </r>
    <r>
      <rPr>
        <sz val="12"/>
        <rFont val="Arial"/>
        <family val="2"/>
      </rPr>
      <t>,</t>
    </r>
    <r>
      <rPr>
        <sz val="12"/>
        <rFont val="楷体_GB2312"/>
        <charset val="134"/>
      </rPr>
      <t>焊缝联结更为可靠</t>
    </r>
    <r>
      <rPr>
        <sz val="12"/>
        <rFont val="Arial"/>
        <family val="2"/>
      </rPr>
      <t>.</t>
    </r>
  </si>
  <si>
    <r>
      <rPr>
        <b/>
        <sz val="12"/>
        <rFont val="楷体_GB2312"/>
        <charset val="134"/>
      </rPr>
      <t>序号</t>
    </r>
  </si>
  <si>
    <r>
      <rPr>
        <b/>
        <sz val="12"/>
        <rFont val="楷体_GB2312"/>
        <charset val="134"/>
      </rPr>
      <t>代号</t>
    </r>
  </si>
  <si>
    <r>
      <rPr>
        <b/>
        <sz val="12"/>
        <rFont val="楷体_GB2312"/>
        <charset val="134"/>
      </rPr>
      <t>定义</t>
    </r>
  </si>
  <si>
    <t>圆柱销（平面）</t>
  </si>
  <si>
    <r>
      <rPr>
        <sz val="12"/>
        <rFont val="楷体_GB2312"/>
        <charset val="134"/>
      </rPr>
      <t>机械Ⅱ表</t>
    </r>
    <r>
      <rPr>
        <sz val="12"/>
        <rFont val="Arial"/>
        <family val="2"/>
      </rPr>
      <t>5-3-2</t>
    </r>
    <r>
      <rPr>
        <sz val="12"/>
        <rFont val="楷体_GB2312"/>
        <charset val="134"/>
      </rPr>
      <t>（第一种）</t>
    </r>
  </si>
  <si>
    <t>横向力</t>
  </si>
  <si>
    <t>销的直径</t>
  </si>
  <si>
    <t>销的数量</t>
  </si>
  <si>
    <t>个</t>
  </si>
  <si>
    <t>剪切力</t>
  </si>
  <si>
    <r>
      <rPr>
        <sz val="12"/>
        <rFont val="Arial"/>
        <family val="2"/>
      </rPr>
      <t>τ=4F/πd</t>
    </r>
    <r>
      <rPr>
        <vertAlign val="superscript"/>
        <sz val="12"/>
        <rFont val="Arial"/>
        <family val="2"/>
      </rPr>
      <t>2</t>
    </r>
    <r>
      <rPr>
        <sz val="12"/>
        <rFont val="Arial"/>
        <family val="2"/>
      </rPr>
      <t>Z</t>
    </r>
  </si>
  <si>
    <r>
      <rPr>
        <sz val="12"/>
        <rFont val="Arial"/>
        <family val="2"/>
      </rPr>
      <t>Τ</t>
    </r>
    <r>
      <rPr>
        <sz val="8"/>
        <rFont val="Arial"/>
        <family val="2"/>
      </rPr>
      <t>p</t>
    </r>
  </si>
  <si>
    <t>许用剪切力</t>
  </si>
  <si>
    <r>
      <rPr>
        <sz val="12"/>
        <rFont val="楷体_GB2312"/>
        <charset val="134"/>
      </rPr>
      <t xml:space="preserve">根据销的材料查表对于销的常用材料可取 </t>
    </r>
    <r>
      <rPr>
        <sz val="12"/>
        <rFont val="Arial"/>
        <family val="2"/>
      </rPr>
      <t>Τp=80MPa</t>
    </r>
  </si>
  <si>
    <t>结论</t>
  </si>
  <si>
    <r>
      <rPr>
        <sz val="12"/>
        <rFont val="Arial"/>
        <family val="2"/>
      </rPr>
      <t>Τ</t>
    </r>
    <r>
      <rPr>
        <sz val="12"/>
        <rFont val="宋体"/>
        <charset val="134"/>
      </rPr>
      <t>＜</t>
    </r>
    <r>
      <rPr>
        <sz val="12"/>
        <rFont val="Arial"/>
        <family val="2"/>
      </rPr>
      <t>Τ</t>
    </r>
    <r>
      <rPr>
        <sz val="8"/>
        <rFont val="Arial"/>
        <family val="2"/>
      </rPr>
      <t>p</t>
    </r>
  </si>
  <si>
    <t>圆柱销（圆周）</t>
  </si>
  <si>
    <r>
      <rPr>
        <sz val="12"/>
        <rFont val="楷体_GB2312"/>
        <charset val="134"/>
      </rPr>
      <t>机械Ⅱ表</t>
    </r>
    <r>
      <rPr>
        <sz val="12"/>
        <rFont val="Arial"/>
        <family val="2"/>
      </rPr>
      <t>5-3-2</t>
    </r>
    <r>
      <rPr>
        <sz val="12"/>
        <rFont val="楷体_GB2312"/>
        <charset val="134"/>
      </rPr>
      <t>（第二种）</t>
    </r>
  </si>
  <si>
    <t>转矩</t>
  </si>
  <si>
    <t>N·mm</t>
  </si>
  <si>
    <t>轴的直径</t>
  </si>
  <si>
    <t>销的长度</t>
  </si>
  <si>
    <r>
      <rPr>
        <sz val="12"/>
        <rFont val="Arial"/>
        <family val="2"/>
      </rPr>
      <t>σ</t>
    </r>
    <r>
      <rPr>
        <sz val="8"/>
        <rFont val="Arial"/>
        <family val="2"/>
      </rPr>
      <t>p</t>
    </r>
  </si>
  <si>
    <t>挤压力</t>
  </si>
  <si>
    <r>
      <rPr>
        <sz val="12"/>
        <rFont val="Arial"/>
        <family val="2"/>
      </rPr>
      <t>σ</t>
    </r>
    <r>
      <rPr>
        <sz val="8"/>
        <rFont val="Arial"/>
        <family val="2"/>
      </rPr>
      <t>p</t>
    </r>
    <r>
      <rPr>
        <sz val="12"/>
        <rFont val="Arial"/>
        <family val="2"/>
      </rPr>
      <t>=4T/DdL</t>
    </r>
  </si>
  <si>
    <r>
      <rPr>
        <sz val="12"/>
        <rFont val="Arial"/>
        <family val="2"/>
      </rPr>
      <t>σ</t>
    </r>
    <r>
      <rPr>
        <sz val="8"/>
        <rFont val="Arial"/>
        <family val="2"/>
      </rPr>
      <t>pp</t>
    </r>
  </si>
  <si>
    <t>许用挤压力</t>
  </si>
  <si>
    <r>
      <rPr>
        <sz val="12"/>
        <rFont val="楷体_GB2312"/>
        <charset val="134"/>
      </rPr>
      <t>机械Ⅱ表</t>
    </r>
    <r>
      <rPr>
        <sz val="12"/>
        <rFont val="Arial"/>
        <family val="2"/>
      </rPr>
      <t>5-3-17</t>
    </r>
  </si>
  <si>
    <t>τ=2T/DdL</t>
  </si>
  <si>
    <r>
      <rPr>
        <sz val="12"/>
        <rFont val="Arial"/>
        <family val="2"/>
      </rPr>
      <t>σ</t>
    </r>
    <r>
      <rPr>
        <sz val="8"/>
        <rFont val="Arial"/>
        <family val="2"/>
      </rPr>
      <t>p</t>
    </r>
    <r>
      <rPr>
        <sz val="12"/>
        <rFont val="宋体"/>
        <charset val="134"/>
      </rPr>
      <t>＜</t>
    </r>
    <r>
      <rPr>
        <sz val="12"/>
        <rFont val="Arial"/>
        <family val="2"/>
      </rPr>
      <t>σ</t>
    </r>
    <r>
      <rPr>
        <sz val="8"/>
        <rFont val="Arial"/>
        <family val="2"/>
      </rPr>
      <t>pp</t>
    </r>
  </si>
  <si>
    <r>
      <rPr>
        <sz val="12"/>
        <rFont val="楷体_GB2312"/>
        <charset val="134"/>
      </rPr>
      <t>转矩</t>
    </r>
  </si>
  <si>
    <r>
      <rPr>
        <sz val="12"/>
        <rFont val="楷体_GB2312"/>
        <charset val="134"/>
      </rPr>
      <t>键的长度</t>
    </r>
  </si>
  <si>
    <r>
      <rPr>
        <sz val="12"/>
        <rFont val="楷体_GB2312"/>
        <charset val="134"/>
      </rPr>
      <t>键的宽度</t>
    </r>
  </si>
  <si>
    <t>l</t>
  </si>
  <si>
    <r>
      <rPr>
        <sz val="12"/>
        <rFont val="楷体_GB2312"/>
        <charset val="134"/>
      </rPr>
      <t>键的工作长度</t>
    </r>
  </si>
  <si>
    <t>l=L-b</t>
  </si>
  <si>
    <r>
      <rPr>
        <sz val="12"/>
        <rFont val="楷体_GB2312"/>
        <charset val="134"/>
      </rPr>
      <t>轴的直径</t>
    </r>
  </si>
  <si>
    <r>
      <rPr>
        <sz val="12"/>
        <rFont val="楷体_GB2312"/>
        <charset val="134"/>
      </rPr>
      <t>键的高度</t>
    </r>
  </si>
  <si>
    <r>
      <rPr>
        <sz val="12"/>
        <rFont val="楷体_GB2312"/>
        <charset val="134"/>
      </rPr>
      <t>键与轮毂的接触高度</t>
    </r>
  </si>
  <si>
    <t>k=h/2</t>
  </si>
  <si>
    <r>
      <rPr>
        <sz val="12"/>
        <rFont val="Arial"/>
        <family val="2"/>
      </rPr>
      <t>P</t>
    </r>
    <r>
      <rPr>
        <vertAlign val="subscript"/>
        <sz val="12"/>
        <rFont val="Arial"/>
        <family val="2"/>
      </rPr>
      <t>pp</t>
    </r>
  </si>
  <si>
    <r>
      <rPr>
        <sz val="12"/>
        <rFont val="楷体_GB2312"/>
        <charset val="134"/>
      </rPr>
      <t>键连接的许用挤压压强</t>
    </r>
  </si>
  <si>
    <r>
      <rPr>
        <sz val="12"/>
        <rFont val="楷体_GB2312"/>
        <charset val="134"/>
      </rPr>
      <t>键连接的许用剪切应力</t>
    </r>
  </si>
  <si>
    <r>
      <rPr>
        <sz val="12"/>
        <rFont val="楷体_GB2312"/>
        <charset val="134"/>
      </rPr>
      <t>工作面的挤压</t>
    </r>
  </si>
  <si>
    <t>P=2T/Dkl</t>
  </si>
  <si>
    <r>
      <rPr>
        <sz val="12"/>
        <rFont val="楷体_GB2312"/>
        <charset val="134"/>
      </rPr>
      <t>键的剪切应力</t>
    </r>
  </si>
  <si>
    <t>τ=2T/Dbl</t>
  </si>
  <si>
    <r>
      <rPr>
        <sz val="12"/>
        <rFont val="Arial"/>
        <family val="2"/>
      </rPr>
      <t>P</t>
    </r>
    <r>
      <rPr>
        <sz val="12"/>
        <color indexed="8"/>
        <rFont val="楷体_GB2312"/>
        <charset val="134"/>
      </rPr>
      <t>＜</t>
    </r>
    <r>
      <rPr>
        <sz val="12"/>
        <rFont val="Arial"/>
        <family val="2"/>
      </rPr>
      <t>P</t>
    </r>
    <r>
      <rPr>
        <vertAlign val="subscript"/>
        <sz val="12"/>
        <rFont val="Arial"/>
        <family val="2"/>
      </rPr>
      <t>pp</t>
    </r>
  </si>
  <si>
    <r>
      <rPr>
        <sz val="12"/>
        <rFont val="Arial"/>
        <family val="2"/>
      </rPr>
      <t>τ</t>
    </r>
    <r>
      <rPr>
        <sz val="12"/>
        <rFont val="楷体_GB2312"/>
        <charset val="134"/>
      </rPr>
      <t>＜</t>
    </r>
    <r>
      <rPr>
        <sz val="12"/>
        <rFont val="Arial"/>
        <family val="2"/>
      </rPr>
      <t>τp</t>
    </r>
  </si>
  <si>
    <t>同步带节线长计算</t>
  </si>
  <si>
    <t>规格</t>
  </si>
  <si>
    <t>节距(mm)</t>
  </si>
  <si>
    <t>主动轮齿数</t>
  </si>
  <si>
    <t>从动轮齿数</t>
  </si>
  <si>
    <t>设计中心距(mm)</t>
  </si>
  <si>
    <t>节线长计算结果(mm)</t>
  </si>
  <si>
    <t>计算齿数</t>
  </si>
  <si>
    <t>实际齿数</t>
  </si>
  <si>
    <t>建议中心距(mm)</t>
  </si>
  <si>
    <t>参考齿数</t>
  </si>
  <si>
    <t>MXL</t>
  </si>
  <si>
    <t>XL</t>
  </si>
  <si>
    <t>XH</t>
  </si>
  <si>
    <t>XXH</t>
  </si>
  <si>
    <t>3M</t>
  </si>
  <si>
    <t>5M</t>
  </si>
  <si>
    <t>8M</t>
  </si>
  <si>
    <t>同步带轮参数</t>
  </si>
  <si>
    <t>齿数</t>
  </si>
  <si>
    <t>节径d</t>
  </si>
  <si>
    <t>外径do</t>
  </si>
  <si>
    <t>-3M</t>
  </si>
  <si>
    <t>-5M</t>
  </si>
  <si>
    <t>-8M</t>
  </si>
  <si>
    <t>同步带参数</t>
  </si>
  <si>
    <t>齿型代号</t>
  </si>
  <si>
    <t>节线长(mm)</t>
  </si>
  <si>
    <t>齿高(mm)</t>
  </si>
  <si>
    <t>带厚(mm)</t>
  </si>
  <si>
    <t>角度β°</t>
  </si>
  <si>
    <t>只需要更改红色的数字即可得出您想要的结果</t>
  </si>
  <si>
    <t>分割器选型计算（适用于间歇回转转盘运动）</t>
  </si>
  <si>
    <t>每分割定位时间(t1)</t>
  </si>
  <si>
    <t>每分割驱动时间(t2)</t>
  </si>
  <si>
    <t>入力轴回转数(n )</t>
  </si>
  <si>
    <t>回转盘直径(D)</t>
  </si>
  <si>
    <t>回转盘厚度(T)</t>
  </si>
  <si>
    <t>材质比重(M)</t>
  </si>
  <si>
    <t>kg / m^3</t>
  </si>
  <si>
    <t>工件重量(M1)</t>
  </si>
  <si>
    <t xml:space="preserve">kg/组  </t>
  </si>
  <si>
    <t>夹具重量(M2)</t>
  </si>
  <si>
    <t>转盘底部加支撑时，接触点到转盘中心的有效半径( r )</t>
  </si>
  <si>
    <t>电机效率z</t>
  </si>
  <si>
    <t xml:space="preserve">安全系数fe </t>
  </si>
  <si>
    <t>要求高精度时，可修改为2~3；</t>
  </si>
  <si>
    <t>凸轮转位角度【驱动角】(Qh)</t>
  </si>
  <si>
    <t>驱动角=360°×（驱动时间）/（驱动时间+定位时间）</t>
  </si>
  <si>
    <t>(M.S.),因此:</t>
  </si>
  <si>
    <t>最大非向性速度……....(Vm)</t>
  </si>
  <si>
    <t>最大非向性加速度…....(Am)</t>
  </si>
  <si>
    <t>凸轮最大扭力系数…....(Qm)</t>
  </si>
  <si>
    <t>以下为自动计算过程：</t>
  </si>
  <si>
    <t>质量计算</t>
  </si>
  <si>
    <t>圆盘重量(W1)</t>
  </si>
  <si>
    <t>( 3.14159 / 4 ) * D^2 * T * M * 0.1^3</t>
  </si>
  <si>
    <t>工件重量(W2)</t>
  </si>
  <si>
    <r>
      <rPr>
        <b/>
        <sz val="12"/>
        <rFont val="宋体"/>
        <charset val="134"/>
      </rPr>
      <t>工件重量M1*分割等份</t>
    </r>
    <r>
      <rPr>
        <b/>
        <sz val="12"/>
        <rFont val="宋体"/>
        <charset val="134"/>
      </rPr>
      <t>(N)</t>
    </r>
  </si>
  <si>
    <t xml:space="preserve">              夹具重量(W3)</t>
  </si>
  <si>
    <t>M2 * N</t>
  </si>
  <si>
    <t>零部件惯性矩</t>
  </si>
  <si>
    <t xml:space="preserve">回转盘惯性矩(I1) </t>
  </si>
  <si>
    <t>( W1 * R^2 ) / (2 * G)</t>
  </si>
  <si>
    <t xml:space="preserve">          工件惯性矩(I2) </t>
  </si>
  <si>
    <t xml:space="preserve">( W2 * Re^2 ) / G </t>
  </si>
  <si>
    <t xml:space="preserve">          夹具惯性矩(I3) </t>
  </si>
  <si>
    <t xml:space="preserve">( W3 * Re^2 ) / G </t>
  </si>
  <si>
    <t xml:space="preserve">总惯性矩( I ) </t>
  </si>
  <si>
    <t>I1 + I2 + I3</t>
  </si>
  <si>
    <t xml:space="preserve">出力轴最大角加速度.(O) </t>
  </si>
  <si>
    <t>Am ((2 * 3.1416) / N) * [(360 / Qh) * ( n / 60)]^2</t>
  </si>
  <si>
    <t>I * O</t>
  </si>
  <si>
    <t>实际负载扭矩(Te)</t>
  </si>
  <si>
    <t>Tt*fe</t>
  </si>
  <si>
    <r>
      <rPr>
        <b/>
        <sz val="20"/>
        <rFont val="宋体"/>
        <charset val="134"/>
      </rPr>
      <t xml:space="preserve">                          </t>
    </r>
    <r>
      <rPr>
        <b/>
        <sz val="20"/>
        <rFont val="宋体"/>
        <charset val="134"/>
      </rPr>
      <t>入力轴扭矩</t>
    </r>
    <r>
      <rPr>
        <b/>
        <sz val="20"/>
        <rFont val="宋体"/>
        <charset val="134"/>
      </rPr>
      <t>Tc</t>
    </r>
  </si>
  <si>
    <t>入力轴扭矩(Tc)   注:入力轴起动负载扭矩视为0 , 因此 Tca =0</t>
  </si>
  <si>
    <t>所须要的电机参数(P)</t>
  </si>
  <si>
    <r>
      <rPr>
        <sz val="12"/>
        <rFont val="宋体"/>
        <charset val="134"/>
      </rPr>
      <t xml:space="preserve">                                  </t>
    </r>
    <r>
      <rPr>
        <sz val="12"/>
        <rFont val="宋体"/>
        <charset val="134"/>
      </rPr>
      <t>或</t>
    </r>
    <r>
      <rPr>
        <sz val="12"/>
        <rFont val="宋体"/>
        <charset val="134"/>
      </rPr>
      <t xml:space="preserve">   (P)</t>
    </r>
  </si>
  <si>
    <t>选型案例（兆奕分割器）：</t>
  </si>
  <si>
    <t>单  位  换  算</t>
  </si>
  <si>
    <t>输入数值</t>
  </si>
  <si>
    <t>不可修改</t>
  </si>
  <si>
    <r>
      <rPr>
        <b/>
        <sz val="12"/>
        <rFont val="宋体"/>
        <charset val="134"/>
      </rPr>
      <t>压力</t>
    </r>
    <r>
      <rPr>
        <b/>
        <sz val="12"/>
        <rFont val="Times New Roman"/>
        <family val="1"/>
      </rPr>
      <t>Pressure</t>
    </r>
  </si>
  <si>
    <t>mbar</t>
  </si>
  <si>
    <t>Pa</t>
  </si>
  <si>
    <t>atm</t>
  </si>
  <si>
    <r>
      <rPr>
        <sz val="12"/>
        <rFont val="Times New Roman"/>
        <family val="1"/>
      </rPr>
      <t>lb/in</t>
    </r>
    <r>
      <rPr>
        <vertAlign val="superscript"/>
        <sz val="12"/>
        <rFont val="Times New Roman"/>
        <family val="1"/>
      </rPr>
      <t>2</t>
    </r>
  </si>
  <si>
    <r>
      <rPr>
        <sz val="12"/>
        <rFont val="Times New Roman"/>
        <family val="1"/>
      </rPr>
      <t>kg/cm</t>
    </r>
    <r>
      <rPr>
        <vertAlign val="superscript"/>
        <sz val="12"/>
        <rFont val="Times New Roman"/>
        <family val="1"/>
      </rPr>
      <t>2</t>
    </r>
  </si>
  <si>
    <t>inHg</t>
  </si>
  <si>
    <t>mmHg</t>
  </si>
  <si>
    <r>
      <rPr>
        <sz val="12"/>
        <rFont val="Times New Roman"/>
        <family val="1"/>
      </rPr>
      <t>mmAq(kgf/m</t>
    </r>
    <r>
      <rPr>
        <vertAlign val="superscript"/>
        <sz val="12"/>
        <rFont val="Times New Roman"/>
        <family val="1"/>
      </rPr>
      <t>2</t>
    </r>
    <r>
      <rPr>
        <sz val="12"/>
        <rFont val="Times New Roman"/>
        <family val="1"/>
      </rPr>
      <t>)</t>
    </r>
  </si>
  <si>
    <r>
      <rPr>
        <b/>
        <sz val="12"/>
        <rFont val="宋体"/>
        <charset val="134"/>
      </rPr>
      <t>风量</t>
    </r>
    <r>
      <rPr>
        <b/>
        <sz val="12"/>
        <rFont val="Times New Roman"/>
        <family val="1"/>
      </rPr>
      <t>Capacity</t>
    </r>
  </si>
  <si>
    <r>
      <rPr>
        <sz val="12"/>
        <rFont val="Times New Roman"/>
        <family val="1"/>
      </rPr>
      <t>m</t>
    </r>
    <r>
      <rPr>
        <vertAlign val="superscript"/>
        <sz val="12"/>
        <rFont val="Times New Roman"/>
        <family val="1"/>
      </rPr>
      <t>3</t>
    </r>
    <r>
      <rPr>
        <sz val="12"/>
        <rFont val="Times New Roman"/>
        <family val="1"/>
      </rPr>
      <t>/min</t>
    </r>
  </si>
  <si>
    <r>
      <rPr>
        <sz val="12"/>
        <rFont val="Times New Roman"/>
        <family val="1"/>
      </rPr>
      <t>m</t>
    </r>
    <r>
      <rPr>
        <vertAlign val="superscript"/>
        <sz val="12"/>
        <rFont val="Times New Roman"/>
        <family val="1"/>
      </rPr>
      <t>3</t>
    </r>
    <r>
      <rPr>
        <sz val="12"/>
        <rFont val="Times New Roman"/>
        <family val="1"/>
      </rPr>
      <t>/hr</t>
    </r>
  </si>
  <si>
    <t>l/min</t>
  </si>
  <si>
    <r>
      <rPr>
        <sz val="12"/>
        <rFont val="Times New Roman"/>
        <family val="1"/>
      </rPr>
      <t>ft</t>
    </r>
    <r>
      <rPr>
        <vertAlign val="superscript"/>
        <sz val="12"/>
        <rFont val="Times New Roman"/>
        <family val="1"/>
      </rPr>
      <t>3</t>
    </r>
    <r>
      <rPr>
        <sz val="12"/>
        <rFont val="Times New Roman"/>
        <family val="1"/>
      </rPr>
      <t>/min(cfm)</t>
    </r>
  </si>
  <si>
    <t>能量</t>
  </si>
  <si>
    <t>Cal</t>
  </si>
  <si>
    <t>Kwh</t>
  </si>
  <si>
    <t>BTU</t>
  </si>
  <si>
    <r>
      <rPr>
        <b/>
        <sz val="12"/>
        <rFont val="宋体"/>
        <charset val="134"/>
      </rPr>
      <t>功率</t>
    </r>
    <r>
      <rPr>
        <b/>
        <sz val="12"/>
        <rFont val="Times New Roman"/>
        <family val="1"/>
      </rPr>
      <t>Power</t>
    </r>
  </si>
  <si>
    <t>kg-m/sec</t>
  </si>
  <si>
    <t>冷量</t>
  </si>
  <si>
    <t>kcal/h</t>
  </si>
  <si>
    <t>USRT</t>
  </si>
  <si>
    <t>速度</t>
  </si>
  <si>
    <t>m/hr</t>
  </si>
  <si>
    <t>ft/min(fpm)</t>
  </si>
  <si>
    <t>ft/s(fps)</t>
  </si>
  <si>
    <r>
      <rPr>
        <b/>
        <sz val="12"/>
        <rFont val="宋体"/>
        <charset val="134"/>
      </rPr>
      <t>长度</t>
    </r>
    <r>
      <rPr>
        <b/>
        <sz val="12"/>
        <rFont val="Times New Roman"/>
        <family val="1"/>
      </rPr>
      <t>L</t>
    </r>
  </si>
  <si>
    <r>
      <rPr>
        <sz val="12"/>
        <rFont val="宋体"/>
        <charset val="134"/>
      </rPr>
      <t>英寸</t>
    </r>
    <r>
      <rPr>
        <sz val="12"/>
        <rFont val="Times New Roman"/>
        <family val="1"/>
      </rPr>
      <t>(in)</t>
    </r>
  </si>
  <si>
    <r>
      <rPr>
        <sz val="12"/>
        <rFont val="宋体"/>
        <charset val="134"/>
      </rPr>
      <t>英尺</t>
    </r>
    <r>
      <rPr>
        <sz val="12"/>
        <rFont val="Times New Roman"/>
        <family val="1"/>
      </rPr>
      <t>(ft )</t>
    </r>
  </si>
  <si>
    <t>公尺</t>
  </si>
  <si>
    <r>
      <rPr>
        <sz val="12"/>
        <rFont val="宋体"/>
        <charset val="134"/>
      </rPr>
      <t>微米</t>
    </r>
    <r>
      <rPr>
        <sz val="12"/>
        <rFont val="Times New Roman"/>
        <family val="1"/>
      </rPr>
      <t>(</t>
    </r>
    <r>
      <rPr>
        <sz val="12"/>
        <rFont val="宋体"/>
        <charset val="134"/>
      </rPr>
      <t>μ</t>
    </r>
    <r>
      <rPr>
        <sz val="12"/>
        <rFont val="Times New Roman"/>
        <family val="1"/>
      </rPr>
      <t>m)</t>
    </r>
  </si>
  <si>
    <t xml:space="preserve">cm </t>
  </si>
  <si>
    <r>
      <rPr>
        <b/>
        <sz val="12"/>
        <rFont val="宋体"/>
        <charset val="134"/>
      </rPr>
      <t>面积</t>
    </r>
    <r>
      <rPr>
        <b/>
        <sz val="12"/>
        <rFont val="Times New Roman"/>
        <family val="1"/>
      </rPr>
      <t>A</t>
    </r>
  </si>
  <si>
    <r>
      <rPr>
        <sz val="12"/>
        <rFont val="Times New Roman"/>
        <family val="1"/>
      </rPr>
      <t>m</t>
    </r>
    <r>
      <rPr>
        <vertAlign val="superscript"/>
        <sz val="12"/>
        <rFont val="Times New Roman"/>
        <family val="1"/>
      </rPr>
      <t>2</t>
    </r>
  </si>
  <si>
    <r>
      <rPr>
        <sz val="12"/>
        <rFont val="Times New Roman"/>
        <family val="1"/>
      </rPr>
      <t>cm</t>
    </r>
    <r>
      <rPr>
        <vertAlign val="superscript"/>
        <sz val="12"/>
        <rFont val="Times New Roman"/>
        <family val="1"/>
      </rPr>
      <t>2</t>
    </r>
  </si>
  <si>
    <r>
      <rPr>
        <sz val="12"/>
        <rFont val="Times New Roman"/>
        <family val="1"/>
      </rPr>
      <t>in</t>
    </r>
    <r>
      <rPr>
        <vertAlign val="superscript"/>
        <sz val="12"/>
        <rFont val="Times New Roman"/>
        <family val="1"/>
      </rPr>
      <t>2</t>
    </r>
  </si>
  <si>
    <r>
      <rPr>
        <sz val="12"/>
        <rFont val="Times New Roman"/>
        <family val="1"/>
      </rPr>
      <t>ft</t>
    </r>
    <r>
      <rPr>
        <vertAlign val="superscript"/>
        <sz val="12"/>
        <rFont val="Times New Roman"/>
        <family val="1"/>
      </rPr>
      <t>2</t>
    </r>
  </si>
  <si>
    <t>亩</t>
  </si>
  <si>
    <t>坪</t>
  </si>
  <si>
    <t>体积</t>
  </si>
  <si>
    <r>
      <rPr>
        <sz val="12"/>
        <rFont val="Times New Roman"/>
        <family val="1"/>
      </rPr>
      <t>m</t>
    </r>
    <r>
      <rPr>
        <vertAlign val="superscript"/>
        <sz val="12"/>
        <rFont val="Times New Roman"/>
        <family val="1"/>
      </rPr>
      <t>3</t>
    </r>
    <r>
      <rPr>
        <sz val="12"/>
        <rFont val="Times New Roman"/>
        <family val="1"/>
      </rPr>
      <t>(KL)</t>
    </r>
  </si>
  <si>
    <r>
      <rPr>
        <sz val="12"/>
        <rFont val="Times New Roman"/>
        <family val="1"/>
      </rPr>
      <t>L(dm</t>
    </r>
    <r>
      <rPr>
        <vertAlign val="superscript"/>
        <sz val="12"/>
        <rFont val="Times New Roman"/>
        <family val="1"/>
      </rPr>
      <t>3</t>
    </r>
    <r>
      <rPr>
        <sz val="12"/>
        <rFont val="Times New Roman"/>
        <family val="1"/>
      </rPr>
      <t>)</t>
    </r>
  </si>
  <si>
    <r>
      <rPr>
        <sz val="12"/>
        <rFont val="Times New Roman"/>
        <family val="1"/>
      </rPr>
      <t>ft</t>
    </r>
    <r>
      <rPr>
        <vertAlign val="superscript"/>
        <sz val="12"/>
        <rFont val="Times New Roman"/>
        <family val="1"/>
      </rPr>
      <t>3</t>
    </r>
  </si>
  <si>
    <r>
      <rPr>
        <sz val="12"/>
        <rFont val="Times New Roman"/>
        <family val="1"/>
      </rPr>
      <t>gal(</t>
    </r>
    <r>
      <rPr>
        <sz val="12"/>
        <rFont val="宋体"/>
        <charset val="134"/>
      </rPr>
      <t>美加仑）</t>
    </r>
  </si>
  <si>
    <r>
      <rPr>
        <sz val="12"/>
        <rFont val="Times New Roman"/>
        <family val="1"/>
      </rPr>
      <t>m</t>
    </r>
    <r>
      <rPr>
        <vertAlign val="superscript"/>
        <sz val="12"/>
        <rFont val="Times New Roman"/>
        <family val="1"/>
      </rPr>
      <t>3</t>
    </r>
  </si>
  <si>
    <r>
      <rPr>
        <sz val="12"/>
        <rFont val="Times New Roman"/>
        <family val="1"/>
      </rPr>
      <t>gal(</t>
    </r>
    <r>
      <rPr>
        <sz val="12"/>
        <rFont val="宋体"/>
        <charset val="134"/>
      </rPr>
      <t>加仑）</t>
    </r>
  </si>
  <si>
    <t>质量及力</t>
  </si>
  <si>
    <t>lb</t>
  </si>
  <si>
    <r>
      <rPr>
        <sz val="12"/>
        <rFont val="Times New Roman"/>
        <family val="1"/>
      </rPr>
      <t>Ton</t>
    </r>
    <r>
      <rPr>
        <sz val="12"/>
        <rFont val="宋体"/>
        <charset val="134"/>
      </rPr>
      <t>（吨）</t>
    </r>
  </si>
  <si>
    <r>
      <rPr>
        <sz val="12"/>
        <rFont val="Times New Roman"/>
        <family val="1"/>
      </rPr>
      <t>N(</t>
    </r>
    <r>
      <rPr>
        <sz val="12"/>
        <rFont val="宋体"/>
        <charset val="134"/>
      </rPr>
      <t>牛</t>
    </r>
    <r>
      <rPr>
        <sz val="12"/>
        <rFont val="Times New Roman"/>
        <family val="1"/>
      </rPr>
      <t>)</t>
    </r>
  </si>
  <si>
    <t>浓度</t>
  </si>
  <si>
    <r>
      <rPr>
        <sz val="12"/>
        <rFont val="Times New Roman"/>
        <family val="1"/>
      </rPr>
      <t>g/cc(g/cm</t>
    </r>
    <r>
      <rPr>
        <vertAlign val="superscript"/>
        <sz val="12"/>
        <rFont val="Times New Roman"/>
        <family val="1"/>
      </rPr>
      <t>3</t>
    </r>
    <r>
      <rPr>
        <sz val="12"/>
        <rFont val="Times New Roman"/>
        <family val="1"/>
      </rPr>
      <t>)</t>
    </r>
  </si>
  <si>
    <r>
      <rPr>
        <sz val="12"/>
        <rFont val="Times New Roman"/>
        <family val="1"/>
      </rPr>
      <t>kg/m</t>
    </r>
    <r>
      <rPr>
        <vertAlign val="superscript"/>
        <sz val="12"/>
        <rFont val="Times New Roman"/>
        <family val="1"/>
      </rPr>
      <t>3</t>
    </r>
  </si>
  <si>
    <r>
      <rPr>
        <sz val="12"/>
        <rFont val="Times New Roman"/>
        <family val="1"/>
      </rPr>
      <t>lb/ft</t>
    </r>
    <r>
      <rPr>
        <vertAlign val="superscript"/>
        <sz val="12"/>
        <rFont val="Times New Roman"/>
        <family val="1"/>
      </rPr>
      <t>3</t>
    </r>
  </si>
  <si>
    <t>lb/u.s.gal</t>
  </si>
  <si>
    <r>
      <rPr>
        <sz val="12"/>
        <rFont val="Times New Roman"/>
        <family val="1"/>
      </rPr>
      <t>g/m</t>
    </r>
    <r>
      <rPr>
        <vertAlign val="superscript"/>
        <sz val="12"/>
        <rFont val="Times New Roman"/>
        <family val="1"/>
      </rPr>
      <t>3</t>
    </r>
  </si>
  <si>
    <r>
      <rPr>
        <sz val="12"/>
        <rFont val="Times New Roman"/>
        <family val="1"/>
      </rPr>
      <t>grain/ft</t>
    </r>
    <r>
      <rPr>
        <vertAlign val="superscript"/>
        <sz val="12"/>
        <rFont val="Times New Roman"/>
        <family val="1"/>
      </rPr>
      <t>3</t>
    </r>
  </si>
  <si>
    <t>黏度</t>
  </si>
  <si>
    <t>poise(g/cm-sec)</t>
  </si>
  <si>
    <r>
      <rPr>
        <sz val="12"/>
        <rFont val="Times New Roman"/>
        <family val="1"/>
      </rPr>
      <t>cp(</t>
    </r>
    <r>
      <rPr>
        <sz val="12"/>
        <rFont val="宋体"/>
        <charset val="134"/>
      </rPr>
      <t>百分泊</t>
    </r>
    <r>
      <rPr>
        <sz val="12"/>
        <rFont val="Times New Roman"/>
        <family val="1"/>
      </rPr>
      <t>)</t>
    </r>
  </si>
  <si>
    <t>kg/m-sec</t>
  </si>
  <si>
    <t>kg/m-hr</t>
  </si>
  <si>
    <t>lb/ft-sec</t>
  </si>
  <si>
    <t>温度</t>
  </si>
  <si>
    <t>热力学温度K</t>
  </si>
  <si>
    <r>
      <rPr>
        <sz val="12"/>
        <rFont val="宋体"/>
        <charset val="134"/>
      </rPr>
      <t>摄氏度</t>
    </r>
    <r>
      <rPr>
        <sz val="12"/>
        <rFont val="Times New Roman"/>
        <family val="1"/>
      </rPr>
      <t xml:space="preserve">   </t>
    </r>
    <r>
      <rPr>
        <vertAlign val="superscript"/>
        <sz val="12"/>
        <rFont val="Times New Roman"/>
        <family val="1"/>
      </rPr>
      <t>0</t>
    </r>
    <r>
      <rPr>
        <sz val="12"/>
        <rFont val="Times New Roman"/>
        <family val="1"/>
      </rPr>
      <t>C</t>
    </r>
  </si>
  <si>
    <r>
      <rPr>
        <sz val="12"/>
        <rFont val="宋体"/>
        <charset val="134"/>
      </rPr>
      <t>华氏</t>
    </r>
    <r>
      <rPr>
        <sz val="12"/>
        <rFont val="Times New Roman"/>
        <family val="1"/>
      </rPr>
      <t xml:space="preserve">   </t>
    </r>
    <r>
      <rPr>
        <vertAlign val="superscript"/>
        <sz val="12"/>
        <rFont val="Times New Roman"/>
        <family val="1"/>
      </rPr>
      <t>0</t>
    </r>
    <r>
      <rPr>
        <sz val="12"/>
        <rFont val="Times New Roman"/>
        <family val="1"/>
      </rPr>
      <t xml:space="preserve"> F</t>
    </r>
  </si>
  <si>
    <t>同步电动机转数公式</t>
  </si>
  <si>
    <t>HZ</t>
  </si>
  <si>
    <t>极</t>
  </si>
  <si>
    <t>2P</t>
  </si>
  <si>
    <t>4P</t>
  </si>
  <si>
    <t>6P</t>
  </si>
  <si>
    <t>8P</t>
  </si>
  <si>
    <t>表面积及体积计算　</t>
  </si>
  <si>
    <r>
      <rPr>
        <sz val="12"/>
        <rFont val="宋体"/>
        <charset val="134"/>
      </rPr>
      <t>直径</t>
    </r>
    <r>
      <rPr>
        <sz val="12"/>
        <rFont val="Times New Roman"/>
        <family val="1"/>
      </rPr>
      <t>d(m)</t>
    </r>
  </si>
  <si>
    <r>
      <rPr>
        <sz val="12"/>
        <rFont val="宋体"/>
        <charset val="134"/>
      </rPr>
      <t>高度</t>
    </r>
    <r>
      <rPr>
        <sz val="12"/>
        <rFont val="Times New Roman"/>
        <family val="1"/>
      </rPr>
      <t>h(m)</t>
    </r>
  </si>
  <si>
    <r>
      <rPr>
        <sz val="12"/>
        <rFont val="宋体"/>
        <charset val="134"/>
      </rPr>
      <t>边长</t>
    </r>
    <r>
      <rPr>
        <sz val="12"/>
        <rFont val="Times New Roman"/>
        <family val="1"/>
      </rPr>
      <t>a(m)</t>
    </r>
  </si>
  <si>
    <t>圆柱</t>
  </si>
  <si>
    <r>
      <rPr>
        <sz val="12"/>
        <rFont val="宋体"/>
        <charset val="134"/>
      </rPr>
      <t>表面积</t>
    </r>
    <r>
      <rPr>
        <sz val="12"/>
        <rFont val="Times New Roman"/>
        <family val="1"/>
      </rPr>
      <t>S</t>
    </r>
  </si>
  <si>
    <r>
      <rPr>
        <sz val="12"/>
        <rFont val="宋体"/>
        <charset val="134"/>
      </rPr>
      <t>体积</t>
    </r>
    <r>
      <rPr>
        <sz val="12"/>
        <rFont val="Times New Roman"/>
        <family val="1"/>
      </rPr>
      <t>V</t>
    </r>
  </si>
  <si>
    <t>圆锥</t>
  </si>
  <si>
    <t>球体</t>
  </si>
  <si>
    <t>六角柱</t>
  </si>
  <si>
    <t>注明：修改红色字体数字后即可换算出所需单位的数值</t>
  </si>
  <si>
    <t>1、吸盘的选定</t>
  </si>
  <si>
    <t>吸盘的理论吸吊力是吸盘内的真空度p与吸盘的有效吸着面积A的乘积。</t>
  </si>
  <si>
    <t>使用n个同一直径的吸盘吸吊物体，其吸盘直径D可按下式选定。</t>
  </si>
  <si>
    <t>标准吸盘直径mm</t>
  </si>
  <si>
    <t>式中:</t>
  </si>
  <si>
    <t>D--吸盘直径，mm</t>
  </si>
  <si>
    <t>W--吸吊物重力，N</t>
  </si>
  <si>
    <t>t--安全系数，水平吊，t≥4；垂直吊，t≥8。</t>
  </si>
  <si>
    <t>p--吸盘内的真空度,MP。</t>
  </si>
  <si>
    <t>SETP-1</t>
  </si>
  <si>
    <t>确认使用条件</t>
  </si>
  <si>
    <t>物体质量M</t>
  </si>
  <si>
    <t>kg    =</t>
  </si>
  <si>
    <t>安全系统t</t>
  </si>
  <si>
    <t>吸盘个数n</t>
  </si>
  <si>
    <t>真空度p</t>
  </si>
  <si>
    <t>（预设）</t>
  </si>
  <si>
    <t>SETP-2</t>
  </si>
  <si>
    <t>选择大致的吸盘尺寸</t>
  </si>
  <si>
    <t>请求出吸盘直径D</t>
  </si>
  <si>
    <t>根据样本选择吸盘直径D</t>
  </si>
  <si>
    <t>SETP-3</t>
  </si>
  <si>
    <t>吸吊时所需真空度</t>
  </si>
  <si>
    <t>2、真空发生器及真空切换阀的选定</t>
  </si>
  <si>
    <t>求吸着响应时间T</t>
  </si>
  <si>
    <t>吸着响应时间是指从供给阀（或真空切换阀）换向开始，到吸盘内达到吸着工件所必须的真空</t>
  </si>
  <si>
    <t>度为止所需的时间。</t>
  </si>
  <si>
    <t>供给阀(或真空切换阀)换向后，吸盘内的真空度跟达到时间的关系如下图所示</t>
  </si>
  <si>
    <t>按照产品样本，预选真空发生器能提供的最大真空度为:</t>
  </si>
  <si>
    <t>Pmax=</t>
  </si>
  <si>
    <t>Kpa=</t>
  </si>
  <si>
    <t>p/pmax=</t>
  </si>
  <si>
    <t>(根据上图，查出相应时间)</t>
  </si>
  <si>
    <t>按上图，查得</t>
  </si>
  <si>
    <t>T1=1s</t>
  </si>
  <si>
    <t>(一般要求响应时间T≤1s)</t>
  </si>
  <si>
    <t>求真空发生器(或真空切换阀)的平均吸入流量</t>
  </si>
  <si>
    <t>设吸盘内的压力从大气压降至真空度达63%pv的到达时间为T1，降至真空度达95%pv的到达时间</t>
  </si>
  <si>
    <t>为T2,有</t>
  </si>
  <si>
    <t>T1=60V/Q</t>
  </si>
  <si>
    <t>T2=3T1</t>
  </si>
  <si>
    <t>T1(或T2)--吸着响应时间，s；</t>
  </si>
  <si>
    <t>V--真空发生器(或真空切换阀)至吸盘的配管容积，L；</t>
  </si>
  <si>
    <t>气管</t>
  </si>
  <si>
    <t>d--配管的内经，mm</t>
  </si>
  <si>
    <t>外径（mm）</t>
  </si>
  <si>
    <t>l--配管的长得，m</t>
  </si>
  <si>
    <t>内径（mm）</t>
  </si>
  <si>
    <t>配管内经d</t>
  </si>
  <si>
    <t>配管长度l</t>
  </si>
  <si>
    <t>配管容积V</t>
  </si>
  <si>
    <t>平均吸入流量 Q</t>
  </si>
  <si>
    <t>求真空发生器(或真空切换阀)的最大吸入流量</t>
  </si>
  <si>
    <t>最大吸入流量 Qmax</t>
  </si>
  <si>
    <t>可以选择真空发生器的指标是：</t>
  </si>
  <si>
    <t>最大真空度能达到</t>
  </si>
  <si>
    <t>Kpa</t>
  </si>
  <si>
    <t>最大吸入流量能达到</t>
  </si>
  <si>
    <t>SETP-4</t>
  </si>
  <si>
    <t>根据样本选择真空发生器</t>
  </si>
  <si>
    <r>
      <rPr>
        <sz val="11"/>
        <color indexed="8"/>
        <rFont val="TimesNewRomanPSMT"/>
        <family val="2"/>
      </rPr>
      <t xml:space="preserve">           </t>
    </r>
    <r>
      <rPr>
        <sz val="11"/>
        <color indexed="8"/>
        <rFont val="宋体"/>
        <charset val="134"/>
      </rPr>
      <t>真空发生器的最大吸入流量为</t>
    </r>
  </si>
  <si>
    <t xml:space="preserve">      </t>
  </si>
  <si>
    <t xml:space="preserve">       实际响应时间</t>
  </si>
  <si>
    <t>SETP-5</t>
  </si>
  <si>
    <t>校核</t>
  </si>
  <si>
    <t>根据右图，连接管的有效截面积为</t>
  </si>
  <si>
    <r>
      <rPr>
        <sz val="11"/>
        <color indexed="8"/>
        <rFont val="宋体"/>
        <charset val="134"/>
      </rPr>
      <t>mm</t>
    </r>
    <r>
      <rPr>
        <vertAlign val="superscript"/>
        <sz val="11"/>
        <color indexed="8"/>
        <rFont val="宋体"/>
        <charset val="134"/>
      </rPr>
      <t>2</t>
    </r>
  </si>
  <si>
    <t>通过配管的平均吸入流量为</t>
  </si>
  <si>
    <t>是否合格</t>
  </si>
  <si>
    <t>(合格绿色，不合格红色)</t>
  </si>
  <si>
    <t xml:space="preserve">最后对于其他附件的选择就比较容易了， 以下说明 3 条基本原则， 满足即可：  </t>
  </si>
  <si>
    <t>a.供给阀的有效面积 S 不得小于真空发生器喷嘴几何面积的４倍；</t>
  </si>
  <si>
    <t>b.真空发生器供气管内径不宜小于喷嘴直径的４倍；</t>
  </si>
  <si>
    <t>c.真空过滤器的吸入流量应比真空发生器最大流量大.</t>
  </si>
  <si>
    <t>最大耗气量计算(自由空气)</t>
  </si>
  <si>
    <t>缸径直径</t>
  </si>
  <si>
    <t>D=</t>
  </si>
  <si>
    <t>最大速度</t>
  </si>
  <si>
    <r>
      <rPr>
        <sz val="11"/>
        <color indexed="8"/>
        <rFont val="宋体"/>
        <charset val="134"/>
      </rPr>
      <t>V</t>
    </r>
    <r>
      <rPr>
        <vertAlign val="subscript"/>
        <sz val="11"/>
        <color indexed="8"/>
        <rFont val="宋体"/>
        <charset val="134"/>
      </rPr>
      <t>max</t>
    </r>
    <r>
      <rPr>
        <sz val="11"/>
        <color indexed="8"/>
        <rFont val="宋体"/>
        <charset val="134"/>
      </rPr>
      <t>=</t>
    </r>
  </si>
  <si>
    <t>mm/s</t>
  </si>
  <si>
    <t>使用压力</t>
  </si>
  <si>
    <t>P=</t>
  </si>
  <si>
    <t>最大耗气量</t>
  </si>
  <si>
    <t>Q=</t>
  </si>
  <si>
    <t>流通能力</t>
  </si>
  <si>
    <r>
      <rPr>
        <sz val="11"/>
        <color indexed="8"/>
        <rFont val="宋体"/>
        <charset val="134"/>
      </rPr>
      <t>C</t>
    </r>
    <r>
      <rPr>
        <sz val="11"/>
        <color indexed="8"/>
        <rFont val="宋体"/>
        <charset val="134"/>
      </rPr>
      <t>v=</t>
    </r>
  </si>
  <si>
    <t>Q=984Cv</t>
  </si>
  <si>
    <t>有效流通面积</t>
  </si>
  <si>
    <t>S=</t>
  </si>
  <si>
    <r>
      <rPr>
        <sz val="12"/>
        <color indexed="10"/>
        <rFont val="宋体"/>
        <charset val="134"/>
      </rPr>
      <t>★：查看样册电磁阀的（C</t>
    </r>
    <r>
      <rPr>
        <vertAlign val="subscript"/>
        <sz val="12"/>
        <color indexed="10"/>
        <rFont val="宋体"/>
        <charset val="134"/>
      </rPr>
      <t>V</t>
    </r>
    <r>
      <rPr>
        <sz val="12"/>
        <color indexed="10"/>
        <rFont val="宋体"/>
        <charset val="134"/>
      </rPr>
      <t>值或流通面积）≥（计算后的C</t>
    </r>
    <r>
      <rPr>
        <vertAlign val="subscript"/>
        <sz val="12"/>
        <color indexed="10"/>
        <rFont val="宋体"/>
        <charset val="134"/>
      </rPr>
      <t>V</t>
    </r>
    <r>
      <rPr>
        <sz val="12"/>
        <color indexed="10"/>
        <rFont val="宋体"/>
        <charset val="134"/>
      </rPr>
      <t>值或流通面积）选择相应的电磁阀</t>
    </r>
  </si>
  <si>
    <t>平均耗气量计算</t>
  </si>
  <si>
    <t>气缸工作频度</t>
  </si>
  <si>
    <t>N=</t>
  </si>
  <si>
    <t>周/min</t>
  </si>
  <si>
    <t>（每分钟内气缸的往复周数，一个往复为一周）</t>
  </si>
  <si>
    <t>气缸的行程</t>
  </si>
  <si>
    <t>配管的内径</t>
  </si>
  <si>
    <t>d=</t>
  </si>
  <si>
    <t>换向阀与气缸之间的配管的内径</t>
  </si>
  <si>
    <t>配管的长度</t>
  </si>
  <si>
    <r>
      <rPr>
        <sz val="11"/>
        <color indexed="8"/>
        <rFont val="宋体"/>
        <charset val="134"/>
      </rPr>
      <t>L</t>
    </r>
    <r>
      <rPr>
        <vertAlign val="subscript"/>
        <sz val="11"/>
        <color indexed="8"/>
        <rFont val="宋体"/>
        <charset val="134"/>
      </rPr>
      <t>d</t>
    </r>
    <r>
      <rPr>
        <sz val="11"/>
        <color indexed="8"/>
        <rFont val="宋体"/>
        <charset val="134"/>
      </rPr>
      <t>=</t>
    </r>
  </si>
  <si>
    <t>平均耗气量</t>
  </si>
  <si>
    <t>Qca=</t>
  </si>
  <si>
    <t>L/min(ANR)</t>
  </si>
  <si>
    <t>平均耗气量用于选用空压机、计算运转成本。最大耗气量用于选定空气处理原件、控制阀及配管尺寸等。最大耗气量与平均耗气量之差用于选定气罐的容积。</t>
  </si>
  <si>
    <t>三角皮带轮参数及适用直径</t>
  </si>
  <si>
    <t>选定三角皮带型之一般标准</t>
  </si>
  <si>
    <t>型式</t>
  </si>
  <si>
    <t>α°</t>
  </si>
  <si>
    <t>L0</t>
  </si>
  <si>
    <t>k0</t>
  </si>
  <si>
    <t>r1</t>
  </si>
  <si>
    <t>r2</t>
  </si>
  <si>
    <t>r3</t>
  </si>
  <si>
    <t>三角皮带厚度</t>
  </si>
  <si>
    <t>输出马力HP</t>
  </si>
  <si>
    <t>圆周速度 M/SCC</t>
  </si>
  <si>
    <t>51～70</t>
  </si>
  <si>
    <t>0.2～0.5</t>
  </si>
  <si>
    <t>0.5～1.0</t>
  </si>
  <si>
    <t>1～2</t>
  </si>
  <si>
    <t>＜2</t>
  </si>
  <si>
    <t>71～90</t>
  </si>
  <si>
    <t>2～5</t>
  </si>
  <si>
    <t>A或B</t>
  </si>
  <si>
    <t>&gt;90</t>
  </si>
  <si>
    <t>5～10</t>
  </si>
  <si>
    <t>B或C</t>
  </si>
  <si>
    <t>71～100</t>
  </si>
  <si>
    <t>10～25</t>
  </si>
  <si>
    <t>101～125</t>
  </si>
  <si>
    <t>25～50</t>
  </si>
  <si>
    <t>C或D</t>
  </si>
  <si>
    <t>&gt;125</t>
  </si>
  <si>
    <t>50～100</t>
  </si>
  <si>
    <t>125～160</t>
  </si>
  <si>
    <t>100～150</t>
  </si>
  <si>
    <t>160～200</t>
  </si>
  <si>
    <r>
      <rPr>
        <sz val="14"/>
        <rFont val="宋体"/>
        <charset val="134"/>
      </rPr>
      <t>&gt;</t>
    </r>
    <r>
      <rPr>
        <sz val="14"/>
        <rFont val="楷体_GB2312"/>
        <charset val="134"/>
      </rPr>
      <t>150</t>
    </r>
  </si>
  <si>
    <t>&gt;200</t>
  </si>
  <si>
    <t>200～250</t>
  </si>
  <si>
    <t>1.0～1.6</t>
  </si>
  <si>
    <t>250～315</t>
  </si>
  <si>
    <t>&gt;315</t>
  </si>
  <si>
    <t>355～450</t>
  </si>
  <si>
    <t>1.6～2.0</t>
  </si>
  <si>
    <t>3～4</t>
  </si>
  <si>
    <t>&gt;450</t>
  </si>
  <si>
    <t>500～630</t>
  </si>
  <si>
    <t>4～5</t>
  </si>
  <si>
    <t>&gt;630</t>
  </si>
  <si>
    <t>气 缸 理 论 出 力 表 及 气 缸 内 径 确 定</t>
  </si>
  <si>
    <t>气缸内径(mm)</t>
  </si>
  <si>
    <t>输出力P(N)</t>
  </si>
  <si>
    <r>
      <rPr>
        <sz val="12"/>
        <rFont val="宋体"/>
        <charset val="134"/>
      </rPr>
      <t>受压面积(cm</t>
    </r>
    <r>
      <rPr>
        <vertAlign val="superscript"/>
        <sz val="12"/>
        <rFont val="宋体"/>
        <charset val="134"/>
      </rPr>
      <t>2</t>
    </r>
    <r>
      <rPr>
        <sz val="12"/>
        <rFont val="宋体"/>
        <charset val="134"/>
      </rPr>
      <t>)</t>
    </r>
  </si>
  <si>
    <t>工作压力MPa</t>
  </si>
  <si>
    <t>推力</t>
  </si>
  <si>
    <t>拉力</t>
  </si>
  <si>
    <t>16.76.0</t>
  </si>
  <si>
    <t xml:space="preserve">注：上述出力换算表是指气缸运动速度在50-500mm/s内的理论出力。 </t>
  </si>
  <si>
    <t>气缸内径的确定</t>
  </si>
  <si>
    <t>1.由负载性质及气缸运动速度选定负载率β值</t>
  </si>
  <si>
    <t>负载率 β=F/P×100% 式中F-气缸活塞杆上所受的实际负载(N) P-气缸理论出力(N)</t>
  </si>
  <si>
    <t>理论输出力P(N) 推力P1=π/4×D2×p 式中D-气缸内径(cm) p-气缸工作压力(MPa)</t>
  </si>
  <si>
    <t>拉力P2=π/4×(D2-d2)×p 式中d-气缸活塞直径(cm)</t>
  </si>
  <si>
    <t>负载性质 阻性负载 β=80% 惯性负载 一般场合 β=50% V&lt;0.2m/s β=65% 高速运动 β=30%</t>
  </si>
  <si>
    <t>2.由实际负载F及负载率β值，即将求出所需的气缸理论输出力P(P1或P2） P=F/β</t>
  </si>
  <si>
    <t>3.由气缸的工作压力P及所需的理论输出力P(P1或P2）即可计算气缸缸径D，再按缸径系列尺寸圆整。</t>
  </si>
  <si>
    <t>已知：实际负载F，负载率β值，气缸工作压力，求气缸缸径大小。
方法：在紫色方格内输入数据，就可以计算出所需气缸缸径。</t>
  </si>
  <si>
    <t>序列</t>
  </si>
  <si>
    <t>实际负载F=</t>
  </si>
  <si>
    <t>气缸的工作压力P=</t>
  </si>
  <si>
    <t>输入负载工作速度情况属于1，或2</t>
  </si>
  <si>
    <t>1、V&lt;0.2m/s β=65%
2、高速运动 β=30%</t>
  </si>
  <si>
    <t>输入负载性质选项：1或2</t>
  </si>
  <si>
    <t xml:space="preserve">1 阻性负载， β=80% 
2、惯性负载 一般场合 β=50% </t>
  </si>
  <si>
    <t>由负载性质及气缸运动速度选定负载率β值</t>
  </si>
  <si>
    <t>负载率β=</t>
  </si>
  <si>
    <t>根据负载速度选择负载率</t>
  </si>
  <si>
    <t>根据负载性质选择负载率</t>
  </si>
  <si>
    <t>取小的负载率</t>
  </si>
  <si>
    <t>计算气缸理论出力</t>
  </si>
  <si>
    <t>气缸理论出力P=F/β</t>
  </si>
  <si>
    <t>计算所需气缸缸径D=</t>
  </si>
  <si>
    <t>P1=π/4×D2×p</t>
  </si>
  <si>
    <t>选择气缸缸径D=</t>
  </si>
  <si>
    <t>根据计算所需缸径大小选择缸径</t>
  </si>
  <si>
    <t>①机械系统的决定</t>
  </si>
  <si>
    <t>负载质量M（kg）</t>
  </si>
  <si>
    <t>·滚珠丝杠节距P（mm）</t>
  </si>
  <si>
    <t>·滚珠丝杠直径D（mm）</t>
  </si>
  <si>
    <t>·滚珠丝杠质量MB（kg）</t>
  </si>
  <si>
    <t>·滚珠丝杠摩擦系数μ</t>
  </si>
  <si>
    <t>·因无减速器，所以G=1、η=1</t>
  </si>
  <si>
    <t>②动作模式的决定</t>
  </si>
  <si>
    <t>速度(mm/s)</t>
  </si>
  <si>
    <t>单一变化</t>
  </si>
  <si>
    <t>·负载移动速度V（mm/s）</t>
  </si>
  <si>
    <t>·行程L（mm）</t>
  </si>
  <si>
    <t>·行程时间tS（s）</t>
  </si>
  <si>
    <t>·加减速时间tA（s）</t>
  </si>
  <si>
    <t>·定位精度AP（mm）</t>
  </si>
  <si>
    <t>时间(s)</t>
  </si>
  <si>
    <t>③换算到电机轴负载惯量的计算</t>
  </si>
  <si>
    <t>滚珠丝杠的惯量JB=</t>
  </si>
  <si>
    <t>kg.m2</t>
  </si>
  <si>
    <t>负载的惯量JW=</t>
  </si>
  <si>
    <t>换算到电机轴负载惯量JL=JW</t>
  </si>
  <si>
    <r>
      <rPr>
        <sz val="12"/>
        <rFont val="宋体"/>
        <charset val="134"/>
      </rPr>
      <t>J</t>
    </r>
    <r>
      <rPr>
        <vertAlign val="subscript"/>
        <sz val="12"/>
        <rFont val="宋体"/>
        <charset val="134"/>
      </rPr>
      <t>L</t>
    </r>
    <r>
      <rPr>
        <sz val="12"/>
        <rFont val="宋体"/>
        <charset val="134"/>
      </rPr>
      <t>=G</t>
    </r>
    <r>
      <rPr>
        <vertAlign val="superscript"/>
        <sz val="12"/>
        <rFont val="宋体"/>
        <charset val="134"/>
      </rPr>
      <t>2</t>
    </r>
    <r>
      <rPr>
        <sz val="12"/>
        <rFont val="宋体"/>
        <charset val="134"/>
      </rPr>
      <t>x(J</t>
    </r>
    <r>
      <rPr>
        <vertAlign val="subscript"/>
        <sz val="12"/>
        <rFont val="宋体"/>
        <charset val="134"/>
      </rPr>
      <t>W</t>
    </r>
    <r>
      <rPr>
        <sz val="12"/>
        <rFont val="宋体"/>
        <charset val="134"/>
      </rPr>
      <t>+J</t>
    </r>
    <r>
      <rPr>
        <vertAlign val="subscript"/>
        <sz val="12"/>
        <rFont val="宋体"/>
        <charset val="134"/>
      </rPr>
      <t>2</t>
    </r>
    <r>
      <rPr>
        <sz val="12"/>
        <rFont val="宋体"/>
        <charset val="134"/>
      </rPr>
      <t>)+J1</t>
    </r>
  </si>
  <si>
    <t>④负载转矩的计算</t>
  </si>
  <si>
    <t>对摩擦力的转矩Tw</t>
  </si>
  <si>
    <t>换算到电机轴负载转矩TL=Tw</t>
  </si>
  <si>
    <t>⑤旋转数的计算</t>
  </si>
  <si>
    <t>转数N</t>
  </si>
  <si>
    <t>N=60V/P.G</t>
  </si>
  <si>
    <t>⑥电机的初步选定[选自OMNUC U系列的初步选定举例]</t>
  </si>
  <si>
    <t>选定电机的转子·惯量为负载的1/30*以上的电机</t>
  </si>
  <si>
    <r>
      <rPr>
        <sz val="12"/>
        <rFont val="宋体"/>
        <charset val="134"/>
      </rPr>
      <t>JM≥J</t>
    </r>
    <r>
      <rPr>
        <vertAlign val="subscript"/>
        <sz val="12"/>
        <rFont val="宋体"/>
        <charset val="134"/>
      </rPr>
      <t>L</t>
    </r>
    <r>
      <rPr>
        <sz val="12"/>
        <rFont val="宋体"/>
        <charset val="134"/>
      </rPr>
      <t>/30</t>
    </r>
  </si>
  <si>
    <r>
      <rPr>
        <sz val="12"/>
        <rFont val="宋体"/>
        <charset val="134"/>
      </rPr>
      <t>kg.m</t>
    </r>
    <r>
      <rPr>
        <vertAlign val="superscript"/>
        <sz val="12"/>
        <rFont val="宋体"/>
        <charset val="134"/>
      </rPr>
      <t>2</t>
    </r>
  </si>
  <si>
    <t>初步选择定R88M-U20030(Jm=</t>
  </si>
  <si>
    <t>选定电机的额定转矩×0.8
比换算到电机轴负载转矩
大的电机N.m</t>
  </si>
  <si>
    <r>
      <rPr>
        <sz val="12"/>
        <rFont val="宋体"/>
        <charset val="134"/>
      </rPr>
      <t>TMx0.8＞T</t>
    </r>
    <r>
      <rPr>
        <vertAlign val="subscript"/>
        <sz val="12"/>
        <rFont val="宋体"/>
        <charset val="134"/>
      </rPr>
      <t>L</t>
    </r>
  </si>
  <si>
    <t>＞</t>
  </si>
  <si>
    <t>根据R88M-U20030的额定转矩Tm=</t>
  </si>
  <si>
    <t>(N.m)</t>
  </si>
  <si>
    <t>＊ 此值因各系列而异，请加以注意。</t>
  </si>
  <si>
    <t>⑦加减速转矩的计算</t>
  </si>
  <si>
    <t>加减速转矩TA</t>
  </si>
  <si>
    <t>⑧瞬时最大转矩、有效转矩的计算</t>
  </si>
  <si>
    <t>必要的瞬时最大转矩为T1</t>
  </si>
  <si>
    <t>T1=TA+TL</t>
  </si>
  <si>
    <t>T2=TL</t>
  </si>
  <si>
    <t>T3=TL-TA</t>
  </si>
  <si>
    <t>有效转矩Trms为</t>
  </si>
  <si>
    <t>⑨讨论</t>
  </si>
  <si>
    <t>负载惯量JL</t>
  </si>
  <si>
    <t>≦[电机的转子惯量JM</t>
  </si>
  <si>
    <t>×[适用的惯量比=30]</t>
  </si>
  <si>
    <t>条件满足</t>
  </si>
  <si>
    <t>有效转矩Trms</t>
  </si>
  <si>
    <t>﹤[电机的额定转矩</t>
  </si>
  <si>
    <t>瞬时最大转矩T1</t>
  </si>
  <si>
    <t>﹤[电机的瞬时最大转矩</t>
  </si>
  <si>
    <t>必要的最大转数N</t>
  </si>
  <si>
    <t>≦[电机的额定转数</t>
  </si>
  <si>
    <t>编码器分辨率R=P.G/AP.S</t>
  </si>
  <si>
    <t>(脉冲/转)</t>
  </si>
  <si>
    <t>U系列的编码器规格为2048（脉冲/转），经编码器分频比设定至1000（脉冲/转）的情况下使用。</t>
  </si>
  <si>
    <t>材料计算表</t>
  </si>
  <si>
    <t>45#</t>
  </si>
  <si>
    <t>选择材料</t>
  </si>
  <si>
    <t>长（mm）</t>
  </si>
  <si>
    <t>宽（mm）</t>
  </si>
  <si>
    <t>高（mm）</t>
  </si>
  <si>
    <t>单价（kg/元）</t>
  </si>
  <si>
    <t>密度（g/cm3)</t>
  </si>
  <si>
    <t>数量（件）</t>
  </si>
  <si>
    <t>总和（元）</t>
  </si>
  <si>
    <t>光板</t>
  </si>
  <si>
    <t>电木</t>
  </si>
  <si>
    <t>光扁</t>
  </si>
  <si>
    <t>镀铬棒</t>
  </si>
  <si>
    <t>铝管</t>
  </si>
  <si>
    <t>注意：密度值可参照本文档中的常用材料密度表，材料单价自己咨询供应商。</t>
  </si>
  <si>
    <t>纤维板</t>
  </si>
  <si>
    <t>过盈配合压入力计算</t>
  </si>
  <si>
    <t>常用材料弹性模量、泊松系数和线性膨胀系数</t>
  </si>
  <si>
    <r>
      <rPr>
        <sz val="12"/>
        <rFont val="宋体"/>
        <charset val="134"/>
      </rPr>
      <t>弹性模量</t>
    </r>
    <r>
      <rPr>
        <sz val="12"/>
        <rFont val="Times New Roman"/>
        <family val="1"/>
      </rPr>
      <t>E     *10</t>
    </r>
    <r>
      <rPr>
        <vertAlign val="superscript"/>
        <sz val="12"/>
        <rFont val="Times New Roman"/>
        <family val="1"/>
      </rPr>
      <t>3</t>
    </r>
    <r>
      <rPr>
        <sz val="12"/>
        <rFont val="Times New Roman"/>
        <family val="1"/>
      </rPr>
      <t>(N/mm²)</t>
    </r>
  </si>
  <si>
    <t>泊松系数</t>
  </si>
  <si>
    <r>
      <rPr>
        <sz val="12"/>
        <rFont val="宋体"/>
        <charset val="134"/>
      </rPr>
      <t>线膨胀系数</t>
    </r>
    <r>
      <rPr>
        <sz val="12"/>
        <rFont val="Times New Roman"/>
        <family val="1"/>
      </rPr>
      <t>a</t>
    </r>
  </si>
  <si>
    <r>
      <rPr>
        <sz val="12"/>
        <rFont val="宋体"/>
        <charset val="134"/>
      </rPr>
      <t>结合直径（</t>
    </r>
    <r>
      <rPr>
        <sz val="12"/>
        <rFont val="Times New Roman"/>
        <family val="1"/>
      </rPr>
      <t>mm</t>
    </r>
    <r>
      <rPr>
        <sz val="12"/>
        <rFont val="宋体"/>
        <charset val="134"/>
      </rPr>
      <t>）</t>
    </r>
  </si>
  <si>
    <r>
      <rPr>
        <sz val="12"/>
        <rFont val="Times New Roman"/>
        <family val="1"/>
      </rPr>
      <t>d</t>
    </r>
    <r>
      <rPr>
        <vertAlign val="subscript"/>
        <sz val="10"/>
        <rFont val="Times New Roman"/>
        <family val="1"/>
      </rPr>
      <t>f</t>
    </r>
  </si>
  <si>
    <t>加热</t>
  </si>
  <si>
    <t>冷却</t>
  </si>
  <si>
    <r>
      <rPr>
        <sz val="12"/>
        <rFont val="宋体"/>
        <charset val="134"/>
      </rPr>
      <t>结合长度（</t>
    </r>
    <r>
      <rPr>
        <sz val="12"/>
        <rFont val="Times New Roman"/>
        <family val="1"/>
      </rPr>
      <t>mm)</t>
    </r>
  </si>
  <si>
    <r>
      <rPr>
        <sz val="12"/>
        <rFont val="Times New Roman"/>
        <family val="1"/>
      </rPr>
      <t>L</t>
    </r>
    <r>
      <rPr>
        <vertAlign val="subscript"/>
        <sz val="10"/>
        <rFont val="Times New Roman"/>
        <family val="1"/>
      </rPr>
      <t>f</t>
    </r>
  </si>
  <si>
    <t>碳钢、低合金钢、合金结构钢</t>
  </si>
  <si>
    <t>200~235</t>
  </si>
  <si>
    <t>0.30~0.31</t>
  </si>
  <si>
    <r>
      <rPr>
        <sz val="12"/>
        <rFont val="宋体"/>
        <charset val="134"/>
      </rPr>
      <t>最大过盈量</t>
    </r>
    <r>
      <rPr>
        <sz val="12"/>
        <rFont val="Times New Roman"/>
        <family val="1"/>
      </rPr>
      <t>(mm)</t>
    </r>
  </si>
  <si>
    <r>
      <rPr>
        <sz val="12"/>
        <rFont val="宋体"/>
        <charset val="134"/>
      </rPr>
      <t>δ</t>
    </r>
    <r>
      <rPr>
        <vertAlign val="subscript"/>
        <sz val="12"/>
        <rFont val="Times New Roman"/>
        <family val="1"/>
      </rPr>
      <t>max</t>
    </r>
  </si>
  <si>
    <r>
      <rPr>
        <sz val="12"/>
        <rFont val="宋体"/>
        <charset val="134"/>
      </rPr>
      <t>灰铸铁</t>
    </r>
    <r>
      <rPr>
        <sz val="12"/>
        <rFont val="Times New Roman"/>
        <family val="1"/>
      </rPr>
      <t>HT150</t>
    </r>
    <r>
      <rPr>
        <sz val="12"/>
        <rFont val="宋体"/>
        <charset val="134"/>
      </rPr>
      <t>、</t>
    </r>
    <r>
      <rPr>
        <sz val="12"/>
        <rFont val="Times New Roman"/>
        <family val="1"/>
      </rPr>
      <t>HT200</t>
    </r>
  </si>
  <si>
    <t>70~80</t>
  </si>
  <si>
    <t>0.24~0.25</t>
  </si>
  <si>
    <r>
      <rPr>
        <sz val="12"/>
        <rFont val="宋体"/>
        <charset val="134"/>
      </rPr>
      <t>包容件弹性模量</t>
    </r>
    <r>
      <rPr>
        <sz val="12"/>
        <rFont val="Times New Roman"/>
        <family val="1"/>
      </rPr>
      <t>(N/mm²)</t>
    </r>
  </si>
  <si>
    <r>
      <rPr>
        <sz val="12"/>
        <rFont val="Times New Roman"/>
        <family val="1"/>
      </rPr>
      <t>E</t>
    </r>
    <r>
      <rPr>
        <vertAlign val="subscript"/>
        <sz val="12"/>
        <rFont val="Times New Roman"/>
        <family val="1"/>
      </rPr>
      <t>a</t>
    </r>
  </si>
  <si>
    <r>
      <rPr>
        <sz val="12"/>
        <rFont val="宋体"/>
        <charset val="134"/>
      </rPr>
      <t>灰铸铁</t>
    </r>
    <r>
      <rPr>
        <sz val="12"/>
        <rFont val="Times New Roman"/>
        <family val="1"/>
      </rPr>
      <t>HT250</t>
    </r>
    <r>
      <rPr>
        <sz val="12"/>
        <rFont val="宋体"/>
        <charset val="134"/>
      </rPr>
      <t>、</t>
    </r>
    <r>
      <rPr>
        <sz val="12"/>
        <rFont val="Times New Roman"/>
        <family val="1"/>
      </rPr>
      <t>HT300</t>
    </r>
  </si>
  <si>
    <t>105~130</t>
  </si>
  <si>
    <t>0.24~0.26</t>
  </si>
  <si>
    <r>
      <rPr>
        <sz val="12"/>
        <rFont val="宋体"/>
        <charset val="134"/>
      </rPr>
      <t>被包容件弹性模量</t>
    </r>
    <r>
      <rPr>
        <sz val="12"/>
        <rFont val="Times New Roman"/>
        <family val="1"/>
      </rPr>
      <t>(N/mm</t>
    </r>
    <r>
      <rPr>
        <sz val="12"/>
        <rFont val="宋体"/>
        <charset val="134"/>
      </rPr>
      <t>²</t>
    </r>
    <r>
      <rPr>
        <sz val="12"/>
        <rFont val="Times New Roman"/>
        <family val="1"/>
      </rPr>
      <t>)</t>
    </r>
  </si>
  <si>
    <r>
      <rPr>
        <sz val="12"/>
        <rFont val="Times New Roman"/>
        <family val="1"/>
      </rPr>
      <t>E</t>
    </r>
    <r>
      <rPr>
        <vertAlign val="subscript"/>
        <sz val="12"/>
        <rFont val="Times New Roman"/>
        <family val="1"/>
      </rPr>
      <t>i</t>
    </r>
  </si>
  <si>
    <t>90~100</t>
  </si>
  <si>
    <r>
      <rPr>
        <sz val="12"/>
        <rFont val="宋体"/>
        <charset val="134"/>
      </rPr>
      <t>包容件外径</t>
    </r>
    <r>
      <rPr>
        <sz val="12"/>
        <rFont val="Times New Roman"/>
        <family val="1"/>
      </rPr>
      <t>(mm)</t>
    </r>
  </si>
  <si>
    <r>
      <rPr>
        <sz val="12"/>
        <rFont val="Times New Roman"/>
        <family val="1"/>
      </rPr>
      <t>d</t>
    </r>
    <r>
      <rPr>
        <vertAlign val="subscript"/>
        <sz val="12"/>
        <rFont val="Times New Roman"/>
        <family val="1"/>
      </rPr>
      <t>a</t>
    </r>
  </si>
  <si>
    <t>非合金球墨铸铁</t>
  </si>
  <si>
    <t>160~180</t>
  </si>
  <si>
    <t>0.28~0.29</t>
  </si>
  <si>
    <r>
      <rPr>
        <sz val="12"/>
        <rFont val="宋体"/>
        <charset val="134"/>
      </rPr>
      <t>被包容件内径</t>
    </r>
    <r>
      <rPr>
        <sz val="12"/>
        <rFont val="Times New Roman"/>
        <family val="1"/>
      </rPr>
      <t>(mm)</t>
    </r>
  </si>
  <si>
    <r>
      <rPr>
        <sz val="12"/>
        <rFont val="Times New Roman"/>
        <family val="1"/>
      </rPr>
      <t>d</t>
    </r>
    <r>
      <rPr>
        <vertAlign val="subscript"/>
        <sz val="12"/>
        <rFont val="Times New Roman"/>
        <family val="1"/>
      </rPr>
      <t>i</t>
    </r>
  </si>
  <si>
    <t>青铜</t>
  </si>
  <si>
    <t>无润滑</t>
  </si>
  <si>
    <t>有润滑</t>
  </si>
  <si>
    <r>
      <rPr>
        <sz val="12"/>
        <rFont val="宋体"/>
        <charset val="134"/>
      </rPr>
      <t>系数</t>
    </r>
    <r>
      <rPr>
        <sz val="12"/>
        <rFont val="Times New Roman"/>
        <family val="1"/>
      </rPr>
      <t>C</t>
    </r>
    <r>
      <rPr>
        <vertAlign val="subscript"/>
        <sz val="12"/>
        <rFont val="Times New Roman"/>
        <family val="1"/>
      </rPr>
      <t>a</t>
    </r>
  </si>
  <si>
    <r>
      <rPr>
        <sz val="12"/>
        <rFont val="Times New Roman"/>
        <family val="1"/>
      </rPr>
      <t>C</t>
    </r>
    <r>
      <rPr>
        <vertAlign val="subscript"/>
        <sz val="12"/>
        <rFont val="Times New Roman"/>
        <family val="1"/>
      </rPr>
      <t>a</t>
    </r>
  </si>
  <si>
    <r>
      <rPr>
        <sz val="12"/>
        <rFont val="宋体"/>
        <charset val="134"/>
      </rPr>
      <t>钢</t>
    </r>
    <r>
      <rPr>
        <sz val="12"/>
        <rFont val="Times New Roman"/>
        <family val="1"/>
      </rPr>
      <t>-</t>
    </r>
    <r>
      <rPr>
        <sz val="12"/>
        <rFont val="宋体"/>
        <charset val="134"/>
      </rPr>
      <t>钢</t>
    </r>
  </si>
  <si>
    <t>0.07~0.16</t>
  </si>
  <si>
    <t>0.05~0.13</t>
  </si>
  <si>
    <r>
      <rPr>
        <sz val="12"/>
        <rFont val="宋体"/>
        <charset val="134"/>
      </rPr>
      <t>系数</t>
    </r>
    <r>
      <rPr>
        <sz val="12"/>
        <rFont val="Times New Roman"/>
        <family val="1"/>
      </rPr>
      <t>C</t>
    </r>
    <r>
      <rPr>
        <vertAlign val="subscript"/>
        <sz val="12"/>
        <rFont val="Times New Roman"/>
        <family val="1"/>
      </rPr>
      <t>i</t>
    </r>
  </si>
  <si>
    <r>
      <rPr>
        <sz val="12"/>
        <rFont val="Times New Roman"/>
        <family val="1"/>
      </rPr>
      <t>C</t>
    </r>
    <r>
      <rPr>
        <vertAlign val="subscript"/>
        <sz val="12"/>
        <rFont val="Times New Roman"/>
        <family val="1"/>
      </rPr>
      <t>i</t>
    </r>
  </si>
  <si>
    <r>
      <rPr>
        <sz val="12"/>
        <rFont val="宋体"/>
        <charset val="134"/>
      </rPr>
      <t>钢</t>
    </r>
    <r>
      <rPr>
        <sz val="12"/>
        <rFont val="Times New Roman"/>
        <family val="1"/>
      </rPr>
      <t>-</t>
    </r>
    <r>
      <rPr>
        <sz val="12"/>
        <rFont val="宋体"/>
        <charset val="134"/>
      </rPr>
      <t>铸钢</t>
    </r>
  </si>
  <si>
    <r>
      <rPr>
        <sz val="12"/>
        <rFont val="宋体"/>
        <charset val="134"/>
      </rPr>
      <t>结合面最大单位压力</t>
    </r>
    <r>
      <rPr>
        <sz val="12"/>
        <rFont val="Times New Roman"/>
        <family val="1"/>
      </rPr>
      <t>(N/mm</t>
    </r>
    <r>
      <rPr>
        <vertAlign val="superscript"/>
        <sz val="12"/>
        <rFont val="Times New Roman"/>
        <family val="1"/>
      </rPr>
      <t>2</t>
    </r>
    <r>
      <rPr>
        <sz val="12"/>
        <rFont val="Times New Roman"/>
        <family val="1"/>
      </rPr>
      <t>)</t>
    </r>
  </si>
  <si>
    <r>
      <rPr>
        <sz val="12"/>
        <rFont val="Times New Roman"/>
        <family val="1"/>
      </rPr>
      <t>P</t>
    </r>
    <r>
      <rPr>
        <vertAlign val="subscript"/>
        <sz val="12"/>
        <rFont val="Times New Roman"/>
        <family val="1"/>
      </rPr>
      <t>fmax</t>
    </r>
  </si>
  <si>
    <r>
      <rPr>
        <sz val="12"/>
        <rFont val="宋体"/>
        <charset val="134"/>
      </rPr>
      <t>钢</t>
    </r>
    <r>
      <rPr>
        <sz val="12"/>
        <rFont val="Times New Roman"/>
        <family val="1"/>
      </rPr>
      <t>-</t>
    </r>
    <r>
      <rPr>
        <sz val="12"/>
        <rFont val="宋体"/>
        <charset val="134"/>
      </rPr>
      <t>结构钢</t>
    </r>
  </si>
  <si>
    <r>
      <rPr>
        <sz val="12"/>
        <rFont val="宋体"/>
        <charset val="134"/>
      </rPr>
      <t>钢</t>
    </r>
    <r>
      <rPr>
        <sz val="12"/>
        <rFont val="Times New Roman"/>
        <family val="1"/>
      </rPr>
      <t>-</t>
    </r>
    <r>
      <rPr>
        <sz val="12"/>
        <rFont val="宋体"/>
        <charset val="134"/>
      </rPr>
      <t>优质结构钢</t>
    </r>
  </si>
  <si>
    <r>
      <rPr>
        <b/>
        <sz val="22"/>
        <color indexed="14"/>
        <rFont val="宋体"/>
        <charset val="134"/>
      </rPr>
      <t>压入力</t>
    </r>
    <r>
      <rPr>
        <b/>
        <sz val="22"/>
        <color indexed="14"/>
        <rFont val="Times New Roman"/>
        <family val="1"/>
      </rPr>
      <t>(kg)</t>
    </r>
  </si>
  <si>
    <r>
      <rPr>
        <sz val="12"/>
        <rFont val="宋体"/>
        <charset val="134"/>
      </rPr>
      <t>钢</t>
    </r>
    <r>
      <rPr>
        <sz val="12"/>
        <rFont val="Times New Roman"/>
        <family val="1"/>
      </rPr>
      <t>-</t>
    </r>
    <r>
      <rPr>
        <sz val="12"/>
        <rFont val="宋体"/>
        <charset val="134"/>
      </rPr>
      <t>青铜</t>
    </r>
  </si>
  <si>
    <t>0.15~0.20</t>
  </si>
  <si>
    <t>0.03~0.06</t>
  </si>
  <si>
    <r>
      <rPr>
        <sz val="12"/>
        <rFont val="宋体"/>
        <charset val="134"/>
      </rPr>
      <t>注：</t>
    </r>
    <r>
      <rPr>
        <sz val="12"/>
        <rFont val="Times New Roman"/>
        <family val="1"/>
      </rPr>
      <t>1</t>
    </r>
    <r>
      <rPr>
        <sz val="12"/>
        <rFont val="宋体"/>
        <charset val="134"/>
      </rPr>
      <t>、仅需填写（</t>
    </r>
    <r>
      <rPr>
        <sz val="12"/>
        <rFont val="Times New Roman"/>
        <family val="1"/>
      </rPr>
      <t>1</t>
    </r>
    <r>
      <rPr>
        <sz val="12"/>
        <rFont val="宋体"/>
        <charset val="134"/>
      </rPr>
      <t>－</t>
    </r>
    <r>
      <rPr>
        <sz val="12"/>
        <rFont val="Times New Roman"/>
        <family val="1"/>
      </rPr>
      <t>9</t>
    </r>
    <r>
      <rPr>
        <sz val="12"/>
        <rFont val="宋体"/>
        <charset val="134"/>
      </rPr>
      <t>）项即红色部分即可；</t>
    </r>
  </si>
  <si>
    <r>
      <rPr>
        <sz val="12"/>
        <rFont val="宋体"/>
        <charset val="134"/>
      </rPr>
      <t>钢</t>
    </r>
    <r>
      <rPr>
        <sz val="12"/>
        <rFont val="Times New Roman"/>
        <family val="1"/>
      </rPr>
      <t>-</t>
    </r>
    <r>
      <rPr>
        <sz val="12"/>
        <rFont val="宋体"/>
        <charset val="134"/>
      </rPr>
      <t>铸铁</t>
    </r>
  </si>
  <si>
    <t>0.12~0.15</t>
  </si>
  <si>
    <t>0.05~0.10</t>
  </si>
  <si>
    <r>
      <rPr>
        <sz val="12"/>
        <rFont val="Times New Roman"/>
        <family val="1"/>
      </rPr>
      <t xml:space="preserve">        2</t>
    </r>
    <r>
      <rPr>
        <sz val="12"/>
        <rFont val="宋体"/>
        <charset val="134"/>
      </rPr>
      <t>、被包容件为实心轴时</t>
    </r>
    <r>
      <rPr>
        <sz val="12"/>
        <rFont val="Times New Roman"/>
        <family val="1"/>
      </rPr>
      <t>di=0</t>
    </r>
    <r>
      <rPr>
        <sz val="12"/>
        <rFont val="宋体"/>
        <charset val="134"/>
      </rPr>
      <t>；</t>
    </r>
  </si>
  <si>
    <r>
      <rPr>
        <sz val="12"/>
        <rFont val="宋体"/>
        <charset val="134"/>
      </rPr>
      <t>铸铁</t>
    </r>
    <r>
      <rPr>
        <sz val="12"/>
        <rFont val="Times New Roman"/>
        <family val="1"/>
      </rPr>
      <t>-</t>
    </r>
    <r>
      <rPr>
        <sz val="12"/>
        <rFont val="宋体"/>
        <charset val="134"/>
      </rPr>
      <t>铸铁</t>
    </r>
  </si>
  <si>
    <t>0.15~0.25</t>
  </si>
  <si>
    <r>
      <rPr>
        <sz val="12"/>
        <rFont val="Times New Roman"/>
        <family val="1"/>
      </rPr>
      <t xml:space="preserve">        3</t>
    </r>
    <r>
      <rPr>
        <sz val="12"/>
        <rFont val="宋体"/>
        <charset val="134"/>
      </rPr>
      <t>、压装机所需的压力一般为压入力的</t>
    </r>
    <r>
      <rPr>
        <sz val="12"/>
        <rFont val="Times New Roman"/>
        <family val="1"/>
      </rPr>
      <t>3</t>
    </r>
    <r>
      <rPr>
        <sz val="12"/>
        <rFont val="宋体"/>
        <charset val="134"/>
      </rPr>
      <t>～</t>
    </r>
    <r>
      <rPr>
        <sz val="12"/>
        <rFont val="Times New Roman"/>
        <family val="1"/>
      </rPr>
      <t>3.6</t>
    </r>
    <r>
      <rPr>
        <sz val="12"/>
        <rFont val="宋体"/>
        <charset val="134"/>
      </rPr>
      <t>倍</t>
    </r>
  </si>
  <si>
    <r>
      <rPr>
        <sz val="12"/>
        <rFont val="Times New Roman"/>
        <family val="1"/>
      </rPr>
      <t>1</t>
    </r>
    <r>
      <rPr>
        <sz val="12"/>
        <rFont val="宋体"/>
        <charset val="134"/>
      </rPr>
      <t>、已知工作机的线速度</t>
    </r>
    <r>
      <rPr>
        <sz val="12"/>
        <rFont val="Times New Roman"/>
        <family val="1"/>
      </rPr>
      <t>v</t>
    </r>
    <r>
      <rPr>
        <sz val="12"/>
        <rFont val="宋体"/>
        <charset val="134"/>
      </rPr>
      <t>及最大工作阻力</t>
    </r>
    <r>
      <rPr>
        <sz val="12"/>
        <rFont val="Times New Roman"/>
        <family val="1"/>
      </rPr>
      <t>F,</t>
    </r>
    <r>
      <rPr>
        <sz val="12"/>
        <rFont val="宋体"/>
        <charset val="134"/>
      </rPr>
      <t>求工作机所需输入功率</t>
    </r>
    <r>
      <rPr>
        <sz val="12"/>
        <rFont val="Times New Roman"/>
        <family val="1"/>
      </rPr>
      <t>Pw</t>
    </r>
  </si>
  <si>
    <t>工作机最大线速度Vw</t>
  </si>
  <si>
    <t>工作机有效工作阻力F</t>
  </si>
  <si>
    <t>工作机效率ηw</t>
  </si>
  <si>
    <r>
      <rPr>
        <sz val="12"/>
        <rFont val="宋体"/>
        <charset val="134"/>
      </rPr>
      <t>计算结果P</t>
    </r>
    <r>
      <rPr>
        <sz val="12"/>
        <rFont val="Times New Roman"/>
        <family val="1"/>
      </rPr>
      <t>w(Kw)</t>
    </r>
  </si>
  <si>
    <r>
      <rPr>
        <sz val="12"/>
        <rFont val="Times New Roman"/>
        <family val="1"/>
      </rPr>
      <t>2</t>
    </r>
    <r>
      <rPr>
        <sz val="12"/>
        <rFont val="宋体"/>
        <charset val="134"/>
      </rPr>
      <t>、已知工作机的阻力矩</t>
    </r>
    <r>
      <rPr>
        <sz val="12"/>
        <rFont val="Times New Roman"/>
        <family val="1"/>
      </rPr>
      <t>Mw</t>
    </r>
    <r>
      <rPr>
        <sz val="12"/>
        <rFont val="宋体"/>
        <charset val="134"/>
      </rPr>
      <t>及转速</t>
    </r>
    <r>
      <rPr>
        <sz val="12"/>
        <rFont val="Times New Roman"/>
        <family val="1"/>
      </rPr>
      <t>nw,</t>
    </r>
    <r>
      <rPr>
        <sz val="12"/>
        <rFont val="宋体"/>
        <charset val="134"/>
      </rPr>
      <t>求工作机所需输入功率</t>
    </r>
    <r>
      <rPr>
        <sz val="12"/>
        <rFont val="Times New Roman"/>
        <family val="1"/>
      </rPr>
      <t>Pw</t>
    </r>
  </si>
  <si>
    <t>工作机的阻力矩Mw</t>
  </si>
  <si>
    <t>工作机的转速nw</t>
  </si>
  <si>
    <t>3、求一定功率的电机在一定转速下所能产生的最大转矩</t>
  </si>
  <si>
    <t>电机额定功率Pd</t>
  </si>
  <si>
    <t>电机转速nd</t>
  </si>
  <si>
    <t>电机到减速器之间的传动效率ηd</t>
  </si>
  <si>
    <r>
      <rPr>
        <sz val="12"/>
        <rFont val="宋体"/>
        <charset val="134"/>
      </rPr>
      <t>计算结果</t>
    </r>
    <r>
      <rPr>
        <sz val="12"/>
        <rFont val="Times New Roman"/>
        <family val="1"/>
      </rPr>
      <t>Md(N.M)</t>
    </r>
  </si>
  <si>
    <r>
      <rPr>
        <sz val="12"/>
        <rFont val="宋体"/>
        <charset val="134"/>
      </rPr>
      <t>计算结果</t>
    </r>
    <r>
      <rPr>
        <sz val="12"/>
        <rFont val="Times New Roman"/>
        <family val="1"/>
      </rPr>
      <t>Md(Kgf.M)</t>
    </r>
  </si>
  <si>
    <t>已知条件:Z1,Z2,m(mf),β,A</t>
  </si>
  <si>
    <t>直齿轮</t>
  </si>
  <si>
    <t>斜齿轮</t>
  </si>
  <si>
    <t>人字齿轮</t>
  </si>
  <si>
    <t>小齿轮</t>
  </si>
  <si>
    <t>大齿轮</t>
  </si>
  <si>
    <t>模数</t>
  </si>
  <si>
    <t>mf（法向模数)</t>
  </si>
  <si>
    <t>mdu（端向模数)</t>
  </si>
  <si>
    <t>中心距</t>
  </si>
  <si>
    <t>未变位的中心距</t>
  </si>
  <si>
    <t>A0</t>
  </si>
  <si>
    <t>中心距变动系数</t>
  </si>
  <si>
    <t>压力角</t>
  </si>
  <si>
    <t>啮合角</t>
  </si>
  <si>
    <t>α＇</t>
  </si>
  <si>
    <t>总变位系数</t>
  </si>
  <si>
    <t>ξ∑</t>
  </si>
  <si>
    <t>变位系数</t>
  </si>
  <si>
    <t>ξ1</t>
  </si>
  <si>
    <t>ξ2</t>
  </si>
  <si>
    <t>齿高变动系数</t>
  </si>
  <si>
    <t>△y</t>
  </si>
  <si>
    <t>△yf</t>
  </si>
  <si>
    <t>小轮分度圆直径</t>
  </si>
  <si>
    <t>Dfe1</t>
  </si>
  <si>
    <t>大轮分度圆直径</t>
  </si>
  <si>
    <t>Dfe2</t>
  </si>
  <si>
    <t>齿顶高</t>
  </si>
  <si>
    <t>hdi</t>
  </si>
  <si>
    <t>齿根高</t>
  </si>
  <si>
    <t>hg</t>
  </si>
  <si>
    <t>全齿高</t>
  </si>
  <si>
    <t>Df1</t>
  </si>
  <si>
    <t>Df2</t>
  </si>
  <si>
    <t>Dg</t>
  </si>
  <si>
    <t>齿轮齿条传动几何尺寸计算</t>
  </si>
  <si>
    <t>直齿</t>
  </si>
  <si>
    <r>
      <rPr>
        <sz val="12"/>
        <rFont val="宋体"/>
        <charset val="134"/>
      </rPr>
      <t>Z</t>
    </r>
    <r>
      <rPr>
        <sz val="12"/>
        <rFont val="宋体"/>
        <charset val="134"/>
      </rPr>
      <t>1</t>
    </r>
  </si>
  <si>
    <t>齿顶高系数</t>
  </si>
  <si>
    <r>
      <rPr>
        <sz val="12"/>
        <rFont val="宋体"/>
        <charset val="134"/>
      </rPr>
      <t>h</t>
    </r>
    <r>
      <rPr>
        <sz val="12"/>
        <rFont val="宋体"/>
        <charset val="134"/>
      </rPr>
      <t>a*</t>
    </r>
  </si>
  <si>
    <r>
      <rPr>
        <sz val="12"/>
        <rFont val="宋体"/>
        <charset val="134"/>
      </rPr>
      <t>ha*</t>
    </r>
    <r>
      <rPr>
        <sz val="12"/>
        <rFont val="宋体"/>
        <charset val="134"/>
      </rPr>
      <t>=1</t>
    </r>
  </si>
  <si>
    <t>顶隙系数</t>
  </si>
  <si>
    <r>
      <rPr>
        <sz val="12"/>
        <rFont val="宋体"/>
        <charset val="134"/>
      </rPr>
      <t>c</t>
    </r>
    <r>
      <rPr>
        <sz val="12"/>
        <rFont val="宋体"/>
        <charset val="134"/>
      </rPr>
      <t>*</t>
    </r>
  </si>
  <si>
    <r>
      <rPr>
        <sz val="12"/>
        <rFont val="宋体"/>
        <charset val="134"/>
      </rPr>
      <t>c</t>
    </r>
    <r>
      <rPr>
        <sz val="12"/>
        <rFont val="宋体"/>
        <charset val="134"/>
      </rPr>
      <t>*=0.25</t>
    </r>
  </si>
  <si>
    <t>齿形角</t>
  </si>
  <si>
    <r>
      <rPr>
        <sz val="12"/>
        <rFont val="宋体"/>
        <charset val="134"/>
      </rPr>
      <t>α=</t>
    </r>
    <r>
      <rPr>
        <sz val="12"/>
        <rFont val="宋体"/>
        <charset val="134"/>
      </rPr>
      <t>20</t>
    </r>
    <r>
      <rPr>
        <sz val="12"/>
        <rFont val="楷体_GB2312"/>
        <charset val="134"/>
      </rPr>
      <t>°</t>
    </r>
  </si>
  <si>
    <t>变全系数</t>
  </si>
  <si>
    <r>
      <rPr>
        <sz val="12"/>
        <rFont val="宋体"/>
        <charset val="134"/>
      </rPr>
      <t>齿条运动速度(</t>
    </r>
    <r>
      <rPr>
        <sz val="12"/>
        <rFont val="宋体"/>
        <charset val="134"/>
      </rPr>
      <t>mm/s)</t>
    </r>
  </si>
  <si>
    <r>
      <rPr>
        <sz val="12"/>
        <rFont val="宋体"/>
        <charset val="134"/>
      </rPr>
      <t>V=</t>
    </r>
    <r>
      <rPr>
        <sz val="12"/>
        <rFont val="楷体_GB2312"/>
        <charset val="134"/>
      </rPr>
      <t>π</t>
    </r>
    <r>
      <rPr>
        <sz val="12"/>
        <rFont val="宋体"/>
        <charset val="134"/>
      </rPr>
      <t>d1n1/60</t>
    </r>
  </si>
  <si>
    <r>
      <rPr>
        <sz val="12"/>
        <rFont val="宋体"/>
        <charset val="134"/>
      </rPr>
      <t>齿轮转速(</t>
    </r>
    <r>
      <rPr>
        <sz val="12"/>
        <rFont val="宋体"/>
        <charset val="134"/>
      </rPr>
      <t>RPM)</t>
    </r>
  </si>
  <si>
    <r>
      <rPr>
        <sz val="12"/>
        <rFont val="宋体"/>
        <charset val="134"/>
      </rPr>
      <t>n</t>
    </r>
    <r>
      <rPr>
        <sz val="12"/>
        <rFont val="宋体"/>
        <charset val="134"/>
      </rPr>
      <t>1</t>
    </r>
  </si>
  <si>
    <r>
      <rPr>
        <sz val="12"/>
        <rFont val="宋体"/>
        <charset val="134"/>
      </rPr>
      <t>分度圆直径(</t>
    </r>
    <r>
      <rPr>
        <sz val="12"/>
        <rFont val="宋体"/>
        <charset val="134"/>
      </rPr>
      <t>mm)</t>
    </r>
  </si>
  <si>
    <r>
      <rPr>
        <sz val="12"/>
        <rFont val="宋体"/>
        <charset val="134"/>
      </rPr>
      <t>d</t>
    </r>
    <r>
      <rPr>
        <sz val="12"/>
        <rFont val="宋体"/>
        <charset val="134"/>
      </rPr>
      <t>1=MZ1</t>
    </r>
  </si>
  <si>
    <t>齿顶高(mm)</t>
  </si>
  <si>
    <r>
      <rPr>
        <sz val="12"/>
        <rFont val="宋体"/>
        <charset val="134"/>
      </rPr>
      <t>h</t>
    </r>
    <r>
      <rPr>
        <sz val="12"/>
        <rFont val="宋体"/>
        <charset val="134"/>
      </rPr>
      <t>a</t>
    </r>
  </si>
  <si>
    <r>
      <rPr>
        <sz val="12"/>
        <rFont val="宋体"/>
        <charset val="134"/>
      </rPr>
      <t>h</t>
    </r>
    <r>
      <rPr>
        <sz val="12"/>
        <rFont val="宋体"/>
        <charset val="134"/>
      </rPr>
      <t>a1=(ha*+X1)M</t>
    </r>
  </si>
  <si>
    <r>
      <rPr>
        <sz val="12"/>
        <rFont val="宋体"/>
        <charset val="134"/>
      </rPr>
      <t>h</t>
    </r>
    <r>
      <rPr>
        <sz val="12"/>
        <rFont val="宋体"/>
        <charset val="134"/>
      </rPr>
      <t>a2=ha*M</t>
    </r>
  </si>
  <si>
    <t>齿根高(mm)</t>
  </si>
  <si>
    <r>
      <rPr>
        <sz val="12"/>
        <rFont val="宋体"/>
        <charset val="134"/>
      </rPr>
      <t>h</t>
    </r>
    <r>
      <rPr>
        <sz val="12"/>
        <rFont val="宋体"/>
        <charset val="134"/>
      </rPr>
      <t>f</t>
    </r>
  </si>
  <si>
    <r>
      <rPr>
        <sz val="12"/>
        <rFont val="宋体"/>
        <charset val="134"/>
      </rPr>
      <t>h</t>
    </r>
    <r>
      <rPr>
        <sz val="12"/>
        <rFont val="宋体"/>
        <charset val="134"/>
      </rPr>
      <t>f1=(ha*+c*-X1)M</t>
    </r>
  </si>
  <si>
    <r>
      <rPr>
        <sz val="12"/>
        <rFont val="宋体"/>
        <charset val="134"/>
      </rPr>
      <t>h</t>
    </r>
    <r>
      <rPr>
        <sz val="12"/>
        <rFont val="宋体"/>
        <charset val="134"/>
      </rPr>
      <t>f2=(ha*+c*)M</t>
    </r>
  </si>
  <si>
    <r>
      <rPr>
        <sz val="12"/>
        <rFont val="宋体"/>
        <charset val="134"/>
      </rPr>
      <t>h</t>
    </r>
    <r>
      <rPr>
        <sz val="12"/>
        <rFont val="宋体"/>
        <charset val="134"/>
      </rPr>
      <t>1=ha1+hf1</t>
    </r>
  </si>
  <si>
    <r>
      <rPr>
        <sz val="12"/>
        <rFont val="宋体"/>
        <charset val="134"/>
      </rPr>
      <t>h</t>
    </r>
    <r>
      <rPr>
        <sz val="12"/>
        <rFont val="宋体"/>
        <charset val="134"/>
      </rPr>
      <t>2=ha2+hf2</t>
    </r>
  </si>
  <si>
    <t>齿顶圆直径(mm)</t>
  </si>
  <si>
    <r>
      <rPr>
        <sz val="12"/>
        <rFont val="宋体"/>
        <charset val="134"/>
      </rPr>
      <t>d</t>
    </r>
    <r>
      <rPr>
        <sz val="12"/>
        <rFont val="宋体"/>
        <charset val="134"/>
      </rPr>
      <t>a</t>
    </r>
  </si>
  <si>
    <r>
      <rPr>
        <sz val="12"/>
        <rFont val="宋体"/>
        <charset val="134"/>
      </rPr>
      <t>d</t>
    </r>
    <r>
      <rPr>
        <sz val="12"/>
        <rFont val="宋体"/>
        <charset val="134"/>
      </rPr>
      <t>a1=d1+2ha1</t>
    </r>
  </si>
  <si>
    <t>齿根圆直径(mm)</t>
  </si>
  <si>
    <r>
      <rPr>
        <sz val="12"/>
        <rFont val="宋体"/>
        <charset val="134"/>
      </rPr>
      <t>d</t>
    </r>
    <r>
      <rPr>
        <sz val="12"/>
        <rFont val="宋体"/>
        <charset val="134"/>
      </rPr>
      <t>f</t>
    </r>
  </si>
  <si>
    <r>
      <rPr>
        <sz val="12"/>
        <rFont val="宋体"/>
        <charset val="134"/>
      </rPr>
      <t>d</t>
    </r>
    <r>
      <rPr>
        <sz val="12"/>
        <rFont val="宋体"/>
        <charset val="134"/>
      </rPr>
      <t>f1=d1-2hf1</t>
    </r>
  </si>
  <si>
    <r>
      <rPr>
        <sz val="12"/>
        <rFont val="宋体"/>
        <charset val="134"/>
      </rPr>
      <t>齿距(</t>
    </r>
    <r>
      <rPr>
        <sz val="12"/>
        <rFont val="宋体"/>
        <charset val="134"/>
      </rPr>
      <t>mm)</t>
    </r>
  </si>
  <si>
    <r>
      <rPr>
        <sz val="12"/>
        <rFont val="宋体"/>
        <charset val="134"/>
      </rPr>
      <t>P</t>
    </r>
    <r>
      <rPr>
        <sz val="12"/>
        <rFont val="宋体"/>
        <charset val="134"/>
      </rPr>
      <t>=</t>
    </r>
    <r>
      <rPr>
        <sz val="12"/>
        <rFont val="楷体_GB2312"/>
        <charset val="134"/>
      </rPr>
      <t>π</t>
    </r>
    <r>
      <rPr>
        <sz val="12"/>
        <rFont val="宋体"/>
        <charset val="134"/>
      </rPr>
      <t>M</t>
    </r>
  </si>
  <si>
    <t>齿轮中心到齿条基准线距离</t>
  </si>
  <si>
    <r>
      <rPr>
        <sz val="12"/>
        <rFont val="宋体"/>
        <charset val="134"/>
      </rPr>
      <t>H</t>
    </r>
    <r>
      <rPr>
        <sz val="12"/>
        <rFont val="宋体"/>
        <charset val="134"/>
      </rPr>
      <t>=d1/2+XM</t>
    </r>
  </si>
  <si>
    <r>
      <rPr>
        <sz val="12"/>
        <rFont val="宋体"/>
        <charset val="134"/>
      </rPr>
      <t>基圆直径(</t>
    </r>
    <r>
      <rPr>
        <sz val="12"/>
        <rFont val="宋体"/>
        <charset val="134"/>
      </rPr>
      <t>mm)</t>
    </r>
  </si>
  <si>
    <r>
      <rPr>
        <sz val="12"/>
        <rFont val="宋体"/>
        <charset val="134"/>
      </rPr>
      <t>d</t>
    </r>
    <r>
      <rPr>
        <sz val="12"/>
        <rFont val="宋体"/>
        <charset val="134"/>
      </rPr>
      <t>b</t>
    </r>
  </si>
  <si>
    <r>
      <rPr>
        <sz val="12"/>
        <rFont val="宋体"/>
        <charset val="134"/>
      </rPr>
      <t>d</t>
    </r>
    <r>
      <rPr>
        <sz val="12"/>
        <rFont val="宋体"/>
        <charset val="134"/>
      </rPr>
      <t>b1=d1cos</t>
    </r>
    <r>
      <rPr>
        <sz val="12"/>
        <rFont val="楷体_GB2312"/>
        <charset val="134"/>
      </rPr>
      <t>α</t>
    </r>
  </si>
  <si>
    <r>
      <rPr>
        <sz val="12"/>
        <rFont val="宋体"/>
        <charset val="134"/>
      </rPr>
      <t>齿顶圆压力角(</t>
    </r>
    <r>
      <rPr>
        <sz val="12"/>
        <rFont val="楷体_GB2312"/>
        <charset val="134"/>
      </rPr>
      <t>°</t>
    </r>
    <r>
      <rPr>
        <sz val="12"/>
        <rFont val="宋体"/>
        <charset val="134"/>
      </rPr>
      <t>)</t>
    </r>
  </si>
  <si>
    <r>
      <rPr>
        <sz val="14"/>
        <rFont val="楷体_GB2312"/>
        <charset val="134"/>
      </rPr>
      <t>α</t>
    </r>
    <r>
      <rPr>
        <sz val="12"/>
        <rFont val="宋体"/>
        <charset val="134"/>
      </rPr>
      <t>a</t>
    </r>
  </si>
  <si>
    <r>
      <rPr>
        <sz val="14"/>
        <rFont val="楷体_GB2312"/>
        <charset val="134"/>
      </rPr>
      <t>α</t>
    </r>
    <r>
      <rPr>
        <sz val="12"/>
        <rFont val="宋体"/>
        <charset val="134"/>
      </rPr>
      <t>a</t>
    </r>
    <r>
      <rPr>
        <sz val="12"/>
        <rFont val="宋体"/>
        <charset val="134"/>
      </rPr>
      <t>1=arccosdb1/da1</t>
    </r>
  </si>
  <si>
    <t>重合度</t>
  </si>
  <si>
    <t>计算法</t>
  </si>
  <si>
    <t>查图法</t>
  </si>
  <si>
    <t>材料牌号</t>
  </si>
  <si>
    <t>热处理种类</t>
  </si>
  <si>
    <t>截面尺寸</t>
  </si>
  <si>
    <t>硬度</t>
  </si>
  <si>
    <t>直径D，mm</t>
  </si>
  <si>
    <t>壁厚S，mm</t>
  </si>
  <si>
    <t>σb，N/mm2</t>
  </si>
  <si>
    <t>σs，N/mm2</t>
  </si>
  <si>
    <t>HB</t>
  </si>
  <si>
    <t>HRC</t>
  </si>
  <si>
    <t>调质钢</t>
  </si>
  <si>
    <t>正火</t>
  </si>
  <si>
    <t>≤100</t>
  </si>
  <si>
    <t>≤50</t>
  </si>
  <si>
    <t>169～217</t>
  </si>
  <si>
    <t>101～300</t>
  </si>
  <si>
    <t>51～150</t>
  </si>
  <si>
    <t>162～217</t>
  </si>
  <si>
    <t>301～500</t>
  </si>
  <si>
    <t>151～250</t>
  </si>
  <si>
    <t>501～800</t>
  </si>
  <si>
    <t>251～400</t>
  </si>
  <si>
    <t>156～217</t>
  </si>
  <si>
    <t>调    质</t>
  </si>
  <si>
    <t>229～286</t>
  </si>
  <si>
    <t>217～255</t>
  </si>
  <si>
    <t>197～255</t>
  </si>
  <si>
    <t>表面淬火</t>
  </si>
  <si>
    <t>40～50</t>
  </si>
  <si>
    <t>217～269</t>
  </si>
  <si>
    <t>301～400</t>
  </si>
  <si>
    <t>151～200</t>
  </si>
  <si>
    <t>401～500</t>
  </si>
  <si>
    <t>201～250</t>
  </si>
  <si>
    <t>196～255</t>
  </si>
  <si>
    <t>45～55</t>
  </si>
  <si>
    <t>101～200</t>
  </si>
  <si>
    <t>51～100</t>
  </si>
  <si>
    <t>201～300</t>
  </si>
  <si>
    <t>101～150</t>
  </si>
  <si>
    <t>50SiMn</t>
  </si>
  <si>
    <t>207～255</t>
  </si>
  <si>
    <t>45～50</t>
  </si>
  <si>
    <t>≤200</t>
  </si>
  <si>
    <t>241～286</t>
  </si>
  <si>
    <t>38SiMnMo</t>
  </si>
  <si>
    <t>196～241</t>
  </si>
  <si>
    <t>187～241</t>
  </si>
  <si>
    <t>37SiMnMoV</t>
  </si>
  <si>
    <t>调质</t>
  </si>
  <si>
    <t>269～302</t>
  </si>
  <si>
    <t>201～400</t>
  </si>
  <si>
    <t>401～600</t>
  </si>
  <si>
    <t>241～269</t>
  </si>
  <si>
    <t>50～55</t>
  </si>
  <si>
    <t>&gt;100～300</t>
  </si>
  <si>
    <t>&gt;50～150</t>
  </si>
  <si>
    <t>&gt;300～500</t>
  </si>
  <si>
    <t>&gt;150～250</t>
  </si>
  <si>
    <t>229～269</t>
  </si>
  <si>
    <t>&gt;500～800</t>
  </si>
  <si>
    <t>&gt;250～400</t>
  </si>
  <si>
    <t>48～55</t>
  </si>
  <si>
    <t>207～269</t>
  </si>
  <si>
    <t>40～45</t>
  </si>
  <si>
    <t>渗碳钢、氮化钢</t>
  </si>
  <si>
    <t>渗碳、淬火、回火</t>
  </si>
  <si>
    <t>≤60</t>
  </si>
  <si>
    <t>56～62</t>
  </si>
  <si>
    <t>氮     化</t>
  </si>
  <si>
    <t>53～60</t>
  </si>
  <si>
    <t>20CrMnTi</t>
  </si>
  <si>
    <t>57～63</t>
  </si>
  <si>
    <t>20CrMnMo</t>
  </si>
  <si>
    <t>38CrMoA1A</t>
  </si>
  <si>
    <t>调质氮化</t>
  </si>
  <si>
    <t>HV&gt;850</t>
  </si>
  <si>
    <t>20MnVB</t>
  </si>
  <si>
    <t>铸钢、合金铸钢</t>
  </si>
  <si>
    <t>ZG 310-570</t>
  </si>
  <si>
    <t>正    火</t>
  </si>
  <si>
    <t>163～197</t>
  </si>
  <si>
    <t>ZG 340-640</t>
  </si>
  <si>
    <t>179～207</t>
  </si>
  <si>
    <t>ZG 40Mn2</t>
  </si>
  <si>
    <t>正火、回火</t>
  </si>
  <si>
    <t>≥197</t>
  </si>
  <si>
    <t>ZG 35SiMn</t>
  </si>
  <si>
    <t>163～217</t>
  </si>
  <si>
    <t>197～248</t>
  </si>
  <si>
    <t>ZG 42SiMn</t>
  </si>
  <si>
    <t>ZG 50SiMn</t>
  </si>
  <si>
    <t>ZG 40Cr</t>
  </si>
  <si>
    <t>≤212</t>
  </si>
  <si>
    <t>228～321</t>
  </si>
  <si>
    <t>ZG 35CrMo</t>
  </si>
  <si>
    <t>179～241</t>
  </si>
  <si>
    <t>ZG 35CrMnSi</t>
  </si>
  <si>
    <t>197～269</t>
  </si>
  <si>
    <t>灰铸铁、球墨铸铁</t>
  </si>
  <si>
    <t>HT250</t>
  </si>
  <si>
    <t>&gt;4.0～10</t>
  </si>
  <si>
    <t>175～263</t>
  </si>
  <si>
    <t>&gt;10～20</t>
  </si>
  <si>
    <t>164～247</t>
  </si>
  <si>
    <t>&gt;20～30</t>
  </si>
  <si>
    <t>157～236</t>
  </si>
  <si>
    <t>&gt;30～50</t>
  </si>
  <si>
    <t>150～225</t>
  </si>
  <si>
    <t>HT300</t>
  </si>
  <si>
    <t>182～273</t>
  </si>
  <si>
    <t>169～255</t>
  </si>
  <si>
    <t>160～241</t>
  </si>
  <si>
    <t>HT350</t>
  </si>
  <si>
    <t>197～298</t>
  </si>
  <si>
    <t>171～257</t>
  </si>
  <si>
    <t>QT500-7</t>
  </si>
  <si>
    <t>170～230</t>
  </si>
  <si>
    <t>QT600-3</t>
  </si>
  <si>
    <t>190～270</t>
  </si>
  <si>
    <t>QT700-2</t>
  </si>
  <si>
    <t>225～305</t>
  </si>
  <si>
    <t>QT800-2</t>
  </si>
  <si>
    <t>245～335</t>
  </si>
  <si>
    <t>QT900-2</t>
  </si>
  <si>
    <t>280～360</t>
  </si>
  <si>
    <t>计算项目</t>
  </si>
  <si>
    <t>代   号</t>
  </si>
  <si>
    <t>公   式</t>
  </si>
  <si>
    <r>
      <rPr>
        <sz val="14"/>
        <rFont val="宋体"/>
        <charset val="134"/>
      </rPr>
      <t>A</t>
    </r>
    <r>
      <rPr>
        <sz val="18"/>
        <rFont val="宋体"/>
        <charset val="134"/>
      </rPr>
      <t>=</t>
    </r>
    <r>
      <rPr>
        <sz val="14"/>
        <rFont val="宋体"/>
        <charset val="134"/>
      </rPr>
      <t>0.5Mdu(Z2+q+2ξ)</t>
    </r>
  </si>
  <si>
    <r>
      <rPr>
        <sz val="14"/>
        <rFont val="宋体"/>
        <charset val="134"/>
      </rPr>
      <t>M</t>
    </r>
    <r>
      <rPr>
        <vertAlign val="subscript"/>
        <sz val="14"/>
        <rFont val="宋体"/>
        <charset val="134"/>
      </rPr>
      <t>du</t>
    </r>
  </si>
  <si>
    <r>
      <rPr>
        <sz val="14"/>
        <rFont val="宋体"/>
        <charset val="134"/>
      </rPr>
      <t>Mdu</t>
    </r>
    <r>
      <rPr>
        <sz val="18"/>
        <rFont val="宋体"/>
        <charset val="134"/>
      </rPr>
      <t>=</t>
    </r>
    <r>
      <rPr>
        <sz val="14"/>
        <rFont val="宋体"/>
        <charset val="134"/>
      </rPr>
      <t>2A/(Z2+q+2ξ)</t>
    </r>
  </si>
  <si>
    <t>轴截面齿形角</t>
  </si>
  <si>
    <r>
      <rPr>
        <sz val="14"/>
        <rFont val="宋体"/>
        <charset val="134"/>
      </rPr>
      <t>α</t>
    </r>
    <r>
      <rPr>
        <sz val="18"/>
        <rFont val="宋体"/>
        <charset val="134"/>
      </rPr>
      <t>=</t>
    </r>
    <r>
      <rPr>
        <sz val="14"/>
        <rFont val="宋体"/>
        <charset val="134"/>
      </rPr>
      <t>20°</t>
    </r>
  </si>
  <si>
    <t>传动比</t>
  </si>
  <si>
    <r>
      <rPr>
        <sz val="14"/>
        <rFont val="宋体"/>
        <charset val="134"/>
      </rPr>
      <t>i</t>
    </r>
    <r>
      <rPr>
        <sz val="18"/>
        <rFont val="宋体"/>
        <charset val="134"/>
      </rPr>
      <t>=</t>
    </r>
    <r>
      <rPr>
        <sz val="14"/>
        <rFont val="宋体"/>
        <charset val="134"/>
      </rPr>
      <t>Z2/Z1</t>
    </r>
    <r>
      <rPr>
        <sz val="18"/>
        <rFont val="宋体"/>
        <charset val="134"/>
      </rPr>
      <t>=</t>
    </r>
    <r>
      <rPr>
        <sz val="14"/>
        <rFont val="宋体"/>
        <charset val="134"/>
      </rPr>
      <t>n1/n2</t>
    </r>
  </si>
  <si>
    <t>ξ</t>
  </si>
  <si>
    <r>
      <rPr>
        <sz val="14"/>
        <rFont val="宋体"/>
        <charset val="134"/>
      </rPr>
      <t>ξ</t>
    </r>
    <r>
      <rPr>
        <sz val="18"/>
        <rFont val="宋体"/>
        <charset val="134"/>
      </rPr>
      <t>=</t>
    </r>
    <r>
      <rPr>
        <sz val="14"/>
        <rFont val="宋体"/>
        <charset val="134"/>
      </rPr>
      <t>(A/Mdu)-0.5(q+z2)</t>
    </r>
  </si>
  <si>
    <t>径向间隙</t>
  </si>
  <si>
    <r>
      <rPr>
        <sz val="18"/>
        <rFont val="宋体"/>
        <charset val="134"/>
      </rPr>
      <t>C=</t>
    </r>
    <r>
      <rPr>
        <sz val="14"/>
        <rFont val="宋体"/>
        <charset val="134"/>
      </rPr>
      <t>0.25Mdu</t>
    </r>
  </si>
  <si>
    <t>蜗        杆</t>
  </si>
  <si>
    <t>头数</t>
  </si>
  <si>
    <r>
      <rPr>
        <sz val="14"/>
        <rFont val="宋体"/>
        <charset val="134"/>
      </rPr>
      <t>Z1</t>
    </r>
    <r>
      <rPr>
        <sz val="18"/>
        <rFont val="宋体"/>
        <charset val="134"/>
      </rPr>
      <t>=</t>
    </r>
    <r>
      <rPr>
        <sz val="14"/>
        <rFont val="宋体"/>
        <charset val="134"/>
      </rPr>
      <t>1,2,4</t>
    </r>
  </si>
  <si>
    <t>特性系数</t>
  </si>
  <si>
    <r>
      <rPr>
        <sz val="14"/>
        <rFont val="宋体"/>
        <charset val="134"/>
      </rPr>
      <t>q</t>
    </r>
    <r>
      <rPr>
        <sz val="18"/>
        <rFont val="宋体"/>
        <charset val="134"/>
      </rPr>
      <t>=</t>
    </r>
    <r>
      <rPr>
        <sz val="14"/>
        <rFont val="宋体"/>
        <charset val="134"/>
      </rPr>
      <t>Dfe1/Mdu</t>
    </r>
  </si>
  <si>
    <r>
      <rPr>
        <sz val="14"/>
        <rFont val="宋体"/>
        <charset val="134"/>
      </rPr>
      <t>h</t>
    </r>
    <r>
      <rPr>
        <vertAlign val="subscript"/>
        <sz val="14"/>
        <rFont val="宋体"/>
        <charset val="134"/>
      </rPr>
      <t>di</t>
    </r>
  </si>
  <si>
    <r>
      <rPr>
        <sz val="14"/>
        <rFont val="宋体"/>
        <charset val="134"/>
      </rPr>
      <t>hdi</t>
    </r>
    <r>
      <rPr>
        <sz val="18"/>
        <rFont val="宋体"/>
        <charset val="134"/>
      </rPr>
      <t>=</t>
    </r>
    <r>
      <rPr>
        <sz val="14"/>
        <rFont val="宋体"/>
        <charset val="134"/>
      </rPr>
      <t>Mdu</t>
    </r>
  </si>
  <si>
    <r>
      <rPr>
        <sz val="14"/>
        <rFont val="宋体"/>
        <charset val="134"/>
      </rPr>
      <t>hg</t>
    </r>
    <r>
      <rPr>
        <sz val="18"/>
        <rFont val="宋体"/>
        <charset val="134"/>
      </rPr>
      <t>=</t>
    </r>
    <r>
      <rPr>
        <sz val="14"/>
        <rFont val="宋体"/>
        <charset val="134"/>
      </rPr>
      <t>1.25Mdu</t>
    </r>
  </si>
  <si>
    <r>
      <rPr>
        <sz val="14"/>
        <rFont val="宋体"/>
        <charset val="134"/>
      </rPr>
      <t>D</t>
    </r>
    <r>
      <rPr>
        <vertAlign val="subscript"/>
        <sz val="14"/>
        <rFont val="宋体"/>
        <charset val="134"/>
      </rPr>
      <t>fe1</t>
    </r>
  </si>
  <si>
    <r>
      <rPr>
        <sz val="14"/>
        <rFont val="宋体"/>
        <charset val="134"/>
      </rPr>
      <t>Dfe1</t>
    </r>
    <r>
      <rPr>
        <sz val="18"/>
        <rFont val="宋体"/>
        <charset val="134"/>
      </rPr>
      <t>=</t>
    </r>
    <r>
      <rPr>
        <sz val="14"/>
        <rFont val="宋体"/>
        <charset val="134"/>
      </rPr>
      <t>qMdu</t>
    </r>
  </si>
  <si>
    <t>节圆直径</t>
  </si>
  <si>
    <r>
      <rPr>
        <sz val="14"/>
        <rFont val="宋体"/>
        <charset val="134"/>
      </rPr>
      <t>D</t>
    </r>
    <r>
      <rPr>
        <vertAlign val="subscript"/>
        <sz val="14"/>
        <rFont val="宋体"/>
        <charset val="134"/>
      </rPr>
      <t>je1</t>
    </r>
  </si>
  <si>
    <r>
      <rPr>
        <sz val="14"/>
        <rFont val="宋体"/>
        <charset val="134"/>
      </rPr>
      <t>Dje1</t>
    </r>
    <r>
      <rPr>
        <sz val="18"/>
        <rFont val="宋体"/>
        <charset val="134"/>
      </rPr>
      <t>=</t>
    </r>
    <r>
      <rPr>
        <sz val="14"/>
        <rFont val="宋体"/>
        <charset val="134"/>
      </rPr>
      <t>Dfe1+2Mduξ=Mdu(q+2ξ)</t>
    </r>
  </si>
  <si>
    <r>
      <rPr>
        <sz val="14"/>
        <rFont val="宋体"/>
        <charset val="134"/>
      </rPr>
      <t>D</t>
    </r>
    <r>
      <rPr>
        <vertAlign val="subscript"/>
        <sz val="14"/>
        <rFont val="宋体"/>
        <charset val="134"/>
      </rPr>
      <t>di1</t>
    </r>
  </si>
  <si>
    <r>
      <rPr>
        <sz val="14"/>
        <rFont val="宋体"/>
        <charset val="134"/>
      </rPr>
      <t>Ddi1</t>
    </r>
    <r>
      <rPr>
        <sz val="18"/>
        <rFont val="宋体"/>
        <charset val="134"/>
      </rPr>
      <t>=</t>
    </r>
    <r>
      <rPr>
        <sz val="14"/>
        <rFont val="宋体"/>
        <charset val="134"/>
      </rPr>
      <t>Mdu(q+2)</t>
    </r>
  </si>
  <si>
    <r>
      <rPr>
        <sz val="14"/>
        <rFont val="宋体"/>
        <charset val="134"/>
      </rPr>
      <t>D</t>
    </r>
    <r>
      <rPr>
        <vertAlign val="subscript"/>
        <sz val="14"/>
        <rFont val="宋体"/>
        <charset val="134"/>
      </rPr>
      <t>g1</t>
    </r>
  </si>
  <si>
    <r>
      <rPr>
        <sz val="14"/>
        <rFont val="宋体"/>
        <charset val="134"/>
      </rPr>
      <t>Dg1</t>
    </r>
    <r>
      <rPr>
        <sz val="18"/>
        <rFont val="宋体"/>
        <charset val="134"/>
      </rPr>
      <t>=</t>
    </r>
    <r>
      <rPr>
        <sz val="14"/>
        <rFont val="宋体"/>
        <charset val="134"/>
      </rPr>
      <t>Mdu(q-2.5)</t>
    </r>
  </si>
  <si>
    <t>分度圆螺旋导角</t>
  </si>
  <si>
    <t>λ</t>
  </si>
  <si>
    <r>
      <rPr>
        <sz val="14"/>
        <rFont val="宋体"/>
        <charset val="134"/>
      </rPr>
      <t>λ</t>
    </r>
    <r>
      <rPr>
        <sz val="18"/>
        <rFont val="宋体"/>
        <charset val="134"/>
      </rPr>
      <t>=</t>
    </r>
    <r>
      <rPr>
        <sz val="14"/>
        <rFont val="宋体"/>
        <charset val="134"/>
      </rPr>
      <t>arctgZ1/q</t>
    </r>
  </si>
  <si>
    <t>法向模数</t>
  </si>
  <si>
    <r>
      <rPr>
        <sz val="14"/>
        <rFont val="宋体"/>
        <charset val="134"/>
      </rPr>
      <t>m</t>
    </r>
    <r>
      <rPr>
        <vertAlign val="subscript"/>
        <sz val="14"/>
        <rFont val="宋体"/>
        <charset val="134"/>
      </rPr>
      <t>f</t>
    </r>
  </si>
  <si>
    <r>
      <rPr>
        <sz val="14"/>
        <rFont val="宋体"/>
        <charset val="134"/>
      </rPr>
      <t>mf</t>
    </r>
    <r>
      <rPr>
        <sz val="18"/>
        <rFont val="宋体"/>
        <charset val="134"/>
      </rPr>
      <t>=</t>
    </r>
    <r>
      <rPr>
        <sz val="14"/>
        <rFont val="宋体"/>
        <charset val="134"/>
      </rPr>
      <t>Mducosλ</t>
    </r>
  </si>
  <si>
    <t>螺旋长度</t>
  </si>
  <si>
    <t>L☆</t>
  </si>
  <si>
    <r>
      <rPr>
        <sz val="14"/>
        <rFont val="宋体"/>
        <charset val="134"/>
      </rPr>
      <t>L</t>
    </r>
    <r>
      <rPr>
        <sz val="18"/>
        <rFont val="宋体"/>
        <charset val="134"/>
      </rPr>
      <t>=</t>
    </r>
    <r>
      <rPr>
        <sz val="14"/>
        <rFont val="宋体"/>
        <charset val="134"/>
      </rPr>
      <t>(12+0.1z2)Mdu</t>
    </r>
  </si>
  <si>
    <r>
      <rPr>
        <sz val="14"/>
        <rFont val="宋体"/>
        <charset val="134"/>
      </rPr>
      <t>Z1</t>
    </r>
    <r>
      <rPr>
        <sz val="18"/>
        <rFont val="宋体"/>
        <charset val="134"/>
      </rPr>
      <t>=</t>
    </r>
    <r>
      <rPr>
        <sz val="14"/>
        <rFont val="宋体"/>
        <charset val="134"/>
      </rPr>
      <t>1,2</t>
    </r>
  </si>
  <si>
    <r>
      <rPr>
        <sz val="14"/>
        <rFont val="宋体"/>
        <charset val="134"/>
      </rPr>
      <t>L</t>
    </r>
    <r>
      <rPr>
        <sz val="18"/>
        <rFont val="宋体"/>
        <charset val="134"/>
      </rPr>
      <t>=</t>
    </r>
    <r>
      <rPr>
        <sz val="14"/>
        <rFont val="宋体"/>
        <charset val="134"/>
      </rPr>
      <t>(13+0.1z2)Mdu</t>
    </r>
  </si>
  <si>
    <r>
      <rPr>
        <sz val="14"/>
        <rFont val="宋体"/>
        <charset val="134"/>
      </rPr>
      <t>Z1</t>
    </r>
    <r>
      <rPr>
        <sz val="18"/>
        <rFont val="宋体"/>
        <charset val="134"/>
      </rPr>
      <t>=</t>
    </r>
    <r>
      <rPr>
        <sz val="14"/>
        <rFont val="宋体"/>
        <charset val="134"/>
      </rPr>
      <t>4</t>
    </r>
  </si>
  <si>
    <t>轴截面齿距</t>
  </si>
  <si>
    <r>
      <rPr>
        <sz val="14"/>
        <rFont val="宋体"/>
        <charset val="134"/>
      </rPr>
      <t>P</t>
    </r>
    <r>
      <rPr>
        <sz val="18"/>
        <rFont val="宋体"/>
        <charset val="134"/>
      </rPr>
      <t>=</t>
    </r>
    <r>
      <rPr>
        <sz val="14"/>
        <rFont val="宋体"/>
        <charset val="134"/>
      </rPr>
      <t>πMdu</t>
    </r>
  </si>
  <si>
    <t>螺旋导程</t>
  </si>
  <si>
    <r>
      <rPr>
        <sz val="14"/>
        <rFont val="宋体"/>
        <charset val="134"/>
      </rPr>
      <t>P</t>
    </r>
    <r>
      <rPr>
        <vertAlign val="subscript"/>
        <sz val="14"/>
        <rFont val="宋体"/>
        <charset val="134"/>
      </rPr>
      <t>Z</t>
    </r>
  </si>
  <si>
    <r>
      <rPr>
        <sz val="14"/>
        <rFont val="宋体"/>
        <charset val="134"/>
      </rPr>
      <t>PZ</t>
    </r>
    <r>
      <rPr>
        <sz val="18"/>
        <rFont val="宋体"/>
        <charset val="134"/>
      </rPr>
      <t>=</t>
    </r>
    <r>
      <rPr>
        <sz val="14"/>
        <rFont val="宋体"/>
        <charset val="134"/>
      </rPr>
      <t>πMduZ1</t>
    </r>
  </si>
  <si>
    <t>螺牙沿分度圆柱上的轴向齿厚</t>
  </si>
  <si>
    <r>
      <rPr>
        <sz val="14"/>
        <rFont val="宋体"/>
        <charset val="134"/>
      </rPr>
      <t>S</t>
    </r>
    <r>
      <rPr>
        <vertAlign val="subscript"/>
        <sz val="14"/>
        <rFont val="宋体"/>
        <charset val="134"/>
      </rPr>
      <t>z1</t>
    </r>
  </si>
  <si>
    <r>
      <rPr>
        <sz val="14"/>
        <rFont val="宋体"/>
        <charset val="134"/>
      </rPr>
      <t>Sz1</t>
    </r>
    <r>
      <rPr>
        <sz val="18"/>
        <rFont val="宋体"/>
        <charset val="134"/>
      </rPr>
      <t>=</t>
    </r>
    <r>
      <rPr>
        <sz val="14"/>
        <rFont val="宋体"/>
        <charset val="134"/>
      </rPr>
      <t>0.45πMdu</t>
    </r>
  </si>
  <si>
    <t>螺牙沿分度圆柱上的法向齿厚</t>
  </si>
  <si>
    <r>
      <rPr>
        <sz val="14"/>
        <rFont val="宋体"/>
        <charset val="134"/>
      </rPr>
      <t>S</t>
    </r>
    <r>
      <rPr>
        <vertAlign val="subscript"/>
        <sz val="14"/>
        <rFont val="宋体"/>
        <charset val="134"/>
      </rPr>
      <t>f1</t>
    </r>
  </si>
  <si>
    <r>
      <rPr>
        <sz val="14"/>
        <rFont val="宋体"/>
        <charset val="134"/>
      </rPr>
      <t>Sf1</t>
    </r>
    <r>
      <rPr>
        <sz val="18"/>
        <rFont val="宋体"/>
        <charset val="134"/>
      </rPr>
      <t>=Sz1cosλ</t>
    </r>
  </si>
  <si>
    <t>齿厚测量高度</t>
  </si>
  <si>
    <t>h~</t>
  </si>
  <si>
    <r>
      <rPr>
        <sz val="14"/>
        <rFont val="宋体"/>
        <charset val="134"/>
      </rPr>
      <t>h~</t>
    </r>
    <r>
      <rPr>
        <sz val="18"/>
        <rFont val="宋体"/>
        <charset val="134"/>
      </rPr>
      <t>=</t>
    </r>
    <r>
      <rPr>
        <sz val="14"/>
        <rFont val="宋体"/>
        <charset val="134"/>
      </rPr>
      <t>Mdu</t>
    </r>
  </si>
  <si>
    <t>蜗   轮</t>
  </si>
  <si>
    <r>
      <rPr>
        <sz val="14"/>
        <rFont val="宋体"/>
        <charset val="134"/>
      </rPr>
      <t>Z</t>
    </r>
    <r>
      <rPr>
        <vertAlign val="subscript"/>
        <sz val="14"/>
        <rFont val="宋体"/>
        <charset val="134"/>
      </rPr>
      <t>2</t>
    </r>
  </si>
  <si>
    <r>
      <rPr>
        <sz val="14"/>
        <rFont val="宋体"/>
        <charset val="134"/>
      </rPr>
      <t>Z2</t>
    </r>
    <r>
      <rPr>
        <sz val="18"/>
        <rFont val="宋体"/>
        <charset val="134"/>
      </rPr>
      <t>=</t>
    </r>
    <r>
      <rPr>
        <sz val="14"/>
        <rFont val="宋体"/>
        <charset val="134"/>
      </rPr>
      <t>iZ1</t>
    </r>
  </si>
  <si>
    <r>
      <rPr>
        <sz val="14"/>
        <rFont val="宋体"/>
        <charset val="134"/>
      </rPr>
      <t>D</t>
    </r>
    <r>
      <rPr>
        <vertAlign val="subscript"/>
        <sz val="14"/>
        <rFont val="宋体"/>
        <charset val="134"/>
      </rPr>
      <t>fe2</t>
    </r>
  </si>
  <si>
    <r>
      <rPr>
        <sz val="14"/>
        <rFont val="宋体"/>
        <charset val="134"/>
      </rPr>
      <t>Dfe2</t>
    </r>
    <r>
      <rPr>
        <sz val="18"/>
        <rFont val="宋体"/>
        <charset val="134"/>
      </rPr>
      <t>=</t>
    </r>
    <r>
      <rPr>
        <sz val="14"/>
        <rFont val="宋体"/>
        <charset val="134"/>
      </rPr>
      <t>MduZ2</t>
    </r>
  </si>
  <si>
    <r>
      <rPr>
        <sz val="14"/>
        <rFont val="宋体"/>
        <charset val="134"/>
      </rPr>
      <t>D</t>
    </r>
    <r>
      <rPr>
        <vertAlign val="subscript"/>
        <sz val="14"/>
        <rFont val="宋体"/>
        <charset val="134"/>
      </rPr>
      <t>je2</t>
    </r>
  </si>
  <si>
    <r>
      <rPr>
        <sz val="14"/>
        <rFont val="宋体"/>
        <charset val="134"/>
      </rPr>
      <t>Dje2</t>
    </r>
    <r>
      <rPr>
        <sz val="18"/>
        <rFont val="宋体"/>
        <charset val="134"/>
      </rPr>
      <t>=</t>
    </r>
    <r>
      <rPr>
        <sz val="14"/>
        <rFont val="宋体"/>
        <charset val="134"/>
      </rPr>
      <t>Dfe2</t>
    </r>
    <r>
      <rPr>
        <sz val="18"/>
        <rFont val="宋体"/>
        <charset val="134"/>
      </rPr>
      <t>=</t>
    </r>
    <r>
      <rPr>
        <sz val="14"/>
        <rFont val="宋体"/>
        <charset val="134"/>
      </rPr>
      <t>MduZ2</t>
    </r>
  </si>
  <si>
    <r>
      <rPr>
        <sz val="14"/>
        <rFont val="宋体"/>
        <charset val="134"/>
      </rPr>
      <t>D</t>
    </r>
    <r>
      <rPr>
        <vertAlign val="subscript"/>
        <sz val="14"/>
        <rFont val="宋体"/>
        <charset val="134"/>
      </rPr>
      <t>g2</t>
    </r>
  </si>
  <si>
    <r>
      <rPr>
        <sz val="14"/>
        <rFont val="宋体"/>
        <charset val="134"/>
      </rPr>
      <t>Dg2</t>
    </r>
    <r>
      <rPr>
        <sz val="18"/>
        <rFont val="宋体"/>
        <charset val="134"/>
      </rPr>
      <t>=</t>
    </r>
    <r>
      <rPr>
        <sz val="14"/>
        <rFont val="宋体"/>
        <charset val="134"/>
      </rPr>
      <t>2(A-0.5Ddi1-0.25Mdu)</t>
    </r>
  </si>
  <si>
    <r>
      <rPr>
        <sz val="14"/>
        <rFont val="宋体"/>
        <charset val="134"/>
      </rPr>
      <t>D</t>
    </r>
    <r>
      <rPr>
        <vertAlign val="subscript"/>
        <sz val="14"/>
        <rFont val="宋体"/>
        <charset val="134"/>
      </rPr>
      <t>di2</t>
    </r>
  </si>
  <si>
    <r>
      <rPr>
        <sz val="14"/>
        <rFont val="宋体"/>
        <charset val="134"/>
      </rPr>
      <t>Ddi2</t>
    </r>
    <r>
      <rPr>
        <sz val="18"/>
        <rFont val="宋体"/>
        <charset val="134"/>
      </rPr>
      <t>=</t>
    </r>
    <r>
      <rPr>
        <sz val="14"/>
        <rFont val="宋体"/>
        <charset val="134"/>
      </rPr>
      <t>2(A-0.5Dfe1+Mdu)</t>
    </r>
  </si>
  <si>
    <t>最大外圆直径</t>
  </si>
  <si>
    <r>
      <rPr>
        <sz val="14"/>
        <rFont val="宋体"/>
        <charset val="134"/>
      </rPr>
      <t>Dw</t>
    </r>
    <r>
      <rPr>
        <vertAlign val="subscript"/>
        <sz val="14"/>
        <rFont val="宋体"/>
        <charset val="134"/>
      </rPr>
      <t>2</t>
    </r>
  </si>
  <si>
    <r>
      <rPr>
        <sz val="14"/>
        <rFont val="宋体"/>
        <charset val="134"/>
      </rPr>
      <t>Dw2</t>
    </r>
    <r>
      <rPr>
        <sz val="18"/>
        <rFont val="宋体"/>
        <charset val="134"/>
      </rPr>
      <t>=</t>
    </r>
    <r>
      <rPr>
        <sz val="14"/>
        <rFont val="宋体"/>
        <charset val="134"/>
      </rPr>
      <t>Ddi2+Mdu</t>
    </r>
  </si>
  <si>
    <t>轮缘宽度</t>
  </si>
  <si>
    <r>
      <rPr>
        <sz val="14"/>
        <rFont val="宋体"/>
        <charset val="134"/>
      </rPr>
      <t>b</t>
    </r>
    <r>
      <rPr>
        <sz val="18"/>
        <rFont val="宋体"/>
        <charset val="134"/>
      </rPr>
      <t>=</t>
    </r>
    <r>
      <rPr>
        <sz val="14"/>
        <rFont val="宋体"/>
        <charset val="134"/>
      </rPr>
      <t>0.65Ddi1</t>
    </r>
  </si>
  <si>
    <t>齿顶圆弧半径</t>
  </si>
  <si>
    <r>
      <rPr>
        <sz val="14"/>
        <rFont val="宋体"/>
        <charset val="134"/>
      </rPr>
      <t>R</t>
    </r>
    <r>
      <rPr>
        <vertAlign val="subscript"/>
        <sz val="14"/>
        <rFont val="宋体"/>
        <charset val="134"/>
      </rPr>
      <t>1</t>
    </r>
  </si>
  <si>
    <r>
      <rPr>
        <sz val="14"/>
        <rFont val="宋体"/>
        <charset val="134"/>
      </rPr>
      <t>R1</t>
    </r>
    <r>
      <rPr>
        <sz val="18"/>
        <rFont val="宋体"/>
        <charset val="134"/>
      </rPr>
      <t>=</t>
    </r>
    <r>
      <rPr>
        <sz val="14"/>
        <rFont val="宋体"/>
        <charset val="134"/>
      </rPr>
      <t>0.5Dfe1-Mdu</t>
    </r>
  </si>
  <si>
    <t>齿根圆弧半径</t>
  </si>
  <si>
    <r>
      <rPr>
        <sz val="14"/>
        <rFont val="宋体"/>
        <charset val="134"/>
      </rPr>
      <t>R</t>
    </r>
    <r>
      <rPr>
        <vertAlign val="subscript"/>
        <sz val="14"/>
        <rFont val="宋体"/>
        <charset val="134"/>
      </rPr>
      <t>2</t>
    </r>
  </si>
  <si>
    <r>
      <rPr>
        <sz val="14"/>
        <rFont val="宋体"/>
        <charset val="134"/>
      </rPr>
      <t>R1</t>
    </r>
    <r>
      <rPr>
        <sz val="18"/>
        <rFont val="宋体"/>
        <charset val="134"/>
      </rPr>
      <t>=</t>
    </r>
    <r>
      <rPr>
        <sz val="14"/>
        <rFont val="宋体"/>
        <charset val="134"/>
      </rPr>
      <t>0.5Ddi1+0.25Mdu</t>
    </r>
  </si>
  <si>
    <t>注:☆磨削蜗杆需加长:Mdu≤10时,加长25MM;10≤Mdu≤16时,加长35MM;Mdu&gt;16时,加长40-50MM</t>
  </si>
  <si>
    <t>蜗杆头数Z1</t>
  </si>
  <si>
    <t>传动比i</t>
  </si>
  <si>
    <t>参数</t>
  </si>
  <si>
    <t>中          心          距</t>
  </si>
  <si>
    <t>Mdu</t>
  </si>
  <si>
    <t>皮 带  长 度 自 动 计 算</t>
  </si>
  <si>
    <t>1、皮带长度求取</t>
  </si>
  <si>
    <t>两圆间距</t>
  </si>
  <si>
    <t>大带轮节径</t>
  </si>
  <si>
    <t>小带轮节径</t>
  </si>
  <si>
    <t>皮带长【节径】</t>
  </si>
  <si>
    <t>Lfm</t>
  </si>
  <si>
    <t>Df</t>
  </si>
  <si>
    <t>dm</t>
  </si>
  <si>
    <t>Lb</t>
  </si>
  <si>
    <t>【备注：请修改绿色区域内的数值即可，黄色区域为计算结果，供参考】</t>
  </si>
  <si>
    <t>参考资料</t>
  </si>
  <si>
    <t>皮带长度计算公式:</t>
  </si>
  <si>
    <r>
      <rPr>
        <sz val="9"/>
        <color rgb="FF333333"/>
        <rFont val="Verdana"/>
        <family val="2"/>
      </rPr>
      <t>lb = ((df + dm) 1.5708 ) + (2 lfm)
lb =</t>
    </r>
    <r>
      <rPr>
        <sz val="9"/>
        <color rgb="FF333333"/>
        <rFont val="宋体"/>
        <charset val="134"/>
      </rPr>
      <t>皮带长度</t>
    </r>
    <r>
      <rPr>
        <sz val="9"/>
        <color rgb="FF333333"/>
        <rFont val="Verdana"/>
        <family val="2"/>
      </rPr>
      <t xml:space="preserve">
df = </t>
    </r>
    <r>
      <rPr>
        <sz val="9"/>
        <color rgb="FF333333"/>
        <rFont val="宋体"/>
        <charset val="134"/>
      </rPr>
      <t>大皮带轮直径</t>
    </r>
    <r>
      <rPr>
        <sz val="9"/>
        <color rgb="FF333333"/>
        <rFont val="Verdana"/>
        <family val="2"/>
      </rPr>
      <t xml:space="preserve">
dm = </t>
    </r>
    <r>
      <rPr>
        <sz val="9"/>
        <color rgb="FF333333"/>
        <rFont val="宋体"/>
        <charset val="134"/>
      </rPr>
      <t>小皮带轮直径</t>
    </r>
    <r>
      <rPr>
        <sz val="9"/>
        <color rgb="FF333333"/>
        <rFont val="Verdana"/>
        <family val="2"/>
      </rPr>
      <t xml:space="preserve">
lfm = </t>
    </r>
    <r>
      <rPr>
        <sz val="9"/>
        <color rgb="FF333333"/>
        <rFont val="宋体"/>
        <charset val="134"/>
      </rPr>
      <t>大皮带轮中心与小皮带轮中心距离</t>
    </r>
  </si>
  <si>
    <t>2、根据节径选择皮带</t>
  </si>
  <si>
    <t>【点击链接】A型三角带规格</t>
  </si>
  <si>
    <t>【点击链接】B型三角带规格</t>
  </si>
  <si>
    <t>【点击链接】C型三角带规格</t>
  </si>
  <si>
    <t>螺丝攻牙钻孔径和滚造径对照表</t>
  </si>
  <si>
    <t>公制粗螺纹</t>
  </si>
  <si>
    <t>美制粗螺纹</t>
  </si>
  <si>
    <t>公制细螺纹</t>
  </si>
  <si>
    <t>美制细螺纹</t>
  </si>
  <si>
    <t>标准径</t>
  </si>
  <si>
    <t>2级牙钻孔径</t>
  </si>
  <si>
    <t>规格（UNC）</t>
  </si>
  <si>
    <t>M1.0×0.25</t>
  </si>
  <si>
    <t>NO.1-64(1.854)</t>
  </si>
  <si>
    <t>M1.0×0.2</t>
  </si>
  <si>
    <t>NO.0-80(1.524)</t>
  </si>
  <si>
    <t>M1.1×0.25</t>
  </si>
  <si>
    <t>NO.2-56(2.184)</t>
  </si>
  <si>
    <t>M1.1×0.2</t>
  </si>
  <si>
    <t>NO.1-72(1.854)</t>
  </si>
  <si>
    <t>M1.2×0.25</t>
  </si>
  <si>
    <t>NO.3-48(2.515)</t>
  </si>
  <si>
    <t>M1.2×0.2</t>
  </si>
  <si>
    <t>NO.2-64(2.184)</t>
  </si>
  <si>
    <t>M1.4×0.3</t>
  </si>
  <si>
    <t>NO.4-40(2.845)</t>
  </si>
  <si>
    <t>M1.4×0.2</t>
  </si>
  <si>
    <t>NO.3-56(2.515)</t>
  </si>
  <si>
    <t>M1.6×0.35</t>
  </si>
  <si>
    <t>NO.5-40(3.175)</t>
  </si>
  <si>
    <t>M1.6×0.2</t>
  </si>
  <si>
    <t>NO.4-48(2.845)</t>
  </si>
  <si>
    <t>M1.7×0.35</t>
  </si>
  <si>
    <t>NO.6-32(3.505)</t>
  </si>
  <si>
    <t>M1.7×0.2</t>
  </si>
  <si>
    <t>NO.5-44(3.175)</t>
  </si>
  <si>
    <t>M1.8×0.35</t>
  </si>
  <si>
    <t>NO8-32(4.166)</t>
  </si>
  <si>
    <t>M1.8×0.2</t>
  </si>
  <si>
    <t>NO.6-40(3.505)</t>
  </si>
  <si>
    <t>M2.0×0.4</t>
  </si>
  <si>
    <t>NO.10-24(4.826)</t>
  </si>
  <si>
    <t>M2.0×0.25</t>
  </si>
  <si>
    <t>NO.8-36(4.166)</t>
  </si>
  <si>
    <t>M2.2×0.45</t>
  </si>
  <si>
    <t>NO.12-24(5.486)</t>
  </si>
  <si>
    <t>M2.2×0.25</t>
  </si>
  <si>
    <t>NO.10-32(4.826)</t>
  </si>
  <si>
    <t>M2.3×0.4</t>
  </si>
  <si>
    <t>1/4-20</t>
  </si>
  <si>
    <t>M2.3×0.25</t>
  </si>
  <si>
    <t>NO.12-28(5.846)</t>
  </si>
  <si>
    <t>M2.5×0.45</t>
  </si>
  <si>
    <t>5/16-18</t>
  </si>
  <si>
    <t>M2.5×0.35</t>
  </si>
  <si>
    <t>1/4-28</t>
  </si>
  <si>
    <t>M2.6×0.45</t>
  </si>
  <si>
    <t>3/8-16</t>
  </si>
  <si>
    <t>M2.6×0.35</t>
  </si>
  <si>
    <t>5/16-24</t>
  </si>
  <si>
    <t>M3.0×0.5</t>
  </si>
  <si>
    <t>7/16-14</t>
  </si>
  <si>
    <t>M3.0×0.35</t>
  </si>
  <si>
    <t>3/8-24</t>
  </si>
  <si>
    <t>M3.0×0.6</t>
  </si>
  <si>
    <t>1/2-13</t>
  </si>
  <si>
    <t>M3.5×0.35</t>
  </si>
  <si>
    <t>7/16-20</t>
  </si>
  <si>
    <t>M3.5×0.6</t>
  </si>
  <si>
    <t>9/16-12</t>
  </si>
  <si>
    <t>M4.0×0.5</t>
  </si>
  <si>
    <t>1/2-20</t>
  </si>
  <si>
    <t>M4.0×0.7</t>
  </si>
  <si>
    <t>5/8-11</t>
  </si>
  <si>
    <t>M4.5×0.5</t>
  </si>
  <si>
    <t>9/16-18</t>
  </si>
  <si>
    <t>M4.0×0.75</t>
  </si>
  <si>
    <t>3/4-10</t>
  </si>
  <si>
    <t>M5.0×0.5</t>
  </si>
  <si>
    <t>5/8-18</t>
  </si>
  <si>
    <t>M4.5×0.75</t>
  </si>
  <si>
    <t>7/8-9</t>
  </si>
  <si>
    <t>M5.5×0.5</t>
  </si>
  <si>
    <t>3/4-16</t>
  </si>
  <si>
    <t>M5.0×0.8</t>
  </si>
  <si>
    <t>M6.0×0.75</t>
  </si>
  <si>
    <t>7/8-14</t>
  </si>
  <si>
    <t>M5.0×0.9</t>
  </si>
  <si>
    <t>1-1/8-7</t>
  </si>
  <si>
    <t>M6.0×0.5</t>
  </si>
  <si>
    <t>1-12</t>
  </si>
  <si>
    <t>M6.0×1.0</t>
  </si>
  <si>
    <t>1-1/4-7</t>
  </si>
  <si>
    <t>M7.0×0.75</t>
  </si>
  <si>
    <t>1-1/8-12</t>
  </si>
  <si>
    <t>M7.0×1.0</t>
  </si>
  <si>
    <t>1-3/8-6</t>
  </si>
  <si>
    <t>M7.0×0.5</t>
  </si>
  <si>
    <t>1-1/4-12</t>
  </si>
  <si>
    <t>M8.0×1.25</t>
  </si>
  <si>
    <t>1-1/2-6</t>
  </si>
  <si>
    <t>M9.0×1.25</t>
  </si>
  <si>
    <t>1-3/4-5</t>
  </si>
  <si>
    <t>M10×1.5</t>
  </si>
  <si>
    <t>2-4-1/2</t>
  </si>
  <si>
    <t>M11×1.5</t>
  </si>
  <si>
    <t>M12×1.75</t>
  </si>
  <si>
    <t>M8.0×1.0</t>
  </si>
  <si>
    <t>1-3/8-12</t>
  </si>
  <si>
    <t>M14×2.0</t>
  </si>
  <si>
    <t>M8.0×0.75</t>
  </si>
  <si>
    <t>1-1/2-12</t>
  </si>
  <si>
    <t>M16×2.0</t>
  </si>
  <si>
    <t>M8.0×0.5</t>
  </si>
  <si>
    <t>M18×2.5</t>
  </si>
  <si>
    <t>M9.0×1.0</t>
  </si>
  <si>
    <t>M20×2.5</t>
  </si>
  <si>
    <t>M9.0×0.75</t>
  </si>
  <si>
    <t>M22×2.5</t>
  </si>
  <si>
    <t>M10×1.25</t>
  </si>
  <si>
    <t>M24×3.0</t>
  </si>
  <si>
    <t>M10×1.0</t>
  </si>
  <si>
    <t>M27×3.0</t>
  </si>
  <si>
    <t>M10×0.75</t>
  </si>
  <si>
    <t>M30×3.5</t>
  </si>
  <si>
    <t>M10×0.5</t>
  </si>
  <si>
    <t>M11×1.0</t>
  </si>
  <si>
    <t>M11×0.75</t>
  </si>
  <si>
    <t>M12×1.5</t>
  </si>
  <si>
    <t>M12×1.25</t>
  </si>
  <si>
    <t>M12×1.0</t>
  </si>
  <si>
    <t>M12×0.5</t>
  </si>
  <si>
    <t>M14×1.5</t>
  </si>
  <si>
    <t>M14×1.0</t>
  </si>
  <si>
    <t>M15×1.5</t>
  </si>
  <si>
    <t>M15×1.0</t>
  </si>
  <si>
    <t>M16×1.5</t>
  </si>
  <si>
    <t>M16×1.0</t>
  </si>
  <si>
    <t>M17×1.5</t>
  </si>
  <si>
    <t>M17×1.0</t>
  </si>
  <si>
    <t>M18×2.0</t>
  </si>
  <si>
    <t>M18×1.5</t>
  </si>
  <si>
    <t>M18×1.0</t>
  </si>
  <si>
    <t>M20×2.0</t>
  </si>
  <si>
    <t>M20×1.5</t>
  </si>
  <si>
    <t>M20×1.0</t>
  </si>
  <si>
    <t>M22×2.0</t>
  </si>
  <si>
    <t>M22×1.5</t>
  </si>
  <si>
    <t>M22×1.0</t>
  </si>
  <si>
    <t>M24×2.0</t>
  </si>
  <si>
    <t>M24×1.5</t>
  </si>
  <si>
    <t>M24×1.0</t>
  </si>
  <si>
    <t>M25×2.0</t>
  </si>
  <si>
    <t>M25×1.5</t>
  </si>
  <si>
    <t>M25×1.0</t>
  </si>
  <si>
    <t>M26×1.5</t>
  </si>
  <si>
    <t>M27×2.0</t>
  </si>
  <si>
    <t>M27×1.5</t>
  </si>
  <si>
    <t>M27×1.0</t>
  </si>
  <si>
    <t>M28×2.0</t>
  </si>
  <si>
    <t>M28×1.5</t>
  </si>
  <si>
    <t>M28×1.0</t>
  </si>
  <si>
    <t>M30×3.0</t>
  </si>
  <si>
    <t>M30×2.0</t>
  </si>
  <si>
    <t>M30×1.5</t>
  </si>
  <si>
    <t>M30×1.0</t>
  </si>
  <si>
    <t>M32×2.0</t>
  </si>
  <si>
    <t>M32×1.5</t>
  </si>
  <si>
    <t>M33×3.0</t>
  </si>
  <si>
    <t>M33×2.0</t>
  </si>
  <si>
    <t>M33×1.5</t>
  </si>
  <si>
    <t>M35×1.5</t>
  </si>
  <si>
    <t>M36×3.0</t>
  </si>
  <si>
    <t>M36×2.0</t>
  </si>
  <si>
    <t>M36×1.5</t>
  </si>
  <si>
    <t>美制特细螺纹</t>
  </si>
  <si>
    <t>英制电器螺纹</t>
  </si>
  <si>
    <r>
      <rPr>
        <sz val="14"/>
        <rFont val="宋体"/>
        <charset val="134"/>
      </rPr>
      <t>规格</t>
    </r>
    <r>
      <rPr>
        <sz val="14"/>
        <rFont val="Times New Roman"/>
        <family val="1"/>
      </rPr>
      <t>(UNEF)</t>
    </r>
  </si>
  <si>
    <t>NO.12-32</t>
  </si>
  <si>
    <t>2BA</t>
  </si>
  <si>
    <t>4.0-4.2</t>
  </si>
  <si>
    <t>1/4     -32</t>
  </si>
  <si>
    <t>3BA</t>
  </si>
  <si>
    <t>5/16   -32</t>
  </si>
  <si>
    <t>4BA</t>
  </si>
  <si>
    <t>3.0-3.2</t>
  </si>
  <si>
    <t>3/8    -32</t>
  </si>
  <si>
    <t>5BA</t>
  </si>
  <si>
    <t>2.7-2.8</t>
  </si>
  <si>
    <t>7/16   -28</t>
  </si>
  <si>
    <t>6BA</t>
  </si>
  <si>
    <t>2.4-2.5</t>
  </si>
  <si>
    <t>1/2     -28</t>
  </si>
  <si>
    <t>9/16    -24</t>
  </si>
  <si>
    <t>5/8    -24</t>
  </si>
  <si>
    <t>3/4    -20</t>
  </si>
  <si>
    <t>7/8    -20</t>
  </si>
  <si>
    <t>1      -20</t>
  </si>
  <si>
    <t>英制管螺纹</t>
  </si>
  <si>
    <t>美制管螺纹</t>
  </si>
  <si>
    <t>有交牙部之长度（最小）中之毋螺牙内径</t>
  </si>
  <si>
    <t>标准长度（最小）中之毋螺牙内径</t>
  </si>
  <si>
    <t>使用纹刀时</t>
  </si>
  <si>
    <t>不用纹刀时</t>
  </si>
  <si>
    <t>NPT</t>
  </si>
  <si>
    <t>NPS</t>
  </si>
  <si>
    <t>使用绞刀时</t>
  </si>
  <si>
    <t>不用绞刀时</t>
  </si>
  <si>
    <t>PS 1/16 - 28</t>
  </si>
  <si>
    <t>PT 1/16 - 28</t>
  </si>
  <si>
    <t>1/16 - 27</t>
  </si>
  <si>
    <t>PS 1/8 - 28</t>
  </si>
  <si>
    <t>PT 1/8 - 28</t>
  </si>
  <si>
    <t>1/8 - 27</t>
  </si>
  <si>
    <t>PS 1/4 - 19</t>
  </si>
  <si>
    <t>PT 1/4 - 19</t>
  </si>
  <si>
    <t>1/4 - 18</t>
  </si>
  <si>
    <t>PS 3/8 - 19</t>
  </si>
  <si>
    <t>PT 3/8 - 19</t>
  </si>
  <si>
    <t>3/8 - 18</t>
  </si>
  <si>
    <t>PS 1/2 - 14</t>
  </si>
  <si>
    <t>PT 1/2 - 14</t>
  </si>
  <si>
    <t>1/2 - 14</t>
  </si>
  <si>
    <t>PS 3/4 -14</t>
  </si>
  <si>
    <t>PT 3/4 - 14</t>
  </si>
  <si>
    <t>3/4 - 14</t>
  </si>
  <si>
    <t>PS 1 - 11</t>
  </si>
  <si>
    <t>PT 1- 11</t>
  </si>
  <si>
    <t>1 - 11-1/2</t>
  </si>
  <si>
    <t>PS 1-1/4 - 11</t>
  </si>
  <si>
    <t>PT 1-1/4 - 11</t>
  </si>
  <si>
    <t>1-1/4-11-1/2</t>
  </si>
  <si>
    <t>PS 1-1/2 - 11</t>
  </si>
  <si>
    <t>PT 1-1/2 - 11</t>
  </si>
  <si>
    <t>1-1/2-11-1/2</t>
  </si>
  <si>
    <t>PS 2 - 11</t>
  </si>
  <si>
    <t>PT 2 - 11</t>
  </si>
  <si>
    <t>2 - 11 - 1/2</t>
  </si>
  <si>
    <t>公制螺纹</t>
  </si>
  <si>
    <t>针车用螺纹</t>
  </si>
  <si>
    <t>滚造径</t>
  </si>
  <si>
    <t>W 1/8 - 40</t>
  </si>
  <si>
    <t>M3×0.5</t>
  </si>
  <si>
    <t>2.63-2.60</t>
  </si>
  <si>
    <t>SM1/8-40</t>
  </si>
  <si>
    <t>2.735-2.688</t>
  </si>
  <si>
    <t>W 5/32 - 32</t>
  </si>
  <si>
    <t>2.56-2.53</t>
  </si>
  <si>
    <t>SM1/8-44</t>
  </si>
  <si>
    <t>2.769-2.722</t>
  </si>
  <si>
    <t>W 3/16  - 24</t>
  </si>
  <si>
    <t>3.06-3.03</t>
  </si>
  <si>
    <t>SM9/64-40</t>
  </si>
  <si>
    <t>3.128-3.083</t>
  </si>
  <si>
    <t>W 1/4 - 20</t>
  </si>
  <si>
    <t>3.49-3.45</t>
  </si>
  <si>
    <t>SM11/64-40</t>
  </si>
  <si>
    <t>3.855-3.805</t>
  </si>
  <si>
    <t>W 5/16 - 18</t>
  </si>
  <si>
    <t>3.45-3.41</t>
  </si>
  <si>
    <t>SM3/16-32</t>
  </si>
  <si>
    <t>4.205-4.155</t>
  </si>
  <si>
    <t>W 3/8 - 16</t>
  </si>
  <si>
    <t>3.96-3.92</t>
  </si>
  <si>
    <t>SM3/16-28</t>
  </si>
  <si>
    <t>4.143-4.093</t>
  </si>
  <si>
    <t>W 7/16 - 14</t>
  </si>
  <si>
    <t>4.43-4.38</t>
  </si>
  <si>
    <t>SM7/32-32</t>
  </si>
  <si>
    <t>5.003-4.955</t>
  </si>
  <si>
    <t>W 1/2 - 12</t>
  </si>
  <si>
    <t>4.36-4.31</t>
  </si>
  <si>
    <t>SM15/64-28</t>
  </si>
  <si>
    <t>5.325-5.570</t>
  </si>
  <si>
    <t>W 9/16 - 12</t>
  </si>
  <si>
    <t>5.30-5.25</t>
  </si>
  <si>
    <t>SM1/4-40</t>
  </si>
  <si>
    <t>5.890-5.735</t>
  </si>
  <si>
    <t>W 5/8 - 11</t>
  </si>
  <si>
    <t>6.30-6.25</t>
  </si>
  <si>
    <t>SM1/4-28</t>
  </si>
  <si>
    <t>5.721-5.366</t>
  </si>
  <si>
    <t>W 3/4 - 10</t>
  </si>
  <si>
    <t>7.28-7.23</t>
  </si>
  <si>
    <t>SM9/32-28</t>
  </si>
  <si>
    <t>6.508-6.648</t>
  </si>
  <si>
    <t>W 7/8 - 9</t>
  </si>
  <si>
    <t>7.12-7.07</t>
  </si>
  <si>
    <t>SM11/32-28</t>
  </si>
  <si>
    <t>8.092-8.432</t>
  </si>
  <si>
    <t>W1 - 8</t>
  </si>
  <si>
    <t>SM3/8-28</t>
  </si>
  <si>
    <t>8.880-8.015</t>
  </si>
  <si>
    <t>W 1-1/8 - 7</t>
  </si>
  <si>
    <t>SM7/16-28</t>
  </si>
  <si>
    <t>10.466-10.401</t>
  </si>
  <si>
    <t>W 1 - 1/4 - 7</t>
  </si>
  <si>
    <t>SM7/16-16</t>
  </si>
  <si>
    <t>10.037-9.967</t>
  </si>
  <si>
    <t>SM1/2-20</t>
  </si>
  <si>
    <t>11.819-11.749</t>
  </si>
  <si>
    <t>SM9/26-20</t>
  </si>
  <si>
    <t>13.400-13.425</t>
  </si>
  <si>
    <t>轴心受压柱的稳定性计算</t>
  </si>
  <si>
    <t>σ=</t>
  </si>
  <si>
    <t>&lt;[σ]</t>
  </si>
  <si>
    <t>λ=</t>
  </si>
  <si>
    <r>
      <rPr>
        <b/>
        <sz val="16"/>
        <color indexed="10"/>
        <rFont val="楷体_GB2312"/>
        <charset val="134"/>
      </rPr>
      <t>L</t>
    </r>
    <r>
      <rPr>
        <b/>
        <vertAlign val="subscript"/>
        <sz val="16"/>
        <color indexed="10"/>
        <rFont val="楷体_GB2312"/>
        <charset val="134"/>
      </rPr>
      <t>C</t>
    </r>
  </si>
  <si>
    <t>≤[λ]</t>
  </si>
  <si>
    <t>φA</t>
  </si>
  <si>
    <t>σ---所选材料的屈服强度,kgf/cm2</t>
  </si>
  <si>
    <r>
      <rPr>
        <sz val="14"/>
        <rFont val="楷体_GB2312"/>
        <charset val="134"/>
      </rPr>
      <t>A---构件毛截面面积，cm</t>
    </r>
    <r>
      <rPr>
        <vertAlign val="superscript"/>
        <sz val="14"/>
        <rFont val="楷体_GB2312"/>
        <charset val="134"/>
      </rPr>
      <t>2</t>
    </r>
  </si>
  <si>
    <r>
      <rPr>
        <b/>
        <sz val="16"/>
        <color indexed="10"/>
        <rFont val="楷体_GB2312"/>
        <charset val="134"/>
      </rPr>
      <t>L</t>
    </r>
    <r>
      <rPr>
        <b/>
        <vertAlign val="subscript"/>
        <sz val="16"/>
        <color indexed="10"/>
        <rFont val="楷体_GB2312"/>
        <charset val="134"/>
      </rPr>
      <t>C</t>
    </r>
    <r>
      <rPr>
        <b/>
        <sz val="16"/>
        <color indexed="10"/>
        <rFont val="楷体_GB2312"/>
        <charset val="134"/>
      </rPr>
      <t>=</t>
    </r>
  </si>
  <si>
    <r>
      <rPr>
        <b/>
        <sz val="16"/>
        <color indexed="10"/>
        <rFont val="楷体_GB2312"/>
        <charset val="134"/>
      </rPr>
      <t>μ</t>
    </r>
    <r>
      <rPr>
        <b/>
        <vertAlign val="subscript"/>
        <sz val="16"/>
        <color indexed="10"/>
        <rFont val="楷体_GB2312"/>
        <charset val="134"/>
      </rPr>
      <t>1</t>
    </r>
    <r>
      <rPr>
        <b/>
        <sz val="16"/>
        <color indexed="10"/>
        <rFont val="楷体_GB2312"/>
        <charset val="134"/>
      </rPr>
      <t>*L</t>
    </r>
  </si>
  <si>
    <t>r=√I/A</t>
  </si>
  <si>
    <t>N---计算轴向压力，kgf</t>
  </si>
  <si>
    <r>
      <rPr>
        <sz val="14"/>
        <rFont val="楷体_GB2312"/>
        <charset val="134"/>
      </rPr>
      <t>L---构件的实际长度,cm（L</t>
    </r>
    <r>
      <rPr>
        <vertAlign val="subscript"/>
        <sz val="14"/>
        <rFont val="楷体_GB2312"/>
        <charset val="134"/>
      </rPr>
      <t>C</t>
    </r>
    <r>
      <rPr>
        <sz val="14"/>
        <rFont val="楷体_GB2312"/>
        <charset val="134"/>
      </rPr>
      <t>为计算长度）</t>
    </r>
  </si>
  <si>
    <r>
      <rPr>
        <sz val="14"/>
        <rFont val="楷体_GB2312"/>
        <charset val="134"/>
      </rPr>
      <t>φ---轴心受压构件稳定性系数（</t>
    </r>
    <r>
      <rPr>
        <sz val="14"/>
        <color indexed="12"/>
        <rFont val="楷体_GB2312"/>
        <charset val="134"/>
      </rPr>
      <t>见《稳定性系数》</t>
    </r>
    <r>
      <rPr>
        <sz val="14"/>
        <rFont val="楷体_GB2312"/>
        <charset val="134"/>
      </rPr>
      <t>）</t>
    </r>
  </si>
  <si>
    <r>
      <rPr>
        <sz val="14"/>
        <rFont val="楷体_GB2312"/>
        <charset val="134"/>
      </rPr>
      <t>μ</t>
    </r>
    <r>
      <rPr>
        <vertAlign val="subscript"/>
        <sz val="14"/>
        <rFont val="楷体_GB2312"/>
        <charset val="134"/>
      </rPr>
      <t>1</t>
    </r>
    <r>
      <rPr>
        <sz val="14"/>
        <rFont val="楷体_GB2312"/>
        <charset val="134"/>
      </rPr>
      <t>---与支承有关的长度系数，（</t>
    </r>
    <r>
      <rPr>
        <sz val="14"/>
        <color indexed="12"/>
        <rFont val="楷体_GB2312"/>
        <charset val="134"/>
      </rPr>
      <t>见《长度细系》</t>
    </r>
    <r>
      <rPr>
        <sz val="14"/>
        <rFont val="楷体_GB2312"/>
        <charset val="134"/>
      </rPr>
      <t>）</t>
    </r>
  </si>
  <si>
    <r>
      <rPr>
        <sz val="14"/>
        <rFont val="楷体_GB2312"/>
        <charset val="134"/>
      </rPr>
      <t>I---截面惯性矩，cm</t>
    </r>
    <r>
      <rPr>
        <vertAlign val="superscript"/>
        <sz val="14"/>
        <rFont val="楷体_GB2312"/>
        <charset val="134"/>
      </rPr>
      <t>4</t>
    </r>
    <r>
      <rPr>
        <sz val="14"/>
        <rFont val="楷体_GB2312"/>
        <charset val="134"/>
      </rPr>
      <t xml:space="preserve">   [λ]---许用长细比(</t>
    </r>
    <r>
      <rPr>
        <sz val="14"/>
        <color indexed="12"/>
        <rFont val="楷体_GB2312"/>
        <charset val="134"/>
      </rPr>
      <t>见《长细比》</t>
    </r>
    <r>
      <rPr>
        <sz val="14"/>
        <rFont val="楷体_GB2312"/>
        <charset val="134"/>
      </rPr>
      <t>）</t>
    </r>
  </si>
  <si>
    <t>r---毛截面积对某轴的回转半径，cm</t>
  </si>
  <si>
    <t>计算表：</t>
  </si>
  <si>
    <t>φ</t>
  </si>
  <si>
    <t>I</t>
  </si>
  <si>
    <r>
      <rPr>
        <sz val="14"/>
        <rFont val="楷体_GB2312"/>
        <charset val="134"/>
      </rPr>
      <t>μ</t>
    </r>
    <r>
      <rPr>
        <vertAlign val="subscript"/>
        <sz val="14"/>
        <rFont val="楷体_GB2312"/>
        <charset val="134"/>
      </rPr>
      <t>1</t>
    </r>
  </si>
  <si>
    <r>
      <rPr>
        <sz val="14"/>
        <rFont val="楷体_GB2312"/>
        <charset val="134"/>
      </rPr>
      <t>L</t>
    </r>
    <r>
      <rPr>
        <vertAlign val="subscript"/>
        <sz val="14"/>
        <rFont val="楷体_GB2312"/>
        <charset val="134"/>
      </rPr>
      <t>C</t>
    </r>
  </si>
  <si>
    <t>[λ]</t>
  </si>
  <si>
    <t>σ</t>
  </si>
  <si>
    <t>[σ]</t>
  </si>
  <si>
    <t>cm2</t>
  </si>
  <si>
    <t>无</t>
  </si>
  <si>
    <t>cm4</t>
  </si>
  <si>
    <t>kgf/cm2</t>
  </si>
  <si>
    <r>
      <rPr>
        <sz val="18"/>
        <color indexed="10"/>
        <rFont val="楷体_GB2312"/>
        <charset val="134"/>
      </rPr>
      <t>轴心受压构件的稳定性系数</t>
    </r>
    <r>
      <rPr>
        <b/>
        <sz val="24"/>
        <color indexed="10"/>
        <rFont val="楷体_GB2312"/>
        <charset val="134"/>
      </rPr>
      <t>φ</t>
    </r>
    <r>
      <rPr>
        <sz val="18"/>
        <color indexed="10"/>
        <rFont val="楷体_GB2312"/>
        <charset val="134"/>
      </rPr>
      <t>值</t>
    </r>
  </si>
  <si>
    <t>16Mn</t>
  </si>
  <si>
    <r>
      <rPr>
        <sz val="10"/>
        <color indexed="23"/>
        <rFont val="Times New Roman"/>
        <family val="1"/>
      </rPr>
      <t xml:space="preserve">               </t>
    </r>
    <r>
      <rPr>
        <sz val="10"/>
        <color indexed="23"/>
        <rFont val="宋体"/>
        <charset val="134"/>
      </rPr>
      <t xml:space="preserve">本程序适用于轴交角为 </t>
    </r>
    <r>
      <rPr>
        <sz val="10"/>
        <color indexed="23"/>
        <rFont val="Times New Roman"/>
        <family val="1"/>
      </rPr>
      <t xml:space="preserve">0 </t>
    </r>
    <r>
      <rPr>
        <sz val="10"/>
        <color indexed="23"/>
        <rFont val="宋体"/>
        <charset val="134"/>
      </rPr>
      <t>度的变位和非变位直齿、斜齿渐开线圆柱齿轮与齿条传动的设计计算。公差数值</t>
    </r>
  </si>
  <si>
    <r>
      <rPr>
        <sz val="12"/>
        <rFont val="宋体"/>
        <charset val="134"/>
      </rPr>
      <t>基</t>
    </r>
    <r>
      <rPr>
        <sz val="12"/>
        <rFont val="Times New Roman"/>
        <family val="1"/>
      </rPr>
      <t xml:space="preserve">    </t>
    </r>
    <r>
      <rPr>
        <sz val="12"/>
        <rFont val="宋体"/>
        <charset val="134"/>
      </rPr>
      <t>圆    直    径</t>
    </r>
  </si>
  <si>
    <r>
      <rPr>
        <sz val="12"/>
        <rFont val="宋体"/>
        <charset val="134"/>
      </rPr>
      <t>齿</t>
    </r>
    <r>
      <rPr>
        <sz val="12"/>
        <rFont val="Times New Roman"/>
        <family val="1"/>
      </rPr>
      <t xml:space="preserve"> </t>
    </r>
    <r>
      <rPr>
        <sz val="12"/>
        <rFont val="宋体"/>
        <charset val="134"/>
      </rPr>
      <t>距</t>
    </r>
    <r>
      <rPr>
        <sz val="12"/>
        <rFont val="Times New Roman"/>
        <family val="1"/>
      </rPr>
      <t xml:space="preserve"> </t>
    </r>
    <r>
      <rPr>
        <sz val="12"/>
        <rFont val="宋体"/>
        <charset val="134"/>
      </rPr>
      <t>极</t>
    </r>
    <r>
      <rPr>
        <sz val="12"/>
        <rFont val="Times New Roman"/>
        <family val="1"/>
      </rPr>
      <t xml:space="preserve"> </t>
    </r>
    <r>
      <rPr>
        <sz val="12"/>
        <rFont val="宋体"/>
        <charset val="134"/>
      </rPr>
      <t>限</t>
    </r>
    <r>
      <rPr>
        <sz val="12"/>
        <rFont val="Times New Roman"/>
        <family val="1"/>
      </rPr>
      <t xml:space="preserve"> </t>
    </r>
    <r>
      <rPr>
        <sz val="12"/>
        <rFont val="宋体"/>
        <charset val="134"/>
      </rPr>
      <t>偏 差</t>
    </r>
  </si>
  <si>
    <t>蜗轮传动计算</t>
  </si>
  <si>
    <t>蜗杆</t>
  </si>
  <si>
    <t>蜗轮</t>
  </si>
  <si>
    <t>输入数据</t>
  </si>
  <si>
    <t>z</t>
  </si>
  <si>
    <t>输出数据</t>
  </si>
  <si>
    <t>d'</t>
  </si>
  <si>
    <t>ha</t>
  </si>
  <si>
    <t>hf</t>
  </si>
  <si>
    <t>蜗杆螺旋线升角</t>
  </si>
  <si>
    <r>
      <rPr>
        <sz val="12"/>
        <rFont val="宋体"/>
        <charset val="134"/>
      </rPr>
      <t>λ</t>
    </r>
    <r>
      <rPr>
        <sz val="12"/>
        <rFont val="Times New Roman"/>
        <family val="1"/>
      </rPr>
      <t>=</t>
    </r>
    <r>
      <rPr>
        <sz val="12"/>
        <rFont val="宋体"/>
        <charset val="134"/>
      </rPr>
      <t>β</t>
    </r>
  </si>
  <si>
    <t>周节</t>
  </si>
  <si>
    <t>蜗轮外径</t>
  </si>
  <si>
    <t>dg2</t>
  </si>
  <si>
    <r>
      <rPr>
        <sz val="12"/>
        <rFont val="Times New Roman"/>
        <family val="1"/>
      </rPr>
      <t>Z=1</t>
    </r>
    <r>
      <rPr>
        <sz val="12"/>
        <rFont val="宋体"/>
        <charset val="134"/>
      </rPr>
      <t>时</t>
    </r>
  </si>
  <si>
    <t>蜗轮齿顶圆弧半径</t>
  </si>
  <si>
    <t>R1</t>
  </si>
  <si>
    <t>蜗轮齿根圆弧半径</t>
  </si>
  <si>
    <t>R2</t>
  </si>
  <si>
    <t>蜗轮宽度</t>
  </si>
  <si>
    <r>
      <rPr>
        <sz val="12"/>
        <rFont val="Times New Roman"/>
        <family val="1"/>
      </rPr>
      <t>Z</t>
    </r>
    <r>
      <rPr>
        <sz val="12"/>
        <rFont val="宋体"/>
        <charset val="134"/>
      </rPr>
      <t>≤</t>
    </r>
    <r>
      <rPr>
        <sz val="12"/>
        <rFont val="Times New Roman"/>
        <family val="1"/>
      </rPr>
      <t>3</t>
    </r>
    <r>
      <rPr>
        <sz val="12"/>
        <rFont val="宋体"/>
        <charset val="134"/>
      </rPr>
      <t>时</t>
    </r>
  </si>
  <si>
    <t>蜗轮包角</t>
  </si>
  <si>
    <r>
      <rPr>
        <sz val="12"/>
        <rFont val="Times New Roman"/>
        <family val="1"/>
      </rPr>
      <t>2</t>
    </r>
    <r>
      <rPr>
        <sz val="12"/>
        <rFont val="宋体"/>
        <charset val="134"/>
      </rPr>
      <t>γ</t>
    </r>
  </si>
  <si>
    <t>70°-90°</t>
  </si>
  <si>
    <t>a'</t>
  </si>
  <si>
    <t>外啮合高变位斜齿轮公法线长度计算</t>
  </si>
  <si>
    <t>外啮合变位斜齿轮跨棒（球）距计算</t>
  </si>
  <si>
    <t>内啮合变位斜齿轮跨棒（球）距计算</t>
  </si>
  <si>
    <r>
      <rPr>
        <b/>
        <sz val="12"/>
        <rFont val="Times New Roman"/>
        <family val="1"/>
      </rPr>
      <t>k</t>
    </r>
    <r>
      <rPr>
        <b/>
        <sz val="12"/>
        <rFont val="宋体"/>
        <charset val="134"/>
      </rPr>
      <t>≈（α</t>
    </r>
    <r>
      <rPr>
        <b/>
        <sz val="12"/>
        <rFont val="Times New Roman"/>
        <family val="1"/>
      </rPr>
      <t>n/180</t>
    </r>
    <r>
      <rPr>
        <b/>
        <sz val="12"/>
        <rFont val="宋体"/>
        <charset val="134"/>
      </rPr>
      <t>）</t>
    </r>
    <r>
      <rPr>
        <b/>
        <sz val="12"/>
        <rFont val="Times New Roman"/>
        <family val="1"/>
      </rPr>
      <t>*Z'+0.5+</t>
    </r>
    <r>
      <rPr>
        <b/>
        <sz val="12"/>
        <rFont val="宋体"/>
        <charset val="134"/>
      </rPr>
      <t>（</t>
    </r>
    <r>
      <rPr>
        <b/>
        <sz val="12"/>
        <rFont val="Times New Roman"/>
        <family val="1"/>
      </rPr>
      <t>2xnctg</t>
    </r>
    <r>
      <rPr>
        <b/>
        <sz val="12"/>
        <rFont val="宋体"/>
        <charset val="134"/>
      </rPr>
      <t>α</t>
    </r>
    <r>
      <rPr>
        <b/>
        <sz val="12"/>
        <rFont val="Times New Roman"/>
        <family val="1"/>
      </rPr>
      <t>n</t>
    </r>
    <r>
      <rPr>
        <b/>
        <sz val="12"/>
        <rFont val="宋体"/>
        <charset val="134"/>
      </rPr>
      <t>）</t>
    </r>
    <r>
      <rPr>
        <b/>
        <sz val="12"/>
        <rFont val="Times New Roman"/>
        <family val="1"/>
      </rPr>
      <t>/</t>
    </r>
    <r>
      <rPr>
        <b/>
        <sz val="12"/>
        <rFont val="宋体"/>
        <charset val="134"/>
      </rPr>
      <t>π</t>
    </r>
  </si>
  <si>
    <r>
      <rPr>
        <sz val="12"/>
        <rFont val="Times New Roman"/>
        <family val="1"/>
      </rPr>
      <t>dp</t>
    </r>
    <r>
      <rPr>
        <sz val="12"/>
        <rFont val="宋体"/>
        <charset val="134"/>
      </rPr>
      <t>＝（</t>
    </r>
    <r>
      <rPr>
        <sz val="12"/>
        <rFont val="Times New Roman"/>
        <family val="1"/>
      </rPr>
      <t>1.6-1.9</t>
    </r>
    <r>
      <rPr>
        <sz val="12"/>
        <rFont val="宋体"/>
        <charset val="134"/>
      </rPr>
      <t>）</t>
    </r>
    <r>
      <rPr>
        <sz val="12"/>
        <rFont val="Times New Roman"/>
        <family val="1"/>
      </rPr>
      <t>Mn,</t>
    </r>
    <r>
      <rPr>
        <sz val="12"/>
        <rFont val="宋体"/>
        <charset val="134"/>
      </rPr>
      <t>常用</t>
    </r>
    <r>
      <rPr>
        <sz val="12"/>
        <rFont val="Times New Roman"/>
        <family val="1"/>
      </rPr>
      <t>dp=1.68Mn</t>
    </r>
  </si>
  <si>
    <r>
      <rPr>
        <b/>
        <sz val="12"/>
        <rFont val="Times New Roman"/>
        <family val="1"/>
      </rPr>
      <t>W</t>
    </r>
    <r>
      <rPr>
        <b/>
        <sz val="8"/>
        <rFont val="Times New Roman"/>
        <family val="1"/>
      </rPr>
      <t>k</t>
    </r>
    <r>
      <rPr>
        <b/>
        <sz val="12"/>
        <rFont val="Times New Roman"/>
        <family val="1"/>
      </rPr>
      <t>=</t>
    </r>
    <r>
      <rPr>
        <b/>
        <sz val="14"/>
        <rFont val="Times New Roman"/>
        <family val="1"/>
      </rPr>
      <t>m</t>
    </r>
    <r>
      <rPr>
        <b/>
        <sz val="12"/>
        <rFont val="Times New Roman"/>
        <family val="1"/>
      </rPr>
      <t>ncos</t>
    </r>
    <r>
      <rPr>
        <b/>
        <sz val="12"/>
        <rFont val="宋体"/>
        <charset val="134"/>
      </rPr>
      <t>α</t>
    </r>
    <r>
      <rPr>
        <b/>
        <sz val="12"/>
        <rFont val="Times New Roman"/>
        <family val="1"/>
      </rPr>
      <t>n</t>
    </r>
    <r>
      <rPr>
        <b/>
        <sz val="20"/>
        <rFont val="Times New Roman"/>
        <family val="1"/>
      </rPr>
      <t>[</t>
    </r>
    <r>
      <rPr>
        <b/>
        <sz val="12"/>
        <rFont val="宋体"/>
        <charset val="134"/>
      </rPr>
      <t>π（</t>
    </r>
    <r>
      <rPr>
        <b/>
        <sz val="12"/>
        <rFont val="Times New Roman"/>
        <family val="1"/>
      </rPr>
      <t>k-0.5</t>
    </r>
    <r>
      <rPr>
        <b/>
        <sz val="12"/>
        <rFont val="宋体"/>
        <charset val="134"/>
      </rPr>
      <t>）</t>
    </r>
    <r>
      <rPr>
        <b/>
        <sz val="12"/>
        <rFont val="Times New Roman"/>
        <family val="1"/>
      </rPr>
      <t>+Z'inv</t>
    </r>
    <r>
      <rPr>
        <b/>
        <sz val="12"/>
        <rFont val="宋体"/>
        <charset val="134"/>
      </rPr>
      <t>α</t>
    </r>
    <r>
      <rPr>
        <b/>
        <sz val="12"/>
        <rFont val="Times New Roman"/>
        <family val="1"/>
      </rPr>
      <t>n+2xntg</t>
    </r>
    <r>
      <rPr>
        <b/>
        <sz val="12"/>
        <rFont val="宋体"/>
        <charset val="134"/>
      </rPr>
      <t>α</t>
    </r>
    <r>
      <rPr>
        <b/>
        <sz val="12"/>
        <rFont val="Times New Roman"/>
        <family val="1"/>
      </rPr>
      <t>n</t>
    </r>
    <r>
      <rPr>
        <b/>
        <sz val="20"/>
        <rFont val="Times New Roman"/>
        <family val="1"/>
      </rPr>
      <t>]</t>
    </r>
  </si>
  <si>
    <r>
      <rPr>
        <sz val="12"/>
        <rFont val="宋体"/>
        <charset val="134"/>
      </rPr>
      <t>invα</t>
    </r>
    <r>
      <rPr>
        <sz val="12"/>
        <rFont val="Times New Roman"/>
        <family val="1"/>
      </rPr>
      <t>M=inv</t>
    </r>
    <r>
      <rPr>
        <sz val="12"/>
        <rFont val="宋体"/>
        <charset val="134"/>
      </rPr>
      <t>α</t>
    </r>
    <r>
      <rPr>
        <sz val="12"/>
        <rFont val="Times New Roman"/>
        <family val="1"/>
      </rPr>
      <t>t+dp/(d*cos</t>
    </r>
    <r>
      <rPr>
        <sz val="12"/>
        <rFont val="宋体"/>
        <charset val="134"/>
      </rPr>
      <t>α</t>
    </r>
    <r>
      <rPr>
        <sz val="12"/>
        <rFont val="Times New Roman"/>
        <family val="1"/>
      </rPr>
      <t>t)+2*xn*tg</t>
    </r>
    <r>
      <rPr>
        <sz val="12"/>
        <rFont val="宋体"/>
        <charset val="134"/>
      </rPr>
      <t>α</t>
    </r>
    <r>
      <rPr>
        <sz val="12"/>
        <rFont val="Times New Roman"/>
        <family val="1"/>
      </rPr>
      <t>n/z-</t>
    </r>
    <r>
      <rPr>
        <sz val="12"/>
        <rFont val="宋体"/>
        <charset val="134"/>
      </rPr>
      <t>π</t>
    </r>
    <r>
      <rPr>
        <sz val="12"/>
        <rFont val="Times New Roman"/>
        <family val="1"/>
      </rPr>
      <t>/</t>
    </r>
    <r>
      <rPr>
        <sz val="12"/>
        <rFont val="宋体"/>
        <charset val="134"/>
      </rPr>
      <t>（</t>
    </r>
    <r>
      <rPr>
        <sz val="12"/>
        <rFont val="Times New Roman"/>
        <family val="1"/>
      </rPr>
      <t>2*z)</t>
    </r>
  </si>
  <si>
    <t>跨齿数</t>
  </si>
  <si>
    <r>
      <rPr>
        <b/>
        <sz val="12"/>
        <rFont val="Times New Roman"/>
        <family val="1"/>
      </rPr>
      <t>Z'=inv</t>
    </r>
    <r>
      <rPr>
        <b/>
        <sz val="12"/>
        <rFont val="宋体"/>
        <charset val="134"/>
      </rPr>
      <t>α</t>
    </r>
    <r>
      <rPr>
        <b/>
        <sz val="12"/>
        <rFont val="Times New Roman"/>
        <family val="1"/>
      </rPr>
      <t>t/inv</t>
    </r>
    <r>
      <rPr>
        <b/>
        <sz val="12"/>
        <rFont val="宋体"/>
        <charset val="134"/>
      </rPr>
      <t>α</t>
    </r>
    <r>
      <rPr>
        <b/>
        <sz val="12"/>
        <rFont val="Times New Roman"/>
        <family val="1"/>
      </rPr>
      <t>n</t>
    </r>
  </si>
  <si>
    <t>棒（球）直径</t>
  </si>
  <si>
    <t>反渐开线函数</t>
  </si>
  <si>
    <t>渐开线函数</t>
  </si>
  <si>
    <r>
      <rPr>
        <sz val="12"/>
        <rFont val="宋体"/>
        <charset val="134"/>
      </rPr>
      <t>α</t>
    </r>
    <r>
      <rPr>
        <b/>
        <sz val="12"/>
        <rFont val="Times New Roman"/>
        <family val="1"/>
      </rPr>
      <t>n</t>
    </r>
  </si>
  <si>
    <r>
      <rPr>
        <sz val="12"/>
        <rFont val="Times New Roman"/>
        <family val="1"/>
      </rPr>
      <t>inv</t>
    </r>
    <r>
      <rPr>
        <sz val="12"/>
        <rFont val="宋体"/>
        <charset val="134"/>
      </rPr>
      <t>α</t>
    </r>
    <r>
      <rPr>
        <sz val="12"/>
        <rFont val="Times New Roman"/>
        <family val="1"/>
      </rPr>
      <t>M</t>
    </r>
  </si>
  <si>
    <r>
      <rPr>
        <b/>
        <sz val="12"/>
        <rFont val="宋体"/>
        <charset val="134"/>
      </rPr>
      <t>α</t>
    </r>
    <r>
      <rPr>
        <b/>
        <sz val="12"/>
        <rFont val="Times New Roman"/>
        <family val="1"/>
      </rPr>
      <t>n(</t>
    </r>
    <r>
      <rPr>
        <b/>
        <sz val="12"/>
        <rFont val="宋体"/>
        <charset val="134"/>
      </rPr>
      <t>弧度）</t>
    </r>
  </si>
  <si>
    <r>
      <rPr>
        <sz val="12"/>
        <rFont val="宋体"/>
        <charset val="134"/>
      </rPr>
      <t>压力角</t>
    </r>
    <r>
      <rPr>
        <b/>
        <sz val="12"/>
        <rFont val="Times New Roman"/>
        <family val="1"/>
      </rPr>
      <t>(</t>
    </r>
    <r>
      <rPr>
        <sz val="12"/>
        <rFont val="宋体"/>
        <charset val="134"/>
      </rPr>
      <t>弧度</t>
    </r>
    <r>
      <rPr>
        <b/>
        <sz val="12"/>
        <rFont val="宋体"/>
        <charset val="134"/>
      </rPr>
      <t>）</t>
    </r>
  </si>
  <si>
    <t>（αn/180）*Z'</t>
  </si>
  <si>
    <r>
      <rPr>
        <sz val="12"/>
        <rFont val="宋体"/>
        <charset val="134"/>
      </rPr>
      <t>inv</t>
    </r>
    <r>
      <rPr>
        <b/>
        <sz val="12"/>
        <rFont val="宋体"/>
        <charset val="134"/>
      </rPr>
      <t>α</t>
    </r>
    <r>
      <rPr>
        <b/>
        <sz val="12"/>
        <rFont val="Times New Roman"/>
        <family val="1"/>
      </rPr>
      <t>n</t>
    </r>
  </si>
  <si>
    <t>压力角渐开线函数</t>
  </si>
  <si>
    <r>
      <rPr>
        <sz val="12"/>
        <rFont val="Times New Roman"/>
        <family val="1"/>
      </rPr>
      <t>2xnctg</t>
    </r>
    <r>
      <rPr>
        <sz val="12"/>
        <rFont val="宋体"/>
        <charset val="134"/>
      </rPr>
      <t>α</t>
    </r>
    <r>
      <rPr>
        <sz val="12"/>
        <rFont val="Times New Roman"/>
        <family val="1"/>
      </rPr>
      <t>n/</t>
    </r>
    <r>
      <rPr>
        <sz val="12"/>
        <rFont val="宋体"/>
        <charset val="134"/>
      </rPr>
      <t>π</t>
    </r>
  </si>
  <si>
    <r>
      <rPr>
        <sz val="12"/>
        <rFont val="Times New Roman"/>
        <family val="1"/>
      </rPr>
      <t>tg</t>
    </r>
    <r>
      <rPr>
        <sz val="12"/>
        <rFont val="宋体"/>
        <charset val="134"/>
      </rPr>
      <t>α</t>
    </r>
    <r>
      <rPr>
        <sz val="12"/>
        <rFont val="Times New Roman"/>
        <family val="1"/>
      </rPr>
      <t>n</t>
    </r>
  </si>
  <si>
    <t>压力角正切值</t>
  </si>
  <si>
    <r>
      <rPr>
        <b/>
        <sz val="12"/>
        <rFont val="宋体"/>
        <charset val="134"/>
      </rPr>
      <t>β</t>
    </r>
    <r>
      <rPr>
        <b/>
        <sz val="12"/>
        <rFont val="Times New Roman"/>
        <family val="1"/>
      </rPr>
      <t>(</t>
    </r>
    <r>
      <rPr>
        <b/>
        <sz val="12"/>
        <rFont val="宋体"/>
        <charset val="134"/>
      </rPr>
      <t>弧度）</t>
    </r>
  </si>
  <si>
    <t>螺旋角弧度</t>
  </si>
  <si>
    <t>公法线长度</t>
  </si>
  <si>
    <t>Wk</t>
  </si>
  <si>
    <r>
      <rPr>
        <sz val="12"/>
        <rFont val="Times New Roman"/>
        <family val="1"/>
      </rPr>
      <t>cos</t>
    </r>
    <r>
      <rPr>
        <sz val="12"/>
        <rFont val="宋体"/>
        <charset val="134"/>
      </rPr>
      <t>β</t>
    </r>
  </si>
  <si>
    <t>螺旋角余弦值</t>
  </si>
  <si>
    <t>圆棒（球）中心圆压力角</t>
  </si>
  <si>
    <r>
      <rPr>
        <sz val="12"/>
        <rFont val="宋体"/>
        <charset val="134"/>
      </rPr>
      <t>α</t>
    </r>
    <r>
      <rPr>
        <sz val="12"/>
        <rFont val="Times New Roman"/>
        <family val="1"/>
      </rPr>
      <t>M</t>
    </r>
  </si>
  <si>
    <t>端面模数</t>
  </si>
  <si>
    <t>mt</t>
  </si>
  <si>
    <r>
      <rPr>
        <b/>
        <sz val="12"/>
        <rFont val="宋体"/>
        <charset val="134"/>
      </rPr>
      <t>α</t>
    </r>
    <r>
      <rPr>
        <b/>
        <sz val="12"/>
        <rFont val="Times New Roman"/>
        <family val="1"/>
      </rPr>
      <t>t(</t>
    </r>
    <r>
      <rPr>
        <b/>
        <sz val="12"/>
        <rFont val="宋体"/>
        <charset val="134"/>
      </rPr>
      <t>弧度）</t>
    </r>
  </si>
  <si>
    <r>
      <rPr>
        <sz val="12"/>
        <rFont val="Times New Roman"/>
        <family val="1"/>
      </rPr>
      <t>tg</t>
    </r>
    <r>
      <rPr>
        <sz val="12"/>
        <rFont val="宋体"/>
        <charset val="134"/>
      </rPr>
      <t>α</t>
    </r>
    <r>
      <rPr>
        <sz val="12"/>
        <rFont val="Times New Roman"/>
        <family val="1"/>
      </rPr>
      <t>n/cos</t>
    </r>
    <r>
      <rPr>
        <sz val="12"/>
        <rFont val="宋体"/>
        <charset val="134"/>
      </rPr>
      <t>β反余切值</t>
    </r>
  </si>
  <si>
    <r>
      <rPr>
        <sz val="12"/>
        <rFont val="宋体"/>
        <charset val="134"/>
      </rPr>
      <t>inv</t>
    </r>
    <r>
      <rPr>
        <b/>
        <sz val="12"/>
        <rFont val="宋体"/>
        <charset val="134"/>
      </rPr>
      <t>αt</t>
    </r>
  </si>
  <si>
    <t>端面压力角渐开线函数</t>
  </si>
  <si>
    <r>
      <rPr>
        <sz val="12"/>
        <rFont val="Times New Roman"/>
        <family val="1"/>
      </rPr>
      <t>M</t>
    </r>
    <r>
      <rPr>
        <sz val="12"/>
        <rFont val="宋体"/>
        <charset val="134"/>
      </rPr>
      <t>（偶）</t>
    </r>
    <r>
      <rPr>
        <sz val="12"/>
        <rFont val="Times New Roman"/>
        <family val="1"/>
      </rPr>
      <t>=d*cos</t>
    </r>
    <r>
      <rPr>
        <sz val="12"/>
        <rFont val="宋体"/>
        <charset val="134"/>
      </rPr>
      <t>α</t>
    </r>
    <r>
      <rPr>
        <sz val="12"/>
        <rFont val="Times New Roman"/>
        <family val="1"/>
      </rPr>
      <t>/cosαM+dp</t>
    </r>
  </si>
  <si>
    <r>
      <rPr>
        <sz val="12"/>
        <rFont val="Times New Roman"/>
        <family val="1"/>
      </rPr>
      <t>M</t>
    </r>
    <r>
      <rPr>
        <sz val="12"/>
        <rFont val="宋体"/>
        <charset val="134"/>
      </rPr>
      <t>（偶）</t>
    </r>
    <r>
      <rPr>
        <sz val="12"/>
        <rFont val="Times New Roman"/>
        <family val="1"/>
      </rPr>
      <t>=m</t>
    </r>
    <r>
      <rPr>
        <sz val="8"/>
        <rFont val="Times New Roman"/>
        <family val="1"/>
      </rPr>
      <t>t</t>
    </r>
    <r>
      <rPr>
        <sz val="12"/>
        <rFont val="Times New Roman"/>
        <family val="1"/>
      </rPr>
      <t>*z*cos</t>
    </r>
    <r>
      <rPr>
        <sz val="12"/>
        <rFont val="宋体"/>
        <charset val="134"/>
      </rPr>
      <t>α</t>
    </r>
    <r>
      <rPr>
        <sz val="12"/>
        <rFont val="Times New Roman"/>
        <family val="1"/>
      </rPr>
      <t>t/cos</t>
    </r>
    <r>
      <rPr>
        <sz val="12"/>
        <rFont val="宋体"/>
        <charset val="134"/>
      </rPr>
      <t>α</t>
    </r>
    <r>
      <rPr>
        <sz val="12"/>
        <rFont val="Times New Roman"/>
        <family val="1"/>
      </rPr>
      <t>Mt-dp</t>
    </r>
  </si>
  <si>
    <r>
      <rPr>
        <sz val="12"/>
        <rFont val="Times New Roman"/>
        <family val="1"/>
      </rPr>
      <t>tg</t>
    </r>
    <r>
      <rPr>
        <sz val="12"/>
        <rFont val="宋体"/>
        <charset val="134"/>
      </rPr>
      <t>α</t>
    </r>
    <r>
      <rPr>
        <sz val="12"/>
        <rFont val="Times New Roman"/>
        <family val="1"/>
      </rPr>
      <t>n/cos</t>
    </r>
    <r>
      <rPr>
        <sz val="12"/>
        <rFont val="宋体"/>
        <charset val="134"/>
      </rPr>
      <t>β</t>
    </r>
  </si>
  <si>
    <t>跨棒（球）距（偶数齿）</t>
  </si>
  <si>
    <r>
      <rPr>
        <sz val="12"/>
        <rFont val="宋体"/>
        <charset val="134"/>
      </rPr>
      <t>M</t>
    </r>
    <r>
      <rPr>
        <sz val="12"/>
        <rFont val="宋体"/>
        <charset val="134"/>
      </rPr>
      <t>（偶）</t>
    </r>
  </si>
  <si>
    <r>
      <rPr>
        <sz val="12"/>
        <rFont val="宋体"/>
        <charset val="134"/>
      </rPr>
      <t>α</t>
    </r>
    <r>
      <rPr>
        <sz val="12"/>
        <rFont val="Times New Roman"/>
        <family val="1"/>
      </rPr>
      <t>t</t>
    </r>
  </si>
  <si>
    <t>分度圆端面压力角</t>
  </si>
  <si>
    <r>
      <rPr>
        <sz val="12"/>
        <rFont val="Times New Roman"/>
        <family val="1"/>
      </rPr>
      <t>M</t>
    </r>
    <r>
      <rPr>
        <sz val="12"/>
        <rFont val="宋体"/>
        <charset val="134"/>
      </rPr>
      <t>（奇）</t>
    </r>
    <r>
      <rPr>
        <sz val="12"/>
        <rFont val="Times New Roman"/>
        <family val="1"/>
      </rPr>
      <t>=d*cos</t>
    </r>
    <r>
      <rPr>
        <sz val="12"/>
        <rFont val="宋体"/>
        <charset val="134"/>
      </rPr>
      <t>α</t>
    </r>
    <r>
      <rPr>
        <sz val="12"/>
        <rFont val="Times New Roman"/>
        <family val="1"/>
      </rPr>
      <t>/cos</t>
    </r>
    <r>
      <rPr>
        <sz val="12"/>
        <rFont val="宋体"/>
        <charset val="134"/>
      </rPr>
      <t>α</t>
    </r>
    <r>
      <rPr>
        <sz val="12"/>
        <rFont val="Times New Roman"/>
        <family val="1"/>
      </rPr>
      <t>M*cos(90/Z)+dp</t>
    </r>
  </si>
  <si>
    <r>
      <rPr>
        <sz val="12"/>
        <rFont val="Times New Roman"/>
        <family val="1"/>
      </rPr>
      <t>M</t>
    </r>
    <r>
      <rPr>
        <sz val="12"/>
        <rFont val="宋体"/>
        <charset val="134"/>
      </rPr>
      <t>（奇）</t>
    </r>
    <r>
      <rPr>
        <sz val="12"/>
        <rFont val="Times New Roman"/>
        <family val="1"/>
      </rPr>
      <t>=mt*z*cos</t>
    </r>
    <r>
      <rPr>
        <sz val="12"/>
        <rFont val="宋体"/>
        <charset val="134"/>
      </rPr>
      <t>α</t>
    </r>
    <r>
      <rPr>
        <sz val="12"/>
        <rFont val="Times New Roman"/>
        <family val="1"/>
      </rPr>
      <t>t/cos</t>
    </r>
    <r>
      <rPr>
        <sz val="12"/>
        <rFont val="宋体"/>
        <charset val="134"/>
      </rPr>
      <t>α</t>
    </r>
    <r>
      <rPr>
        <sz val="12"/>
        <rFont val="Times New Roman"/>
        <family val="1"/>
      </rPr>
      <t>Mt*cos90/z-dp</t>
    </r>
  </si>
  <si>
    <t>Z'</t>
  </si>
  <si>
    <t>假想齿</t>
  </si>
  <si>
    <t>跨棒（球）距（奇数齿）</t>
  </si>
  <si>
    <r>
      <rPr>
        <sz val="12"/>
        <rFont val="宋体"/>
        <charset val="134"/>
      </rPr>
      <t>M</t>
    </r>
    <r>
      <rPr>
        <sz val="12"/>
        <rFont val="宋体"/>
        <charset val="134"/>
      </rPr>
      <t>（奇）</t>
    </r>
  </si>
  <si>
    <r>
      <rPr>
        <sz val="12"/>
        <rFont val="宋体"/>
        <charset val="134"/>
      </rPr>
      <t>π（</t>
    </r>
    <r>
      <rPr>
        <sz val="12"/>
        <rFont val="Times New Roman"/>
        <family val="1"/>
      </rPr>
      <t>k-0.5</t>
    </r>
    <r>
      <rPr>
        <sz val="12"/>
        <rFont val="宋体"/>
        <charset val="134"/>
      </rPr>
      <t>）</t>
    </r>
  </si>
  <si>
    <r>
      <rPr>
        <sz val="12"/>
        <rFont val="Times New Roman"/>
        <family val="1"/>
      </rPr>
      <t>Y3180E/YM3180E</t>
    </r>
    <r>
      <rPr>
        <sz val="12"/>
        <rFont val="宋体"/>
        <charset val="134"/>
      </rPr>
      <t>滚齿机差动挂轮调整公式</t>
    </r>
  </si>
  <si>
    <r>
      <rPr>
        <sz val="12"/>
        <rFont val="Times New Roman"/>
        <family val="1"/>
      </rPr>
      <t>Z'inv</t>
    </r>
    <r>
      <rPr>
        <sz val="12"/>
        <rFont val="宋体"/>
        <charset val="134"/>
      </rPr>
      <t>α</t>
    </r>
    <r>
      <rPr>
        <sz val="12"/>
        <rFont val="Times New Roman"/>
        <family val="1"/>
      </rPr>
      <t>n</t>
    </r>
  </si>
  <si>
    <t>a*c/b*d＝±9*[sinβ/（Mn*k)]</t>
  </si>
  <si>
    <r>
      <rPr>
        <sz val="12"/>
        <color indexed="53"/>
        <rFont val="Times New Roman"/>
        <family val="1"/>
      </rPr>
      <t>X</t>
    </r>
    <r>
      <rPr>
        <sz val="12"/>
        <color indexed="53"/>
        <rFont val="宋体"/>
        <charset val="134"/>
      </rPr>
      <t>∑</t>
    </r>
  </si>
  <si>
    <r>
      <rPr>
        <sz val="12"/>
        <rFont val="Times New Roman"/>
        <family val="1"/>
      </rPr>
      <t>2xntg</t>
    </r>
    <r>
      <rPr>
        <sz val="12"/>
        <rFont val="宋体"/>
        <charset val="134"/>
      </rPr>
      <t>α</t>
    </r>
    <r>
      <rPr>
        <sz val="12"/>
        <rFont val="Times New Roman"/>
        <family val="1"/>
      </rPr>
      <t>n</t>
    </r>
  </si>
  <si>
    <t>Mn</t>
  </si>
  <si>
    <t>检验是否有足够齿宽测量公法线</t>
  </si>
  <si>
    <r>
      <rPr>
        <sz val="12"/>
        <rFont val="Times New Roman"/>
        <family val="1"/>
      </rPr>
      <t>mncos</t>
    </r>
    <r>
      <rPr>
        <sz val="12"/>
        <rFont val="宋体"/>
        <charset val="134"/>
      </rPr>
      <t>α</t>
    </r>
    <r>
      <rPr>
        <sz val="12"/>
        <rFont val="Times New Roman"/>
        <family val="1"/>
      </rPr>
      <t>n</t>
    </r>
  </si>
  <si>
    <t>滚刀头数</t>
  </si>
  <si>
    <r>
      <rPr>
        <sz val="12"/>
        <rFont val="宋体"/>
        <charset val="134"/>
      </rPr>
      <t>齿宽</t>
    </r>
    <r>
      <rPr>
        <sz val="12"/>
        <rFont val="Times New Roman"/>
        <family val="1"/>
      </rPr>
      <t>b</t>
    </r>
    <r>
      <rPr>
        <sz val="12"/>
        <rFont val="宋体"/>
        <charset val="134"/>
      </rPr>
      <t>≥</t>
    </r>
    <r>
      <rPr>
        <sz val="12"/>
        <rFont val="Times New Roman"/>
        <family val="1"/>
      </rPr>
      <t>Lsin</t>
    </r>
    <r>
      <rPr>
        <sz val="12"/>
        <rFont val="宋体"/>
        <charset val="134"/>
      </rPr>
      <t>β</t>
    </r>
  </si>
  <si>
    <t>Lsinβ</t>
  </si>
  <si>
    <t>β（弧）</t>
  </si>
  <si>
    <t>sinβ</t>
  </si>
  <si>
    <t>差动</t>
  </si>
  <si>
    <t>a*c/b*d</t>
  </si>
  <si>
    <t>公法线长度最小偏差△mL及公差δL（微米）</t>
  </si>
  <si>
    <t>精度等级</t>
  </si>
  <si>
    <t>结合形式</t>
  </si>
  <si>
    <r>
      <rPr>
        <sz val="12"/>
        <rFont val="宋体"/>
        <charset val="134"/>
      </rPr>
      <t>代</t>
    </r>
    <r>
      <rPr>
        <sz val="12"/>
        <rFont val="Times New Roman"/>
        <family val="1"/>
      </rPr>
      <t xml:space="preserve">  </t>
    </r>
    <r>
      <rPr>
        <sz val="12"/>
        <rFont val="宋体"/>
        <charset val="134"/>
      </rPr>
      <t>号</t>
    </r>
  </si>
  <si>
    <t>法面模数</t>
  </si>
  <si>
    <r>
      <rPr>
        <sz val="12"/>
        <rFont val="宋体"/>
        <charset val="134"/>
      </rPr>
      <t>齿</t>
    </r>
    <r>
      <rPr>
        <sz val="12"/>
        <rFont val="Times New Roman"/>
        <family val="1"/>
      </rPr>
      <t xml:space="preserve">      </t>
    </r>
    <r>
      <rPr>
        <sz val="12"/>
        <rFont val="宋体"/>
        <charset val="134"/>
      </rPr>
      <t>轮</t>
    </r>
    <r>
      <rPr>
        <sz val="12"/>
        <rFont val="Times New Roman"/>
        <family val="1"/>
      </rPr>
      <t xml:space="preserve">      </t>
    </r>
    <r>
      <rPr>
        <sz val="12"/>
        <rFont val="宋体"/>
        <charset val="134"/>
      </rPr>
      <t>直</t>
    </r>
    <r>
      <rPr>
        <sz val="12"/>
        <rFont val="Times New Roman"/>
        <family val="1"/>
      </rPr>
      <t xml:space="preserve">      </t>
    </r>
    <r>
      <rPr>
        <sz val="12"/>
        <rFont val="宋体"/>
        <charset val="134"/>
      </rPr>
      <t>径</t>
    </r>
    <r>
      <rPr>
        <sz val="12"/>
        <rFont val="Times New Roman"/>
        <family val="1"/>
      </rPr>
      <t xml:space="preserve">     </t>
    </r>
    <r>
      <rPr>
        <sz val="12"/>
        <rFont val="宋体"/>
        <charset val="134"/>
      </rPr>
      <t>（毫米）</t>
    </r>
  </si>
  <si>
    <r>
      <rPr>
        <sz val="16"/>
        <rFont val="Times New Roman"/>
        <family val="1"/>
      </rPr>
      <t>m</t>
    </r>
    <r>
      <rPr>
        <sz val="8"/>
        <rFont val="宋体"/>
        <charset val="134"/>
      </rPr>
      <t>法</t>
    </r>
  </si>
  <si>
    <r>
      <rPr>
        <sz val="12"/>
        <rFont val="宋体"/>
        <charset val="134"/>
      </rPr>
      <t>≤</t>
    </r>
    <r>
      <rPr>
        <sz val="12"/>
        <rFont val="Times New Roman"/>
        <family val="1"/>
      </rPr>
      <t>50</t>
    </r>
  </si>
  <si>
    <r>
      <rPr>
        <sz val="12"/>
        <rFont val="宋体"/>
        <charset val="134"/>
      </rPr>
      <t>＞</t>
    </r>
    <r>
      <rPr>
        <sz val="12"/>
        <rFont val="Times New Roman"/>
        <family val="1"/>
      </rPr>
      <t>50</t>
    </r>
    <r>
      <rPr>
        <sz val="12"/>
        <rFont val="宋体"/>
        <charset val="134"/>
      </rPr>
      <t>～</t>
    </r>
    <r>
      <rPr>
        <sz val="12"/>
        <rFont val="Times New Roman"/>
        <family val="1"/>
      </rPr>
      <t>80</t>
    </r>
  </si>
  <si>
    <r>
      <rPr>
        <sz val="12"/>
        <rFont val="宋体"/>
        <charset val="134"/>
      </rPr>
      <t>＞</t>
    </r>
    <r>
      <rPr>
        <sz val="12"/>
        <rFont val="Times New Roman"/>
        <family val="1"/>
      </rPr>
      <t>80</t>
    </r>
    <r>
      <rPr>
        <sz val="12"/>
        <rFont val="宋体"/>
        <charset val="134"/>
      </rPr>
      <t>～</t>
    </r>
    <r>
      <rPr>
        <sz val="12"/>
        <rFont val="Times New Roman"/>
        <family val="1"/>
      </rPr>
      <t>120</t>
    </r>
  </si>
  <si>
    <r>
      <rPr>
        <sz val="12"/>
        <rFont val="宋体"/>
        <charset val="134"/>
      </rPr>
      <t>＞</t>
    </r>
    <r>
      <rPr>
        <sz val="12"/>
        <rFont val="Times New Roman"/>
        <family val="1"/>
      </rPr>
      <t>120</t>
    </r>
    <r>
      <rPr>
        <sz val="12"/>
        <rFont val="宋体"/>
        <charset val="134"/>
      </rPr>
      <t>～</t>
    </r>
    <r>
      <rPr>
        <sz val="12"/>
        <rFont val="Times New Roman"/>
        <family val="1"/>
      </rPr>
      <t>200</t>
    </r>
  </si>
  <si>
    <r>
      <rPr>
        <sz val="12"/>
        <rFont val="宋体"/>
        <charset val="134"/>
      </rPr>
      <t>＞</t>
    </r>
    <r>
      <rPr>
        <sz val="12"/>
        <rFont val="Times New Roman"/>
        <family val="1"/>
      </rPr>
      <t>200</t>
    </r>
    <r>
      <rPr>
        <sz val="12"/>
        <rFont val="宋体"/>
        <charset val="134"/>
      </rPr>
      <t>～</t>
    </r>
    <r>
      <rPr>
        <sz val="12"/>
        <rFont val="Times New Roman"/>
        <family val="1"/>
      </rPr>
      <t>320</t>
    </r>
  </si>
  <si>
    <r>
      <rPr>
        <sz val="12"/>
        <rFont val="宋体"/>
        <charset val="134"/>
      </rPr>
      <t>＞</t>
    </r>
    <r>
      <rPr>
        <sz val="12"/>
        <rFont val="Times New Roman"/>
        <family val="1"/>
      </rPr>
      <t>320</t>
    </r>
    <r>
      <rPr>
        <sz val="12"/>
        <rFont val="宋体"/>
        <charset val="134"/>
      </rPr>
      <t>～</t>
    </r>
    <r>
      <rPr>
        <sz val="12"/>
        <rFont val="Times New Roman"/>
        <family val="1"/>
      </rPr>
      <t>500</t>
    </r>
  </si>
  <si>
    <t>（毫米）</t>
  </si>
  <si>
    <t>Dc</t>
  </si>
  <si>
    <t>△mL</t>
  </si>
  <si>
    <r>
      <rPr>
        <sz val="12"/>
        <rFont val="宋体"/>
        <charset val="134"/>
      </rPr>
      <t>＞</t>
    </r>
    <r>
      <rPr>
        <sz val="12"/>
        <rFont val="Times New Roman"/>
        <family val="1"/>
      </rPr>
      <t>1</t>
    </r>
    <r>
      <rPr>
        <sz val="12"/>
        <rFont val="宋体"/>
        <charset val="134"/>
      </rPr>
      <t>～2.5</t>
    </r>
  </si>
  <si>
    <r>
      <rPr>
        <sz val="12"/>
        <rFont val="宋体"/>
        <charset val="134"/>
      </rPr>
      <t>＞</t>
    </r>
    <r>
      <rPr>
        <sz val="12"/>
        <rFont val="Times New Roman"/>
        <family val="1"/>
      </rPr>
      <t>2.5</t>
    </r>
    <r>
      <rPr>
        <sz val="12"/>
        <rFont val="宋体"/>
        <charset val="134"/>
      </rPr>
      <t>～</t>
    </r>
    <r>
      <rPr>
        <sz val="12"/>
        <rFont val="Times New Roman"/>
        <family val="1"/>
      </rPr>
      <t>6</t>
    </r>
  </si>
  <si>
    <r>
      <rPr>
        <sz val="12"/>
        <rFont val="宋体"/>
        <charset val="134"/>
      </rPr>
      <t>＞</t>
    </r>
    <r>
      <rPr>
        <sz val="12"/>
        <rFont val="Times New Roman"/>
        <family val="1"/>
      </rPr>
      <t>6</t>
    </r>
    <r>
      <rPr>
        <sz val="12"/>
        <rFont val="宋体"/>
        <charset val="134"/>
      </rPr>
      <t>～</t>
    </r>
    <r>
      <rPr>
        <sz val="12"/>
        <rFont val="Times New Roman"/>
        <family val="1"/>
      </rPr>
      <t>10</t>
    </r>
  </si>
  <si>
    <r>
      <rPr>
        <sz val="12"/>
        <rFont val="宋体"/>
        <charset val="134"/>
      </rPr>
      <t>＞</t>
    </r>
    <r>
      <rPr>
        <sz val="12"/>
        <rFont val="Times New Roman"/>
        <family val="1"/>
      </rPr>
      <t>10</t>
    </r>
    <r>
      <rPr>
        <sz val="12"/>
        <rFont val="宋体"/>
        <charset val="134"/>
      </rPr>
      <t>～</t>
    </r>
    <r>
      <rPr>
        <sz val="12"/>
        <rFont val="Times New Roman"/>
        <family val="1"/>
      </rPr>
      <t>16</t>
    </r>
  </si>
  <si>
    <t>δL</t>
  </si>
  <si>
    <r>
      <rPr>
        <sz val="12"/>
        <rFont val="宋体"/>
        <charset val="134"/>
      </rPr>
      <t>＞</t>
    </r>
    <r>
      <rPr>
        <sz val="12"/>
        <rFont val="Times New Roman"/>
        <family val="1"/>
      </rPr>
      <t>1</t>
    </r>
    <r>
      <rPr>
        <sz val="12"/>
        <rFont val="宋体"/>
        <charset val="134"/>
      </rPr>
      <t>～</t>
    </r>
    <r>
      <rPr>
        <sz val="12"/>
        <rFont val="Times New Roman"/>
        <family val="1"/>
      </rPr>
      <t>16</t>
    </r>
  </si>
  <si>
    <r>
      <rPr>
        <sz val="12"/>
        <rFont val="宋体"/>
        <charset val="134"/>
      </rPr>
      <t>＞</t>
    </r>
    <r>
      <rPr>
        <sz val="12"/>
        <rFont val="Times New Roman"/>
        <family val="1"/>
      </rPr>
      <t>2.5</t>
    </r>
    <r>
      <rPr>
        <sz val="12"/>
        <rFont val="宋体"/>
        <charset val="134"/>
      </rPr>
      <t>～</t>
    </r>
    <r>
      <rPr>
        <sz val="12"/>
        <rFont val="Times New Roman"/>
        <family val="1"/>
      </rPr>
      <t>16</t>
    </r>
  </si>
  <si>
    <r>
      <rPr>
        <sz val="12"/>
        <rFont val="宋体"/>
        <charset val="134"/>
      </rPr>
      <t>外花键偶数齿</t>
    </r>
    <r>
      <rPr>
        <sz val="12"/>
        <rFont val="Times New Roman"/>
        <family val="1"/>
      </rPr>
      <t>M</t>
    </r>
  </si>
  <si>
    <t>外花键偶数齿厚S</t>
  </si>
  <si>
    <r>
      <rPr>
        <sz val="12"/>
        <rFont val="宋体"/>
        <charset val="134"/>
      </rPr>
      <t>外花键奇数齿</t>
    </r>
    <r>
      <rPr>
        <sz val="12"/>
        <rFont val="Times New Roman"/>
        <family val="1"/>
      </rPr>
      <t>M</t>
    </r>
  </si>
  <si>
    <t>外花键奇数齿厚S</t>
  </si>
  <si>
    <t>公法线计算齿厚</t>
  </si>
  <si>
    <t>Smax</t>
  </si>
  <si>
    <t>Smin</t>
  </si>
  <si>
    <t>齿厚</t>
  </si>
  <si>
    <t>αi</t>
  </si>
  <si>
    <t>Mmax</t>
  </si>
  <si>
    <t>Mmin</t>
  </si>
  <si>
    <t>内花键偶数齿</t>
  </si>
  <si>
    <t>内花键偶数齿齿厚E</t>
  </si>
  <si>
    <t>内花键奇数齿</t>
  </si>
  <si>
    <t>内花键奇数齿齿厚E</t>
  </si>
  <si>
    <t>Emax</t>
  </si>
  <si>
    <t>Emin</t>
  </si>
  <si>
    <r>
      <rPr>
        <sz val="12"/>
        <rFont val="宋体"/>
        <charset val="134"/>
      </rPr>
      <t>α</t>
    </r>
    <r>
      <rPr>
        <sz val="12"/>
        <rFont val="Times New Roman"/>
        <family val="1"/>
      </rPr>
      <t>i</t>
    </r>
  </si>
  <si>
    <t>外啮合变位斜齿轮公法线长度计算</t>
  </si>
  <si>
    <r>
      <rPr>
        <sz val="12"/>
        <rFont val="宋体"/>
        <charset val="134"/>
      </rPr>
      <t>k</t>
    </r>
    <r>
      <rPr>
        <b/>
        <sz val="12"/>
        <rFont val="宋体"/>
        <charset val="134"/>
      </rPr>
      <t>≈（α</t>
    </r>
    <r>
      <rPr>
        <b/>
        <sz val="12"/>
        <rFont val="Times New Roman"/>
        <family val="1"/>
      </rPr>
      <t>n/180</t>
    </r>
    <r>
      <rPr>
        <b/>
        <sz val="12"/>
        <rFont val="宋体"/>
        <charset val="134"/>
      </rPr>
      <t>）</t>
    </r>
    <r>
      <rPr>
        <b/>
        <sz val="12"/>
        <rFont val="Times New Roman"/>
        <family val="1"/>
      </rPr>
      <t>*Z'+0.5+</t>
    </r>
    <r>
      <rPr>
        <b/>
        <sz val="12"/>
        <rFont val="宋体"/>
        <charset val="134"/>
      </rPr>
      <t>（</t>
    </r>
    <r>
      <rPr>
        <b/>
        <sz val="12"/>
        <rFont val="Times New Roman"/>
        <family val="1"/>
      </rPr>
      <t>2xnctg</t>
    </r>
    <r>
      <rPr>
        <b/>
        <sz val="12"/>
        <rFont val="宋体"/>
        <charset val="134"/>
      </rPr>
      <t>α</t>
    </r>
    <r>
      <rPr>
        <b/>
        <sz val="12"/>
        <rFont val="Times New Roman"/>
        <family val="1"/>
      </rPr>
      <t>n</t>
    </r>
    <r>
      <rPr>
        <b/>
        <sz val="12"/>
        <rFont val="宋体"/>
        <charset val="134"/>
      </rPr>
      <t>）</t>
    </r>
    <r>
      <rPr>
        <b/>
        <sz val="12"/>
        <rFont val="Times New Roman"/>
        <family val="1"/>
      </rPr>
      <t>/</t>
    </r>
    <r>
      <rPr>
        <b/>
        <sz val="12"/>
        <rFont val="宋体"/>
        <charset val="134"/>
      </rPr>
      <t>π</t>
    </r>
  </si>
  <si>
    <t>、</t>
  </si>
  <si>
    <t>端面压力角</t>
  </si>
  <si>
    <t>齿宽</t>
  </si>
  <si>
    <t>b≥Lsinβ</t>
  </si>
  <si>
    <t>齿轮各个等级的公差</t>
  </si>
  <si>
    <t>公差组</t>
  </si>
  <si>
    <t>公差与极限偏差项目</t>
  </si>
  <si>
    <t>误差特牲</t>
  </si>
  <si>
    <t>对传动性能的主要影响</t>
  </si>
  <si>
    <t>Ⅰ</t>
  </si>
  <si>
    <r>
      <rPr>
        <sz val="12"/>
        <rFont val="Arial"/>
        <family val="2"/>
      </rPr>
      <t>F'I</t>
    </r>
    <r>
      <rPr>
        <sz val="12"/>
        <rFont val="宋体"/>
        <charset val="134"/>
      </rPr>
      <t>、</t>
    </r>
    <r>
      <rPr>
        <sz val="12"/>
        <rFont val="Arial"/>
        <family val="2"/>
      </rPr>
      <t>F"I</t>
    </r>
    <r>
      <rPr>
        <sz val="12"/>
        <rFont val="宋体"/>
        <charset val="134"/>
      </rPr>
      <t>、</t>
    </r>
    <r>
      <rPr>
        <sz val="12"/>
        <rFont val="Arial"/>
        <family val="2"/>
      </rPr>
      <t>Fp</t>
    </r>
    <r>
      <rPr>
        <sz val="12"/>
        <rFont val="宋体"/>
        <charset val="134"/>
      </rPr>
      <t>、</t>
    </r>
    <r>
      <rPr>
        <sz val="12"/>
        <rFont val="Arial"/>
        <family val="2"/>
      </rPr>
      <t>Fr</t>
    </r>
    <r>
      <rPr>
        <sz val="12"/>
        <rFont val="宋体"/>
        <charset val="134"/>
      </rPr>
      <t>、</t>
    </r>
    <r>
      <rPr>
        <sz val="12"/>
        <rFont val="Arial"/>
        <family val="2"/>
      </rPr>
      <t>Fw</t>
    </r>
  </si>
  <si>
    <t>以齿轮一转为周期的误差</t>
  </si>
  <si>
    <t>传递运动的准确性</t>
  </si>
  <si>
    <t>Ⅱ</t>
  </si>
  <si>
    <r>
      <rPr>
        <sz val="12"/>
        <rFont val="Times New Roman"/>
        <family val="1"/>
      </rPr>
      <t>f'I</t>
    </r>
    <r>
      <rPr>
        <sz val="12"/>
        <rFont val="宋体"/>
        <charset val="134"/>
      </rPr>
      <t>、</t>
    </r>
    <r>
      <rPr>
        <sz val="12"/>
        <rFont val="Times New Roman"/>
        <family val="1"/>
      </rPr>
      <t>f"I</t>
    </r>
    <r>
      <rPr>
        <sz val="12"/>
        <rFont val="宋体"/>
        <charset val="134"/>
      </rPr>
      <t>、</t>
    </r>
    <r>
      <rPr>
        <sz val="12"/>
        <rFont val="Times New Roman"/>
        <family val="1"/>
      </rPr>
      <t>ff</t>
    </r>
    <r>
      <rPr>
        <sz val="12"/>
        <rFont val="宋体"/>
        <charset val="134"/>
      </rPr>
      <t>、</t>
    </r>
    <r>
      <rPr>
        <sz val="12"/>
        <rFont val="Times New Roman"/>
        <family val="1"/>
      </rPr>
      <t>fpt</t>
    </r>
    <r>
      <rPr>
        <sz val="12"/>
        <rFont val="宋体"/>
        <charset val="134"/>
      </rPr>
      <t>、</t>
    </r>
    <r>
      <rPr>
        <sz val="12"/>
        <rFont val="Times New Roman"/>
        <family val="1"/>
      </rPr>
      <t>fpb</t>
    </r>
    <r>
      <rPr>
        <sz val="12"/>
        <rFont val="宋体"/>
        <charset val="134"/>
      </rPr>
      <t>、</t>
    </r>
    <r>
      <rPr>
        <sz val="12"/>
        <rFont val="Times New Roman"/>
        <family val="1"/>
      </rPr>
      <t>ff</t>
    </r>
    <r>
      <rPr>
        <sz val="12"/>
        <rFont val="宋体"/>
        <charset val="134"/>
      </rPr>
      <t>β</t>
    </r>
  </si>
  <si>
    <t>在齿轮一转内，多次周期性地重复出现的误差</t>
  </si>
  <si>
    <t>传动的平稳性</t>
  </si>
  <si>
    <t>Ⅲ</t>
  </si>
  <si>
    <r>
      <rPr>
        <sz val="12"/>
        <rFont val="宋体"/>
        <charset val="134"/>
      </rPr>
      <t>接触斑点、</t>
    </r>
    <r>
      <rPr>
        <sz val="12"/>
        <rFont val="Times New Roman"/>
        <family val="1"/>
      </rPr>
      <t>F</t>
    </r>
    <r>
      <rPr>
        <sz val="12"/>
        <rFont val="宋体"/>
        <charset val="134"/>
      </rPr>
      <t>β、</t>
    </r>
    <r>
      <rPr>
        <sz val="12"/>
        <rFont val="Times New Roman"/>
        <family val="1"/>
      </rPr>
      <t>Fpx</t>
    </r>
  </si>
  <si>
    <t>齿向线的误差</t>
  </si>
  <si>
    <t>载荷分布的均匀性</t>
  </si>
  <si>
    <t>超越离合器设计计算表</t>
  </si>
  <si>
    <t>外毂接触内表面直径</t>
  </si>
  <si>
    <t>滚柱数目</t>
  </si>
  <si>
    <t>滚柱直径</t>
  </si>
  <si>
    <t>滚柱楔入角</t>
  </si>
  <si>
    <t>楔紧平面至轴心线的距离</t>
  </si>
  <si>
    <t>滚柱长度</t>
  </si>
  <si>
    <t>D(MM)</t>
  </si>
  <si>
    <t>Z(个)</t>
  </si>
  <si>
    <t>d1(MM)</t>
  </si>
  <si>
    <t>α(度)</t>
  </si>
  <si>
    <t>h(MM)</t>
  </si>
  <si>
    <t>L(MM)</t>
  </si>
  <si>
    <t>注:1.滚柱数目:D≤80时取3;  D＞80时,可取3或5</t>
  </si>
  <si>
    <t xml:space="preserve">   2.滚柱楔入角:2.5～8.5,钢与钢摩擦一般取7度</t>
  </si>
  <si>
    <t>功率    （kw）</t>
  </si>
  <si>
    <t>马力    （hp）</t>
  </si>
  <si>
    <t>额定电流（A）</t>
  </si>
  <si>
    <t>转速（r/min）</t>
  </si>
  <si>
    <t>效率  （%）</t>
  </si>
  <si>
    <t>功率因数（cosφ）</t>
  </si>
  <si>
    <t>重量（kg）</t>
  </si>
  <si>
    <t>输出
扭矩</t>
  </si>
  <si>
    <t>Y80M1-2</t>
  </si>
  <si>
    <t>Y80M2-2</t>
  </si>
  <si>
    <t>Y90S-2</t>
  </si>
  <si>
    <t>Y90L-2</t>
  </si>
  <si>
    <t>Y100L-2</t>
  </si>
  <si>
    <t>Y112M-2</t>
  </si>
  <si>
    <t>Y132S1-2</t>
  </si>
  <si>
    <t>Y132S2-2</t>
  </si>
  <si>
    <t>Y160M1-2</t>
  </si>
  <si>
    <t>Y160M2-2</t>
  </si>
  <si>
    <t>Y160L-2</t>
  </si>
  <si>
    <t>Y180M-2</t>
  </si>
  <si>
    <t>Y200L1-2</t>
  </si>
  <si>
    <t>Y200L2-2</t>
  </si>
  <si>
    <t>Y225M-2</t>
  </si>
  <si>
    <t>Y250M-2</t>
  </si>
  <si>
    <t>Y280S-2</t>
  </si>
  <si>
    <t>Y280M-2</t>
  </si>
  <si>
    <t>Y315S-2</t>
  </si>
  <si>
    <t>Y315M-2</t>
  </si>
  <si>
    <t>Y315L1-2</t>
  </si>
  <si>
    <t>Y315L2-2</t>
  </si>
  <si>
    <t>Y355M1-2</t>
  </si>
  <si>
    <t>Y355M2-2</t>
  </si>
  <si>
    <t>Y355L1-2</t>
  </si>
  <si>
    <t>Y355L2-2</t>
  </si>
  <si>
    <t>Y80M1-4</t>
  </si>
  <si>
    <t>Y80M2-4</t>
  </si>
  <si>
    <t>Y90S-4</t>
  </si>
  <si>
    <t>Y90L-4</t>
  </si>
  <si>
    <t>Y100L1-4</t>
  </si>
  <si>
    <t>Y100L2-4</t>
  </si>
  <si>
    <t>Y112M-4</t>
  </si>
  <si>
    <t>Y132S-4</t>
  </si>
  <si>
    <t>Y132M-4</t>
  </si>
  <si>
    <t>Y160M-4</t>
  </si>
  <si>
    <t>Y160L-4</t>
  </si>
  <si>
    <t>Y180M-4</t>
  </si>
  <si>
    <t>Y180L-4</t>
  </si>
  <si>
    <t>Y200L-4</t>
  </si>
  <si>
    <t>Y225S-4</t>
  </si>
  <si>
    <t>Y225M-4</t>
  </si>
  <si>
    <t>Y250M-4</t>
  </si>
  <si>
    <t>Y280S-4</t>
  </si>
  <si>
    <t>Y280M-4</t>
  </si>
  <si>
    <t xml:space="preserve">Y315S-4 </t>
  </si>
  <si>
    <t>Y315M-4</t>
  </si>
  <si>
    <t>Y315L1-4</t>
  </si>
  <si>
    <t>Y315L2-4</t>
  </si>
  <si>
    <t>Y355M1-4</t>
  </si>
  <si>
    <t>Y355M2-4</t>
  </si>
  <si>
    <t>Y355L1-4</t>
  </si>
  <si>
    <t>Y355L2-4</t>
  </si>
  <si>
    <t>Y90S-6</t>
  </si>
  <si>
    <t>Y90L-6</t>
  </si>
  <si>
    <t>Y100L-6</t>
  </si>
  <si>
    <t>Y112M-6</t>
  </si>
  <si>
    <t>Y132S-6</t>
  </si>
  <si>
    <t>Y132M1-6</t>
  </si>
  <si>
    <t>Y132M2-6</t>
  </si>
  <si>
    <t>Y160M-6</t>
  </si>
  <si>
    <t>Y160L-6</t>
  </si>
  <si>
    <t>Y180L-6</t>
  </si>
  <si>
    <t>Y200L1-6</t>
  </si>
  <si>
    <t>Y200L2-6</t>
  </si>
  <si>
    <t>Y225M-6</t>
  </si>
  <si>
    <t>Y250M-6</t>
  </si>
  <si>
    <t>Y280S-6</t>
  </si>
  <si>
    <t>Y280M-6</t>
  </si>
  <si>
    <t>Y315S-6</t>
  </si>
  <si>
    <t>Y315M-6</t>
  </si>
  <si>
    <t>Y315L1-6</t>
  </si>
  <si>
    <t>Y315L2-6</t>
  </si>
  <si>
    <t>Y355M1-6</t>
  </si>
  <si>
    <t>Y355M2-6</t>
  </si>
  <si>
    <t>Y355M3-6</t>
  </si>
  <si>
    <t>Y355L2-6</t>
  </si>
  <si>
    <t>Y355L1-6</t>
  </si>
  <si>
    <t>Y132S-8</t>
  </si>
  <si>
    <t>Y132M-8</t>
  </si>
  <si>
    <t>Y160M1-8</t>
  </si>
  <si>
    <t>Y160M2-8</t>
  </si>
  <si>
    <t>Y160L-8</t>
  </si>
  <si>
    <t>Y180L-8</t>
  </si>
  <si>
    <t>Y200L-8</t>
  </si>
  <si>
    <t>Y225S-8</t>
  </si>
  <si>
    <t>Y225M-8</t>
  </si>
  <si>
    <t>Y250M-8</t>
  </si>
  <si>
    <t>Y280S-8</t>
  </si>
  <si>
    <t>Y280M-8</t>
  </si>
  <si>
    <t>Y315S-8</t>
  </si>
  <si>
    <t>Y315M-8</t>
  </si>
  <si>
    <t>Y315L1-8</t>
  </si>
  <si>
    <t>Y315L2-8</t>
  </si>
  <si>
    <t>Y355M1-8</t>
  </si>
  <si>
    <t>Y355M2-8</t>
  </si>
  <si>
    <t>Y355L1-8</t>
  </si>
  <si>
    <t>Y355L2-8</t>
  </si>
  <si>
    <t>Y355M1-10</t>
  </si>
  <si>
    <t>Y355M2-10</t>
  </si>
  <si>
    <t>Y355L-10</t>
  </si>
  <si>
    <r>
      <rPr>
        <b/>
        <sz val="18"/>
        <rFont val="Times New Roman"/>
        <family val="1"/>
      </rPr>
      <t xml:space="preserve">          </t>
    </r>
    <r>
      <rPr>
        <b/>
        <sz val="18"/>
        <rFont val="宋体"/>
        <charset val="134"/>
      </rPr>
      <t xml:space="preserve">锥齿轮传动设计计算 </t>
    </r>
  </si>
  <si>
    <t>8044*</t>
  </si>
  <si>
    <r>
      <rPr>
        <b/>
        <sz val="10"/>
        <color indexed="23"/>
        <rFont val="宋体"/>
        <charset val="134"/>
      </rPr>
      <t>说明：</t>
    </r>
    <r>
      <rPr>
        <sz val="10"/>
        <color indexed="23"/>
        <rFont val="宋体"/>
        <charset val="134"/>
      </rPr>
      <t xml:space="preserve">本程序适用于直齿锥齿轮及 </t>
    </r>
    <r>
      <rPr>
        <sz val="10"/>
        <color indexed="23"/>
        <rFont val="Times New Roman"/>
        <family val="1"/>
      </rPr>
      <t xml:space="preserve">GLEASON  </t>
    </r>
    <r>
      <rPr>
        <sz val="10"/>
        <color indexed="23"/>
        <rFont val="宋体"/>
        <charset val="134"/>
      </rPr>
      <t xml:space="preserve">齿制、小齿轮齿数大于或等于 </t>
    </r>
    <r>
      <rPr>
        <sz val="10"/>
        <color indexed="23"/>
        <rFont val="Times New Roman"/>
        <family val="1"/>
      </rPr>
      <t xml:space="preserve">12 </t>
    </r>
    <r>
      <rPr>
        <sz val="10"/>
        <color indexed="23"/>
        <rFont val="宋体"/>
        <charset val="134"/>
      </rPr>
      <t>的弧齿锥齿轮（包括零度锥齿轮）。</t>
    </r>
  </si>
  <si>
    <r>
      <rPr>
        <sz val="10"/>
        <color indexed="23"/>
        <rFont val="Times New Roman"/>
        <family val="1"/>
      </rPr>
      <t xml:space="preserve">              </t>
    </r>
    <r>
      <rPr>
        <sz val="10"/>
        <color indexed="23"/>
        <rFont val="宋体"/>
        <charset val="134"/>
      </rPr>
      <t>公差数值是按照中点法向模数 1</t>
    </r>
    <r>
      <rPr>
        <sz val="10"/>
        <color indexed="23"/>
        <rFont val="Times New Roman"/>
        <family val="1"/>
      </rPr>
      <t xml:space="preserve"> </t>
    </r>
    <r>
      <rPr>
        <sz val="10"/>
        <color indexed="23"/>
        <rFont val="宋体"/>
        <charset val="134"/>
      </rPr>
      <t>至</t>
    </r>
    <r>
      <rPr>
        <sz val="10"/>
        <color indexed="23"/>
        <rFont val="Times New Roman"/>
        <family val="1"/>
      </rPr>
      <t xml:space="preserve"> 10 </t>
    </r>
    <r>
      <rPr>
        <sz val="10"/>
        <color indexed="23"/>
        <rFont val="宋体"/>
        <charset val="134"/>
      </rPr>
      <t xml:space="preserve">毫米，中点分度圆直径 400 毫米以下，精度等级 5、6、7、8 级设定的。 </t>
    </r>
  </si>
  <si>
    <r>
      <rPr>
        <sz val="10"/>
        <color indexed="23"/>
        <rFont val="Times New Roman"/>
        <family val="1"/>
      </rPr>
      <t xml:space="preserve">              </t>
    </r>
    <r>
      <rPr>
        <sz val="10"/>
        <color indexed="23"/>
        <rFont val="宋体"/>
        <charset val="134"/>
      </rPr>
      <t>弧齿锥齿轮的刀盘直径设定为</t>
    </r>
    <r>
      <rPr>
        <sz val="10"/>
        <color indexed="23"/>
        <rFont val="Times New Roman"/>
        <family val="1"/>
      </rPr>
      <t>3.5</t>
    </r>
    <r>
      <rPr>
        <sz val="10"/>
        <color indexed="23"/>
        <rFont val="宋体"/>
        <charset val="134"/>
      </rPr>
      <t>、</t>
    </r>
    <r>
      <rPr>
        <sz val="10"/>
        <color indexed="23"/>
        <rFont val="Times New Roman"/>
        <family val="1"/>
      </rPr>
      <t>6</t>
    </r>
    <r>
      <rPr>
        <sz val="10"/>
        <color indexed="23"/>
        <rFont val="宋体"/>
        <charset val="134"/>
      </rPr>
      <t>、</t>
    </r>
    <r>
      <rPr>
        <sz val="10"/>
        <color indexed="23"/>
        <rFont val="Times New Roman"/>
        <family val="1"/>
      </rPr>
      <t>7.5</t>
    </r>
    <r>
      <rPr>
        <sz val="10"/>
        <color indexed="23"/>
        <rFont val="宋体"/>
        <charset val="134"/>
      </rPr>
      <t>、</t>
    </r>
    <r>
      <rPr>
        <sz val="10"/>
        <color indexed="23"/>
        <rFont val="Times New Roman"/>
        <family val="1"/>
      </rPr>
      <t>9</t>
    </r>
    <r>
      <rPr>
        <sz val="10"/>
        <color indexed="23"/>
        <rFont val="宋体"/>
        <charset val="134"/>
      </rPr>
      <t>、</t>
    </r>
    <r>
      <rPr>
        <sz val="10"/>
        <color indexed="23"/>
        <rFont val="Times New Roman"/>
        <family val="1"/>
      </rPr>
      <t>12</t>
    </r>
    <r>
      <rPr>
        <sz val="10"/>
        <color indexed="23"/>
        <rFont val="宋体"/>
        <charset val="134"/>
      </rPr>
      <t>、</t>
    </r>
    <r>
      <rPr>
        <sz val="10"/>
        <color indexed="23"/>
        <rFont val="Times New Roman"/>
        <family val="1"/>
      </rPr>
      <t xml:space="preserve">18 </t>
    </r>
    <r>
      <rPr>
        <sz val="10"/>
        <color indexed="23"/>
        <rFont val="宋体"/>
        <charset val="134"/>
      </rPr>
      <t>英寸。可进行几何参数计算和承载能力验算（工作条件原</t>
    </r>
  </si>
  <si>
    <r>
      <rPr>
        <sz val="10"/>
        <color indexed="23"/>
        <rFont val="Times New Roman"/>
        <family val="1"/>
      </rPr>
      <t xml:space="preserve">              </t>
    </r>
    <r>
      <rPr>
        <sz val="10"/>
        <color indexed="23"/>
        <rFont val="宋体"/>
        <charset val="134"/>
      </rPr>
      <t>动机均匀平稳，从动机中等振动），并可对弧齿锥齿轮加工的可行性（刀盘选择）进行判断。</t>
    </r>
  </si>
  <si>
    <r>
      <rPr>
        <b/>
        <sz val="10"/>
        <color indexed="23"/>
        <rFont val="宋体"/>
        <charset val="134"/>
      </rPr>
      <t>引用标准：</t>
    </r>
    <r>
      <rPr>
        <sz val="10"/>
        <color indexed="23"/>
        <rFont val="Times New Roman"/>
        <family val="1"/>
      </rPr>
      <t xml:space="preserve">GB11365--89   </t>
    </r>
    <r>
      <rPr>
        <sz val="10"/>
        <color indexed="23"/>
        <rFont val="宋体"/>
        <charset val="134"/>
      </rPr>
      <t>锥齿轮和准双曲面齿轮</t>
    </r>
    <r>
      <rPr>
        <sz val="10"/>
        <color indexed="23"/>
        <rFont val="Times New Roman"/>
        <family val="1"/>
      </rPr>
      <t xml:space="preserve">   </t>
    </r>
    <r>
      <rPr>
        <sz val="10"/>
        <color indexed="23"/>
        <rFont val="宋体"/>
        <charset val="134"/>
      </rPr>
      <t xml:space="preserve">精度，   </t>
    </r>
    <r>
      <rPr>
        <sz val="10"/>
        <color indexed="23"/>
        <rFont val="Times New Roman"/>
        <family val="1"/>
      </rPr>
      <t xml:space="preserve">GB10062--88   </t>
    </r>
    <r>
      <rPr>
        <sz val="10"/>
        <color indexed="23"/>
        <rFont val="宋体"/>
        <charset val="134"/>
      </rPr>
      <t>锥齿轮承载能力计算方法</t>
    </r>
  </si>
  <si>
    <r>
      <rPr>
        <b/>
        <sz val="10"/>
        <color indexed="23"/>
        <rFont val="宋体"/>
        <charset val="134"/>
      </rPr>
      <t>主要参考书目：</t>
    </r>
    <r>
      <rPr>
        <sz val="10"/>
        <color indexed="23"/>
        <rFont val="宋体"/>
        <charset val="134"/>
      </rPr>
      <t>《齿轮手册》</t>
    </r>
    <r>
      <rPr>
        <sz val="10"/>
        <color indexed="23"/>
        <rFont val="Times New Roman"/>
        <family val="1"/>
      </rPr>
      <t xml:space="preserve"> </t>
    </r>
    <r>
      <rPr>
        <sz val="10"/>
        <color indexed="23"/>
        <rFont val="宋体"/>
        <charset val="134"/>
      </rPr>
      <t>上、下册，</t>
    </r>
    <r>
      <rPr>
        <sz val="10"/>
        <color indexed="23"/>
        <rFont val="Times New Roman"/>
        <family val="1"/>
      </rPr>
      <t xml:space="preserve">      </t>
    </r>
    <r>
      <rPr>
        <sz val="10"/>
        <color indexed="23"/>
        <rFont val="宋体"/>
        <charset val="134"/>
      </rPr>
      <t>《机床设计手册》</t>
    </r>
    <r>
      <rPr>
        <sz val="10"/>
        <color indexed="23"/>
        <rFont val="Times New Roman"/>
        <family val="1"/>
      </rPr>
      <t xml:space="preserve"> 2  </t>
    </r>
    <r>
      <rPr>
        <sz val="10"/>
        <color indexed="23"/>
        <rFont val="宋体"/>
        <charset val="134"/>
      </rPr>
      <t>上册，</t>
    </r>
    <r>
      <rPr>
        <sz val="10"/>
        <color indexed="23"/>
        <rFont val="Times New Roman"/>
        <family val="1"/>
      </rPr>
      <t xml:space="preserve">         </t>
    </r>
    <r>
      <rPr>
        <sz val="10"/>
        <color indexed="23"/>
        <rFont val="宋体"/>
        <charset val="134"/>
      </rPr>
      <t>《复杂刀具设计手册》</t>
    </r>
    <r>
      <rPr>
        <sz val="10"/>
        <color indexed="23"/>
        <rFont val="Times New Roman"/>
        <family val="1"/>
      </rPr>
      <t xml:space="preserve"> </t>
    </r>
    <r>
      <rPr>
        <sz val="10"/>
        <color indexed="23"/>
        <rFont val="宋体"/>
        <charset val="134"/>
      </rPr>
      <t>下册</t>
    </r>
  </si>
  <si>
    <r>
      <rPr>
        <sz val="10"/>
        <color indexed="23"/>
        <rFont val="Times New Roman"/>
        <family val="1"/>
      </rPr>
      <t xml:space="preserve">                                   </t>
    </r>
    <r>
      <rPr>
        <sz val="10"/>
        <color indexed="23"/>
        <rFont val="宋体"/>
        <charset val="134"/>
      </rPr>
      <t>程序设计：</t>
    </r>
    <r>
      <rPr>
        <sz val="10"/>
        <color indexed="23"/>
        <rFont val="Times New Roman"/>
        <family val="1"/>
      </rPr>
      <t xml:space="preserve">    </t>
    </r>
    <r>
      <rPr>
        <sz val="10"/>
        <color indexed="23"/>
        <rFont val="宋体"/>
        <charset val="134"/>
      </rPr>
      <t>邓时俊   2001.05</t>
    </r>
  </si>
  <si>
    <r>
      <rPr>
        <b/>
        <sz val="10"/>
        <color indexed="12"/>
        <rFont val="宋体"/>
        <charset val="134"/>
      </rPr>
      <t>注意：</t>
    </r>
    <r>
      <rPr>
        <sz val="10"/>
        <color indexed="12"/>
        <rFont val="宋体"/>
        <charset val="134"/>
      </rPr>
      <t>本程序有“单变量求解”，应从</t>
    </r>
    <r>
      <rPr>
        <sz val="10"/>
        <color indexed="10"/>
        <rFont val="宋体"/>
        <charset val="134"/>
      </rPr>
      <t>工具</t>
    </r>
    <r>
      <rPr>
        <sz val="10"/>
        <color indexed="12"/>
        <rFont val="宋体"/>
        <charset val="134"/>
      </rPr>
      <t>--</t>
    </r>
    <r>
      <rPr>
        <sz val="10"/>
        <color indexed="10"/>
        <rFont val="宋体"/>
        <charset val="134"/>
      </rPr>
      <t>选项</t>
    </r>
    <r>
      <rPr>
        <sz val="10"/>
        <color indexed="12"/>
        <rFont val="宋体"/>
        <charset val="134"/>
      </rPr>
      <t>--</t>
    </r>
    <r>
      <rPr>
        <sz val="10"/>
        <color indexed="10"/>
        <rFont val="宋体"/>
        <charset val="134"/>
      </rPr>
      <t>重新计算</t>
    </r>
    <r>
      <rPr>
        <sz val="10"/>
        <color indexed="12"/>
        <rFont val="宋体"/>
        <charset val="134"/>
      </rPr>
      <t>中设置</t>
    </r>
    <r>
      <rPr>
        <sz val="10"/>
        <color indexed="10"/>
        <rFont val="宋体"/>
        <charset val="134"/>
      </rPr>
      <t>反复操作</t>
    </r>
    <r>
      <rPr>
        <sz val="10"/>
        <color indexed="12"/>
        <rFont val="宋体"/>
        <charset val="134"/>
      </rPr>
      <t>，最多迭代次数</t>
    </r>
    <r>
      <rPr>
        <sz val="10"/>
        <color indexed="10"/>
        <rFont val="宋体"/>
        <charset val="134"/>
      </rPr>
      <t>10000，最大误差0.0001。</t>
    </r>
  </si>
  <si>
    <r>
      <rPr>
        <b/>
        <sz val="10"/>
        <color indexed="10"/>
        <rFont val="宋体"/>
        <charset val="134"/>
      </rPr>
      <t>说明：</t>
    </r>
    <r>
      <rPr>
        <sz val="10"/>
        <color indexed="10"/>
        <rFont val="宋体"/>
        <charset val="134"/>
      </rPr>
      <t>请在兰色框中输入已定或初定数据（黄色框中为判断或参考数据）。输出数据在最后列表，可单独打印。</t>
    </r>
  </si>
  <si>
    <r>
      <rPr>
        <sz val="12"/>
        <rFont val="宋体"/>
        <charset val="134"/>
      </rPr>
      <t>齿</t>
    </r>
    <r>
      <rPr>
        <sz val="12"/>
        <rFont val="Times New Roman"/>
        <family val="1"/>
      </rPr>
      <t xml:space="preserve">               </t>
    </r>
    <r>
      <rPr>
        <sz val="12"/>
        <rFont val="宋体"/>
        <charset val="134"/>
      </rPr>
      <t>型</t>
    </r>
    <r>
      <rPr>
        <sz val="12"/>
        <rFont val="Times New Roman"/>
        <family val="1"/>
      </rPr>
      <t xml:space="preserve">   </t>
    </r>
  </si>
  <si>
    <r>
      <rPr>
        <sz val="10"/>
        <color indexed="12"/>
        <rFont val="宋体"/>
        <charset val="134"/>
      </rPr>
      <t xml:space="preserve">注：直齿输入 </t>
    </r>
    <r>
      <rPr>
        <b/>
        <sz val="10"/>
        <color indexed="10"/>
        <rFont val="宋体"/>
        <charset val="134"/>
      </rPr>
      <t>1</t>
    </r>
    <r>
      <rPr>
        <sz val="10"/>
        <color indexed="12"/>
        <rFont val="宋体"/>
        <charset val="134"/>
      </rPr>
      <t xml:space="preserve">， 弧齿输入 </t>
    </r>
    <r>
      <rPr>
        <b/>
        <sz val="10"/>
        <color indexed="10"/>
        <rFont val="宋体"/>
        <charset val="134"/>
      </rPr>
      <t>0</t>
    </r>
    <r>
      <rPr>
        <sz val="10"/>
        <color indexed="12"/>
        <rFont val="宋体"/>
        <charset val="134"/>
      </rPr>
      <t xml:space="preserve"> 或不输入。</t>
    </r>
  </si>
  <si>
    <r>
      <rPr>
        <sz val="12"/>
        <rFont val="宋体"/>
        <charset val="134"/>
      </rPr>
      <t>小</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数</t>
    </r>
  </si>
  <si>
    <r>
      <rPr>
        <sz val="12"/>
        <rFont val="宋体"/>
        <charset val="134"/>
      </rPr>
      <t>大</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数</t>
    </r>
  </si>
  <si>
    <r>
      <rPr>
        <sz val="12"/>
        <rFont val="宋体"/>
        <charset val="134"/>
      </rPr>
      <t>大</t>
    </r>
    <r>
      <rPr>
        <sz val="12"/>
        <rFont val="宋体"/>
        <charset val="134"/>
      </rPr>
      <t>端</t>
    </r>
    <r>
      <rPr>
        <sz val="12"/>
        <rFont val="宋体"/>
        <charset val="134"/>
      </rPr>
      <t>端</t>
    </r>
    <r>
      <rPr>
        <sz val="12"/>
        <rFont val="宋体"/>
        <charset val="134"/>
      </rPr>
      <t>面</t>
    </r>
    <r>
      <rPr>
        <sz val="12"/>
        <rFont val="宋体"/>
        <charset val="134"/>
      </rPr>
      <t>模</t>
    </r>
    <r>
      <rPr>
        <sz val="12"/>
        <rFont val="宋体"/>
        <charset val="134"/>
      </rPr>
      <t>数</t>
    </r>
  </si>
  <si>
    <r>
      <rPr>
        <sz val="12"/>
        <rFont val="宋体"/>
        <charset val="134"/>
      </rPr>
      <t>α</t>
    </r>
    <r>
      <rPr>
        <sz val="10"/>
        <rFont val="Times New Roman"/>
        <family val="1"/>
      </rPr>
      <t>n</t>
    </r>
  </si>
  <si>
    <r>
      <rPr>
        <sz val="12"/>
        <rFont val="宋体"/>
        <charset val="134"/>
      </rPr>
      <t>轴</t>
    </r>
    <r>
      <rPr>
        <sz val="12"/>
        <rFont val="Times New Roman"/>
        <family val="1"/>
      </rPr>
      <t xml:space="preserve">    </t>
    </r>
    <r>
      <rPr>
        <sz val="12"/>
        <rFont val="宋体"/>
        <charset val="134"/>
      </rPr>
      <t xml:space="preserve">交  </t>
    </r>
    <r>
      <rPr>
        <sz val="12"/>
        <rFont val="Times New Roman"/>
        <family val="1"/>
      </rPr>
      <t xml:space="preserve">  </t>
    </r>
    <r>
      <rPr>
        <sz val="12"/>
        <rFont val="宋体"/>
        <charset val="134"/>
      </rPr>
      <t>角</t>
    </r>
  </si>
  <si>
    <t>Σ</t>
  </si>
  <si>
    <r>
      <rPr>
        <sz val="12"/>
        <color indexed="44"/>
        <rFont val="宋体"/>
        <charset val="134"/>
      </rPr>
      <t>α</t>
    </r>
    <r>
      <rPr>
        <sz val="10"/>
        <color indexed="44"/>
        <rFont val="宋体"/>
        <charset val="134"/>
      </rPr>
      <t>n</t>
    </r>
  </si>
  <si>
    <t>切向变位系数</t>
  </si>
  <si>
    <r>
      <rPr>
        <sz val="12"/>
        <rFont val="Times New Roman"/>
        <family val="1"/>
      </rPr>
      <t>x</t>
    </r>
    <r>
      <rPr>
        <sz val="10"/>
        <rFont val="Times New Roman"/>
        <family val="1"/>
      </rPr>
      <t>s1</t>
    </r>
  </si>
  <si>
    <r>
      <rPr>
        <sz val="12"/>
        <color indexed="44"/>
        <rFont val="宋体"/>
        <charset val="134"/>
      </rPr>
      <t>β</t>
    </r>
    <r>
      <rPr>
        <sz val="10"/>
        <color indexed="44"/>
        <rFont val="宋体"/>
        <charset val="134"/>
      </rPr>
      <t>m</t>
    </r>
  </si>
  <si>
    <r>
      <rPr>
        <sz val="12"/>
        <rFont val="宋体"/>
        <charset val="134"/>
      </rPr>
      <t>齿</t>
    </r>
    <r>
      <rPr>
        <sz val="12"/>
        <rFont val="Times New Roman"/>
        <family val="1"/>
      </rPr>
      <t xml:space="preserve"> </t>
    </r>
    <r>
      <rPr>
        <sz val="12"/>
        <rFont val="宋体"/>
        <charset val="134"/>
      </rPr>
      <t>宽</t>
    </r>
    <r>
      <rPr>
        <sz val="12"/>
        <rFont val="Times New Roman"/>
        <family val="1"/>
      </rPr>
      <t xml:space="preserve"> </t>
    </r>
    <r>
      <rPr>
        <sz val="12"/>
        <rFont val="宋体"/>
        <charset val="134"/>
      </rPr>
      <t>参</t>
    </r>
    <r>
      <rPr>
        <sz val="12"/>
        <rFont val="Times New Roman"/>
        <family val="1"/>
      </rPr>
      <t xml:space="preserve"> </t>
    </r>
    <r>
      <rPr>
        <sz val="12"/>
        <rFont val="宋体"/>
        <charset val="134"/>
      </rPr>
      <t>考</t>
    </r>
    <r>
      <rPr>
        <sz val="12"/>
        <rFont val="Times New Roman"/>
        <family val="1"/>
      </rPr>
      <t xml:space="preserve"> </t>
    </r>
    <r>
      <rPr>
        <sz val="12"/>
        <rFont val="宋体"/>
        <charset val="134"/>
      </rPr>
      <t>值</t>
    </r>
  </si>
  <si>
    <r>
      <rPr>
        <sz val="12"/>
        <rFont val="Times New Roman"/>
        <family val="1"/>
      </rPr>
      <t>b</t>
    </r>
    <r>
      <rPr>
        <sz val="10"/>
        <rFont val="Times New Roman"/>
        <family val="1"/>
      </rPr>
      <t>0</t>
    </r>
  </si>
  <si>
    <t>高度变位系数</t>
  </si>
  <si>
    <r>
      <rPr>
        <sz val="12"/>
        <rFont val="Times New Roman"/>
        <family val="1"/>
      </rPr>
      <t>x</t>
    </r>
    <r>
      <rPr>
        <sz val="10"/>
        <rFont val="Times New Roman"/>
        <family val="1"/>
      </rPr>
      <t>h1</t>
    </r>
  </si>
  <si>
    <r>
      <rPr>
        <sz val="12"/>
        <rFont val="宋体"/>
        <charset val="134"/>
      </rPr>
      <t>齿</t>
    </r>
    <r>
      <rPr>
        <sz val="12"/>
        <rFont val="Times New Roman"/>
        <family val="1"/>
      </rPr>
      <t xml:space="preserve"> </t>
    </r>
    <r>
      <rPr>
        <sz val="12"/>
        <rFont val="宋体"/>
        <charset val="134"/>
      </rPr>
      <t>宽</t>
    </r>
    <r>
      <rPr>
        <sz val="12"/>
        <rFont val="Times New Roman"/>
        <family val="1"/>
      </rPr>
      <t xml:space="preserve"> </t>
    </r>
    <r>
      <rPr>
        <sz val="12"/>
        <rFont val="宋体"/>
        <charset val="134"/>
      </rPr>
      <t>实</t>
    </r>
    <r>
      <rPr>
        <sz val="12"/>
        <rFont val="Times New Roman"/>
        <family val="1"/>
      </rPr>
      <t xml:space="preserve"> </t>
    </r>
    <r>
      <rPr>
        <sz val="12"/>
        <rFont val="宋体"/>
        <charset val="134"/>
      </rPr>
      <t>际</t>
    </r>
    <r>
      <rPr>
        <sz val="12"/>
        <rFont val="Times New Roman"/>
        <family val="1"/>
      </rPr>
      <t xml:space="preserve"> </t>
    </r>
    <r>
      <rPr>
        <sz val="12"/>
        <rFont val="宋体"/>
        <charset val="134"/>
      </rPr>
      <t>值</t>
    </r>
  </si>
  <si>
    <r>
      <rPr>
        <sz val="12"/>
        <rFont val="宋体"/>
        <charset val="134"/>
      </rPr>
      <t>全</t>
    </r>
    <r>
      <rPr>
        <sz val="12"/>
        <rFont val="Times New Roman"/>
        <family val="1"/>
      </rPr>
      <t xml:space="preserve"> </t>
    </r>
    <r>
      <rPr>
        <sz val="12"/>
        <rFont val="宋体"/>
        <charset val="134"/>
      </rPr>
      <t>齿</t>
    </r>
    <r>
      <rPr>
        <sz val="12"/>
        <rFont val="Times New Roman"/>
        <family val="1"/>
      </rPr>
      <t xml:space="preserve"> </t>
    </r>
    <r>
      <rPr>
        <sz val="12"/>
        <rFont val="宋体"/>
        <charset val="134"/>
      </rPr>
      <t>高</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</si>
  <si>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t>工作齿高系数</t>
  </si>
  <si>
    <r>
      <rPr>
        <sz val="12"/>
        <rFont val="Times New Roman"/>
        <family val="1"/>
      </rPr>
      <t>x</t>
    </r>
    <r>
      <rPr>
        <sz val="8"/>
        <rFont val="Times New Roman"/>
        <family val="1"/>
      </rPr>
      <t>w</t>
    </r>
  </si>
  <si>
    <r>
      <rPr>
        <sz val="12"/>
        <rFont val="宋体"/>
        <charset val="134"/>
      </rPr>
      <t>全</t>
    </r>
    <r>
      <rPr>
        <sz val="12"/>
        <rFont val="Times New Roman"/>
        <family val="1"/>
      </rPr>
      <t xml:space="preserve">     </t>
    </r>
    <r>
      <rPr>
        <sz val="12"/>
        <rFont val="宋体"/>
        <charset val="134"/>
      </rPr>
      <t>齿</t>
    </r>
    <r>
      <rPr>
        <sz val="12"/>
        <rFont val="Times New Roman"/>
        <family val="1"/>
      </rPr>
      <t xml:space="preserve">     </t>
    </r>
    <r>
      <rPr>
        <sz val="12"/>
        <rFont val="宋体"/>
        <charset val="134"/>
      </rPr>
      <t>高</t>
    </r>
  </si>
  <si>
    <t>最小法向侧隙种类</t>
  </si>
  <si>
    <r>
      <rPr>
        <sz val="12"/>
        <rFont val="宋体"/>
        <charset val="134"/>
      </rPr>
      <t>工</t>
    </r>
    <r>
      <rPr>
        <sz val="12"/>
        <rFont val="Times New Roman"/>
        <family val="1"/>
      </rPr>
      <t xml:space="preserve">  </t>
    </r>
    <r>
      <rPr>
        <sz val="12"/>
        <rFont val="宋体"/>
        <charset val="134"/>
      </rPr>
      <t>作</t>
    </r>
    <r>
      <rPr>
        <sz val="12"/>
        <rFont val="Times New Roman"/>
        <family val="1"/>
      </rPr>
      <t xml:space="preserve">  </t>
    </r>
    <r>
      <rPr>
        <sz val="12"/>
        <rFont val="宋体"/>
        <charset val="134"/>
      </rPr>
      <t>齿</t>
    </r>
    <r>
      <rPr>
        <sz val="12"/>
        <rFont val="Times New Roman"/>
        <family val="1"/>
      </rPr>
      <t xml:space="preserve">  高</t>
    </r>
  </si>
  <si>
    <t>hw</t>
  </si>
  <si>
    <t>法向侧隙公差种类</t>
  </si>
  <si>
    <r>
      <rPr>
        <sz val="12"/>
        <rFont val="宋体"/>
        <charset val="134"/>
      </rPr>
      <t>齿</t>
    </r>
    <r>
      <rPr>
        <sz val="12"/>
        <rFont val="Times New Roman"/>
        <family val="1"/>
      </rPr>
      <t xml:space="preserve">     </t>
    </r>
    <r>
      <rPr>
        <sz val="12"/>
        <rFont val="宋体"/>
        <charset val="134"/>
      </rPr>
      <t>数</t>
    </r>
    <r>
      <rPr>
        <sz val="12"/>
        <rFont val="Times New Roman"/>
        <family val="1"/>
      </rPr>
      <t xml:space="preserve">     </t>
    </r>
    <r>
      <rPr>
        <sz val="12"/>
        <rFont val="宋体"/>
        <charset val="134"/>
      </rPr>
      <t>比</t>
    </r>
  </si>
  <si>
    <t>小轮基准端面直径极限值</t>
  </si>
  <si>
    <t>小轮基准端面直径</t>
  </si>
  <si>
    <t>大轮基准端面直径极限值</t>
  </si>
  <si>
    <t>大轮基准端面直径</t>
  </si>
  <si>
    <t>注：如果侧隙不合适，可重新选择最小法向侧隙种类、法向侧隙公差种类</t>
  </si>
  <si>
    <r>
      <rPr>
        <sz val="12"/>
        <rFont val="宋体"/>
        <charset val="134"/>
      </rPr>
      <t>外</t>
    </r>
    <r>
      <rPr>
        <sz val="12"/>
        <rFont val="Times New Roman"/>
        <family val="1"/>
      </rPr>
      <t xml:space="preserve">        </t>
    </r>
    <r>
      <rPr>
        <sz val="12"/>
        <rFont val="宋体"/>
        <charset val="134"/>
      </rPr>
      <t>锥</t>
    </r>
    <r>
      <rPr>
        <sz val="12"/>
        <rFont val="Times New Roman"/>
        <family val="1"/>
      </rPr>
      <t xml:space="preserve">       </t>
    </r>
    <r>
      <rPr>
        <sz val="12"/>
        <rFont val="宋体"/>
        <charset val="134"/>
      </rPr>
      <t>距</t>
    </r>
  </si>
  <si>
    <t>Ra</t>
  </si>
  <si>
    <r>
      <rPr>
        <sz val="12"/>
        <rFont val="宋体"/>
        <charset val="134"/>
      </rPr>
      <t>重</t>
    </r>
    <r>
      <rPr>
        <sz val="12"/>
        <rFont val="Times New Roman"/>
        <family val="1"/>
      </rPr>
      <t xml:space="preserve">      </t>
    </r>
    <r>
      <rPr>
        <sz val="12"/>
        <rFont val="宋体"/>
        <charset val="134"/>
      </rPr>
      <t xml:space="preserve">合 </t>
    </r>
    <r>
      <rPr>
        <sz val="12"/>
        <rFont val="Times New Roman"/>
        <family val="1"/>
      </rPr>
      <t xml:space="preserve">     </t>
    </r>
    <r>
      <rPr>
        <sz val="12"/>
        <rFont val="宋体"/>
        <charset val="134"/>
      </rPr>
      <t>度</t>
    </r>
  </si>
  <si>
    <r>
      <rPr>
        <sz val="12"/>
        <rFont val="宋体"/>
        <charset val="134"/>
      </rPr>
      <t>材</t>
    </r>
    <r>
      <rPr>
        <sz val="12"/>
        <rFont val="Times New Roman"/>
        <family val="1"/>
      </rPr>
      <t xml:space="preserve">   </t>
    </r>
    <r>
      <rPr>
        <sz val="12"/>
        <rFont val="宋体"/>
        <charset val="134"/>
      </rPr>
      <t>质</t>
    </r>
    <r>
      <rPr>
        <sz val="12"/>
        <rFont val="Times New Roman"/>
        <family val="1"/>
      </rPr>
      <t xml:space="preserve">   </t>
    </r>
    <r>
      <rPr>
        <sz val="12"/>
        <rFont val="宋体"/>
        <charset val="134"/>
      </rPr>
      <t>代</t>
    </r>
    <r>
      <rPr>
        <sz val="12"/>
        <rFont val="Times New Roman"/>
        <family val="1"/>
      </rPr>
      <t xml:space="preserve">   </t>
    </r>
    <r>
      <rPr>
        <sz val="12"/>
        <rFont val="宋体"/>
        <charset val="134"/>
      </rPr>
      <t>码</t>
    </r>
  </si>
  <si>
    <r>
      <rPr>
        <sz val="10"/>
        <color indexed="12"/>
        <rFont val="宋体"/>
        <charset val="134"/>
      </rPr>
      <t>说明：</t>
    </r>
    <r>
      <rPr>
        <b/>
        <sz val="10"/>
        <color indexed="10"/>
        <rFont val="宋体"/>
        <charset val="134"/>
      </rPr>
      <t>0</t>
    </r>
    <r>
      <rPr>
        <sz val="10"/>
        <color indexed="12"/>
        <rFont val="宋体"/>
        <charset val="134"/>
      </rPr>
      <t xml:space="preserve">—不计算承载能力， </t>
    </r>
    <r>
      <rPr>
        <b/>
        <sz val="10"/>
        <color indexed="10"/>
        <rFont val="宋体"/>
        <charset val="134"/>
      </rPr>
      <t>1</t>
    </r>
    <r>
      <rPr>
        <sz val="10"/>
        <color indexed="12"/>
        <rFont val="宋体"/>
        <charset val="134"/>
      </rPr>
      <t xml:space="preserve">—合金钢渗碳淬火， </t>
    </r>
    <r>
      <rPr>
        <b/>
        <sz val="10"/>
        <color indexed="10"/>
        <rFont val="宋体"/>
        <charset val="134"/>
      </rPr>
      <t>2</t>
    </r>
    <r>
      <rPr>
        <sz val="10"/>
        <color indexed="12"/>
        <rFont val="宋体"/>
        <charset val="134"/>
      </rPr>
      <t xml:space="preserve">—调质钢感应淬火，  </t>
    </r>
  </si>
  <si>
    <r>
      <rPr>
        <sz val="10"/>
        <color indexed="12"/>
        <rFont val="Times New Roman"/>
        <family val="1"/>
      </rPr>
      <t xml:space="preserve">            </t>
    </r>
    <r>
      <rPr>
        <b/>
        <sz val="10"/>
        <color indexed="10"/>
        <rFont val="Times New Roman"/>
        <family val="1"/>
      </rPr>
      <t>3</t>
    </r>
    <r>
      <rPr>
        <b/>
        <sz val="10"/>
        <color indexed="12"/>
        <rFont val="Times New Roman"/>
        <family val="1"/>
      </rPr>
      <t>—</t>
    </r>
    <r>
      <rPr>
        <sz val="10"/>
        <color indexed="12"/>
        <rFont val="宋体"/>
        <charset val="134"/>
      </rPr>
      <t xml:space="preserve">合金钢调质，     </t>
    </r>
    <r>
      <rPr>
        <sz val="10"/>
        <color indexed="12"/>
        <rFont val="Times New Roman"/>
        <family val="1"/>
      </rPr>
      <t xml:space="preserve"> </t>
    </r>
    <r>
      <rPr>
        <b/>
        <sz val="10"/>
        <color indexed="10"/>
        <rFont val="Times New Roman"/>
        <family val="1"/>
      </rPr>
      <t>4</t>
    </r>
    <r>
      <rPr>
        <sz val="10"/>
        <color indexed="12"/>
        <rFont val="Times New Roman"/>
        <family val="1"/>
      </rPr>
      <t>—</t>
    </r>
    <r>
      <rPr>
        <sz val="10"/>
        <color indexed="12"/>
        <rFont val="宋体"/>
        <charset val="134"/>
      </rPr>
      <t>碳钢调质或正火，</t>
    </r>
    <r>
      <rPr>
        <sz val="10"/>
        <color indexed="12"/>
        <rFont val="Times New Roman"/>
        <family val="1"/>
      </rPr>
      <t xml:space="preserve">   </t>
    </r>
    <r>
      <rPr>
        <b/>
        <sz val="10"/>
        <color indexed="10"/>
        <rFont val="Times New Roman"/>
        <family val="1"/>
      </rPr>
      <t>5</t>
    </r>
    <r>
      <rPr>
        <sz val="10"/>
        <color indexed="12"/>
        <rFont val="Times New Roman"/>
        <family val="1"/>
      </rPr>
      <t>—</t>
    </r>
    <r>
      <rPr>
        <sz val="10"/>
        <color indexed="12"/>
        <rFont val="宋体"/>
        <charset val="134"/>
      </rPr>
      <t xml:space="preserve">氮化钢气体氮化， </t>
    </r>
  </si>
  <si>
    <r>
      <rPr>
        <sz val="10"/>
        <color indexed="12"/>
        <rFont val="Times New Roman"/>
        <family val="1"/>
      </rPr>
      <t xml:space="preserve">           </t>
    </r>
    <r>
      <rPr>
        <b/>
        <sz val="10"/>
        <color indexed="10"/>
        <rFont val="Times New Roman"/>
        <family val="1"/>
      </rPr>
      <t xml:space="preserve"> 6</t>
    </r>
    <r>
      <rPr>
        <sz val="10"/>
        <color indexed="12"/>
        <rFont val="Times New Roman"/>
        <family val="1"/>
      </rPr>
      <t>—</t>
    </r>
    <r>
      <rPr>
        <sz val="10"/>
        <color indexed="12"/>
        <rFont val="宋体"/>
        <charset val="134"/>
      </rPr>
      <t xml:space="preserve">调质钢与渗碳淬火钢气体氮化， </t>
    </r>
    <r>
      <rPr>
        <b/>
        <sz val="10"/>
        <color indexed="10"/>
        <rFont val="Times New Roman"/>
        <family val="1"/>
      </rPr>
      <t>7</t>
    </r>
    <r>
      <rPr>
        <sz val="10"/>
        <color indexed="12"/>
        <rFont val="Times New Roman"/>
        <family val="1"/>
      </rPr>
      <t>—</t>
    </r>
    <r>
      <rPr>
        <sz val="10"/>
        <color indexed="12"/>
        <rFont val="宋体"/>
        <charset val="134"/>
      </rPr>
      <t>调质钢与渗碳淬火钢软氮化</t>
    </r>
  </si>
  <si>
    <t>小轮名义功率</t>
  </si>
  <si>
    <r>
      <rPr>
        <sz val="12"/>
        <rFont val="Times New Roman"/>
        <family val="1"/>
      </rPr>
      <t>d</t>
    </r>
    <r>
      <rPr>
        <sz val="8"/>
        <rFont val="Times New Roman"/>
        <family val="1"/>
      </rPr>
      <t>1</t>
    </r>
  </si>
  <si>
    <r>
      <rPr>
        <sz val="12"/>
        <rFont val="Times New Roman"/>
        <family val="1"/>
      </rPr>
      <t>d</t>
    </r>
    <r>
      <rPr>
        <sz val="8"/>
        <rFont val="Times New Roman"/>
        <family val="1"/>
      </rPr>
      <t>2</t>
    </r>
  </si>
  <si>
    <r>
      <rPr>
        <sz val="12"/>
        <rFont val="宋体"/>
        <charset val="134"/>
      </rPr>
      <t>大</t>
    </r>
    <r>
      <rPr>
        <sz val="12"/>
        <rFont val="Times New Roman"/>
        <family val="1"/>
      </rPr>
      <t xml:space="preserve"> </t>
    </r>
    <r>
      <rPr>
        <sz val="12"/>
        <rFont val="宋体"/>
        <charset val="134"/>
      </rPr>
      <t>端</t>
    </r>
    <r>
      <rPr>
        <sz val="12"/>
        <rFont val="Times New Roman"/>
        <family val="1"/>
      </rPr>
      <t xml:space="preserve"> </t>
    </r>
    <r>
      <rPr>
        <sz val="12"/>
        <rFont val="宋体"/>
        <charset val="134"/>
      </rPr>
      <t>端</t>
    </r>
    <r>
      <rPr>
        <sz val="12"/>
        <rFont val="Times New Roman"/>
        <family val="1"/>
      </rPr>
      <t xml:space="preserve"> </t>
    </r>
    <r>
      <rPr>
        <sz val="12"/>
        <rFont val="宋体"/>
        <charset val="134"/>
      </rPr>
      <t>面</t>
    </r>
    <r>
      <rPr>
        <sz val="12"/>
        <rFont val="Times New Roman"/>
        <family val="1"/>
      </rPr>
      <t xml:space="preserve"> </t>
    </r>
    <r>
      <rPr>
        <sz val="12"/>
        <rFont val="宋体"/>
        <charset val="134"/>
      </rPr>
      <t>齿</t>
    </r>
    <r>
      <rPr>
        <sz val="12"/>
        <rFont val="Times New Roman"/>
        <family val="1"/>
      </rPr>
      <t xml:space="preserve"> </t>
    </r>
    <r>
      <rPr>
        <sz val="12"/>
        <rFont val="宋体"/>
        <charset val="134"/>
      </rPr>
      <t>距</t>
    </r>
  </si>
  <si>
    <r>
      <rPr>
        <sz val="12"/>
        <rFont val="宋体"/>
        <charset val="134"/>
      </rPr>
      <t>小</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高</t>
    </r>
  </si>
  <si>
    <r>
      <rPr>
        <sz val="12"/>
        <rFont val="宋体"/>
        <charset val="134"/>
      </rPr>
      <t>大</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高</t>
    </r>
  </si>
  <si>
    <r>
      <rPr>
        <sz val="12"/>
        <rFont val="宋体"/>
        <charset val="134"/>
      </rPr>
      <t>小</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根</t>
    </r>
    <r>
      <rPr>
        <sz val="12"/>
        <rFont val="Times New Roman"/>
        <family val="1"/>
      </rPr>
      <t xml:space="preserve">  </t>
    </r>
    <r>
      <rPr>
        <sz val="12"/>
        <rFont val="宋体"/>
        <charset val="134"/>
      </rPr>
      <t>高</t>
    </r>
  </si>
  <si>
    <r>
      <rPr>
        <sz val="12"/>
        <rFont val="宋体"/>
        <charset val="134"/>
      </rPr>
      <t>大</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根</t>
    </r>
    <r>
      <rPr>
        <sz val="12"/>
        <rFont val="Times New Roman"/>
        <family val="1"/>
      </rPr>
      <t xml:space="preserve">  </t>
    </r>
    <r>
      <rPr>
        <sz val="12"/>
        <rFont val="宋体"/>
        <charset val="134"/>
      </rPr>
      <t>高</t>
    </r>
    <r>
      <rPr>
        <sz val="12"/>
        <rFont val="Times New Roman"/>
        <family val="1"/>
      </rPr>
      <t xml:space="preserve">  </t>
    </r>
  </si>
  <si>
    <r>
      <rPr>
        <sz val="12"/>
        <rFont val="Times New Roman"/>
        <family val="1"/>
      </rPr>
      <t>h</t>
    </r>
    <r>
      <rPr>
        <sz val="11"/>
        <rFont val="Times New Roman"/>
        <family val="1"/>
      </rPr>
      <t>f2</t>
    </r>
  </si>
  <si>
    <t>小轮分度圆锥角</t>
  </si>
  <si>
    <r>
      <rPr>
        <sz val="12"/>
        <rFont val="宋体"/>
        <charset val="134"/>
      </rPr>
      <t>δ</t>
    </r>
    <r>
      <rPr>
        <sz val="10"/>
        <rFont val="宋体"/>
        <charset val="134"/>
      </rPr>
      <t>1</t>
    </r>
  </si>
  <si>
    <r>
      <rPr>
        <sz val="10"/>
        <rFont val="宋体"/>
        <charset val="134"/>
      </rPr>
      <t>度</t>
    </r>
    <r>
      <rPr>
        <b/>
        <sz val="10"/>
        <rFont val="Times New Roman"/>
        <family val="1"/>
      </rPr>
      <t>.</t>
    </r>
    <r>
      <rPr>
        <sz val="10"/>
        <rFont val="宋体"/>
        <charset val="134"/>
      </rPr>
      <t>分秒</t>
    </r>
  </si>
  <si>
    <t>大轮分度圆锥角</t>
  </si>
  <si>
    <r>
      <rPr>
        <sz val="12"/>
        <rFont val="宋体"/>
        <charset val="134"/>
      </rPr>
      <t>δ</t>
    </r>
    <r>
      <rPr>
        <sz val="10"/>
        <rFont val="Times New Roman"/>
        <family val="1"/>
      </rPr>
      <t>2</t>
    </r>
  </si>
  <si>
    <r>
      <rPr>
        <sz val="12"/>
        <rFont val="宋体"/>
        <charset val="134"/>
      </rPr>
      <t>小</t>
    </r>
    <r>
      <rPr>
        <sz val="12"/>
        <rFont val="Times New Roman"/>
        <family val="1"/>
      </rPr>
      <t xml:space="preserve">  </t>
    </r>
    <r>
      <rPr>
        <sz val="12"/>
        <rFont val="宋体"/>
        <charset val="134"/>
      </rPr>
      <t>轮</t>
    </r>
    <r>
      <rPr>
        <sz val="12"/>
        <rFont val="Times New Roman"/>
        <family val="1"/>
      </rPr>
      <t xml:space="preserve">  </t>
    </r>
    <r>
      <rPr>
        <sz val="12"/>
        <rFont val="宋体"/>
        <charset val="134"/>
      </rPr>
      <t>顶</t>
    </r>
    <r>
      <rPr>
        <sz val="12"/>
        <rFont val="Times New Roman"/>
        <family val="1"/>
      </rPr>
      <t xml:space="preserve">  </t>
    </r>
    <r>
      <rPr>
        <sz val="12"/>
        <rFont val="宋体"/>
        <charset val="134"/>
      </rPr>
      <t>锥</t>
    </r>
    <r>
      <rPr>
        <sz val="12"/>
        <rFont val="Times New Roman"/>
        <family val="1"/>
      </rPr>
      <t xml:space="preserve">  </t>
    </r>
    <r>
      <rPr>
        <sz val="12"/>
        <rFont val="宋体"/>
        <charset val="134"/>
      </rPr>
      <t>角</t>
    </r>
  </si>
  <si>
    <r>
      <rPr>
        <sz val="12"/>
        <rFont val="宋体"/>
        <charset val="134"/>
      </rPr>
      <t>δ</t>
    </r>
    <r>
      <rPr>
        <sz val="10"/>
        <rFont val="Times New Roman"/>
        <family val="1"/>
      </rPr>
      <t>a1</t>
    </r>
  </si>
  <si>
    <r>
      <rPr>
        <sz val="12"/>
        <rFont val="宋体"/>
        <charset val="134"/>
      </rPr>
      <t>大</t>
    </r>
    <r>
      <rPr>
        <sz val="12"/>
        <rFont val="Times New Roman"/>
        <family val="1"/>
      </rPr>
      <t xml:space="preserve">  </t>
    </r>
    <r>
      <rPr>
        <sz val="12"/>
        <rFont val="宋体"/>
        <charset val="134"/>
      </rPr>
      <t>轮</t>
    </r>
    <r>
      <rPr>
        <sz val="12"/>
        <rFont val="Times New Roman"/>
        <family val="1"/>
      </rPr>
      <t xml:space="preserve">  </t>
    </r>
    <r>
      <rPr>
        <sz val="12"/>
        <rFont val="宋体"/>
        <charset val="134"/>
      </rPr>
      <t>顶</t>
    </r>
    <r>
      <rPr>
        <sz val="12"/>
        <rFont val="Times New Roman"/>
        <family val="1"/>
      </rPr>
      <t xml:space="preserve">  </t>
    </r>
    <r>
      <rPr>
        <sz val="12"/>
        <rFont val="宋体"/>
        <charset val="134"/>
      </rPr>
      <t>锥</t>
    </r>
    <r>
      <rPr>
        <sz val="12"/>
        <rFont val="Times New Roman"/>
        <family val="1"/>
      </rPr>
      <t xml:space="preserve">  </t>
    </r>
    <r>
      <rPr>
        <sz val="12"/>
        <rFont val="宋体"/>
        <charset val="134"/>
      </rPr>
      <t>角</t>
    </r>
  </si>
  <si>
    <r>
      <rPr>
        <sz val="12"/>
        <rFont val="宋体"/>
        <charset val="134"/>
      </rPr>
      <t>δ</t>
    </r>
    <r>
      <rPr>
        <sz val="10"/>
        <rFont val="Times New Roman"/>
        <family val="1"/>
      </rPr>
      <t>a2</t>
    </r>
  </si>
  <si>
    <r>
      <rPr>
        <sz val="12"/>
        <rFont val="宋体"/>
        <charset val="134"/>
      </rPr>
      <t>小</t>
    </r>
    <r>
      <rPr>
        <sz val="12"/>
        <rFont val="Times New Roman"/>
        <family val="1"/>
      </rPr>
      <t xml:space="preserve">  </t>
    </r>
    <r>
      <rPr>
        <sz val="12"/>
        <rFont val="宋体"/>
        <charset val="134"/>
      </rPr>
      <t>轮</t>
    </r>
    <r>
      <rPr>
        <sz val="12"/>
        <rFont val="Times New Roman"/>
        <family val="1"/>
      </rPr>
      <t xml:space="preserve">  </t>
    </r>
    <r>
      <rPr>
        <sz val="12"/>
        <rFont val="宋体"/>
        <charset val="134"/>
      </rPr>
      <t>根</t>
    </r>
    <r>
      <rPr>
        <sz val="12"/>
        <rFont val="Times New Roman"/>
        <family val="1"/>
      </rPr>
      <t xml:space="preserve">  </t>
    </r>
    <r>
      <rPr>
        <sz val="12"/>
        <rFont val="宋体"/>
        <charset val="134"/>
      </rPr>
      <t>锥</t>
    </r>
    <r>
      <rPr>
        <sz val="12"/>
        <rFont val="Times New Roman"/>
        <family val="1"/>
      </rPr>
      <t xml:space="preserve">  </t>
    </r>
    <r>
      <rPr>
        <sz val="12"/>
        <rFont val="宋体"/>
        <charset val="134"/>
      </rPr>
      <t>角</t>
    </r>
  </si>
  <si>
    <r>
      <rPr>
        <sz val="12"/>
        <rFont val="宋体"/>
        <charset val="134"/>
      </rPr>
      <t>δ</t>
    </r>
    <r>
      <rPr>
        <sz val="10"/>
        <rFont val="Times New Roman"/>
        <family val="1"/>
      </rPr>
      <t>f1</t>
    </r>
  </si>
  <si>
    <r>
      <rPr>
        <sz val="12"/>
        <rFont val="宋体"/>
        <charset val="134"/>
      </rPr>
      <t>大</t>
    </r>
    <r>
      <rPr>
        <sz val="12"/>
        <rFont val="Times New Roman"/>
        <family val="1"/>
      </rPr>
      <t xml:space="preserve">  </t>
    </r>
    <r>
      <rPr>
        <sz val="12"/>
        <rFont val="宋体"/>
        <charset val="134"/>
      </rPr>
      <t>轮</t>
    </r>
    <r>
      <rPr>
        <sz val="12"/>
        <rFont val="Times New Roman"/>
        <family val="1"/>
      </rPr>
      <t xml:space="preserve">  </t>
    </r>
    <r>
      <rPr>
        <sz val="12"/>
        <rFont val="宋体"/>
        <charset val="134"/>
      </rPr>
      <t>根</t>
    </r>
    <r>
      <rPr>
        <sz val="12"/>
        <rFont val="Times New Roman"/>
        <family val="1"/>
      </rPr>
      <t xml:space="preserve">  </t>
    </r>
    <r>
      <rPr>
        <sz val="12"/>
        <rFont val="宋体"/>
        <charset val="134"/>
      </rPr>
      <t>锥</t>
    </r>
    <r>
      <rPr>
        <sz val="12"/>
        <rFont val="Times New Roman"/>
        <family val="1"/>
      </rPr>
      <t xml:space="preserve">  </t>
    </r>
    <r>
      <rPr>
        <sz val="12"/>
        <rFont val="宋体"/>
        <charset val="134"/>
      </rPr>
      <t>角</t>
    </r>
  </si>
  <si>
    <r>
      <rPr>
        <sz val="12"/>
        <rFont val="宋体"/>
        <charset val="134"/>
      </rPr>
      <t>δ</t>
    </r>
    <r>
      <rPr>
        <sz val="10"/>
        <rFont val="Times New Roman"/>
        <family val="1"/>
      </rPr>
      <t>f2</t>
    </r>
  </si>
  <si>
    <t>小  轮  齿  根  角</t>
  </si>
  <si>
    <r>
      <rPr>
        <sz val="12"/>
        <rFont val="宋体"/>
        <charset val="134"/>
      </rPr>
      <t>γ</t>
    </r>
    <r>
      <rPr>
        <sz val="10"/>
        <rFont val="Times New Roman"/>
        <family val="1"/>
      </rPr>
      <t>1</t>
    </r>
  </si>
  <si>
    <t>分</t>
  </si>
  <si>
    <r>
      <rPr>
        <sz val="12"/>
        <rFont val="宋体"/>
        <charset val="134"/>
      </rPr>
      <t>大</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根</t>
    </r>
    <r>
      <rPr>
        <sz val="12"/>
        <rFont val="Times New Roman"/>
        <family val="1"/>
      </rPr>
      <t xml:space="preserve">  </t>
    </r>
    <r>
      <rPr>
        <sz val="12"/>
        <rFont val="宋体"/>
        <charset val="134"/>
      </rPr>
      <t>角</t>
    </r>
  </si>
  <si>
    <r>
      <rPr>
        <sz val="12"/>
        <rFont val="宋体"/>
        <charset val="134"/>
      </rPr>
      <t>γ</t>
    </r>
    <r>
      <rPr>
        <sz val="10"/>
        <rFont val="Times New Roman"/>
        <family val="1"/>
      </rPr>
      <t>2</t>
    </r>
  </si>
  <si>
    <t>小轮分度圆理论弧齿厚</t>
  </si>
  <si>
    <t>大轮分度圆理论弧齿厚</t>
  </si>
  <si>
    <r>
      <rPr>
        <sz val="12"/>
        <rFont val="Times New Roman"/>
        <family val="1"/>
      </rPr>
      <t>Sa</t>
    </r>
    <r>
      <rPr>
        <sz val="10"/>
        <rFont val="Times New Roman"/>
        <family val="1"/>
      </rPr>
      <t>2</t>
    </r>
  </si>
  <si>
    <r>
      <rPr>
        <sz val="12"/>
        <rFont val="宋体"/>
        <charset val="134"/>
      </rPr>
      <t>小</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角</t>
    </r>
  </si>
  <si>
    <r>
      <rPr>
        <sz val="12"/>
        <rFont val="宋体"/>
        <charset val="134"/>
      </rPr>
      <t>δt</t>
    </r>
    <r>
      <rPr>
        <sz val="10"/>
        <rFont val="宋体"/>
        <charset val="134"/>
      </rPr>
      <t>1</t>
    </r>
  </si>
  <si>
    <r>
      <rPr>
        <sz val="12"/>
        <rFont val="宋体"/>
        <charset val="134"/>
      </rPr>
      <t>大</t>
    </r>
    <r>
      <rPr>
        <sz val="12"/>
        <rFont val="Times New Roman"/>
        <family val="1"/>
      </rPr>
      <t xml:space="preserve">   </t>
    </r>
    <r>
      <rPr>
        <sz val="12"/>
        <rFont val="宋体"/>
        <charset val="134"/>
      </rPr>
      <t>轮</t>
    </r>
    <r>
      <rPr>
        <sz val="12"/>
        <rFont val="Times New Roman"/>
        <family val="1"/>
      </rPr>
      <t xml:space="preserve">   </t>
    </r>
    <r>
      <rPr>
        <sz val="12"/>
        <rFont val="宋体"/>
        <charset val="134"/>
      </rPr>
      <t>齿</t>
    </r>
    <r>
      <rPr>
        <sz val="12"/>
        <rFont val="Times New Roman"/>
        <family val="1"/>
      </rPr>
      <t xml:space="preserve">   </t>
    </r>
    <r>
      <rPr>
        <sz val="12"/>
        <rFont val="宋体"/>
        <charset val="134"/>
      </rPr>
      <t>角</t>
    </r>
  </si>
  <si>
    <r>
      <rPr>
        <sz val="12"/>
        <rFont val="宋体"/>
        <charset val="134"/>
      </rPr>
      <t>δ</t>
    </r>
    <r>
      <rPr>
        <sz val="12"/>
        <rFont val="Times New Roman"/>
        <family val="1"/>
      </rPr>
      <t xml:space="preserve">t </t>
    </r>
    <r>
      <rPr>
        <sz val="10"/>
        <rFont val="Times New Roman"/>
        <family val="1"/>
      </rPr>
      <t>2</t>
    </r>
  </si>
  <si>
    <r>
      <rPr>
        <sz val="12"/>
        <rFont val="宋体"/>
        <charset val="134"/>
      </rPr>
      <t>γ</t>
    </r>
    <r>
      <rPr>
        <sz val="10"/>
        <rFont val="Times New Roman"/>
        <family val="1"/>
      </rPr>
      <t xml:space="preserve">1  </t>
    </r>
    <r>
      <rPr>
        <sz val="12"/>
        <rFont val="Times New Roman"/>
        <family val="1"/>
      </rPr>
      <t xml:space="preserve">+  </t>
    </r>
    <r>
      <rPr>
        <sz val="12"/>
        <rFont val="宋体"/>
        <charset val="134"/>
      </rPr>
      <t>γ</t>
    </r>
    <r>
      <rPr>
        <sz val="12"/>
        <rFont val="Times New Roman"/>
        <family val="1"/>
      </rPr>
      <t>2</t>
    </r>
  </si>
  <si>
    <r>
      <rPr>
        <sz val="12"/>
        <rFont val="宋体"/>
        <charset val="134"/>
      </rPr>
      <t>中</t>
    </r>
    <r>
      <rPr>
        <sz val="12"/>
        <rFont val="Times New Roman"/>
        <family val="1"/>
      </rPr>
      <t xml:space="preserve">    </t>
    </r>
    <r>
      <rPr>
        <sz val="12"/>
        <rFont val="宋体"/>
        <charset val="134"/>
      </rPr>
      <t>点</t>
    </r>
    <r>
      <rPr>
        <sz val="12"/>
        <rFont val="Times New Roman"/>
        <family val="1"/>
      </rPr>
      <t xml:space="preserve">    锥    距</t>
    </r>
  </si>
  <si>
    <t>Rm</t>
  </si>
  <si>
    <r>
      <rPr>
        <sz val="12"/>
        <rFont val="宋体"/>
        <charset val="134"/>
      </rPr>
      <t>内</t>
    </r>
    <r>
      <rPr>
        <sz val="12"/>
        <rFont val="Times New Roman"/>
        <family val="1"/>
      </rPr>
      <t xml:space="preserve">        </t>
    </r>
    <r>
      <rPr>
        <sz val="12"/>
        <rFont val="宋体"/>
        <charset val="134"/>
      </rPr>
      <t>锥</t>
    </r>
    <r>
      <rPr>
        <sz val="12"/>
        <rFont val="Times New Roman"/>
        <family val="1"/>
      </rPr>
      <t xml:space="preserve">       </t>
    </r>
    <r>
      <rPr>
        <sz val="12"/>
        <rFont val="宋体"/>
        <charset val="134"/>
      </rPr>
      <t>距</t>
    </r>
  </si>
  <si>
    <t>Ri</t>
  </si>
  <si>
    <r>
      <rPr>
        <sz val="12"/>
        <color indexed="17"/>
        <rFont val="宋体"/>
        <charset val="134"/>
      </rPr>
      <t>β</t>
    </r>
    <r>
      <rPr>
        <sz val="10"/>
        <color indexed="17"/>
        <rFont val="Times New Roman"/>
        <family val="1"/>
      </rPr>
      <t>a</t>
    </r>
  </si>
  <si>
    <r>
      <rPr>
        <sz val="12"/>
        <rFont val="Times New Roman"/>
        <family val="1"/>
      </rPr>
      <t>D</t>
    </r>
    <r>
      <rPr>
        <sz val="10"/>
        <rFont val="Times New Roman"/>
        <family val="1"/>
      </rPr>
      <t>c0</t>
    </r>
  </si>
  <si>
    <r>
      <rPr>
        <sz val="12"/>
        <rFont val="Times New Roman"/>
        <family val="1"/>
      </rPr>
      <t>K</t>
    </r>
    <r>
      <rPr>
        <sz val="10"/>
        <rFont val="Times New Roman"/>
        <family val="1"/>
      </rPr>
      <t>11</t>
    </r>
  </si>
  <si>
    <r>
      <rPr>
        <sz val="10"/>
        <color indexed="17"/>
        <rFont val="宋体"/>
        <charset val="134"/>
      </rPr>
      <t>度</t>
    </r>
    <r>
      <rPr>
        <b/>
        <sz val="10"/>
        <color indexed="17"/>
        <rFont val="Times New Roman"/>
        <family val="1"/>
      </rPr>
      <t>.</t>
    </r>
    <r>
      <rPr>
        <sz val="10"/>
        <color indexed="17"/>
        <rFont val="宋体"/>
        <charset val="134"/>
      </rPr>
      <t>分秒</t>
    </r>
  </si>
  <si>
    <r>
      <rPr>
        <sz val="12"/>
        <rFont val="Times New Roman"/>
        <family val="1"/>
      </rPr>
      <t>K</t>
    </r>
    <r>
      <rPr>
        <sz val="10"/>
        <rFont val="Times New Roman"/>
        <family val="1"/>
      </rPr>
      <t>12</t>
    </r>
  </si>
  <si>
    <r>
      <rPr>
        <sz val="12"/>
        <color indexed="17"/>
        <rFont val="宋体"/>
        <charset val="134"/>
      </rPr>
      <t>β</t>
    </r>
    <r>
      <rPr>
        <sz val="10"/>
        <color indexed="17"/>
        <rFont val="Times New Roman"/>
        <family val="1"/>
      </rPr>
      <t>i</t>
    </r>
  </si>
  <si>
    <r>
      <rPr>
        <sz val="12"/>
        <rFont val="Times New Roman"/>
        <family val="1"/>
      </rPr>
      <t>K</t>
    </r>
    <r>
      <rPr>
        <sz val="10"/>
        <rFont val="Times New Roman"/>
        <family val="1"/>
      </rPr>
      <t>13</t>
    </r>
  </si>
  <si>
    <r>
      <rPr>
        <sz val="12"/>
        <rFont val="Times New Roman"/>
        <family val="1"/>
      </rPr>
      <t>K</t>
    </r>
    <r>
      <rPr>
        <sz val="10"/>
        <rFont val="Times New Roman"/>
        <family val="1"/>
      </rPr>
      <t>i</t>
    </r>
  </si>
  <si>
    <t>重合度计算：</t>
  </si>
  <si>
    <r>
      <rPr>
        <sz val="12"/>
        <color indexed="17"/>
        <rFont val="宋体"/>
        <charset val="134"/>
      </rPr>
      <t>α</t>
    </r>
    <r>
      <rPr>
        <sz val="10"/>
        <color indexed="17"/>
        <rFont val="宋体"/>
        <charset val="134"/>
      </rPr>
      <t>tm</t>
    </r>
  </si>
  <si>
    <t>Zz1</t>
  </si>
  <si>
    <t>Zz2</t>
  </si>
  <si>
    <r>
      <rPr>
        <sz val="12"/>
        <color indexed="17"/>
        <rFont val="宋体"/>
        <charset val="134"/>
      </rPr>
      <t>ε</t>
    </r>
    <r>
      <rPr>
        <sz val="8"/>
        <color indexed="17"/>
        <rFont val="宋体"/>
        <charset val="134"/>
      </rPr>
      <t>端面</t>
    </r>
  </si>
  <si>
    <t>测量小轮齿厚处的锥距</t>
  </si>
  <si>
    <r>
      <rPr>
        <sz val="12"/>
        <rFont val="Times New Roman"/>
        <family val="1"/>
      </rPr>
      <t>L</t>
    </r>
    <r>
      <rPr>
        <sz val="8"/>
        <rFont val="Times New Roman"/>
        <family val="1"/>
      </rPr>
      <t>1L</t>
    </r>
  </si>
  <si>
    <t>测量大轮齿厚处的锥距</t>
  </si>
  <si>
    <r>
      <rPr>
        <sz val="12"/>
        <rFont val="Times New Roman"/>
        <family val="1"/>
      </rPr>
      <t>L</t>
    </r>
    <r>
      <rPr>
        <sz val="8"/>
        <rFont val="Times New Roman"/>
        <family val="1"/>
      </rPr>
      <t>2L</t>
    </r>
  </si>
  <si>
    <r>
      <rPr>
        <sz val="12"/>
        <color indexed="17"/>
        <rFont val="宋体"/>
        <charset val="134"/>
      </rPr>
      <t>ε</t>
    </r>
    <r>
      <rPr>
        <sz val="8"/>
        <color indexed="17"/>
        <rFont val="宋体"/>
        <charset val="134"/>
      </rPr>
      <t>纵向</t>
    </r>
  </si>
  <si>
    <t>小轮大端法向弦齿厚</t>
  </si>
  <si>
    <r>
      <rPr>
        <sz val="12"/>
        <color indexed="17"/>
        <rFont val="宋体"/>
        <charset val="134"/>
      </rPr>
      <t>ε</t>
    </r>
    <r>
      <rPr>
        <sz val="8"/>
        <color indexed="17"/>
        <rFont val="宋体"/>
        <charset val="134"/>
      </rPr>
      <t>总</t>
    </r>
  </si>
  <si>
    <t>大轮大端法向弦齿厚</t>
  </si>
  <si>
    <r>
      <rPr>
        <sz val="12"/>
        <rFont val="Times New Roman"/>
        <family val="1"/>
      </rPr>
      <t>S</t>
    </r>
    <r>
      <rPr>
        <sz val="10"/>
        <rFont val="Times New Roman"/>
        <family val="1"/>
      </rPr>
      <t>xn2</t>
    </r>
  </si>
  <si>
    <t>小轮大端法向弦齿高</t>
  </si>
  <si>
    <r>
      <rPr>
        <sz val="12"/>
        <rFont val="Times New Roman"/>
        <family val="1"/>
      </rPr>
      <t>H</t>
    </r>
    <r>
      <rPr>
        <sz val="10"/>
        <rFont val="Times New Roman"/>
        <family val="1"/>
      </rPr>
      <t>n1</t>
    </r>
  </si>
  <si>
    <t>大轮大端法向弦齿高</t>
  </si>
  <si>
    <r>
      <rPr>
        <sz val="12"/>
        <rFont val="Times New Roman"/>
        <family val="1"/>
      </rPr>
      <t>H</t>
    </r>
    <r>
      <rPr>
        <sz val="10"/>
        <rFont val="Times New Roman"/>
        <family val="1"/>
      </rPr>
      <t>n2</t>
    </r>
  </si>
  <si>
    <r>
      <rPr>
        <sz val="12"/>
        <rFont val="宋体"/>
        <charset val="134"/>
      </rPr>
      <t>中</t>
    </r>
    <r>
      <rPr>
        <sz val="12"/>
        <rFont val="Times New Roman"/>
        <family val="1"/>
      </rPr>
      <t xml:space="preserve"> </t>
    </r>
    <r>
      <rPr>
        <sz val="12"/>
        <rFont val="宋体"/>
        <charset val="134"/>
      </rPr>
      <t>点</t>
    </r>
    <r>
      <rPr>
        <sz val="12"/>
        <rFont val="Times New Roman"/>
        <family val="1"/>
      </rPr>
      <t xml:space="preserve"> </t>
    </r>
    <r>
      <rPr>
        <sz val="12"/>
        <rFont val="宋体"/>
        <charset val="134"/>
      </rPr>
      <t>法</t>
    </r>
    <r>
      <rPr>
        <sz val="12"/>
        <rFont val="Times New Roman"/>
        <family val="1"/>
      </rPr>
      <t xml:space="preserve"> 向 模 数 </t>
    </r>
  </si>
  <si>
    <r>
      <rPr>
        <sz val="12"/>
        <rFont val="Times New Roman"/>
        <family val="1"/>
      </rPr>
      <t>m</t>
    </r>
    <r>
      <rPr>
        <sz val="10"/>
        <rFont val="Times New Roman"/>
        <family val="1"/>
      </rPr>
      <t>mn</t>
    </r>
  </si>
  <si>
    <t>中点分度圆直径</t>
  </si>
  <si>
    <r>
      <rPr>
        <sz val="12"/>
        <rFont val="Times New Roman"/>
        <family val="1"/>
      </rPr>
      <t>d</t>
    </r>
    <r>
      <rPr>
        <sz val="10"/>
        <rFont val="Times New Roman"/>
        <family val="1"/>
      </rPr>
      <t>m1</t>
    </r>
  </si>
  <si>
    <r>
      <rPr>
        <sz val="12"/>
        <rFont val="Times New Roman"/>
        <family val="1"/>
      </rPr>
      <t>d</t>
    </r>
    <r>
      <rPr>
        <sz val="10"/>
        <rFont val="Times New Roman"/>
        <family val="1"/>
      </rPr>
      <t>m2</t>
    </r>
  </si>
  <si>
    <t>中点分度圆弧长之半</t>
  </si>
  <si>
    <r>
      <rPr>
        <sz val="12"/>
        <rFont val="Times New Roman"/>
        <family val="1"/>
      </rPr>
      <t>L</t>
    </r>
    <r>
      <rPr>
        <sz val="10"/>
        <rFont val="Times New Roman"/>
        <family val="1"/>
      </rPr>
      <t>m1</t>
    </r>
    <r>
      <rPr>
        <sz val="12"/>
        <rFont val="Times New Roman"/>
        <family val="1"/>
      </rPr>
      <t>/2</t>
    </r>
  </si>
  <si>
    <r>
      <rPr>
        <sz val="12"/>
        <rFont val="Times New Roman"/>
        <family val="1"/>
      </rPr>
      <t>L</t>
    </r>
    <r>
      <rPr>
        <sz val="10"/>
        <rFont val="Times New Roman"/>
        <family val="1"/>
      </rPr>
      <t>m2</t>
    </r>
    <r>
      <rPr>
        <sz val="12"/>
        <rFont val="Times New Roman"/>
        <family val="1"/>
      </rPr>
      <t>/2</t>
    </r>
  </si>
  <si>
    <r>
      <rPr>
        <sz val="12"/>
        <rFont val="Times New Roman"/>
        <family val="1"/>
      </rPr>
      <t>±f</t>
    </r>
    <r>
      <rPr>
        <sz val="8"/>
        <rFont val="Times New Roman"/>
        <family val="1"/>
      </rPr>
      <t>pt1</t>
    </r>
  </si>
  <si>
    <t>齿形相对误差的公差</t>
  </si>
  <si>
    <r>
      <rPr>
        <sz val="12"/>
        <rFont val="Times New Roman"/>
        <family val="1"/>
      </rPr>
      <t>f</t>
    </r>
    <r>
      <rPr>
        <sz val="8"/>
        <rFont val="Times New Roman"/>
        <family val="1"/>
      </rPr>
      <t>c1</t>
    </r>
  </si>
  <si>
    <r>
      <rPr>
        <sz val="12"/>
        <rFont val="Times New Roman"/>
        <family val="1"/>
      </rPr>
      <t>f</t>
    </r>
    <r>
      <rPr>
        <sz val="8"/>
        <rFont val="Times New Roman"/>
        <family val="1"/>
      </rPr>
      <t>c2</t>
    </r>
  </si>
  <si>
    <r>
      <rPr>
        <sz val="12"/>
        <rFont val="宋体"/>
        <charset val="134"/>
      </rPr>
      <t>齿</t>
    </r>
    <r>
      <rPr>
        <sz val="12"/>
        <rFont val="Times New Roman"/>
        <family val="1"/>
      </rPr>
      <t xml:space="preserve"> </t>
    </r>
    <r>
      <rPr>
        <sz val="12"/>
        <rFont val="宋体"/>
        <charset val="134"/>
      </rPr>
      <t>圈</t>
    </r>
    <r>
      <rPr>
        <sz val="12"/>
        <rFont val="Times New Roman"/>
        <family val="1"/>
      </rPr>
      <t xml:space="preserve"> 跳 动 公 差</t>
    </r>
  </si>
  <si>
    <r>
      <rPr>
        <sz val="12"/>
        <rFont val="Times New Roman"/>
        <family val="1"/>
      </rPr>
      <t>Fr</t>
    </r>
    <r>
      <rPr>
        <sz val="10"/>
        <rFont val="Times New Roman"/>
        <family val="1"/>
      </rPr>
      <t>1</t>
    </r>
  </si>
  <si>
    <r>
      <rPr>
        <sz val="12"/>
        <rFont val="Times New Roman"/>
        <family val="1"/>
      </rPr>
      <t>Fr</t>
    </r>
    <r>
      <rPr>
        <sz val="10"/>
        <rFont val="Times New Roman"/>
        <family val="1"/>
      </rPr>
      <t>2</t>
    </r>
  </si>
  <si>
    <r>
      <rPr>
        <sz val="12"/>
        <rFont val="宋体"/>
        <charset val="134"/>
      </rPr>
      <t>齿</t>
    </r>
    <r>
      <rPr>
        <sz val="12"/>
        <rFont val="Times New Roman"/>
        <family val="1"/>
      </rPr>
      <t xml:space="preserve">   </t>
    </r>
    <r>
      <rPr>
        <sz val="12"/>
        <rFont val="宋体"/>
        <charset val="134"/>
      </rPr>
      <t xml:space="preserve">厚 </t>
    </r>
    <r>
      <rPr>
        <sz val="12"/>
        <rFont val="Times New Roman"/>
        <family val="1"/>
      </rPr>
      <t xml:space="preserve">  </t>
    </r>
    <r>
      <rPr>
        <sz val="12"/>
        <rFont val="宋体"/>
        <charset val="134"/>
      </rPr>
      <t>公</t>
    </r>
    <r>
      <rPr>
        <sz val="12"/>
        <rFont val="Times New Roman"/>
        <family val="1"/>
      </rPr>
      <t xml:space="preserve">   </t>
    </r>
    <r>
      <rPr>
        <sz val="12"/>
        <rFont val="宋体"/>
        <charset val="134"/>
      </rPr>
      <t>差</t>
    </r>
  </si>
  <si>
    <r>
      <rPr>
        <sz val="12"/>
        <rFont val="Times New Roman"/>
        <family val="1"/>
      </rPr>
      <t>Ts</t>
    </r>
    <r>
      <rPr>
        <sz val="10"/>
        <rFont val="Times New Roman"/>
        <family val="1"/>
      </rPr>
      <t>1</t>
    </r>
  </si>
  <si>
    <r>
      <rPr>
        <sz val="12"/>
        <rFont val="Times New Roman"/>
        <family val="1"/>
      </rPr>
      <t>Ts</t>
    </r>
    <r>
      <rPr>
        <sz val="10"/>
        <rFont val="Times New Roman"/>
        <family val="1"/>
      </rPr>
      <t>2</t>
    </r>
  </si>
  <si>
    <t>齿厚上偏差系数</t>
  </si>
  <si>
    <t>xe</t>
  </si>
  <si>
    <r>
      <rPr>
        <sz val="12"/>
        <rFont val="Times New Roman"/>
        <family val="1"/>
      </rPr>
      <t>Ess</t>
    </r>
    <r>
      <rPr>
        <sz val="10"/>
        <rFont val="Times New Roman"/>
        <family val="1"/>
      </rPr>
      <t>10</t>
    </r>
  </si>
  <si>
    <r>
      <rPr>
        <sz val="12"/>
        <rFont val="Times New Roman"/>
        <family val="1"/>
      </rPr>
      <t>Ess</t>
    </r>
    <r>
      <rPr>
        <sz val="10"/>
        <rFont val="Times New Roman"/>
        <family val="1"/>
      </rPr>
      <t>20</t>
    </r>
  </si>
  <si>
    <r>
      <rPr>
        <sz val="12"/>
        <rFont val="宋体"/>
        <charset val="134"/>
      </rPr>
      <t>制</t>
    </r>
    <r>
      <rPr>
        <sz val="12"/>
        <rFont val="Times New Roman"/>
        <family val="1"/>
      </rPr>
      <t xml:space="preserve"> </t>
    </r>
    <r>
      <rPr>
        <sz val="12"/>
        <rFont val="宋体"/>
        <charset val="134"/>
      </rPr>
      <t>造</t>
    </r>
    <r>
      <rPr>
        <sz val="12"/>
        <rFont val="Times New Roman"/>
        <family val="1"/>
      </rPr>
      <t xml:space="preserve"> </t>
    </r>
    <r>
      <rPr>
        <sz val="12"/>
        <rFont val="宋体"/>
        <charset val="134"/>
      </rPr>
      <t>误</t>
    </r>
    <r>
      <rPr>
        <sz val="12"/>
        <rFont val="Times New Roman"/>
        <family val="1"/>
      </rPr>
      <t xml:space="preserve"> </t>
    </r>
    <r>
      <rPr>
        <sz val="12"/>
        <rFont val="宋体"/>
        <charset val="134"/>
      </rPr>
      <t>差</t>
    </r>
    <r>
      <rPr>
        <sz val="12"/>
        <rFont val="Times New Roman"/>
        <family val="1"/>
      </rPr>
      <t xml:space="preserve"> </t>
    </r>
    <r>
      <rPr>
        <sz val="12"/>
        <rFont val="宋体"/>
        <charset val="134"/>
      </rPr>
      <t>补</t>
    </r>
    <r>
      <rPr>
        <sz val="12"/>
        <rFont val="Times New Roman"/>
        <family val="1"/>
      </rPr>
      <t xml:space="preserve"> </t>
    </r>
    <r>
      <rPr>
        <sz val="12"/>
        <rFont val="宋体"/>
        <charset val="134"/>
      </rPr>
      <t>偿</t>
    </r>
  </si>
  <si>
    <t>EsΔ1</t>
  </si>
  <si>
    <r>
      <rPr>
        <sz val="12"/>
        <rFont val="Times New Roman"/>
        <family val="1"/>
      </rPr>
      <t>Es</t>
    </r>
    <r>
      <rPr>
        <sz val="9"/>
        <rFont val="宋体"/>
        <charset val="134"/>
      </rPr>
      <t>Δ</t>
    </r>
    <r>
      <rPr>
        <sz val="9"/>
        <rFont val="Times New Roman"/>
        <family val="1"/>
      </rPr>
      <t>2</t>
    </r>
  </si>
  <si>
    <r>
      <rPr>
        <sz val="12"/>
        <rFont val="宋体"/>
        <charset val="134"/>
      </rPr>
      <t>最</t>
    </r>
    <r>
      <rPr>
        <sz val="12"/>
        <rFont val="Times New Roman"/>
        <family val="1"/>
      </rPr>
      <t xml:space="preserve"> </t>
    </r>
    <r>
      <rPr>
        <sz val="12"/>
        <rFont val="宋体"/>
        <charset val="134"/>
      </rPr>
      <t>高</t>
    </r>
    <r>
      <rPr>
        <sz val="12"/>
        <rFont val="Times New Roman"/>
        <family val="1"/>
      </rPr>
      <t xml:space="preserve"> </t>
    </r>
    <r>
      <rPr>
        <sz val="12"/>
        <rFont val="宋体"/>
        <charset val="134"/>
      </rPr>
      <t>精</t>
    </r>
    <r>
      <rPr>
        <sz val="12"/>
        <rFont val="Times New Roman"/>
        <family val="1"/>
      </rPr>
      <t xml:space="preserve"> </t>
    </r>
    <r>
      <rPr>
        <sz val="12"/>
        <rFont val="宋体"/>
        <charset val="134"/>
      </rPr>
      <t>度</t>
    </r>
    <r>
      <rPr>
        <sz val="12"/>
        <rFont val="Times New Roman"/>
        <family val="1"/>
      </rPr>
      <t xml:space="preserve"> 等 级</t>
    </r>
  </si>
  <si>
    <t>齿坯顶锥母线跳动公差</t>
  </si>
  <si>
    <t>齿坯基准端面跳动公差</t>
  </si>
  <si>
    <t>轴交角极限偏差</t>
  </si>
  <si>
    <r>
      <rPr>
        <sz val="12"/>
        <rFont val="Times New Roman"/>
        <family val="1"/>
      </rPr>
      <t>±E</t>
    </r>
    <r>
      <rPr>
        <sz val="9"/>
        <rFont val="宋体"/>
        <charset val="134"/>
      </rPr>
      <t>Σ</t>
    </r>
  </si>
  <si>
    <t>承载能力验算：</t>
  </si>
  <si>
    <t>当量圆柱齿轮端面参数：</t>
  </si>
  <si>
    <r>
      <rPr>
        <sz val="12"/>
        <rFont val="宋体"/>
        <charset val="134"/>
      </rPr>
      <t>小</t>
    </r>
    <r>
      <rPr>
        <sz val="12"/>
        <rFont val="Times New Roman"/>
        <family val="1"/>
      </rPr>
      <t xml:space="preserve">       </t>
    </r>
    <r>
      <rPr>
        <sz val="12"/>
        <rFont val="宋体"/>
        <charset val="134"/>
      </rPr>
      <t>轮</t>
    </r>
  </si>
  <si>
    <r>
      <rPr>
        <sz val="12"/>
        <rFont val="宋体"/>
        <charset val="134"/>
      </rPr>
      <t>大</t>
    </r>
    <r>
      <rPr>
        <sz val="12"/>
        <rFont val="Times New Roman"/>
        <family val="1"/>
      </rPr>
      <t xml:space="preserve">       </t>
    </r>
    <r>
      <rPr>
        <sz val="12"/>
        <rFont val="宋体"/>
        <charset val="134"/>
      </rPr>
      <t>轮</t>
    </r>
  </si>
  <si>
    <r>
      <rPr>
        <sz val="12"/>
        <rFont val="宋体"/>
        <charset val="134"/>
      </rPr>
      <t>齿</t>
    </r>
    <r>
      <rPr>
        <sz val="12"/>
        <rFont val="Times New Roman"/>
        <family val="1"/>
      </rPr>
      <t xml:space="preserve">                </t>
    </r>
    <r>
      <rPr>
        <sz val="12"/>
        <rFont val="宋体"/>
        <charset val="134"/>
      </rPr>
      <t>数</t>
    </r>
  </si>
  <si>
    <r>
      <rPr>
        <sz val="12"/>
        <rFont val="Times New Roman"/>
        <family val="1"/>
      </rPr>
      <t>Zv</t>
    </r>
    <r>
      <rPr>
        <sz val="10"/>
        <rFont val="Times New Roman"/>
        <family val="1"/>
      </rPr>
      <t>1</t>
    </r>
  </si>
  <si>
    <r>
      <rPr>
        <sz val="12"/>
        <rFont val="Times New Roman"/>
        <family val="1"/>
      </rPr>
      <t>Zv</t>
    </r>
    <r>
      <rPr>
        <sz val="10"/>
        <rFont val="Times New Roman"/>
        <family val="1"/>
      </rPr>
      <t>2</t>
    </r>
  </si>
  <si>
    <r>
      <rPr>
        <sz val="12"/>
        <rFont val="宋体"/>
        <charset val="134"/>
      </rPr>
      <t>齿</t>
    </r>
    <r>
      <rPr>
        <sz val="12"/>
        <rFont val="Times New Roman"/>
        <family val="1"/>
      </rPr>
      <t xml:space="preserve">      </t>
    </r>
    <r>
      <rPr>
        <sz val="12"/>
        <rFont val="宋体"/>
        <charset val="134"/>
      </rPr>
      <t>数</t>
    </r>
    <r>
      <rPr>
        <sz val="12"/>
        <rFont val="Times New Roman"/>
        <family val="1"/>
      </rPr>
      <t xml:space="preserve">      </t>
    </r>
    <r>
      <rPr>
        <sz val="12"/>
        <rFont val="宋体"/>
        <charset val="134"/>
      </rPr>
      <t>比</t>
    </r>
  </si>
  <si>
    <r>
      <rPr>
        <sz val="12"/>
        <rFont val="Times New Roman"/>
        <family val="1"/>
      </rPr>
      <t>u</t>
    </r>
    <r>
      <rPr>
        <sz val="9"/>
        <rFont val="Times New Roman"/>
        <family val="1"/>
      </rPr>
      <t>v</t>
    </r>
  </si>
  <si>
    <r>
      <rPr>
        <sz val="12"/>
        <rFont val="Times New Roman"/>
        <family val="1"/>
      </rPr>
      <t>d</t>
    </r>
    <r>
      <rPr>
        <sz val="10"/>
        <rFont val="Times New Roman"/>
        <family val="1"/>
      </rPr>
      <t>v1</t>
    </r>
  </si>
  <si>
    <r>
      <rPr>
        <sz val="12"/>
        <rFont val="Times New Roman"/>
        <family val="1"/>
      </rPr>
      <t>d</t>
    </r>
    <r>
      <rPr>
        <sz val="10"/>
        <rFont val="Times New Roman"/>
        <family val="1"/>
      </rPr>
      <t>v2</t>
    </r>
  </si>
  <si>
    <t>当量圆柱齿轮中心距</t>
  </si>
  <si>
    <r>
      <rPr>
        <sz val="12"/>
        <rFont val="Times New Roman"/>
        <family val="1"/>
      </rPr>
      <t>a</t>
    </r>
    <r>
      <rPr>
        <sz val="10"/>
        <rFont val="Times New Roman"/>
        <family val="1"/>
      </rPr>
      <t>v</t>
    </r>
  </si>
  <si>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r>
      <rPr>
        <sz val="12"/>
        <rFont val="Times New Roman"/>
        <family val="1"/>
      </rPr>
      <t xml:space="preserve"> </t>
    </r>
  </si>
  <si>
    <r>
      <rPr>
        <sz val="12"/>
        <rFont val="Times New Roman"/>
        <family val="1"/>
      </rPr>
      <t>d</t>
    </r>
    <r>
      <rPr>
        <sz val="10"/>
        <rFont val="Times New Roman"/>
        <family val="1"/>
      </rPr>
      <t>va1</t>
    </r>
  </si>
  <si>
    <t>齿宽中点齿顶高</t>
  </si>
  <si>
    <r>
      <rPr>
        <sz val="12"/>
        <rFont val="Times New Roman"/>
        <family val="1"/>
      </rPr>
      <t>h</t>
    </r>
    <r>
      <rPr>
        <sz val="10"/>
        <rFont val="Times New Roman"/>
        <family val="1"/>
      </rPr>
      <t>am1</t>
    </r>
  </si>
  <si>
    <r>
      <rPr>
        <sz val="12"/>
        <rFont val="Times New Roman"/>
        <family val="1"/>
      </rPr>
      <t>h</t>
    </r>
    <r>
      <rPr>
        <sz val="10"/>
        <rFont val="Times New Roman"/>
        <family val="1"/>
      </rPr>
      <t>am2</t>
    </r>
  </si>
  <si>
    <t>半齿宽高度变位系数</t>
  </si>
  <si>
    <r>
      <rPr>
        <sz val="12"/>
        <rFont val="Times New Roman"/>
        <family val="1"/>
      </rPr>
      <t>x</t>
    </r>
    <r>
      <rPr>
        <sz val="10"/>
        <rFont val="Times New Roman"/>
        <family val="1"/>
      </rPr>
      <t>hm1</t>
    </r>
  </si>
  <si>
    <r>
      <rPr>
        <sz val="12"/>
        <rFont val="Times New Roman"/>
        <family val="1"/>
      </rPr>
      <t>x</t>
    </r>
    <r>
      <rPr>
        <sz val="10"/>
        <rFont val="Times New Roman"/>
        <family val="1"/>
      </rPr>
      <t>hm2</t>
    </r>
  </si>
  <si>
    <t>半齿宽切向变位系数</t>
  </si>
  <si>
    <r>
      <rPr>
        <sz val="12"/>
        <rFont val="Times New Roman"/>
        <family val="1"/>
      </rPr>
      <t>x</t>
    </r>
    <r>
      <rPr>
        <sz val="10"/>
        <rFont val="Times New Roman"/>
        <family val="1"/>
      </rPr>
      <t>sm1</t>
    </r>
  </si>
  <si>
    <r>
      <rPr>
        <sz val="12"/>
        <rFont val="Times New Roman"/>
        <family val="1"/>
      </rPr>
      <t>x</t>
    </r>
    <r>
      <rPr>
        <sz val="10"/>
        <rFont val="Times New Roman"/>
        <family val="1"/>
      </rPr>
      <t>sm2</t>
    </r>
  </si>
  <si>
    <r>
      <rPr>
        <sz val="12"/>
        <rFont val="Times New Roman"/>
        <family val="1"/>
      </rPr>
      <t>d</t>
    </r>
    <r>
      <rPr>
        <sz val="10"/>
        <rFont val="Times New Roman"/>
        <family val="1"/>
      </rPr>
      <t>vb1</t>
    </r>
  </si>
  <si>
    <r>
      <rPr>
        <sz val="12"/>
        <color indexed="44"/>
        <rFont val="宋体"/>
        <charset val="134"/>
      </rPr>
      <t>α</t>
    </r>
    <r>
      <rPr>
        <sz val="10"/>
        <color indexed="44"/>
        <rFont val="Times New Roman"/>
        <family val="1"/>
      </rPr>
      <t>vt</t>
    </r>
  </si>
  <si>
    <r>
      <rPr>
        <sz val="12"/>
        <rFont val="Times New Roman"/>
        <family val="1"/>
      </rPr>
      <t>d</t>
    </r>
    <r>
      <rPr>
        <sz val="10"/>
        <rFont val="Times New Roman"/>
        <family val="1"/>
      </rPr>
      <t>vb2</t>
    </r>
  </si>
  <si>
    <r>
      <rPr>
        <sz val="12"/>
        <rFont val="宋体"/>
        <charset val="134"/>
      </rPr>
      <t>端</t>
    </r>
    <r>
      <rPr>
        <sz val="12"/>
        <rFont val="Times New Roman"/>
        <family val="1"/>
      </rPr>
      <t xml:space="preserve"> </t>
    </r>
    <r>
      <rPr>
        <sz val="12"/>
        <rFont val="宋体"/>
        <charset val="134"/>
      </rPr>
      <t>面</t>
    </r>
    <r>
      <rPr>
        <sz val="12"/>
        <rFont val="Times New Roman"/>
        <family val="1"/>
      </rPr>
      <t xml:space="preserve"> </t>
    </r>
    <r>
      <rPr>
        <sz val="12"/>
        <rFont val="宋体"/>
        <charset val="134"/>
      </rPr>
      <t>重</t>
    </r>
    <r>
      <rPr>
        <sz val="12"/>
        <rFont val="Times New Roman"/>
        <family val="1"/>
      </rPr>
      <t xml:space="preserve"> </t>
    </r>
    <r>
      <rPr>
        <sz val="12"/>
        <rFont val="宋体"/>
        <charset val="134"/>
      </rPr>
      <t>合</t>
    </r>
    <r>
      <rPr>
        <sz val="12"/>
        <rFont val="Times New Roman"/>
        <family val="1"/>
      </rPr>
      <t xml:space="preserve"> </t>
    </r>
    <r>
      <rPr>
        <sz val="12"/>
        <rFont val="宋体"/>
        <charset val="134"/>
      </rPr>
      <t>度</t>
    </r>
  </si>
  <si>
    <r>
      <rPr>
        <sz val="12"/>
        <rFont val="宋体"/>
        <charset val="134"/>
      </rPr>
      <t>ε</t>
    </r>
    <r>
      <rPr>
        <sz val="10"/>
        <rFont val="宋体"/>
        <charset val="134"/>
      </rPr>
      <t>vα</t>
    </r>
  </si>
  <si>
    <r>
      <rPr>
        <sz val="12"/>
        <color indexed="44"/>
        <rFont val="Times New Roman"/>
        <family val="1"/>
      </rPr>
      <t>g</t>
    </r>
    <r>
      <rPr>
        <sz val="10"/>
        <color indexed="44"/>
        <rFont val="Times New Roman"/>
        <family val="1"/>
      </rPr>
      <t>v</t>
    </r>
    <r>
      <rPr>
        <sz val="10"/>
        <color indexed="44"/>
        <rFont val="宋体"/>
        <charset val="134"/>
      </rPr>
      <t>α</t>
    </r>
  </si>
  <si>
    <r>
      <rPr>
        <sz val="12"/>
        <rFont val="宋体"/>
        <charset val="134"/>
      </rPr>
      <t>纵</t>
    </r>
    <r>
      <rPr>
        <sz val="12"/>
        <rFont val="Times New Roman"/>
        <family val="1"/>
      </rPr>
      <t xml:space="preserve"> </t>
    </r>
    <r>
      <rPr>
        <sz val="12"/>
        <rFont val="宋体"/>
        <charset val="134"/>
      </rPr>
      <t>向</t>
    </r>
    <r>
      <rPr>
        <sz val="12"/>
        <rFont val="Times New Roman"/>
        <family val="1"/>
      </rPr>
      <t xml:space="preserve"> 重 合 度</t>
    </r>
  </si>
  <si>
    <r>
      <rPr>
        <sz val="12"/>
        <rFont val="宋体"/>
        <charset val="134"/>
      </rPr>
      <t>ε</t>
    </r>
    <r>
      <rPr>
        <sz val="10"/>
        <rFont val="宋体"/>
        <charset val="134"/>
      </rPr>
      <t>vβ</t>
    </r>
  </si>
  <si>
    <r>
      <rPr>
        <sz val="12"/>
        <rFont val="宋体"/>
        <charset val="134"/>
      </rPr>
      <t>总</t>
    </r>
    <r>
      <rPr>
        <sz val="12"/>
        <rFont val="Times New Roman"/>
        <family val="1"/>
      </rPr>
      <t xml:space="preserve">   </t>
    </r>
    <r>
      <rPr>
        <sz val="12"/>
        <rFont val="宋体"/>
        <charset val="134"/>
      </rPr>
      <t>重</t>
    </r>
    <r>
      <rPr>
        <sz val="12"/>
        <rFont val="Times New Roman"/>
        <family val="1"/>
      </rPr>
      <t xml:space="preserve">   </t>
    </r>
    <r>
      <rPr>
        <sz val="12"/>
        <rFont val="宋体"/>
        <charset val="134"/>
      </rPr>
      <t>合</t>
    </r>
    <r>
      <rPr>
        <sz val="12"/>
        <rFont val="Times New Roman"/>
        <family val="1"/>
      </rPr>
      <t xml:space="preserve">   </t>
    </r>
    <r>
      <rPr>
        <sz val="12"/>
        <rFont val="宋体"/>
        <charset val="134"/>
      </rPr>
      <t>度</t>
    </r>
  </si>
  <si>
    <r>
      <rPr>
        <sz val="12"/>
        <rFont val="宋体"/>
        <charset val="134"/>
      </rPr>
      <t>ε</t>
    </r>
    <r>
      <rPr>
        <sz val="10"/>
        <rFont val="宋体"/>
        <charset val="134"/>
      </rPr>
      <t>vγ</t>
    </r>
  </si>
  <si>
    <t>当量圆柱齿轮法向参数：</t>
  </si>
  <si>
    <r>
      <rPr>
        <sz val="12"/>
        <rFont val="宋体"/>
        <charset val="134"/>
      </rPr>
      <t>齿</t>
    </r>
    <r>
      <rPr>
        <sz val="12"/>
        <rFont val="Times New Roman"/>
        <family val="1"/>
      </rPr>
      <t xml:space="preserve">               </t>
    </r>
    <r>
      <rPr>
        <sz val="12"/>
        <rFont val="宋体"/>
        <charset val="134"/>
      </rPr>
      <t>数</t>
    </r>
  </si>
  <si>
    <r>
      <rPr>
        <sz val="12"/>
        <rFont val="Times New Roman"/>
        <family val="1"/>
      </rPr>
      <t>Zvn</t>
    </r>
    <r>
      <rPr>
        <sz val="10"/>
        <rFont val="Times New Roman"/>
        <family val="1"/>
      </rPr>
      <t>1</t>
    </r>
  </si>
  <si>
    <r>
      <rPr>
        <sz val="12"/>
        <color indexed="44"/>
        <rFont val="宋体"/>
        <charset val="134"/>
      </rPr>
      <t>β</t>
    </r>
    <r>
      <rPr>
        <sz val="10"/>
        <color indexed="44"/>
        <rFont val="Times New Roman"/>
        <family val="1"/>
      </rPr>
      <t>vb</t>
    </r>
  </si>
  <si>
    <r>
      <rPr>
        <sz val="12"/>
        <rFont val="Times New Roman"/>
        <family val="1"/>
      </rPr>
      <t>Zvn</t>
    </r>
    <r>
      <rPr>
        <sz val="10"/>
        <rFont val="Times New Roman"/>
        <family val="1"/>
      </rPr>
      <t>2</t>
    </r>
  </si>
  <si>
    <r>
      <rPr>
        <sz val="12"/>
        <rFont val="Times New Roman"/>
        <family val="1"/>
      </rPr>
      <t>d</t>
    </r>
    <r>
      <rPr>
        <sz val="10"/>
        <rFont val="Times New Roman"/>
        <family val="1"/>
      </rPr>
      <t>vn1</t>
    </r>
  </si>
  <si>
    <r>
      <rPr>
        <sz val="12"/>
        <rFont val="Times New Roman"/>
        <family val="1"/>
      </rPr>
      <t>d</t>
    </r>
    <r>
      <rPr>
        <sz val="10"/>
        <rFont val="Times New Roman"/>
        <family val="1"/>
      </rPr>
      <t>vn2</t>
    </r>
  </si>
  <si>
    <r>
      <rPr>
        <sz val="12"/>
        <rFont val="Times New Roman"/>
        <family val="1"/>
      </rPr>
      <t>d</t>
    </r>
    <r>
      <rPr>
        <sz val="10"/>
        <rFont val="Times New Roman"/>
        <family val="1"/>
      </rPr>
      <t>van1</t>
    </r>
  </si>
  <si>
    <r>
      <rPr>
        <sz val="12"/>
        <rFont val="Times New Roman"/>
        <family val="1"/>
      </rPr>
      <t>d</t>
    </r>
    <r>
      <rPr>
        <sz val="10"/>
        <rFont val="Times New Roman"/>
        <family val="1"/>
      </rPr>
      <t>van2</t>
    </r>
  </si>
  <si>
    <r>
      <rPr>
        <sz val="12"/>
        <rFont val="Times New Roman"/>
        <family val="1"/>
      </rPr>
      <t>d</t>
    </r>
    <r>
      <rPr>
        <sz val="10"/>
        <rFont val="Times New Roman"/>
        <family val="1"/>
      </rPr>
      <t>vbn1</t>
    </r>
  </si>
  <si>
    <r>
      <rPr>
        <sz val="12"/>
        <rFont val="Times New Roman"/>
        <family val="1"/>
      </rPr>
      <t>d</t>
    </r>
    <r>
      <rPr>
        <sz val="10"/>
        <rFont val="Times New Roman"/>
        <family val="1"/>
      </rPr>
      <t>vbn2</t>
    </r>
  </si>
  <si>
    <t>重      合      度</t>
  </si>
  <si>
    <r>
      <rPr>
        <sz val="12"/>
        <rFont val="宋体"/>
        <charset val="134"/>
      </rPr>
      <t>ε</t>
    </r>
    <r>
      <rPr>
        <sz val="10"/>
        <rFont val="宋体"/>
        <charset val="134"/>
      </rPr>
      <t>vαn</t>
    </r>
  </si>
  <si>
    <r>
      <rPr>
        <sz val="12"/>
        <rFont val="宋体"/>
        <charset val="134"/>
      </rPr>
      <t>刀</t>
    </r>
    <r>
      <rPr>
        <sz val="12"/>
        <rFont val="Times New Roman"/>
        <family val="1"/>
      </rPr>
      <t xml:space="preserve">  </t>
    </r>
    <r>
      <rPr>
        <sz val="12"/>
        <rFont val="宋体"/>
        <charset val="134"/>
      </rPr>
      <t>具</t>
    </r>
    <r>
      <rPr>
        <sz val="12"/>
        <rFont val="Times New Roman"/>
        <family val="1"/>
      </rPr>
      <t xml:space="preserve">  </t>
    </r>
    <r>
      <rPr>
        <sz val="12"/>
        <rFont val="宋体"/>
        <charset val="134"/>
      </rPr>
      <t>齿</t>
    </r>
    <r>
      <rPr>
        <sz val="12"/>
        <rFont val="Times New Roman"/>
        <family val="1"/>
      </rPr>
      <t xml:space="preserve">  </t>
    </r>
    <r>
      <rPr>
        <sz val="12"/>
        <rFont val="宋体"/>
        <charset val="134"/>
      </rPr>
      <t>顶</t>
    </r>
    <r>
      <rPr>
        <sz val="12"/>
        <rFont val="Times New Roman"/>
        <family val="1"/>
      </rPr>
      <t xml:space="preserve">  </t>
    </r>
    <r>
      <rPr>
        <sz val="12"/>
        <rFont val="宋体"/>
        <charset val="134"/>
      </rPr>
      <t>高</t>
    </r>
  </si>
  <si>
    <r>
      <rPr>
        <sz val="12"/>
        <rFont val="Times New Roman"/>
        <family val="1"/>
      </rPr>
      <t>h</t>
    </r>
    <r>
      <rPr>
        <sz val="10"/>
        <rFont val="Times New Roman"/>
        <family val="1"/>
      </rPr>
      <t>a0</t>
    </r>
  </si>
  <si>
    <t>刀尖圆角半径</t>
  </si>
  <si>
    <r>
      <rPr>
        <sz val="12"/>
        <rFont val="宋体"/>
        <charset val="134"/>
      </rPr>
      <t>ρ</t>
    </r>
    <r>
      <rPr>
        <sz val="10"/>
        <rFont val="宋体"/>
        <charset val="134"/>
      </rPr>
      <t>a0</t>
    </r>
  </si>
  <si>
    <r>
      <rPr>
        <sz val="12"/>
        <rFont val="Times New Roman"/>
        <family val="1"/>
      </rPr>
      <t>Pr</t>
    </r>
    <r>
      <rPr>
        <sz val="8"/>
        <rFont val="Times New Roman"/>
        <family val="1"/>
      </rPr>
      <t>0</t>
    </r>
  </si>
  <si>
    <r>
      <rPr>
        <sz val="12"/>
        <rFont val="宋体"/>
        <charset val="134"/>
      </rPr>
      <t>名</t>
    </r>
    <r>
      <rPr>
        <sz val="12"/>
        <rFont val="Times New Roman"/>
        <family val="1"/>
      </rPr>
      <t xml:space="preserve">  </t>
    </r>
    <r>
      <rPr>
        <sz val="12"/>
        <rFont val="宋体"/>
        <charset val="134"/>
      </rPr>
      <t>义</t>
    </r>
    <r>
      <rPr>
        <sz val="12"/>
        <rFont val="Times New Roman"/>
        <family val="1"/>
      </rPr>
      <t xml:space="preserve">  </t>
    </r>
    <r>
      <rPr>
        <sz val="12"/>
        <rFont val="宋体"/>
        <charset val="134"/>
      </rPr>
      <t>切</t>
    </r>
    <r>
      <rPr>
        <sz val="12"/>
        <rFont val="Times New Roman"/>
        <family val="1"/>
      </rPr>
      <t xml:space="preserve">  </t>
    </r>
    <r>
      <rPr>
        <sz val="12"/>
        <rFont val="宋体"/>
        <charset val="134"/>
      </rPr>
      <t xml:space="preserve">向  力  </t>
    </r>
  </si>
  <si>
    <t>Fmt</t>
  </si>
  <si>
    <r>
      <rPr>
        <sz val="12"/>
        <rFont val="宋体"/>
        <charset val="134"/>
      </rPr>
      <t>使</t>
    </r>
    <r>
      <rPr>
        <sz val="12"/>
        <rFont val="Times New Roman"/>
        <family val="1"/>
      </rPr>
      <t xml:space="preserve">    </t>
    </r>
    <r>
      <rPr>
        <sz val="12"/>
        <rFont val="宋体"/>
        <charset val="134"/>
      </rPr>
      <t>用</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</si>
  <si>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Times New Roman"/>
        <family val="1"/>
      </rPr>
      <t>K</t>
    </r>
    <r>
      <rPr>
        <sz val="8"/>
        <rFont val="Times New Roman"/>
        <family val="1"/>
      </rPr>
      <t>A</t>
    </r>
  </si>
  <si>
    <t>（工作条件原动机均匀平稳，从动机中等振动）</t>
  </si>
  <si>
    <r>
      <rPr>
        <sz val="12"/>
        <rFont val="Times New Roman"/>
        <family val="1"/>
      </rPr>
      <t>m</t>
    </r>
    <r>
      <rPr>
        <sz val="10"/>
        <rFont val="Times New Roman"/>
        <family val="1"/>
      </rPr>
      <t>1</t>
    </r>
  </si>
  <si>
    <r>
      <rPr>
        <sz val="12"/>
        <rFont val="Times New Roman"/>
        <family val="1"/>
      </rPr>
      <t>m</t>
    </r>
    <r>
      <rPr>
        <sz val="10"/>
        <rFont val="Times New Roman"/>
        <family val="1"/>
      </rPr>
      <t>2</t>
    </r>
  </si>
  <si>
    <r>
      <rPr>
        <sz val="12"/>
        <rFont val="Times New Roman"/>
        <family val="1"/>
      </rPr>
      <t>m</t>
    </r>
    <r>
      <rPr>
        <sz val="10"/>
        <rFont val="Times New Roman"/>
        <family val="1"/>
      </rPr>
      <t>ed</t>
    </r>
  </si>
  <si>
    <r>
      <rPr>
        <sz val="12"/>
        <rFont val="Times New Roman"/>
        <family val="1"/>
      </rPr>
      <t xml:space="preserve">n </t>
    </r>
    <r>
      <rPr>
        <sz val="8"/>
        <rFont val="Times New Roman"/>
        <family val="1"/>
      </rPr>
      <t>E1</t>
    </r>
  </si>
  <si>
    <t>ya</t>
  </si>
  <si>
    <r>
      <rPr>
        <sz val="12"/>
        <rFont val="Times New Roman"/>
        <family val="1"/>
      </rPr>
      <t>cv</t>
    </r>
    <r>
      <rPr>
        <sz val="10"/>
        <rFont val="Times New Roman"/>
        <family val="1"/>
      </rPr>
      <t>1</t>
    </r>
  </si>
  <si>
    <r>
      <rPr>
        <sz val="12"/>
        <rFont val="Times New Roman"/>
        <family val="1"/>
      </rPr>
      <t>cv</t>
    </r>
    <r>
      <rPr>
        <sz val="10"/>
        <rFont val="Times New Roman"/>
        <family val="1"/>
      </rPr>
      <t>2</t>
    </r>
  </si>
  <si>
    <r>
      <rPr>
        <sz val="12"/>
        <rFont val="Times New Roman"/>
        <family val="1"/>
      </rPr>
      <t>cv</t>
    </r>
    <r>
      <rPr>
        <sz val="10"/>
        <rFont val="Times New Roman"/>
        <family val="1"/>
      </rPr>
      <t>3</t>
    </r>
  </si>
  <si>
    <r>
      <rPr>
        <sz val="12"/>
        <rFont val="Times New Roman"/>
        <family val="1"/>
      </rPr>
      <t>cv</t>
    </r>
    <r>
      <rPr>
        <sz val="10"/>
        <rFont val="Times New Roman"/>
        <family val="1"/>
      </rPr>
      <t>4</t>
    </r>
  </si>
  <si>
    <r>
      <rPr>
        <sz val="12"/>
        <rFont val="Times New Roman"/>
        <family val="1"/>
      </rPr>
      <t>cv</t>
    </r>
    <r>
      <rPr>
        <sz val="10"/>
        <rFont val="Times New Roman"/>
        <family val="1"/>
      </rPr>
      <t>5</t>
    </r>
  </si>
  <si>
    <r>
      <rPr>
        <sz val="12"/>
        <rFont val="Times New Roman"/>
        <family val="1"/>
      </rPr>
      <t>cv</t>
    </r>
    <r>
      <rPr>
        <sz val="10"/>
        <rFont val="Times New Roman"/>
        <family val="1"/>
      </rPr>
      <t>6</t>
    </r>
  </si>
  <si>
    <r>
      <rPr>
        <sz val="12"/>
        <rFont val="Times New Roman"/>
        <family val="1"/>
      </rPr>
      <t>cv</t>
    </r>
    <r>
      <rPr>
        <sz val="10"/>
        <rFont val="Times New Roman"/>
        <family val="1"/>
      </rPr>
      <t>7</t>
    </r>
  </si>
  <si>
    <r>
      <rPr>
        <sz val="12"/>
        <rFont val="宋体"/>
        <charset val="134"/>
      </rPr>
      <t>动</t>
    </r>
    <r>
      <rPr>
        <sz val="12"/>
        <rFont val="Times New Roman"/>
        <family val="1"/>
      </rPr>
      <t xml:space="preserve">    </t>
    </r>
    <r>
      <rPr>
        <sz val="12"/>
        <rFont val="宋体"/>
        <charset val="134"/>
      </rPr>
      <t>载</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</si>
  <si>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Times New Roman"/>
        <family val="1"/>
      </rPr>
      <t>K</t>
    </r>
    <r>
      <rPr>
        <sz val="8"/>
        <rFont val="Times New Roman"/>
        <family val="1"/>
      </rPr>
      <t>V</t>
    </r>
  </si>
  <si>
    <t>亚临界</t>
  </si>
  <si>
    <t>主共振</t>
  </si>
  <si>
    <t>过渡</t>
  </si>
  <si>
    <t>超临界</t>
  </si>
  <si>
    <t>齿向载荷分布系数</t>
  </si>
  <si>
    <r>
      <rPr>
        <sz val="12"/>
        <rFont val="宋体"/>
        <charset val="134"/>
      </rPr>
      <t>K</t>
    </r>
    <r>
      <rPr>
        <sz val="8"/>
        <rFont val="宋体"/>
        <charset val="134"/>
      </rPr>
      <t>Hβ</t>
    </r>
  </si>
  <si>
    <r>
      <rPr>
        <sz val="12"/>
        <rFont val="宋体"/>
        <charset val="134"/>
      </rPr>
      <t>K</t>
    </r>
    <r>
      <rPr>
        <sz val="8"/>
        <rFont val="宋体"/>
        <charset val="134"/>
      </rPr>
      <t>Fβ</t>
    </r>
  </si>
  <si>
    <r>
      <rPr>
        <sz val="12"/>
        <rFont val="Times New Roman"/>
        <family val="1"/>
      </rPr>
      <t>K</t>
    </r>
    <r>
      <rPr>
        <sz val="8"/>
        <rFont val="Times New Roman"/>
        <family val="1"/>
      </rPr>
      <t>H</t>
    </r>
    <r>
      <rPr>
        <sz val="9"/>
        <rFont val="宋体"/>
        <charset val="134"/>
      </rPr>
      <t>α</t>
    </r>
    <r>
      <rPr>
        <sz val="9"/>
        <rFont val="Times New Roman"/>
        <family val="1"/>
      </rPr>
      <t>0</t>
    </r>
  </si>
  <si>
    <r>
      <rPr>
        <sz val="12"/>
        <rFont val="Times New Roman"/>
        <family val="1"/>
      </rPr>
      <t>K</t>
    </r>
    <r>
      <rPr>
        <sz val="8"/>
        <rFont val="Times New Roman"/>
        <family val="1"/>
      </rPr>
      <t>F</t>
    </r>
    <r>
      <rPr>
        <sz val="9"/>
        <rFont val="宋体"/>
        <charset val="134"/>
      </rPr>
      <t>α</t>
    </r>
    <r>
      <rPr>
        <sz val="9"/>
        <rFont val="Times New Roman"/>
        <family val="1"/>
      </rPr>
      <t>0</t>
    </r>
  </si>
  <si>
    <r>
      <rPr>
        <sz val="12"/>
        <rFont val="Times New Roman"/>
        <family val="1"/>
      </rPr>
      <t>C</t>
    </r>
    <r>
      <rPr>
        <sz val="8"/>
        <rFont val="Times New Roman"/>
        <family val="1"/>
      </rPr>
      <t>ZR</t>
    </r>
  </si>
  <si>
    <t>齿间载荷分布系数</t>
  </si>
  <si>
    <r>
      <rPr>
        <sz val="12"/>
        <rFont val="Times New Roman"/>
        <family val="1"/>
      </rPr>
      <t>K</t>
    </r>
    <r>
      <rPr>
        <sz val="8"/>
        <rFont val="Times New Roman"/>
        <family val="1"/>
      </rPr>
      <t>H</t>
    </r>
    <r>
      <rPr>
        <sz val="9"/>
        <rFont val="宋体"/>
        <charset val="134"/>
      </rPr>
      <t>α</t>
    </r>
  </si>
  <si>
    <r>
      <rPr>
        <sz val="12"/>
        <rFont val="Times New Roman"/>
        <family val="1"/>
      </rPr>
      <t>K</t>
    </r>
    <r>
      <rPr>
        <sz val="8"/>
        <rFont val="Times New Roman"/>
        <family val="1"/>
      </rPr>
      <t>F</t>
    </r>
    <r>
      <rPr>
        <sz val="9"/>
        <rFont val="宋体"/>
        <charset val="134"/>
      </rPr>
      <t>α</t>
    </r>
  </si>
  <si>
    <r>
      <rPr>
        <sz val="12"/>
        <rFont val="Times New Roman"/>
        <family val="1"/>
      </rPr>
      <t>C</t>
    </r>
    <r>
      <rPr>
        <sz val="8"/>
        <rFont val="Times New Roman"/>
        <family val="1"/>
      </rPr>
      <t>ZL</t>
    </r>
  </si>
  <si>
    <r>
      <rPr>
        <sz val="12"/>
        <rFont val="Times New Roman"/>
        <family val="1"/>
      </rPr>
      <t>C</t>
    </r>
    <r>
      <rPr>
        <sz val="8"/>
        <rFont val="Times New Roman"/>
        <family val="1"/>
      </rPr>
      <t>ZV</t>
    </r>
  </si>
  <si>
    <r>
      <rPr>
        <sz val="12"/>
        <rFont val="宋体"/>
        <charset val="134"/>
      </rPr>
      <t>υ</t>
    </r>
    <r>
      <rPr>
        <sz val="10"/>
        <rFont val="Times New Roman"/>
        <family val="1"/>
      </rPr>
      <t>40</t>
    </r>
  </si>
  <si>
    <r>
      <rPr>
        <sz val="10"/>
        <color indexed="12"/>
        <rFont val="宋体"/>
        <charset val="134"/>
      </rPr>
      <t>（</t>
    </r>
    <r>
      <rPr>
        <sz val="10"/>
        <color indexed="12"/>
        <rFont val="Times New Roman"/>
        <family val="1"/>
      </rPr>
      <t>N32</t>
    </r>
    <r>
      <rPr>
        <sz val="10"/>
        <color indexed="12"/>
        <rFont val="宋体"/>
        <charset val="134"/>
      </rPr>
      <t>普通机械油）</t>
    </r>
  </si>
  <si>
    <r>
      <rPr>
        <sz val="12"/>
        <rFont val="Times New Roman"/>
        <family val="1"/>
      </rPr>
      <t>Z</t>
    </r>
    <r>
      <rPr>
        <sz val="8"/>
        <rFont val="Times New Roman"/>
        <family val="1"/>
      </rPr>
      <t>H</t>
    </r>
  </si>
  <si>
    <r>
      <rPr>
        <sz val="12"/>
        <rFont val="Times New Roman"/>
        <family val="1"/>
      </rPr>
      <t>Z</t>
    </r>
    <r>
      <rPr>
        <sz val="8"/>
        <rFont val="Times New Roman"/>
        <family val="1"/>
      </rPr>
      <t>B</t>
    </r>
  </si>
  <si>
    <r>
      <rPr>
        <sz val="12"/>
        <rFont val="Times New Roman"/>
        <family val="1"/>
      </rPr>
      <t>Z</t>
    </r>
    <r>
      <rPr>
        <sz val="8"/>
        <rFont val="Times New Roman"/>
        <family val="1"/>
      </rPr>
      <t>E</t>
    </r>
  </si>
  <si>
    <r>
      <rPr>
        <sz val="12"/>
        <rFont val="Times New Roman"/>
        <family val="1"/>
      </rPr>
      <t>Z</t>
    </r>
    <r>
      <rPr>
        <sz val="10"/>
        <rFont val="宋体"/>
        <charset val="134"/>
      </rPr>
      <t>ε</t>
    </r>
  </si>
  <si>
    <r>
      <rPr>
        <sz val="12"/>
        <rFont val="Times New Roman"/>
        <family val="1"/>
      </rPr>
      <t>Z</t>
    </r>
    <r>
      <rPr>
        <sz val="10"/>
        <rFont val="宋体"/>
        <charset val="134"/>
      </rPr>
      <t>β</t>
    </r>
  </si>
  <si>
    <r>
      <rPr>
        <sz val="12"/>
        <rFont val="Times New Roman"/>
        <family val="1"/>
      </rPr>
      <t>Z</t>
    </r>
    <r>
      <rPr>
        <sz val="8"/>
        <rFont val="Times New Roman"/>
        <family val="1"/>
      </rPr>
      <t>K</t>
    </r>
  </si>
  <si>
    <r>
      <rPr>
        <sz val="12"/>
        <rFont val="Times New Roman"/>
        <family val="1"/>
      </rPr>
      <t>Z</t>
    </r>
    <r>
      <rPr>
        <sz val="8"/>
        <rFont val="Times New Roman"/>
        <family val="1"/>
      </rPr>
      <t>L</t>
    </r>
  </si>
  <si>
    <r>
      <rPr>
        <sz val="12"/>
        <rFont val="Times New Roman"/>
        <family val="1"/>
      </rPr>
      <t>Z</t>
    </r>
    <r>
      <rPr>
        <sz val="8"/>
        <rFont val="Times New Roman"/>
        <family val="1"/>
      </rPr>
      <t>V</t>
    </r>
  </si>
  <si>
    <r>
      <rPr>
        <sz val="12"/>
        <rFont val="Times New Roman"/>
        <family val="1"/>
      </rPr>
      <t>Z</t>
    </r>
    <r>
      <rPr>
        <sz val="8"/>
        <rFont val="Times New Roman"/>
        <family val="1"/>
      </rPr>
      <t>R</t>
    </r>
  </si>
  <si>
    <r>
      <rPr>
        <sz val="12"/>
        <rFont val="Times New Roman"/>
        <family val="1"/>
      </rPr>
      <t>Z</t>
    </r>
    <r>
      <rPr>
        <sz val="8"/>
        <rFont val="Times New Roman"/>
        <family val="1"/>
      </rPr>
      <t>X</t>
    </r>
  </si>
  <si>
    <t>试验齿轮接触疲劳极限</t>
  </si>
  <si>
    <r>
      <rPr>
        <sz val="12"/>
        <rFont val="宋体"/>
        <charset val="134"/>
      </rPr>
      <t>σ</t>
    </r>
    <r>
      <rPr>
        <sz val="9"/>
        <rFont val="宋体"/>
        <charset val="134"/>
      </rPr>
      <t>Hmin</t>
    </r>
  </si>
  <si>
    <t>N/mm2</t>
  </si>
  <si>
    <t>注：按合理的制造成本和中等质量考虑。</t>
  </si>
  <si>
    <t>接触强度最小安全系数</t>
  </si>
  <si>
    <r>
      <rPr>
        <sz val="12"/>
        <rFont val="宋体"/>
        <charset val="134"/>
      </rPr>
      <t>S</t>
    </r>
    <r>
      <rPr>
        <sz val="9"/>
        <rFont val="宋体"/>
        <charset val="134"/>
      </rPr>
      <t>Hmin</t>
    </r>
  </si>
  <si>
    <t>注：按失效概率低于 1/1000 考虑。</t>
  </si>
  <si>
    <r>
      <rPr>
        <sz val="12"/>
        <rFont val="宋体"/>
        <charset val="134"/>
      </rPr>
      <t>许</t>
    </r>
    <r>
      <rPr>
        <sz val="12"/>
        <rFont val="Times New Roman"/>
        <family val="1"/>
      </rPr>
      <t xml:space="preserve"> </t>
    </r>
    <r>
      <rPr>
        <sz val="12"/>
        <rFont val="宋体"/>
        <charset val="134"/>
      </rPr>
      <t>用</t>
    </r>
    <r>
      <rPr>
        <sz val="12"/>
        <rFont val="Times New Roman"/>
        <family val="1"/>
      </rPr>
      <t xml:space="preserve"> </t>
    </r>
    <r>
      <rPr>
        <sz val="12"/>
        <rFont val="宋体"/>
        <charset val="134"/>
      </rPr>
      <t>接</t>
    </r>
    <r>
      <rPr>
        <sz val="12"/>
        <rFont val="Times New Roman"/>
        <family val="1"/>
      </rPr>
      <t xml:space="preserve"> </t>
    </r>
    <r>
      <rPr>
        <sz val="12"/>
        <rFont val="宋体"/>
        <charset val="134"/>
      </rPr>
      <t>触</t>
    </r>
    <r>
      <rPr>
        <sz val="12"/>
        <rFont val="Times New Roman"/>
        <family val="1"/>
      </rPr>
      <t xml:space="preserve"> </t>
    </r>
    <r>
      <rPr>
        <sz val="12"/>
        <rFont val="宋体"/>
        <charset val="134"/>
      </rPr>
      <t>应</t>
    </r>
    <r>
      <rPr>
        <sz val="12"/>
        <rFont val="Times New Roman"/>
        <family val="1"/>
      </rPr>
      <t xml:space="preserve"> </t>
    </r>
    <r>
      <rPr>
        <sz val="12"/>
        <rFont val="宋体"/>
        <charset val="134"/>
      </rPr>
      <t>力</t>
    </r>
  </si>
  <si>
    <r>
      <rPr>
        <sz val="12"/>
        <rFont val="宋体"/>
        <charset val="134"/>
      </rPr>
      <t>σ</t>
    </r>
    <r>
      <rPr>
        <sz val="9"/>
        <rFont val="宋体"/>
        <charset val="134"/>
      </rPr>
      <t>HP</t>
    </r>
  </si>
  <si>
    <r>
      <rPr>
        <sz val="12"/>
        <rFont val="宋体"/>
        <charset val="134"/>
      </rPr>
      <t>σ</t>
    </r>
    <r>
      <rPr>
        <sz val="9"/>
        <rFont val="宋体"/>
        <charset val="134"/>
      </rPr>
      <t>H0</t>
    </r>
  </si>
  <si>
    <r>
      <rPr>
        <sz val="12"/>
        <rFont val="宋体"/>
        <charset val="134"/>
      </rPr>
      <t>计</t>
    </r>
    <r>
      <rPr>
        <sz val="12"/>
        <rFont val="Times New Roman"/>
        <family val="1"/>
      </rPr>
      <t xml:space="preserve"> </t>
    </r>
    <r>
      <rPr>
        <sz val="12"/>
        <rFont val="宋体"/>
        <charset val="134"/>
      </rPr>
      <t>算</t>
    </r>
    <r>
      <rPr>
        <sz val="12"/>
        <rFont val="Times New Roman"/>
        <family val="1"/>
      </rPr>
      <t xml:space="preserve"> </t>
    </r>
    <r>
      <rPr>
        <sz val="12"/>
        <rFont val="宋体"/>
        <charset val="134"/>
      </rPr>
      <t>接</t>
    </r>
    <r>
      <rPr>
        <sz val="12"/>
        <rFont val="Times New Roman"/>
        <family val="1"/>
      </rPr>
      <t xml:space="preserve"> </t>
    </r>
    <r>
      <rPr>
        <sz val="12"/>
        <rFont val="宋体"/>
        <charset val="134"/>
      </rPr>
      <t>触</t>
    </r>
    <r>
      <rPr>
        <sz val="12"/>
        <rFont val="Times New Roman"/>
        <family val="1"/>
      </rPr>
      <t xml:space="preserve"> </t>
    </r>
    <r>
      <rPr>
        <sz val="12"/>
        <rFont val="宋体"/>
        <charset val="134"/>
      </rPr>
      <t>应</t>
    </r>
    <r>
      <rPr>
        <sz val="12"/>
        <rFont val="Times New Roman"/>
        <family val="1"/>
      </rPr>
      <t xml:space="preserve"> </t>
    </r>
    <r>
      <rPr>
        <sz val="12"/>
        <rFont val="宋体"/>
        <charset val="134"/>
      </rPr>
      <t>力</t>
    </r>
  </si>
  <si>
    <r>
      <rPr>
        <sz val="12"/>
        <rFont val="宋体"/>
        <charset val="134"/>
      </rPr>
      <t>σ</t>
    </r>
    <r>
      <rPr>
        <sz val="9"/>
        <rFont val="宋体"/>
        <charset val="134"/>
      </rPr>
      <t>H</t>
    </r>
  </si>
  <si>
    <t>接触强度计算安全系数</t>
  </si>
  <si>
    <r>
      <rPr>
        <sz val="12"/>
        <rFont val="Times New Roman"/>
        <family val="1"/>
      </rPr>
      <t>S</t>
    </r>
    <r>
      <rPr>
        <sz val="8"/>
        <rFont val="Times New Roman"/>
        <family val="1"/>
      </rPr>
      <t>H</t>
    </r>
  </si>
  <si>
    <t>小齿轮：</t>
  </si>
  <si>
    <t>大齿轮：</t>
  </si>
  <si>
    <t>θ</t>
  </si>
  <si>
    <r>
      <rPr>
        <sz val="9"/>
        <rFont val="Times New Roman"/>
        <family val="1"/>
      </rPr>
      <t>S</t>
    </r>
    <r>
      <rPr>
        <sz val="8"/>
        <rFont val="Times New Roman"/>
        <family val="1"/>
      </rPr>
      <t>Fn</t>
    </r>
    <r>
      <rPr>
        <sz val="10"/>
        <rFont val="Times New Roman"/>
        <family val="1"/>
      </rPr>
      <t>/m</t>
    </r>
    <r>
      <rPr>
        <sz val="8"/>
        <rFont val="Times New Roman"/>
        <family val="1"/>
      </rPr>
      <t>mn</t>
    </r>
  </si>
  <si>
    <r>
      <rPr>
        <sz val="9"/>
        <rFont val="宋体"/>
        <charset val="134"/>
      </rPr>
      <t>ρf</t>
    </r>
    <r>
      <rPr>
        <sz val="10"/>
        <rFont val="Times New Roman"/>
        <family val="1"/>
      </rPr>
      <t>/m</t>
    </r>
    <r>
      <rPr>
        <sz val="8"/>
        <rFont val="Times New Roman"/>
        <family val="1"/>
      </rPr>
      <t>mn</t>
    </r>
  </si>
  <si>
    <r>
      <rPr>
        <sz val="12"/>
        <rFont val="宋体"/>
        <charset val="134"/>
      </rPr>
      <t>α</t>
    </r>
    <r>
      <rPr>
        <sz val="10"/>
        <rFont val="宋体"/>
        <charset val="134"/>
      </rPr>
      <t>an</t>
    </r>
  </si>
  <si>
    <r>
      <rPr>
        <sz val="12"/>
        <rFont val="宋体"/>
        <charset val="134"/>
      </rPr>
      <t>γ</t>
    </r>
    <r>
      <rPr>
        <sz val="10"/>
        <rFont val="Times New Roman"/>
        <family val="1"/>
      </rPr>
      <t>a</t>
    </r>
  </si>
  <si>
    <r>
      <rPr>
        <sz val="12"/>
        <rFont val="宋体"/>
        <charset val="134"/>
      </rPr>
      <t>α</t>
    </r>
    <r>
      <rPr>
        <sz val="8"/>
        <rFont val="宋体"/>
        <charset val="134"/>
      </rPr>
      <t>F</t>
    </r>
    <r>
      <rPr>
        <sz val="10"/>
        <rFont val="宋体"/>
        <charset val="134"/>
      </rPr>
      <t>an</t>
    </r>
  </si>
  <si>
    <r>
      <rPr>
        <sz val="12"/>
        <rFont val="Times New Roman"/>
        <family val="1"/>
      </rPr>
      <t>h</t>
    </r>
    <r>
      <rPr>
        <sz val="8"/>
        <rFont val="Times New Roman"/>
        <family val="1"/>
      </rPr>
      <t>Fa</t>
    </r>
    <r>
      <rPr>
        <sz val="10"/>
        <rFont val="Times New Roman"/>
        <family val="1"/>
      </rPr>
      <t>/m</t>
    </r>
    <r>
      <rPr>
        <sz val="8"/>
        <rFont val="Times New Roman"/>
        <family val="1"/>
      </rPr>
      <t>mn</t>
    </r>
  </si>
  <si>
    <t>X*</t>
  </si>
  <si>
    <r>
      <rPr>
        <sz val="12"/>
        <rFont val="宋体"/>
        <charset val="134"/>
      </rPr>
      <t>ρ</t>
    </r>
    <r>
      <rPr>
        <sz val="12"/>
        <rFont val="Times New Roman"/>
        <family val="1"/>
      </rPr>
      <t>'</t>
    </r>
  </si>
  <si>
    <r>
      <rPr>
        <sz val="12"/>
        <rFont val="宋体"/>
        <charset val="134"/>
      </rPr>
      <t>齿形系数</t>
    </r>
    <r>
      <rPr>
        <sz val="10"/>
        <rFont val="宋体"/>
        <charset val="134"/>
      </rPr>
      <t>（展成法）</t>
    </r>
  </si>
  <si>
    <r>
      <rPr>
        <sz val="12"/>
        <rFont val="Times New Roman"/>
        <family val="1"/>
      </rPr>
      <t>Y</t>
    </r>
    <r>
      <rPr>
        <sz val="10"/>
        <rFont val="Times New Roman"/>
        <family val="1"/>
      </rPr>
      <t>fa</t>
    </r>
  </si>
  <si>
    <r>
      <rPr>
        <sz val="12"/>
        <rFont val="Times New Roman"/>
        <family val="1"/>
      </rPr>
      <t>Y</t>
    </r>
    <r>
      <rPr>
        <sz val="10"/>
        <rFont val="Times New Roman"/>
        <family val="1"/>
      </rPr>
      <t>sa</t>
    </r>
  </si>
  <si>
    <r>
      <rPr>
        <sz val="12"/>
        <rFont val="Times New Roman"/>
        <family val="1"/>
      </rPr>
      <t>Y</t>
    </r>
    <r>
      <rPr>
        <sz val="10"/>
        <rFont val="宋体"/>
        <charset val="134"/>
      </rPr>
      <t>ε</t>
    </r>
  </si>
  <si>
    <r>
      <rPr>
        <sz val="12"/>
        <rFont val="Times New Roman"/>
        <family val="1"/>
      </rPr>
      <t>Y</t>
    </r>
    <r>
      <rPr>
        <sz val="9"/>
        <rFont val="宋体"/>
        <charset val="134"/>
      </rPr>
      <t>β</t>
    </r>
  </si>
  <si>
    <r>
      <rPr>
        <sz val="12"/>
        <rFont val="Times New Roman"/>
        <family val="1"/>
      </rPr>
      <t>Y</t>
    </r>
    <r>
      <rPr>
        <sz val="8"/>
        <rFont val="Times New Roman"/>
        <family val="1"/>
      </rPr>
      <t>K</t>
    </r>
  </si>
  <si>
    <r>
      <rPr>
        <sz val="12"/>
        <rFont val="宋体"/>
        <charset val="134"/>
      </rPr>
      <t>Y</t>
    </r>
    <r>
      <rPr>
        <sz val="8"/>
        <rFont val="宋体"/>
        <charset val="134"/>
      </rPr>
      <t>δ</t>
    </r>
    <r>
      <rPr>
        <sz val="9"/>
        <rFont val="宋体"/>
        <charset val="134"/>
      </rPr>
      <t>relT</t>
    </r>
  </si>
  <si>
    <r>
      <rPr>
        <sz val="12"/>
        <rFont val="宋体"/>
        <charset val="134"/>
      </rPr>
      <t>Y</t>
    </r>
    <r>
      <rPr>
        <sz val="8"/>
        <rFont val="宋体"/>
        <charset val="134"/>
      </rPr>
      <t>R</t>
    </r>
    <r>
      <rPr>
        <sz val="9"/>
        <rFont val="宋体"/>
        <charset val="134"/>
      </rPr>
      <t>relT</t>
    </r>
  </si>
  <si>
    <r>
      <rPr>
        <sz val="12"/>
        <rFont val="Times New Roman"/>
        <family val="1"/>
      </rPr>
      <t>Y</t>
    </r>
    <r>
      <rPr>
        <sz val="8"/>
        <rFont val="Times New Roman"/>
        <family val="1"/>
      </rPr>
      <t>X</t>
    </r>
  </si>
  <si>
    <t>试验齿轮弯曲疲劳极限</t>
  </si>
  <si>
    <r>
      <rPr>
        <sz val="12"/>
        <rFont val="宋体"/>
        <charset val="134"/>
      </rPr>
      <t>σ</t>
    </r>
    <r>
      <rPr>
        <sz val="9"/>
        <rFont val="宋体"/>
        <charset val="134"/>
      </rPr>
      <t>Fmin</t>
    </r>
  </si>
  <si>
    <t>弯曲强度最小安全系数</t>
  </si>
  <si>
    <r>
      <rPr>
        <sz val="12"/>
        <rFont val="宋体"/>
        <charset val="134"/>
      </rPr>
      <t>S</t>
    </r>
    <r>
      <rPr>
        <sz val="9"/>
        <rFont val="宋体"/>
        <charset val="134"/>
      </rPr>
      <t>Fmin</t>
    </r>
  </si>
  <si>
    <r>
      <rPr>
        <sz val="10"/>
        <color indexed="12"/>
        <rFont val="宋体"/>
        <charset val="134"/>
      </rPr>
      <t>注：按失效概率低于</t>
    </r>
    <r>
      <rPr>
        <sz val="10"/>
        <color indexed="12"/>
        <rFont val="Times New Roman"/>
        <family val="1"/>
      </rPr>
      <t xml:space="preserve"> 1/1000 </t>
    </r>
    <r>
      <rPr>
        <sz val="10"/>
        <color indexed="12"/>
        <rFont val="宋体"/>
        <charset val="134"/>
      </rPr>
      <t>考虑。</t>
    </r>
  </si>
  <si>
    <r>
      <rPr>
        <sz val="12"/>
        <rFont val="宋体"/>
        <charset val="134"/>
      </rPr>
      <t>许</t>
    </r>
    <r>
      <rPr>
        <sz val="12"/>
        <rFont val="Times New Roman"/>
        <family val="1"/>
      </rPr>
      <t xml:space="preserve"> </t>
    </r>
    <r>
      <rPr>
        <sz val="12"/>
        <rFont val="宋体"/>
        <charset val="134"/>
      </rPr>
      <t>用</t>
    </r>
    <r>
      <rPr>
        <sz val="12"/>
        <rFont val="Times New Roman"/>
        <family val="1"/>
      </rPr>
      <t xml:space="preserve"> </t>
    </r>
    <r>
      <rPr>
        <sz val="12"/>
        <rFont val="宋体"/>
        <charset val="134"/>
      </rPr>
      <t>齿</t>
    </r>
    <r>
      <rPr>
        <sz val="12"/>
        <rFont val="Times New Roman"/>
        <family val="1"/>
      </rPr>
      <t xml:space="preserve"> </t>
    </r>
    <r>
      <rPr>
        <sz val="12"/>
        <rFont val="宋体"/>
        <charset val="134"/>
      </rPr>
      <t>根</t>
    </r>
    <r>
      <rPr>
        <sz val="12"/>
        <rFont val="Times New Roman"/>
        <family val="1"/>
      </rPr>
      <t xml:space="preserve"> </t>
    </r>
    <r>
      <rPr>
        <sz val="12"/>
        <rFont val="宋体"/>
        <charset val="134"/>
      </rPr>
      <t>应</t>
    </r>
    <r>
      <rPr>
        <sz val="12"/>
        <rFont val="Times New Roman"/>
        <family val="1"/>
      </rPr>
      <t xml:space="preserve"> </t>
    </r>
    <r>
      <rPr>
        <sz val="12"/>
        <rFont val="宋体"/>
        <charset val="134"/>
      </rPr>
      <t>力</t>
    </r>
  </si>
  <si>
    <r>
      <rPr>
        <sz val="12"/>
        <rFont val="宋体"/>
        <charset val="134"/>
      </rPr>
      <t>σ</t>
    </r>
    <r>
      <rPr>
        <sz val="9"/>
        <rFont val="宋体"/>
        <charset val="134"/>
      </rPr>
      <t>FP</t>
    </r>
  </si>
  <si>
    <r>
      <rPr>
        <sz val="12"/>
        <rFont val="宋体"/>
        <charset val="134"/>
      </rPr>
      <t>σ</t>
    </r>
    <r>
      <rPr>
        <sz val="9"/>
        <rFont val="宋体"/>
        <charset val="134"/>
      </rPr>
      <t>F0</t>
    </r>
  </si>
  <si>
    <r>
      <rPr>
        <sz val="12"/>
        <rFont val="宋体"/>
        <charset val="134"/>
      </rPr>
      <t>计</t>
    </r>
    <r>
      <rPr>
        <sz val="12"/>
        <rFont val="Times New Roman"/>
        <family val="1"/>
      </rPr>
      <t xml:space="preserve"> </t>
    </r>
    <r>
      <rPr>
        <sz val="12"/>
        <rFont val="宋体"/>
        <charset val="134"/>
      </rPr>
      <t>算</t>
    </r>
    <r>
      <rPr>
        <sz val="12"/>
        <rFont val="Times New Roman"/>
        <family val="1"/>
      </rPr>
      <t xml:space="preserve"> </t>
    </r>
    <r>
      <rPr>
        <sz val="12"/>
        <rFont val="宋体"/>
        <charset val="134"/>
      </rPr>
      <t>齿</t>
    </r>
    <r>
      <rPr>
        <sz val="12"/>
        <rFont val="Times New Roman"/>
        <family val="1"/>
      </rPr>
      <t xml:space="preserve"> </t>
    </r>
    <r>
      <rPr>
        <sz val="12"/>
        <rFont val="宋体"/>
        <charset val="134"/>
      </rPr>
      <t>根</t>
    </r>
    <r>
      <rPr>
        <sz val="12"/>
        <rFont val="Times New Roman"/>
        <family val="1"/>
      </rPr>
      <t xml:space="preserve"> </t>
    </r>
    <r>
      <rPr>
        <sz val="12"/>
        <rFont val="宋体"/>
        <charset val="134"/>
      </rPr>
      <t>应</t>
    </r>
    <r>
      <rPr>
        <sz val="12"/>
        <rFont val="Times New Roman"/>
        <family val="1"/>
      </rPr>
      <t xml:space="preserve"> </t>
    </r>
    <r>
      <rPr>
        <sz val="12"/>
        <rFont val="宋体"/>
        <charset val="134"/>
      </rPr>
      <t>力</t>
    </r>
  </si>
  <si>
    <r>
      <rPr>
        <sz val="12"/>
        <rFont val="宋体"/>
        <charset val="134"/>
      </rPr>
      <t>σ</t>
    </r>
    <r>
      <rPr>
        <sz val="9"/>
        <rFont val="宋体"/>
        <charset val="134"/>
      </rPr>
      <t>F</t>
    </r>
  </si>
  <si>
    <t>弯曲强度计算安全系数</t>
  </si>
  <si>
    <r>
      <rPr>
        <sz val="12"/>
        <rFont val="Times New Roman"/>
        <family val="1"/>
      </rPr>
      <t>S</t>
    </r>
    <r>
      <rPr>
        <sz val="8"/>
        <rFont val="Times New Roman"/>
        <family val="1"/>
      </rPr>
      <t>F</t>
    </r>
  </si>
  <si>
    <r>
      <rPr>
        <sz val="10"/>
        <color indexed="10"/>
        <rFont val="宋体"/>
        <charset val="134"/>
      </rPr>
      <t>以下是输出数据，请打印：</t>
    </r>
    <r>
      <rPr>
        <sz val="10"/>
        <color indexed="10"/>
        <rFont val="Times New Roman"/>
        <family val="1"/>
      </rPr>
      <t>***************************************************************</t>
    </r>
  </si>
  <si>
    <r>
      <rPr>
        <b/>
        <sz val="18"/>
        <rFont val="Times New Roman"/>
        <family val="1"/>
      </rPr>
      <t xml:space="preserve">    </t>
    </r>
    <r>
      <rPr>
        <b/>
        <sz val="18"/>
        <rFont val="宋体"/>
        <charset val="134"/>
      </rPr>
      <t>锥齿轮传动计算卡</t>
    </r>
  </si>
  <si>
    <r>
      <rPr>
        <b/>
        <sz val="12"/>
        <rFont val="宋体"/>
        <charset val="134"/>
      </rPr>
      <t>小</t>
    </r>
    <r>
      <rPr>
        <b/>
        <sz val="12"/>
        <rFont val="Times New Roman"/>
        <family val="1"/>
      </rPr>
      <t xml:space="preserve">    </t>
    </r>
    <r>
      <rPr>
        <b/>
        <sz val="12"/>
        <rFont val="宋体"/>
        <charset val="134"/>
      </rPr>
      <t>轮</t>
    </r>
  </si>
  <si>
    <r>
      <rPr>
        <b/>
        <sz val="12"/>
        <rFont val="宋体"/>
        <charset val="134"/>
      </rPr>
      <t>大</t>
    </r>
    <r>
      <rPr>
        <b/>
        <sz val="12"/>
        <rFont val="Times New Roman"/>
        <family val="1"/>
      </rPr>
      <t xml:space="preserve">    </t>
    </r>
    <r>
      <rPr>
        <b/>
        <sz val="12"/>
        <rFont val="宋体"/>
        <charset val="134"/>
      </rPr>
      <t>轮</t>
    </r>
  </si>
  <si>
    <r>
      <rPr>
        <sz val="12"/>
        <rFont val="宋体"/>
        <charset val="134"/>
      </rPr>
      <t>大</t>
    </r>
    <r>
      <rPr>
        <sz val="12"/>
        <rFont val="Times New Roman"/>
        <family val="1"/>
      </rPr>
      <t xml:space="preserve"> </t>
    </r>
    <r>
      <rPr>
        <sz val="12"/>
        <rFont val="宋体"/>
        <charset val="134"/>
      </rPr>
      <t>端</t>
    </r>
    <r>
      <rPr>
        <sz val="12"/>
        <rFont val="Times New Roman"/>
        <family val="1"/>
      </rPr>
      <t xml:space="preserve"> </t>
    </r>
    <r>
      <rPr>
        <sz val="12"/>
        <rFont val="宋体"/>
        <charset val="134"/>
      </rPr>
      <t>端</t>
    </r>
    <r>
      <rPr>
        <sz val="12"/>
        <rFont val="Times New Roman"/>
        <family val="1"/>
      </rPr>
      <t xml:space="preserve"> </t>
    </r>
    <r>
      <rPr>
        <sz val="12"/>
        <rFont val="宋体"/>
        <charset val="134"/>
      </rPr>
      <t>面</t>
    </r>
    <r>
      <rPr>
        <sz val="12"/>
        <rFont val="Times New Roman"/>
        <family val="1"/>
      </rPr>
      <t xml:space="preserve"> </t>
    </r>
    <r>
      <rPr>
        <sz val="12"/>
        <rFont val="宋体"/>
        <charset val="134"/>
      </rPr>
      <t>模</t>
    </r>
    <r>
      <rPr>
        <sz val="12"/>
        <rFont val="Times New Roman"/>
        <family val="1"/>
      </rPr>
      <t xml:space="preserve"> </t>
    </r>
    <r>
      <rPr>
        <sz val="12"/>
        <rFont val="宋体"/>
        <charset val="134"/>
      </rPr>
      <t>数</t>
    </r>
  </si>
  <si>
    <r>
      <rPr>
        <sz val="12"/>
        <rFont val="宋体"/>
        <charset val="134"/>
      </rPr>
      <t>轴</t>
    </r>
    <r>
      <rPr>
        <sz val="12"/>
        <rFont val="Times New Roman"/>
        <family val="1"/>
      </rPr>
      <t xml:space="preserve">        </t>
    </r>
    <r>
      <rPr>
        <sz val="12"/>
        <rFont val="宋体"/>
        <charset val="134"/>
      </rPr>
      <t>交</t>
    </r>
    <r>
      <rPr>
        <sz val="12"/>
        <rFont val="Times New Roman"/>
        <family val="1"/>
      </rPr>
      <t xml:space="preserve">        </t>
    </r>
    <r>
      <rPr>
        <sz val="12"/>
        <rFont val="宋体"/>
        <charset val="134"/>
      </rPr>
      <t>角</t>
    </r>
  </si>
  <si>
    <r>
      <rPr>
        <sz val="12"/>
        <rFont val="宋体"/>
        <charset val="134"/>
      </rPr>
      <t>齿</t>
    </r>
    <r>
      <rPr>
        <sz val="12"/>
        <rFont val="Times New Roman"/>
        <family val="1"/>
      </rPr>
      <t xml:space="preserve">          </t>
    </r>
    <r>
      <rPr>
        <sz val="12"/>
        <rFont val="宋体"/>
        <charset val="134"/>
      </rPr>
      <t xml:space="preserve"> </t>
    </r>
    <r>
      <rPr>
        <sz val="12"/>
        <rFont val="Times New Roman"/>
        <family val="1"/>
      </rPr>
      <t xml:space="preserve">        </t>
    </r>
    <r>
      <rPr>
        <sz val="12"/>
        <rFont val="宋体"/>
        <charset val="134"/>
      </rPr>
      <t>宽</t>
    </r>
  </si>
  <si>
    <r>
      <rPr>
        <sz val="12"/>
        <rFont val="Times New Roman"/>
        <family val="1"/>
      </rPr>
      <t>x</t>
    </r>
    <r>
      <rPr>
        <sz val="10"/>
        <rFont val="Times New Roman"/>
        <family val="1"/>
      </rPr>
      <t>t</t>
    </r>
  </si>
  <si>
    <r>
      <rPr>
        <sz val="12"/>
        <rFont val="宋体"/>
        <charset val="134"/>
      </rPr>
      <t>工</t>
    </r>
    <r>
      <rPr>
        <sz val="12"/>
        <rFont val="Times New Roman"/>
        <family val="1"/>
      </rPr>
      <t xml:space="preserve"> </t>
    </r>
    <r>
      <rPr>
        <sz val="12"/>
        <rFont val="宋体"/>
        <charset val="134"/>
      </rPr>
      <t>作</t>
    </r>
    <r>
      <rPr>
        <sz val="12"/>
        <rFont val="Times New Roman"/>
        <family val="1"/>
      </rPr>
      <t xml:space="preserve"> </t>
    </r>
    <r>
      <rPr>
        <sz val="12"/>
        <rFont val="宋体"/>
        <charset val="134"/>
      </rPr>
      <t>齿</t>
    </r>
    <r>
      <rPr>
        <sz val="12"/>
        <rFont val="Times New Roman"/>
        <family val="1"/>
      </rPr>
      <t xml:space="preserve"> </t>
    </r>
    <r>
      <rPr>
        <sz val="12"/>
        <rFont val="宋体"/>
        <charset val="134"/>
      </rPr>
      <t>高</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</si>
  <si>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宋体"/>
        <charset val="134"/>
      </rPr>
      <t>顶</t>
    </r>
    <r>
      <rPr>
        <sz val="12"/>
        <rFont val="Times New Roman"/>
        <family val="1"/>
      </rPr>
      <t xml:space="preserve">    </t>
    </r>
    <r>
      <rPr>
        <sz val="12"/>
        <rFont val="宋体"/>
        <charset val="134"/>
      </rPr>
      <t xml:space="preserve">隙 </t>
    </r>
    <r>
      <rPr>
        <sz val="12"/>
        <rFont val="Times New Roman"/>
        <family val="1"/>
      </rPr>
      <t xml:space="preserve">   </t>
    </r>
    <r>
      <rPr>
        <sz val="12"/>
        <rFont val="宋体"/>
        <charset val="134"/>
      </rPr>
      <t xml:space="preserve">系 </t>
    </r>
    <r>
      <rPr>
        <sz val="12"/>
        <rFont val="Times New Roman"/>
        <family val="1"/>
      </rPr>
      <t xml:space="preserve">  </t>
    </r>
    <r>
      <rPr>
        <sz val="12"/>
        <rFont val="宋体"/>
        <charset val="134"/>
      </rPr>
      <t>数</t>
    </r>
  </si>
  <si>
    <r>
      <rPr>
        <sz val="12"/>
        <rFont val="宋体"/>
        <charset val="134"/>
      </rPr>
      <t>高</t>
    </r>
    <r>
      <rPr>
        <sz val="12"/>
        <rFont val="Times New Roman"/>
        <family val="1"/>
      </rPr>
      <t xml:space="preserve"> </t>
    </r>
    <r>
      <rPr>
        <sz val="12"/>
        <rFont val="宋体"/>
        <charset val="134"/>
      </rPr>
      <t>度</t>
    </r>
    <r>
      <rPr>
        <sz val="12"/>
        <rFont val="Times New Roman"/>
        <family val="1"/>
      </rPr>
      <t xml:space="preserve"> </t>
    </r>
    <r>
      <rPr>
        <sz val="12"/>
        <rFont val="宋体"/>
        <charset val="134"/>
      </rPr>
      <t>变</t>
    </r>
    <r>
      <rPr>
        <sz val="12"/>
        <rFont val="Times New Roman"/>
        <family val="1"/>
      </rPr>
      <t xml:space="preserve"> </t>
    </r>
    <r>
      <rPr>
        <sz val="12"/>
        <rFont val="宋体"/>
        <charset val="134"/>
      </rPr>
      <t>位</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</si>
  <si>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宋体"/>
        <charset val="134"/>
      </rPr>
      <t>切</t>
    </r>
    <r>
      <rPr>
        <sz val="12"/>
        <rFont val="Times New Roman"/>
        <family val="1"/>
      </rPr>
      <t xml:space="preserve"> </t>
    </r>
    <r>
      <rPr>
        <sz val="12"/>
        <rFont val="宋体"/>
        <charset val="134"/>
      </rPr>
      <t>向</t>
    </r>
    <r>
      <rPr>
        <sz val="12"/>
        <rFont val="Times New Roman"/>
        <family val="1"/>
      </rPr>
      <t xml:space="preserve"> </t>
    </r>
    <r>
      <rPr>
        <sz val="12"/>
        <rFont val="宋体"/>
        <charset val="134"/>
      </rPr>
      <t>变</t>
    </r>
    <r>
      <rPr>
        <sz val="12"/>
        <rFont val="Times New Roman"/>
        <family val="1"/>
      </rPr>
      <t xml:space="preserve"> </t>
    </r>
    <r>
      <rPr>
        <sz val="12"/>
        <rFont val="宋体"/>
        <charset val="134"/>
      </rPr>
      <t>位</t>
    </r>
    <r>
      <rPr>
        <sz val="12"/>
        <rFont val="Times New Roman"/>
        <family val="1"/>
      </rPr>
      <t xml:space="preserve"> </t>
    </r>
    <r>
      <rPr>
        <sz val="12"/>
        <rFont val="宋体"/>
        <charset val="134"/>
      </rPr>
      <t>系</t>
    </r>
    <r>
      <rPr>
        <sz val="12"/>
        <rFont val="Times New Roman"/>
        <family val="1"/>
      </rPr>
      <t xml:space="preserve"> </t>
    </r>
    <r>
      <rPr>
        <sz val="12"/>
        <rFont val="宋体"/>
        <charset val="134"/>
      </rPr>
      <t>数</t>
    </r>
  </si>
  <si>
    <r>
      <rPr>
        <sz val="12"/>
        <rFont val="Times New Roman"/>
        <family val="1"/>
      </rPr>
      <t>x</t>
    </r>
    <r>
      <rPr>
        <sz val="10"/>
        <rFont val="Times New Roman"/>
        <family val="1"/>
      </rPr>
      <t>s</t>
    </r>
  </si>
  <si>
    <r>
      <rPr>
        <sz val="12"/>
        <rFont val="宋体"/>
        <charset val="134"/>
      </rPr>
      <t>外</t>
    </r>
    <r>
      <rPr>
        <sz val="12"/>
        <rFont val="Times New Roman"/>
        <family val="1"/>
      </rPr>
      <t xml:space="preserve">        </t>
    </r>
    <r>
      <rPr>
        <sz val="12"/>
        <rFont val="宋体"/>
        <charset val="134"/>
      </rPr>
      <t>锥</t>
    </r>
    <r>
      <rPr>
        <sz val="12"/>
        <rFont val="Times New Roman"/>
        <family val="1"/>
      </rPr>
      <t xml:space="preserve">        </t>
    </r>
    <r>
      <rPr>
        <sz val="12"/>
        <rFont val="宋体"/>
        <charset val="134"/>
      </rPr>
      <t>距</t>
    </r>
  </si>
  <si>
    <r>
      <rPr>
        <sz val="12"/>
        <rFont val="宋体"/>
        <charset val="134"/>
      </rPr>
      <t>分</t>
    </r>
    <r>
      <rPr>
        <sz val="12"/>
        <rFont val="Times New Roman"/>
        <family val="1"/>
      </rPr>
      <t xml:space="preserve">  </t>
    </r>
    <r>
      <rPr>
        <sz val="12"/>
        <rFont val="宋体"/>
        <charset val="134"/>
      </rPr>
      <t>度</t>
    </r>
    <r>
      <rPr>
        <sz val="12"/>
        <rFont val="Times New Roman"/>
        <family val="1"/>
      </rPr>
      <t xml:space="preserve">  </t>
    </r>
    <r>
      <rPr>
        <sz val="12"/>
        <rFont val="宋体"/>
        <charset val="134"/>
      </rPr>
      <t>圆</t>
    </r>
    <r>
      <rPr>
        <sz val="12"/>
        <rFont val="Times New Roman"/>
        <family val="1"/>
      </rPr>
      <t xml:space="preserve">  </t>
    </r>
    <r>
      <rPr>
        <sz val="12"/>
        <rFont val="宋体"/>
        <charset val="134"/>
      </rPr>
      <t>锥</t>
    </r>
    <r>
      <rPr>
        <sz val="12"/>
        <rFont val="Times New Roman"/>
        <family val="1"/>
      </rPr>
      <t xml:space="preserve">  </t>
    </r>
    <r>
      <rPr>
        <sz val="12"/>
        <rFont val="宋体"/>
        <charset val="134"/>
      </rPr>
      <t>角</t>
    </r>
  </si>
  <si>
    <r>
      <rPr>
        <sz val="12"/>
        <rFont val="Times New Roman"/>
        <family val="1"/>
      </rPr>
      <t xml:space="preserve"> </t>
    </r>
    <r>
      <rPr>
        <sz val="12"/>
        <rFont val="宋体"/>
        <charset val="134"/>
      </rPr>
      <t>顶锥角</t>
    </r>
    <r>
      <rPr>
        <sz val="12"/>
        <rFont val="Times New Roman"/>
        <family val="1"/>
      </rPr>
      <t xml:space="preserve">  （等顶隙）</t>
    </r>
  </si>
  <si>
    <r>
      <rPr>
        <sz val="12"/>
        <rFont val="宋体"/>
        <charset val="134"/>
      </rPr>
      <t>δ</t>
    </r>
    <r>
      <rPr>
        <sz val="10"/>
        <rFont val="Times New Roman"/>
        <family val="1"/>
      </rPr>
      <t>a</t>
    </r>
  </si>
  <si>
    <r>
      <rPr>
        <sz val="12"/>
        <rFont val="宋体"/>
        <charset val="134"/>
      </rPr>
      <t>根</t>
    </r>
    <r>
      <rPr>
        <sz val="12"/>
        <rFont val="Times New Roman"/>
        <family val="1"/>
      </rPr>
      <t xml:space="preserve">        </t>
    </r>
    <r>
      <rPr>
        <sz val="12"/>
        <rFont val="宋体"/>
        <charset val="134"/>
      </rPr>
      <t>锥</t>
    </r>
    <r>
      <rPr>
        <sz val="12"/>
        <rFont val="Times New Roman"/>
        <family val="1"/>
      </rPr>
      <t xml:space="preserve">        角</t>
    </r>
  </si>
  <si>
    <r>
      <rPr>
        <sz val="12"/>
        <rFont val="宋体"/>
        <charset val="134"/>
      </rPr>
      <t>δ</t>
    </r>
    <r>
      <rPr>
        <sz val="10"/>
        <rFont val="Times New Roman"/>
        <family val="1"/>
      </rPr>
      <t>f</t>
    </r>
  </si>
  <si>
    <r>
      <rPr>
        <sz val="12"/>
        <rFont val="Times New Roman"/>
        <family val="1"/>
      </rPr>
      <t>h</t>
    </r>
    <r>
      <rPr>
        <sz val="10"/>
        <rFont val="Times New Roman"/>
        <family val="1"/>
      </rPr>
      <t>a</t>
    </r>
  </si>
  <si>
    <r>
      <rPr>
        <sz val="12"/>
        <rFont val="Times New Roman"/>
        <family val="1"/>
      </rPr>
      <t>h</t>
    </r>
    <r>
      <rPr>
        <sz val="10"/>
        <rFont val="Times New Roman"/>
        <family val="1"/>
      </rPr>
      <t>f</t>
    </r>
  </si>
  <si>
    <r>
      <rPr>
        <sz val="12"/>
        <rFont val="Times New Roman"/>
        <family val="1"/>
      </rPr>
      <t>h</t>
    </r>
    <r>
      <rPr>
        <sz val="8"/>
        <rFont val="Times New Roman"/>
        <family val="1"/>
      </rPr>
      <t>t</t>
    </r>
  </si>
  <si>
    <r>
      <rPr>
        <sz val="12"/>
        <rFont val="宋体"/>
        <charset val="134"/>
      </rPr>
      <t>工</t>
    </r>
    <r>
      <rPr>
        <sz val="12"/>
        <rFont val="Times New Roman"/>
        <family val="1"/>
      </rPr>
      <t xml:space="preserve">    </t>
    </r>
    <r>
      <rPr>
        <sz val="12"/>
        <rFont val="宋体"/>
        <charset val="134"/>
      </rPr>
      <t>作</t>
    </r>
    <r>
      <rPr>
        <sz val="12"/>
        <rFont val="Times New Roman"/>
        <family val="1"/>
      </rPr>
      <t xml:space="preserve">    </t>
    </r>
    <r>
      <rPr>
        <sz val="12"/>
        <rFont val="宋体"/>
        <charset val="134"/>
      </rPr>
      <t>齿</t>
    </r>
    <r>
      <rPr>
        <sz val="12"/>
        <rFont val="Times New Roman"/>
        <family val="1"/>
      </rPr>
      <t xml:space="preserve">    </t>
    </r>
    <r>
      <rPr>
        <sz val="12"/>
        <rFont val="宋体"/>
        <charset val="134"/>
      </rPr>
      <t>高</t>
    </r>
  </si>
  <si>
    <t>大端分度圆理论弧齿厚</t>
  </si>
  <si>
    <t>Sa</t>
  </si>
  <si>
    <r>
      <rPr>
        <sz val="12"/>
        <rFont val="宋体"/>
        <charset val="134"/>
      </rPr>
      <t>大</t>
    </r>
    <r>
      <rPr>
        <sz val="12"/>
        <rFont val="Times New Roman"/>
        <family val="1"/>
      </rPr>
      <t xml:space="preserve"> </t>
    </r>
    <r>
      <rPr>
        <sz val="12"/>
        <rFont val="宋体"/>
        <charset val="134"/>
      </rPr>
      <t>端</t>
    </r>
    <r>
      <rPr>
        <sz val="12"/>
        <rFont val="Times New Roman"/>
        <family val="1"/>
      </rPr>
      <t xml:space="preserve"> </t>
    </r>
    <r>
      <rPr>
        <sz val="12"/>
        <rFont val="宋体"/>
        <charset val="134"/>
      </rPr>
      <t>顶</t>
    </r>
    <r>
      <rPr>
        <sz val="12"/>
        <rFont val="Times New Roman"/>
        <family val="1"/>
      </rPr>
      <t xml:space="preserve"> </t>
    </r>
    <r>
      <rPr>
        <sz val="12"/>
        <rFont val="宋体"/>
        <charset val="134"/>
      </rPr>
      <t>圆</t>
    </r>
    <r>
      <rPr>
        <sz val="12"/>
        <rFont val="Times New Roman"/>
        <family val="1"/>
      </rPr>
      <t xml:space="preserve"> </t>
    </r>
    <r>
      <rPr>
        <sz val="12"/>
        <rFont val="宋体"/>
        <charset val="134"/>
      </rPr>
      <t>直</t>
    </r>
    <r>
      <rPr>
        <sz val="12"/>
        <rFont val="Times New Roman"/>
        <family val="1"/>
      </rPr>
      <t xml:space="preserve"> </t>
    </r>
    <r>
      <rPr>
        <sz val="12"/>
        <rFont val="宋体"/>
        <charset val="134"/>
      </rPr>
      <t>径</t>
    </r>
  </si>
  <si>
    <r>
      <rPr>
        <sz val="12"/>
        <rFont val="Times New Roman"/>
        <family val="1"/>
      </rPr>
      <t>d</t>
    </r>
    <r>
      <rPr>
        <sz val="10"/>
        <rFont val="Times New Roman"/>
        <family val="1"/>
      </rPr>
      <t>a</t>
    </r>
  </si>
  <si>
    <t>分锥顶点至轮冠距离</t>
  </si>
  <si>
    <r>
      <rPr>
        <sz val="12"/>
        <rFont val="Times New Roman"/>
        <family val="1"/>
      </rPr>
      <t>A</t>
    </r>
    <r>
      <rPr>
        <sz val="10"/>
        <rFont val="Times New Roman"/>
        <family val="1"/>
      </rPr>
      <t>k</t>
    </r>
  </si>
  <si>
    <t>大端法向弦齿厚</t>
  </si>
  <si>
    <t>大端法向弦齿高</t>
  </si>
  <si>
    <r>
      <rPr>
        <sz val="10"/>
        <rFont val="宋体"/>
        <charset val="134"/>
      </rPr>
      <t>（按</t>
    </r>
    <r>
      <rPr>
        <sz val="10"/>
        <rFont val="Times New Roman"/>
        <family val="1"/>
      </rPr>
      <t xml:space="preserve"> GB11365--89   </t>
    </r>
    <r>
      <rPr>
        <sz val="10"/>
        <rFont val="宋体"/>
        <charset val="134"/>
      </rPr>
      <t>锥齿轮和准双曲面齿轮</t>
    </r>
    <r>
      <rPr>
        <sz val="10"/>
        <rFont val="Times New Roman"/>
        <family val="1"/>
      </rPr>
      <t xml:space="preserve">  </t>
    </r>
    <r>
      <rPr>
        <sz val="10"/>
        <rFont val="宋体"/>
        <charset val="134"/>
      </rPr>
      <t>精度）</t>
    </r>
  </si>
  <si>
    <r>
      <rPr>
        <sz val="12"/>
        <rFont val="宋体"/>
        <charset val="134"/>
      </rPr>
      <t>Ⅰ</t>
    </r>
    <r>
      <rPr>
        <sz val="12"/>
        <rFont val="Times New Roman"/>
        <family val="1"/>
      </rPr>
      <t>:</t>
    </r>
  </si>
  <si>
    <r>
      <rPr>
        <sz val="12"/>
        <rFont val="宋体"/>
        <charset val="134"/>
      </rPr>
      <t>Ⅱ</t>
    </r>
    <r>
      <rPr>
        <sz val="12"/>
        <rFont val="Times New Roman"/>
        <family val="1"/>
      </rPr>
      <t>:</t>
    </r>
  </si>
  <si>
    <r>
      <rPr>
        <sz val="12"/>
        <rFont val="宋体"/>
        <charset val="134"/>
      </rPr>
      <t>Ⅲ</t>
    </r>
    <r>
      <rPr>
        <sz val="12"/>
        <rFont val="Times New Roman"/>
        <family val="1"/>
      </rPr>
      <t>:</t>
    </r>
  </si>
  <si>
    <r>
      <rPr>
        <sz val="11"/>
        <rFont val="宋体"/>
        <charset val="134"/>
      </rPr>
      <t>图</t>
    </r>
    <r>
      <rPr>
        <sz val="11"/>
        <rFont val="Times New Roman"/>
        <family val="1"/>
      </rPr>
      <t xml:space="preserve">    </t>
    </r>
    <r>
      <rPr>
        <sz val="11"/>
        <rFont val="宋体"/>
        <charset val="134"/>
      </rPr>
      <t>样</t>
    </r>
    <r>
      <rPr>
        <sz val="11"/>
        <rFont val="Times New Roman"/>
        <family val="1"/>
      </rPr>
      <t xml:space="preserve">    </t>
    </r>
    <r>
      <rPr>
        <sz val="11"/>
        <rFont val="宋体"/>
        <charset val="134"/>
      </rPr>
      <t xml:space="preserve">标 </t>
    </r>
    <r>
      <rPr>
        <sz val="11"/>
        <rFont val="Times New Roman"/>
        <family val="1"/>
      </rPr>
      <t xml:space="preserve">   注</t>
    </r>
  </si>
  <si>
    <t>GB 11365--89</t>
  </si>
  <si>
    <r>
      <rPr>
        <sz val="12"/>
        <rFont val="Times New Roman"/>
        <family val="1"/>
      </rPr>
      <t>±f</t>
    </r>
    <r>
      <rPr>
        <sz val="8"/>
        <rFont val="Times New Roman"/>
        <family val="1"/>
      </rPr>
      <t>pt</t>
    </r>
  </si>
  <si>
    <r>
      <rPr>
        <sz val="12"/>
        <rFont val="Times New Roman"/>
        <family val="1"/>
      </rPr>
      <t>f</t>
    </r>
    <r>
      <rPr>
        <sz val="8"/>
        <rFont val="Times New Roman"/>
        <family val="1"/>
      </rPr>
      <t>c</t>
    </r>
  </si>
  <si>
    <r>
      <rPr>
        <sz val="12"/>
        <rFont val="Times New Roman"/>
        <family val="1"/>
      </rPr>
      <t xml:space="preserve">  </t>
    </r>
    <r>
      <rPr>
        <sz val="12"/>
        <rFont val="宋体"/>
        <charset val="134"/>
      </rPr>
      <t>接触斑</t>
    </r>
    <r>
      <rPr>
        <sz val="12"/>
        <rFont val="Times New Roman"/>
        <family val="1"/>
      </rPr>
      <t xml:space="preserve">  </t>
    </r>
    <r>
      <rPr>
        <sz val="10"/>
        <rFont val="宋体"/>
        <charset val="134"/>
      </rPr>
      <t>（沿齿长）</t>
    </r>
  </si>
  <si>
    <r>
      <rPr>
        <sz val="12"/>
        <rFont val="Times New Roman"/>
        <family val="1"/>
      </rPr>
      <t xml:space="preserve">%        </t>
    </r>
    <r>
      <rPr>
        <sz val="10"/>
        <rFont val="宋体"/>
        <charset val="134"/>
      </rPr>
      <t>至</t>
    </r>
  </si>
  <si>
    <t>%</t>
  </si>
  <si>
    <r>
      <rPr>
        <sz val="10"/>
        <rFont val="Times New Roman"/>
        <family val="1"/>
      </rPr>
      <t xml:space="preserve">                     </t>
    </r>
    <r>
      <rPr>
        <sz val="10"/>
        <rFont val="宋体"/>
        <charset val="134"/>
      </rPr>
      <t>（沿齿高）</t>
    </r>
  </si>
  <si>
    <t>（齿宽中点处的线值）</t>
  </si>
  <si>
    <r>
      <rPr>
        <sz val="12"/>
        <rFont val="宋体"/>
        <charset val="134"/>
      </rPr>
      <t>基</t>
    </r>
    <r>
      <rPr>
        <sz val="12"/>
        <rFont val="宋体"/>
        <charset val="134"/>
      </rPr>
      <t>准</t>
    </r>
    <r>
      <rPr>
        <sz val="12"/>
        <rFont val="宋体"/>
        <charset val="134"/>
      </rPr>
      <t>端</t>
    </r>
    <r>
      <rPr>
        <sz val="12"/>
        <rFont val="宋体"/>
        <charset val="134"/>
      </rPr>
      <t>面</t>
    </r>
    <r>
      <rPr>
        <sz val="12"/>
        <rFont val="宋体"/>
        <charset val="134"/>
      </rPr>
      <t>直</t>
    </r>
    <r>
      <rPr>
        <sz val="12"/>
        <rFont val="宋体"/>
        <charset val="134"/>
      </rPr>
      <t>径</t>
    </r>
  </si>
  <si>
    <t>齿坯轮冠距极限偏差</t>
  </si>
  <si>
    <t>齿坯顶锥角极限偏差</t>
  </si>
  <si>
    <r>
      <rPr>
        <sz val="12"/>
        <rFont val="宋体"/>
        <charset val="134"/>
      </rPr>
      <t>齿</t>
    </r>
    <r>
      <rPr>
        <sz val="12"/>
        <rFont val="Times New Roman"/>
        <family val="1"/>
      </rPr>
      <t xml:space="preserve"> </t>
    </r>
    <r>
      <rPr>
        <sz val="12"/>
        <rFont val="宋体"/>
        <charset val="134"/>
      </rPr>
      <t>坯</t>
    </r>
    <r>
      <rPr>
        <sz val="12"/>
        <rFont val="Times New Roman"/>
        <family val="1"/>
      </rPr>
      <t xml:space="preserve"> </t>
    </r>
    <r>
      <rPr>
        <sz val="12"/>
        <rFont val="宋体"/>
        <charset val="134"/>
      </rPr>
      <t>尺</t>
    </r>
    <r>
      <rPr>
        <sz val="12"/>
        <rFont val="Times New Roman"/>
        <family val="1"/>
      </rPr>
      <t xml:space="preserve"> </t>
    </r>
    <r>
      <rPr>
        <sz val="12"/>
        <rFont val="宋体"/>
        <charset val="134"/>
      </rPr>
      <t>寸</t>
    </r>
    <r>
      <rPr>
        <sz val="12"/>
        <rFont val="Times New Roman"/>
        <family val="1"/>
      </rPr>
      <t xml:space="preserve"> </t>
    </r>
    <r>
      <rPr>
        <sz val="12"/>
        <rFont val="宋体"/>
        <charset val="134"/>
      </rPr>
      <t>公</t>
    </r>
    <r>
      <rPr>
        <sz val="12"/>
        <rFont val="Times New Roman"/>
        <family val="1"/>
      </rPr>
      <t xml:space="preserve"> </t>
    </r>
    <r>
      <rPr>
        <sz val="12"/>
        <rFont val="宋体"/>
        <charset val="134"/>
      </rPr>
      <t>差</t>
    </r>
  </si>
  <si>
    <t>轴径</t>
  </si>
  <si>
    <t>GB 1800--79</t>
  </si>
  <si>
    <t>孔径</t>
  </si>
  <si>
    <t>外径尺寸极限偏差</t>
  </si>
  <si>
    <r>
      <rPr>
        <sz val="12"/>
        <rFont val="宋体"/>
        <charset val="134"/>
      </rPr>
      <t>名</t>
    </r>
    <r>
      <rPr>
        <sz val="12"/>
        <rFont val="Times New Roman"/>
        <family val="1"/>
      </rPr>
      <t xml:space="preserve">  </t>
    </r>
    <r>
      <rPr>
        <sz val="12"/>
        <rFont val="宋体"/>
        <charset val="134"/>
      </rPr>
      <t>义</t>
    </r>
    <r>
      <rPr>
        <sz val="12"/>
        <rFont val="Times New Roman"/>
        <family val="1"/>
      </rPr>
      <t xml:space="preserve">  转  矩</t>
    </r>
  </si>
  <si>
    <t xml:space="preserve">T </t>
  </si>
  <si>
    <r>
      <rPr>
        <sz val="12"/>
        <rFont val="宋体"/>
        <charset val="134"/>
      </rPr>
      <t>名</t>
    </r>
    <r>
      <rPr>
        <sz val="12"/>
        <rFont val="Times New Roman"/>
        <family val="1"/>
      </rPr>
      <t xml:space="preserve">  </t>
    </r>
    <r>
      <rPr>
        <sz val="12"/>
        <rFont val="宋体"/>
        <charset val="134"/>
      </rPr>
      <t>义</t>
    </r>
    <r>
      <rPr>
        <sz val="12"/>
        <rFont val="Times New Roman"/>
        <family val="1"/>
      </rPr>
      <t xml:space="preserve">  </t>
    </r>
    <r>
      <rPr>
        <sz val="12"/>
        <rFont val="宋体"/>
        <charset val="134"/>
      </rPr>
      <t>功</t>
    </r>
    <r>
      <rPr>
        <sz val="12"/>
        <rFont val="Times New Roman"/>
        <family val="1"/>
      </rPr>
      <t xml:space="preserve">  </t>
    </r>
    <r>
      <rPr>
        <sz val="12"/>
        <rFont val="宋体"/>
        <charset val="134"/>
      </rPr>
      <t>率</t>
    </r>
  </si>
  <si>
    <t xml:space="preserve">P </t>
  </si>
  <si>
    <r>
      <rPr>
        <sz val="12"/>
        <rFont val="宋体"/>
        <charset val="134"/>
      </rPr>
      <t>小 轮</t>
    </r>
    <r>
      <rPr>
        <sz val="12"/>
        <rFont val="宋体"/>
        <charset val="134"/>
      </rPr>
      <t xml:space="preserve"> </t>
    </r>
    <r>
      <rPr>
        <sz val="12"/>
        <rFont val="宋体"/>
        <charset val="134"/>
      </rPr>
      <t>转</t>
    </r>
    <r>
      <rPr>
        <sz val="12"/>
        <rFont val="宋体"/>
        <charset val="134"/>
      </rPr>
      <t xml:space="preserve"> </t>
    </r>
    <r>
      <rPr>
        <sz val="12"/>
        <rFont val="宋体"/>
        <charset val="134"/>
      </rPr>
      <t>速</t>
    </r>
  </si>
  <si>
    <t>r / min</t>
  </si>
  <si>
    <r>
      <rPr>
        <sz val="12"/>
        <rFont val="宋体"/>
        <charset val="134"/>
      </rPr>
      <t>材</t>
    </r>
    <r>
      <rPr>
        <sz val="12"/>
        <rFont val="Times New Roman"/>
        <family val="1"/>
      </rPr>
      <t xml:space="preserve">              </t>
    </r>
    <r>
      <rPr>
        <sz val="12"/>
        <rFont val="宋体"/>
        <charset val="134"/>
      </rPr>
      <t>质</t>
    </r>
  </si>
  <si>
    <t>支 承 形 式</t>
  </si>
  <si>
    <r>
      <rPr>
        <sz val="12"/>
        <rFont val="宋体"/>
        <charset val="134"/>
      </rPr>
      <t>许</t>
    </r>
    <r>
      <rPr>
        <sz val="12"/>
        <rFont val="宋体"/>
        <charset val="134"/>
      </rPr>
      <t>用</t>
    </r>
    <r>
      <rPr>
        <sz val="12"/>
        <rFont val="宋体"/>
        <charset val="134"/>
      </rPr>
      <t>接</t>
    </r>
    <r>
      <rPr>
        <sz val="12"/>
        <rFont val="宋体"/>
        <charset val="134"/>
      </rPr>
      <t>触</t>
    </r>
    <r>
      <rPr>
        <sz val="12"/>
        <rFont val="宋体"/>
        <charset val="134"/>
      </rPr>
      <t>应</t>
    </r>
    <r>
      <rPr>
        <sz val="12"/>
        <rFont val="宋体"/>
        <charset val="134"/>
      </rPr>
      <t>力</t>
    </r>
  </si>
  <si>
    <r>
      <rPr>
        <sz val="12"/>
        <rFont val="宋体"/>
        <charset val="134"/>
      </rPr>
      <t>计</t>
    </r>
    <r>
      <rPr>
        <sz val="12"/>
        <rFont val="宋体"/>
        <charset val="134"/>
      </rPr>
      <t>算</t>
    </r>
    <r>
      <rPr>
        <sz val="12"/>
        <rFont val="宋体"/>
        <charset val="134"/>
      </rPr>
      <t>接</t>
    </r>
    <r>
      <rPr>
        <sz val="12"/>
        <rFont val="宋体"/>
        <charset val="134"/>
      </rPr>
      <t>触</t>
    </r>
    <r>
      <rPr>
        <sz val="12"/>
        <rFont val="宋体"/>
        <charset val="134"/>
      </rPr>
      <t>应</t>
    </r>
    <r>
      <rPr>
        <sz val="12"/>
        <rFont val="宋体"/>
        <charset val="134"/>
      </rPr>
      <t>力</t>
    </r>
  </si>
  <si>
    <t>接触强度安全系数</t>
  </si>
  <si>
    <r>
      <rPr>
        <sz val="12"/>
        <rFont val="宋体"/>
        <charset val="134"/>
      </rPr>
      <t>许</t>
    </r>
    <r>
      <rPr>
        <sz val="12"/>
        <rFont val="宋体"/>
        <charset val="134"/>
      </rPr>
      <t>用</t>
    </r>
    <r>
      <rPr>
        <sz val="12"/>
        <rFont val="宋体"/>
        <charset val="134"/>
      </rPr>
      <t>齿</t>
    </r>
    <r>
      <rPr>
        <sz val="12"/>
        <rFont val="宋体"/>
        <charset val="134"/>
      </rPr>
      <t>根</t>
    </r>
    <r>
      <rPr>
        <sz val="12"/>
        <rFont val="宋体"/>
        <charset val="134"/>
      </rPr>
      <t>应</t>
    </r>
    <r>
      <rPr>
        <sz val="12"/>
        <rFont val="宋体"/>
        <charset val="134"/>
      </rPr>
      <t>力</t>
    </r>
  </si>
  <si>
    <t>计算齿根应力</t>
  </si>
  <si>
    <t>弯曲强度安全系数</t>
  </si>
  <si>
    <r>
      <rPr>
        <b/>
        <sz val="10"/>
        <color indexed="12"/>
        <rFont val="Times New Roman"/>
        <family val="1"/>
      </rPr>
      <t xml:space="preserve">     </t>
    </r>
    <r>
      <rPr>
        <b/>
        <sz val="10"/>
        <color indexed="12"/>
        <rFont val="宋体"/>
        <charset val="134"/>
      </rPr>
      <t xml:space="preserve">   结论意见： </t>
    </r>
    <r>
      <rPr>
        <b/>
        <sz val="10"/>
        <color indexed="12"/>
        <rFont val="Times New Roman"/>
        <family val="1"/>
      </rPr>
      <t xml:space="preserve">·   </t>
    </r>
  </si>
  <si>
    <t xml:space="preserve">                              · </t>
  </si>
  <si>
    <r>
      <rPr>
        <sz val="10"/>
        <color indexed="10"/>
        <rFont val="宋体"/>
        <charset val="134"/>
      </rPr>
      <t>打印终止</t>
    </r>
    <r>
      <rPr>
        <sz val="10"/>
        <color indexed="10"/>
        <rFont val="Times New Roman"/>
        <family val="1"/>
      </rPr>
      <t>******************************************************************************</t>
    </r>
  </si>
  <si>
    <t>电机选型计算</t>
  </si>
  <si>
    <t>一.电机扭矩的计算</t>
  </si>
  <si>
    <t>电机扭矩的计算涉及到2部分：</t>
  </si>
  <si>
    <r>
      <rPr>
        <sz val="12"/>
        <rFont val="宋体"/>
        <charset val="134"/>
      </rPr>
      <t>1</t>
    </r>
    <r>
      <rPr>
        <sz val="12"/>
        <rFont val="宋体"/>
        <charset val="134"/>
      </rPr>
      <t>.</t>
    </r>
    <r>
      <rPr>
        <sz val="12"/>
        <rFont val="宋体"/>
        <charset val="134"/>
      </rPr>
      <t>克服驱动机构的摩擦转矩</t>
    </r>
    <r>
      <rPr>
        <vertAlign val="subscript"/>
        <sz val="12"/>
        <rFont val="宋体"/>
        <charset val="134"/>
      </rPr>
      <t>TL</t>
    </r>
  </si>
  <si>
    <r>
      <rPr>
        <sz val="12"/>
        <rFont val="宋体"/>
        <charset val="134"/>
      </rPr>
      <t>2</t>
    </r>
    <r>
      <rPr>
        <sz val="12"/>
        <rFont val="宋体"/>
        <charset val="134"/>
      </rPr>
      <t>.</t>
    </r>
    <r>
      <rPr>
        <sz val="12"/>
        <rFont val="宋体"/>
        <charset val="134"/>
      </rPr>
      <t>克服负载和电机转子惯量的启动转矩</t>
    </r>
    <r>
      <rPr>
        <sz val="12"/>
        <rFont val="宋体"/>
        <charset val="134"/>
      </rPr>
      <t>T</t>
    </r>
    <r>
      <rPr>
        <vertAlign val="subscript"/>
        <sz val="12"/>
        <rFont val="宋体"/>
        <charset val="134"/>
      </rPr>
      <t>S</t>
    </r>
  </si>
  <si>
    <r>
      <rPr>
        <sz val="12"/>
        <rFont val="宋体"/>
        <charset val="134"/>
      </rPr>
      <t>电机扭矩T=（T</t>
    </r>
    <r>
      <rPr>
        <vertAlign val="subscript"/>
        <sz val="12"/>
        <rFont val="宋体"/>
        <charset val="134"/>
      </rPr>
      <t>L</t>
    </r>
    <r>
      <rPr>
        <sz val="12"/>
        <rFont val="宋体"/>
        <charset val="134"/>
      </rPr>
      <t>+T</t>
    </r>
    <r>
      <rPr>
        <vertAlign val="subscript"/>
        <sz val="12"/>
        <rFont val="宋体"/>
        <charset val="134"/>
      </rPr>
      <t>S</t>
    </r>
    <r>
      <rPr>
        <sz val="12"/>
        <rFont val="宋体"/>
        <charset val="134"/>
      </rPr>
      <t>）*S</t>
    </r>
  </si>
  <si>
    <t>S：安全系数</t>
  </si>
  <si>
    <t>二.惯量匹配</t>
  </si>
  <si>
    <t>理论上负载折算到电机轴的惯量与电机转子惯量比 &lt; 5</t>
  </si>
  <si>
    <t xml:space="preserve">不同驱动机构下负载转矩计算 </t>
  </si>
  <si>
    <t>圆周率π</t>
  </si>
  <si>
    <t>g＝</t>
  </si>
  <si>
    <r>
      <rPr>
        <sz val="12"/>
        <rFont val="宋体"/>
        <charset val="134"/>
      </rPr>
      <t>重力加速度[m/s</t>
    </r>
    <r>
      <rPr>
        <vertAlign val="superscript"/>
        <sz val="12"/>
        <rFont val="宋体"/>
        <charset val="134"/>
      </rPr>
      <t>2</t>
    </r>
    <r>
      <rPr>
        <sz val="12"/>
        <rFont val="宋体"/>
        <charset val="134"/>
      </rPr>
      <t>](9.807)</t>
    </r>
  </si>
  <si>
    <t>F＝</t>
  </si>
  <si>
    <r>
      <rPr>
        <sz val="12"/>
        <rFont val="宋体"/>
        <charset val="134"/>
      </rPr>
      <t>轴方向负载（N</t>
    </r>
    <r>
      <rPr>
        <sz val="12"/>
        <rFont val="宋体"/>
        <charset val="134"/>
      </rPr>
      <t>)</t>
    </r>
  </si>
  <si>
    <r>
      <rPr>
        <sz val="10"/>
        <rFont val="宋体"/>
        <charset val="134"/>
      </rPr>
      <t>F</t>
    </r>
    <r>
      <rPr>
        <vertAlign val="subscript"/>
        <sz val="10"/>
        <rFont val="宋体"/>
        <charset val="134"/>
      </rPr>
      <t>0</t>
    </r>
    <r>
      <rPr>
        <sz val="10"/>
        <rFont val="宋体"/>
        <charset val="134"/>
      </rPr>
      <t>＝</t>
    </r>
  </si>
  <si>
    <r>
      <rPr>
        <sz val="12"/>
        <rFont val="宋体"/>
        <charset val="134"/>
      </rPr>
      <t>预负载（N</t>
    </r>
    <r>
      <rPr>
        <sz val="12"/>
        <rFont val="宋体"/>
        <charset val="134"/>
      </rPr>
      <t>)(≈1/3 F)</t>
    </r>
  </si>
  <si>
    <r>
      <rPr>
        <sz val="10"/>
        <rFont val="宋体"/>
        <charset val="134"/>
      </rPr>
      <t>μ</t>
    </r>
    <r>
      <rPr>
        <vertAlign val="subscript"/>
        <sz val="10"/>
        <rFont val="宋体"/>
        <charset val="134"/>
      </rPr>
      <t>0</t>
    </r>
    <r>
      <rPr>
        <sz val="10"/>
        <rFont val="宋体"/>
        <charset val="134"/>
      </rPr>
      <t>＝</t>
    </r>
  </si>
  <si>
    <t>预压螺帽的内部摩擦系数（0.1-0.3)</t>
  </si>
  <si>
    <t>η＝</t>
  </si>
  <si>
    <t>机械效率（0.85-0.95)</t>
  </si>
  <si>
    <t>i＝</t>
  </si>
  <si>
    <t>减速比（机构的减速比）</t>
  </si>
  <si>
    <r>
      <rPr>
        <sz val="10"/>
        <rFont val="宋体"/>
        <charset val="134"/>
      </rPr>
      <t>P</t>
    </r>
    <r>
      <rPr>
        <vertAlign val="subscript"/>
        <sz val="10"/>
        <rFont val="宋体"/>
        <charset val="134"/>
      </rPr>
      <t>B</t>
    </r>
    <r>
      <rPr>
        <sz val="10"/>
        <rFont val="宋体"/>
        <charset val="134"/>
      </rPr>
      <t>＝</t>
    </r>
  </si>
  <si>
    <t>滚珠螺杆螺距（m/rev)</t>
  </si>
  <si>
    <t>ρ＝</t>
  </si>
  <si>
    <r>
      <rPr>
        <sz val="12"/>
        <rFont val="宋体"/>
        <charset val="134"/>
      </rPr>
      <t>密度（kg/m</t>
    </r>
    <r>
      <rPr>
        <vertAlign val="superscript"/>
        <sz val="12"/>
        <rFont val="宋体"/>
        <charset val="134"/>
      </rPr>
      <t>3</t>
    </r>
    <r>
      <rPr>
        <sz val="12"/>
        <rFont val="宋体"/>
        <charset val="134"/>
      </rPr>
      <t>)</t>
    </r>
  </si>
  <si>
    <r>
      <rPr>
        <sz val="10"/>
        <rFont val="宋体"/>
        <charset val="134"/>
      </rPr>
      <t>F</t>
    </r>
    <r>
      <rPr>
        <vertAlign val="subscript"/>
        <sz val="10"/>
        <rFont val="宋体"/>
        <charset val="134"/>
      </rPr>
      <t>A</t>
    </r>
    <r>
      <rPr>
        <sz val="10"/>
        <rFont val="宋体"/>
        <charset val="134"/>
      </rPr>
      <t>＝</t>
    </r>
  </si>
  <si>
    <t>外力(N)</t>
  </si>
  <si>
    <t>铁</t>
  </si>
  <si>
    <r>
      <rPr>
        <sz val="12"/>
        <rFont val="宋体"/>
        <charset val="134"/>
      </rPr>
      <t>7.9x10</t>
    </r>
    <r>
      <rPr>
        <vertAlign val="superscript"/>
        <sz val="12"/>
        <rFont val="宋体"/>
        <charset val="134"/>
      </rPr>
      <t>3</t>
    </r>
    <r>
      <rPr>
        <sz val="12"/>
        <rFont val="宋体"/>
        <charset val="134"/>
      </rPr>
      <t>kg/m</t>
    </r>
    <r>
      <rPr>
        <vertAlign val="superscript"/>
        <sz val="12"/>
        <rFont val="宋体"/>
        <charset val="134"/>
      </rPr>
      <t>3</t>
    </r>
  </si>
  <si>
    <t>FB＝</t>
  </si>
  <si>
    <t>主轴开始运动时的力（N)</t>
  </si>
  <si>
    <r>
      <rPr>
        <sz val="12"/>
        <rFont val="宋体"/>
        <charset val="134"/>
      </rPr>
      <t>2.8x10</t>
    </r>
    <r>
      <rPr>
        <vertAlign val="superscript"/>
        <sz val="12"/>
        <rFont val="宋体"/>
        <charset val="134"/>
      </rPr>
      <t>3</t>
    </r>
    <r>
      <rPr>
        <sz val="12"/>
        <rFont val="宋体"/>
        <charset val="134"/>
      </rPr>
      <t>kg/m</t>
    </r>
    <r>
      <rPr>
        <vertAlign val="superscript"/>
        <sz val="12"/>
        <rFont val="宋体"/>
        <charset val="134"/>
      </rPr>
      <t>3</t>
    </r>
  </si>
  <si>
    <r>
      <rPr>
        <sz val="12"/>
        <rFont val="宋体"/>
        <charset val="134"/>
      </rPr>
      <t>(F</t>
    </r>
    <r>
      <rPr>
        <vertAlign val="subscript"/>
        <sz val="12"/>
        <rFont val="宋体"/>
        <charset val="134"/>
      </rPr>
      <t>B</t>
    </r>
    <r>
      <rPr>
        <sz val="12"/>
        <rFont val="宋体"/>
        <charset val="134"/>
      </rPr>
      <t>=弹簧秤值（kgxg [m/s2]))</t>
    </r>
  </si>
  <si>
    <r>
      <rPr>
        <sz val="12"/>
        <rFont val="宋体"/>
        <charset val="134"/>
      </rPr>
      <t>8.5x10</t>
    </r>
    <r>
      <rPr>
        <vertAlign val="superscript"/>
        <sz val="12"/>
        <rFont val="宋体"/>
        <charset val="134"/>
      </rPr>
      <t>3</t>
    </r>
    <r>
      <rPr>
        <sz val="12"/>
        <rFont val="宋体"/>
        <charset val="134"/>
      </rPr>
      <t>kg/m</t>
    </r>
    <r>
      <rPr>
        <vertAlign val="superscript"/>
        <sz val="12"/>
        <rFont val="宋体"/>
        <charset val="134"/>
      </rPr>
      <t>3</t>
    </r>
  </si>
  <si>
    <t>m＝</t>
  </si>
  <si>
    <t>工作物与工作台的总质量（kg）</t>
  </si>
  <si>
    <t>尼龙</t>
  </si>
  <si>
    <r>
      <rPr>
        <sz val="12"/>
        <rFont val="宋体"/>
        <charset val="134"/>
      </rPr>
      <t>1.1x10</t>
    </r>
    <r>
      <rPr>
        <vertAlign val="superscript"/>
        <sz val="12"/>
        <rFont val="宋体"/>
        <charset val="134"/>
      </rPr>
      <t>3</t>
    </r>
    <r>
      <rPr>
        <sz val="12"/>
        <rFont val="宋体"/>
        <charset val="134"/>
      </rPr>
      <t>kg/m</t>
    </r>
    <r>
      <rPr>
        <vertAlign val="superscript"/>
        <sz val="12"/>
        <rFont val="宋体"/>
        <charset val="134"/>
      </rPr>
      <t>3</t>
    </r>
  </si>
  <si>
    <t>μ＝</t>
  </si>
  <si>
    <t>滑动面的摩擦系数(0.05）</t>
  </si>
  <si>
    <t>a＝</t>
  </si>
  <si>
    <t>倾斜角度（°）</t>
  </si>
  <si>
    <t>D＝</t>
  </si>
  <si>
    <t>终段滑轮直径（m）</t>
  </si>
  <si>
    <t>滚珠螺杠驱动下负载转矩</t>
  </si>
  <si>
    <t>滑轮驱动下负载转矩</t>
  </si>
  <si>
    <t>5000N</t>
  </si>
  <si>
    <t>金属线、皮带  齿轮、齿条驱动下负载转矩</t>
  </si>
  <si>
    <t>实际测试计算方法</t>
  </si>
  <si>
    <t xml:space="preserve">不同形状物体惯量计算 </t>
  </si>
  <si>
    <t>J0 ＝</t>
  </si>
  <si>
    <r>
      <rPr>
        <sz val="12"/>
        <rFont val="宋体"/>
        <charset val="134"/>
      </rPr>
      <t>x</t>
    </r>
    <r>
      <rPr>
        <vertAlign val="subscript"/>
        <sz val="12"/>
        <rFont val="宋体"/>
        <charset val="134"/>
      </rPr>
      <t>0</t>
    </r>
    <r>
      <rPr>
        <sz val="12"/>
        <rFont val="宋体"/>
        <charset val="134"/>
      </rPr>
      <t>轴(通过重心的轴)的
惯性惯量 [kg·m</t>
    </r>
    <r>
      <rPr>
        <vertAlign val="superscript"/>
        <sz val="12"/>
        <rFont val="宋体"/>
        <charset val="134"/>
      </rPr>
      <t>2</t>
    </r>
    <r>
      <rPr>
        <sz val="12"/>
        <rFont val="宋体"/>
        <charset val="134"/>
      </rPr>
      <t>]</t>
    </r>
  </si>
  <si>
    <t>Jx ＝</t>
  </si>
  <si>
    <t>x轴的惯性惯量 [kg·m2]</t>
  </si>
  <si>
    <t>Jy ＝</t>
  </si>
  <si>
    <t>y轴的惯性惯量 [kg·m2]</t>
  </si>
  <si>
    <t>m ＝</t>
  </si>
  <si>
    <t>质量（kg）</t>
  </si>
  <si>
    <t>d0 ＝</t>
  </si>
  <si>
    <t>外径（m）</t>
  </si>
  <si>
    <t>d1 ＝</t>
  </si>
  <si>
    <t>l ＝</t>
  </si>
  <si>
    <t>长度（m）</t>
  </si>
  <si>
    <t>圆柱体惯量计算-圆柱体长度方向中心线和旋转中心线平行</t>
  </si>
  <si>
    <t>国际单位</t>
  </si>
  <si>
    <r>
      <rPr>
        <sz val="10"/>
        <rFont val="宋体"/>
        <charset val="134"/>
      </rPr>
      <t>外径d</t>
    </r>
    <r>
      <rPr>
        <vertAlign val="subscript"/>
        <sz val="10"/>
        <rFont val="宋体"/>
        <charset val="134"/>
      </rPr>
      <t>0</t>
    </r>
    <r>
      <rPr>
        <sz val="10"/>
        <rFont val="宋体"/>
        <charset val="134"/>
      </rPr>
      <t>（mm）</t>
    </r>
  </si>
  <si>
    <r>
      <rPr>
        <sz val="10"/>
        <rFont val="宋体"/>
        <charset val="134"/>
      </rPr>
      <t>内径d</t>
    </r>
    <r>
      <rPr>
        <vertAlign val="subscript"/>
        <sz val="10"/>
        <rFont val="宋体"/>
        <charset val="134"/>
      </rPr>
      <t>1</t>
    </r>
    <r>
      <rPr>
        <sz val="10"/>
        <rFont val="宋体"/>
        <charset val="134"/>
      </rPr>
      <t>（mm）</t>
    </r>
  </si>
  <si>
    <t>长度L（mm）</t>
  </si>
  <si>
    <t>密度ρ（kg/m3)</t>
  </si>
  <si>
    <t>重心线与旋转轴线距离e (mm)</t>
  </si>
  <si>
    <t>物体质量m（kg）</t>
  </si>
  <si>
    <t>自动计算</t>
  </si>
  <si>
    <r>
      <rPr>
        <sz val="10"/>
        <rFont val="宋体"/>
        <charset val="134"/>
      </rPr>
      <t>物体惯量（kg.cm</t>
    </r>
    <r>
      <rPr>
        <vertAlign val="superscript"/>
        <sz val="10"/>
        <rFont val="宋体"/>
        <charset val="134"/>
      </rPr>
      <t>2</t>
    </r>
    <r>
      <rPr>
        <sz val="10"/>
        <rFont val="宋体"/>
        <charset val="134"/>
      </rPr>
      <t>）</t>
    </r>
  </si>
  <si>
    <t>圆柱体惯量计算-圆柱体长度方向中心线和和旋转中心线垂直</t>
  </si>
  <si>
    <r>
      <rPr>
        <sz val="10"/>
        <rFont val="宋体"/>
        <charset val="134"/>
      </rPr>
      <t>外径d</t>
    </r>
    <r>
      <rPr>
        <vertAlign val="subscript"/>
        <sz val="10"/>
        <rFont val="宋体"/>
        <charset val="134"/>
      </rPr>
      <t>0</t>
    </r>
    <r>
      <rPr>
        <sz val="10"/>
        <rFont val="宋体"/>
        <charset val="134"/>
      </rPr>
      <t>（mm）：</t>
    </r>
  </si>
  <si>
    <r>
      <rPr>
        <sz val="10"/>
        <rFont val="宋体"/>
        <charset val="134"/>
      </rPr>
      <t>内径d</t>
    </r>
    <r>
      <rPr>
        <vertAlign val="subscript"/>
        <sz val="10"/>
        <rFont val="宋体"/>
        <charset val="134"/>
      </rPr>
      <t>1</t>
    </r>
    <r>
      <rPr>
        <sz val="10"/>
        <rFont val="宋体"/>
        <charset val="134"/>
      </rPr>
      <t>（mm）：</t>
    </r>
  </si>
  <si>
    <t>长度L（mm）：</t>
  </si>
  <si>
    <r>
      <rPr>
        <sz val="10"/>
        <rFont val="宋体"/>
        <charset val="134"/>
      </rPr>
      <t>密度ρ（kg/m</t>
    </r>
    <r>
      <rPr>
        <vertAlign val="superscript"/>
        <sz val="10"/>
        <rFont val="宋体"/>
        <charset val="134"/>
      </rPr>
      <t>3</t>
    </r>
    <r>
      <rPr>
        <sz val="10"/>
        <rFont val="宋体"/>
        <charset val="134"/>
      </rPr>
      <t>)：</t>
    </r>
  </si>
  <si>
    <t>计算结果：</t>
  </si>
  <si>
    <t>方形物体惯量计算</t>
  </si>
  <si>
    <t>长度x（mm）：</t>
  </si>
  <si>
    <t>宽度y（mm）：</t>
  </si>
  <si>
    <t>高度z（mm）：</t>
  </si>
  <si>
    <t>重心线与旋转轴线距离e (m)</t>
  </si>
  <si>
    <t>饼状物体惯量计算</t>
  </si>
  <si>
    <t>直径d（mm）</t>
  </si>
  <si>
    <t>厚度h（mm）</t>
  </si>
  <si>
    <t>直线运动物体惯量计算</t>
  </si>
  <si>
    <t>电机每转1圈物体直线运动量A (m）</t>
  </si>
  <si>
    <t>球形惯量计算</t>
  </si>
  <si>
    <r>
      <rPr>
        <sz val="10"/>
        <rFont val="宋体"/>
        <charset val="134"/>
      </rPr>
      <t>惯量J</t>
    </r>
    <r>
      <rPr>
        <vertAlign val="subscript"/>
        <sz val="10"/>
        <rFont val="宋体"/>
        <charset val="134"/>
      </rPr>
      <t>0</t>
    </r>
    <r>
      <rPr>
        <sz val="10"/>
        <rFont val="宋体"/>
        <charset val="134"/>
      </rPr>
      <t>（kg.cm</t>
    </r>
    <r>
      <rPr>
        <vertAlign val="superscript"/>
        <sz val="10"/>
        <rFont val="宋体"/>
        <charset val="134"/>
      </rPr>
      <t>2</t>
    </r>
    <r>
      <rPr>
        <sz val="10"/>
        <rFont val="宋体"/>
        <charset val="134"/>
      </rPr>
      <t>）</t>
    </r>
  </si>
  <si>
    <t>质量m（kg）</t>
  </si>
  <si>
    <r>
      <rPr>
        <sz val="10"/>
        <rFont val="宋体"/>
        <charset val="134"/>
      </rPr>
      <t>质量m</t>
    </r>
    <r>
      <rPr>
        <vertAlign val="subscript"/>
        <sz val="10"/>
        <rFont val="宋体"/>
        <charset val="134"/>
      </rPr>
      <t>1</t>
    </r>
    <r>
      <rPr>
        <sz val="10"/>
        <rFont val="宋体"/>
        <charset val="134"/>
      </rPr>
      <t>（kg）</t>
    </r>
  </si>
  <si>
    <r>
      <rPr>
        <sz val="10"/>
        <rFont val="宋体"/>
        <charset val="134"/>
      </rPr>
      <t>惯量J</t>
    </r>
    <r>
      <rPr>
        <vertAlign val="subscript"/>
        <sz val="10"/>
        <rFont val="宋体"/>
        <charset val="134"/>
      </rPr>
      <t>1</t>
    </r>
    <r>
      <rPr>
        <sz val="10"/>
        <rFont val="宋体"/>
        <charset val="134"/>
      </rPr>
      <t>（kg.cm</t>
    </r>
    <r>
      <rPr>
        <vertAlign val="superscript"/>
        <sz val="10"/>
        <rFont val="宋体"/>
        <charset val="134"/>
      </rPr>
      <t>2</t>
    </r>
    <r>
      <rPr>
        <sz val="10"/>
        <rFont val="宋体"/>
        <charset val="134"/>
      </rPr>
      <t>）</t>
    </r>
  </si>
  <si>
    <t>皮带轮间歇运动计算</t>
  </si>
  <si>
    <t>机械结构参数</t>
  </si>
  <si>
    <t>皮带与工作物总质量</t>
  </si>
  <si>
    <r>
      <rPr>
        <sz val="12"/>
        <rFont val="Times New Roman"/>
        <family val="1"/>
      </rPr>
      <t>m</t>
    </r>
    <r>
      <rPr>
        <vertAlign val="subscript"/>
        <sz val="12"/>
        <rFont val="Times New Roman"/>
        <family val="1"/>
      </rPr>
      <t>L</t>
    </r>
    <r>
      <rPr>
        <sz val="12"/>
        <rFont val="Times New Roman"/>
        <family val="1"/>
      </rPr>
      <t>=</t>
    </r>
  </si>
  <si>
    <t>g=</t>
  </si>
  <si>
    <t>滑动面摩擦系数</t>
  </si>
  <si>
    <t>μ=</t>
  </si>
  <si>
    <t>pi=</t>
  </si>
  <si>
    <t>滚筒直径</t>
  </si>
  <si>
    <t>滚筒质量</t>
  </si>
  <si>
    <r>
      <rPr>
        <sz val="12"/>
        <rFont val="Times New Roman"/>
        <family val="1"/>
      </rPr>
      <t>m</t>
    </r>
    <r>
      <rPr>
        <vertAlign val="subscript"/>
        <sz val="12"/>
        <rFont val="Times New Roman"/>
        <family val="1"/>
      </rPr>
      <t>2</t>
    </r>
    <r>
      <rPr>
        <sz val="12"/>
        <rFont val="Times New Roman"/>
        <family val="1"/>
      </rPr>
      <t>=</t>
    </r>
  </si>
  <si>
    <t>传送带和滚筒的机械效率</t>
  </si>
  <si>
    <t>η=</t>
  </si>
  <si>
    <t>减速机机械效率</t>
  </si>
  <si>
    <t>ηG=</t>
  </si>
  <si>
    <t>每次定位时间</t>
  </si>
  <si>
    <t>每次运动距离</t>
  </si>
  <si>
    <t>加减速时间比</t>
  </si>
  <si>
    <t>A=</t>
  </si>
  <si>
    <r>
      <rPr>
        <sz val="14"/>
        <rFont val="Times New Roman"/>
        <family val="1"/>
      </rPr>
      <t>F</t>
    </r>
    <r>
      <rPr>
        <vertAlign val="subscript"/>
        <sz val="14"/>
        <rFont val="Times New Roman"/>
        <family val="1"/>
      </rPr>
      <t>A</t>
    </r>
    <r>
      <rPr>
        <sz val="14"/>
        <rFont val="Times New Roman"/>
        <family val="1"/>
      </rPr>
      <t>=</t>
    </r>
  </si>
  <si>
    <t>移动方向与水平轴夹角</t>
  </si>
  <si>
    <t>a =</t>
  </si>
  <si>
    <t>1)速度曲线</t>
  </si>
  <si>
    <t>t0=</t>
  </si>
  <si>
    <t>t*A</t>
  </si>
  <si>
    <t>2)电机转速</t>
  </si>
  <si>
    <t>减速机输出轴角加速度</t>
  </si>
  <si>
    <t xml:space="preserve">             β=</t>
  </si>
  <si>
    <r>
      <rPr>
        <sz val="12"/>
        <rFont val="宋体"/>
        <charset val="134"/>
      </rPr>
      <t>rad/s</t>
    </r>
    <r>
      <rPr>
        <vertAlign val="superscript"/>
        <sz val="12"/>
        <rFont val="宋体"/>
        <charset val="134"/>
      </rPr>
      <t>2</t>
    </r>
  </si>
  <si>
    <t>减速机输出轴转速</t>
  </si>
  <si>
    <r>
      <rPr>
        <sz val="12"/>
        <rFont val="宋体"/>
        <charset val="134"/>
      </rPr>
      <t>N</t>
    </r>
    <r>
      <rPr>
        <sz val="12"/>
        <rFont val="宋体"/>
        <charset val="134"/>
      </rPr>
      <t>=</t>
    </r>
  </si>
  <si>
    <t>电机输出轴角加速度</t>
  </si>
  <si>
    <r>
      <rPr>
        <sz val="12"/>
        <rFont val="宋体"/>
        <charset val="134"/>
      </rPr>
      <t>β</t>
    </r>
    <r>
      <rPr>
        <vertAlign val="subscript"/>
        <sz val="12"/>
        <rFont val="宋体"/>
        <charset val="134"/>
      </rPr>
      <t>M</t>
    </r>
    <r>
      <rPr>
        <sz val="12"/>
        <rFont val="宋体"/>
        <charset val="134"/>
      </rPr>
      <t>=</t>
    </r>
  </si>
  <si>
    <t>i*β</t>
  </si>
  <si>
    <t>电机输出轴转速</t>
  </si>
  <si>
    <r>
      <rPr>
        <sz val="12"/>
        <rFont val="宋体"/>
        <charset val="134"/>
      </rPr>
      <t>N</t>
    </r>
    <r>
      <rPr>
        <vertAlign val="subscript"/>
        <sz val="12"/>
        <rFont val="宋体"/>
        <charset val="134"/>
      </rPr>
      <t>M</t>
    </r>
    <r>
      <rPr>
        <sz val="12"/>
        <rFont val="宋体"/>
        <charset val="134"/>
      </rPr>
      <t>=</t>
    </r>
  </si>
  <si>
    <t>N*i</t>
  </si>
  <si>
    <t>3)计算负载转矩</t>
  </si>
  <si>
    <t>减速机轴向负载</t>
  </si>
  <si>
    <t>减速机轴负载转矩</t>
  </si>
  <si>
    <r>
      <rPr>
        <sz val="12"/>
        <rFont val="宋体"/>
        <charset val="134"/>
      </rPr>
      <t>T</t>
    </r>
    <r>
      <rPr>
        <vertAlign val="subscript"/>
        <sz val="12"/>
        <rFont val="宋体"/>
        <charset val="134"/>
      </rPr>
      <t>L</t>
    </r>
    <r>
      <rPr>
        <sz val="12"/>
        <rFont val="宋体"/>
        <charset val="134"/>
      </rPr>
      <t>=</t>
    </r>
  </si>
  <si>
    <t>Nm</t>
  </si>
  <si>
    <t>电机轴负载转矩</t>
  </si>
  <si>
    <r>
      <rPr>
        <sz val="12"/>
        <rFont val="宋体"/>
        <charset val="134"/>
      </rPr>
      <t>T</t>
    </r>
    <r>
      <rPr>
        <vertAlign val="subscript"/>
        <sz val="12"/>
        <rFont val="宋体"/>
        <charset val="134"/>
      </rPr>
      <t>LM</t>
    </r>
    <r>
      <rPr>
        <sz val="12"/>
        <rFont val="宋体"/>
        <charset val="134"/>
      </rPr>
      <t>=</t>
    </r>
  </si>
  <si>
    <t>4)计算电机轴加速转矩（克服惯量）</t>
  </si>
  <si>
    <t>皮带和工作物的惯量</t>
  </si>
  <si>
    <r>
      <rPr>
        <sz val="12"/>
        <rFont val="宋体"/>
        <charset val="134"/>
      </rPr>
      <t>J</t>
    </r>
    <r>
      <rPr>
        <vertAlign val="subscript"/>
        <sz val="12"/>
        <rFont val="宋体"/>
        <charset val="134"/>
      </rPr>
      <t>M1</t>
    </r>
    <r>
      <rPr>
        <sz val="12"/>
        <rFont val="宋体"/>
        <charset val="134"/>
      </rPr>
      <t>=</t>
    </r>
  </si>
  <si>
    <r>
      <rPr>
        <sz val="12"/>
        <rFont val="宋体"/>
        <charset val="134"/>
      </rPr>
      <t>kgm</t>
    </r>
    <r>
      <rPr>
        <vertAlign val="superscript"/>
        <sz val="12"/>
        <rFont val="宋体"/>
        <charset val="134"/>
      </rPr>
      <t>2</t>
    </r>
  </si>
  <si>
    <t>滚筒的惯量</t>
  </si>
  <si>
    <r>
      <rPr>
        <sz val="12"/>
        <rFont val="宋体"/>
        <charset val="134"/>
      </rPr>
      <t>J</t>
    </r>
    <r>
      <rPr>
        <vertAlign val="subscript"/>
        <sz val="12"/>
        <rFont val="宋体"/>
        <charset val="134"/>
      </rPr>
      <t>M2</t>
    </r>
    <r>
      <rPr>
        <sz val="12"/>
        <rFont val="宋体"/>
        <charset val="134"/>
      </rPr>
      <t>=</t>
    </r>
  </si>
  <si>
    <r>
      <rPr>
        <sz val="12"/>
        <rFont val="宋体"/>
        <charset val="134"/>
      </rPr>
      <t>折算到减速机轴的负载惯量  J</t>
    </r>
    <r>
      <rPr>
        <vertAlign val="subscript"/>
        <sz val="12"/>
        <rFont val="宋体"/>
        <charset val="134"/>
      </rPr>
      <t>L</t>
    </r>
    <r>
      <rPr>
        <sz val="12"/>
        <rFont val="宋体"/>
        <charset val="134"/>
      </rPr>
      <t>=</t>
    </r>
  </si>
  <si>
    <r>
      <rPr>
        <sz val="12"/>
        <rFont val="宋体"/>
        <charset val="134"/>
      </rPr>
      <t>J</t>
    </r>
    <r>
      <rPr>
        <vertAlign val="subscript"/>
        <sz val="12"/>
        <rFont val="宋体"/>
        <charset val="134"/>
      </rPr>
      <t>M1</t>
    </r>
    <r>
      <rPr>
        <sz val="12"/>
        <rFont val="宋体"/>
        <charset val="134"/>
      </rPr>
      <t>+2J</t>
    </r>
    <r>
      <rPr>
        <vertAlign val="subscript"/>
        <sz val="12"/>
        <rFont val="宋体"/>
        <charset val="134"/>
      </rPr>
      <t>M2</t>
    </r>
  </si>
  <si>
    <t>电机惯量</t>
  </si>
  <si>
    <r>
      <rPr>
        <sz val="12"/>
        <rFont val="Times New Roman"/>
        <family val="1"/>
      </rPr>
      <t>J</t>
    </r>
    <r>
      <rPr>
        <vertAlign val="subscript"/>
        <sz val="12"/>
        <rFont val="Times New Roman"/>
        <family val="1"/>
      </rPr>
      <t>M</t>
    </r>
    <r>
      <rPr>
        <sz val="12"/>
        <rFont val="Times New Roman"/>
        <family val="1"/>
      </rPr>
      <t>=</t>
    </r>
  </si>
  <si>
    <t>全负载惯量</t>
  </si>
  <si>
    <t>J=</t>
  </si>
  <si>
    <t>电机轴加速转矩</t>
  </si>
  <si>
    <r>
      <rPr>
        <sz val="14"/>
        <rFont val="Times New Roman"/>
        <family val="1"/>
      </rPr>
      <t>T</t>
    </r>
    <r>
      <rPr>
        <vertAlign val="subscript"/>
        <sz val="14"/>
        <rFont val="Times New Roman"/>
        <family val="1"/>
      </rPr>
      <t>S</t>
    </r>
    <r>
      <rPr>
        <sz val="14"/>
        <rFont val="Times New Roman"/>
        <family val="1"/>
      </rPr>
      <t>=</t>
    </r>
  </si>
  <si>
    <t>5）必须转矩</t>
  </si>
  <si>
    <t>必须转矩</t>
  </si>
  <si>
    <r>
      <rPr>
        <sz val="12"/>
        <rFont val="Times New Roman"/>
        <family val="1"/>
      </rPr>
      <t>T</t>
    </r>
    <r>
      <rPr>
        <vertAlign val="subscript"/>
        <sz val="12"/>
        <rFont val="Times New Roman"/>
        <family val="1"/>
      </rPr>
      <t>M</t>
    </r>
    <r>
      <rPr>
        <sz val="12"/>
        <rFont val="Times New Roman"/>
        <family val="1"/>
      </rPr>
      <t>=</t>
    </r>
  </si>
  <si>
    <r>
      <rPr>
        <sz val="14"/>
        <color indexed="8"/>
        <rFont val="宋体"/>
        <charset val="134"/>
      </rPr>
      <t>(T</t>
    </r>
    <r>
      <rPr>
        <vertAlign val="subscript"/>
        <sz val="14"/>
        <color indexed="8"/>
        <rFont val="宋体"/>
        <charset val="134"/>
      </rPr>
      <t>LM</t>
    </r>
    <r>
      <rPr>
        <sz val="14"/>
        <color indexed="8"/>
        <rFont val="宋体"/>
        <charset val="134"/>
      </rPr>
      <t>+T</t>
    </r>
    <r>
      <rPr>
        <vertAlign val="subscript"/>
        <sz val="14"/>
        <color indexed="8"/>
        <rFont val="宋体"/>
        <charset val="134"/>
      </rPr>
      <t>S)*S</t>
    </r>
  </si>
  <si>
    <t>6)负荷与电机惯量比</t>
  </si>
  <si>
    <t>N1=</t>
  </si>
  <si>
    <t>说明：由于是连续运动，所以在计算牛矩时只需考虑负载牛矩，启动牛矩忽略，但必须考虑到惯量的匹配</t>
  </si>
  <si>
    <t>机械结构参数：</t>
  </si>
  <si>
    <t>皮带速度：</t>
  </si>
  <si>
    <t>其他常数</t>
  </si>
  <si>
    <t>*</t>
  </si>
  <si>
    <t>G=</t>
  </si>
  <si>
    <t>m2=</t>
  </si>
  <si>
    <t>FA=</t>
  </si>
  <si>
    <t>1)电机转速</t>
  </si>
  <si>
    <t>2)计算负载转矩</t>
  </si>
  <si>
    <t>TLM=</t>
  </si>
  <si>
    <t>4)计算折算到电机轴的惯量</t>
  </si>
  <si>
    <r>
      <rPr>
        <sz val="14"/>
        <color indexed="8"/>
        <rFont val="宋体"/>
        <charset val="134"/>
      </rPr>
      <t>T</t>
    </r>
    <r>
      <rPr>
        <vertAlign val="subscript"/>
        <sz val="14"/>
        <color indexed="8"/>
        <rFont val="宋体"/>
        <charset val="134"/>
      </rPr>
      <t>LM</t>
    </r>
    <r>
      <rPr>
        <sz val="14"/>
        <color indexed="8"/>
        <rFont val="宋体"/>
        <charset val="134"/>
      </rPr>
      <t>*S</t>
    </r>
  </si>
  <si>
    <r>
      <rPr>
        <sz val="12"/>
        <rFont val="Times New Roman"/>
        <family val="1"/>
      </rPr>
      <t>6)</t>
    </r>
    <r>
      <rPr>
        <sz val="12"/>
        <rFont val="宋体"/>
        <charset val="134"/>
      </rPr>
      <t>负荷与电机惯量比</t>
    </r>
  </si>
  <si>
    <t>分度盘直径</t>
  </si>
  <si>
    <r>
      <rPr>
        <sz val="12"/>
        <rFont val="Times New Roman"/>
        <family val="1"/>
      </rPr>
      <t>D</t>
    </r>
    <r>
      <rPr>
        <vertAlign val="subscript"/>
        <sz val="12"/>
        <rFont val="Times New Roman"/>
        <family val="1"/>
      </rPr>
      <t>T</t>
    </r>
    <r>
      <rPr>
        <sz val="12"/>
        <rFont val="Times New Roman"/>
        <family val="1"/>
      </rPr>
      <t>=</t>
    </r>
  </si>
  <si>
    <t>分度盘厚度</t>
  </si>
  <si>
    <r>
      <rPr>
        <sz val="12"/>
        <rFont val="Times New Roman"/>
        <family val="1"/>
      </rPr>
      <t>L</t>
    </r>
    <r>
      <rPr>
        <vertAlign val="subscript"/>
        <sz val="12"/>
        <rFont val="Times New Roman"/>
        <family val="1"/>
      </rPr>
      <t>T</t>
    </r>
    <r>
      <rPr>
        <sz val="12"/>
        <rFont val="Times New Roman"/>
        <family val="1"/>
      </rPr>
      <t>=</t>
    </r>
  </si>
  <si>
    <t>工作物直径</t>
  </si>
  <si>
    <r>
      <rPr>
        <sz val="12"/>
        <rFont val="Times New Roman"/>
        <family val="1"/>
      </rPr>
      <t>D</t>
    </r>
    <r>
      <rPr>
        <vertAlign val="subscript"/>
        <sz val="12"/>
        <rFont val="Times New Roman"/>
        <family val="1"/>
      </rPr>
      <t>W</t>
    </r>
    <r>
      <rPr>
        <sz val="12"/>
        <rFont val="Times New Roman"/>
        <family val="1"/>
      </rPr>
      <t>=</t>
    </r>
  </si>
  <si>
    <t>工作物厚度</t>
  </si>
  <si>
    <r>
      <rPr>
        <sz val="12"/>
        <rFont val="Times New Roman"/>
        <family val="1"/>
      </rPr>
      <t>L</t>
    </r>
    <r>
      <rPr>
        <vertAlign val="subscript"/>
        <sz val="12"/>
        <rFont val="Times New Roman"/>
        <family val="1"/>
      </rPr>
      <t>W</t>
    </r>
    <r>
      <rPr>
        <sz val="12"/>
        <rFont val="Times New Roman"/>
        <family val="1"/>
      </rPr>
      <t>=</t>
    </r>
  </si>
  <si>
    <t>工作台材质密度</t>
  </si>
  <si>
    <t>ρ=</t>
  </si>
  <si>
    <t>工作物数量</t>
  </si>
  <si>
    <t>由分度盘中心至工作物中心的距离</t>
  </si>
  <si>
    <r>
      <rPr>
        <i/>
        <sz val="12"/>
        <rFont val="Times New Roman"/>
        <family val="1"/>
      </rPr>
      <t>l</t>
    </r>
    <r>
      <rPr>
        <sz val="12"/>
        <rFont val="Times New Roman"/>
        <family val="1"/>
      </rPr>
      <t>=</t>
    </r>
  </si>
  <si>
    <t>定位角度</t>
  </si>
  <si>
    <t>θ=</t>
  </si>
  <si>
    <r>
      <rPr>
        <sz val="14"/>
        <rFont val="Times New Roman"/>
        <family val="1"/>
      </rPr>
      <t>t</t>
    </r>
    <r>
      <rPr>
        <sz val="14"/>
        <rFont val="Times New Roman"/>
        <family val="1"/>
      </rPr>
      <t>=</t>
    </r>
  </si>
  <si>
    <t>减速机减速比</t>
  </si>
  <si>
    <t>减速机效率</t>
  </si>
  <si>
    <r>
      <rPr>
        <sz val="14"/>
        <rFont val="Times New Roman"/>
        <family val="1"/>
      </rPr>
      <t>η</t>
    </r>
    <r>
      <rPr>
        <vertAlign val="subscript"/>
        <sz val="14"/>
        <rFont val="Times New Roman"/>
        <family val="1"/>
      </rPr>
      <t>G</t>
    </r>
    <r>
      <rPr>
        <sz val="14"/>
        <rFont val="Times New Roman"/>
        <family val="1"/>
      </rPr>
      <t>=</t>
    </r>
  </si>
  <si>
    <t>1）决定加减速时间</t>
  </si>
  <si>
    <t>加减速时间仍然以定位时间的25%</t>
  </si>
  <si>
    <t>加减速时间</t>
  </si>
  <si>
    <r>
      <rPr>
        <sz val="14"/>
        <rFont val="Times New Roman"/>
        <family val="1"/>
      </rPr>
      <t>t</t>
    </r>
    <r>
      <rPr>
        <vertAlign val="subscript"/>
        <sz val="14"/>
        <rFont val="Times New Roman"/>
        <family val="1"/>
      </rPr>
      <t>0</t>
    </r>
    <r>
      <rPr>
        <sz val="14"/>
        <rFont val="Times New Roman"/>
        <family val="1"/>
      </rPr>
      <t>=</t>
    </r>
  </si>
  <si>
    <r>
      <rPr>
        <sz val="12"/>
        <rFont val="宋体"/>
        <charset val="134"/>
      </rPr>
      <t>β</t>
    </r>
    <r>
      <rPr>
        <vertAlign val="subscript"/>
        <sz val="12"/>
        <rFont val="宋体"/>
        <charset val="134"/>
      </rPr>
      <t>G</t>
    </r>
    <r>
      <rPr>
        <sz val="12"/>
        <rFont val="宋体"/>
        <charset val="134"/>
      </rPr>
      <t>=</t>
    </r>
  </si>
  <si>
    <t>减速机输出轴最大转速</t>
  </si>
  <si>
    <t>电机轴角加速度</t>
  </si>
  <si>
    <t>βm=</t>
  </si>
  <si>
    <r>
      <rPr>
        <sz val="12"/>
        <rFont val="宋体"/>
        <charset val="134"/>
      </rPr>
      <t>β</t>
    </r>
    <r>
      <rPr>
        <vertAlign val="subscript"/>
        <sz val="12"/>
        <rFont val="宋体"/>
        <charset val="134"/>
      </rPr>
      <t>G</t>
    </r>
    <r>
      <rPr>
        <sz val="12"/>
        <rFont val="宋体"/>
        <charset val="134"/>
      </rPr>
      <t>*i</t>
    </r>
  </si>
  <si>
    <t>因为摩擦负载及小，故忽略</t>
  </si>
  <si>
    <t>工作台的惯量</t>
  </si>
  <si>
    <t>JT=</t>
  </si>
  <si>
    <t>工作物的惯量</t>
  </si>
  <si>
    <r>
      <rPr>
        <sz val="12"/>
        <rFont val="宋体"/>
        <charset val="134"/>
      </rPr>
      <t>J</t>
    </r>
    <r>
      <rPr>
        <vertAlign val="subscript"/>
        <sz val="12"/>
        <rFont val="宋体"/>
        <charset val="134"/>
      </rPr>
      <t>W1</t>
    </r>
    <r>
      <rPr>
        <sz val="12"/>
        <rFont val="宋体"/>
        <charset val="134"/>
      </rPr>
      <t>=</t>
    </r>
  </si>
  <si>
    <t>（工作物同时绕工作物中心轴旋转,如果工作物没有自转，可以不考虑这部分惯量）</t>
  </si>
  <si>
    <t>工作物质量</t>
  </si>
  <si>
    <r>
      <rPr>
        <sz val="14"/>
        <rFont val="宋体"/>
        <charset val="134"/>
      </rPr>
      <t>m</t>
    </r>
    <r>
      <rPr>
        <vertAlign val="subscript"/>
        <sz val="12"/>
        <rFont val="宋体"/>
        <charset val="134"/>
      </rPr>
      <t>w</t>
    </r>
    <r>
      <rPr>
        <sz val="12"/>
        <rFont val="宋体"/>
        <charset val="134"/>
      </rPr>
      <t>=</t>
    </r>
  </si>
  <si>
    <r>
      <rPr>
        <sz val="12"/>
        <rFont val="宋体"/>
        <charset val="134"/>
      </rPr>
      <t>J</t>
    </r>
    <r>
      <rPr>
        <vertAlign val="subscript"/>
        <sz val="12"/>
        <rFont val="宋体"/>
        <charset val="134"/>
      </rPr>
      <t>W</t>
    </r>
    <r>
      <rPr>
        <sz val="12"/>
        <rFont val="宋体"/>
        <charset val="134"/>
      </rPr>
      <t>=</t>
    </r>
  </si>
  <si>
    <t>(按工作物体中心自转）</t>
  </si>
  <si>
    <r>
      <rPr>
        <sz val="12"/>
        <rFont val="宋体"/>
        <charset val="134"/>
      </rPr>
      <t>J</t>
    </r>
    <r>
      <rPr>
        <vertAlign val="subscript"/>
        <sz val="12"/>
        <rFont val="宋体"/>
        <charset val="134"/>
      </rPr>
      <t>L</t>
    </r>
    <r>
      <rPr>
        <sz val="12"/>
        <rFont val="宋体"/>
        <charset val="134"/>
      </rPr>
      <t>=</t>
    </r>
  </si>
  <si>
    <r>
      <rPr>
        <sz val="12"/>
        <rFont val="宋体"/>
        <charset val="134"/>
      </rPr>
      <t>J</t>
    </r>
    <r>
      <rPr>
        <vertAlign val="subscript"/>
        <sz val="12"/>
        <rFont val="宋体"/>
        <charset val="134"/>
      </rPr>
      <t>T</t>
    </r>
    <r>
      <rPr>
        <sz val="12"/>
        <rFont val="宋体"/>
        <charset val="134"/>
      </rPr>
      <t>+J</t>
    </r>
    <r>
      <rPr>
        <vertAlign val="subscript"/>
        <sz val="12"/>
        <rFont val="宋体"/>
        <charset val="134"/>
      </rPr>
      <t>W</t>
    </r>
  </si>
  <si>
    <t>5）加速转矩</t>
  </si>
  <si>
    <t>负载折算到电机轴上的惯量：</t>
  </si>
  <si>
    <r>
      <rPr>
        <sz val="12"/>
        <rFont val="宋体"/>
        <charset val="134"/>
      </rPr>
      <t>J</t>
    </r>
    <r>
      <rPr>
        <vertAlign val="subscript"/>
        <sz val="12"/>
        <rFont val="宋体"/>
        <charset val="134"/>
      </rPr>
      <t>LM</t>
    </r>
    <r>
      <rPr>
        <sz val="12"/>
        <rFont val="宋体"/>
        <charset val="134"/>
      </rPr>
      <t>=</t>
    </r>
  </si>
  <si>
    <r>
      <rPr>
        <sz val="12"/>
        <rFont val="宋体"/>
        <charset val="134"/>
      </rPr>
      <t>J</t>
    </r>
    <r>
      <rPr>
        <vertAlign val="subscript"/>
        <sz val="12"/>
        <rFont val="宋体"/>
        <charset val="134"/>
      </rPr>
      <t>L</t>
    </r>
    <r>
      <rPr>
        <sz val="12"/>
        <rFont val="宋体"/>
        <charset val="134"/>
      </rPr>
      <t>/i</t>
    </r>
    <r>
      <rPr>
        <vertAlign val="superscript"/>
        <sz val="12"/>
        <rFont val="宋体"/>
        <charset val="134"/>
      </rPr>
      <t>2</t>
    </r>
  </si>
  <si>
    <r>
      <rPr>
        <sz val="12"/>
        <rFont val="Times New Roman"/>
        <family val="1"/>
      </rPr>
      <t>T</t>
    </r>
    <r>
      <rPr>
        <vertAlign val="subscript"/>
        <sz val="12"/>
        <rFont val="Times New Roman"/>
        <family val="1"/>
      </rPr>
      <t>s</t>
    </r>
    <r>
      <rPr>
        <sz val="12"/>
        <rFont val="Times New Roman"/>
        <family val="1"/>
      </rPr>
      <t>=</t>
    </r>
  </si>
  <si>
    <t>6)必须转矩</t>
  </si>
  <si>
    <r>
      <rPr>
        <sz val="12"/>
        <rFont val="宋体"/>
        <charset val="134"/>
      </rPr>
      <t>（T</t>
    </r>
    <r>
      <rPr>
        <vertAlign val="subscript"/>
        <sz val="12"/>
        <rFont val="宋体"/>
        <charset val="134"/>
      </rPr>
      <t>S</t>
    </r>
    <r>
      <rPr>
        <sz val="12"/>
        <rFont val="宋体"/>
        <charset val="134"/>
      </rPr>
      <t>+T</t>
    </r>
    <r>
      <rPr>
        <vertAlign val="subscript"/>
        <sz val="12"/>
        <rFont val="宋体"/>
        <charset val="134"/>
      </rPr>
      <t>L</t>
    </r>
    <r>
      <rPr>
        <sz val="12"/>
        <rFont val="宋体"/>
        <charset val="134"/>
      </rPr>
      <t>）*S</t>
    </r>
  </si>
  <si>
    <t>其他</t>
  </si>
  <si>
    <t>一.根据运动要求计算最大转速和角加速度</t>
  </si>
  <si>
    <t>运动参数：</t>
  </si>
  <si>
    <t>每次运动角度</t>
  </si>
  <si>
    <t>负载惯量</t>
  </si>
  <si>
    <r>
      <rPr>
        <sz val="12"/>
        <rFont val="宋体"/>
        <charset val="134"/>
      </rPr>
      <t>Kg.m</t>
    </r>
    <r>
      <rPr>
        <vertAlign val="superscript"/>
        <sz val="12"/>
        <rFont val="宋体"/>
        <charset val="134"/>
      </rPr>
      <t>2</t>
    </r>
  </si>
  <si>
    <t>＝</t>
  </si>
  <si>
    <r>
      <rPr>
        <sz val="12"/>
        <rFont val="宋体"/>
        <charset val="134"/>
      </rPr>
      <t>N</t>
    </r>
    <r>
      <rPr>
        <sz val="12"/>
        <rFont val="宋体"/>
        <charset val="134"/>
      </rPr>
      <t>max</t>
    </r>
    <r>
      <rPr>
        <sz val="12"/>
        <rFont val="宋体"/>
        <charset val="134"/>
      </rPr>
      <t>=</t>
    </r>
  </si>
  <si>
    <t>Nmax*i</t>
  </si>
  <si>
    <t>电机输出扭据：</t>
  </si>
  <si>
    <t>Jβ</t>
  </si>
  <si>
    <t>Ts＝</t>
  </si>
  <si>
    <t>2×T</t>
  </si>
  <si>
    <t>常识</t>
  </si>
  <si>
    <t>一.电机温升</t>
  </si>
  <si>
    <t>电机温度是指电机各部分实际发热温度,它对电机的绝缘材影响很大,温度过高会使绝缘老化缩短电动机寿命,甚至导致绝缘破坏.</t>
  </si>
  <si>
    <t>为使绝缘不致老化和破坏,对电机绕组等各部分温度作了一定的限制,这个温度限制就是电机的允许温度.电机的各部温度的高低</t>
  </si>
  <si>
    <t>还与外界条件有关,温升就是电动机温度比周围环境温度高出的数值.</t>
  </si>
  <si>
    <t>θ＝T2-T1</t>
  </si>
  <si>
    <t>θ-------温升</t>
  </si>
  <si>
    <t>T1-------实际冷却状态下的绕组温度(即环境温度);</t>
  </si>
  <si>
    <t>T2-------发热状态下绕组温度</t>
  </si>
  <si>
    <t>二.电机功率</t>
  </si>
  <si>
    <t>1. 根据电源电压、使用条件、拖动对象选择电机.要求电源电压与电机额定电压相符.</t>
  </si>
  <si>
    <t>2. 根据安装地点和工作环境选择不同型式的电机.</t>
  </si>
  <si>
    <t>3. 根据容量、效率、功率因数、转数选择电机.如果容量选择过小,就会发生长期过载现象,影响电动机寿命甚至烧毁.</t>
  </si>
  <si>
    <t xml:space="preserve">   如果容量选择过大,电机的输出机械功率不能充分利用,功率因数也不高.因为电机的功率因数和效率是随着负载变化的.</t>
  </si>
  <si>
    <t>4. 电机在恒定负载运行下,功率计算公式如下:</t>
  </si>
  <si>
    <t>　　式中:</t>
  </si>
  <si>
    <t>　　　　 P-----电机的功率(KW);</t>
  </si>
  <si>
    <t>　　　 　P1----生产机械功率(KW);</t>
  </si>
  <si>
    <t>　  　　 η1----生产机械本身效率;</t>
  </si>
  <si>
    <r>
      <rPr>
        <sz val="12"/>
        <rFont val="宋体"/>
        <charset val="134"/>
      </rPr>
      <t>　　　　 η</t>
    </r>
    <r>
      <rPr>
        <vertAlign val="subscript"/>
        <sz val="12"/>
        <rFont val="宋体"/>
        <charset val="134"/>
      </rPr>
      <t>2</t>
    </r>
    <r>
      <rPr>
        <sz val="12"/>
        <rFont val="宋体"/>
        <charset val="134"/>
      </rPr>
      <t xml:space="preserve"> ----电机效率.</t>
    </r>
  </si>
  <si>
    <t>　　上式计算出的功率不一定与产品规格相同,所以选择电机的额定功率(P1)应等于或稍大于计算所得的功率</t>
  </si>
  <si>
    <t>圆盘选型计算表格</t>
  </si>
  <si>
    <t>分度盘半径</t>
  </si>
  <si>
    <t>π=</t>
  </si>
  <si>
    <t>工作台质量</t>
  </si>
  <si>
    <t>RPM</t>
  </si>
  <si>
    <r>
      <rPr>
        <sz val="16"/>
        <rFont val="Times New Roman"/>
        <family val="1"/>
      </rPr>
      <t>t</t>
    </r>
    <r>
      <rPr>
        <sz val="12"/>
        <rFont val="Times New Roman"/>
        <family val="1"/>
      </rPr>
      <t>=</t>
    </r>
  </si>
  <si>
    <r>
      <rPr>
        <sz val="12"/>
        <rFont val="宋体"/>
        <charset val="134"/>
      </rPr>
      <t>β</t>
    </r>
    <r>
      <rPr>
        <sz val="12"/>
        <rFont val="宋体"/>
        <charset val="134"/>
      </rPr>
      <t>=</t>
    </r>
  </si>
  <si>
    <t>(2*PI*V)/60*t0</t>
  </si>
  <si>
    <t>3)负载惯量</t>
  </si>
  <si>
    <t>根据惯量计算公司</t>
  </si>
  <si>
    <r>
      <rPr>
        <sz val="12"/>
        <rFont val="宋体"/>
        <charset val="134"/>
      </rPr>
      <t>J</t>
    </r>
    <r>
      <rPr>
        <sz val="6"/>
        <rFont val="宋体"/>
        <charset val="134"/>
      </rPr>
      <t>L</t>
    </r>
    <r>
      <rPr>
        <sz val="12"/>
        <rFont val="宋体"/>
        <charset val="134"/>
      </rPr>
      <t>=</t>
    </r>
  </si>
  <si>
    <t>0.5*M*R*R</t>
  </si>
  <si>
    <t>负载转矩</t>
  </si>
  <si>
    <r>
      <rPr>
        <sz val="12"/>
        <rFont val="宋体"/>
        <charset val="134"/>
      </rPr>
      <t>T</t>
    </r>
    <r>
      <rPr>
        <sz val="8"/>
        <rFont val="宋体"/>
        <charset val="134"/>
      </rPr>
      <t>S</t>
    </r>
    <r>
      <rPr>
        <sz val="12"/>
        <rFont val="宋体"/>
        <charset val="134"/>
      </rPr>
      <t>=</t>
    </r>
  </si>
  <si>
    <r>
      <rPr>
        <sz val="12"/>
        <rFont val="宋体"/>
        <charset val="134"/>
      </rPr>
      <t>(J</t>
    </r>
    <r>
      <rPr>
        <sz val="8"/>
        <rFont val="宋体"/>
        <charset val="134"/>
      </rPr>
      <t>L+</t>
    </r>
    <r>
      <rPr>
        <sz val="12"/>
        <rFont val="宋体"/>
        <charset val="134"/>
      </rPr>
      <t>J</t>
    </r>
    <r>
      <rPr>
        <sz val="8"/>
        <rFont val="宋体"/>
        <charset val="134"/>
      </rPr>
      <t>M)</t>
    </r>
    <r>
      <rPr>
        <sz val="12"/>
        <rFont val="宋体"/>
        <charset val="134"/>
      </rPr>
      <t>*β</t>
    </r>
  </si>
  <si>
    <r>
      <rPr>
        <sz val="12"/>
        <rFont val="宋体"/>
        <charset val="134"/>
      </rPr>
      <t>J</t>
    </r>
    <r>
      <rPr>
        <sz val="8"/>
        <rFont val="宋体"/>
        <charset val="134"/>
      </rPr>
      <t>L</t>
    </r>
    <r>
      <rPr>
        <sz val="12"/>
        <rFont val="宋体"/>
        <charset val="134"/>
      </rPr>
      <t>/J</t>
    </r>
    <r>
      <rPr>
        <sz val="8"/>
        <rFont val="宋体"/>
        <charset val="134"/>
      </rPr>
      <t>M</t>
    </r>
  </si>
  <si>
    <t>当负荷与电机惯量比&gt;5时，考虑采用减速装置，提高惯量匹配</t>
  </si>
  <si>
    <t>折算后的惯量比</t>
  </si>
  <si>
    <r>
      <rPr>
        <sz val="12"/>
        <rFont val="宋体"/>
        <charset val="134"/>
      </rPr>
      <t>I</t>
    </r>
    <r>
      <rPr>
        <vertAlign val="subscript"/>
        <sz val="12"/>
        <rFont val="宋体"/>
        <charset val="134"/>
      </rPr>
      <t>2</t>
    </r>
    <r>
      <rPr>
        <sz val="12"/>
        <rFont val="宋体"/>
        <charset val="134"/>
      </rPr>
      <t>=</t>
    </r>
  </si>
  <si>
    <t>表格换算表格只针对公制基孔或基轴制螺纹</t>
  </si>
  <si>
    <t>内螺纹</t>
  </si>
  <si>
    <t>小径公差带(单位mm)</t>
  </si>
  <si>
    <t>外螺纹</t>
  </si>
  <si>
    <t>大径公差带(mm)</t>
  </si>
  <si>
    <t>公称直径D</t>
  </si>
  <si>
    <t>螺距P</t>
  </si>
  <si>
    <t>公称直径d</t>
  </si>
  <si>
    <t>小径min</t>
  </si>
  <si>
    <t>小径max</t>
  </si>
  <si>
    <t>中径min</t>
  </si>
  <si>
    <t>中径max</t>
  </si>
  <si>
    <t>大径min</t>
  </si>
  <si>
    <t>大径max</t>
  </si>
  <si>
    <t>具体引用公式</t>
  </si>
  <si>
    <t>小径D1</t>
  </si>
  <si>
    <t>D1=D-1.0825*P</t>
  </si>
  <si>
    <t>小径d1</t>
  </si>
  <si>
    <t>d1=d-1.0825*P</t>
  </si>
  <si>
    <t>中径D2</t>
  </si>
  <si>
    <t>D2=D-0.6495*P</t>
  </si>
  <si>
    <t>中径d2</t>
  </si>
  <si>
    <t>d2=d-0.6495*P</t>
  </si>
  <si>
    <t>外螺纹大径dmin</t>
  </si>
  <si>
    <t>dmin=D-Td</t>
  </si>
  <si>
    <t>外螺纹小径d1min</t>
  </si>
  <si>
    <t>d1min=d1-2ac</t>
  </si>
  <si>
    <t>Td=k*(180*(P^2/3)-3.15(P*-1/2))</t>
  </si>
  <si>
    <t>外螺纹大径dmax</t>
  </si>
  <si>
    <t>dmax=d</t>
  </si>
  <si>
    <t>外螺纹小径d2max</t>
  </si>
  <si>
    <t>d1max=d1-2ac-Td1</t>
  </si>
  <si>
    <t>内螺纹大径Dmin</t>
  </si>
  <si>
    <t>Dmin=D+2ac(国标取消补偿2ac)</t>
  </si>
  <si>
    <t>外螺纹小径公差带Td1（h级es取0）</t>
  </si>
  <si>
    <r>
      <rPr>
        <sz val="11"/>
        <color indexed="8"/>
        <rFont val="宋体"/>
        <charset val="134"/>
      </rPr>
      <t>Td1=1.25Td2+</t>
    </r>
    <r>
      <rPr>
        <sz val="11"/>
        <color indexed="8"/>
        <rFont val="宋体"/>
        <charset val="134"/>
      </rPr>
      <t>∣</t>
    </r>
    <r>
      <rPr>
        <sz val="11"/>
        <color indexed="8"/>
        <rFont val="宋体"/>
        <charset val="134"/>
      </rPr>
      <t>es</t>
    </r>
    <r>
      <rPr>
        <sz val="11"/>
        <color indexed="8"/>
        <rFont val="宋体"/>
        <charset val="134"/>
      </rPr>
      <t>∣</t>
    </r>
  </si>
  <si>
    <t>内螺纹中径公差带TD2</t>
  </si>
  <si>
    <t>TD2=k*118*（P^0.4）*（D^0.1）</t>
  </si>
  <si>
    <t>外螺纹中径公差带Td2</t>
  </si>
  <si>
    <t>Td2=k*90*（P^0.4）*（d^0.1）</t>
  </si>
  <si>
    <t>K值选用</t>
  </si>
  <si>
    <t>内螺纹公差等级表格</t>
  </si>
  <si>
    <t>外螺纹公差等级表格</t>
  </si>
  <si>
    <t>参考书籍：机械设计手册（第五版）第一卷 第2篇 2-111页</t>
  </si>
  <si>
    <r>
      <rPr>
        <b/>
        <sz val="10.5"/>
        <color rgb="FF000000"/>
        <rFont val="宋体"/>
        <charset val="134"/>
      </rPr>
      <t>上偏差</t>
    </r>
    <r>
      <rPr>
        <b/>
        <sz val="10.5"/>
        <color rgb="FF000000"/>
        <rFont val="Times New Roman"/>
        <family val="1"/>
      </rPr>
      <t>es /μm</t>
    </r>
  </si>
  <si>
    <t>基本偏差数值</t>
  </si>
  <si>
    <r>
      <rPr>
        <b/>
        <sz val="10.5"/>
        <color rgb="FF000000"/>
        <rFont val="宋体"/>
        <charset val="134"/>
      </rPr>
      <t>下偏差</t>
    </r>
    <r>
      <rPr>
        <b/>
        <sz val="10.5"/>
        <color rgb="FF000000"/>
        <rFont val="Times New Roman"/>
        <family val="1"/>
      </rPr>
      <t>ei /μm</t>
    </r>
  </si>
  <si>
    <t>/mm</t>
  </si>
  <si>
    <t>所有标准公差等级</t>
  </si>
  <si>
    <t>≤</t>
  </si>
  <si>
    <t>和</t>
  </si>
  <si>
    <r>
      <rPr>
        <b/>
        <sz val="10.5"/>
        <color rgb="FF000000"/>
        <rFont val="宋体"/>
        <charset val="134"/>
      </rPr>
      <t>＞</t>
    </r>
    <r>
      <rPr>
        <b/>
        <sz val="10.5"/>
        <color rgb="FF000000"/>
        <rFont val="Times New Roman"/>
        <family val="1"/>
      </rPr>
      <t>IT7</t>
    </r>
  </si>
  <si>
    <t>cd</t>
  </si>
  <si>
    <t>ef</t>
  </si>
  <si>
    <t>fg</t>
  </si>
  <si>
    <t>j</t>
  </si>
  <si>
    <t>za</t>
  </si>
  <si>
    <t>zb</t>
  </si>
  <si>
    <t>zc</t>
  </si>
  <si>
    <t>+5Z</t>
  </si>
  <si>
    <r>
      <rPr>
        <sz val="10.5"/>
        <color theme="1"/>
        <rFont val="宋体"/>
        <charset val="134"/>
      </rPr>
      <t>注：</t>
    </r>
    <r>
      <rPr>
        <sz val="10.5"/>
        <color theme="1"/>
        <rFont val="Times New Roman"/>
        <family val="1"/>
      </rPr>
      <t>1</t>
    </r>
    <r>
      <rPr>
        <sz val="10.5"/>
        <color theme="1"/>
        <rFont val="黑体"/>
        <family val="3"/>
        <charset val="134"/>
      </rPr>
      <t>．</t>
    </r>
    <r>
      <rPr>
        <sz val="10.5"/>
        <color theme="1"/>
        <rFont val="宋体"/>
        <charset val="134"/>
      </rPr>
      <t>基本尺寸小于或等于</t>
    </r>
    <r>
      <rPr>
        <sz val="10.5"/>
        <color theme="1"/>
        <rFont val="Times New Roman"/>
        <family val="1"/>
      </rPr>
      <t>1mm</t>
    </r>
    <r>
      <rPr>
        <sz val="10.5"/>
        <color theme="1"/>
        <rFont val="宋体"/>
        <charset val="134"/>
      </rPr>
      <t>时，基本偏差</t>
    </r>
    <r>
      <rPr>
        <sz val="10.5"/>
        <color theme="1"/>
        <rFont val="Times New Roman"/>
        <family val="1"/>
      </rPr>
      <t>a</t>
    </r>
    <r>
      <rPr>
        <sz val="10.5"/>
        <color theme="1"/>
        <rFont val="宋体"/>
        <charset val="134"/>
      </rPr>
      <t>和</t>
    </r>
    <r>
      <rPr>
        <sz val="10.5"/>
        <color theme="1"/>
        <rFont val="Times New Roman"/>
        <family val="1"/>
      </rPr>
      <t>b</t>
    </r>
    <r>
      <rPr>
        <sz val="10.5"/>
        <color theme="1"/>
        <rFont val="宋体"/>
        <charset val="134"/>
      </rPr>
      <t>均不采用。</t>
    </r>
  </si>
  <si>
    <r>
      <rPr>
        <sz val="10.5"/>
        <color theme="1"/>
        <rFont val="Times New Roman"/>
        <family val="1"/>
      </rPr>
      <t>2</t>
    </r>
    <r>
      <rPr>
        <sz val="10.5"/>
        <color theme="1"/>
        <rFont val="黑体"/>
        <family val="3"/>
        <charset val="134"/>
      </rPr>
      <t>．</t>
    </r>
    <r>
      <rPr>
        <sz val="10.5"/>
        <color theme="1"/>
        <rFont val="宋体"/>
        <charset val="134"/>
      </rPr>
      <t>轴</t>
    </r>
    <r>
      <rPr>
        <sz val="10.5"/>
        <color theme="1"/>
        <rFont val="Times New Roman"/>
        <family val="1"/>
      </rPr>
      <t>js</t>
    </r>
    <r>
      <rPr>
        <sz val="10.5"/>
        <color theme="1"/>
        <rFont val="宋体"/>
        <charset val="134"/>
      </rPr>
      <t>偏差＝</t>
    </r>
    <r>
      <rPr>
        <sz val="10.5"/>
        <color theme="1"/>
        <rFont val="Times New Roman"/>
        <family val="1"/>
      </rPr>
      <t xml:space="preserve">            </t>
    </r>
    <r>
      <rPr>
        <sz val="10.5"/>
        <color theme="1"/>
        <rFont val="宋体"/>
        <charset val="134"/>
      </rPr>
      <t>。对于公差带</t>
    </r>
    <r>
      <rPr>
        <sz val="10.5"/>
        <color theme="1"/>
        <rFont val="Times New Roman"/>
        <family val="1"/>
      </rPr>
      <t>js7</t>
    </r>
    <r>
      <rPr>
        <sz val="10.5"/>
        <color theme="1"/>
        <rFont val="宋体"/>
        <charset val="134"/>
      </rPr>
      <t>至</t>
    </r>
    <r>
      <rPr>
        <sz val="10.5"/>
        <color theme="1"/>
        <rFont val="Times New Roman"/>
        <family val="1"/>
      </rPr>
      <t>js11</t>
    </r>
    <r>
      <rPr>
        <sz val="10.5"/>
        <color theme="1"/>
        <rFont val="宋体"/>
        <charset val="134"/>
      </rPr>
      <t>，若</t>
    </r>
    <r>
      <rPr>
        <sz val="10.5"/>
        <color theme="1"/>
        <rFont val="Times New Roman"/>
        <family val="1"/>
      </rPr>
      <t>ITn</t>
    </r>
    <r>
      <rPr>
        <sz val="10.5"/>
        <color theme="1"/>
        <rFont val="宋体"/>
        <charset val="134"/>
      </rPr>
      <t>值数是奇数，取偏差＝</t>
    </r>
  </si>
  <si>
    <r>
      <rPr>
        <b/>
        <sz val="25"/>
        <color theme="1"/>
        <rFont val="宋体"/>
        <charset val="134"/>
      </rPr>
      <t>U</t>
    </r>
    <r>
      <rPr>
        <b/>
        <sz val="25"/>
        <color theme="1"/>
        <rFont val="宋体"/>
        <charset val="134"/>
      </rPr>
      <t>CT</t>
    </r>
    <r>
      <rPr>
        <b/>
        <sz val="25"/>
        <color theme="1"/>
        <rFont val="宋体"/>
        <charset val="134"/>
      </rPr>
      <t>带滑块轴承座规格表</t>
    </r>
  </si>
  <si>
    <t>电机选型</t>
    <phoneticPr fontId="378" type="noConversion"/>
  </si>
  <si>
    <t>皮带轮</t>
    <phoneticPr fontId="378" type="noConversion"/>
  </si>
  <si>
    <t>气动选型</t>
    <phoneticPr fontId="378" type="noConversion"/>
  </si>
  <si>
    <t>丝杆运动</t>
    <phoneticPr fontId="378" type="noConversion"/>
  </si>
  <si>
    <t>齿轮计算</t>
    <phoneticPr fontId="378" type="noConversion"/>
  </si>
  <si>
    <t>螺杆螺纹</t>
    <phoneticPr fontId="378" type="noConversion"/>
  </si>
  <si>
    <t>蜗杆计算</t>
    <phoneticPr fontId="378" type="noConversion"/>
  </si>
  <si>
    <t>单位换算</t>
    <phoneticPr fontId="378" type="noConversion"/>
  </si>
  <si>
    <t>带轮计算</t>
    <phoneticPr fontId="378" type="noConversion"/>
  </si>
  <si>
    <t>链轮&amp;链条</t>
    <phoneticPr fontId="378" type="noConversion"/>
  </si>
  <si>
    <t>材料学</t>
    <phoneticPr fontId="378" type="noConversion"/>
  </si>
  <si>
    <t>键槽&amp;销计算</t>
    <phoneticPr fontId="378" type="noConversion"/>
  </si>
  <si>
    <t>凸轮分割器选型</t>
    <phoneticPr fontId="378" type="noConversion"/>
  </si>
  <si>
    <t>其他公式</t>
    <phoneticPr fontId="378" type="noConversion"/>
  </si>
  <si>
    <t>弹簧</t>
    <phoneticPr fontId="378" type="noConversion"/>
  </si>
  <si>
    <t>标准件C</t>
    <phoneticPr fontId="378" type="noConversion"/>
  </si>
  <si>
    <t>标准件B</t>
    <phoneticPr fontId="378" type="noConversion"/>
  </si>
  <si>
    <t>标准件A</t>
    <phoneticPr fontId="378" type="noConversion"/>
  </si>
  <si>
    <t>公差查询</t>
    <phoneticPr fontId="378" type="noConversion"/>
  </si>
  <si>
    <t>凸轮</t>
    <phoneticPr fontId="378" type="noConversion"/>
  </si>
  <si>
    <t>机械配合</t>
    <phoneticPr fontId="378" type="noConversion"/>
  </si>
  <si>
    <t>力学性能2</t>
    <phoneticPr fontId="378" type="noConversion"/>
  </si>
  <si>
    <t>制作者：范芳源</t>
  </si>
  <si>
    <t>同步带节线长计算</t>
    <phoneticPr fontId="378" type="noConversion"/>
  </si>
  <si>
    <t>无杆侧</t>
  </si>
  <si>
    <t>有杆侧</t>
  </si>
  <si>
    <t>气压(MPa)</t>
  </si>
  <si>
    <t>效率(η)</t>
  </si>
  <si>
    <t>推力(N)</t>
  </si>
  <si>
    <t>推力(Kg)</t>
  </si>
  <si>
    <t>气缸推力计算</t>
    <phoneticPr fontId="378" type="noConversion"/>
  </si>
  <si>
    <t>真空元件的选定</t>
    <phoneticPr fontId="378" type="noConversion"/>
  </si>
  <si>
    <t>真空用元件的选定</t>
    <phoneticPr fontId="378" type="noConversion"/>
  </si>
  <si>
    <t>公制迫牙丝攻钻孔径</t>
  </si>
  <si>
    <t>美制迫牙丝攻钻孔径</t>
  </si>
  <si>
    <t>G4-G6</t>
  </si>
  <si>
    <t>G7-G8</t>
  </si>
  <si>
    <t>G9</t>
  </si>
  <si>
    <t>NO.2-56UNC</t>
  </si>
  <si>
    <t>NO.3-48</t>
  </si>
  <si>
    <t>NO.4-40</t>
  </si>
  <si>
    <t>NO.5-40</t>
  </si>
  <si>
    <t>NO.6-32</t>
  </si>
  <si>
    <t>NO.8-32</t>
  </si>
  <si>
    <t>NO.10-24</t>
  </si>
  <si>
    <t>NO.12-24</t>
  </si>
  <si>
    <t>NO.2-64UNF</t>
  </si>
  <si>
    <t>NO.3-56</t>
  </si>
  <si>
    <t>NO.4-48</t>
  </si>
  <si>
    <t>NO.5-44</t>
  </si>
  <si>
    <t>NO.6-40</t>
  </si>
  <si>
    <t>NO.8-36</t>
  </si>
  <si>
    <t>NO.10-32</t>
  </si>
  <si>
    <t>NO.12-28</t>
  </si>
  <si>
    <t>螺丝攻牙钻孔径和滚造径对照表</t>
    <phoneticPr fontId="378" type="noConversion"/>
  </si>
  <si>
    <t>螺丝攻牙钻孔径</t>
    <phoneticPr fontId="378" type="noConversion"/>
  </si>
  <si>
    <t>英制管螺纹</t>
    <phoneticPr fontId="378" type="noConversion"/>
  </si>
  <si>
    <t>管螺纹对照表</t>
    <phoneticPr fontId="378" type="noConversion"/>
  </si>
  <si>
    <t>螺栓扭矩标准</t>
    <phoneticPr fontId="378" type="noConversion"/>
  </si>
  <si>
    <t>螺栓直径</t>
  </si>
  <si>
    <r>
      <t>S</t>
    </r>
    <r>
      <rPr>
        <sz val="12"/>
        <rFont val="新細明體"/>
        <family val="1"/>
        <scheme val="minor"/>
      </rPr>
      <t>尺寸</t>
    </r>
  </si>
  <si>
    <t>日本标准</t>
  </si>
  <si>
    <t>德国标准</t>
  </si>
  <si>
    <t>M33</t>
  </si>
  <si>
    <t>M39</t>
  </si>
  <si>
    <t>M52</t>
  </si>
  <si>
    <t>M56</t>
  </si>
  <si>
    <t>M56X4</t>
  </si>
  <si>
    <t>M64</t>
  </si>
  <si>
    <t>M64X4</t>
  </si>
  <si>
    <t>M76X4</t>
  </si>
  <si>
    <t>M100</t>
  </si>
  <si>
    <r>
      <t>螺栓扭矩标准（</t>
    </r>
    <r>
      <rPr>
        <sz val="20"/>
        <rFont val="Times New Roman"/>
        <family val="1"/>
      </rPr>
      <t>kg/m)</t>
    </r>
    <phoneticPr fontId="378" type="noConversion"/>
  </si>
  <si>
    <r>
      <t>规格</t>
    </r>
    <r>
      <rPr>
        <sz val="14"/>
        <rFont val="Times New Roman"/>
        <family val="1"/>
      </rPr>
      <t>(UNEF)</t>
    </r>
  </si>
  <si>
    <t>针车用螺纹</t>
    <phoneticPr fontId="378" type="noConversion"/>
  </si>
  <si>
    <t>螺纹及针车用螺纹</t>
    <phoneticPr fontId="378" type="noConversion"/>
  </si>
  <si>
    <t>蜗杆常用材料</t>
  </si>
  <si>
    <t>蜗杆常用材料</t>
    <phoneticPr fontId="378" type="noConversion"/>
  </si>
  <si>
    <t>热处理</t>
  </si>
  <si>
    <t>齿面光洁度</t>
  </si>
  <si>
    <r>
      <t>45</t>
    </r>
    <r>
      <rPr>
        <sz val="14"/>
        <rFont val="楷体_GB2312"/>
        <charset val="134"/>
      </rPr>
      <t>,40Cr,</t>
    </r>
    <r>
      <rPr>
        <sz val="14"/>
        <color indexed="10"/>
        <rFont val="楷体_GB2312"/>
        <charset val="134"/>
      </rPr>
      <t>40CrNi</t>
    </r>
    <r>
      <rPr>
        <sz val="14"/>
        <rFont val="楷体_GB2312"/>
        <charset val="134"/>
      </rPr>
      <t>,35SiMn,</t>
    </r>
    <r>
      <rPr>
        <sz val="14"/>
        <color indexed="10"/>
        <rFont val="楷体_GB2312"/>
        <charset val="134"/>
      </rPr>
      <t>42SiMn</t>
    </r>
    <r>
      <rPr>
        <sz val="14"/>
        <rFont val="楷体_GB2312"/>
        <charset val="134"/>
      </rPr>
      <t>,37SiMn2MoV,</t>
    </r>
    <r>
      <rPr>
        <sz val="14"/>
        <color indexed="10"/>
        <rFont val="楷体_GB2312"/>
        <charset val="134"/>
      </rPr>
      <t>38SiMnMo</t>
    </r>
  </si>
  <si>
    <t>HRC=45-55</t>
  </si>
  <si>
    <t>△7-△8</t>
  </si>
  <si>
    <r>
      <t>20Cr</t>
    </r>
    <r>
      <rPr>
        <sz val="14"/>
        <rFont val="楷体_GB2312"/>
        <charset val="134"/>
      </rPr>
      <t>,20CrV,</t>
    </r>
    <r>
      <rPr>
        <sz val="14"/>
        <color indexed="10"/>
        <rFont val="楷体_GB2312"/>
        <charset val="134"/>
      </rPr>
      <t>18CrMnTi</t>
    </r>
    <r>
      <rPr>
        <sz val="14"/>
        <rFont val="楷体_GB2312"/>
        <charset val="134"/>
      </rPr>
      <t>,20CrMnTi,</t>
    </r>
    <r>
      <rPr>
        <sz val="14"/>
        <color indexed="10"/>
        <rFont val="楷体_GB2312"/>
        <charset val="134"/>
      </rPr>
      <t>12CrNi3A</t>
    </r>
    <r>
      <rPr>
        <sz val="14"/>
        <rFont val="楷体_GB2312"/>
        <charset val="134"/>
      </rPr>
      <t>,20MnVB,</t>
    </r>
    <r>
      <rPr>
        <sz val="14"/>
        <color indexed="10"/>
        <rFont val="楷体_GB2312"/>
        <charset val="134"/>
      </rPr>
      <t>20SiMnVB</t>
    </r>
  </si>
  <si>
    <t>渗碳淬火</t>
  </si>
  <si>
    <t>HRC=58-63</t>
  </si>
  <si>
    <r>
      <t>40Cr</t>
    </r>
    <r>
      <rPr>
        <sz val="14"/>
        <rFont val="楷体_GB2312"/>
        <charset val="134"/>
      </rPr>
      <t>,40CrNi,</t>
    </r>
    <r>
      <rPr>
        <sz val="14"/>
        <color indexed="10"/>
        <rFont val="楷体_GB2312"/>
        <charset val="134"/>
      </rPr>
      <t>38CrMnTi</t>
    </r>
    <r>
      <rPr>
        <sz val="14"/>
        <rFont val="楷体_GB2312"/>
        <charset val="134"/>
      </rPr>
      <t>,35CrMo</t>
    </r>
  </si>
  <si>
    <t>HRC=30-38</t>
  </si>
  <si>
    <t>45（用于不重要的传动）</t>
  </si>
  <si>
    <t>HB=255-270</t>
  </si>
  <si>
    <t>△5</t>
  </si>
  <si>
    <t>皮带传动</t>
    <phoneticPr fontId="378" type="noConversion"/>
  </si>
  <si>
    <r>
      <rPr>
        <sz val="12"/>
        <rFont val="楷体_GB2312"/>
        <charset val="134"/>
      </rPr>
      <t>链轮齿数</t>
    </r>
  </si>
  <si>
    <r>
      <t>d</t>
    </r>
    <r>
      <rPr>
        <sz val="8"/>
        <rFont val="Arial"/>
        <family val="2"/>
      </rPr>
      <t>1</t>
    </r>
  </si>
  <si>
    <r>
      <rPr>
        <sz val="12"/>
        <rFont val="楷体_GB2312"/>
        <charset val="134"/>
      </rPr>
      <t>滚子外径</t>
    </r>
  </si>
  <si>
    <r>
      <rPr>
        <sz val="12"/>
        <rFont val="楷体_GB2312"/>
        <charset val="134"/>
      </rPr>
      <t>机械Ⅲ表</t>
    </r>
    <r>
      <rPr>
        <sz val="12"/>
        <rFont val="Arial"/>
        <family val="2"/>
      </rPr>
      <t>13-2-1</t>
    </r>
  </si>
  <si>
    <r>
      <rPr>
        <sz val="12"/>
        <rFont val="楷体_GB2312"/>
        <charset val="134"/>
      </rPr>
      <t>链条排距</t>
    </r>
  </si>
  <si>
    <r>
      <rPr>
        <sz val="12"/>
        <rFont val="楷体_GB2312"/>
        <charset val="134"/>
      </rPr>
      <t>分度圆直径</t>
    </r>
  </si>
  <si>
    <r>
      <t>d=p/sin</t>
    </r>
    <r>
      <rPr>
        <sz val="12"/>
        <rFont val="楷体_GB2312"/>
        <charset val="134"/>
      </rPr>
      <t>（</t>
    </r>
    <r>
      <rPr>
        <sz val="12"/>
        <rFont val="Arial"/>
        <family val="2"/>
      </rPr>
      <t>180°/z</t>
    </r>
    <r>
      <rPr>
        <sz val="12"/>
        <rFont val="楷体_GB2312"/>
        <charset val="134"/>
      </rPr>
      <t>）</t>
    </r>
  </si>
  <si>
    <r>
      <rPr>
        <sz val="12"/>
        <rFont val="楷体_GB2312"/>
        <charset val="134"/>
      </rPr>
      <t>齿顶圆直径</t>
    </r>
  </si>
  <si>
    <r>
      <t>da=</t>
    </r>
    <r>
      <rPr>
        <sz val="11"/>
        <color indexed="8"/>
        <rFont val="Arial"/>
        <family val="2"/>
      </rPr>
      <t>p</t>
    </r>
    <r>
      <rPr>
        <sz val="12"/>
        <rFont val="楷体_GB2312"/>
        <charset val="134"/>
      </rPr>
      <t>（</t>
    </r>
    <r>
      <rPr>
        <sz val="11"/>
        <color indexed="8"/>
        <rFont val="Arial"/>
        <family val="2"/>
      </rPr>
      <t>0.54+cot180/z</t>
    </r>
    <r>
      <rPr>
        <sz val="11"/>
        <color indexed="8"/>
        <rFont val="楷体_GB2312"/>
        <charset val="134"/>
      </rPr>
      <t>）</t>
    </r>
  </si>
  <si>
    <r>
      <rPr>
        <sz val="12"/>
        <rFont val="楷体_GB2312"/>
        <charset val="134"/>
      </rPr>
      <t>齿根圆直径</t>
    </r>
  </si>
  <si>
    <r>
      <rPr>
        <sz val="12"/>
        <rFont val="楷体_GB2312"/>
        <charset val="134"/>
      </rPr>
      <t>分度圆弦齿高</t>
    </r>
  </si>
  <si>
    <t>ha=0.27p</t>
  </si>
  <si>
    <r>
      <rPr>
        <sz val="12"/>
        <rFont val="楷体_GB2312"/>
        <charset val="134"/>
      </rPr>
      <t>内链板高度</t>
    </r>
  </si>
  <si>
    <r>
      <rPr>
        <sz val="12"/>
        <rFont val="楷体_GB2312"/>
        <charset val="134"/>
      </rPr>
      <t>齿侧凸缘直径</t>
    </r>
  </si>
  <si>
    <r>
      <t>dg</t>
    </r>
    <r>
      <rPr>
        <sz val="12"/>
        <rFont val="楷体_GB2312"/>
        <charset val="134"/>
      </rPr>
      <t>≤</t>
    </r>
    <r>
      <rPr>
        <sz val="12"/>
        <rFont val="Arial"/>
        <family val="2"/>
      </rPr>
      <t>pcot180°/z-1.04h</t>
    </r>
    <r>
      <rPr>
        <vertAlign val="subscript"/>
        <sz val="12"/>
        <rFont val="Arial"/>
        <family val="2"/>
      </rPr>
      <t>2</t>
    </r>
    <r>
      <rPr>
        <sz val="11"/>
        <color indexed="8"/>
        <rFont val="Arial"/>
        <family val="2"/>
      </rPr>
      <t>-0.76</t>
    </r>
  </si>
  <si>
    <r>
      <rPr>
        <sz val="12"/>
        <rFont val="楷体_GB2312"/>
        <charset val="134"/>
      </rPr>
      <t>机械Ⅲ表</t>
    </r>
    <r>
      <rPr>
        <sz val="12"/>
        <rFont val="Arial"/>
        <family val="2"/>
      </rPr>
      <t>13-2-15</t>
    </r>
  </si>
  <si>
    <r>
      <rPr>
        <sz val="12"/>
        <rFont val="楷体_GB2312"/>
        <charset val="134"/>
      </rPr>
      <t>轮毂厚度</t>
    </r>
  </si>
  <si>
    <t>h=K+dk/6+0.01d</t>
  </si>
  <si>
    <r>
      <rPr>
        <sz val="12"/>
        <rFont val="楷体_GB2312"/>
        <charset val="134"/>
      </rPr>
      <t>轮毂长度</t>
    </r>
  </si>
  <si>
    <r>
      <t>l</t>
    </r>
    <r>
      <rPr>
        <vertAlign val="subscript"/>
        <sz val="12"/>
        <rFont val="Arial"/>
        <family val="2"/>
      </rPr>
      <t>min</t>
    </r>
    <r>
      <rPr>
        <sz val="11"/>
        <color indexed="8"/>
        <rFont val="Arial"/>
        <family val="2"/>
      </rPr>
      <t>=2.6h</t>
    </r>
  </si>
  <si>
    <t>dh</t>
  </si>
  <si>
    <r>
      <rPr>
        <sz val="11"/>
        <color indexed="8"/>
        <rFont val="楷体_GB2312"/>
        <charset val="134"/>
      </rPr>
      <t>轮毂直径</t>
    </r>
  </si>
  <si>
    <t>dh=dk+2h</t>
  </si>
  <si>
    <r>
      <t>d</t>
    </r>
    <r>
      <rPr>
        <vertAlign val="subscript"/>
        <sz val="12"/>
        <rFont val="Arial"/>
        <family val="2"/>
      </rPr>
      <t>hmax</t>
    </r>
    <r>
      <rPr>
        <sz val="12"/>
        <rFont val="楷体_GB2312"/>
        <charset val="134"/>
      </rPr>
      <t>〈</t>
    </r>
    <r>
      <rPr>
        <sz val="12"/>
        <rFont val="Arial"/>
        <family val="2"/>
      </rPr>
      <t>dg</t>
    </r>
  </si>
  <si>
    <r>
      <rPr>
        <sz val="11"/>
        <color indexed="8"/>
        <rFont val="楷体_GB2312"/>
        <charset val="134"/>
      </rPr>
      <t>内节内宽</t>
    </r>
  </si>
  <si>
    <r>
      <rPr>
        <sz val="11"/>
        <color indexed="8"/>
        <rFont val="楷体_GB2312"/>
        <charset val="134"/>
      </rPr>
      <t>机械Ⅲ表</t>
    </r>
    <r>
      <rPr>
        <sz val="11"/>
        <color indexed="8"/>
        <rFont val="Arial"/>
        <family val="2"/>
      </rPr>
      <t>13-2-1</t>
    </r>
  </si>
  <si>
    <t>bf</t>
  </si>
  <si>
    <r>
      <rPr>
        <sz val="11"/>
        <color indexed="8"/>
        <rFont val="楷体_GB2312"/>
        <charset val="134"/>
      </rPr>
      <t>齿宽</t>
    </r>
  </si>
  <si>
    <t>bf=0.95b1</t>
  </si>
  <si>
    <r>
      <t>M</t>
    </r>
    <r>
      <rPr>
        <vertAlign val="subscript"/>
        <sz val="12"/>
        <rFont val="Arial"/>
        <family val="2"/>
      </rPr>
      <t>R</t>
    </r>
  </si>
  <si>
    <r>
      <rPr>
        <sz val="11"/>
        <color indexed="8"/>
        <rFont val="楷体_GB2312"/>
        <charset val="134"/>
      </rPr>
      <t>量柱测量距</t>
    </r>
  </si>
  <si>
    <r>
      <t>M</t>
    </r>
    <r>
      <rPr>
        <vertAlign val="subscript"/>
        <sz val="12"/>
        <rFont val="Arial"/>
        <family val="2"/>
      </rPr>
      <t>R</t>
    </r>
    <r>
      <rPr>
        <sz val="11"/>
        <color indexed="8"/>
        <rFont val="Arial"/>
        <family val="2"/>
      </rPr>
      <t>=dcos90°/z+d</t>
    </r>
    <r>
      <rPr>
        <vertAlign val="subscript"/>
        <sz val="12"/>
        <rFont val="Arial"/>
        <family val="2"/>
      </rPr>
      <t>Rmin</t>
    </r>
    <r>
      <rPr>
        <sz val="12"/>
        <rFont val="楷体_GB2312"/>
        <charset val="134"/>
      </rPr>
      <t>（</t>
    </r>
    <r>
      <rPr>
        <sz val="11"/>
        <color indexed="8"/>
        <rFont val="Arial"/>
        <family val="2"/>
      </rPr>
      <t>d</t>
    </r>
    <r>
      <rPr>
        <vertAlign val="subscript"/>
        <sz val="12"/>
        <rFont val="Arial"/>
        <family val="2"/>
      </rPr>
      <t>R</t>
    </r>
    <r>
      <rPr>
        <sz val="11"/>
        <color indexed="8"/>
        <rFont val="Arial"/>
        <family val="2"/>
      </rPr>
      <t>=d</t>
    </r>
    <r>
      <rPr>
        <vertAlign val="subscript"/>
        <sz val="12"/>
        <rFont val="Arial"/>
        <family val="2"/>
      </rPr>
      <t>1</t>
    </r>
    <r>
      <rPr>
        <sz val="11"/>
        <color indexed="8"/>
        <rFont val="楷体_GB2312"/>
        <charset val="134"/>
      </rPr>
      <t>）</t>
    </r>
  </si>
  <si>
    <r>
      <t>b</t>
    </r>
    <r>
      <rPr>
        <vertAlign val="subscript"/>
        <sz val="12"/>
        <rFont val="Arial"/>
        <family val="2"/>
      </rPr>
      <t>R</t>
    </r>
  </si>
  <si>
    <r>
      <rPr>
        <sz val="11"/>
        <color indexed="8"/>
        <rFont val="楷体_GB2312"/>
        <charset val="134"/>
      </rPr>
      <t>量柱直径</t>
    </r>
  </si>
  <si>
    <t>链轮计算</t>
    <phoneticPr fontId="378" type="noConversion"/>
  </si>
  <si>
    <t>链条计算</t>
    <phoneticPr fontId="378" type="noConversion"/>
  </si>
  <si>
    <t>材料摩擦系数</t>
    <phoneticPr fontId="378" type="noConversion"/>
  </si>
  <si>
    <r>
      <t>钢</t>
    </r>
    <r>
      <rPr>
        <sz val="12"/>
        <rFont val="Times New Roman"/>
        <family val="1"/>
      </rPr>
      <t>-</t>
    </r>
    <r>
      <rPr>
        <sz val="12"/>
        <rFont val="新細明體"/>
        <family val="1"/>
        <scheme val="minor"/>
      </rPr>
      <t>钢</t>
    </r>
  </si>
  <si>
    <r>
      <t>钢</t>
    </r>
    <r>
      <rPr>
        <sz val="12"/>
        <rFont val="Times New Roman"/>
        <family val="1"/>
      </rPr>
      <t>-</t>
    </r>
    <r>
      <rPr>
        <sz val="12"/>
        <rFont val="新細明體"/>
        <family val="1"/>
        <scheme val="minor"/>
      </rPr>
      <t>铸钢</t>
    </r>
  </si>
  <si>
    <r>
      <t>钢</t>
    </r>
    <r>
      <rPr>
        <sz val="12"/>
        <rFont val="Times New Roman"/>
        <family val="1"/>
      </rPr>
      <t>-</t>
    </r>
    <r>
      <rPr>
        <sz val="12"/>
        <rFont val="新細明體"/>
        <family val="1"/>
        <scheme val="minor"/>
      </rPr>
      <t>结构钢</t>
    </r>
  </si>
  <si>
    <r>
      <t>钢</t>
    </r>
    <r>
      <rPr>
        <sz val="12"/>
        <rFont val="Times New Roman"/>
        <family val="1"/>
      </rPr>
      <t>-</t>
    </r>
    <r>
      <rPr>
        <sz val="12"/>
        <rFont val="新細明體"/>
        <family val="1"/>
        <scheme val="minor"/>
      </rPr>
      <t>优质结构钢</t>
    </r>
  </si>
  <si>
    <r>
      <t>钢</t>
    </r>
    <r>
      <rPr>
        <sz val="12"/>
        <rFont val="Times New Roman"/>
        <family val="1"/>
      </rPr>
      <t>-</t>
    </r>
    <r>
      <rPr>
        <sz val="12"/>
        <rFont val="新細明體"/>
        <family val="1"/>
        <scheme val="minor"/>
      </rPr>
      <t>青铜</t>
    </r>
  </si>
  <si>
    <r>
      <t>钢</t>
    </r>
    <r>
      <rPr>
        <sz val="12"/>
        <rFont val="Times New Roman"/>
        <family val="1"/>
      </rPr>
      <t>-</t>
    </r>
    <r>
      <rPr>
        <sz val="12"/>
        <rFont val="新細明體"/>
        <family val="1"/>
        <scheme val="minor"/>
      </rPr>
      <t>铸铁</t>
    </r>
  </si>
  <si>
    <r>
      <t>铸铁</t>
    </r>
    <r>
      <rPr>
        <sz val="12"/>
        <rFont val="Times New Roman"/>
        <family val="1"/>
      </rPr>
      <t>-</t>
    </r>
    <r>
      <rPr>
        <sz val="12"/>
        <rFont val="新細明體"/>
        <family val="1"/>
        <scheme val="minor"/>
      </rPr>
      <t>铸铁</t>
    </r>
  </si>
  <si>
    <t>材料摩擦系数</t>
    <phoneticPr fontId="378" type="noConversion"/>
  </si>
  <si>
    <t>分度盘选型计算公式</t>
    <phoneticPr fontId="378" type="noConversion"/>
  </si>
  <si>
    <t>分度盘机构选型计算表格</t>
    <phoneticPr fontId="378" type="noConversion"/>
  </si>
  <si>
    <r>
      <t>70.1螺钉重量，单位：克</t>
    </r>
    <r>
      <rPr>
        <sz val="12"/>
        <rFont val="新細明體"/>
        <family val="1"/>
        <scheme val="minor"/>
      </rPr>
      <t xml:space="preserve">  8.8</t>
    </r>
  </si>
  <si>
    <t>M6×10</t>
  </si>
  <si>
    <t>M8×12</t>
  </si>
  <si>
    <t>M10×16</t>
  </si>
  <si>
    <t>M12×20</t>
  </si>
  <si>
    <t>M14×25</t>
  </si>
  <si>
    <t>M16×25</t>
  </si>
  <si>
    <t>M20×30</t>
  </si>
  <si>
    <t>M24×40</t>
  </si>
  <si>
    <t>M6×12</t>
  </si>
  <si>
    <t>M8×14</t>
  </si>
  <si>
    <t>M10×20</t>
  </si>
  <si>
    <t>M12×25</t>
  </si>
  <si>
    <t>M14×30</t>
  </si>
  <si>
    <t>M16×30</t>
  </si>
  <si>
    <t>M20×35</t>
  </si>
  <si>
    <t>M24×45</t>
  </si>
  <si>
    <t>M6×14</t>
  </si>
  <si>
    <t>M8×16</t>
  </si>
  <si>
    <t>M10×25</t>
  </si>
  <si>
    <t>M12×30</t>
  </si>
  <si>
    <t>M14×35</t>
  </si>
  <si>
    <t>M16×35</t>
  </si>
  <si>
    <t>M20×40</t>
  </si>
  <si>
    <t>M24×50</t>
  </si>
  <si>
    <t>M6×16</t>
  </si>
  <si>
    <t>M8×20</t>
  </si>
  <si>
    <t>M10×30</t>
  </si>
  <si>
    <t>M12×35</t>
  </si>
  <si>
    <t>M14×40</t>
  </si>
  <si>
    <t>M16×40</t>
  </si>
  <si>
    <t>M20×45</t>
  </si>
  <si>
    <t>M24×55</t>
  </si>
  <si>
    <t>M6×20</t>
  </si>
  <si>
    <t>M8×25</t>
  </si>
  <si>
    <t>M10×35</t>
  </si>
  <si>
    <t>M12×40</t>
  </si>
  <si>
    <t>M14×45</t>
  </si>
  <si>
    <t>M16×45</t>
  </si>
  <si>
    <t>M20×50</t>
  </si>
  <si>
    <t>M24×60</t>
  </si>
  <si>
    <t>M6×25</t>
  </si>
  <si>
    <t>M8×30</t>
  </si>
  <si>
    <t>M10×40</t>
  </si>
  <si>
    <t>M12×45</t>
  </si>
  <si>
    <t>M14×50</t>
  </si>
  <si>
    <t>M16×50</t>
  </si>
  <si>
    <t>M20×55</t>
  </si>
  <si>
    <t>M24×65</t>
  </si>
  <si>
    <t>M6×30</t>
  </si>
  <si>
    <t>M8×35</t>
  </si>
  <si>
    <t>M10×45</t>
  </si>
  <si>
    <t>M12×50</t>
  </si>
  <si>
    <t>M14×55</t>
  </si>
  <si>
    <t>M16×55</t>
  </si>
  <si>
    <t>M20×60</t>
  </si>
  <si>
    <t>M24×70</t>
  </si>
  <si>
    <t>M6×35</t>
  </si>
  <si>
    <t>M8×40</t>
  </si>
  <si>
    <t>M10×50</t>
  </si>
  <si>
    <t>M12×55</t>
  </si>
  <si>
    <t>M14×60</t>
  </si>
  <si>
    <t>M16×60</t>
  </si>
  <si>
    <t>M20×65</t>
  </si>
  <si>
    <t>M24×80</t>
  </si>
  <si>
    <t>M6×40</t>
  </si>
  <si>
    <t>M8×45</t>
  </si>
  <si>
    <t>M10×55</t>
  </si>
  <si>
    <t>M12×60</t>
  </si>
  <si>
    <t>M14×65</t>
  </si>
  <si>
    <t>M16×65</t>
  </si>
  <si>
    <t>M20×70</t>
  </si>
  <si>
    <t>M24×90</t>
  </si>
  <si>
    <t>M6×45</t>
  </si>
  <si>
    <t>M8×50</t>
  </si>
  <si>
    <t>M10×60</t>
  </si>
  <si>
    <t>M12×65</t>
  </si>
  <si>
    <t>M14×70</t>
  </si>
  <si>
    <t>M16×70</t>
  </si>
  <si>
    <t>M20×80</t>
  </si>
  <si>
    <t>M24×100</t>
  </si>
  <si>
    <t>M6×50</t>
  </si>
  <si>
    <t>M8×55</t>
  </si>
  <si>
    <t>M10×65</t>
  </si>
  <si>
    <t>M12×70</t>
  </si>
  <si>
    <t>M14×80</t>
  </si>
  <si>
    <t>M16×80</t>
  </si>
  <si>
    <t>M20×90</t>
  </si>
  <si>
    <t>M24×110</t>
  </si>
  <si>
    <t>M6×55</t>
  </si>
  <si>
    <t>M8×60</t>
  </si>
  <si>
    <t>M10×70</t>
  </si>
  <si>
    <t>M12×80</t>
  </si>
  <si>
    <t>M14×90</t>
  </si>
  <si>
    <t>M16×90</t>
  </si>
  <si>
    <t>M20×100</t>
  </si>
  <si>
    <t>M24×120</t>
  </si>
  <si>
    <t>M6×60</t>
  </si>
  <si>
    <t>M8×65</t>
  </si>
  <si>
    <t>M10×80</t>
  </si>
  <si>
    <t>M12×90</t>
  </si>
  <si>
    <t>M14×100</t>
  </si>
  <si>
    <t>M16×100</t>
  </si>
  <si>
    <t>M20×110</t>
  </si>
  <si>
    <t>M24×130</t>
  </si>
  <si>
    <t>M8×70</t>
  </si>
  <si>
    <t>M10×90</t>
  </si>
  <si>
    <t>M12×100</t>
  </si>
  <si>
    <t>M14×110</t>
  </si>
  <si>
    <t>M16×110</t>
  </si>
  <si>
    <t>M20×120</t>
  </si>
  <si>
    <t>M24×140</t>
  </si>
  <si>
    <t>M8×80</t>
  </si>
  <si>
    <t>M10×100</t>
  </si>
  <si>
    <t>M12×110</t>
  </si>
  <si>
    <t>M14×120</t>
  </si>
  <si>
    <t>M16×120</t>
  </si>
  <si>
    <t>M20×130</t>
  </si>
  <si>
    <t>M24×150</t>
  </si>
  <si>
    <t>螺母、垫圈的重量，单位：克</t>
  </si>
  <si>
    <t>M12×120</t>
  </si>
  <si>
    <t>M14×130</t>
  </si>
  <si>
    <t>M16×130</t>
  </si>
  <si>
    <t>M20×140</t>
  </si>
  <si>
    <t>M24×160</t>
  </si>
  <si>
    <t>螺纹直径</t>
  </si>
  <si>
    <t>6170螺母</t>
  </si>
  <si>
    <t>铜螺母</t>
  </si>
  <si>
    <t>97.1垫圈</t>
  </si>
  <si>
    <t>铜垫圈</t>
  </si>
  <si>
    <t>93垫圈</t>
  </si>
  <si>
    <t>M14×140</t>
  </si>
  <si>
    <t>M16×140</t>
  </si>
  <si>
    <t>M20×150</t>
  </si>
  <si>
    <t>M24×180</t>
  </si>
  <si>
    <t>M16×150</t>
  </si>
  <si>
    <t>M20×160</t>
  </si>
  <si>
    <t>M24×200</t>
  </si>
  <si>
    <t>M16×160</t>
  </si>
  <si>
    <t>M20×180</t>
  </si>
  <si>
    <r>
      <t>825</t>
    </r>
    <r>
      <rPr>
        <sz val="12"/>
        <rFont val="新細明體"/>
        <family val="1"/>
        <scheme val="minor"/>
      </rPr>
      <t>吊环螺钉重量、单螺钉起吊重量，单位：克、吨</t>
    </r>
  </si>
  <si>
    <t>M20×200</t>
  </si>
  <si>
    <t>M8*16</t>
  </si>
  <si>
    <t>丝堵</t>
  </si>
  <si>
    <t>M10*20</t>
  </si>
  <si>
    <t>1/8</t>
  </si>
  <si>
    <t>M12*22</t>
  </si>
  <si>
    <t>1/4</t>
  </si>
  <si>
    <t>M16*28</t>
  </si>
  <si>
    <t>M72×6</t>
  </si>
  <si>
    <t>M80×6</t>
  </si>
  <si>
    <r>
      <t>GB5781-2000</t>
    </r>
    <r>
      <rPr>
        <sz val="12"/>
        <rFont val="新細明體"/>
        <family val="1"/>
        <scheme val="minor"/>
      </rPr>
      <t>螺栓重量，单位：克</t>
    </r>
  </si>
  <si>
    <r>
      <t>M1</t>
    </r>
    <r>
      <rPr>
        <sz val="12"/>
        <rFont val="新細明體"/>
        <family val="1"/>
        <scheme val="minor"/>
      </rPr>
      <t>2</t>
    </r>
    <r>
      <rPr>
        <sz val="12"/>
        <rFont val="新細明體"/>
        <family val="1"/>
        <scheme val="minor"/>
      </rPr>
      <t>×2</t>
    </r>
    <r>
      <rPr>
        <sz val="12"/>
        <rFont val="新細明體"/>
        <family val="1"/>
        <scheme val="minor"/>
      </rPr>
      <t>5</t>
    </r>
  </si>
  <si>
    <r>
      <t>M1</t>
    </r>
    <r>
      <rPr>
        <sz val="12"/>
        <rFont val="新細明體"/>
        <family val="1"/>
        <scheme val="minor"/>
      </rPr>
      <t>4</t>
    </r>
    <r>
      <rPr>
        <sz val="12"/>
        <rFont val="新細明體"/>
        <family val="1"/>
        <scheme val="minor"/>
      </rPr>
      <t>×</t>
    </r>
    <r>
      <rPr>
        <sz val="12"/>
        <rFont val="新細明體"/>
        <family val="1"/>
        <scheme val="minor"/>
      </rPr>
      <t>30</t>
    </r>
  </si>
  <si>
    <r>
      <t>M1</t>
    </r>
    <r>
      <rPr>
        <sz val="12"/>
        <rFont val="新細明體"/>
        <family val="1"/>
        <scheme val="minor"/>
      </rPr>
      <t>6</t>
    </r>
    <r>
      <rPr>
        <sz val="12"/>
        <rFont val="新細明體"/>
        <family val="1"/>
        <scheme val="minor"/>
      </rPr>
      <t>×</t>
    </r>
    <r>
      <rPr>
        <sz val="12"/>
        <rFont val="新細明體"/>
        <family val="1"/>
        <scheme val="minor"/>
      </rPr>
      <t>35</t>
    </r>
  </si>
  <si>
    <r>
      <t>M</t>
    </r>
    <r>
      <rPr>
        <sz val="12"/>
        <rFont val="新細明體"/>
        <family val="1"/>
        <scheme val="minor"/>
      </rPr>
      <t>20</t>
    </r>
    <r>
      <rPr>
        <sz val="12"/>
        <rFont val="新細明體"/>
        <family val="1"/>
        <scheme val="minor"/>
      </rPr>
      <t>×</t>
    </r>
    <r>
      <rPr>
        <sz val="12"/>
        <rFont val="新細明體"/>
        <family val="1"/>
        <scheme val="minor"/>
      </rPr>
      <t>40</t>
    </r>
  </si>
  <si>
    <r>
      <t>M</t>
    </r>
    <r>
      <rPr>
        <sz val="12"/>
        <rFont val="新細明體"/>
        <family val="1"/>
        <scheme val="minor"/>
      </rPr>
      <t>24</t>
    </r>
    <r>
      <rPr>
        <sz val="12"/>
        <rFont val="新細明體"/>
        <family val="1"/>
        <scheme val="minor"/>
      </rPr>
      <t>×</t>
    </r>
    <r>
      <rPr>
        <sz val="12"/>
        <rFont val="新細明體"/>
        <family val="1"/>
        <scheme val="minor"/>
      </rPr>
      <t>50</t>
    </r>
  </si>
  <si>
    <r>
      <t>M8×</t>
    </r>
    <r>
      <rPr>
        <sz val="12"/>
        <rFont val="新細明體"/>
        <family val="1"/>
        <scheme val="minor"/>
      </rPr>
      <t>20</t>
    </r>
  </si>
  <si>
    <r>
      <t>M10×2</t>
    </r>
    <r>
      <rPr>
        <sz val="12"/>
        <rFont val="新細明體"/>
        <family val="1"/>
        <scheme val="minor"/>
      </rPr>
      <t>5</t>
    </r>
  </si>
  <si>
    <r>
      <t>M1</t>
    </r>
    <r>
      <rPr>
        <sz val="12"/>
        <rFont val="新細明體"/>
        <family val="1"/>
        <scheme val="minor"/>
      </rPr>
      <t>2</t>
    </r>
    <r>
      <rPr>
        <sz val="12"/>
        <rFont val="新細明體"/>
        <family val="1"/>
        <scheme val="minor"/>
      </rPr>
      <t>×</t>
    </r>
    <r>
      <rPr>
        <sz val="12"/>
        <rFont val="新細明體"/>
        <family val="1"/>
        <scheme val="minor"/>
      </rPr>
      <t>30</t>
    </r>
  </si>
  <si>
    <r>
      <t>M1</t>
    </r>
    <r>
      <rPr>
        <sz val="12"/>
        <rFont val="新細明體"/>
        <family val="1"/>
        <scheme val="minor"/>
      </rPr>
      <t>4</t>
    </r>
    <r>
      <rPr>
        <sz val="12"/>
        <rFont val="新細明體"/>
        <family val="1"/>
        <scheme val="minor"/>
      </rPr>
      <t>×</t>
    </r>
    <r>
      <rPr>
        <sz val="12"/>
        <rFont val="新細明體"/>
        <family val="1"/>
        <scheme val="minor"/>
      </rPr>
      <t>35</t>
    </r>
  </si>
  <si>
    <r>
      <t>M1</t>
    </r>
    <r>
      <rPr>
        <sz val="12"/>
        <rFont val="新細明體"/>
        <family val="1"/>
        <scheme val="minor"/>
      </rPr>
      <t>6</t>
    </r>
    <r>
      <rPr>
        <sz val="12"/>
        <rFont val="新細明體"/>
        <family val="1"/>
        <scheme val="minor"/>
      </rPr>
      <t>×</t>
    </r>
    <r>
      <rPr>
        <sz val="12"/>
        <rFont val="新細明體"/>
        <family val="1"/>
        <scheme val="minor"/>
      </rPr>
      <t>40</t>
    </r>
  </si>
  <si>
    <r>
      <t>M</t>
    </r>
    <r>
      <rPr>
        <sz val="12"/>
        <rFont val="新細明體"/>
        <family val="1"/>
        <scheme val="minor"/>
      </rPr>
      <t>20</t>
    </r>
    <r>
      <rPr>
        <sz val="12"/>
        <rFont val="新細明體"/>
        <family val="1"/>
        <scheme val="minor"/>
      </rPr>
      <t>×</t>
    </r>
    <r>
      <rPr>
        <sz val="12"/>
        <rFont val="新細明體"/>
        <family val="1"/>
        <scheme val="minor"/>
      </rPr>
      <t>45</t>
    </r>
  </si>
  <si>
    <r>
      <t>M</t>
    </r>
    <r>
      <rPr>
        <sz val="12"/>
        <rFont val="新細明體"/>
        <family val="1"/>
        <scheme val="minor"/>
      </rPr>
      <t>24</t>
    </r>
    <r>
      <rPr>
        <sz val="12"/>
        <rFont val="新細明體"/>
        <family val="1"/>
        <scheme val="minor"/>
      </rPr>
      <t>×</t>
    </r>
    <r>
      <rPr>
        <sz val="12"/>
        <rFont val="新細明體"/>
        <family val="1"/>
        <scheme val="minor"/>
      </rPr>
      <t>55</t>
    </r>
  </si>
  <si>
    <r>
      <t>M8×</t>
    </r>
    <r>
      <rPr>
        <sz val="12"/>
        <rFont val="新細明體"/>
        <family val="1"/>
        <scheme val="minor"/>
      </rPr>
      <t>25</t>
    </r>
  </si>
  <si>
    <r>
      <t>M10×</t>
    </r>
    <r>
      <rPr>
        <sz val="12"/>
        <rFont val="新細明體"/>
        <family val="1"/>
        <scheme val="minor"/>
      </rPr>
      <t>30</t>
    </r>
  </si>
  <si>
    <r>
      <t>M1</t>
    </r>
    <r>
      <rPr>
        <sz val="12"/>
        <rFont val="新細明體"/>
        <family val="1"/>
        <scheme val="minor"/>
      </rPr>
      <t>2</t>
    </r>
    <r>
      <rPr>
        <sz val="12"/>
        <rFont val="新細明體"/>
        <family val="1"/>
        <scheme val="minor"/>
      </rPr>
      <t>×</t>
    </r>
    <r>
      <rPr>
        <sz val="12"/>
        <rFont val="新細明體"/>
        <family val="1"/>
        <scheme val="minor"/>
      </rPr>
      <t>35</t>
    </r>
  </si>
  <si>
    <r>
      <t>M1</t>
    </r>
    <r>
      <rPr>
        <sz val="12"/>
        <rFont val="新細明體"/>
        <family val="1"/>
        <scheme val="minor"/>
      </rPr>
      <t>4</t>
    </r>
    <r>
      <rPr>
        <sz val="12"/>
        <rFont val="新細明體"/>
        <family val="1"/>
        <scheme val="minor"/>
      </rPr>
      <t>×</t>
    </r>
    <r>
      <rPr>
        <sz val="12"/>
        <rFont val="新細明體"/>
        <family val="1"/>
        <scheme val="minor"/>
      </rPr>
      <t>40</t>
    </r>
  </si>
  <si>
    <r>
      <t>M1</t>
    </r>
    <r>
      <rPr>
        <sz val="12"/>
        <rFont val="新細明體"/>
        <family val="1"/>
        <scheme val="minor"/>
      </rPr>
      <t>6</t>
    </r>
    <r>
      <rPr>
        <sz val="12"/>
        <rFont val="新細明體"/>
        <family val="1"/>
        <scheme val="minor"/>
      </rPr>
      <t>×</t>
    </r>
    <r>
      <rPr>
        <sz val="12"/>
        <rFont val="新細明體"/>
        <family val="1"/>
        <scheme val="minor"/>
      </rPr>
      <t>45</t>
    </r>
  </si>
  <si>
    <r>
      <t>M</t>
    </r>
    <r>
      <rPr>
        <sz val="12"/>
        <rFont val="新細明體"/>
        <family val="1"/>
        <scheme val="minor"/>
      </rPr>
      <t>20</t>
    </r>
    <r>
      <rPr>
        <sz val="12"/>
        <rFont val="新細明體"/>
        <family val="1"/>
        <scheme val="minor"/>
      </rPr>
      <t>×</t>
    </r>
    <r>
      <rPr>
        <sz val="12"/>
        <rFont val="新細明體"/>
        <family val="1"/>
        <scheme val="minor"/>
      </rPr>
      <t>50</t>
    </r>
  </si>
  <si>
    <r>
      <t>M</t>
    </r>
    <r>
      <rPr>
        <sz val="12"/>
        <rFont val="新細明體"/>
        <family val="1"/>
        <scheme val="minor"/>
      </rPr>
      <t>24</t>
    </r>
    <r>
      <rPr>
        <sz val="12"/>
        <rFont val="新細明體"/>
        <family val="1"/>
        <scheme val="minor"/>
      </rPr>
      <t>×</t>
    </r>
    <r>
      <rPr>
        <sz val="12"/>
        <rFont val="新細明體"/>
        <family val="1"/>
        <scheme val="minor"/>
      </rPr>
      <t>60</t>
    </r>
  </si>
  <si>
    <r>
      <t>M8×</t>
    </r>
    <r>
      <rPr>
        <sz val="12"/>
        <rFont val="新細明體"/>
        <family val="1"/>
        <scheme val="minor"/>
      </rPr>
      <t>30</t>
    </r>
  </si>
  <si>
    <r>
      <t>M10×</t>
    </r>
    <r>
      <rPr>
        <sz val="12"/>
        <rFont val="新細明體"/>
        <family val="1"/>
        <scheme val="minor"/>
      </rPr>
      <t>35</t>
    </r>
  </si>
  <si>
    <r>
      <t>M1</t>
    </r>
    <r>
      <rPr>
        <sz val="12"/>
        <rFont val="新細明體"/>
        <family val="1"/>
        <scheme val="minor"/>
      </rPr>
      <t>2</t>
    </r>
    <r>
      <rPr>
        <sz val="12"/>
        <rFont val="新細明體"/>
        <family val="1"/>
        <scheme val="minor"/>
      </rPr>
      <t>×</t>
    </r>
    <r>
      <rPr>
        <sz val="12"/>
        <rFont val="新細明體"/>
        <family val="1"/>
        <scheme val="minor"/>
      </rPr>
      <t>40</t>
    </r>
  </si>
  <si>
    <r>
      <t>M1</t>
    </r>
    <r>
      <rPr>
        <sz val="12"/>
        <rFont val="新細明體"/>
        <family val="1"/>
        <scheme val="minor"/>
      </rPr>
      <t>4</t>
    </r>
    <r>
      <rPr>
        <sz val="12"/>
        <rFont val="新細明體"/>
        <family val="1"/>
        <scheme val="minor"/>
      </rPr>
      <t>×</t>
    </r>
    <r>
      <rPr>
        <sz val="12"/>
        <rFont val="新細明體"/>
        <family val="1"/>
        <scheme val="minor"/>
      </rPr>
      <t>45</t>
    </r>
  </si>
  <si>
    <r>
      <t>M1</t>
    </r>
    <r>
      <rPr>
        <sz val="12"/>
        <rFont val="新細明體"/>
        <family val="1"/>
        <scheme val="minor"/>
      </rPr>
      <t>6</t>
    </r>
    <r>
      <rPr>
        <sz val="12"/>
        <rFont val="新細明體"/>
        <family val="1"/>
        <scheme val="minor"/>
      </rPr>
      <t>×</t>
    </r>
    <r>
      <rPr>
        <sz val="12"/>
        <rFont val="新細明體"/>
        <family val="1"/>
        <scheme val="minor"/>
      </rPr>
      <t>50</t>
    </r>
  </si>
  <si>
    <r>
      <t>M</t>
    </r>
    <r>
      <rPr>
        <sz val="12"/>
        <rFont val="新細明體"/>
        <family val="1"/>
        <scheme val="minor"/>
      </rPr>
      <t>20</t>
    </r>
    <r>
      <rPr>
        <sz val="12"/>
        <rFont val="新細明體"/>
        <family val="1"/>
        <scheme val="minor"/>
      </rPr>
      <t>×</t>
    </r>
    <r>
      <rPr>
        <sz val="12"/>
        <rFont val="新細明體"/>
        <family val="1"/>
        <scheme val="minor"/>
      </rPr>
      <t>55</t>
    </r>
  </si>
  <si>
    <r>
      <t>M</t>
    </r>
    <r>
      <rPr>
        <sz val="12"/>
        <rFont val="新細明體"/>
        <family val="1"/>
        <scheme val="minor"/>
      </rPr>
      <t>24</t>
    </r>
    <r>
      <rPr>
        <sz val="12"/>
        <rFont val="新細明體"/>
        <family val="1"/>
        <scheme val="minor"/>
      </rPr>
      <t>×</t>
    </r>
    <r>
      <rPr>
        <sz val="12"/>
        <rFont val="新細明體"/>
        <family val="1"/>
        <scheme val="minor"/>
      </rPr>
      <t>65</t>
    </r>
  </si>
  <si>
    <r>
      <t>M8×</t>
    </r>
    <r>
      <rPr>
        <sz val="12"/>
        <rFont val="新細明體"/>
        <family val="1"/>
        <scheme val="minor"/>
      </rPr>
      <t>35</t>
    </r>
  </si>
  <si>
    <r>
      <t>M10×</t>
    </r>
    <r>
      <rPr>
        <sz val="12"/>
        <rFont val="新細明體"/>
        <family val="1"/>
        <scheme val="minor"/>
      </rPr>
      <t>40</t>
    </r>
  </si>
  <si>
    <r>
      <t>M1</t>
    </r>
    <r>
      <rPr>
        <sz val="12"/>
        <rFont val="新細明體"/>
        <family val="1"/>
        <scheme val="minor"/>
      </rPr>
      <t>2</t>
    </r>
    <r>
      <rPr>
        <sz val="12"/>
        <rFont val="新細明體"/>
        <family val="1"/>
        <scheme val="minor"/>
      </rPr>
      <t>×</t>
    </r>
    <r>
      <rPr>
        <sz val="12"/>
        <rFont val="新細明體"/>
        <family val="1"/>
        <scheme val="minor"/>
      </rPr>
      <t>45</t>
    </r>
  </si>
  <si>
    <r>
      <t>M1</t>
    </r>
    <r>
      <rPr>
        <sz val="12"/>
        <rFont val="新細明體"/>
        <family val="1"/>
        <scheme val="minor"/>
      </rPr>
      <t>4</t>
    </r>
    <r>
      <rPr>
        <sz val="12"/>
        <rFont val="新細明體"/>
        <family val="1"/>
        <scheme val="minor"/>
      </rPr>
      <t>×</t>
    </r>
    <r>
      <rPr>
        <sz val="12"/>
        <rFont val="新細明體"/>
        <family val="1"/>
        <scheme val="minor"/>
      </rPr>
      <t>50</t>
    </r>
  </si>
  <si>
    <r>
      <t>M1</t>
    </r>
    <r>
      <rPr>
        <sz val="12"/>
        <rFont val="新細明體"/>
        <family val="1"/>
        <scheme val="minor"/>
      </rPr>
      <t>6</t>
    </r>
    <r>
      <rPr>
        <sz val="12"/>
        <rFont val="新細明體"/>
        <family val="1"/>
        <scheme val="minor"/>
      </rPr>
      <t>×</t>
    </r>
    <r>
      <rPr>
        <sz val="12"/>
        <rFont val="新細明體"/>
        <family val="1"/>
        <scheme val="minor"/>
      </rPr>
      <t>55</t>
    </r>
  </si>
  <si>
    <r>
      <t>M</t>
    </r>
    <r>
      <rPr>
        <sz val="12"/>
        <rFont val="新細明體"/>
        <family val="1"/>
        <scheme val="minor"/>
      </rPr>
      <t>20</t>
    </r>
    <r>
      <rPr>
        <sz val="12"/>
        <rFont val="新細明體"/>
        <family val="1"/>
        <scheme val="minor"/>
      </rPr>
      <t>×</t>
    </r>
    <r>
      <rPr>
        <sz val="12"/>
        <rFont val="新細明體"/>
        <family val="1"/>
        <scheme val="minor"/>
      </rPr>
      <t>60</t>
    </r>
  </si>
  <si>
    <r>
      <t>M</t>
    </r>
    <r>
      <rPr>
        <sz val="12"/>
        <rFont val="新細明體"/>
        <family val="1"/>
        <scheme val="minor"/>
      </rPr>
      <t>24</t>
    </r>
    <r>
      <rPr>
        <sz val="12"/>
        <rFont val="新細明體"/>
        <family val="1"/>
        <scheme val="minor"/>
      </rPr>
      <t>×</t>
    </r>
    <r>
      <rPr>
        <sz val="12"/>
        <rFont val="新細明體"/>
        <family val="1"/>
        <scheme val="minor"/>
      </rPr>
      <t>70</t>
    </r>
  </si>
  <si>
    <r>
      <t>M8×</t>
    </r>
    <r>
      <rPr>
        <sz val="12"/>
        <rFont val="新細明體"/>
        <family val="1"/>
        <scheme val="minor"/>
      </rPr>
      <t>40</t>
    </r>
  </si>
  <si>
    <r>
      <t>M10×</t>
    </r>
    <r>
      <rPr>
        <sz val="12"/>
        <rFont val="新細明體"/>
        <family val="1"/>
        <scheme val="minor"/>
      </rPr>
      <t>45</t>
    </r>
  </si>
  <si>
    <r>
      <t>M1</t>
    </r>
    <r>
      <rPr>
        <sz val="12"/>
        <rFont val="新細明體"/>
        <family val="1"/>
        <scheme val="minor"/>
      </rPr>
      <t>2</t>
    </r>
    <r>
      <rPr>
        <sz val="12"/>
        <rFont val="新細明體"/>
        <family val="1"/>
        <scheme val="minor"/>
      </rPr>
      <t>×</t>
    </r>
    <r>
      <rPr>
        <sz val="12"/>
        <rFont val="新細明體"/>
        <family val="1"/>
        <scheme val="minor"/>
      </rPr>
      <t>50</t>
    </r>
  </si>
  <si>
    <r>
      <t>M1</t>
    </r>
    <r>
      <rPr>
        <sz val="12"/>
        <rFont val="新細明體"/>
        <family val="1"/>
        <scheme val="minor"/>
      </rPr>
      <t>4</t>
    </r>
    <r>
      <rPr>
        <sz val="12"/>
        <rFont val="新細明體"/>
        <family val="1"/>
        <scheme val="minor"/>
      </rPr>
      <t>×</t>
    </r>
    <r>
      <rPr>
        <sz val="12"/>
        <rFont val="新細明體"/>
        <family val="1"/>
        <scheme val="minor"/>
      </rPr>
      <t>60</t>
    </r>
  </si>
  <si>
    <r>
      <t>M1</t>
    </r>
    <r>
      <rPr>
        <sz val="12"/>
        <rFont val="新細明體"/>
        <family val="1"/>
        <scheme val="minor"/>
      </rPr>
      <t>6</t>
    </r>
    <r>
      <rPr>
        <sz val="12"/>
        <rFont val="新細明體"/>
        <family val="1"/>
        <scheme val="minor"/>
      </rPr>
      <t>×</t>
    </r>
    <r>
      <rPr>
        <sz val="12"/>
        <rFont val="新細明體"/>
        <family val="1"/>
        <scheme val="minor"/>
      </rPr>
      <t>60</t>
    </r>
  </si>
  <si>
    <r>
      <t>M</t>
    </r>
    <r>
      <rPr>
        <sz val="12"/>
        <rFont val="新細明體"/>
        <family val="1"/>
        <scheme val="minor"/>
      </rPr>
      <t>20</t>
    </r>
    <r>
      <rPr>
        <sz val="12"/>
        <rFont val="新細明體"/>
        <family val="1"/>
        <scheme val="minor"/>
      </rPr>
      <t>×</t>
    </r>
    <r>
      <rPr>
        <sz val="12"/>
        <rFont val="新細明體"/>
        <family val="1"/>
        <scheme val="minor"/>
      </rPr>
      <t>65</t>
    </r>
  </si>
  <si>
    <r>
      <t>M</t>
    </r>
    <r>
      <rPr>
        <sz val="12"/>
        <rFont val="新細明體"/>
        <family val="1"/>
        <scheme val="minor"/>
      </rPr>
      <t>24</t>
    </r>
    <r>
      <rPr>
        <sz val="12"/>
        <rFont val="新細明體"/>
        <family val="1"/>
        <scheme val="minor"/>
      </rPr>
      <t>×</t>
    </r>
    <r>
      <rPr>
        <sz val="12"/>
        <rFont val="新細明體"/>
        <family val="1"/>
        <scheme val="minor"/>
      </rPr>
      <t>80</t>
    </r>
  </si>
  <si>
    <r>
      <t>M8×</t>
    </r>
    <r>
      <rPr>
        <sz val="12"/>
        <rFont val="新細明體"/>
        <family val="1"/>
        <scheme val="minor"/>
      </rPr>
      <t>45</t>
    </r>
  </si>
  <si>
    <r>
      <t>M10×</t>
    </r>
    <r>
      <rPr>
        <sz val="12"/>
        <rFont val="新細明體"/>
        <family val="1"/>
        <scheme val="minor"/>
      </rPr>
      <t>50</t>
    </r>
  </si>
  <si>
    <r>
      <t>M1</t>
    </r>
    <r>
      <rPr>
        <sz val="12"/>
        <rFont val="新細明體"/>
        <family val="1"/>
        <scheme val="minor"/>
      </rPr>
      <t>2</t>
    </r>
    <r>
      <rPr>
        <sz val="12"/>
        <rFont val="新細明體"/>
        <family val="1"/>
        <scheme val="minor"/>
      </rPr>
      <t>×</t>
    </r>
    <r>
      <rPr>
        <sz val="12"/>
        <rFont val="新細明體"/>
        <family val="1"/>
        <scheme val="minor"/>
      </rPr>
      <t>60</t>
    </r>
  </si>
  <si>
    <r>
      <t>M1</t>
    </r>
    <r>
      <rPr>
        <sz val="12"/>
        <rFont val="新細明體"/>
        <family val="1"/>
        <scheme val="minor"/>
      </rPr>
      <t>4</t>
    </r>
    <r>
      <rPr>
        <sz val="12"/>
        <rFont val="新細明體"/>
        <family val="1"/>
        <scheme val="minor"/>
      </rPr>
      <t>×</t>
    </r>
    <r>
      <rPr>
        <sz val="12"/>
        <rFont val="新細明體"/>
        <family val="1"/>
        <scheme val="minor"/>
      </rPr>
      <t>70</t>
    </r>
  </si>
  <si>
    <r>
      <t>M1</t>
    </r>
    <r>
      <rPr>
        <sz val="12"/>
        <rFont val="新細明體"/>
        <family val="1"/>
        <scheme val="minor"/>
      </rPr>
      <t>6</t>
    </r>
    <r>
      <rPr>
        <sz val="12"/>
        <rFont val="新細明體"/>
        <family val="1"/>
        <scheme val="minor"/>
      </rPr>
      <t>×</t>
    </r>
    <r>
      <rPr>
        <sz val="12"/>
        <rFont val="新細明體"/>
        <family val="1"/>
        <scheme val="minor"/>
      </rPr>
      <t>65</t>
    </r>
  </si>
  <si>
    <r>
      <t>M</t>
    </r>
    <r>
      <rPr>
        <sz val="12"/>
        <rFont val="新細明體"/>
        <family val="1"/>
        <scheme val="minor"/>
      </rPr>
      <t>20</t>
    </r>
    <r>
      <rPr>
        <sz val="12"/>
        <rFont val="新細明體"/>
        <family val="1"/>
        <scheme val="minor"/>
      </rPr>
      <t>×</t>
    </r>
    <r>
      <rPr>
        <sz val="12"/>
        <rFont val="新細明體"/>
        <family val="1"/>
        <scheme val="minor"/>
      </rPr>
      <t>70</t>
    </r>
  </si>
  <si>
    <r>
      <t>M</t>
    </r>
    <r>
      <rPr>
        <sz val="12"/>
        <rFont val="新細明體"/>
        <family val="1"/>
        <scheme val="minor"/>
      </rPr>
      <t>24</t>
    </r>
    <r>
      <rPr>
        <sz val="12"/>
        <rFont val="新細明體"/>
        <family val="1"/>
        <scheme val="minor"/>
      </rPr>
      <t>×</t>
    </r>
    <r>
      <rPr>
        <sz val="12"/>
        <rFont val="新細明體"/>
        <family val="1"/>
        <scheme val="minor"/>
      </rPr>
      <t>90</t>
    </r>
  </si>
  <si>
    <r>
      <t>M10×</t>
    </r>
    <r>
      <rPr>
        <sz val="12"/>
        <rFont val="新細明體"/>
        <family val="1"/>
        <scheme val="minor"/>
      </rPr>
      <t>60</t>
    </r>
  </si>
  <si>
    <r>
      <t>M1</t>
    </r>
    <r>
      <rPr>
        <sz val="12"/>
        <rFont val="新細明體"/>
        <family val="1"/>
        <scheme val="minor"/>
      </rPr>
      <t>2</t>
    </r>
    <r>
      <rPr>
        <sz val="12"/>
        <rFont val="新細明體"/>
        <family val="1"/>
        <scheme val="minor"/>
      </rPr>
      <t>×</t>
    </r>
    <r>
      <rPr>
        <sz val="12"/>
        <rFont val="新細明體"/>
        <family val="1"/>
        <scheme val="minor"/>
      </rPr>
      <t>70</t>
    </r>
  </si>
  <si>
    <r>
      <t>M1</t>
    </r>
    <r>
      <rPr>
        <sz val="12"/>
        <rFont val="新細明體"/>
        <family val="1"/>
        <scheme val="minor"/>
      </rPr>
      <t>4</t>
    </r>
    <r>
      <rPr>
        <sz val="12"/>
        <rFont val="新細明體"/>
        <family val="1"/>
        <scheme val="minor"/>
      </rPr>
      <t>×</t>
    </r>
    <r>
      <rPr>
        <sz val="12"/>
        <rFont val="新細明體"/>
        <family val="1"/>
        <scheme val="minor"/>
      </rPr>
      <t>80</t>
    </r>
  </si>
  <si>
    <r>
      <t>M1</t>
    </r>
    <r>
      <rPr>
        <sz val="12"/>
        <rFont val="新細明體"/>
        <family val="1"/>
        <scheme val="minor"/>
      </rPr>
      <t>6</t>
    </r>
    <r>
      <rPr>
        <sz val="12"/>
        <rFont val="新細明體"/>
        <family val="1"/>
        <scheme val="minor"/>
      </rPr>
      <t>×</t>
    </r>
    <r>
      <rPr>
        <sz val="12"/>
        <rFont val="新細明體"/>
        <family val="1"/>
        <scheme val="minor"/>
      </rPr>
      <t>70</t>
    </r>
  </si>
  <si>
    <r>
      <t>M</t>
    </r>
    <r>
      <rPr>
        <sz val="12"/>
        <rFont val="新細明體"/>
        <family val="1"/>
        <scheme val="minor"/>
      </rPr>
      <t>20</t>
    </r>
    <r>
      <rPr>
        <sz val="12"/>
        <rFont val="新細明體"/>
        <family val="1"/>
        <scheme val="minor"/>
      </rPr>
      <t>×</t>
    </r>
    <r>
      <rPr>
        <sz val="12"/>
        <rFont val="新細明體"/>
        <family val="1"/>
        <scheme val="minor"/>
      </rPr>
      <t>80</t>
    </r>
  </si>
  <si>
    <r>
      <t>M</t>
    </r>
    <r>
      <rPr>
        <sz val="12"/>
        <rFont val="新細明體"/>
        <family val="1"/>
        <scheme val="minor"/>
      </rPr>
      <t>24</t>
    </r>
    <r>
      <rPr>
        <sz val="12"/>
        <rFont val="新細明體"/>
        <family val="1"/>
        <scheme val="minor"/>
      </rPr>
      <t>×</t>
    </r>
    <r>
      <rPr>
        <sz val="12"/>
        <rFont val="新細明體"/>
        <family val="1"/>
        <scheme val="minor"/>
      </rPr>
      <t>100</t>
    </r>
  </si>
  <si>
    <r>
      <t>M1</t>
    </r>
    <r>
      <rPr>
        <sz val="12"/>
        <rFont val="新細明體"/>
        <family val="1"/>
        <scheme val="minor"/>
      </rPr>
      <t>2</t>
    </r>
    <r>
      <rPr>
        <sz val="12"/>
        <rFont val="新細明體"/>
        <family val="1"/>
        <scheme val="minor"/>
      </rPr>
      <t>×</t>
    </r>
    <r>
      <rPr>
        <sz val="12"/>
        <rFont val="新細明體"/>
        <family val="1"/>
        <scheme val="minor"/>
      </rPr>
      <t>80</t>
    </r>
  </si>
  <si>
    <r>
      <t>M1</t>
    </r>
    <r>
      <rPr>
        <sz val="12"/>
        <rFont val="新細明體"/>
        <family val="1"/>
        <scheme val="minor"/>
      </rPr>
      <t>4</t>
    </r>
    <r>
      <rPr>
        <sz val="12"/>
        <rFont val="新細明體"/>
        <family val="1"/>
        <scheme val="minor"/>
      </rPr>
      <t>×</t>
    </r>
    <r>
      <rPr>
        <sz val="12"/>
        <rFont val="新細明體"/>
        <family val="1"/>
        <scheme val="minor"/>
      </rPr>
      <t>90</t>
    </r>
  </si>
  <si>
    <r>
      <t>M1</t>
    </r>
    <r>
      <rPr>
        <sz val="12"/>
        <rFont val="新細明體"/>
        <family val="1"/>
        <scheme val="minor"/>
      </rPr>
      <t>6</t>
    </r>
    <r>
      <rPr>
        <sz val="12"/>
        <rFont val="新細明體"/>
        <family val="1"/>
        <scheme val="minor"/>
      </rPr>
      <t>×</t>
    </r>
    <r>
      <rPr>
        <sz val="12"/>
        <rFont val="新細明體"/>
        <family val="1"/>
        <scheme val="minor"/>
      </rPr>
      <t>80</t>
    </r>
  </si>
  <si>
    <r>
      <t>M</t>
    </r>
    <r>
      <rPr>
        <sz val="12"/>
        <rFont val="新細明體"/>
        <family val="1"/>
        <scheme val="minor"/>
      </rPr>
      <t>20</t>
    </r>
    <r>
      <rPr>
        <sz val="12"/>
        <rFont val="新細明體"/>
        <family val="1"/>
        <scheme val="minor"/>
      </rPr>
      <t>×</t>
    </r>
    <r>
      <rPr>
        <sz val="12"/>
        <rFont val="新細明體"/>
        <family val="1"/>
        <scheme val="minor"/>
      </rPr>
      <t>90</t>
    </r>
  </si>
  <si>
    <r>
      <t>GB923-88</t>
    </r>
    <r>
      <rPr>
        <sz val="12"/>
        <rFont val="新細明體"/>
        <family val="1"/>
        <scheme val="minor"/>
      </rPr>
      <t>盖形螺母重量，单位：克</t>
    </r>
  </si>
  <si>
    <r>
      <t>M1</t>
    </r>
    <r>
      <rPr>
        <sz val="12"/>
        <rFont val="新細明體"/>
        <family val="1"/>
        <scheme val="minor"/>
      </rPr>
      <t>2</t>
    </r>
    <r>
      <rPr>
        <sz val="12"/>
        <rFont val="新細明體"/>
        <family val="1"/>
        <scheme val="minor"/>
      </rPr>
      <t>×</t>
    </r>
    <r>
      <rPr>
        <sz val="12"/>
        <rFont val="新細明體"/>
        <family val="1"/>
        <scheme val="minor"/>
      </rPr>
      <t>90</t>
    </r>
  </si>
  <si>
    <r>
      <t>M1</t>
    </r>
    <r>
      <rPr>
        <sz val="12"/>
        <rFont val="新細明體"/>
        <family val="1"/>
        <scheme val="minor"/>
      </rPr>
      <t>4</t>
    </r>
    <r>
      <rPr>
        <sz val="12"/>
        <rFont val="新細明體"/>
        <family val="1"/>
        <scheme val="minor"/>
      </rPr>
      <t>×</t>
    </r>
    <r>
      <rPr>
        <sz val="12"/>
        <rFont val="新細明體"/>
        <family val="1"/>
        <scheme val="minor"/>
      </rPr>
      <t>100</t>
    </r>
  </si>
  <si>
    <r>
      <t>M1</t>
    </r>
    <r>
      <rPr>
        <sz val="12"/>
        <rFont val="新細明體"/>
        <family val="1"/>
        <scheme val="minor"/>
      </rPr>
      <t>6</t>
    </r>
    <r>
      <rPr>
        <sz val="12"/>
        <rFont val="新細明體"/>
        <family val="1"/>
        <scheme val="minor"/>
      </rPr>
      <t>×</t>
    </r>
    <r>
      <rPr>
        <sz val="12"/>
        <rFont val="新細明體"/>
        <family val="1"/>
        <scheme val="minor"/>
      </rPr>
      <t>90</t>
    </r>
  </si>
  <si>
    <r>
      <t>M</t>
    </r>
    <r>
      <rPr>
        <sz val="12"/>
        <rFont val="新細明體"/>
        <family val="1"/>
        <scheme val="minor"/>
      </rPr>
      <t>20</t>
    </r>
    <r>
      <rPr>
        <sz val="12"/>
        <rFont val="新細明體"/>
        <family val="1"/>
        <scheme val="minor"/>
      </rPr>
      <t>×</t>
    </r>
    <r>
      <rPr>
        <sz val="12"/>
        <rFont val="新細明體"/>
        <family val="1"/>
        <scheme val="minor"/>
      </rPr>
      <t>100</t>
    </r>
  </si>
  <si>
    <r>
      <t>M1</t>
    </r>
    <r>
      <rPr>
        <sz val="12"/>
        <rFont val="新細明體"/>
        <family val="1"/>
        <scheme val="minor"/>
      </rPr>
      <t>2</t>
    </r>
    <r>
      <rPr>
        <sz val="12"/>
        <rFont val="新細明體"/>
        <family val="1"/>
        <scheme val="minor"/>
      </rPr>
      <t>×</t>
    </r>
    <r>
      <rPr>
        <sz val="12"/>
        <rFont val="新細明體"/>
        <family val="1"/>
        <scheme val="minor"/>
      </rPr>
      <t>100</t>
    </r>
  </si>
  <si>
    <r>
      <t>M1</t>
    </r>
    <r>
      <rPr>
        <sz val="12"/>
        <rFont val="新細明體"/>
        <family val="1"/>
        <scheme val="minor"/>
      </rPr>
      <t>4</t>
    </r>
    <r>
      <rPr>
        <sz val="12"/>
        <rFont val="新細明體"/>
        <family val="1"/>
        <scheme val="minor"/>
      </rPr>
      <t>×</t>
    </r>
    <r>
      <rPr>
        <sz val="12"/>
        <rFont val="新細明體"/>
        <family val="1"/>
        <scheme val="minor"/>
      </rPr>
      <t>110</t>
    </r>
  </si>
  <si>
    <r>
      <t>M1</t>
    </r>
    <r>
      <rPr>
        <sz val="12"/>
        <rFont val="新細明體"/>
        <family val="1"/>
        <scheme val="minor"/>
      </rPr>
      <t>6</t>
    </r>
    <r>
      <rPr>
        <sz val="12"/>
        <rFont val="新細明體"/>
        <family val="1"/>
        <scheme val="minor"/>
      </rPr>
      <t>×</t>
    </r>
    <r>
      <rPr>
        <sz val="12"/>
        <rFont val="新細明體"/>
        <family val="1"/>
        <scheme val="minor"/>
      </rPr>
      <t>100</t>
    </r>
  </si>
  <si>
    <t>非标准盖形母重量，单位：克</t>
  </si>
  <si>
    <r>
      <t>M1</t>
    </r>
    <r>
      <rPr>
        <sz val="12"/>
        <rFont val="新細明體"/>
        <family val="1"/>
        <scheme val="minor"/>
      </rPr>
      <t>4</t>
    </r>
    <r>
      <rPr>
        <sz val="12"/>
        <rFont val="新細明體"/>
        <family val="1"/>
        <scheme val="minor"/>
      </rPr>
      <t>×</t>
    </r>
    <r>
      <rPr>
        <sz val="12"/>
        <rFont val="新細明體"/>
        <family val="1"/>
        <scheme val="minor"/>
      </rPr>
      <t>120</t>
    </r>
  </si>
  <si>
    <r>
      <t>M1</t>
    </r>
    <r>
      <rPr>
        <sz val="12"/>
        <rFont val="新細明體"/>
        <family val="1"/>
        <scheme val="minor"/>
      </rPr>
      <t>4</t>
    </r>
    <r>
      <rPr>
        <sz val="12"/>
        <rFont val="新細明體"/>
        <family val="1"/>
        <scheme val="minor"/>
      </rPr>
      <t>×</t>
    </r>
    <r>
      <rPr>
        <sz val="12"/>
        <rFont val="新細明體"/>
        <family val="1"/>
        <scheme val="minor"/>
      </rPr>
      <t>130</t>
    </r>
  </si>
  <si>
    <r>
      <t>M1</t>
    </r>
    <r>
      <rPr>
        <sz val="12"/>
        <rFont val="新細明體"/>
        <family val="1"/>
        <scheme val="minor"/>
      </rPr>
      <t>4</t>
    </r>
    <r>
      <rPr>
        <sz val="12"/>
        <rFont val="新細明體"/>
        <family val="1"/>
        <scheme val="minor"/>
      </rPr>
      <t>×</t>
    </r>
    <r>
      <rPr>
        <sz val="12"/>
        <rFont val="新細明體"/>
        <family val="1"/>
        <scheme val="minor"/>
      </rPr>
      <t>140</t>
    </r>
  </si>
  <si>
    <r>
      <t>GB5780-2000</t>
    </r>
    <r>
      <rPr>
        <sz val="12"/>
        <rFont val="新細明體"/>
        <family val="1"/>
        <scheme val="minor"/>
      </rPr>
      <t>螺栓重量，单位：克</t>
    </r>
  </si>
  <si>
    <r>
      <t>M1</t>
    </r>
    <r>
      <rPr>
        <sz val="12"/>
        <rFont val="新細明體"/>
        <family val="1"/>
        <scheme val="minor"/>
      </rPr>
      <t>4</t>
    </r>
    <r>
      <rPr>
        <sz val="12"/>
        <rFont val="新細明體"/>
        <family val="1"/>
        <scheme val="minor"/>
      </rPr>
      <t>×</t>
    </r>
    <r>
      <rPr>
        <sz val="12"/>
        <rFont val="新細明體"/>
        <family val="1"/>
        <scheme val="minor"/>
      </rPr>
      <t>65</t>
    </r>
  </si>
  <si>
    <r>
      <t>M8×</t>
    </r>
    <r>
      <rPr>
        <sz val="12"/>
        <rFont val="新細明體"/>
        <family val="1"/>
        <scheme val="minor"/>
      </rPr>
      <t>50</t>
    </r>
  </si>
  <si>
    <r>
      <t>M</t>
    </r>
    <r>
      <rPr>
        <sz val="12"/>
        <rFont val="新細明體"/>
        <family val="1"/>
        <scheme val="minor"/>
      </rPr>
      <t>24</t>
    </r>
    <r>
      <rPr>
        <sz val="12"/>
        <rFont val="新細明體"/>
        <family val="1"/>
        <scheme val="minor"/>
      </rPr>
      <t>×</t>
    </r>
    <r>
      <rPr>
        <sz val="12"/>
        <rFont val="新細明體"/>
        <family val="1"/>
        <scheme val="minor"/>
      </rPr>
      <t>110</t>
    </r>
  </si>
  <si>
    <r>
      <t>M8×</t>
    </r>
    <r>
      <rPr>
        <sz val="12"/>
        <rFont val="新細明體"/>
        <family val="1"/>
        <scheme val="minor"/>
      </rPr>
      <t>60</t>
    </r>
  </si>
  <si>
    <r>
      <t>M10×</t>
    </r>
    <r>
      <rPr>
        <sz val="12"/>
        <rFont val="新細明體"/>
        <family val="1"/>
        <scheme val="minor"/>
      </rPr>
      <t>70</t>
    </r>
  </si>
  <si>
    <r>
      <t>M</t>
    </r>
    <r>
      <rPr>
        <sz val="12"/>
        <rFont val="新細明體"/>
        <family val="1"/>
        <scheme val="minor"/>
      </rPr>
      <t>24</t>
    </r>
    <r>
      <rPr>
        <sz val="12"/>
        <rFont val="新細明體"/>
        <family val="1"/>
        <scheme val="minor"/>
      </rPr>
      <t>×</t>
    </r>
    <r>
      <rPr>
        <sz val="12"/>
        <rFont val="新細明體"/>
        <family val="1"/>
        <scheme val="minor"/>
      </rPr>
      <t>120</t>
    </r>
  </si>
  <si>
    <r>
      <t>M8×</t>
    </r>
    <r>
      <rPr>
        <sz val="12"/>
        <rFont val="新細明體"/>
        <family val="1"/>
        <scheme val="minor"/>
      </rPr>
      <t>70</t>
    </r>
  </si>
  <si>
    <r>
      <t>M10×</t>
    </r>
    <r>
      <rPr>
        <sz val="12"/>
        <rFont val="新細明體"/>
        <family val="1"/>
        <scheme val="minor"/>
      </rPr>
      <t>80</t>
    </r>
  </si>
  <si>
    <r>
      <t>M</t>
    </r>
    <r>
      <rPr>
        <sz val="12"/>
        <rFont val="新細明體"/>
        <family val="1"/>
        <scheme val="minor"/>
      </rPr>
      <t>20</t>
    </r>
    <r>
      <rPr>
        <sz val="12"/>
        <rFont val="新細明體"/>
        <family val="1"/>
        <scheme val="minor"/>
      </rPr>
      <t>×</t>
    </r>
    <r>
      <rPr>
        <sz val="12"/>
        <rFont val="新細明體"/>
        <family val="1"/>
        <scheme val="minor"/>
      </rPr>
      <t>110</t>
    </r>
  </si>
  <si>
    <r>
      <t>M</t>
    </r>
    <r>
      <rPr>
        <sz val="12"/>
        <rFont val="新細明體"/>
        <family val="1"/>
        <scheme val="minor"/>
      </rPr>
      <t>24</t>
    </r>
    <r>
      <rPr>
        <sz val="12"/>
        <rFont val="新細明體"/>
        <family val="1"/>
        <scheme val="minor"/>
      </rPr>
      <t>×</t>
    </r>
    <r>
      <rPr>
        <sz val="12"/>
        <rFont val="新細明體"/>
        <family val="1"/>
        <scheme val="minor"/>
      </rPr>
      <t>130</t>
    </r>
  </si>
  <si>
    <r>
      <t>M8×</t>
    </r>
    <r>
      <rPr>
        <sz val="12"/>
        <rFont val="新細明體"/>
        <family val="1"/>
        <scheme val="minor"/>
      </rPr>
      <t>80</t>
    </r>
  </si>
  <si>
    <r>
      <t>M10×</t>
    </r>
    <r>
      <rPr>
        <sz val="12"/>
        <rFont val="新細明體"/>
        <family val="1"/>
        <scheme val="minor"/>
      </rPr>
      <t>90</t>
    </r>
  </si>
  <si>
    <r>
      <t>M</t>
    </r>
    <r>
      <rPr>
        <sz val="12"/>
        <rFont val="新細明體"/>
        <family val="1"/>
        <scheme val="minor"/>
      </rPr>
      <t>20</t>
    </r>
    <r>
      <rPr>
        <sz val="12"/>
        <rFont val="新細明體"/>
        <family val="1"/>
        <scheme val="minor"/>
      </rPr>
      <t>×</t>
    </r>
    <r>
      <rPr>
        <sz val="12"/>
        <rFont val="新細明體"/>
        <family val="1"/>
        <scheme val="minor"/>
      </rPr>
      <t>120</t>
    </r>
  </si>
  <si>
    <r>
      <t>M</t>
    </r>
    <r>
      <rPr>
        <sz val="12"/>
        <rFont val="新細明體"/>
        <family val="1"/>
        <scheme val="minor"/>
      </rPr>
      <t>24</t>
    </r>
    <r>
      <rPr>
        <sz val="12"/>
        <rFont val="新細明體"/>
        <family val="1"/>
        <scheme val="minor"/>
      </rPr>
      <t>×</t>
    </r>
    <r>
      <rPr>
        <sz val="12"/>
        <rFont val="新細明體"/>
        <family val="1"/>
        <scheme val="minor"/>
      </rPr>
      <t>140</t>
    </r>
  </si>
  <si>
    <r>
      <t>M10×</t>
    </r>
    <r>
      <rPr>
        <sz val="12"/>
        <rFont val="新細明體"/>
        <family val="1"/>
        <scheme val="minor"/>
      </rPr>
      <t>100</t>
    </r>
  </si>
  <si>
    <r>
      <t>M1</t>
    </r>
    <r>
      <rPr>
        <sz val="12"/>
        <rFont val="新細明體"/>
        <family val="1"/>
        <scheme val="minor"/>
      </rPr>
      <t>2</t>
    </r>
    <r>
      <rPr>
        <sz val="12"/>
        <rFont val="新細明體"/>
        <family val="1"/>
        <scheme val="minor"/>
      </rPr>
      <t>×</t>
    </r>
    <r>
      <rPr>
        <sz val="12"/>
        <rFont val="新細明體"/>
        <family val="1"/>
        <scheme val="minor"/>
      </rPr>
      <t>110</t>
    </r>
  </si>
  <si>
    <r>
      <t>M</t>
    </r>
    <r>
      <rPr>
        <sz val="12"/>
        <rFont val="新細明體"/>
        <family val="1"/>
        <scheme val="minor"/>
      </rPr>
      <t>20</t>
    </r>
    <r>
      <rPr>
        <sz val="12"/>
        <rFont val="新細明體"/>
        <family val="1"/>
        <scheme val="minor"/>
      </rPr>
      <t>×</t>
    </r>
    <r>
      <rPr>
        <sz val="12"/>
        <rFont val="新細明體"/>
        <family val="1"/>
        <scheme val="minor"/>
      </rPr>
      <t>130</t>
    </r>
  </si>
  <si>
    <r>
      <t>M</t>
    </r>
    <r>
      <rPr>
        <sz val="12"/>
        <rFont val="新細明體"/>
        <family val="1"/>
        <scheme val="minor"/>
      </rPr>
      <t>24</t>
    </r>
    <r>
      <rPr>
        <sz val="12"/>
        <rFont val="新細明體"/>
        <family val="1"/>
        <scheme val="minor"/>
      </rPr>
      <t>×</t>
    </r>
    <r>
      <rPr>
        <sz val="12"/>
        <rFont val="新細明體"/>
        <family val="1"/>
        <scheme val="minor"/>
      </rPr>
      <t>150</t>
    </r>
  </si>
  <si>
    <r>
      <t>M1</t>
    </r>
    <r>
      <rPr>
        <sz val="12"/>
        <rFont val="新細明體"/>
        <family val="1"/>
        <scheme val="minor"/>
      </rPr>
      <t>2</t>
    </r>
    <r>
      <rPr>
        <sz val="12"/>
        <rFont val="新細明體"/>
        <family val="1"/>
        <scheme val="minor"/>
      </rPr>
      <t>×</t>
    </r>
    <r>
      <rPr>
        <sz val="12"/>
        <rFont val="新細明體"/>
        <family val="1"/>
        <scheme val="minor"/>
      </rPr>
      <t>120</t>
    </r>
  </si>
  <si>
    <r>
      <t>M</t>
    </r>
    <r>
      <rPr>
        <sz val="12"/>
        <rFont val="新細明體"/>
        <family val="1"/>
        <scheme val="minor"/>
      </rPr>
      <t>20</t>
    </r>
    <r>
      <rPr>
        <sz val="12"/>
        <rFont val="新細明體"/>
        <family val="1"/>
        <scheme val="minor"/>
      </rPr>
      <t>×</t>
    </r>
    <r>
      <rPr>
        <sz val="12"/>
        <rFont val="新細明體"/>
        <family val="1"/>
        <scheme val="minor"/>
      </rPr>
      <t>140</t>
    </r>
  </si>
  <si>
    <r>
      <t>M</t>
    </r>
    <r>
      <rPr>
        <sz val="12"/>
        <rFont val="新細明體"/>
        <family val="1"/>
        <scheme val="minor"/>
      </rPr>
      <t>24</t>
    </r>
    <r>
      <rPr>
        <sz val="12"/>
        <rFont val="新細明體"/>
        <family val="1"/>
        <scheme val="minor"/>
      </rPr>
      <t>×</t>
    </r>
    <r>
      <rPr>
        <sz val="12"/>
        <rFont val="新細明體"/>
        <family val="1"/>
        <scheme val="minor"/>
      </rPr>
      <t>160</t>
    </r>
  </si>
  <si>
    <r>
      <t>M</t>
    </r>
    <r>
      <rPr>
        <sz val="12"/>
        <rFont val="新細明體"/>
        <family val="1"/>
        <scheme val="minor"/>
      </rPr>
      <t>20</t>
    </r>
    <r>
      <rPr>
        <sz val="12"/>
        <rFont val="新細明體"/>
        <family val="1"/>
        <scheme val="minor"/>
      </rPr>
      <t>×</t>
    </r>
    <r>
      <rPr>
        <sz val="12"/>
        <rFont val="新細明體"/>
        <family val="1"/>
        <scheme val="minor"/>
      </rPr>
      <t>150</t>
    </r>
  </si>
  <si>
    <r>
      <t>M</t>
    </r>
    <r>
      <rPr>
        <sz val="12"/>
        <rFont val="新細明體"/>
        <family val="1"/>
        <scheme val="minor"/>
      </rPr>
      <t>24</t>
    </r>
    <r>
      <rPr>
        <sz val="12"/>
        <rFont val="新細明體"/>
        <family val="1"/>
        <scheme val="minor"/>
      </rPr>
      <t>×</t>
    </r>
    <r>
      <rPr>
        <sz val="12"/>
        <rFont val="新細明體"/>
        <family val="1"/>
        <scheme val="minor"/>
      </rPr>
      <t>180</t>
    </r>
  </si>
  <si>
    <r>
      <t>M</t>
    </r>
    <r>
      <rPr>
        <sz val="12"/>
        <rFont val="新細明體"/>
        <family val="1"/>
        <scheme val="minor"/>
      </rPr>
      <t>20</t>
    </r>
    <r>
      <rPr>
        <sz val="12"/>
        <rFont val="新細明體"/>
        <family val="1"/>
        <scheme val="minor"/>
      </rPr>
      <t>×</t>
    </r>
    <r>
      <rPr>
        <sz val="12"/>
        <rFont val="新細明體"/>
        <family val="1"/>
        <scheme val="minor"/>
      </rPr>
      <t>160</t>
    </r>
  </si>
  <si>
    <r>
      <t>M</t>
    </r>
    <r>
      <rPr>
        <sz val="12"/>
        <rFont val="新細明體"/>
        <family val="1"/>
        <scheme val="minor"/>
      </rPr>
      <t>24</t>
    </r>
    <r>
      <rPr>
        <sz val="12"/>
        <rFont val="新細明體"/>
        <family val="1"/>
        <scheme val="minor"/>
      </rPr>
      <t>×</t>
    </r>
    <r>
      <rPr>
        <sz val="12"/>
        <rFont val="新細明體"/>
        <family val="1"/>
        <scheme val="minor"/>
      </rPr>
      <t>200</t>
    </r>
  </si>
  <si>
    <r>
      <t>M</t>
    </r>
    <r>
      <rPr>
        <sz val="12"/>
        <rFont val="新細明體"/>
        <family val="1"/>
        <scheme val="minor"/>
      </rPr>
      <t>20</t>
    </r>
    <r>
      <rPr>
        <sz val="12"/>
        <rFont val="新細明體"/>
        <family val="1"/>
        <scheme val="minor"/>
      </rPr>
      <t>×</t>
    </r>
    <r>
      <rPr>
        <sz val="12"/>
        <rFont val="新細明體"/>
        <family val="1"/>
        <scheme val="minor"/>
      </rPr>
      <t>170</t>
    </r>
  </si>
  <si>
    <r>
      <t>M</t>
    </r>
    <r>
      <rPr>
        <sz val="12"/>
        <rFont val="新細明體"/>
        <family val="1"/>
        <scheme val="minor"/>
      </rPr>
      <t>24</t>
    </r>
    <r>
      <rPr>
        <sz val="12"/>
        <rFont val="新細明體"/>
        <family val="1"/>
        <scheme val="minor"/>
      </rPr>
      <t>×</t>
    </r>
    <r>
      <rPr>
        <sz val="12"/>
        <rFont val="新細明體"/>
        <family val="1"/>
        <scheme val="minor"/>
      </rPr>
      <t>220</t>
    </r>
  </si>
  <si>
    <r>
      <t>M</t>
    </r>
    <r>
      <rPr>
        <sz val="12"/>
        <rFont val="新細明體"/>
        <family val="1"/>
        <scheme val="minor"/>
      </rPr>
      <t>20</t>
    </r>
    <r>
      <rPr>
        <sz val="12"/>
        <rFont val="新細明體"/>
        <family val="1"/>
        <scheme val="minor"/>
      </rPr>
      <t>×</t>
    </r>
    <r>
      <rPr>
        <sz val="12"/>
        <rFont val="新細明體"/>
        <family val="1"/>
        <scheme val="minor"/>
      </rPr>
      <t>180</t>
    </r>
  </si>
  <si>
    <r>
      <t>M</t>
    </r>
    <r>
      <rPr>
        <sz val="12"/>
        <rFont val="新細明體"/>
        <family val="1"/>
        <scheme val="minor"/>
      </rPr>
      <t>24</t>
    </r>
    <r>
      <rPr>
        <sz val="12"/>
        <rFont val="新細明體"/>
        <family val="1"/>
        <scheme val="minor"/>
      </rPr>
      <t>×</t>
    </r>
    <r>
      <rPr>
        <sz val="12"/>
        <rFont val="新細明體"/>
        <family val="1"/>
        <scheme val="minor"/>
      </rPr>
      <t>240</t>
    </r>
  </si>
  <si>
    <r>
      <t>M</t>
    </r>
    <r>
      <rPr>
        <sz val="12"/>
        <rFont val="新細明體"/>
        <family val="1"/>
        <scheme val="minor"/>
      </rPr>
      <t>20</t>
    </r>
    <r>
      <rPr>
        <sz val="12"/>
        <rFont val="新細明體"/>
        <family val="1"/>
        <scheme val="minor"/>
      </rPr>
      <t>×</t>
    </r>
    <r>
      <rPr>
        <sz val="12"/>
        <rFont val="新細明體"/>
        <family val="1"/>
        <scheme val="minor"/>
      </rPr>
      <t>190</t>
    </r>
  </si>
  <si>
    <r>
      <t>M</t>
    </r>
    <r>
      <rPr>
        <sz val="12"/>
        <rFont val="新細明體"/>
        <family val="1"/>
        <scheme val="minor"/>
      </rPr>
      <t>20</t>
    </r>
    <r>
      <rPr>
        <sz val="12"/>
        <rFont val="新細明體"/>
        <family val="1"/>
        <scheme val="minor"/>
      </rPr>
      <t>×</t>
    </r>
    <r>
      <rPr>
        <sz val="12"/>
        <rFont val="新細明體"/>
        <family val="1"/>
        <scheme val="minor"/>
      </rPr>
      <t>200</t>
    </r>
  </si>
  <si>
    <t>回转竖直方向</t>
  </si>
  <si>
    <t>实心圆板</t>
  </si>
  <si>
    <t>物体质量m(kg)</t>
  </si>
  <si>
    <t>回转半径(mm)</t>
  </si>
  <si>
    <t>距离e(mm)</t>
  </si>
  <si>
    <r>
      <rPr>
        <sz val="16"/>
        <rFont val="宋体"/>
        <charset val="134"/>
      </rPr>
      <t>物体惯量(kg.cm</t>
    </r>
    <r>
      <rPr>
        <vertAlign val="superscript"/>
        <sz val="16"/>
        <rFont val="宋体"/>
        <charset val="134"/>
      </rPr>
      <t>2</t>
    </r>
    <r>
      <rPr>
        <sz val="16"/>
        <rFont val="宋体"/>
        <charset val="134"/>
      </rPr>
      <t>)</t>
    </r>
  </si>
  <si>
    <t>空心圆板</t>
  </si>
  <si>
    <t>回转半径R(mm)</t>
  </si>
  <si>
    <t>回转半径r(mm)</t>
  </si>
  <si>
    <t>平板</t>
  </si>
  <si>
    <t>边长a(mm)</t>
  </si>
  <si>
    <t>边长b(mm)</t>
  </si>
  <si>
    <t>实心轴</t>
  </si>
  <si>
    <t>轴径R(mm)</t>
  </si>
  <si>
    <t>轴长L(mm)</t>
  </si>
  <si>
    <t>空心轴</t>
  </si>
  <si>
    <t>轴径r(mm)</t>
  </si>
  <si>
    <t>惯性距计算</t>
    <phoneticPr fontId="378" type="noConversion"/>
  </si>
  <si>
    <t>标准件量</t>
    <phoneticPr fontId="378" type="noConversion"/>
  </si>
  <si>
    <t>过盈计算</t>
    <phoneticPr fontId="378" type="noConversion"/>
  </si>
  <si>
    <r>
      <t>d</t>
    </r>
    <r>
      <rPr>
        <vertAlign val="subscript"/>
        <sz val="12"/>
        <rFont val="Arial"/>
        <family val="2"/>
      </rPr>
      <t>a</t>
    </r>
  </si>
  <si>
    <r>
      <t>d</t>
    </r>
    <r>
      <rPr>
        <vertAlign val="subscript"/>
        <sz val="12"/>
        <rFont val="Arial"/>
        <family val="2"/>
      </rPr>
      <t>f</t>
    </r>
  </si>
  <si>
    <r>
      <t>d</t>
    </r>
    <r>
      <rPr>
        <vertAlign val="subscript"/>
        <sz val="12"/>
        <rFont val="Arial"/>
        <family val="2"/>
      </rPr>
      <t>i</t>
    </r>
  </si>
  <si>
    <r>
      <t>l</t>
    </r>
    <r>
      <rPr>
        <vertAlign val="subscript"/>
        <sz val="12"/>
        <rFont val="Arial"/>
        <family val="2"/>
      </rPr>
      <t>f</t>
    </r>
  </si>
  <si>
    <r>
      <t>E</t>
    </r>
    <r>
      <rPr>
        <vertAlign val="subscript"/>
        <sz val="12"/>
        <rFont val="Arial"/>
        <family val="2"/>
      </rPr>
      <t>a</t>
    </r>
  </si>
  <si>
    <r>
      <t>E</t>
    </r>
    <r>
      <rPr>
        <vertAlign val="subscript"/>
        <sz val="12"/>
        <rFont val="Arial"/>
        <family val="2"/>
      </rPr>
      <t>i</t>
    </r>
  </si>
  <si>
    <r>
      <t>ν</t>
    </r>
    <r>
      <rPr>
        <vertAlign val="subscript"/>
        <sz val="12"/>
        <rFont val="Arial"/>
        <family val="2"/>
      </rPr>
      <t>a</t>
    </r>
  </si>
  <si>
    <r>
      <t>ν</t>
    </r>
    <r>
      <rPr>
        <vertAlign val="subscript"/>
        <sz val="12"/>
        <rFont val="Arial"/>
        <family val="2"/>
      </rPr>
      <t>i</t>
    </r>
  </si>
  <si>
    <r>
      <t>σ</t>
    </r>
    <r>
      <rPr>
        <vertAlign val="subscript"/>
        <sz val="12"/>
        <rFont val="Arial"/>
        <family val="2"/>
      </rPr>
      <t>sa</t>
    </r>
  </si>
  <si>
    <r>
      <t>σ</t>
    </r>
    <r>
      <rPr>
        <vertAlign val="subscript"/>
        <sz val="12"/>
        <rFont val="Arial"/>
        <family val="2"/>
      </rPr>
      <t>si</t>
    </r>
  </si>
  <si>
    <r>
      <t>k</t>
    </r>
    <r>
      <rPr>
        <vertAlign val="subscript"/>
        <sz val="12"/>
        <rFont val="楷体_GB2312"/>
        <charset val="134"/>
      </rPr>
      <t>过载</t>
    </r>
  </si>
  <si>
    <r>
      <t>T=9550k</t>
    </r>
    <r>
      <rPr>
        <vertAlign val="subscript"/>
        <sz val="12"/>
        <rFont val="楷体_GB2312"/>
        <charset val="134"/>
      </rPr>
      <t>过载</t>
    </r>
    <r>
      <rPr>
        <sz val="12"/>
        <rFont val="Arial"/>
        <family val="2"/>
      </rPr>
      <t>N/n</t>
    </r>
  </si>
  <si>
    <r>
      <t>P</t>
    </r>
    <r>
      <rPr>
        <vertAlign val="subscript"/>
        <sz val="12"/>
        <rFont val="Arial"/>
        <family val="2"/>
      </rPr>
      <t>fmin</t>
    </r>
  </si>
  <si>
    <r>
      <t>P</t>
    </r>
    <r>
      <rPr>
        <vertAlign val="subscript"/>
        <sz val="12"/>
        <rFont val="Arial"/>
        <family val="2"/>
      </rPr>
      <t>fmin</t>
    </r>
    <r>
      <rPr>
        <sz val="12"/>
        <rFont val="Arial"/>
        <family val="2"/>
      </rPr>
      <t>=2T/πd</t>
    </r>
    <r>
      <rPr>
        <vertAlign val="subscript"/>
        <sz val="12"/>
        <rFont val="Arial"/>
        <family val="2"/>
      </rPr>
      <t>f</t>
    </r>
    <r>
      <rPr>
        <vertAlign val="superscript"/>
        <sz val="12"/>
        <rFont val="Arial"/>
        <family val="2"/>
      </rPr>
      <t>2</t>
    </r>
    <r>
      <rPr>
        <sz val="12"/>
        <rFont val="Arial"/>
        <family val="2"/>
      </rPr>
      <t>l</t>
    </r>
    <r>
      <rPr>
        <vertAlign val="subscript"/>
        <sz val="12"/>
        <rFont val="Arial"/>
        <family val="2"/>
      </rPr>
      <t>f</t>
    </r>
    <r>
      <rPr>
        <sz val="12"/>
        <rFont val="Arial"/>
        <family val="2"/>
      </rPr>
      <t>μ</t>
    </r>
  </si>
  <si>
    <r>
      <t>q</t>
    </r>
    <r>
      <rPr>
        <vertAlign val="subscript"/>
        <sz val="12"/>
        <rFont val="Arial"/>
        <family val="2"/>
      </rPr>
      <t>a</t>
    </r>
  </si>
  <si>
    <r>
      <t>q</t>
    </r>
    <r>
      <rPr>
        <vertAlign val="subscript"/>
        <sz val="12"/>
        <rFont val="Arial"/>
        <family val="2"/>
      </rPr>
      <t>a</t>
    </r>
    <r>
      <rPr>
        <sz val="12"/>
        <rFont val="Arial"/>
        <family val="2"/>
      </rPr>
      <t>=d</t>
    </r>
    <r>
      <rPr>
        <vertAlign val="subscript"/>
        <sz val="12"/>
        <rFont val="Arial"/>
        <family val="2"/>
      </rPr>
      <t>f</t>
    </r>
    <r>
      <rPr>
        <sz val="12"/>
        <rFont val="Arial"/>
        <family val="2"/>
      </rPr>
      <t>/d</t>
    </r>
    <r>
      <rPr>
        <vertAlign val="subscript"/>
        <sz val="12"/>
        <rFont val="Arial"/>
        <family val="2"/>
      </rPr>
      <t>a</t>
    </r>
  </si>
  <si>
    <r>
      <t>q</t>
    </r>
    <r>
      <rPr>
        <vertAlign val="subscript"/>
        <sz val="12"/>
        <rFont val="Arial"/>
        <family val="2"/>
      </rPr>
      <t>i</t>
    </r>
  </si>
  <si>
    <r>
      <t>q</t>
    </r>
    <r>
      <rPr>
        <vertAlign val="subscript"/>
        <sz val="12"/>
        <rFont val="Arial"/>
        <family val="2"/>
      </rPr>
      <t>i</t>
    </r>
    <r>
      <rPr>
        <sz val="12"/>
        <rFont val="Arial"/>
        <family val="2"/>
      </rPr>
      <t>=d</t>
    </r>
    <r>
      <rPr>
        <vertAlign val="subscript"/>
        <sz val="12"/>
        <rFont val="Arial"/>
        <family val="2"/>
      </rPr>
      <t>i</t>
    </r>
    <r>
      <rPr>
        <sz val="12"/>
        <rFont val="Arial"/>
        <family val="2"/>
      </rPr>
      <t>/d</t>
    </r>
    <r>
      <rPr>
        <vertAlign val="subscript"/>
        <sz val="12"/>
        <rFont val="Arial"/>
        <family val="2"/>
      </rPr>
      <t>f</t>
    </r>
  </si>
  <si>
    <r>
      <t>C</t>
    </r>
    <r>
      <rPr>
        <vertAlign val="subscript"/>
        <sz val="12"/>
        <rFont val="Arial"/>
        <family val="2"/>
      </rPr>
      <t>a</t>
    </r>
  </si>
  <si>
    <r>
      <t>C</t>
    </r>
    <r>
      <rPr>
        <vertAlign val="subscript"/>
        <sz val="12"/>
        <rFont val="Arial"/>
        <family val="2"/>
      </rPr>
      <t>i</t>
    </r>
  </si>
  <si>
    <r>
      <t>e</t>
    </r>
    <r>
      <rPr>
        <vertAlign val="subscript"/>
        <sz val="12"/>
        <rFont val="Arial"/>
        <family val="2"/>
      </rPr>
      <t>amin</t>
    </r>
  </si>
  <si>
    <r>
      <t>e</t>
    </r>
    <r>
      <rPr>
        <vertAlign val="subscript"/>
        <sz val="12"/>
        <rFont val="Arial"/>
        <family val="2"/>
      </rPr>
      <t>amin</t>
    </r>
    <r>
      <rPr>
        <sz val="12"/>
        <rFont val="Arial"/>
        <family val="2"/>
      </rPr>
      <t>=P</t>
    </r>
    <r>
      <rPr>
        <vertAlign val="subscript"/>
        <sz val="12"/>
        <rFont val="Arial"/>
        <family val="2"/>
      </rPr>
      <t>fmin</t>
    </r>
    <r>
      <rPr>
        <sz val="12"/>
        <rFont val="Arial"/>
        <family val="2"/>
      </rPr>
      <t>*d</t>
    </r>
    <r>
      <rPr>
        <vertAlign val="subscript"/>
        <sz val="12"/>
        <rFont val="Arial"/>
        <family val="2"/>
      </rPr>
      <t>f*</t>
    </r>
    <r>
      <rPr>
        <sz val="12"/>
        <rFont val="Arial"/>
        <family val="2"/>
      </rPr>
      <t>C</t>
    </r>
    <r>
      <rPr>
        <vertAlign val="subscript"/>
        <sz val="12"/>
        <rFont val="Arial"/>
        <family val="2"/>
      </rPr>
      <t>a</t>
    </r>
    <r>
      <rPr>
        <sz val="12"/>
        <rFont val="Arial"/>
        <family val="2"/>
      </rPr>
      <t>/E</t>
    </r>
    <r>
      <rPr>
        <vertAlign val="subscript"/>
        <sz val="12"/>
        <rFont val="Arial"/>
        <family val="2"/>
      </rPr>
      <t>a</t>
    </r>
  </si>
  <si>
    <r>
      <t>e</t>
    </r>
    <r>
      <rPr>
        <vertAlign val="subscript"/>
        <sz val="12"/>
        <rFont val="Arial"/>
        <family val="2"/>
      </rPr>
      <t>imin</t>
    </r>
  </si>
  <si>
    <r>
      <t>e</t>
    </r>
    <r>
      <rPr>
        <vertAlign val="subscript"/>
        <sz val="12"/>
        <rFont val="Arial"/>
        <family val="2"/>
      </rPr>
      <t>imin</t>
    </r>
    <r>
      <rPr>
        <sz val="12"/>
        <rFont val="Arial"/>
        <family val="2"/>
      </rPr>
      <t>=P</t>
    </r>
    <r>
      <rPr>
        <vertAlign val="subscript"/>
        <sz val="12"/>
        <rFont val="Arial"/>
        <family val="2"/>
      </rPr>
      <t>fmin</t>
    </r>
    <r>
      <rPr>
        <sz val="12"/>
        <rFont val="Arial"/>
        <family val="2"/>
      </rPr>
      <t>*d</t>
    </r>
    <r>
      <rPr>
        <vertAlign val="subscript"/>
        <sz val="12"/>
        <rFont val="Arial"/>
        <family val="2"/>
      </rPr>
      <t>f*</t>
    </r>
    <r>
      <rPr>
        <sz val="12"/>
        <rFont val="Arial"/>
        <family val="2"/>
      </rPr>
      <t>C</t>
    </r>
    <r>
      <rPr>
        <vertAlign val="subscript"/>
        <sz val="12"/>
        <rFont val="Arial"/>
        <family val="2"/>
      </rPr>
      <t>i</t>
    </r>
    <r>
      <rPr>
        <sz val="12"/>
        <rFont val="Arial"/>
        <family val="2"/>
      </rPr>
      <t>/E</t>
    </r>
    <r>
      <rPr>
        <vertAlign val="subscript"/>
        <sz val="12"/>
        <rFont val="Arial"/>
        <family val="2"/>
      </rPr>
      <t>i</t>
    </r>
  </si>
  <si>
    <r>
      <t>δ</t>
    </r>
    <r>
      <rPr>
        <vertAlign val="subscript"/>
        <sz val="12"/>
        <rFont val="Arial"/>
        <family val="2"/>
      </rPr>
      <t>emin</t>
    </r>
  </si>
  <si>
    <r>
      <t>δ</t>
    </r>
    <r>
      <rPr>
        <vertAlign val="subscript"/>
        <sz val="12"/>
        <rFont val="Arial"/>
        <family val="2"/>
      </rPr>
      <t>emin</t>
    </r>
    <r>
      <rPr>
        <sz val="12"/>
        <rFont val="Arial"/>
        <family val="2"/>
      </rPr>
      <t>=e</t>
    </r>
    <r>
      <rPr>
        <vertAlign val="subscript"/>
        <sz val="12"/>
        <rFont val="Arial"/>
        <family val="2"/>
      </rPr>
      <t>amin</t>
    </r>
    <r>
      <rPr>
        <sz val="12"/>
        <rFont val="Arial"/>
        <family val="2"/>
      </rPr>
      <t>+e</t>
    </r>
    <r>
      <rPr>
        <vertAlign val="subscript"/>
        <sz val="12"/>
        <rFont val="Arial"/>
        <family val="2"/>
      </rPr>
      <t>imin</t>
    </r>
  </si>
  <si>
    <r>
      <t>δ</t>
    </r>
    <r>
      <rPr>
        <vertAlign val="subscript"/>
        <sz val="12"/>
        <rFont val="Arial"/>
        <family val="2"/>
      </rPr>
      <t>min</t>
    </r>
  </si>
  <si>
    <r>
      <t>δ</t>
    </r>
    <r>
      <rPr>
        <vertAlign val="subscript"/>
        <sz val="12"/>
        <rFont val="Arial"/>
        <family val="2"/>
      </rPr>
      <t>min</t>
    </r>
    <r>
      <rPr>
        <sz val="12"/>
        <rFont val="Arial"/>
        <family val="2"/>
      </rPr>
      <t>=δ</t>
    </r>
    <r>
      <rPr>
        <vertAlign val="subscript"/>
        <sz val="12"/>
        <rFont val="Arial"/>
        <family val="2"/>
      </rPr>
      <t>emin</t>
    </r>
  </si>
  <si>
    <r>
      <t>P</t>
    </r>
    <r>
      <rPr>
        <vertAlign val="subscript"/>
        <sz val="12"/>
        <rFont val="Arial"/>
        <family val="2"/>
      </rPr>
      <t>famax</t>
    </r>
  </si>
  <si>
    <t>包容件:Pfamax=a*σsa</t>
  </si>
  <si>
    <r>
      <t>P</t>
    </r>
    <r>
      <rPr>
        <vertAlign val="subscript"/>
        <sz val="12"/>
        <rFont val="Arial"/>
        <family val="2"/>
      </rPr>
      <t>fimax</t>
    </r>
  </si>
  <si>
    <r>
      <t>P</t>
    </r>
    <r>
      <rPr>
        <vertAlign val="subscript"/>
        <sz val="12"/>
        <rFont val="Arial"/>
        <family val="2"/>
      </rPr>
      <t>fmax</t>
    </r>
  </si>
  <si>
    <r>
      <t>F</t>
    </r>
    <r>
      <rPr>
        <vertAlign val="subscript"/>
        <sz val="12"/>
        <rFont val="Arial"/>
        <family val="2"/>
      </rPr>
      <t>t</t>
    </r>
  </si>
  <si>
    <r>
      <t>F</t>
    </r>
    <r>
      <rPr>
        <vertAlign val="subscript"/>
        <sz val="12"/>
        <rFont val="Arial"/>
        <family val="2"/>
      </rPr>
      <t>t</t>
    </r>
    <r>
      <rPr>
        <sz val="12"/>
        <rFont val="Arial"/>
        <family val="2"/>
      </rPr>
      <t>=P</t>
    </r>
    <r>
      <rPr>
        <vertAlign val="subscript"/>
        <sz val="12"/>
        <rFont val="Arial"/>
        <family val="2"/>
      </rPr>
      <t>fmax</t>
    </r>
    <r>
      <rPr>
        <sz val="12"/>
        <rFont val="Arial"/>
        <family val="2"/>
      </rPr>
      <t>πd</t>
    </r>
    <r>
      <rPr>
        <vertAlign val="subscript"/>
        <sz val="12"/>
        <rFont val="Arial"/>
        <family val="2"/>
      </rPr>
      <t>f</t>
    </r>
    <r>
      <rPr>
        <sz val="12"/>
        <rFont val="Arial"/>
        <family val="2"/>
      </rPr>
      <t>l</t>
    </r>
    <r>
      <rPr>
        <vertAlign val="subscript"/>
        <sz val="12"/>
        <rFont val="Arial"/>
        <family val="2"/>
      </rPr>
      <t>f</t>
    </r>
    <r>
      <rPr>
        <sz val="12"/>
        <rFont val="Arial"/>
        <family val="2"/>
      </rPr>
      <t>μ</t>
    </r>
  </si>
  <si>
    <r>
      <t>e</t>
    </r>
    <r>
      <rPr>
        <vertAlign val="subscript"/>
        <sz val="12"/>
        <rFont val="Arial"/>
        <family val="2"/>
      </rPr>
      <t>amax</t>
    </r>
  </si>
  <si>
    <r>
      <t>e</t>
    </r>
    <r>
      <rPr>
        <vertAlign val="subscript"/>
        <sz val="12"/>
        <rFont val="Arial"/>
        <family val="2"/>
      </rPr>
      <t>amax</t>
    </r>
    <r>
      <rPr>
        <sz val="12"/>
        <rFont val="Arial"/>
        <family val="2"/>
      </rPr>
      <t>=P</t>
    </r>
    <r>
      <rPr>
        <vertAlign val="subscript"/>
        <sz val="12"/>
        <rFont val="Arial"/>
        <family val="2"/>
      </rPr>
      <t>fmax</t>
    </r>
    <r>
      <rPr>
        <sz val="12"/>
        <rFont val="Arial"/>
        <family val="2"/>
      </rPr>
      <t>dfC</t>
    </r>
    <r>
      <rPr>
        <vertAlign val="subscript"/>
        <sz val="12"/>
        <rFont val="Arial"/>
        <family val="2"/>
      </rPr>
      <t>a</t>
    </r>
    <r>
      <rPr>
        <sz val="12"/>
        <rFont val="Arial"/>
        <family val="2"/>
      </rPr>
      <t>/E</t>
    </r>
    <r>
      <rPr>
        <vertAlign val="subscript"/>
        <sz val="12"/>
        <rFont val="Arial"/>
        <family val="2"/>
      </rPr>
      <t>a</t>
    </r>
  </si>
  <si>
    <r>
      <t>e</t>
    </r>
    <r>
      <rPr>
        <vertAlign val="subscript"/>
        <sz val="12"/>
        <rFont val="Arial"/>
        <family val="2"/>
      </rPr>
      <t>imax</t>
    </r>
  </si>
  <si>
    <r>
      <t>e</t>
    </r>
    <r>
      <rPr>
        <vertAlign val="subscript"/>
        <sz val="12"/>
        <rFont val="Arial"/>
        <family val="2"/>
      </rPr>
      <t>imax</t>
    </r>
    <r>
      <rPr>
        <sz val="12"/>
        <rFont val="Arial"/>
        <family val="2"/>
      </rPr>
      <t>=P</t>
    </r>
    <r>
      <rPr>
        <vertAlign val="subscript"/>
        <sz val="12"/>
        <rFont val="Arial"/>
        <family val="2"/>
      </rPr>
      <t>fmax</t>
    </r>
    <r>
      <rPr>
        <sz val="12"/>
        <rFont val="Arial"/>
        <family val="2"/>
      </rPr>
      <t>dfC</t>
    </r>
    <r>
      <rPr>
        <vertAlign val="subscript"/>
        <sz val="12"/>
        <rFont val="Arial"/>
        <family val="2"/>
      </rPr>
      <t>i</t>
    </r>
    <r>
      <rPr>
        <sz val="12"/>
        <rFont val="Arial"/>
        <family val="2"/>
      </rPr>
      <t>/E</t>
    </r>
    <r>
      <rPr>
        <vertAlign val="subscript"/>
        <sz val="12"/>
        <rFont val="Arial"/>
        <family val="2"/>
      </rPr>
      <t>i</t>
    </r>
  </si>
  <si>
    <r>
      <t>δ</t>
    </r>
    <r>
      <rPr>
        <vertAlign val="subscript"/>
        <sz val="12"/>
        <rFont val="Arial"/>
        <family val="2"/>
      </rPr>
      <t>emax</t>
    </r>
  </si>
  <si>
    <r>
      <t>δ</t>
    </r>
    <r>
      <rPr>
        <vertAlign val="subscript"/>
        <sz val="12"/>
        <rFont val="Arial"/>
        <family val="2"/>
      </rPr>
      <t>emax</t>
    </r>
    <r>
      <rPr>
        <sz val="12"/>
        <rFont val="Arial"/>
        <family val="2"/>
      </rPr>
      <t>=e</t>
    </r>
    <r>
      <rPr>
        <vertAlign val="subscript"/>
        <sz val="12"/>
        <rFont val="Arial"/>
        <family val="2"/>
      </rPr>
      <t>amax</t>
    </r>
    <r>
      <rPr>
        <sz val="12"/>
        <rFont val="Arial"/>
        <family val="2"/>
      </rPr>
      <t>+e</t>
    </r>
    <r>
      <rPr>
        <vertAlign val="subscript"/>
        <sz val="12"/>
        <rFont val="Arial"/>
        <family val="2"/>
      </rPr>
      <t>imax</t>
    </r>
  </si>
  <si>
    <r>
      <t>[δ</t>
    </r>
    <r>
      <rPr>
        <vertAlign val="subscript"/>
        <sz val="12"/>
        <rFont val="Arial"/>
        <family val="2"/>
      </rPr>
      <t>min</t>
    </r>
    <r>
      <rPr>
        <sz val="12"/>
        <rFont val="Arial"/>
        <family val="2"/>
      </rPr>
      <t>]</t>
    </r>
  </si>
  <si>
    <r>
      <t>[δ</t>
    </r>
    <r>
      <rPr>
        <vertAlign val="subscript"/>
        <sz val="12"/>
        <rFont val="Arial"/>
        <family val="2"/>
      </rPr>
      <t>min</t>
    </r>
    <r>
      <rPr>
        <sz val="12"/>
        <rFont val="Arial"/>
        <family val="2"/>
      </rPr>
      <t>]</t>
    </r>
    <r>
      <rPr>
        <sz val="12"/>
        <rFont val="楷体_GB2312"/>
        <charset val="134"/>
      </rPr>
      <t>＞</t>
    </r>
    <r>
      <rPr>
        <sz val="12"/>
        <rFont val="Arial"/>
        <family val="2"/>
      </rPr>
      <t>δ</t>
    </r>
    <r>
      <rPr>
        <vertAlign val="subscript"/>
        <sz val="12"/>
        <rFont val="Arial"/>
        <family val="2"/>
      </rPr>
      <t>emin</t>
    </r>
  </si>
  <si>
    <r>
      <t>[δ</t>
    </r>
    <r>
      <rPr>
        <vertAlign val="subscript"/>
        <sz val="12"/>
        <rFont val="Arial"/>
        <family val="2"/>
      </rPr>
      <t>max</t>
    </r>
    <r>
      <rPr>
        <sz val="12"/>
        <rFont val="Arial"/>
        <family val="2"/>
      </rPr>
      <t>]</t>
    </r>
  </si>
  <si>
    <r>
      <t>[δ</t>
    </r>
    <r>
      <rPr>
        <vertAlign val="subscript"/>
        <sz val="12"/>
        <rFont val="Arial"/>
        <family val="2"/>
      </rPr>
      <t>max</t>
    </r>
    <r>
      <rPr>
        <sz val="12"/>
        <rFont val="Arial"/>
        <family val="2"/>
      </rPr>
      <t>]</t>
    </r>
    <r>
      <rPr>
        <sz val="12"/>
        <rFont val="楷体_GB2312"/>
        <charset val="134"/>
      </rPr>
      <t>≤</t>
    </r>
    <r>
      <rPr>
        <sz val="12"/>
        <rFont val="Arial"/>
        <family val="2"/>
      </rPr>
      <t>δ</t>
    </r>
    <r>
      <rPr>
        <vertAlign val="subscript"/>
        <sz val="12"/>
        <rFont val="Arial"/>
        <family val="2"/>
      </rPr>
      <t>emax</t>
    </r>
  </si>
  <si>
    <r>
      <t>δ</t>
    </r>
    <r>
      <rPr>
        <vertAlign val="subscript"/>
        <sz val="12"/>
        <rFont val="Arial"/>
        <family val="2"/>
      </rPr>
      <t>b</t>
    </r>
  </si>
  <si>
    <r>
      <t>δ</t>
    </r>
    <r>
      <rPr>
        <vertAlign val="subscript"/>
        <sz val="12"/>
        <rFont val="Arial"/>
        <family val="2"/>
      </rPr>
      <t>b</t>
    </r>
    <r>
      <rPr>
        <sz val="12"/>
        <rFont val="Arial"/>
        <family val="2"/>
      </rPr>
      <t>=(δ</t>
    </r>
    <r>
      <rPr>
        <vertAlign val="subscript"/>
        <sz val="12"/>
        <rFont val="Arial"/>
        <family val="2"/>
      </rPr>
      <t>emin</t>
    </r>
    <r>
      <rPr>
        <sz val="12"/>
        <rFont val="Arial"/>
        <family val="2"/>
      </rPr>
      <t>+δ</t>
    </r>
    <r>
      <rPr>
        <vertAlign val="subscript"/>
        <sz val="12"/>
        <rFont val="Arial"/>
        <family val="2"/>
      </rPr>
      <t>emin</t>
    </r>
    <r>
      <rPr>
        <sz val="12"/>
        <rFont val="Arial"/>
        <family val="2"/>
      </rPr>
      <t>)/2</t>
    </r>
  </si>
  <si>
    <r>
      <t>(δ</t>
    </r>
    <r>
      <rPr>
        <vertAlign val="subscript"/>
        <sz val="12"/>
        <rFont val="Arial"/>
        <family val="2"/>
      </rPr>
      <t>emin</t>
    </r>
    <r>
      <rPr>
        <sz val="12"/>
        <rFont val="Arial"/>
        <family val="2"/>
      </rPr>
      <t>+δ</t>
    </r>
    <r>
      <rPr>
        <vertAlign val="subscript"/>
        <sz val="12"/>
        <rFont val="Arial"/>
        <family val="2"/>
      </rPr>
      <t>emin</t>
    </r>
    <r>
      <rPr>
        <sz val="12"/>
        <rFont val="Arial"/>
        <family val="2"/>
      </rPr>
      <t>)/2</t>
    </r>
    <r>
      <rPr>
        <sz val="12"/>
        <rFont val="楷体_GB2312"/>
        <charset val="134"/>
      </rPr>
      <t>＜</t>
    </r>
    <r>
      <rPr>
        <sz val="12"/>
        <rFont val="Arial"/>
        <family val="2"/>
      </rPr>
      <t>δ</t>
    </r>
    <r>
      <rPr>
        <vertAlign val="subscript"/>
        <sz val="12"/>
        <rFont val="Arial"/>
        <family val="2"/>
      </rPr>
      <t>b</t>
    </r>
    <r>
      <rPr>
        <sz val="12"/>
        <rFont val="楷体_GB2312"/>
        <charset val="134"/>
      </rPr>
      <t>＜</t>
    </r>
    <r>
      <rPr>
        <sz val="12"/>
        <rFont val="Arial"/>
        <family val="2"/>
      </rPr>
      <t>δ</t>
    </r>
    <r>
      <rPr>
        <vertAlign val="subscript"/>
        <sz val="12"/>
        <rFont val="Arial"/>
        <family val="2"/>
      </rPr>
      <t>emax</t>
    </r>
  </si>
  <si>
    <r>
      <t>u</t>
    </r>
    <r>
      <rPr>
        <sz val="12"/>
        <rFont val="楷体_GB2312"/>
        <charset val="134"/>
      </rPr>
      <t>的基本偏差</t>
    </r>
  </si>
  <si>
    <r>
      <t>[δ</t>
    </r>
    <r>
      <rPr>
        <vertAlign val="subscript"/>
        <sz val="12"/>
        <rFont val="Arial"/>
        <family val="2"/>
      </rPr>
      <t>min</t>
    </r>
    <r>
      <rPr>
        <sz val="12"/>
        <rFont val="Arial"/>
        <family val="2"/>
      </rPr>
      <t>]=ω-IT7</t>
    </r>
    <r>
      <rPr>
        <sz val="12"/>
        <rFont val="楷体_GB2312"/>
        <charset val="134"/>
      </rPr>
      <t>＞</t>
    </r>
    <r>
      <rPr>
        <sz val="12"/>
        <rFont val="Arial"/>
        <family val="2"/>
      </rPr>
      <t>δ</t>
    </r>
    <r>
      <rPr>
        <vertAlign val="subscript"/>
        <sz val="12"/>
        <rFont val="Arial"/>
        <family val="2"/>
      </rPr>
      <t>emin</t>
    </r>
  </si>
  <si>
    <r>
      <t>[δ</t>
    </r>
    <r>
      <rPr>
        <vertAlign val="subscript"/>
        <sz val="12"/>
        <rFont val="Arial"/>
        <family val="2"/>
      </rPr>
      <t>max</t>
    </r>
    <r>
      <rPr>
        <sz val="12"/>
        <rFont val="Arial"/>
        <family val="2"/>
      </rPr>
      <t>]=ω+IT6</t>
    </r>
    <r>
      <rPr>
        <sz val="12"/>
        <rFont val="楷体_GB2312"/>
        <charset val="134"/>
      </rPr>
      <t>≤</t>
    </r>
    <r>
      <rPr>
        <sz val="12"/>
        <rFont val="Arial"/>
        <family val="2"/>
      </rPr>
      <t>δ</t>
    </r>
    <r>
      <rPr>
        <vertAlign val="subscript"/>
        <sz val="12"/>
        <rFont val="Arial"/>
        <family val="2"/>
      </rPr>
      <t>emax</t>
    </r>
  </si>
  <si>
    <t>加工方法</t>
  </si>
  <si>
    <t>直线度、平面度公差等级</t>
  </si>
  <si>
    <t>车</t>
  </si>
  <si>
    <t>粗</t>
  </si>
  <si>
    <t>○</t>
  </si>
  <si>
    <t>细</t>
  </si>
  <si>
    <t>精</t>
  </si>
  <si>
    <t>铣</t>
  </si>
  <si>
    <t>刨</t>
  </si>
  <si>
    <t>磨</t>
  </si>
  <si>
    <t>研磨</t>
  </si>
  <si>
    <t>刮研</t>
  </si>
  <si>
    <t>表面</t>
  </si>
  <si>
    <t>圆度、圆柱度</t>
  </si>
  <si>
    <t>精密车削</t>
  </si>
  <si>
    <t>普通车削</t>
  </si>
  <si>
    <t>普通
立车</t>
  </si>
  <si>
    <t>自动
半自动车</t>
  </si>
  <si>
    <t>外
圆
磨</t>
  </si>
  <si>
    <t>无心磨</t>
  </si>
  <si>
    <t>精磨</t>
  </si>
  <si>
    <t>钻</t>
  </si>
  <si>
    <t>孔</t>
  </si>
  <si>
    <t>普
通
镗</t>
  </si>
  <si>
    <t>金刚
镗</t>
  </si>
  <si>
    <t>铰 孔</t>
  </si>
  <si>
    <t>扩 孔</t>
  </si>
  <si>
    <t>内圆磨</t>
  </si>
  <si>
    <t>研
磨</t>
  </si>
  <si>
    <t>珩  磨</t>
  </si>
  <si>
    <t>平行度、垂直度公差等级</t>
  </si>
  <si>
    <t>面——面</t>
  </si>
  <si>
    <t>刮</t>
  </si>
  <si>
    <t>拉</t>
  </si>
  <si>
    <t>插</t>
  </si>
  <si>
    <t>轴线-轴线（平面）</t>
  </si>
  <si>
    <t>镗</t>
  </si>
  <si>
    <t>金刚镗</t>
  </si>
  <si>
    <t>同轴度、圆跳动公差</t>
  </si>
  <si>
    <t>车、镗</t>
  </si>
  <si>
    <t>（加工孔）</t>
  </si>
  <si>
    <t>（加工轴）</t>
  </si>
  <si>
    <t>铰</t>
  </si>
  <si>
    <t>珩   磨</t>
  </si>
  <si>
    <t>研   磨</t>
  </si>
  <si>
    <t>形状位置公差加工方法</t>
    <phoneticPr fontId="378" type="noConversion"/>
  </si>
  <si>
    <r>
      <t>密度</t>
    </r>
    <r>
      <rPr>
        <sz val="12"/>
        <rFont val="Times New Roman"/>
        <family val="1"/>
      </rPr>
      <t>kg/m</t>
    </r>
    <r>
      <rPr>
        <vertAlign val="superscript"/>
        <sz val="12"/>
        <rFont val="Times New Roman"/>
        <family val="1"/>
      </rPr>
      <t>3</t>
    </r>
  </si>
  <si>
    <r>
      <t>比热容</t>
    </r>
    <r>
      <rPr>
        <sz val="12"/>
        <rFont val="Times New Roman"/>
        <family val="1"/>
      </rPr>
      <t>kJ/kg K</t>
    </r>
  </si>
  <si>
    <t>电阻率</t>
  </si>
  <si>
    <t>Hastelloy-C</t>
  </si>
  <si>
    <t>铸铁</t>
  </si>
  <si>
    <t>铜</t>
  </si>
  <si>
    <t>镍</t>
  </si>
  <si>
    <t>铅</t>
  </si>
  <si>
    <t>酚醛</t>
  </si>
  <si>
    <t>1250~1300</t>
  </si>
  <si>
    <t>1.256~1.6747</t>
  </si>
  <si>
    <t>脲醛</t>
  </si>
  <si>
    <t>1400~1500</t>
  </si>
  <si>
    <t>聚氨乙烯</t>
  </si>
  <si>
    <t>1380~1400</t>
  </si>
  <si>
    <t>聚苯乙烯</t>
  </si>
  <si>
    <t>1050~1070</t>
  </si>
  <si>
    <t>高压聚氯乙烯</t>
  </si>
  <si>
    <t>低压聚氯乙烯</t>
  </si>
  <si>
    <t>干砂</t>
  </si>
  <si>
    <t>1500~1700</t>
  </si>
  <si>
    <t>黏土</t>
  </si>
  <si>
    <t>1600~1800</t>
  </si>
  <si>
    <r>
      <t>0.7536(-20</t>
    </r>
    <r>
      <rPr>
        <sz val="12"/>
        <rFont val="Times New Roman"/>
        <family val="1"/>
      </rPr>
      <t>~</t>
    </r>
    <r>
      <rPr>
        <sz val="12"/>
        <rFont val="新細明體"/>
        <family val="1"/>
        <scheme val="minor"/>
      </rPr>
      <t>20℃)</t>
    </r>
  </si>
  <si>
    <t>黏土砖</t>
  </si>
  <si>
    <t>1600~1900</t>
  </si>
  <si>
    <t>耐火砖</t>
  </si>
  <si>
    <t>0.8792~1.0048</t>
  </si>
  <si>
    <t>混凝土</t>
  </si>
  <si>
    <t>2000~2400</t>
  </si>
  <si>
    <t>松木</t>
  </si>
  <si>
    <t>500~600</t>
  </si>
  <si>
    <r>
      <t>2.7214(0</t>
    </r>
    <r>
      <rPr>
        <sz val="12"/>
        <rFont val="Times New Roman"/>
        <family val="1"/>
      </rPr>
      <t>~</t>
    </r>
    <r>
      <rPr>
        <sz val="12"/>
        <rFont val="新細明體"/>
        <family val="1"/>
        <scheme val="minor"/>
      </rPr>
      <t>100℃)</t>
    </r>
  </si>
  <si>
    <t>软木</t>
  </si>
  <si>
    <t>100~300</t>
  </si>
  <si>
    <t>石棉板</t>
  </si>
  <si>
    <t>玻璃</t>
  </si>
  <si>
    <t>耐酸砖和板</t>
  </si>
  <si>
    <t>2100~2400</t>
  </si>
  <si>
    <t>0.7536~0.7955</t>
  </si>
  <si>
    <t>耐酸搪瓷</t>
  </si>
  <si>
    <t>2300~2700</t>
  </si>
  <si>
    <t>0.8374~1.256</t>
  </si>
  <si>
    <t>有机玻璃</t>
  </si>
  <si>
    <t>1180~1190</t>
  </si>
  <si>
    <t>多孔耐热砖</t>
  </si>
  <si>
    <t>600~1400</t>
  </si>
  <si>
    <t>密度</t>
    <phoneticPr fontId="378" type="noConversion"/>
  </si>
  <si>
    <t>常用资料</t>
    <phoneticPr fontId="378" type="noConversion"/>
  </si>
  <si>
    <t>O型圈</t>
    <phoneticPr fontId="378" type="noConversion"/>
  </si>
  <si>
    <t>无缝管</t>
    <phoneticPr fontId="378" type="noConversion"/>
  </si>
  <si>
    <t>标准筛目</t>
    <phoneticPr fontId="378" type="noConversion"/>
  </si>
  <si>
    <t>GB/T3452.1-1992</t>
  </si>
  <si>
    <t>沟槽尺寸</t>
  </si>
  <si>
    <t>GB1235-76</t>
  </si>
  <si>
    <t>±0.13</t>
  </si>
  <si>
    <t>1.4×2.5</t>
  </si>
  <si>
    <t>1.8×3.2</t>
  </si>
  <si>
    <t>2.4×4</t>
  </si>
  <si>
    <t>2.7×4.5</t>
  </si>
  <si>
    <t>4.5×7.5</t>
  </si>
  <si>
    <t>6.9×11</t>
  </si>
  <si>
    <t>±0.14</t>
  </si>
  <si>
    <t>±0.17</t>
  </si>
  <si>
    <t>±0.22</t>
  </si>
  <si>
    <t>±0.36</t>
  </si>
  <si>
    <t>±0.44</t>
  </si>
  <si>
    <t>±0.53</t>
  </si>
  <si>
    <t>±0.9</t>
  </si>
  <si>
    <t>±1.6</t>
  </si>
  <si>
    <t>±2.1</t>
  </si>
  <si>
    <t>±2.6</t>
  </si>
  <si>
    <t>±3.2</t>
  </si>
  <si>
    <t>±3.8</t>
  </si>
  <si>
    <t>轴向</t>
  </si>
  <si>
    <r>
      <t>宽度</t>
    </r>
    <r>
      <rPr>
        <sz val="12"/>
        <rFont val="新細明體"/>
        <family val="1"/>
        <scheme val="minor"/>
      </rPr>
      <t>b</t>
    </r>
  </si>
  <si>
    <r>
      <t>深度</t>
    </r>
    <r>
      <rPr>
        <sz val="12"/>
        <rFont val="新細明體"/>
        <family val="1"/>
        <scheme val="minor"/>
      </rPr>
      <t>h</t>
    </r>
  </si>
  <si>
    <r>
      <t>完全填满时，</t>
    </r>
    <r>
      <rPr>
        <sz val="12"/>
        <rFont val="新細明體"/>
        <family val="1"/>
        <scheme val="minor"/>
      </rPr>
      <t>b</t>
    </r>
  </si>
  <si>
    <r>
      <t xml:space="preserve"> </t>
    </r>
    <r>
      <rPr>
        <sz val="12"/>
        <rFont val="新細明體"/>
        <family val="1"/>
        <scheme val="minor"/>
      </rPr>
      <t>完全填满有圆头时</t>
    </r>
  </si>
  <si>
    <r>
      <t>自定深度</t>
    </r>
    <r>
      <rPr>
        <sz val="12"/>
        <rFont val="新細明體"/>
        <family val="1"/>
        <scheme val="minor"/>
      </rPr>
      <t>H</t>
    </r>
  </si>
  <si>
    <r>
      <t>自定深度完全填满时的</t>
    </r>
    <r>
      <rPr>
        <sz val="12"/>
        <rFont val="新細明體"/>
        <family val="1"/>
        <scheme val="minor"/>
      </rPr>
      <t>B</t>
    </r>
  </si>
  <si>
    <r>
      <t>定深</t>
    </r>
    <r>
      <rPr>
        <sz val="12"/>
        <rFont val="新細明體"/>
        <family val="1"/>
        <scheme val="minor"/>
      </rPr>
      <t>H</t>
    </r>
  </si>
  <si>
    <r>
      <t>定深完全填满时有圆头</t>
    </r>
    <r>
      <rPr>
        <sz val="12"/>
        <rFont val="新細明體"/>
        <family val="1"/>
        <scheme val="minor"/>
      </rPr>
      <t>B</t>
    </r>
  </si>
  <si>
    <r>
      <t>径</t>
    </r>
    <r>
      <rPr>
        <sz val="12"/>
        <rFont val="新細明體"/>
        <family val="1"/>
        <scheme val="minor"/>
      </rPr>
      <t>向</t>
    </r>
  </si>
  <si>
    <t>气</t>
  </si>
  <si>
    <t>液</t>
  </si>
  <si>
    <r>
      <t>深度</t>
    </r>
    <r>
      <rPr>
        <sz val="12"/>
        <rFont val="新細明體"/>
        <family val="1"/>
        <scheme val="minor"/>
      </rPr>
      <t>t</t>
    </r>
  </si>
  <si>
    <t>活塞</t>
  </si>
  <si>
    <t>静</t>
  </si>
  <si>
    <t>活塞杆</t>
  </si>
  <si>
    <t>最小导角长度</t>
  </si>
  <si>
    <t>沟槽公差</t>
  </si>
  <si>
    <t>缸内径</t>
  </si>
  <si>
    <r>
      <t>+</t>
    </r>
    <r>
      <rPr>
        <sz val="12"/>
        <rFont val="新細明體"/>
        <family val="1"/>
        <scheme val="minor"/>
      </rPr>
      <t>0.06</t>
    </r>
  </si>
  <si>
    <r>
      <t>+</t>
    </r>
    <r>
      <rPr>
        <sz val="12"/>
        <rFont val="新細明體"/>
        <family val="1"/>
        <scheme val="minor"/>
      </rPr>
      <t>0.07</t>
    </r>
  </si>
  <si>
    <r>
      <t>+</t>
    </r>
    <r>
      <rPr>
        <sz val="12"/>
        <rFont val="新細明體"/>
        <family val="1"/>
        <scheme val="minor"/>
      </rPr>
      <t>0.08</t>
    </r>
  </si>
  <si>
    <r>
      <t>+</t>
    </r>
    <r>
      <rPr>
        <sz val="12"/>
        <rFont val="新細明體"/>
        <family val="1"/>
        <scheme val="minor"/>
      </rPr>
      <t>0.09</t>
    </r>
  </si>
  <si>
    <r>
      <t>+</t>
    </r>
    <r>
      <rPr>
        <sz val="12"/>
        <rFont val="新細明體"/>
        <family val="1"/>
        <scheme val="minor"/>
      </rPr>
      <t>0.11</t>
    </r>
  </si>
  <si>
    <t>活塞槽底</t>
  </si>
  <si>
    <t>缸槽底径</t>
  </si>
  <si>
    <t>活塞杆径</t>
  </si>
  <si>
    <t>径向总公差</t>
  </si>
  <si>
    <t>轴向密封沟槽内外径</t>
  </si>
  <si>
    <r>
      <t>轴向密封沟槽深度</t>
    </r>
    <r>
      <rPr>
        <sz val="12"/>
        <rFont val="新細明體"/>
        <family val="1"/>
        <scheme val="minor"/>
      </rPr>
      <t>h</t>
    </r>
  </si>
  <si>
    <r>
      <t>+</t>
    </r>
    <r>
      <rPr>
        <sz val="12"/>
        <rFont val="新細明體"/>
        <family val="1"/>
        <scheme val="minor"/>
      </rPr>
      <t>0.1</t>
    </r>
  </si>
  <si>
    <r>
      <t>沟槽宽度</t>
    </r>
    <r>
      <rPr>
        <sz val="12"/>
        <rFont val="新細明體"/>
        <family val="1"/>
        <scheme val="minor"/>
      </rPr>
      <t>b</t>
    </r>
  </si>
  <si>
    <t>+0.25</t>
  </si>
  <si>
    <t>槽底圆角半径</t>
  </si>
  <si>
    <t>0.2～0.4</t>
  </si>
  <si>
    <t>～1.2</t>
  </si>
  <si>
    <t>槽棱圆角半径</t>
  </si>
  <si>
    <t>0.1～0.3</t>
  </si>
  <si>
    <t>GB/T14975-1994</t>
  </si>
  <si>
    <t>无缝不锈钢管</t>
  </si>
  <si>
    <t>●</t>
  </si>
  <si>
    <r>
      <t>●冷拉</t>
    </r>
    <r>
      <rPr>
        <sz val="10.5"/>
        <rFont val="Times New Roman"/>
        <family val="1"/>
      </rPr>
      <t>(</t>
    </r>
    <r>
      <rPr>
        <sz val="10.5"/>
        <rFont val="宋体"/>
        <charset val="134"/>
      </rPr>
      <t>轧</t>
    </r>
    <r>
      <rPr>
        <sz val="10.5"/>
        <rFont val="Times New Roman"/>
        <family val="1"/>
      </rPr>
      <t>)</t>
    </r>
    <r>
      <rPr>
        <sz val="10.5"/>
        <rFont val="宋体"/>
        <charset val="134"/>
      </rPr>
      <t>管</t>
    </r>
  </si>
  <si>
    <t>钢丝挡圈</t>
  </si>
  <si>
    <t>○热轧(挤、扩)管</t>
  </si>
  <si>
    <t>自</t>
  </si>
  <si>
    <t>丝径</t>
  </si>
  <si>
    <t>◎冷、热均有</t>
  </si>
  <si>
    <t>◎</t>
  </si>
  <si>
    <t>泰勒标准筛</t>
  </si>
  <si>
    <r>
      <t>日本</t>
    </r>
    <r>
      <rPr>
        <sz val="12"/>
        <rFont val="Times New Roman"/>
        <family val="1"/>
      </rPr>
      <t>JIS</t>
    </r>
    <r>
      <rPr>
        <sz val="12"/>
        <rFont val="新細明體"/>
        <family val="1"/>
        <scheme val="minor"/>
      </rPr>
      <t>筛</t>
    </r>
  </si>
  <si>
    <t>德国标准筛</t>
  </si>
  <si>
    <r>
      <t>目数</t>
    </r>
    <r>
      <rPr>
        <sz val="10"/>
        <rFont val="Times New Roman"/>
        <family val="1"/>
      </rPr>
      <t>/in</t>
    </r>
  </si>
  <si>
    <r>
      <t>孔目大小</t>
    </r>
    <r>
      <rPr>
        <sz val="10"/>
        <rFont val="Times New Roman"/>
        <family val="1"/>
      </rPr>
      <t>/mm</t>
    </r>
  </si>
  <si>
    <r>
      <t>网线径</t>
    </r>
    <r>
      <rPr>
        <sz val="10"/>
        <rFont val="Times New Roman"/>
        <family val="1"/>
      </rPr>
      <t>/mm</t>
    </r>
  </si>
  <si>
    <r>
      <t>目数</t>
    </r>
    <r>
      <rPr>
        <sz val="10"/>
        <rFont val="Times New Roman"/>
        <family val="1"/>
      </rPr>
      <t>/cm</t>
    </r>
  </si>
  <si>
    <r>
      <rPr>
        <sz val="11"/>
        <color indexed="8"/>
        <rFont val="宋体"/>
        <charset val="134"/>
      </rPr>
      <t>低速重载时选择 V</t>
    </r>
    <r>
      <rPr>
        <sz val="10"/>
        <rFont val="宋体"/>
        <charset val="134"/>
      </rPr>
      <t xml:space="preserve">m </t>
    </r>
    <r>
      <rPr>
        <sz val="11"/>
        <color indexed="8"/>
        <rFont val="宋体"/>
        <charset val="134"/>
      </rPr>
      <t>和 Q</t>
    </r>
    <r>
      <rPr>
        <sz val="10"/>
        <rFont val="宋体"/>
        <charset val="134"/>
      </rPr>
      <t xml:space="preserve">m </t>
    </r>
    <r>
      <rPr>
        <sz val="11"/>
        <color indexed="8"/>
        <rFont val="宋体"/>
        <charset val="134"/>
      </rPr>
      <t>值小的曲线。</t>
    </r>
  </si>
  <si>
    <r>
      <rPr>
        <sz val="12"/>
        <rFont val="新細明體"/>
        <family val="1"/>
        <scheme val="minor"/>
      </rPr>
      <t>S</t>
    </r>
    <r>
      <rPr>
        <sz val="12"/>
        <rFont val="新細明體"/>
        <family val="1"/>
        <scheme val="minor"/>
      </rPr>
      <t>H</t>
    </r>
  </si>
  <si>
    <r>
      <rPr>
        <sz val="12"/>
        <rFont val="新細明體"/>
        <family val="1"/>
        <scheme val="minor"/>
      </rPr>
      <t>A</t>
    </r>
    <r>
      <rPr>
        <sz val="12"/>
        <rFont val="Dotum"/>
        <family val="2"/>
        <charset val="134"/>
      </rPr>
      <t>①</t>
    </r>
  </si>
  <si>
    <r>
      <rPr>
        <sz val="12"/>
        <rFont val="新細明體"/>
        <family val="1"/>
        <scheme val="minor"/>
      </rPr>
      <t>A</t>
    </r>
    <r>
      <rPr>
        <sz val="11"/>
        <color indexed="8"/>
        <rFont val="宋体"/>
        <charset val="134"/>
      </rPr>
      <t>+0.125</t>
    </r>
  </si>
  <si>
    <r>
      <rPr>
        <sz val="12"/>
        <rFont val="新細明體"/>
        <family val="1"/>
        <scheme val="minor"/>
      </rPr>
      <t>单停留摆线</t>
    </r>
    <r>
      <rPr>
        <sz val="12"/>
        <rFont val="SimSun-ExtB"/>
        <family val="3"/>
        <charset val="134"/>
      </rPr>
      <t xml:space="preserve"> m=1</t>
    </r>
  </si>
  <si>
    <r>
      <rPr>
        <sz val="12"/>
        <rFont val="新細明體"/>
        <family val="1"/>
        <scheme val="minor"/>
      </rPr>
      <t xml:space="preserve">单停留修正梯形 </t>
    </r>
    <r>
      <rPr>
        <sz val="11"/>
        <color indexed="8"/>
        <rFont val="宋体"/>
        <charset val="134"/>
      </rPr>
      <t>m=1</t>
    </r>
  </si>
  <si>
    <r>
      <rPr>
        <sz val="12"/>
        <rFont val="新細明體"/>
        <family val="1"/>
        <scheme val="minor"/>
      </rPr>
      <t xml:space="preserve">单停留修正梯形 </t>
    </r>
    <r>
      <rPr>
        <sz val="11"/>
        <color indexed="8"/>
        <rFont val="宋体"/>
        <charset val="134"/>
      </rPr>
      <t>Ferguson</t>
    </r>
  </si>
  <si>
    <r>
      <rPr>
        <sz val="12"/>
        <rFont val="新細明體"/>
        <family val="1"/>
        <scheme val="minor"/>
      </rPr>
      <t xml:space="preserve">单停留修正梯形 </t>
    </r>
    <r>
      <rPr>
        <sz val="11"/>
        <color indexed="8"/>
        <rFont val="宋体"/>
        <charset val="134"/>
      </rPr>
      <t>m=2/3</t>
    </r>
  </si>
  <si>
    <r>
      <rPr>
        <sz val="12"/>
        <rFont val="新細明體"/>
        <family val="1"/>
        <scheme val="minor"/>
      </rPr>
      <t>N</t>
    </r>
    <r>
      <rPr>
        <sz val="11"/>
        <color indexed="8"/>
        <rFont val="宋体"/>
        <charset val="134"/>
      </rPr>
      <t>C2曲线</t>
    </r>
  </si>
  <si>
    <r>
      <rPr>
        <sz val="12"/>
        <rFont val="新細明體"/>
        <family val="1"/>
        <scheme val="minor"/>
      </rPr>
      <t>A</t>
    </r>
    <r>
      <rPr>
        <sz val="11"/>
        <color indexed="8"/>
        <rFont val="宋体"/>
        <charset val="134"/>
      </rPr>
      <t>=(1.25+0.125π)/(2π)</t>
    </r>
  </si>
  <si>
    <r>
      <rPr>
        <sz val="12"/>
        <rFont val="新細明體"/>
        <family val="1"/>
        <scheme val="minor"/>
      </rPr>
      <t>B</t>
    </r>
    <r>
      <rPr>
        <sz val="11"/>
        <color indexed="8"/>
        <rFont val="宋体"/>
        <charset val="134"/>
      </rPr>
      <t>=7/16-0.125π</t>
    </r>
  </si>
  <si>
    <r>
      <rPr>
        <sz val="12"/>
        <rFont val="新細明體"/>
        <family val="1"/>
        <scheme val="minor"/>
      </rPr>
      <t>在运动精度要求较高的条件下，应选用A</t>
    </r>
    <r>
      <rPr>
        <sz val="12"/>
        <rFont val="新細明體"/>
        <family val="1"/>
        <scheme val="minor"/>
      </rPr>
      <t>rms较小的运动规律。</t>
    </r>
  </si>
  <si>
    <t>凸轮各曲线特征</t>
    <phoneticPr fontId="378" type="noConversion"/>
  </si>
  <si>
    <t>平键和键槽标准尺寸规格表</t>
    <phoneticPr fontId="378" type="noConversion"/>
  </si>
  <si>
    <r>
      <t>轴径</t>
    </r>
    <r>
      <rPr>
        <sz val="12"/>
        <color indexed="8"/>
        <rFont val="Arial"/>
        <family val="2"/>
      </rPr>
      <t xml:space="preserve"> </t>
    </r>
  </si>
  <si>
    <r>
      <t>键</t>
    </r>
    <r>
      <rPr>
        <sz val="12"/>
        <color indexed="8"/>
        <rFont val="Arial"/>
        <family val="2"/>
      </rPr>
      <t xml:space="preserve"> </t>
    </r>
  </si>
  <si>
    <r>
      <t>键　　　　　槽</t>
    </r>
    <r>
      <rPr>
        <sz val="12"/>
        <color indexed="8"/>
        <rFont val="Arial"/>
        <family val="2"/>
      </rPr>
      <t xml:space="preserve"> </t>
    </r>
  </si>
  <si>
    <r>
      <t>公称直径</t>
    </r>
    <r>
      <rPr>
        <sz val="12"/>
        <color indexed="8"/>
        <rFont val="Arial"/>
        <family val="2"/>
      </rPr>
      <t>d</t>
    </r>
  </si>
  <si>
    <r>
      <t>公称尺寸</t>
    </r>
    <r>
      <rPr>
        <sz val="12"/>
        <color indexed="8"/>
        <rFont val="Arial"/>
        <family val="2"/>
      </rPr>
      <t>b×h</t>
    </r>
  </si>
  <si>
    <r>
      <t>宽　　度</t>
    </r>
    <r>
      <rPr>
        <sz val="12"/>
        <color indexed="8"/>
        <rFont val="Arial"/>
        <family val="2"/>
      </rPr>
      <t xml:space="preserve"> </t>
    </r>
  </si>
  <si>
    <r>
      <t>深　　度</t>
    </r>
    <r>
      <rPr>
        <sz val="12"/>
        <color indexed="8"/>
        <rFont val="Arial"/>
        <family val="2"/>
      </rPr>
      <t xml:space="preserve"> </t>
    </r>
  </si>
  <si>
    <r>
      <t>半径</t>
    </r>
    <r>
      <rPr>
        <sz val="12"/>
        <color indexed="8"/>
        <rFont val="Arial"/>
        <family val="2"/>
      </rPr>
      <t xml:space="preserve"> r</t>
    </r>
  </si>
  <si>
    <r>
      <t>偏　</t>
    </r>
    <r>
      <rPr>
        <sz val="12"/>
        <color indexed="8"/>
        <rFont val="Arial"/>
        <family val="2"/>
      </rPr>
      <t xml:space="preserve">     </t>
    </r>
    <r>
      <rPr>
        <sz val="12"/>
        <color indexed="8"/>
        <rFont val="宋体"/>
        <charset val="134"/>
      </rPr>
      <t>　差</t>
    </r>
    <r>
      <rPr>
        <sz val="12"/>
        <color indexed="8"/>
        <rFont val="Arial"/>
        <family val="2"/>
      </rPr>
      <t xml:space="preserve"> </t>
    </r>
  </si>
  <si>
    <r>
      <t>轴</t>
    </r>
    <r>
      <rPr>
        <sz val="12"/>
        <color indexed="8"/>
        <rFont val="Arial"/>
        <family val="2"/>
      </rPr>
      <t>t</t>
    </r>
  </si>
  <si>
    <r>
      <t>毂</t>
    </r>
    <r>
      <rPr>
        <sz val="12"/>
        <color indexed="8"/>
        <rFont val="Arial"/>
        <family val="2"/>
      </rPr>
      <t xml:space="preserve">t1 </t>
    </r>
  </si>
  <si>
    <r>
      <t>较松</t>
    </r>
    <r>
      <rPr>
        <sz val="12"/>
        <color indexed="8"/>
        <rFont val="Arial"/>
        <family val="2"/>
      </rPr>
      <t xml:space="preserve"> </t>
    </r>
  </si>
  <si>
    <r>
      <t>一般</t>
    </r>
    <r>
      <rPr>
        <sz val="12"/>
        <color indexed="8"/>
        <rFont val="Arial"/>
        <family val="2"/>
      </rPr>
      <t xml:space="preserve"> </t>
    </r>
  </si>
  <si>
    <r>
      <t>较紧</t>
    </r>
    <r>
      <rPr>
        <sz val="12"/>
        <color indexed="8"/>
        <rFont val="Arial"/>
        <family val="2"/>
      </rPr>
      <t xml:space="preserve"> </t>
    </r>
  </si>
  <si>
    <r>
      <t>轴</t>
    </r>
    <r>
      <rPr>
        <sz val="12"/>
        <color indexed="8"/>
        <rFont val="Arial"/>
        <family val="2"/>
      </rPr>
      <t>H9</t>
    </r>
  </si>
  <si>
    <r>
      <t>毂</t>
    </r>
    <r>
      <rPr>
        <sz val="12"/>
        <color indexed="8"/>
        <rFont val="Arial"/>
        <family val="2"/>
      </rPr>
      <t>D10</t>
    </r>
  </si>
  <si>
    <r>
      <t>轴</t>
    </r>
    <r>
      <rPr>
        <sz val="12"/>
        <color indexed="8"/>
        <rFont val="Arial"/>
        <family val="2"/>
      </rPr>
      <t>N8</t>
    </r>
  </si>
  <si>
    <r>
      <t>毂</t>
    </r>
    <r>
      <rPr>
        <sz val="12"/>
        <color indexed="8"/>
        <rFont val="Arial"/>
        <family val="2"/>
      </rPr>
      <t>JS9</t>
    </r>
  </si>
  <si>
    <r>
      <t>轴毂</t>
    </r>
    <r>
      <rPr>
        <sz val="12"/>
        <color indexed="8"/>
        <rFont val="Arial"/>
        <family val="2"/>
      </rPr>
      <t>P9</t>
    </r>
  </si>
  <si>
    <r>
      <t>偏差</t>
    </r>
    <r>
      <rPr>
        <sz val="12"/>
        <color indexed="8"/>
        <rFont val="Arial"/>
        <family val="2"/>
      </rPr>
      <t xml:space="preserve"> </t>
    </r>
  </si>
  <si>
    <r>
      <t>最大</t>
    </r>
    <r>
      <rPr>
        <sz val="12"/>
        <color indexed="8"/>
        <rFont val="Arial"/>
        <family val="2"/>
      </rPr>
      <t xml:space="preserve"> </t>
    </r>
  </si>
  <si>
    <r>
      <t>最小</t>
    </r>
    <r>
      <rPr>
        <sz val="12"/>
        <color indexed="8"/>
        <rFont val="Arial"/>
        <family val="2"/>
      </rPr>
      <t xml:space="preserve"> </t>
    </r>
  </si>
  <si>
    <r>
      <t>＞</t>
    </r>
    <r>
      <rPr>
        <sz val="12"/>
        <color indexed="8"/>
        <rFont val="Arial"/>
        <family val="2"/>
      </rPr>
      <t>8~10</t>
    </r>
  </si>
  <si>
    <r>
      <t>＞</t>
    </r>
    <r>
      <rPr>
        <sz val="12"/>
        <color indexed="8"/>
        <rFont val="Arial"/>
        <family val="2"/>
      </rPr>
      <t>10~12</t>
    </r>
  </si>
  <si>
    <r>
      <t>＞</t>
    </r>
    <r>
      <rPr>
        <sz val="12"/>
        <color indexed="8"/>
        <rFont val="Arial"/>
        <family val="2"/>
      </rPr>
      <t>12~17</t>
    </r>
  </si>
  <si>
    <r>
      <t>＞</t>
    </r>
    <r>
      <rPr>
        <sz val="12"/>
        <color indexed="8"/>
        <rFont val="Arial"/>
        <family val="2"/>
      </rPr>
      <t>17~22</t>
    </r>
  </si>
  <si>
    <r>
      <t>＞</t>
    </r>
    <r>
      <rPr>
        <sz val="12"/>
        <color indexed="8"/>
        <rFont val="Arial"/>
        <family val="2"/>
      </rPr>
      <t>22~30</t>
    </r>
  </si>
  <si>
    <r>
      <t>＞</t>
    </r>
    <r>
      <rPr>
        <sz val="12"/>
        <color indexed="8"/>
        <rFont val="Arial"/>
        <family val="2"/>
      </rPr>
      <t>30~38</t>
    </r>
  </si>
  <si>
    <r>
      <t>＞</t>
    </r>
    <r>
      <rPr>
        <sz val="12"/>
        <color indexed="8"/>
        <rFont val="Arial"/>
        <family val="2"/>
      </rPr>
      <t>38~44</t>
    </r>
  </si>
  <si>
    <r>
      <t>＞</t>
    </r>
    <r>
      <rPr>
        <sz val="12"/>
        <color indexed="8"/>
        <rFont val="Arial"/>
        <family val="2"/>
      </rPr>
      <t>44~50</t>
    </r>
  </si>
  <si>
    <r>
      <t>＞</t>
    </r>
    <r>
      <rPr>
        <sz val="12"/>
        <color indexed="8"/>
        <rFont val="Arial"/>
        <family val="2"/>
      </rPr>
      <t>50~58</t>
    </r>
  </si>
  <si>
    <r>
      <t>＞</t>
    </r>
    <r>
      <rPr>
        <sz val="12"/>
        <color indexed="8"/>
        <rFont val="Arial"/>
        <family val="2"/>
      </rPr>
      <t>58~65</t>
    </r>
  </si>
  <si>
    <r>
      <t>＞</t>
    </r>
    <r>
      <rPr>
        <sz val="12"/>
        <color indexed="8"/>
        <rFont val="Arial"/>
        <family val="2"/>
      </rPr>
      <t>65~75</t>
    </r>
  </si>
  <si>
    <r>
      <t>＞</t>
    </r>
    <r>
      <rPr>
        <sz val="12"/>
        <color indexed="8"/>
        <rFont val="Arial"/>
        <family val="2"/>
      </rPr>
      <t>75~85</t>
    </r>
  </si>
  <si>
    <r>
      <t>＞</t>
    </r>
    <r>
      <rPr>
        <sz val="12"/>
        <color indexed="8"/>
        <rFont val="Arial"/>
        <family val="2"/>
      </rPr>
      <t>85~95</t>
    </r>
  </si>
  <si>
    <r>
      <t>＞</t>
    </r>
    <r>
      <rPr>
        <sz val="12"/>
        <color indexed="8"/>
        <rFont val="Arial"/>
        <family val="2"/>
      </rPr>
      <t>95~110</t>
    </r>
  </si>
  <si>
    <r>
      <t>＞</t>
    </r>
    <r>
      <rPr>
        <sz val="12"/>
        <color indexed="8"/>
        <rFont val="Arial"/>
        <family val="2"/>
      </rPr>
      <t>110~130</t>
    </r>
  </si>
  <si>
    <r>
      <t>＞</t>
    </r>
    <r>
      <rPr>
        <sz val="12"/>
        <color indexed="8"/>
        <rFont val="Arial"/>
        <family val="2"/>
      </rPr>
      <t>130~150</t>
    </r>
  </si>
  <si>
    <r>
      <t>＞</t>
    </r>
    <r>
      <rPr>
        <sz val="12"/>
        <color indexed="8"/>
        <rFont val="Arial"/>
        <family val="2"/>
      </rPr>
      <t>150~170</t>
    </r>
  </si>
  <si>
    <r>
      <t>＞</t>
    </r>
    <r>
      <rPr>
        <sz val="12"/>
        <color indexed="8"/>
        <rFont val="Arial"/>
        <family val="2"/>
      </rPr>
      <t>170~200</t>
    </r>
  </si>
  <si>
    <r>
      <t>＞</t>
    </r>
    <r>
      <rPr>
        <sz val="12"/>
        <color indexed="8"/>
        <rFont val="Arial"/>
        <family val="2"/>
      </rPr>
      <t>200~230</t>
    </r>
  </si>
  <si>
    <r>
      <t>＞</t>
    </r>
    <r>
      <rPr>
        <sz val="12"/>
        <color indexed="8"/>
        <rFont val="Arial"/>
        <family val="2"/>
      </rPr>
      <t>230~260</t>
    </r>
  </si>
  <si>
    <r>
      <t>＞</t>
    </r>
    <r>
      <rPr>
        <sz val="12"/>
        <color indexed="8"/>
        <rFont val="Arial"/>
        <family val="2"/>
      </rPr>
      <t>260~290</t>
    </r>
  </si>
  <si>
    <r>
      <t>＞</t>
    </r>
    <r>
      <rPr>
        <sz val="12"/>
        <color indexed="8"/>
        <rFont val="Arial"/>
        <family val="2"/>
      </rPr>
      <t>290~330</t>
    </r>
  </si>
  <si>
    <r>
      <t>＞</t>
    </r>
    <r>
      <rPr>
        <sz val="12"/>
        <color indexed="8"/>
        <rFont val="Arial"/>
        <family val="2"/>
      </rPr>
      <t>330~380</t>
    </r>
  </si>
  <si>
    <r>
      <t>＞</t>
    </r>
    <r>
      <rPr>
        <sz val="12"/>
        <color indexed="8"/>
        <rFont val="Arial"/>
        <family val="2"/>
      </rPr>
      <t>380~440</t>
    </r>
  </si>
  <si>
    <r>
      <t>＞</t>
    </r>
    <r>
      <rPr>
        <sz val="12"/>
        <color indexed="8"/>
        <rFont val="Arial"/>
        <family val="2"/>
      </rPr>
      <t>440~500</t>
    </r>
  </si>
  <si>
    <t>菜单1</t>
    <phoneticPr fontId="378" type="noConversion"/>
  </si>
  <si>
    <t>菜单2</t>
    <phoneticPr fontId="378" type="noConversion"/>
  </si>
  <si>
    <t>菜单3</t>
    <phoneticPr fontId="378" type="noConversion"/>
  </si>
  <si>
    <t>菜单4</t>
    <phoneticPr fontId="378" type="noConversion"/>
  </si>
  <si>
    <r>
      <t xml:space="preserve">非 标 机 械 设 计 自 动 计 算 </t>
    </r>
    <r>
      <rPr>
        <b/>
        <sz val="15"/>
        <color rgb="FFFFFFFF"/>
        <rFont val="微软雅黑"/>
        <family val="2"/>
        <charset val="134"/>
      </rPr>
      <t>(2020.05.25更新)</t>
    </r>
    <phoneticPr fontId="378" type="noConversion"/>
  </si>
  <si>
    <t>返回目录</t>
    <phoneticPr fontId="378" type="noConversion"/>
  </si>
  <si>
    <t>返回目录</t>
    <phoneticPr fontId="378" type="noConversion"/>
  </si>
  <si>
    <t>捲料沖壓效率計算</t>
    <phoneticPr fontId="378" type="noConversion"/>
  </si>
  <si>
    <t>返回目录</t>
    <phoneticPr fontId="378" type="noConversion"/>
  </si>
  <si>
    <t>返回目录</t>
    <phoneticPr fontId="378" type="noConversion"/>
  </si>
  <si>
    <t>液压冲击计算</t>
    <phoneticPr fontId="378" type="noConversion"/>
  </si>
  <si>
    <t>返回目录</t>
    <phoneticPr fontId="378" type="noConversion"/>
  </si>
  <si>
    <t>返回目录</t>
    <phoneticPr fontId="378" type="noConversion"/>
  </si>
  <si>
    <t>返回目录</t>
    <phoneticPr fontId="378" type="noConversion"/>
  </si>
  <si>
    <t>返回目录</t>
    <phoneticPr fontId="378" type="noConversion"/>
  </si>
  <si>
    <t>返回   目录</t>
    <phoneticPr fontId="378" type="noConversion"/>
  </si>
  <si>
    <t>返回目录</t>
    <phoneticPr fontId="378" type="noConversion"/>
  </si>
  <si>
    <t>总目录!A1</t>
  </si>
  <si>
    <t>返回目录</t>
    <phoneticPr fontId="378" type="noConversion"/>
  </si>
  <si>
    <t>返回  目录</t>
    <phoneticPr fontId="378" type="noConversion"/>
  </si>
  <si>
    <r>
      <t>齿轮齿条电机选型</t>
    </r>
    <r>
      <rPr>
        <b/>
        <sz val="12"/>
        <color indexed="8"/>
        <rFont val="宋体"/>
        <charset val="134"/>
      </rPr>
      <t>（网友</t>
    </r>
    <r>
      <rPr>
        <b/>
        <sz val="12"/>
        <color indexed="10"/>
        <rFont val="宋体"/>
        <charset val="134"/>
      </rPr>
      <t>坐看云起</t>
    </r>
    <r>
      <rPr>
        <b/>
        <sz val="12"/>
        <color indexed="8"/>
        <rFont val="宋体"/>
        <charset val="134"/>
      </rPr>
      <t>分享）</t>
    </r>
    <phoneticPr fontId="378" type="noConversion"/>
  </si>
  <si>
    <t xml:space="preserve">返回目录 </t>
    <phoneticPr fontId="378" type="noConversion"/>
  </si>
  <si>
    <t>返回目录</t>
    <phoneticPr fontId="378" type="noConversion"/>
  </si>
  <si>
    <t>返回目录</t>
    <phoneticPr fontId="378" type="noConversion"/>
  </si>
  <si>
    <t>返回目录</t>
    <phoneticPr fontId="378" type="noConversion"/>
  </si>
  <si>
    <t>返回目录</t>
    <phoneticPr fontId="378" type="noConversion"/>
  </si>
  <si>
    <t>深沟球轴承规格表</t>
    <phoneticPr fontId="378" type="noConversion"/>
  </si>
  <si>
    <t>MSBG設備開發    
 設計實用手冊</t>
    <phoneticPr fontId="378" type="noConversion"/>
  </si>
  <si>
    <t>返回 目录</t>
    <phoneticPr fontId="378" type="noConversion"/>
  </si>
  <si>
    <t>更新内容:1.修正目录无链接        2.补全部分缺失无计算公式       3.增加目录资源       4.取消保护密码       5.增加返回目录链接</t>
    <phoneticPr fontId="37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</si>
</sst>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176" formatCode="0.00_);[Red]\(0.00\)"/>
    <numFmt numFmtId="177" formatCode="0.000;[Red]0.000"/>
    <numFmt numFmtId="178" formatCode="0.000_ "/>
    <numFmt numFmtId="179" formatCode="0.00000_);[Red]\(0.00000\)"/>
    <numFmt numFmtId="180" formatCode="0.00_ "/>
    <numFmt numFmtId="181" formatCode="0.0000_);[Red]\(0.0000\)"/>
    <numFmt numFmtId="182" formatCode="0.00;[Red]0.00"/>
    <numFmt numFmtId="183" formatCode="0.0000_ "/>
    <numFmt numFmtId="184" formatCode="0_);[Red]\(0\)"/>
    <numFmt numFmtId="185" formatCode="0.0E+00"/>
    <numFmt numFmtId="186" formatCode="0.0_ "/>
    <numFmt numFmtId="187" formatCode="0_ "/>
    <numFmt numFmtId="188" formatCode="0.0;[Red]0.0"/>
    <numFmt numFmtId="189" formatCode="0.0"/>
    <numFmt numFmtId="190" formatCode="0.000"/>
    <numFmt numFmtId="191" formatCode="0.0000"/>
    <numFmt numFmtId="192" formatCode="0.000000_ "/>
    <numFmt numFmtId="193" formatCode="0.000_);[Red]\(0.000\)"/>
    <numFmt numFmtId="194" formatCode="0_);\(0\)"/>
    <numFmt numFmtId="195" formatCode="0.0_);[Red]\(0.0\)"/>
    <numFmt numFmtId="196" formatCode="#,##0.0_ "/>
    <numFmt numFmtId="197" formatCode="0.0000_ ;[Red]\-0.0000\ "/>
  </numFmts>
  <fonts count="394">
    <font>
      <sz val="12"/>
      <name val="新細明體"/>
      <charset val="134"/>
      <scheme val="minor"/>
    </font>
    <font>
      <b/>
      <sz val="25"/>
      <color theme="1"/>
      <name val="新細明體"/>
      <family val="1"/>
      <scheme val="minor"/>
    </font>
    <font>
      <sz val="11"/>
      <color theme="1"/>
      <name val="新細明體"/>
      <family val="1"/>
      <scheme val="minor"/>
    </font>
    <font>
      <sz val="20"/>
      <color theme="1"/>
      <name val="华文宋体"/>
      <charset val="134"/>
    </font>
    <font>
      <b/>
      <sz val="10.5"/>
      <color rgb="FF000000"/>
      <name val="宋体"/>
      <charset val="134"/>
    </font>
    <font>
      <b/>
      <sz val="10.5"/>
      <color rgb="FF000000"/>
      <name val="Times New Roman"/>
      <family val="1"/>
    </font>
    <font>
      <b/>
      <sz val="11"/>
      <color theme="1"/>
      <name val="新細明體"/>
      <family val="1"/>
      <scheme val="minor"/>
    </font>
    <font>
      <sz val="10.5"/>
      <color rgb="FF000000"/>
      <name val="宋体"/>
      <charset val="134"/>
    </font>
    <font>
      <sz val="10.5"/>
      <color theme="1"/>
      <name val="宋体"/>
      <charset val="134"/>
    </font>
    <font>
      <sz val="10.5"/>
      <color rgb="FF000000"/>
      <name val="Times New Roman"/>
      <family val="1"/>
    </font>
    <font>
      <sz val="10.5"/>
      <color theme="1"/>
      <name val="Times New Roman"/>
      <family val="1"/>
    </font>
    <font>
      <sz val="11"/>
      <color theme="1"/>
      <name val="微软雅黑"/>
      <family val="2"/>
      <charset val="134"/>
    </font>
    <font>
      <sz val="11"/>
      <color indexed="8"/>
      <name val="宋体"/>
      <charset val="134"/>
    </font>
    <font>
      <b/>
      <sz val="25"/>
      <name val="新細明體"/>
      <family val="1"/>
      <scheme val="minor"/>
    </font>
    <font>
      <sz val="25"/>
      <name val="新細明體"/>
      <family val="1"/>
      <scheme val="minor"/>
    </font>
    <font>
      <sz val="11"/>
      <color indexed="8"/>
      <name val="Arial"/>
      <family val="2"/>
    </font>
    <font>
      <sz val="20"/>
      <name val="宋体"/>
      <charset val="134"/>
    </font>
    <font>
      <sz val="12"/>
      <name val="Times New Roman"/>
      <family val="1"/>
    </font>
    <font>
      <sz val="14"/>
      <name val="Times New Roman"/>
      <family val="1"/>
    </font>
    <font>
      <sz val="16"/>
      <name val="Times New Roman"/>
      <family val="1"/>
    </font>
    <font>
      <sz val="14"/>
      <name val="宋体"/>
      <charset val="134"/>
    </font>
    <font>
      <i/>
      <sz val="12"/>
      <name val="Times New Roman"/>
      <family val="1"/>
    </font>
    <font>
      <sz val="10"/>
      <name val="宋体"/>
      <charset val="134"/>
    </font>
    <font>
      <sz val="14"/>
      <color indexed="8"/>
      <name val="宋体"/>
      <charset val="134"/>
    </font>
    <font>
      <b/>
      <sz val="12"/>
      <color indexed="10"/>
      <name val="宋体"/>
      <charset val="134"/>
    </font>
    <font>
      <b/>
      <sz val="15"/>
      <name val="新細明體"/>
      <family val="1"/>
      <scheme val="minor"/>
    </font>
    <font>
      <b/>
      <sz val="18"/>
      <name val="宋体"/>
      <charset val="134"/>
    </font>
    <font>
      <b/>
      <sz val="12"/>
      <name val="宋体"/>
      <charset val="134"/>
    </font>
    <font>
      <sz val="18"/>
      <name val="宋体"/>
      <charset val="134"/>
    </font>
    <font>
      <b/>
      <sz val="18"/>
      <name val="Times New Roman"/>
      <family val="1"/>
    </font>
    <font>
      <b/>
      <sz val="10"/>
      <color indexed="23"/>
      <name val="宋体"/>
      <charset val="134"/>
    </font>
    <font>
      <sz val="10"/>
      <color indexed="23"/>
      <name val="Times New Roman"/>
      <family val="1"/>
    </font>
    <font>
      <sz val="10"/>
      <color indexed="23"/>
      <name val="宋体"/>
      <charset val="134"/>
    </font>
    <font>
      <b/>
      <sz val="10"/>
      <color indexed="12"/>
      <name val="宋体"/>
      <charset val="134"/>
    </font>
    <font>
      <b/>
      <sz val="10"/>
      <color indexed="10"/>
      <name val="宋体"/>
      <charset val="134"/>
    </font>
    <font>
      <sz val="8"/>
      <name val="宋体"/>
      <charset val="134"/>
    </font>
    <font>
      <b/>
      <sz val="12"/>
      <name val="Times New Roman"/>
      <family val="1"/>
    </font>
    <font>
      <sz val="10"/>
      <color indexed="12"/>
      <name val="宋体"/>
      <charset val="134"/>
    </font>
    <font>
      <sz val="9"/>
      <color indexed="10"/>
      <name val="宋体"/>
      <charset val="134"/>
    </font>
    <font>
      <sz val="10"/>
      <color indexed="10"/>
      <name val="宋体"/>
      <charset val="134"/>
    </font>
    <font>
      <sz val="9"/>
      <color indexed="12"/>
      <name val="宋体"/>
      <charset val="134"/>
    </font>
    <font>
      <sz val="12"/>
      <color indexed="44"/>
      <name val="宋体"/>
      <charset val="134"/>
    </font>
    <font>
      <sz val="12"/>
      <color indexed="10"/>
      <name val="宋体"/>
      <charset val="134"/>
    </font>
    <font>
      <sz val="9"/>
      <color indexed="10"/>
      <name val="Times New Roman"/>
      <family val="1"/>
    </font>
    <font>
      <sz val="12"/>
      <color indexed="44"/>
      <name val="Times New Roman"/>
      <family val="1"/>
    </font>
    <font>
      <sz val="9"/>
      <color indexed="44"/>
      <name val="宋体"/>
      <charset val="134"/>
    </font>
    <font>
      <sz val="11"/>
      <name val="宋体"/>
      <charset val="134"/>
    </font>
    <font>
      <sz val="9"/>
      <name val="宋体"/>
      <charset val="134"/>
    </font>
    <font>
      <sz val="10"/>
      <color indexed="10"/>
      <name val="Times New Roman"/>
      <family val="1"/>
    </font>
    <font>
      <sz val="10"/>
      <name val="Times New Roman"/>
      <family val="1"/>
    </font>
    <font>
      <sz val="12"/>
      <color indexed="10"/>
      <name val="Times New Roman"/>
      <family val="1"/>
    </font>
    <font>
      <sz val="10"/>
      <color indexed="12"/>
      <name val="Times New Roman"/>
      <family val="1"/>
    </font>
    <font>
      <sz val="10"/>
      <color indexed="44"/>
      <name val="宋体"/>
      <charset val="134"/>
    </font>
    <font>
      <sz val="9"/>
      <color indexed="12"/>
      <name val="Times New Roman"/>
      <family val="1"/>
    </font>
    <font>
      <sz val="11"/>
      <color indexed="44"/>
      <name val="宋体"/>
      <charset val="134"/>
    </font>
    <font>
      <sz val="10"/>
      <color indexed="44"/>
      <name val="Times New Roman"/>
      <family val="1"/>
    </font>
    <font>
      <sz val="9"/>
      <name val="Times New Roman"/>
      <family val="1"/>
    </font>
    <font>
      <sz val="12"/>
      <color indexed="12"/>
      <name val="宋体"/>
      <charset val="134"/>
    </font>
    <font>
      <b/>
      <sz val="10"/>
      <color indexed="10"/>
      <name val="Times New Roman"/>
      <family val="1"/>
    </font>
    <font>
      <b/>
      <sz val="12"/>
      <color indexed="9"/>
      <name val="Times New Roman"/>
      <family val="1"/>
    </font>
    <font>
      <sz val="10"/>
      <color indexed="14"/>
      <name val="宋体"/>
      <charset val="134"/>
    </font>
    <font>
      <sz val="11"/>
      <color indexed="10"/>
      <name val="宋体"/>
      <charset val="134"/>
    </font>
    <font>
      <sz val="12"/>
      <color indexed="17"/>
      <name val="宋体"/>
      <charset val="134"/>
    </font>
    <font>
      <sz val="10"/>
      <color indexed="17"/>
      <name val="宋体"/>
      <charset val="134"/>
    </font>
    <font>
      <sz val="12"/>
      <color indexed="17"/>
      <name val="Times New Roman"/>
      <family val="1"/>
    </font>
    <font>
      <b/>
      <sz val="10"/>
      <color indexed="12"/>
      <name val="Times New Roman"/>
      <family val="1"/>
    </font>
    <font>
      <sz val="12"/>
      <name val="楷体_GB2312"/>
      <charset val="134"/>
    </font>
    <font>
      <sz val="18"/>
      <name val="楷体_GB2312"/>
      <charset val="134"/>
    </font>
    <font>
      <sz val="12"/>
      <color indexed="10"/>
      <name val="楷体_GB2312"/>
      <charset val="134"/>
    </font>
    <font>
      <sz val="12"/>
      <color indexed="33"/>
      <name val="宋体"/>
      <charset val="134"/>
    </font>
    <font>
      <sz val="12"/>
      <color indexed="14"/>
      <name val="宋体"/>
      <charset val="134"/>
    </font>
    <font>
      <sz val="12"/>
      <color indexed="16"/>
      <name val="宋体"/>
      <charset val="134"/>
    </font>
    <font>
      <sz val="12"/>
      <color indexed="53"/>
      <name val="宋体"/>
      <charset val="134"/>
    </font>
    <font>
      <sz val="12"/>
      <color indexed="53"/>
      <name val="Times New Roman"/>
      <family val="1"/>
    </font>
    <font>
      <sz val="12"/>
      <name val="Arial"/>
      <family val="2"/>
    </font>
    <font>
      <u/>
      <sz val="18"/>
      <name val="楷体_GB2312"/>
      <charset val="134"/>
    </font>
    <font>
      <b/>
      <sz val="12"/>
      <color indexed="10"/>
      <name val="楷体_GB2312"/>
      <charset val="134"/>
    </font>
    <font>
      <sz val="11"/>
      <name val="Times New Roman"/>
      <family val="1"/>
    </font>
    <font>
      <b/>
      <sz val="11"/>
      <name val="宋体"/>
      <charset val="134"/>
    </font>
    <font>
      <b/>
      <sz val="12"/>
      <color indexed="10"/>
      <name val="Times New Roman"/>
      <family val="1"/>
    </font>
    <font>
      <b/>
      <sz val="10"/>
      <name val="宋体"/>
      <charset val="134"/>
    </font>
    <font>
      <sz val="9"/>
      <color indexed="57"/>
      <name val="宋体"/>
      <charset val="134"/>
    </font>
    <font>
      <sz val="10"/>
      <color indexed="17"/>
      <name val="Times New Roman"/>
      <family val="1"/>
    </font>
    <font>
      <sz val="9"/>
      <color indexed="17"/>
      <name val="宋体"/>
      <charset val="134"/>
    </font>
    <font>
      <sz val="9"/>
      <color indexed="17"/>
      <name val="Times New Roman"/>
      <family val="1"/>
    </font>
    <font>
      <sz val="10"/>
      <color indexed="57"/>
      <name val="宋体"/>
      <charset val="134"/>
    </font>
    <font>
      <b/>
      <sz val="16"/>
      <name val="Times New Roman"/>
      <family val="1"/>
    </font>
    <font>
      <sz val="16"/>
      <name val="宋体"/>
      <charset val="134"/>
    </font>
    <font>
      <sz val="14"/>
      <name val="楷体_GB2312"/>
      <charset val="134"/>
    </font>
    <font>
      <sz val="18"/>
      <color indexed="10"/>
      <name val="楷体_GB2312"/>
      <charset val="134"/>
    </font>
    <font>
      <b/>
      <sz val="14"/>
      <name val="宋体"/>
      <charset val="134"/>
    </font>
    <font>
      <b/>
      <sz val="14"/>
      <name val="楷体_GB2312"/>
      <charset val="134"/>
    </font>
    <font>
      <b/>
      <sz val="18"/>
      <color indexed="10"/>
      <name val="楷体_GB2312"/>
      <charset val="134"/>
    </font>
    <font>
      <b/>
      <sz val="16"/>
      <color indexed="10"/>
      <name val="楷体_GB2312"/>
      <charset val="134"/>
    </font>
    <font>
      <sz val="16"/>
      <name val="楷体_GB2312"/>
      <charset val="134"/>
    </font>
    <font>
      <sz val="16"/>
      <color indexed="10"/>
      <name val="楷体_GB2312"/>
      <charset val="134"/>
    </font>
    <font>
      <sz val="14"/>
      <color indexed="10"/>
      <name val="楷体_GB2312"/>
      <charset val="134"/>
    </font>
    <font>
      <b/>
      <sz val="14"/>
      <color indexed="10"/>
      <name val="楷体_GB2312"/>
      <charset val="134"/>
    </font>
    <font>
      <b/>
      <sz val="24"/>
      <name val="隶书"/>
      <charset val="134"/>
    </font>
    <font>
      <sz val="20"/>
      <name val="隶书"/>
      <charset val="134"/>
    </font>
    <font>
      <b/>
      <sz val="22"/>
      <name val="宋体"/>
      <charset val="134"/>
    </font>
    <font>
      <sz val="24"/>
      <name val="隶书"/>
      <charset val="134"/>
    </font>
    <font>
      <b/>
      <sz val="25"/>
      <color theme="1" tint="0.14996795556505021"/>
      <name val="宋体"/>
      <charset val="134"/>
    </font>
    <font>
      <b/>
      <sz val="20"/>
      <color indexed="8"/>
      <name val="微软雅黑"/>
      <family val="2"/>
      <charset val="134"/>
    </font>
    <font>
      <sz val="15"/>
      <color indexed="8"/>
      <name val="华文楷体"/>
      <charset val="134"/>
    </font>
    <font>
      <sz val="20"/>
      <color indexed="8"/>
      <name val="华文楷体"/>
      <charset val="134"/>
    </font>
    <font>
      <sz val="15"/>
      <color indexed="63"/>
      <name val="宋体"/>
      <charset val="134"/>
    </font>
    <font>
      <sz val="9"/>
      <color rgb="FF333333"/>
      <name val="Verdana"/>
      <family val="2"/>
    </font>
    <font>
      <sz val="9"/>
      <color indexed="63"/>
      <name val="Verdana"/>
      <family val="2"/>
    </font>
    <font>
      <sz val="15"/>
      <color rgb="FF000000"/>
      <name val="宋体"/>
      <charset val="134"/>
    </font>
    <font>
      <u/>
      <sz val="15"/>
      <color rgb="FF800080"/>
      <name val="宋体"/>
      <charset val="134"/>
    </font>
    <font>
      <u/>
      <sz val="15"/>
      <color indexed="12"/>
      <name val="宋体"/>
      <charset val="134"/>
    </font>
    <font>
      <b/>
      <sz val="20"/>
      <color indexed="10"/>
      <name val="宋体"/>
      <charset val="134"/>
    </font>
    <font>
      <sz val="14"/>
      <color indexed="10"/>
      <name val="宋体"/>
      <charset val="134"/>
    </font>
    <font>
      <sz val="14"/>
      <color indexed="12"/>
      <name val="宋体"/>
      <charset val="134"/>
    </font>
    <font>
      <b/>
      <sz val="22"/>
      <color indexed="10"/>
      <name val="宋体"/>
      <charset val="134"/>
    </font>
    <font>
      <sz val="14"/>
      <color indexed="12"/>
      <name val="楷体_GB2312"/>
      <charset val="134"/>
    </font>
    <font>
      <sz val="22"/>
      <name val="宋体"/>
      <charset val="134"/>
    </font>
    <font>
      <b/>
      <sz val="26"/>
      <name val="宋体"/>
      <charset val="134"/>
    </font>
    <font>
      <b/>
      <sz val="20"/>
      <name val="宋体"/>
      <charset val="134"/>
    </font>
    <font>
      <b/>
      <i/>
      <sz val="12"/>
      <color indexed="9"/>
      <name val="宋体"/>
      <charset val="134"/>
    </font>
    <font>
      <b/>
      <sz val="22"/>
      <color indexed="14"/>
      <name val="宋体"/>
      <charset val="134"/>
    </font>
    <font>
      <b/>
      <sz val="22"/>
      <color indexed="14"/>
      <name val="Times New Roman"/>
      <family val="1"/>
    </font>
    <font>
      <b/>
      <i/>
      <sz val="22"/>
      <color indexed="14"/>
      <name val="宋体"/>
      <charset val="134"/>
    </font>
    <font>
      <b/>
      <sz val="20"/>
      <color indexed="9"/>
      <name val="微软雅黑"/>
      <family val="2"/>
      <charset val="134"/>
    </font>
    <font>
      <sz val="6"/>
      <name val="宋体"/>
      <charset val="134"/>
    </font>
    <font>
      <sz val="15"/>
      <color indexed="8"/>
      <name val="新宋体"/>
      <family val="3"/>
      <charset val="134"/>
    </font>
    <font>
      <b/>
      <sz val="12"/>
      <color indexed="12"/>
      <name val="宋体"/>
      <charset val="134"/>
    </font>
    <font>
      <sz val="12"/>
      <color indexed="48"/>
      <name val="宋体"/>
      <charset val="134"/>
    </font>
    <font>
      <b/>
      <sz val="16"/>
      <color indexed="10"/>
      <name val="宋体"/>
      <charset val="134"/>
    </font>
    <font>
      <b/>
      <sz val="20"/>
      <color indexed="9"/>
      <name val="黑体"/>
      <family val="3"/>
      <charset val="134"/>
    </font>
    <font>
      <sz val="22"/>
      <color indexed="8"/>
      <name val="宋体"/>
      <charset val="134"/>
    </font>
    <font>
      <b/>
      <sz val="14"/>
      <color indexed="8"/>
      <name val="宋体"/>
      <charset val="134"/>
    </font>
    <font>
      <b/>
      <sz val="20"/>
      <color indexed="8"/>
      <name val="宋体"/>
      <charset val="134"/>
    </font>
    <font>
      <sz val="16"/>
      <color indexed="8"/>
      <name val="宋体"/>
      <charset val="134"/>
    </font>
    <font>
      <b/>
      <sz val="16"/>
      <color indexed="8"/>
      <name val="宋体"/>
      <charset val="134"/>
    </font>
    <font>
      <sz val="11"/>
      <color indexed="8"/>
      <name val="SimSun"/>
      <charset val="134"/>
    </font>
    <font>
      <sz val="11"/>
      <color indexed="0"/>
      <name val="SimSun"/>
      <charset val="134"/>
    </font>
    <font>
      <sz val="11"/>
      <color indexed="0"/>
      <name val="TimesNewRomanPSMT"/>
      <family val="2"/>
    </font>
    <font>
      <sz val="11"/>
      <color indexed="8"/>
      <name val="TimesNewRomanPSMT"/>
      <family val="2"/>
    </font>
    <font>
      <sz val="11"/>
      <name val="SimSun"/>
      <charset val="134"/>
    </font>
    <font>
      <sz val="12"/>
      <color indexed="0"/>
      <name val="SimSun"/>
      <charset val="134"/>
    </font>
    <font>
      <b/>
      <sz val="28"/>
      <name val="华文宋体"/>
      <charset val="134"/>
    </font>
    <font>
      <b/>
      <sz val="22"/>
      <name val="华文宋体"/>
      <charset val="134"/>
    </font>
    <font>
      <b/>
      <sz val="22"/>
      <color indexed="9"/>
      <name val="楷体_GB2312"/>
      <charset val="134"/>
    </font>
    <font>
      <b/>
      <sz val="22"/>
      <name val="楷体_GB2312"/>
      <charset val="134"/>
    </font>
    <font>
      <b/>
      <sz val="30"/>
      <name val="宋体"/>
      <charset val="134"/>
    </font>
    <font>
      <b/>
      <sz val="15"/>
      <name val="宋体"/>
      <charset val="134"/>
    </font>
    <font>
      <sz val="12"/>
      <color indexed="62"/>
      <name val="宋体"/>
      <charset val="134"/>
    </font>
    <font>
      <sz val="12"/>
      <color indexed="8"/>
      <name val="宋体"/>
      <charset val="134"/>
    </font>
    <font>
      <b/>
      <sz val="25"/>
      <name val="宋体"/>
      <charset val="134"/>
    </font>
    <font>
      <sz val="12"/>
      <color indexed="22"/>
      <name val="宋体"/>
      <charset val="134"/>
    </font>
    <font>
      <sz val="15"/>
      <name val="宋体"/>
      <charset val="134"/>
    </font>
    <font>
      <b/>
      <sz val="12"/>
      <color indexed="8"/>
      <name val="宋体"/>
      <charset val="134"/>
    </font>
    <font>
      <b/>
      <sz val="18"/>
      <color indexed="8"/>
      <name val="宋体"/>
      <charset val="134"/>
    </font>
    <font>
      <sz val="25"/>
      <name val="宋体"/>
      <charset val="134"/>
    </font>
    <font>
      <sz val="24"/>
      <name val="宋体"/>
      <charset val="134"/>
    </font>
    <font>
      <sz val="16"/>
      <color indexed="10"/>
      <name val="宋体"/>
      <charset val="134"/>
    </font>
    <font>
      <sz val="24"/>
      <color indexed="10"/>
      <name val="宋体"/>
      <charset val="134"/>
    </font>
    <font>
      <sz val="16"/>
      <color indexed="12"/>
      <name val="宋体"/>
      <charset val="134"/>
    </font>
    <font>
      <sz val="12"/>
      <name val="宋体"/>
      <charset val="134"/>
    </font>
    <font>
      <b/>
      <sz val="12"/>
      <name val="Arial"/>
      <family val="2"/>
    </font>
    <font>
      <b/>
      <sz val="12"/>
      <name val="楷体_GB2312"/>
      <charset val="134"/>
    </font>
    <font>
      <sz val="11"/>
      <name val="Arial"/>
      <family val="2"/>
    </font>
    <font>
      <b/>
      <sz val="11"/>
      <name val="Arial"/>
      <family val="2"/>
    </font>
    <font>
      <b/>
      <sz val="11"/>
      <name val="楷体_GB2312"/>
      <charset val="134"/>
    </font>
    <font>
      <sz val="11"/>
      <name val="楷体_GB2312"/>
      <charset val="134"/>
    </font>
    <font>
      <vertAlign val="subscript"/>
      <sz val="11"/>
      <color indexed="8"/>
      <name val="Arial"/>
      <family val="2"/>
    </font>
    <font>
      <sz val="11"/>
      <color indexed="8"/>
      <name val="楷体_GB2312"/>
      <charset val="134"/>
    </font>
    <font>
      <sz val="12"/>
      <name val="仿宋_GB2312"/>
      <charset val="134"/>
    </font>
    <font>
      <sz val="12"/>
      <name val="新細明體"/>
      <family val="1"/>
    </font>
    <font>
      <sz val="12"/>
      <name val="細明體"/>
      <charset val="134"/>
    </font>
    <font>
      <sz val="12"/>
      <name val="新宋体"/>
      <family val="3"/>
      <charset val="134"/>
    </font>
    <font>
      <sz val="25"/>
      <name val="新宋体"/>
      <family val="3"/>
      <charset val="134"/>
    </font>
    <font>
      <sz val="20"/>
      <name val="新宋体"/>
      <family val="3"/>
      <charset val="134"/>
    </font>
    <font>
      <sz val="15"/>
      <name val="新宋体"/>
      <family val="3"/>
      <charset val="134"/>
    </font>
    <font>
      <sz val="12"/>
      <color indexed="22"/>
      <name val="新宋体"/>
      <family val="3"/>
      <charset val="134"/>
    </font>
    <font>
      <sz val="12"/>
      <color indexed="9"/>
      <name val="新宋体"/>
      <family val="3"/>
      <charset val="134"/>
    </font>
    <font>
      <sz val="10"/>
      <name val="新宋体"/>
      <family val="3"/>
      <charset val="134"/>
    </font>
    <font>
      <sz val="12"/>
      <color indexed="8"/>
      <name val="新宋体"/>
      <family val="3"/>
      <charset val="134"/>
    </font>
    <font>
      <b/>
      <sz val="15"/>
      <name val="新宋体"/>
      <family val="3"/>
      <charset val="134"/>
    </font>
    <font>
      <b/>
      <sz val="12"/>
      <name val="新宋体"/>
      <family val="3"/>
      <charset val="134"/>
    </font>
    <font>
      <b/>
      <sz val="15"/>
      <color indexed="63"/>
      <name val="新宋体"/>
      <family val="3"/>
      <charset val="134"/>
    </font>
    <font>
      <b/>
      <sz val="16"/>
      <name val="新宋体"/>
      <family val="3"/>
      <charset val="134"/>
    </font>
    <font>
      <sz val="15"/>
      <color indexed="8"/>
      <name val="宋体"/>
      <charset val="134"/>
    </font>
    <font>
      <b/>
      <sz val="15"/>
      <color indexed="8"/>
      <name val="新宋体"/>
      <family val="3"/>
      <charset val="134"/>
    </font>
    <font>
      <sz val="12"/>
      <color indexed="14"/>
      <name val="新宋体"/>
      <family val="3"/>
      <charset val="134"/>
    </font>
    <font>
      <b/>
      <sz val="25"/>
      <name val="新宋体"/>
      <family val="3"/>
      <charset val="134"/>
    </font>
    <font>
      <sz val="12"/>
      <color theme="1"/>
      <name val="新宋体"/>
      <family val="3"/>
      <charset val="134"/>
    </font>
    <font>
      <b/>
      <sz val="12"/>
      <color indexed="10"/>
      <name val="新宋体"/>
      <family val="3"/>
      <charset val="134"/>
    </font>
    <font>
      <b/>
      <sz val="12"/>
      <color indexed="8"/>
      <name val="新宋体"/>
      <family val="3"/>
      <charset val="134"/>
    </font>
    <font>
      <sz val="12"/>
      <color indexed="10"/>
      <name val="新宋体"/>
      <family val="3"/>
      <charset val="134"/>
    </font>
    <font>
      <b/>
      <sz val="25"/>
      <color indexed="8"/>
      <name val="新宋体"/>
      <family val="3"/>
      <charset val="134"/>
    </font>
    <font>
      <sz val="12"/>
      <color indexed="12"/>
      <name val="新宋体"/>
      <family val="3"/>
      <charset val="134"/>
    </font>
    <font>
      <sz val="16"/>
      <name val="新宋体"/>
      <family val="3"/>
      <charset val="134"/>
    </font>
    <font>
      <b/>
      <i/>
      <sz val="12"/>
      <name val="Times New Roman"/>
      <family val="1"/>
    </font>
    <font>
      <b/>
      <sz val="20"/>
      <color indexed="12"/>
      <name val="宋体"/>
      <charset val="134"/>
    </font>
    <font>
      <sz val="12"/>
      <color indexed="8"/>
      <name val="Arial"/>
      <family val="2"/>
    </font>
    <font>
      <sz val="9"/>
      <color indexed="8"/>
      <name val="Arial"/>
      <family val="2"/>
    </font>
    <font>
      <sz val="9"/>
      <color indexed="8"/>
      <name val="宋体"/>
      <charset val="134"/>
    </font>
    <font>
      <b/>
      <sz val="20"/>
      <name val="华文新魏"/>
      <charset val="134"/>
    </font>
    <font>
      <b/>
      <sz val="9"/>
      <color indexed="8"/>
      <name val="宋体"/>
      <charset val="134"/>
    </font>
    <font>
      <b/>
      <sz val="9"/>
      <color indexed="8"/>
      <name val="Arial"/>
      <family val="2"/>
    </font>
    <font>
      <b/>
      <sz val="9"/>
      <name val="Arial"/>
      <family val="2"/>
    </font>
    <font>
      <sz val="10"/>
      <name val="Arial"/>
      <family val="2"/>
    </font>
    <font>
      <sz val="12"/>
      <color indexed="20"/>
      <name val="宋体"/>
      <charset val="134"/>
    </font>
    <font>
      <sz val="12"/>
      <color indexed="58"/>
      <name val="宋体"/>
      <charset val="134"/>
    </font>
    <font>
      <sz val="12"/>
      <color indexed="60"/>
      <name val="宋体"/>
      <charset val="134"/>
    </font>
    <font>
      <b/>
      <sz val="16"/>
      <name val="宋体"/>
      <charset val="134"/>
    </font>
    <font>
      <sz val="12"/>
      <color indexed="63"/>
      <name val="宋体"/>
      <charset val="134"/>
    </font>
    <font>
      <sz val="12"/>
      <name val="標楷體"/>
      <charset val="134"/>
    </font>
    <font>
      <sz val="16"/>
      <name val="標楷體"/>
      <charset val="134"/>
    </font>
    <font>
      <sz val="10"/>
      <name val="新細明體"/>
      <family val="1"/>
    </font>
    <font>
      <sz val="10"/>
      <name val="細明體"/>
      <charset val="134"/>
    </font>
    <font>
      <sz val="10"/>
      <name val="標楷體"/>
      <charset val="134"/>
    </font>
    <font>
      <b/>
      <sz val="16"/>
      <name val="TechnicBold"/>
      <charset val="2"/>
    </font>
    <font>
      <sz val="11"/>
      <name val="新細明體"/>
      <family val="1"/>
    </font>
    <font>
      <sz val="12"/>
      <name val="黑体"/>
      <family val="3"/>
      <charset val="134"/>
    </font>
    <font>
      <b/>
      <u/>
      <sz val="12"/>
      <name val="黑体"/>
      <family val="3"/>
      <charset val="134"/>
    </font>
    <font>
      <i/>
      <sz val="12"/>
      <name val="宋体"/>
      <charset val="134"/>
    </font>
    <font>
      <sz val="12"/>
      <name val="chs_boot"/>
      <family val="2"/>
    </font>
    <font>
      <sz val="9"/>
      <name val="Arial"/>
      <family val="2"/>
    </font>
    <font>
      <b/>
      <sz val="28"/>
      <color indexed="9"/>
      <name val="微软雅黑"/>
      <family val="2"/>
      <charset val="134"/>
    </font>
    <font>
      <b/>
      <sz val="28"/>
      <name val="楷体_GB2312"/>
      <charset val="134"/>
    </font>
    <font>
      <sz val="18"/>
      <color indexed="10"/>
      <name val="宋体"/>
      <charset val="134"/>
    </font>
    <font>
      <sz val="10.5"/>
      <name val="宋体"/>
      <charset val="134"/>
    </font>
    <font>
      <b/>
      <sz val="12"/>
      <color indexed="17"/>
      <name val="宋体"/>
      <charset val="134"/>
    </font>
    <font>
      <sz val="14"/>
      <color indexed="63"/>
      <name val="宋体"/>
      <charset val="134"/>
    </font>
    <font>
      <sz val="20"/>
      <color indexed="10"/>
      <name val="宋体"/>
      <charset val="134"/>
    </font>
    <font>
      <sz val="11"/>
      <color indexed="12"/>
      <name val="宋体"/>
      <charset val="134"/>
    </font>
    <font>
      <b/>
      <sz val="30"/>
      <color indexed="9"/>
      <name val="微软雅黑"/>
      <family val="2"/>
      <charset val="134"/>
    </font>
    <font>
      <sz val="10"/>
      <color indexed="8"/>
      <name val="宋体"/>
      <charset val="134"/>
    </font>
    <font>
      <sz val="9"/>
      <color indexed="14"/>
      <name val="宋体"/>
      <charset val="134"/>
    </font>
    <font>
      <sz val="8"/>
      <color indexed="12"/>
      <name val="宋体"/>
      <charset val="134"/>
    </font>
    <font>
      <sz val="10"/>
      <color indexed="52"/>
      <name val="宋体"/>
      <charset val="134"/>
    </font>
    <font>
      <sz val="24"/>
      <color indexed="9"/>
      <name val="宋体"/>
      <charset val="134"/>
    </font>
    <font>
      <sz val="12"/>
      <color indexed="12"/>
      <name val="Times New Roman"/>
      <family val="1"/>
    </font>
    <font>
      <sz val="12"/>
      <color indexed="8"/>
      <name val="Times New Roman"/>
      <family val="1"/>
    </font>
    <font>
      <u/>
      <sz val="8"/>
      <color indexed="12"/>
      <name val="宋体"/>
      <charset val="134"/>
    </font>
    <font>
      <sz val="24"/>
      <color indexed="10"/>
      <name val="Times New Roman"/>
      <family val="1"/>
    </font>
    <font>
      <sz val="12"/>
      <color indexed="50"/>
      <name val="Times New Roman"/>
      <family val="1"/>
    </font>
    <font>
      <sz val="12"/>
      <color indexed="14"/>
      <name val="Times New Roman"/>
      <family val="1"/>
    </font>
    <font>
      <sz val="50"/>
      <color indexed="8"/>
      <name val="华文新魏"/>
      <charset val="134"/>
    </font>
    <font>
      <sz val="50"/>
      <name val="华文新魏"/>
      <charset val="134"/>
    </font>
    <font>
      <sz val="15"/>
      <color indexed="10"/>
      <name val="宋体"/>
      <charset val="134"/>
    </font>
    <font>
      <sz val="30"/>
      <name val="华文新魏"/>
      <charset val="134"/>
    </font>
    <font>
      <b/>
      <sz val="15"/>
      <color indexed="8"/>
      <name val="黑体"/>
      <family val="3"/>
      <charset val="134"/>
    </font>
    <font>
      <b/>
      <sz val="20"/>
      <color indexed="10"/>
      <name val="黑体"/>
      <family val="3"/>
      <charset val="134"/>
    </font>
    <font>
      <sz val="15"/>
      <color indexed="10"/>
      <name val="Times New Roman Bold"/>
      <family val="1"/>
    </font>
    <font>
      <sz val="15"/>
      <color indexed="8"/>
      <name val="Times New Roman"/>
      <family val="1"/>
    </font>
    <font>
      <b/>
      <sz val="18"/>
      <color rgb="FFFFFFFF"/>
      <name val="굴림"/>
      <charset val="134"/>
    </font>
    <font>
      <b/>
      <sz val="18"/>
      <color indexed="9"/>
      <name val="Arial"/>
      <family val="2"/>
    </font>
    <font>
      <sz val="12"/>
      <name val="굴림"/>
      <charset val="134"/>
    </font>
    <font>
      <sz val="12"/>
      <color indexed="10"/>
      <name val="Arial"/>
      <family val="2"/>
    </font>
    <font>
      <b/>
      <sz val="18"/>
      <color indexed="10"/>
      <name val="方正姚体"/>
      <charset val="134"/>
    </font>
    <font>
      <b/>
      <sz val="10.5"/>
      <color indexed="12"/>
      <name val="宋体"/>
      <charset val="134"/>
    </font>
    <font>
      <b/>
      <sz val="11"/>
      <color indexed="12"/>
      <name val="宋体"/>
      <charset val="134"/>
    </font>
    <font>
      <sz val="10.5"/>
      <color indexed="10"/>
      <name val="Times New Roman"/>
      <family val="1"/>
    </font>
    <font>
      <sz val="10.5"/>
      <name val="Times New Roman"/>
      <family val="1"/>
    </font>
    <font>
      <b/>
      <sz val="18"/>
      <color indexed="10"/>
      <name val="宋体"/>
      <charset val="134"/>
    </font>
    <font>
      <b/>
      <sz val="16"/>
      <color indexed="50"/>
      <name val="宋体"/>
      <charset val="134"/>
    </font>
    <font>
      <b/>
      <sz val="16"/>
      <color indexed="44"/>
      <name val="宋体"/>
      <charset val="134"/>
    </font>
    <font>
      <b/>
      <sz val="12"/>
      <color indexed="9"/>
      <name val="宋体"/>
      <charset val="134"/>
    </font>
    <font>
      <sz val="12"/>
      <color indexed="9"/>
      <name val="宋体"/>
      <charset val="134"/>
    </font>
    <font>
      <b/>
      <sz val="24"/>
      <name val="宋体"/>
      <charset val="134"/>
    </font>
    <font>
      <b/>
      <sz val="10"/>
      <color indexed="57"/>
      <name val="宋体"/>
      <charset val="134"/>
    </font>
    <font>
      <sz val="11"/>
      <color rgb="FF000000"/>
      <name val="宋体"/>
      <charset val="134"/>
    </font>
    <font>
      <b/>
      <sz val="25"/>
      <color rgb="FF000000"/>
      <name val="宋体"/>
      <charset val="134"/>
    </font>
    <font>
      <sz val="11"/>
      <color rgb="FFFF0000"/>
      <name val="宋体"/>
      <charset val="134"/>
    </font>
    <font>
      <b/>
      <sz val="11"/>
      <color theme="1"/>
      <name val="微软雅黑"/>
      <family val="2"/>
      <charset val="134"/>
    </font>
    <font>
      <u/>
      <sz val="11"/>
      <color rgb="FFFF0000"/>
      <name val="微软雅黑"/>
      <family val="2"/>
      <charset val="134"/>
    </font>
    <font>
      <b/>
      <sz val="18"/>
      <color theme="1"/>
      <name val="微软雅黑"/>
      <family val="2"/>
      <charset val="134"/>
    </font>
    <font>
      <b/>
      <sz val="14"/>
      <color theme="1"/>
      <name val="微软雅黑"/>
      <family val="2"/>
      <charset val="134"/>
    </font>
    <font>
      <b/>
      <i/>
      <sz val="11"/>
      <color theme="1"/>
      <name val="微软雅黑"/>
      <family val="2"/>
      <charset val="134"/>
    </font>
    <font>
      <b/>
      <sz val="11"/>
      <color rgb="FFFF0000"/>
      <name val="微软雅黑"/>
      <family val="2"/>
      <charset val="134"/>
    </font>
    <font>
      <sz val="11"/>
      <name val="微软雅黑"/>
      <family val="2"/>
      <charset val="134"/>
    </font>
    <font>
      <sz val="14"/>
      <name val="Arial"/>
      <family val="2"/>
    </font>
    <font>
      <b/>
      <sz val="14"/>
      <name val="Arial"/>
      <family val="2"/>
    </font>
    <font>
      <i/>
      <sz val="10"/>
      <name val="Arial"/>
      <family val="2"/>
    </font>
    <font>
      <b/>
      <sz val="9"/>
      <color indexed="63"/>
      <name val="宋体"/>
      <charset val="134"/>
    </font>
    <font>
      <b/>
      <sz val="9"/>
      <color indexed="63"/>
      <name val="Arial"/>
      <family val="2"/>
    </font>
    <font>
      <sz val="9"/>
      <color indexed="63"/>
      <name val="Arial"/>
      <family val="2"/>
    </font>
    <font>
      <b/>
      <sz val="20"/>
      <color indexed="12"/>
      <name val="Times New Roman"/>
      <family val="1"/>
    </font>
    <font>
      <b/>
      <sz val="16"/>
      <color indexed="12"/>
      <name val="宋体"/>
      <charset val="134"/>
    </font>
    <font>
      <sz val="10"/>
      <color theme="1"/>
      <name val="新細明體"/>
      <family val="1"/>
      <scheme val="minor"/>
    </font>
    <font>
      <sz val="25"/>
      <color theme="1"/>
      <name val="新細明體"/>
      <family val="1"/>
      <scheme val="minor"/>
    </font>
    <font>
      <sz val="9"/>
      <color theme="1"/>
      <name val="新細明體"/>
      <family val="1"/>
      <scheme val="minor"/>
    </font>
    <font>
      <sz val="9.5"/>
      <color theme="1"/>
      <name val="新細明體"/>
      <family val="1"/>
      <scheme val="minor"/>
    </font>
    <font>
      <b/>
      <sz val="12"/>
      <color indexed="8"/>
      <name val="Times New Roman"/>
      <family val="1"/>
    </font>
    <font>
      <sz val="12"/>
      <name val="Times New Roman"/>
      <family val="1"/>
    </font>
    <font>
      <sz val="20"/>
      <color indexed="21"/>
      <name val="宋体"/>
      <charset val="134"/>
    </font>
    <font>
      <b/>
      <sz val="11"/>
      <color indexed="21"/>
      <name val="宋体"/>
      <charset val="134"/>
    </font>
    <font>
      <sz val="10"/>
      <color indexed="21"/>
      <name val="宋体"/>
      <charset val="134"/>
    </font>
    <font>
      <i/>
      <sz val="10"/>
      <name val="宋体"/>
      <charset val="134"/>
    </font>
    <font>
      <sz val="10"/>
      <name val="Times New Roman"/>
      <family val="1"/>
    </font>
    <font>
      <b/>
      <sz val="14"/>
      <color indexed="21"/>
      <name val="宋体"/>
      <charset val="134"/>
    </font>
    <font>
      <sz val="12"/>
      <color rgb="FFFF0000"/>
      <name val="新細明體"/>
      <family val="1"/>
      <scheme val="minor"/>
    </font>
    <font>
      <b/>
      <sz val="30"/>
      <color rgb="FFFFFFFF"/>
      <name val="微软雅黑"/>
      <family val="2"/>
      <charset val="134"/>
    </font>
    <font>
      <sz val="15"/>
      <color indexed="20"/>
      <name val="宋体"/>
      <charset val="134"/>
    </font>
    <font>
      <b/>
      <sz val="30"/>
      <color indexed="8"/>
      <name val="宋体"/>
      <charset val="134"/>
    </font>
    <font>
      <u/>
      <sz val="11"/>
      <color indexed="12"/>
      <name val="宋体"/>
      <charset val="134"/>
    </font>
    <font>
      <sz val="30"/>
      <name val="宋体"/>
      <charset val="134"/>
    </font>
    <font>
      <u/>
      <sz val="11"/>
      <color indexed="20"/>
      <name val="宋体"/>
      <charset val="134"/>
    </font>
    <font>
      <sz val="15"/>
      <name val="黑体"/>
      <family val="3"/>
      <charset val="134"/>
    </font>
    <font>
      <b/>
      <sz val="25"/>
      <color theme="1"/>
      <name val="宋体"/>
      <charset val="134"/>
    </font>
    <font>
      <sz val="10.5"/>
      <color theme="1"/>
      <name val="黑体"/>
      <family val="3"/>
      <charset val="134"/>
    </font>
    <font>
      <vertAlign val="subscript"/>
      <sz val="12"/>
      <name val="Times New Roman"/>
      <family val="1"/>
    </font>
    <font>
      <vertAlign val="superscript"/>
      <sz val="12"/>
      <name val="Times New Roman"/>
      <family val="1"/>
    </font>
    <font>
      <vertAlign val="subscript"/>
      <sz val="14"/>
      <name val="Times New Roman"/>
      <family val="1"/>
    </font>
    <font>
      <vertAlign val="superscript"/>
      <sz val="12"/>
      <name val="宋体"/>
      <charset val="134"/>
    </font>
    <font>
      <vertAlign val="subscript"/>
      <sz val="12"/>
      <name val="宋体"/>
      <charset val="134"/>
    </font>
    <font>
      <vertAlign val="subscript"/>
      <sz val="14"/>
      <color indexed="8"/>
      <name val="宋体"/>
      <charset val="134"/>
    </font>
    <font>
      <vertAlign val="subscript"/>
      <sz val="10"/>
      <name val="宋体"/>
      <charset val="134"/>
    </font>
    <font>
      <vertAlign val="superscript"/>
      <sz val="10"/>
      <name val="宋体"/>
      <charset val="134"/>
    </font>
    <font>
      <sz val="8"/>
      <name val="Times New Roman"/>
      <family val="1"/>
    </font>
    <font>
      <b/>
      <sz val="10"/>
      <name val="Times New Roman"/>
      <family val="1"/>
    </font>
    <font>
      <b/>
      <sz val="10"/>
      <color indexed="17"/>
      <name val="Times New Roman"/>
      <family val="1"/>
    </font>
    <font>
      <sz val="8"/>
      <color indexed="17"/>
      <name val="宋体"/>
      <charset val="134"/>
    </font>
    <font>
      <b/>
      <sz val="8"/>
      <name val="Times New Roman"/>
      <family val="1"/>
    </font>
    <font>
      <b/>
      <sz val="14"/>
      <name val="Times New Roman"/>
      <family val="1"/>
    </font>
    <font>
      <b/>
      <sz val="20"/>
      <name val="Times New Roman"/>
      <family val="1"/>
    </font>
    <font>
      <b/>
      <sz val="24"/>
      <color indexed="10"/>
      <name val="楷体_GB2312"/>
      <charset val="134"/>
    </font>
    <font>
      <b/>
      <vertAlign val="subscript"/>
      <sz val="16"/>
      <color indexed="10"/>
      <name val="楷体_GB2312"/>
      <charset val="134"/>
    </font>
    <font>
      <vertAlign val="superscript"/>
      <sz val="14"/>
      <name val="楷体_GB2312"/>
      <charset val="134"/>
    </font>
    <font>
      <vertAlign val="subscript"/>
      <sz val="14"/>
      <name val="楷体_GB2312"/>
      <charset val="134"/>
    </font>
    <font>
      <sz val="9"/>
      <color rgb="FF333333"/>
      <name val="宋体"/>
      <charset val="134"/>
    </font>
    <font>
      <vertAlign val="subscript"/>
      <sz val="14"/>
      <name val="宋体"/>
      <charset val="134"/>
    </font>
    <font>
      <vertAlign val="subscript"/>
      <sz val="10"/>
      <name val="Times New Roman"/>
      <family val="1"/>
    </font>
    <font>
      <vertAlign val="subscript"/>
      <sz val="11"/>
      <color indexed="8"/>
      <name val="宋体"/>
      <charset val="134"/>
    </font>
    <font>
      <vertAlign val="superscript"/>
      <sz val="11"/>
      <color indexed="8"/>
      <name val="宋体"/>
      <charset val="134"/>
    </font>
    <font>
      <vertAlign val="subscript"/>
      <sz val="12"/>
      <color indexed="10"/>
      <name val="宋体"/>
      <charset val="134"/>
    </font>
    <font>
      <vertAlign val="subscript"/>
      <sz val="12"/>
      <name val="Arial"/>
      <family val="2"/>
    </font>
    <font>
      <sz val="12"/>
      <color indexed="8"/>
      <name val="楷体_GB2312"/>
      <charset val="134"/>
    </font>
    <font>
      <vertAlign val="superscript"/>
      <sz val="12"/>
      <name val="Arial"/>
      <family val="2"/>
    </font>
    <font>
      <sz val="8"/>
      <name val="Arial"/>
      <family val="2"/>
    </font>
    <font>
      <sz val="8"/>
      <color indexed="8"/>
      <name val="Arial"/>
      <family val="2"/>
    </font>
    <font>
      <vertAlign val="subscript"/>
      <sz val="12"/>
      <name val="楷体_GB2312"/>
      <charset val="134"/>
    </font>
    <font>
      <sz val="12"/>
      <color indexed="10"/>
      <name val="新細明體"/>
      <family val="1"/>
    </font>
    <font>
      <b/>
      <sz val="14"/>
      <name val="新宋体"/>
      <family val="3"/>
      <charset val="134"/>
    </font>
    <font>
      <vertAlign val="superscript"/>
      <sz val="12"/>
      <name val="新宋体"/>
      <family val="3"/>
      <charset val="134"/>
    </font>
    <font>
      <b/>
      <u/>
      <sz val="12"/>
      <color indexed="8"/>
      <name val="新宋体"/>
      <family val="3"/>
      <charset val="134"/>
    </font>
    <font>
      <sz val="16"/>
      <color indexed="10"/>
      <name val="新宋体"/>
      <family val="3"/>
      <charset val="134"/>
    </font>
    <font>
      <vertAlign val="superscript"/>
      <sz val="10"/>
      <name val="Times New Roman"/>
      <family val="1"/>
    </font>
    <font>
      <b/>
      <u/>
      <sz val="14"/>
      <color indexed="48"/>
      <name val="宋体"/>
      <charset val="134"/>
    </font>
    <font>
      <sz val="12"/>
      <name val="Dotum"/>
      <family val="2"/>
      <charset val="129"/>
    </font>
    <font>
      <sz val="12"/>
      <name val="SimSun-ExtB"/>
      <family val="3"/>
      <charset val="134"/>
    </font>
    <font>
      <sz val="20"/>
      <color indexed="11"/>
      <name val="宋体"/>
      <charset val="134"/>
    </font>
    <font>
      <vertAlign val="subscript"/>
      <sz val="10.5"/>
      <name val="宋体"/>
      <charset val="134"/>
    </font>
    <font>
      <sz val="8"/>
      <color indexed="12"/>
      <name val="Times New Roman"/>
      <family val="1"/>
    </font>
    <font>
      <sz val="12"/>
      <color indexed="8"/>
      <name val="华文新魏"/>
      <charset val="134"/>
    </font>
    <font>
      <b/>
      <sz val="18"/>
      <color indexed="9"/>
      <name val="宋体"/>
      <charset val="134"/>
    </font>
    <font>
      <b/>
      <sz val="13.8"/>
      <name val="Arial"/>
      <family val="2"/>
    </font>
    <font>
      <b/>
      <sz val="13.8"/>
      <name val="宋体"/>
      <charset val="134"/>
    </font>
    <font>
      <b/>
      <sz val="11"/>
      <color indexed="12"/>
      <name val="Times New Roman"/>
      <family val="1"/>
    </font>
    <font>
      <vertAlign val="superscript"/>
      <sz val="11"/>
      <name val="宋体"/>
      <charset val="134"/>
    </font>
    <font>
      <vertAlign val="subscript"/>
      <sz val="11"/>
      <color theme="1"/>
      <name val="微软雅黑"/>
      <family val="2"/>
      <charset val="134"/>
    </font>
    <font>
      <vertAlign val="superscript"/>
      <sz val="11"/>
      <color theme="1"/>
      <name val="微软雅黑"/>
      <family val="2"/>
      <charset val="134"/>
    </font>
    <font>
      <sz val="11"/>
      <color theme="1"/>
      <name val="Symbol"/>
      <family val="1"/>
      <charset val="2"/>
    </font>
    <font>
      <b/>
      <sz val="14"/>
      <color indexed="10"/>
      <name val="細明體"/>
      <charset val="136"/>
    </font>
    <font>
      <b/>
      <sz val="12"/>
      <color indexed="10"/>
      <name val="細明體"/>
      <charset val="136"/>
    </font>
    <font>
      <vertAlign val="superscript"/>
      <sz val="14"/>
      <name val="Arial"/>
      <family val="2"/>
    </font>
    <font>
      <b/>
      <sz val="16"/>
      <color indexed="12"/>
      <name val="Times New Roman"/>
      <family val="1"/>
    </font>
    <font>
      <sz val="12"/>
      <color indexed="48"/>
      <name val="Times New Roman"/>
      <family val="1"/>
    </font>
    <font>
      <sz val="8"/>
      <color indexed="10"/>
      <name val="宋体"/>
      <charset val="134"/>
    </font>
    <font>
      <sz val="8"/>
      <color indexed="10"/>
      <name val="Times New Roman"/>
      <family val="1"/>
    </font>
    <font>
      <sz val="14"/>
      <color indexed="10"/>
      <name val="Times New Roman"/>
      <family val="1"/>
    </font>
    <font>
      <i/>
      <vertAlign val="subscript"/>
      <sz val="10"/>
      <name val="宋体"/>
      <charset val="134"/>
    </font>
    <font>
      <b/>
      <i/>
      <vertAlign val="superscript"/>
      <sz val="10"/>
      <name val="宋体"/>
      <charset val="134"/>
    </font>
    <font>
      <b/>
      <vertAlign val="superscript"/>
      <sz val="10"/>
      <name val="宋体"/>
      <charset val="134"/>
    </font>
    <font>
      <b/>
      <sz val="15"/>
      <color rgb="FFFFFFFF"/>
      <name val="微软雅黑"/>
      <family val="2"/>
      <charset val="134"/>
    </font>
    <font>
      <sz val="12"/>
      <name val="新細明體"/>
      <family val="1"/>
      <scheme val="minor"/>
    </font>
    <font>
      <b/>
      <sz val="12"/>
      <color indexed="10"/>
      <name val="PMingLiU"/>
      <family val="1"/>
      <charset val="136"/>
    </font>
    <font>
      <b/>
      <sz val="9"/>
      <name val="PMingLiU"/>
      <family val="1"/>
      <charset val="136"/>
    </font>
    <font>
      <sz val="9"/>
      <name val="PMingLiU"/>
      <family val="1"/>
      <charset val="136"/>
    </font>
    <font>
      <b/>
      <sz val="8"/>
      <color indexed="10"/>
      <name val="PMingLiU"/>
      <family val="1"/>
      <charset val="136"/>
    </font>
    <font>
      <b/>
      <sz val="8"/>
      <color indexed="10"/>
      <name val="Times New Roman"/>
      <family val="1"/>
    </font>
    <font>
      <b/>
      <sz val="14"/>
      <color indexed="10"/>
      <name val="PMingLiU"/>
      <family val="1"/>
      <charset val="136"/>
    </font>
    <font>
      <b/>
      <sz val="14"/>
      <color indexed="10"/>
      <name val="Times New Roman"/>
      <family val="1"/>
    </font>
    <font>
      <sz val="9"/>
      <name val="新細明體"/>
      <family val="3"/>
      <charset val="136"/>
      <scheme val="minor"/>
    </font>
    <font>
      <sz val="20"/>
      <name val="微软雅黑"/>
      <family val="2"/>
      <charset val="134"/>
    </font>
    <font>
      <sz val="24"/>
      <name val="隶书"/>
      <family val="3"/>
      <charset val="134"/>
    </font>
    <font>
      <sz val="20"/>
      <name val="Times New Roman"/>
      <family val="1"/>
    </font>
    <font>
      <b/>
      <sz val="24"/>
      <name val="隶书"/>
      <family val="3"/>
      <charset val="134"/>
    </font>
    <font>
      <sz val="20"/>
      <name val="隶书"/>
      <family val="3"/>
      <charset val="134"/>
    </font>
    <font>
      <b/>
      <sz val="20"/>
      <color indexed="10"/>
      <name val="楷体_GB2312"/>
      <charset val="134"/>
    </font>
    <font>
      <sz val="20"/>
      <name val="楷体_GB2312"/>
      <charset val="134"/>
    </font>
    <font>
      <sz val="20"/>
      <color indexed="8"/>
      <name val="宋体"/>
      <charset val="134"/>
    </font>
    <font>
      <vertAlign val="superscript"/>
      <sz val="16"/>
      <name val="宋体"/>
      <charset val="134"/>
    </font>
    <font>
      <sz val="12"/>
      <color indexed="40"/>
      <name val="宋体"/>
      <charset val="134"/>
    </font>
    <font>
      <sz val="12"/>
      <name val="Dotum"/>
      <family val="2"/>
      <charset val="134"/>
    </font>
    <font>
      <u/>
      <sz val="11"/>
      <color rgb="FF0000FF"/>
      <name val="宋体"/>
      <charset val="134"/>
    </font>
    <font>
      <sz val="12"/>
      <color rgb="FF0000FF"/>
      <name val="新細明體"/>
      <family val="1"/>
      <scheme val="minor"/>
    </font>
    <font>
      <sz val="11"/>
      <color rgb="FF0000FF"/>
      <name val="宋体"/>
      <charset val="134"/>
    </font>
    <font>
      <u/>
      <sz val="18"/>
      <color indexed="12"/>
      <name val="宋体"/>
      <charset val="134"/>
    </font>
  </fonts>
  <fills count="67">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theme="3" tint="0.79992065187536243"/>
        <bgColor indexed="64"/>
      </patternFill>
    </fill>
    <fill>
      <patternFill patternType="solid">
        <fgColor theme="9" tint="0.59999389629810485"/>
        <bgColor indexed="64"/>
      </patternFill>
    </fill>
    <fill>
      <patternFill patternType="solid">
        <fgColor indexed="27"/>
        <bgColor indexed="64"/>
      </patternFill>
    </fill>
    <fill>
      <patternFill patternType="solid">
        <fgColor indexed="51"/>
        <bgColor indexed="64"/>
      </patternFill>
    </fill>
    <fill>
      <patternFill patternType="solid">
        <fgColor indexed="50"/>
        <bgColor indexed="64"/>
      </patternFill>
    </fill>
    <fill>
      <patternFill patternType="solid">
        <fgColor indexed="20"/>
        <bgColor indexed="64"/>
      </patternFill>
    </fill>
    <fill>
      <patternFill patternType="solid">
        <fgColor indexed="42"/>
        <bgColor indexed="64"/>
      </patternFill>
    </fill>
    <fill>
      <patternFill patternType="solid">
        <fgColor indexed="11"/>
        <bgColor indexed="64"/>
      </patternFill>
    </fill>
    <fill>
      <patternFill patternType="solid">
        <fgColor indexed="13"/>
        <bgColor indexed="64"/>
      </patternFill>
    </fill>
    <fill>
      <patternFill patternType="solid">
        <fgColor indexed="44"/>
        <bgColor indexed="64"/>
      </patternFill>
    </fill>
    <fill>
      <patternFill patternType="solid">
        <fgColor indexed="31"/>
        <bgColor indexed="64"/>
      </patternFill>
    </fill>
    <fill>
      <patternFill patternType="solid">
        <fgColor indexed="22"/>
        <bgColor indexed="64"/>
      </patternFill>
    </fill>
    <fill>
      <patternFill patternType="solid">
        <fgColor rgb="FF00FFFF"/>
        <bgColor indexed="64"/>
      </patternFill>
    </fill>
    <fill>
      <patternFill patternType="solid">
        <fgColor indexed="41"/>
        <bgColor indexed="64"/>
      </patternFill>
    </fill>
    <fill>
      <patternFill patternType="solid">
        <fgColor indexed="43"/>
        <bgColor indexed="64"/>
      </patternFill>
    </fill>
    <fill>
      <patternFill patternType="solid">
        <fgColor indexed="46"/>
        <bgColor indexed="64"/>
      </patternFill>
    </fill>
    <fill>
      <patternFill patternType="solid">
        <fgColor indexed="45"/>
        <bgColor indexed="64"/>
      </patternFill>
    </fill>
    <fill>
      <patternFill patternType="solid">
        <fgColor indexed="15"/>
        <bgColor indexed="64"/>
      </patternFill>
    </fill>
    <fill>
      <patternFill patternType="solid">
        <fgColor indexed="40"/>
        <bgColor indexed="64"/>
      </patternFill>
    </fill>
    <fill>
      <patternFill patternType="solid">
        <fgColor indexed="26"/>
        <bgColor indexed="64"/>
      </patternFill>
    </fill>
    <fill>
      <patternFill patternType="solid">
        <fgColor indexed="52"/>
        <bgColor indexed="64"/>
      </patternFill>
    </fill>
    <fill>
      <patternFill patternType="solid">
        <fgColor rgb="FFFFC0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indexed="57"/>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indexed="10"/>
        <bgColor indexed="64"/>
      </patternFill>
    </fill>
    <fill>
      <patternFill patternType="solid">
        <fgColor indexed="24"/>
        <bgColor indexed="64"/>
      </patternFill>
    </fill>
    <fill>
      <patternFill patternType="solid">
        <fgColor indexed="12"/>
        <bgColor indexed="64"/>
      </patternFill>
    </fill>
    <fill>
      <patternFill patternType="solid">
        <fgColor indexed="47"/>
        <bgColor indexed="64"/>
      </patternFill>
    </fill>
    <fill>
      <patternFill patternType="solid">
        <fgColor indexed="9"/>
        <bgColor indexed="64"/>
      </patternFill>
    </fill>
    <fill>
      <patternFill patternType="solid">
        <fgColor indexed="53"/>
        <bgColor indexed="64"/>
      </patternFill>
    </fill>
    <fill>
      <patternFill patternType="solid">
        <fgColor indexed="17"/>
        <bgColor indexed="64"/>
      </patternFill>
    </fill>
    <fill>
      <patternFill patternType="solid">
        <fgColor indexed="19"/>
        <bgColor indexed="64"/>
      </patternFill>
    </fill>
    <fill>
      <patternFill patternType="solid">
        <fgColor indexed="48"/>
        <bgColor indexed="64"/>
      </patternFill>
    </fill>
    <fill>
      <patternFill patternType="solid">
        <fgColor indexed="49"/>
        <bgColor indexed="64"/>
      </patternFill>
    </fill>
    <fill>
      <patternFill patternType="solid">
        <fgColor theme="4" tint="0.59999389629810485"/>
        <bgColor indexed="64"/>
      </patternFill>
    </fill>
    <fill>
      <patternFill patternType="solid">
        <fgColor theme="9" tint="0.39991454817346722"/>
        <bgColor indexed="64"/>
      </patternFill>
    </fill>
    <fill>
      <patternFill patternType="solid">
        <fgColor rgb="FF00B0F0"/>
        <bgColor indexed="64"/>
      </patternFill>
    </fill>
    <fill>
      <patternFill patternType="solid">
        <fgColor theme="0" tint="-0.14993743705557422"/>
        <bgColor indexed="64"/>
      </patternFill>
    </fill>
    <fill>
      <patternFill patternType="solid">
        <fgColor rgb="FFFF99CC"/>
        <bgColor indexed="64"/>
      </patternFill>
    </fill>
    <fill>
      <patternFill patternType="solid">
        <fgColor rgb="FFCCFFCC"/>
        <bgColor indexed="64"/>
      </patternFill>
    </fill>
    <fill>
      <patternFill patternType="solid">
        <fgColor theme="0" tint="-0.249977111117893"/>
        <bgColor indexed="64"/>
      </patternFill>
    </fill>
    <fill>
      <patternFill patternType="solid">
        <fgColor indexed="23"/>
        <bgColor indexed="64"/>
      </patternFill>
    </fill>
    <fill>
      <patternFill patternType="solid">
        <fgColor rgb="FFFFFF00"/>
        <bgColor indexed="64"/>
      </patternFill>
    </fill>
    <fill>
      <patternFill patternType="solid">
        <fgColor indexed="14"/>
        <bgColor indexed="64"/>
      </patternFill>
    </fill>
    <fill>
      <patternFill patternType="solid">
        <fgColor indexed="8"/>
        <bgColor indexed="64"/>
      </patternFill>
    </fill>
    <fill>
      <patternFill patternType="solid">
        <fgColor rgb="FFFFFF00"/>
        <bgColor rgb="FF000000"/>
      </patternFill>
    </fill>
    <fill>
      <patternFill patternType="solid">
        <fgColor rgb="FF8DB4E3"/>
        <bgColor rgb="FF000000"/>
      </patternFill>
    </fill>
    <fill>
      <patternFill patternType="solid">
        <fgColor rgb="FF5A5A5A"/>
        <bgColor rgb="FF000000"/>
      </patternFill>
    </fill>
    <fill>
      <patternFill patternType="solid">
        <fgColor rgb="FFFF0000"/>
        <bgColor rgb="FF000000"/>
      </patternFill>
    </fill>
    <fill>
      <patternFill patternType="solid">
        <fgColor theme="0" tint="-0.14996795556505021"/>
        <bgColor indexed="64"/>
      </patternFill>
    </fill>
    <fill>
      <patternFill patternType="solid">
        <fgColor theme="4" tint="0.79992065187536243"/>
        <bgColor indexed="64"/>
      </patternFill>
    </fill>
    <fill>
      <patternFill patternType="solid">
        <fgColor theme="5" tint="0.59999389629810485"/>
        <bgColor indexed="64"/>
      </patternFill>
    </fill>
    <fill>
      <patternFill patternType="solid">
        <fgColor theme="9" tint="0.79992065187536243"/>
        <bgColor indexed="64"/>
      </patternFill>
    </fill>
    <fill>
      <patternFill patternType="solid">
        <fgColor theme="8" tint="0.59999389629810485"/>
        <bgColor indexed="64"/>
      </patternFill>
    </fill>
    <fill>
      <patternFill patternType="solid">
        <fgColor theme="4" tint="0.79995117038483843"/>
        <bgColor indexed="64"/>
      </patternFill>
    </fill>
    <fill>
      <patternFill patternType="solid">
        <fgColor theme="9" tint="0.7999511703848384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30"/>
        <bgColor indexed="64"/>
      </patternFill>
    </fill>
    <fill>
      <patternFill patternType="solid">
        <fgColor theme="4" tint="0.79998168889431442"/>
        <bgColor indexed="64"/>
      </patternFill>
    </fill>
  </fills>
  <borders count="324">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thin">
        <color rgb="FF000000"/>
      </right>
      <top style="medium">
        <color auto="1"/>
      </top>
      <bottom/>
      <diagonal/>
    </border>
    <border>
      <left style="thin">
        <color rgb="FF000000"/>
      </left>
      <right/>
      <top style="medium">
        <color auto="1"/>
      </top>
      <bottom style="thin">
        <color rgb="FF000000"/>
      </bottom>
      <diagonal/>
    </border>
    <border>
      <left/>
      <right/>
      <top style="medium">
        <color auto="1"/>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medium">
        <color auto="1"/>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medium">
        <color auto="1"/>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medium">
        <color auto="1"/>
      </left>
      <right/>
      <top style="thin">
        <color rgb="FF000000"/>
      </top>
      <bottom/>
      <diagonal/>
    </border>
    <border>
      <left style="medium">
        <color auto="1"/>
      </left>
      <right/>
      <top/>
      <bottom style="medium">
        <color auto="1"/>
      </bottom>
      <diagonal/>
    </border>
    <border>
      <left/>
      <right/>
      <top/>
      <bottom style="medium">
        <color auto="1"/>
      </bottom>
      <diagonal/>
    </border>
    <border>
      <left/>
      <right style="thin">
        <color rgb="FF000000"/>
      </right>
      <top style="medium">
        <color auto="1"/>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auto="1"/>
      </right>
      <top style="medium">
        <color auto="1"/>
      </top>
      <bottom/>
      <diagonal/>
    </border>
    <border>
      <left/>
      <right style="medium">
        <color auto="1"/>
      </right>
      <top/>
      <bottom/>
      <diagonal/>
    </border>
    <border>
      <left/>
      <right style="medium">
        <color auto="1"/>
      </right>
      <top style="medium">
        <color auto="1"/>
      </top>
      <bottom style="thin">
        <color rgb="FF000000"/>
      </bottom>
      <diagonal/>
    </border>
    <border>
      <left/>
      <right style="medium">
        <color auto="1"/>
      </right>
      <top style="thin">
        <color rgb="FF000000"/>
      </top>
      <bottom/>
      <diagonal/>
    </border>
    <border>
      <left/>
      <right style="medium">
        <color auto="1"/>
      </right>
      <top/>
      <bottom style="thin">
        <color rgb="FF000000"/>
      </bottom>
      <diagonal/>
    </border>
    <border>
      <left style="thin">
        <color rgb="FF000000"/>
      </left>
      <right style="medium">
        <color auto="1"/>
      </right>
      <top style="thin">
        <color rgb="FF000000"/>
      </top>
      <bottom style="thin">
        <color rgb="FF000000"/>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indexed="8"/>
      </top>
      <bottom/>
      <diagonal/>
    </border>
    <border>
      <left/>
      <right/>
      <top/>
      <bottom style="medium">
        <color indexed="8"/>
      </bottom>
      <diagonal/>
    </border>
    <border>
      <left/>
      <right style="medium">
        <color auto="1"/>
      </right>
      <top style="medium">
        <color indexed="8"/>
      </top>
      <bottom/>
      <diagonal/>
    </border>
    <border>
      <left style="medium">
        <color auto="1"/>
      </left>
      <right style="thin">
        <color auto="1"/>
      </right>
      <top/>
      <bottom style="thin">
        <color auto="1"/>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style="thin">
        <color auto="1"/>
      </top>
      <bottom style="medium">
        <color auto="1"/>
      </bottom>
      <diagonal/>
    </border>
    <border>
      <left style="thin">
        <color auto="1"/>
      </left>
      <right style="thin">
        <color auto="1"/>
      </right>
      <top/>
      <bottom/>
      <diagonal/>
    </border>
    <border>
      <left style="thin">
        <color auto="1"/>
      </left>
      <right style="medium">
        <color auto="1"/>
      </right>
      <top/>
      <bottom style="thin">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double">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ouble">
        <color auto="1"/>
      </right>
      <top style="thin">
        <color auto="1"/>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right style="thin">
        <color auto="1"/>
      </right>
      <top style="thin">
        <color auto="1"/>
      </top>
      <bottom style="double">
        <color auto="1"/>
      </bottom>
      <diagonal/>
    </border>
    <border>
      <left style="double">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double">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double">
        <color auto="1"/>
      </right>
      <top style="thick">
        <color auto="1"/>
      </top>
      <bottom style="thin">
        <color auto="1"/>
      </bottom>
      <diagonal/>
    </border>
    <border>
      <left style="thin">
        <color auto="1"/>
      </left>
      <right style="double">
        <color auto="1"/>
      </right>
      <top style="thin">
        <color auto="1"/>
      </top>
      <bottom style="thick">
        <color auto="1"/>
      </bottom>
      <diagonal/>
    </border>
    <border>
      <left style="double">
        <color auto="1"/>
      </left>
      <right/>
      <top/>
      <bottom/>
      <diagonal/>
    </border>
    <border>
      <left style="double">
        <color auto="1"/>
      </left>
      <right/>
      <top style="double">
        <color auto="1"/>
      </top>
      <bottom style="thin">
        <color auto="1"/>
      </bottom>
      <diagonal/>
    </border>
    <border>
      <left/>
      <right/>
      <top style="double">
        <color auto="1"/>
      </top>
      <bottom style="thin">
        <color auto="1"/>
      </bottom>
      <diagonal/>
    </border>
    <border>
      <left/>
      <right style="thin">
        <color auto="1"/>
      </right>
      <top style="double">
        <color auto="1"/>
      </top>
      <bottom style="thin">
        <color auto="1"/>
      </bottom>
      <diagonal/>
    </border>
    <border>
      <left/>
      <right style="double">
        <color auto="1"/>
      </right>
      <top style="double">
        <color auto="1"/>
      </top>
      <bottom style="thin">
        <color auto="1"/>
      </bottom>
      <diagonal/>
    </border>
    <border>
      <left style="double">
        <color auto="1"/>
      </left>
      <right style="thin">
        <color auto="1"/>
      </right>
      <top/>
      <bottom/>
      <diagonal/>
    </border>
    <border>
      <left style="double">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medium">
        <color auto="1"/>
      </left>
      <right/>
      <top style="thin">
        <color auto="1"/>
      </top>
      <bottom/>
      <diagonal/>
    </border>
    <border>
      <left style="medium">
        <color auto="1"/>
      </left>
      <right/>
      <top/>
      <bottom style="thin">
        <color auto="1"/>
      </bottom>
      <diagonal/>
    </border>
    <border>
      <left/>
      <right style="medium">
        <color auto="1"/>
      </right>
      <top style="thin">
        <color auto="1"/>
      </top>
      <bottom/>
      <diagonal/>
    </border>
    <border>
      <left/>
      <right style="medium">
        <color auto="1"/>
      </right>
      <top/>
      <bottom style="thin">
        <color auto="1"/>
      </bottom>
      <diagonal/>
    </border>
    <border>
      <left style="double">
        <color auto="1"/>
      </left>
      <right style="double">
        <color auto="1"/>
      </right>
      <top style="double">
        <color auto="1"/>
      </top>
      <bottom style="thin">
        <color auto="1"/>
      </bottom>
      <diagonal/>
    </border>
    <border>
      <left style="thin">
        <color auto="1"/>
      </left>
      <right/>
      <top style="thin">
        <color auto="1"/>
      </top>
      <bottom style="double">
        <color auto="1"/>
      </bottom>
      <diagonal/>
    </border>
    <border>
      <left/>
      <right/>
      <top/>
      <bottom style="thick">
        <color auto="1"/>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top style="thick">
        <color auto="1"/>
      </top>
      <bottom style="thin">
        <color auto="1"/>
      </bottom>
      <diagonal/>
    </border>
    <border>
      <left/>
      <right style="thick">
        <color auto="1"/>
      </right>
      <top style="thick">
        <color auto="1"/>
      </top>
      <bottom style="thin">
        <color auto="1"/>
      </bottom>
      <diagonal/>
    </border>
    <border>
      <left style="thick">
        <color auto="1"/>
      </left>
      <right style="thin">
        <color auto="1"/>
      </right>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style="thick">
        <color auto="1"/>
      </left>
      <right/>
      <top style="thick">
        <color auto="1"/>
      </top>
      <bottom/>
      <diagonal/>
    </border>
    <border>
      <left/>
      <right/>
      <top style="thick">
        <color auto="1"/>
      </top>
      <bottom/>
      <diagonal/>
    </border>
    <border>
      <left style="thick">
        <color auto="1"/>
      </left>
      <right/>
      <top style="thin">
        <color auto="1"/>
      </top>
      <bottom style="thin">
        <color auto="1"/>
      </bottom>
      <diagonal/>
    </border>
    <border>
      <left style="thick">
        <color auto="1"/>
      </left>
      <right/>
      <top style="thin">
        <color auto="1"/>
      </top>
      <bottom/>
      <diagonal/>
    </border>
    <border>
      <left style="thick">
        <color auto="1"/>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thick">
        <color auto="1"/>
      </left>
      <right/>
      <top/>
      <bottom/>
      <diagonal/>
    </border>
    <border>
      <left/>
      <right style="thick">
        <color auto="1"/>
      </right>
      <top style="thick">
        <color auto="1"/>
      </top>
      <bottom/>
      <diagonal/>
    </border>
    <border>
      <left/>
      <right style="thick">
        <color auto="1"/>
      </right>
      <top/>
      <bottom/>
      <diagonal/>
    </border>
    <border>
      <left/>
      <right style="thick">
        <color auto="1"/>
      </right>
      <top style="thin">
        <color auto="1"/>
      </top>
      <bottom/>
      <diagonal/>
    </border>
    <border>
      <left/>
      <right style="thick">
        <color auto="1"/>
      </right>
      <top/>
      <bottom style="thick">
        <color auto="1"/>
      </bottom>
      <diagonal/>
    </border>
    <border>
      <left/>
      <right style="thick">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ck">
        <color auto="1"/>
      </left>
      <right/>
      <top style="thin">
        <color auto="1"/>
      </top>
      <bottom style="thick">
        <color auto="1"/>
      </bottom>
      <diagonal/>
    </border>
    <border>
      <left/>
      <right style="thin">
        <color auto="1"/>
      </right>
      <top style="thin">
        <color auto="1"/>
      </top>
      <bottom style="thick">
        <color auto="1"/>
      </bottom>
      <diagonal/>
    </border>
    <border>
      <left/>
      <right/>
      <top style="thick">
        <color auto="1"/>
      </top>
      <bottom style="thick">
        <color auto="1"/>
      </bottom>
      <diagonal/>
    </border>
    <border>
      <left style="thin">
        <color auto="1"/>
      </left>
      <right style="thick">
        <color auto="1"/>
      </right>
      <top/>
      <bottom style="thin">
        <color auto="1"/>
      </bottom>
      <diagonal/>
    </border>
    <border>
      <left style="medium">
        <color auto="1"/>
      </left>
      <right style="medium">
        <color auto="1"/>
      </right>
      <top/>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thin">
        <color auto="1"/>
      </top>
      <bottom style="medium">
        <color auto="1"/>
      </bottom>
      <diagonal/>
    </border>
    <border>
      <left style="medium">
        <color auto="1"/>
      </left>
      <right style="thin">
        <color auto="1"/>
      </right>
      <top style="medium">
        <color auto="1"/>
      </top>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medium">
        <color auto="1"/>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right/>
      <top/>
      <bottom style="medium">
        <color indexed="30"/>
      </bottom>
      <diagonal/>
    </border>
    <border>
      <left style="medium">
        <color indexed="30"/>
      </left>
      <right style="medium">
        <color indexed="30"/>
      </right>
      <top style="medium">
        <color indexed="30"/>
      </top>
      <bottom style="medium">
        <color indexed="30"/>
      </bottom>
      <diagonal/>
    </border>
    <border>
      <left style="medium">
        <color indexed="30"/>
      </left>
      <right/>
      <top style="medium">
        <color indexed="30"/>
      </top>
      <bottom style="medium">
        <color indexed="30"/>
      </bottom>
      <diagonal/>
    </border>
    <border>
      <left style="medium">
        <color indexed="30"/>
      </left>
      <right style="medium">
        <color indexed="30"/>
      </right>
      <top style="medium">
        <color indexed="30"/>
      </top>
      <bottom/>
      <diagonal/>
    </border>
    <border>
      <left style="medium">
        <color indexed="30"/>
      </left>
      <right/>
      <top/>
      <bottom style="medium">
        <color indexed="30"/>
      </bottom>
      <diagonal/>
    </border>
    <border>
      <left/>
      <right style="medium">
        <color indexed="30"/>
      </right>
      <top/>
      <bottom style="medium">
        <color indexed="30"/>
      </bottom>
      <diagonal/>
    </border>
    <border>
      <left style="medium">
        <color indexed="30"/>
      </left>
      <right style="medium">
        <color indexed="30"/>
      </right>
      <top/>
      <bottom/>
      <diagonal/>
    </border>
    <border>
      <left/>
      <right/>
      <top style="medium">
        <color indexed="30"/>
      </top>
      <bottom style="medium">
        <color indexed="30"/>
      </bottom>
      <diagonal/>
    </border>
    <border>
      <left/>
      <right style="medium">
        <color indexed="30"/>
      </right>
      <top style="medium">
        <color indexed="30"/>
      </top>
      <bottom style="medium">
        <color indexed="30"/>
      </bottom>
      <diagonal/>
    </border>
    <border>
      <left style="medium">
        <color indexed="30"/>
      </left>
      <right style="medium">
        <color indexed="30"/>
      </right>
      <top/>
      <bottom style="medium">
        <color indexed="30"/>
      </bottom>
      <diagonal/>
    </border>
    <border>
      <left style="medium">
        <color indexed="30"/>
      </left>
      <right/>
      <top style="medium">
        <color indexed="30"/>
      </top>
      <bottom/>
      <diagonal/>
    </border>
    <border>
      <left/>
      <right style="medium">
        <color indexed="30"/>
      </right>
      <top style="medium">
        <color indexed="30"/>
      </top>
      <bottom/>
      <diagonal/>
    </border>
    <border>
      <left/>
      <right/>
      <top style="medium">
        <color indexed="30"/>
      </top>
      <bottom/>
      <diagonal/>
    </border>
    <border>
      <left style="thin">
        <color auto="1"/>
      </left>
      <right style="double">
        <color auto="1"/>
      </right>
      <top/>
      <bottom/>
      <diagonal/>
    </border>
    <border>
      <left style="thin">
        <color auto="1"/>
      </left>
      <right/>
      <top style="double">
        <color auto="1"/>
      </top>
      <bottom style="double">
        <color auto="1"/>
      </bottom>
      <diagonal/>
    </border>
    <border>
      <left/>
      <right/>
      <top style="double">
        <color auto="1"/>
      </top>
      <bottom style="double">
        <color auto="1"/>
      </bottom>
      <diagonal/>
    </border>
    <border>
      <left/>
      <right style="thin">
        <color auto="1"/>
      </right>
      <top style="double">
        <color auto="1"/>
      </top>
      <bottom style="double">
        <color auto="1"/>
      </bottom>
      <diagonal/>
    </border>
    <border>
      <left style="thin">
        <color auto="1"/>
      </left>
      <right style="thin">
        <color auto="1"/>
      </right>
      <top style="double">
        <color auto="1"/>
      </top>
      <bottom/>
      <diagonal/>
    </border>
    <border>
      <left style="thin">
        <color auto="1"/>
      </left>
      <right/>
      <top style="double">
        <color auto="1"/>
      </top>
      <bottom style="thin">
        <color auto="1"/>
      </bottom>
      <diagonal/>
    </border>
    <border>
      <left/>
      <right style="double">
        <color auto="1"/>
      </right>
      <top style="thin">
        <color auto="1"/>
      </top>
      <bottom style="thin">
        <color auto="1"/>
      </bottom>
      <diagonal/>
    </border>
    <border>
      <left style="double">
        <color auto="1"/>
      </left>
      <right style="thin">
        <color auto="1"/>
      </right>
      <top/>
      <bottom style="double">
        <color auto="1"/>
      </bottom>
      <diagonal/>
    </border>
    <border>
      <left style="thin">
        <color auto="1"/>
      </left>
      <right style="thin">
        <color auto="1"/>
      </right>
      <top/>
      <bottom style="double">
        <color auto="1"/>
      </bottom>
      <diagonal/>
    </border>
    <border>
      <left/>
      <right style="double">
        <color auto="1"/>
      </right>
      <top style="thin">
        <color auto="1"/>
      </top>
      <bottom style="double">
        <color auto="1"/>
      </bottom>
      <diagonal/>
    </border>
    <border>
      <left/>
      <right style="thin">
        <color auto="1"/>
      </right>
      <top/>
      <bottom style="medium">
        <color auto="1"/>
      </bottom>
      <diagonal/>
    </border>
    <border>
      <left style="thin">
        <color auto="1"/>
      </left>
      <right/>
      <top/>
      <bottom style="medium">
        <color auto="1"/>
      </bottom>
      <diagonal/>
    </border>
    <border>
      <left/>
      <right style="medium">
        <color auto="1"/>
      </right>
      <top style="thin">
        <color auto="1"/>
      </top>
      <bottom style="medium">
        <color auto="1"/>
      </bottom>
      <diagonal/>
    </border>
    <border>
      <left style="thin">
        <color auto="1"/>
      </left>
      <right style="hair">
        <color auto="1"/>
      </right>
      <top style="thin">
        <color auto="1"/>
      </top>
      <bottom/>
      <diagonal/>
    </border>
    <border>
      <left style="hair">
        <color auto="1"/>
      </left>
      <right style="thin">
        <color auto="1"/>
      </right>
      <top style="thin">
        <color auto="1"/>
      </top>
      <bottom/>
      <diagonal/>
    </border>
    <border>
      <left style="thin">
        <color auto="1"/>
      </left>
      <right style="hair">
        <color auto="1"/>
      </right>
      <top/>
      <bottom style="hair">
        <color auto="1"/>
      </bottom>
      <diagonal/>
    </border>
    <border>
      <left style="hair">
        <color auto="1"/>
      </left>
      <right style="thin">
        <color auto="1"/>
      </right>
      <top/>
      <bottom style="hair">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thin">
        <color auto="1"/>
      </left>
      <right style="hair">
        <color auto="1"/>
      </right>
      <top style="thin">
        <color auto="1"/>
      </top>
      <bottom style="hair">
        <color auto="1"/>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hair">
        <color auto="1"/>
      </right>
      <top style="thin">
        <color auto="1"/>
      </top>
      <bottom style="thin">
        <color auto="1"/>
      </bottom>
      <diagonal/>
    </border>
    <border>
      <left style="hair">
        <color auto="1"/>
      </left>
      <right/>
      <top style="thin">
        <color auto="1"/>
      </top>
      <bottom/>
      <diagonal/>
    </border>
    <border>
      <left style="hair">
        <color auto="1"/>
      </left>
      <right style="thin">
        <color auto="1"/>
      </right>
      <top style="thin">
        <color auto="1"/>
      </top>
      <bottom style="thin">
        <color auto="1"/>
      </bottom>
      <diagonal/>
    </border>
    <border>
      <left style="hair">
        <color auto="1"/>
      </left>
      <right style="hair">
        <color auto="1"/>
      </right>
      <top/>
      <bottom style="hair">
        <color auto="1"/>
      </bottom>
      <diagonal/>
    </border>
    <border>
      <left style="hair">
        <color auto="1"/>
      </left>
      <right/>
      <top style="thin">
        <color auto="1"/>
      </top>
      <bottom style="hair">
        <color auto="1"/>
      </bottom>
      <diagonal/>
    </border>
    <border>
      <left style="hair">
        <color auto="1"/>
      </left>
      <right/>
      <top style="hair">
        <color auto="1"/>
      </top>
      <bottom style="hair">
        <color auto="1"/>
      </bottom>
      <diagonal/>
    </border>
    <border>
      <left style="hair">
        <color auto="1"/>
      </left>
      <right/>
      <top style="hair">
        <color auto="1"/>
      </top>
      <bottom style="thin">
        <color auto="1"/>
      </bottom>
      <diagonal/>
    </border>
    <border>
      <left/>
      <right style="hair">
        <color auto="1"/>
      </right>
      <top style="thin">
        <color auto="1"/>
      </top>
      <bottom style="thin">
        <color auto="1"/>
      </bottom>
      <diagonal/>
    </border>
    <border>
      <left/>
      <right style="hair">
        <color auto="1"/>
      </right>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thin">
        <color auto="1"/>
      </bottom>
      <diagonal/>
    </border>
    <border>
      <left style="hair">
        <color auto="1"/>
      </left>
      <right/>
      <top style="thin">
        <color auto="1"/>
      </top>
      <bottom style="thin">
        <color auto="1"/>
      </bottom>
      <diagonal/>
    </border>
    <border>
      <left style="hair">
        <color auto="1"/>
      </left>
      <right/>
      <top/>
      <bottom style="hair">
        <color auto="1"/>
      </bottom>
      <diagonal/>
    </border>
    <border>
      <left style="hair">
        <color auto="1"/>
      </left>
      <right/>
      <top/>
      <bottom style="thin">
        <color auto="1"/>
      </bottom>
      <diagonal/>
    </border>
    <border>
      <left style="thin">
        <color auto="1"/>
      </left>
      <right style="hair">
        <color auto="1"/>
      </right>
      <top/>
      <bottom/>
      <diagonal/>
    </border>
    <border>
      <left style="hair">
        <color auto="1"/>
      </left>
      <right style="thin">
        <color auto="1"/>
      </right>
      <top/>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thin">
        <color auto="1"/>
      </bottom>
      <diagonal/>
    </border>
    <border>
      <left style="thin">
        <color auto="1"/>
      </left>
      <right style="hair">
        <color auto="1"/>
      </right>
      <top/>
      <bottom style="thin">
        <color auto="1"/>
      </bottom>
      <diagonal/>
    </border>
    <border>
      <left style="hair">
        <color auto="1"/>
      </left>
      <right style="thin">
        <color auto="1"/>
      </right>
      <top/>
      <bottom style="thin">
        <color auto="1"/>
      </bottom>
      <diagonal/>
    </border>
    <border>
      <left style="hair">
        <color auto="1"/>
      </left>
      <right/>
      <top/>
      <bottom/>
      <diagonal/>
    </border>
    <border>
      <left/>
      <right style="hair">
        <color auto="1"/>
      </right>
      <top/>
      <bottom/>
      <diagonal/>
    </border>
    <border>
      <left/>
      <right style="hair">
        <color auto="1"/>
      </right>
      <top/>
      <bottom style="thin">
        <color auto="1"/>
      </bottom>
      <diagonal/>
    </border>
    <border>
      <left style="thin">
        <color auto="1"/>
      </left>
      <right style="hair">
        <color auto="1"/>
      </right>
      <top style="hair">
        <color auto="1"/>
      </top>
      <bottom/>
      <diagonal/>
    </border>
    <border>
      <left style="thin">
        <color auto="1"/>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diagonal/>
    </border>
    <border>
      <left/>
      <right style="thin">
        <color auto="1"/>
      </right>
      <top style="hair">
        <color auto="1"/>
      </top>
      <bottom/>
      <diagonal/>
    </border>
    <border diagonalDown="1">
      <left style="hair">
        <color auto="1"/>
      </left>
      <right style="hair">
        <color auto="1"/>
      </right>
      <top style="hair">
        <color auto="1"/>
      </top>
      <bottom style="hair">
        <color auto="1"/>
      </bottom>
      <diagonal style="hair">
        <color auto="1"/>
      </diagonal>
    </border>
    <border>
      <left style="hair">
        <color auto="1"/>
      </left>
      <right style="thin">
        <color auto="1"/>
      </right>
      <top style="hair">
        <color auto="1"/>
      </top>
      <bottom/>
      <diagonal/>
    </border>
    <border>
      <left style="thin">
        <color auto="1"/>
      </left>
      <right/>
      <top/>
      <bottom style="hair">
        <color auto="1"/>
      </bottom>
      <diagonal/>
    </border>
    <border diagonalDown="1">
      <left style="thin">
        <color auto="1"/>
      </left>
      <right style="hair">
        <color auto="1"/>
      </right>
      <top style="hair">
        <color auto="1"/>
      </top>
      <bottom style="hair">
        <color auto="1"/>
      </bottom>
      <diagonal style="hair">
        <color auto="1"/>
      </diagonal>
    </border>
    <border>
      <left/>
      <right style="hair">
        <color auto="1"/>
      </right>
      <top style="hair">
        <color auto="1"/>
      </top>
      <bottom/>
      <diagonal/>
    </border>
    <border diagonalDown="1">
      <left style="hair">
        <color auto="1"/>
      </left>
      <right style="thin">
        <color auto="1"/>
      </right>
      <top style="hair">
        <color auto="1"/>
      </top>
      <bottom style="hair">
        <color auto="1"/>
      </bottom>
      <diagonal style="hair">
        <color auto="1"/>
      </diagonal>
    </border>
    <border>
      <left/>
      <right/>
      <top style="hair">
        <color auto="1"/>
      </top>
      <bottom style="hair">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diagonal/>
    </border>
    <border>
      <left/>
      <right/>
      <top style="hair">
        <color auto="1"/>
      </top>
      <bottom style="thin">
        <color auto="1"/>
      </bottom>
      <diagonal/>
    </border>
    <border>
      <left/>
      <right/>
      <top style="thin">
        <color auto="1"/>
      </top>
      <bottom style="hair">
        <color auto="1"/>
      </bottom>
      <diagonal/>
    </border>
    <border>
      <left/>
      <right style="thin">
        <color auto="1"/>
      </right>
      <top style="hair">
        <color auto="1"/>
      </top>
      <bottom style="thin">
        <color auto="1"/>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auto="1"/>
      </right>
      <top style="medium">
        <color auto="1"/>
      </top>
      <bottom/>
      <diagonal/>
    </border>
    <border>
      <left style="thick">
        <color auto="1"/>
      </left>
      <right/>
      <top style="medium">
        <color auto="1"/>
      </top>
      <bottom/>
      <diagonal/>
    </border>
    <border>
      <left style="thick">
        <color auto="1"/>
      </left>
      <right/>
      <top/>
      <bottom style="thin">
        <color auto="1"/>
      </bottom>
      <diagonal/>
    </border>
    <border>
      <left style="thick">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thin">
        <color auto="1"/>
      </left>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bottom/>
      <diagonal/>
    </border>
    <border>
      <left style="thin">
        <color indexed="23"/>
      </left>
      <right style="thin">
        <color indexed="23"/>
      </right>
      <top/>
      <bottom style="thin">
        <color indexed="23"/>
      </bottom>
      <diagonal/>
    </border>
    <border>
      <left/>
      <right/>
      <top style="thin">
        <color indexed="23"/>
      </top>
      <bottom style="thin">
        <color indexed="23"/>
      </bottom>
      <diagonal/>
    </border>
    <border>
      <left/>
      <right/>
      <top/>
      <bottom style="double">
        <color auto="1"/>
      </bottom>
      <diagonal/>
    </border>
    <border>
      <left/>
      <right style="double">
        <color auto="1"/>
      </right>
      <top/>
      <bottom/>
      <diagonal/>
    </border>
    <border>
      <left/>
      <right style="double">
        <color auto="1"/>
      </right>
      <top/>
      <bottom style="double">
        <color auto="1"/>
      </bottom>
      <diagonal/>
    </border>
    <border>
      <left style="thin">
        <color auto="1"/>
      </left>
      <right style="medium">
        <color auto="1"/>
      </right>
      <top/>
      <bottom style="medium">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style="thin">
        <color indexed="64"/>
      </left>
      <right/>
      <top/>
      <bottom/>
      <diagonal/>
    </border>
    <border>
      <left style="hair">
        <color indexed="64"/>
      </left>
      <right/>
      <top style="thin">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top style="hair">
        <color indexed="64"/>
      </top>
      <bottom/>
      <diagonal/>
    </border>
    <border>
      <left/>
      <right/>
      <top style="thin">
        <color indexed="64"/>
      </top>
      <bottom style="thin">
        <color indexed="64"/>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hair">
        <color indexed="64"/>
      </right>
      <top style="thin">
        <color indexed="64"/>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hair">
        <color indexed="64"/>
      </right>
      <top style="thin">
        <color indexed="64"/>
      </top>
      <bottom/>
      <diagonal/>
    </border>
    <border>
      <left style="thin">
        <color indexed="64"/>
      </left>
      <right style="hair">
        <color indexed="64"/>
      </right>
      <top/>
      <bottom/>
      <diagonal/>
    </border>
    <border>
      <left style="hair">
        <color indexed="64"/>
      </left>
      <right/>
      <top style="thin">
        <color indexed="64"/>
      </top>
      <bottom/>
      <diagonal/>
    </border>
    <border>
      <left/>
      <right style="hair">
        <color indexed="64"/>
      </right>
      <top style="thin">
        <color indexed="64"/>
      </top>
      <bottom/>
      <diagonal/>
    </border>
    <border>
      <left style="hair">
        <color indexed="64"/>
      </left>
      <right/>
      <top/>
      <bottom style="thin">
        <color indexed="64"/>
      </bottom>
      <diagonal/>
    </border>
    <border>
      <left style="medium">
        <color indexed="30"/>
      </left>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double">
        <color auto="1"/>
      </left>
      <right/>
      <top style="medium">
        <color indexed="64"/>
      </top>
      <bottom/>
      <diagonal/>
    </border>
    <border>
      <left style="double">
        <color auto="1"/>
      </left>
      <right/>
      <top/>
      <bottom style="medium">
        <color auto="1"/>
      </bottom>
      <diagonal/>
    </border>
  </borders>
  <cellStyleXfs count="8">
    <xf numFmtId="0" fontId="0" fillId="0" borderId="0"/>
    <xf numFmtId="0" fontId="300" fillId="0" borderId="0" applyNumberFormat="0" applyFill="0" applyBorder="0" applyAlignment="0" applyProtection="0">
      <alignment vertical="top"/>
      <protection locked="0"/>
    </xf>
    <xf numFmtId="9" fontId="160" fillId="0" borderId="0" applyFont="0" applyFill="0" applyBorder="0" applyAlignment="0" applyProtection="0"/>
    <xf numFmtId="0" fontId="160" fillId="0" borderId="0">
      <alignment vertical="center"/>
    </xf>
    <xf numFmtId="0" fontId="160" fillId="0" borderId="0"/>
    <xf numFmtId="0" fontId="160" fillId="0" borderId="0">
      <alignment vertical="center"/>
    </xf>
    <xf numFmtId="0" fontId="160" fillId="0" borderId="0">
      <alignment vertical="center"/>
    </xf>
    <xf numFmtId="0" fontId="2" fillId="0" borderId="0">
      <alignment vertical="center"/>
    </xf>
  </cellStyleXfs>
  <cellXfs count="4762">
    <xf numFmtId="0" fontId="0" fillId="0" borderId="0" xfId="0"/>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7" fillId="4" borderId="15" xfId="0" applyFont="1" applyFill="1" applyBorder="1" applyAlignment="1">
      <alignment horizontal="left" vertical="center" wrapText="1"/>
    </xf>
    <xf numFmtId="0" fontId="8" fillId="4" borderId="16" xfId="0" applyFont="1" applyFill="1" applyBorder="1" applyAlignment="1">
      <alignment horizontal="left" vertical="center" wrapText="1"/>
    </xf>
    <xf numFmtId="0" fontId="9" fillId="4" borderId="16" xfId="0" applyFont="1" applyFill="1" applyBorder="1" applyAlignment="1">
      <alignment horizontal="center" vertical="center" wrapText="1"/>
    </xf>
    <xf numFmtId="0" fontId="8"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8" fillId="0" borderId="0" xfId="0" applyFont="1" applyFill="1" applyBorder="1" applyAlignment="1">
      <alignment horizontal="justify" vertical="center"/>
    </xf>
    <xf numFmtId="0" fontId="11" fillId="0" borderId="0" xfId="0" applyFont="1" applyFill="1" applyBorder="1" applyAlignment="1">
      <alignment horizontal="left" vertical="center"/>
    </xf>
    <xf numFmtId="0" fontId="5" fillId="2" borderId="17" xfId="0" applyFont="1" applyFill="1" applyBorder="1" applyAlignment="1">
      <alignment horizontal="center" vertical="center" wrapText="1"/>
    </xf>
    <xf numFmtId="0" fontId="4" fillId="2" borderId="19"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18" xfId="0" applyFont="1" applyFill="1" applyBorder="1" applyAlignment="1">
      <alignment horizontal="center" vertical="center" wrapText="1"/>
    </xf>
    <xf numFmtId="0" fontId="4" fillId="2" borderId="18" xfId="0" applyFont="1" applyFill="1" applyBorder="1" applyAlignment="1">
      <alignment horizontal="center" vertical="center" wrapText="1"/>
    </xf>
    <xf numFmtId="0" fontId="10" fillId="4" borderId="16" xfId="0" applyFont="1" applyFill="1" applyBorder="1" applyAlignment="1">
      <alignment horizontal="center" vertical="center" wrapText="1"/>
    </xf>
    <xf numFmtId="0" fontId="10" fillId="0" borderId="16" xfId="0" applyFont="1" applyFill="1" applyBorder="1" applyAlignment="1">
      <alignment horizontal="center" vertical="center" wrapText="1"/>
    </xf>
    <xf numFmtId="0" fontId="9" fillId="4" borderId="33" xfId="0" applyFont="1" applyFill="1" applyBorder="1" applyAlignment="1">
      <alignment horizontal="center" vertical="center" wrapText="1"/>
    </xf>
    <xf numFmtId="0" fontId="9" fillId="0" borderId="33" xfId="0" applyFont="1" applyFill="1" applyBorder="1" applyAlignment="1">
      <alignment horizontal="center" vertical="center" wrapText="1"/>
    </xf>
    <xf numFmtId="0" fontId="10" fillId="0" borderId="33" xfId="0" applyFont="1" applyFill="1" applyBorder="1" applyAlignment="1">
      <alignment horizontal="center" vertical="center" wrapText="1"/>
    </xf>
    <xf numFmtId="0" fontId="12" fillId="0" borderId="0" xfId="0" applyFont="1" applyFill="1" applyAlignment="1">
      <alignment horizontal="center" vertical="center" wrapText="1"/>
    </xf>
    <xf numFmtId="0" fontId="12" fillId="6" borderId="0"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12" fillId="6" borderId="0" xfId="0" applyFont="1" applyFill="1" applyAlignment="1">
      <alignment horizontal="center" vertical="center" wrapText="1"/>
    </xf>
    <xf numFmtId="0" fontId="12" fillId="6" borderId="3" xfId="0" applyFont="1" applyFill="1" applyBorder="1" applyAlignment="1">
      <alignment horizontal="center" vertical="center" wrapText="1"/>
    </xf>
    <xf numFmtId="0" fontId="12" fillId="7" borderId="37" xfId="0" applyFont="1" applyFill="1" applyBorder="1" applyAlignment="1">
      <alignment horizontal="center" vertical="center" wrapText="1"/>
    </xf>
    <xf numFmtId="0" fontId="12" fillId="7" borderId="0" xfId="0" applyFont="1" applyFill="1" applyAlignment="1">
      <alignment horizontal="center" vertical="center" wrapText="1"/>
    </xf>
    <xf numFmtId="0" fontId="12" fillId="6" borderId="35" xfId="0" applyFont="1" applyFill="1" applyBorder="1" applyAlignment="1">
      <alignment horizontal="center" vertical="center" wrapText="1"/>
    </xf>
    <xf numFmtId="0" fontId="12" fillId="8" borderId="35" xfId="0" applyFont="1" applyFill="1" applyBorder="1" applyAlignment="1">
      <alignment horizontal="center" vertical="center" wrapText="1"/>
    </xf>
    <xf numFmtId="0" fontId="12" fillId="0" borderId="3" xfId="0" applyFont="1" applyFill="1" applyBorder="1" applyAlignment="1">
      <alignment horizontal="center" vertical="center" wrapText="1"/>
    </xf>
    <xf numFmtId="0" fontId="12" fillId="6" borderId="21" xfId="0" applyFont="1" applyFill="1" applyBorder="1" applyAlignment="1">
      <alignment horizontal="center" vertical="center" wrapText="1"/>
    </xf>
    <xf numFmtId="0" fontId="12" fillId="0" borderId="22" xfId="0" applyFont="1" applyFill="1" applyBorder="1" applyAlignment="1">
      <alignment horizontal="center" vertical="center" wrapText="1"/>
    </xf>
    <xf numFmtId="0" fontId="12" fillId="0" borderId="21" xfId="0" applyFont="1" applyFill="1" applyBorder="1" applyAlignment="1">
      <alignment horizontal="center" vertical="center" wrapText="1"/>
    </xf>
    <xf numFmtId="0" fontId="12" fillId="9" borderId="0" xfId="0" applyFont="1" applyFill="1" applyAlignment="1">
      <alignment horizontal="center" vertical="center" wrapText="1"/>
    </xf>
    <xf numFmtId="0" fontId="12" fillId="6" borderId="36" xfId="0" applyFont="1" applyFill="1" applyBorder="1" applyAlignment="1">
      <alignment horizontal="center" vertical="center" wrapText="1"/>
    </xf>
    <xf numFmtId="0" fontId="12" fillId="0" borderId="36" xfId="0" applyFont="1" applyFill="1" applyBorder="1" applyAlignment="1">
      <alignment horizontal="center" vertical="center" wrapText="1"/>
    </xf>
    <xf numFmtId="0" fontId="12" fillId="0" borderId="35" xfId="0" applyFont="1" applyFill="1" applyBorder="1" applyAlignment="1">
      <alignment horizontal="center" vertical="center" wrapText="1"/>
    </xf>
    <xf numFmtId="0" fontId="12" fillId="7" borderId="35" xfId="0" applyFont="1" applyFill="1" applyBorder="1" applyAlignment="1">
      <alignment horizontal="center" vertical="center" wrapText="1"/>
    </xf>
    <xf numFmtId="0" fontId="12" fillId="0" borderId="29" xfId="0" applyFont="1" applyFill="1" applyBorder="1" applyAlignment="1">
      <alignment horizontal="center" vertical="center" wrapText="1"/>
    </xf>
    <xf numFmtId="0" fontId="15" fillId="0" borderId="0" xfId="0" applyFont="1" applyFill="1" applyAlignment="1">
      <alignment horizontal="center" vertical="center" wrapText="1"/>
    </xf>
    <xf numFmtId="0" fontId="12" fillId="0" borderId="34" xfId="0" applyFont="1" applyFill="1" applyBorder="1" applyAlignment="1">
      <alignment horizontal="center" vertical="center" wrapText="1"/>
    </xf>
    <xf numFmtId="0" fontId="16" fillId="0" borderId="0" xfId="0" applyFont="1"/>
    <xf numFmtId="0" fontId="0" fillId="10" borderId="0" xfId="0" applyFill="1"/>
    <xf numFmtId="0" fontId="17" fillId="10" borderId="0" xfId="0" applyFont="1" applyFill="1" applyAlignment="1">
      <alignment horizontal="right"/>
    </xf>
    <xf numFmtId="0" fontId="0" fillId="11" borderId="0" xfId="0" applyFill="1"/>
    <xf numFmtId="0" fontId="17" fillId="10" borderId="0" xfId="0" applyFont="1" applyFill="1"/>
    <xf numFmtId="0" fontId="18" fillId="10" borderId="0" xfId="0" applyFont="1" applyFill="1"/>
    <xf numFmtId="0" fontId="0" fillId="11" borderId="0" xfId="0" applyNumberFormat="1" applyFill="1"/>
    <xf numFmtId="0" fontId="0" fillId="10" borderId="0" xfId="0" applyFill="1" applyAlignment="1"/>
    <xf numFmtId="0" fontId="19" fillId="10" borderId="0" xfId="0" applyFont="1" applyFill="1"/>
    <xf numFmtId="9" fontId="0" fillId="11" borderId="0" xfId="0" applyNumberFormat="1" applyFill="1"/>
    <xf numFmtId="0" fontId="0" fillId="0" borderId="0" xfId="0" applyFill="1"/>
    <xf numFmtId="0" fontId="18" fillId="0" borderId="0" xfId="0" applyFont="1" applyFill="1"/>
    <xf numFmtId="0" fontId="0" fillId="0" borderId="0" xfId="0" applyNumberFormat="1" applyFill="1"/>
    <xf numFmtId="0" fontId="18" fillId="0" borderId="0" xfId="0" applyFont="1" applyFill="1" applyAlignment="1">
      <alignment horizontal="right"/>
    </xf>
    <xf numFmtId="0" fontId="0" fillId="0" borderId="0" xfId="0" applyFont="1"/>
    <xf numFmtId="0" fontId="0" fillId="0" borderId="0" xfId="0" applyFont="1" applyAlignment="1">
      <alignment horizontal="right"/>
    </xf>
    <xf numFmtId="0" fontId="0" fillId="0" borderId="0" xfId="0" applyFont="1" applyAlignment="1">
      <alignment horizontal="left"/>
    </xf>
    <xf numFmtId="0" fontId="0" fillId="0" borderId="0" xfId="0" applyFont="1" applyAlignment="1">
      <alignment vertical="center"/>
    </xf>
    <xf numFmtId="0" fontId="0" fillId="0" borderId="0" xfId="0" applyAlignment="1">
      <alignment horizontal="right" vertical="center"/>
    </xf>
    <xf numFmtId="49" fontId="0" fillId="0" borderId="0" xfId="0" applyNumberFormat="1"/>
    <xf numFmtId="0" fontId="0" fillId="0" borderId="0" xfId="0" applyAlignment="1">
      <alignment horizontal="right"/>
    </xf>
    <xf numFmtId="0" fontId="0" fillId="0" borderId="0" xfId="0" applyAlignment="1">
      <alignment horizontal="left"/>
    </xf>
    <xf numFmtId="0" fontId="0" fillId="0" borderId="0" xfId="0" applyAlignment="1">
      <alignment wrapText="1"/>
    </xf>
    <xf numFmtId="0" fontId="17" fillId="0" borderId="0" xfId="0" applyFont="1"/>
    <xf numFmtId="0" fontId="0" fillId="0" borderId="0" xfId="0" applyAlignment="1"/>
    <xf numFmtId="0" fontId="0" fillId="0" borderId="0" xfId="0" applyAlignment="1">
      <alignment horizontal="center"/>
    </xf>
    <xf numFmtId="0" fontId="16" fillId="0" borderId="0" xfId="0" applyFont="1" applyAlignment="1">
      <alignment horizontal="center"/>
    </xf>
    <xf numFmtId="0" fontId="18" fillId="10" borderId="0" xfId="0" applyFont="1" applyFill="1" applyAlignment="1">
      <alignment horizontal="right"/>
    </xf>
    <xf numFmtId="0" fontId="0" fillId="6" borderId="0" xfId="0" applyFill="1"/>
    <xf numFmtId="0" fontId="18" fillId="6" borderId="0" xfId="0" applyFont="1" applyFill="1" applyAlignment="1">
      <alignment horizontal="right"/>
    </xf>
    <xf numFmtId="0" fontId="0" fillId="6" borderId="0" xfId="0" applyNumberFormat="1" applyFill="1"/>
    <xf numFmtId="0" fontId="0" fillId="0" borderId="0" xfId="0" applyFont="1" applyFill="1" applyBorder="1"/>
    <xf numFmtId="0" fontId="0" fillId="0" borderId="0" xfId="0" applyFont="1" applyFill="1" applyBorder="1" applyAlignment="1">
      <alignment horizontal="left"/>
    </xf>
    <xf numFmtId="0" fontId="20" fillId="0" borderId="0" xfId="0" applyFont="1"/>
    <xf numFmtId="0" fontId="0" fillId="10" borderId="0" xfId="0" applyFill="1" applyAlignment="1">
      <alignment vertical="center"/>
    </xf>
    <xf numFmtId="0" fontId="17" fillId="10" borderId="0" xfId="0" applyFont="1" applyFill="1" applyAlignment="1">
      <alignment horizontal="right" vertical="center"/>
    </xf>
    <xf numFmtId="0" fontId="0" fillId="11" borderId="0" xfId="0" applyFill="1" applyAlignment="1">
      <alignment vertical="center"/>
    </xf>
    <xf numFmtId="0" fontId="0" fillId="10" borderId="0" xfId="0" applyFill="1" applyAlignment="1">
      <alignment vertical="center" wrapText="1"/>
    </xf>
    <xf numFmtId="0" fontId="21" fillId="10" borderId="0" xfId="0" applyFont="1" applyFill="1" applyAlignment="1">
      <alignment horizontal="right" vertical="center"/>
    </xf>
    <xf numFmtId="0" fontId="22" fillId="0" borderId="0" xfId="0" applyFont="1" applyAlignment="1"/>
    <xf numFmtId="0" fontId="0" fillId="0" borderId="0" xfId="0" applyAlignment="1">
      <alignment vertical="center"/>
    </xf>
    <xf numFmtId="0" fontId="20" fillId="0" borderId="0" xfId="0" applyFont="1" applyAlignment="1">
      <alignment horizontal="right" vertical="center"/>
    </xf>
    <xf numFmtId="0" fontId="0" fillId="0" borderId="0" xfId="0" applyFill="1" applyBorder="1"/>
    <xf numFmtId="0" fontId="17" fillId="0" borderId="0" xfId="0" applyFont="1" applyAlignment="1">
      <alignment horizontal="right" vertical="center"/>
    </xf>
    <xf numFmtId="0" fontId="0" fillId="10" borderId="35" xfId="0" applyFill="1" applyBorder="1" applyAlignment="1">
      <alignment vertical="center"/>
    </xf>
    <xf numFmtId="0" fontId="17" fillId="10" borderId="35" xfId="0" applyFont="1" applyFill="1" applyBorder="1" applyAlignment="1">
      <alignment horizontal="right" vertical="center"/>
    </xf>
    <xf numFmtId="0" fontId="0" fillId="11" borderId="35" xfId="0" applyFill="1" applyBorder="1" applyAlignment="1">
      <alignment vertical="center"/>
    </xf>
    <xf numFmtId="0" fontId="17" fillId="10" borderId="35" xfId="0" applyFont="1" applyFill="1" applyBorder="1" applyAlignment="1">
      <alignment vertical="center"/>
    </xf>
    <xf numFmtId="0" fontId="0" fillId="12" borderId="0" xfId="0" applyFill="1" applyAlignment="1">
      <alignment vertical="center"/>
    </xf>
    <xf numFmtId="0" fontId="17" fillId="13" borderId="38" xfId="0" applyFont="1" applyFill="1" applyBorder="1" applyAlignment="1">
      <alignment vertical="center"/>
    </xf>
    <xf numFmtId="0" fontId="17" fillId="13" borderId="39" xfId="0" applyFont="1" applyFill="1" applyBorder="1" applyAlignment="1">
      <alignment vertical="center"/>
    </xf>
    <xf numFmtId="0" fontId="18" fillId="10" borderId="35" xfId="0" applyFont="1" applyFill="1" applyBorder="1" applyAlignment="1">
      <alignment vertical="center"/>
    </xf>
    <xf numFmtId="0" fontId="0" fillId="11" borderId="35" xfId="0" applyNumberFormat="1" applyFill="1" applyBorder="1" applyAlignment="1">
      <alignment vertical="center"/>
    </xf>
    <xf numFmtId="0" fontId="0" fillId="0" borderId="0" xfId="0" applyFill="1" applyAlignment="1">
      <alignment vertical="center"/>
    </xf>
    <xf numFmtId="0" fontId="18" fillId="0" borderId="0" xfId="0" applyFont="1" applyFill="1" applyAlignment="1">
      <alignment vertical="center"/>
    </xf>
    <xf numFmtId="0" fontId="0" fillId="0" borderId="0" xfId="0" applyNumberFormat="1" applyFill="1" applyAlignment="1">
      <alignment vertical="center"/>
    </xf>
    <xf numFmtId="0" fontId="17" fillId="13" borderId="40" xfId="0" applyFont="1" applyFill="1" applyBorder="1" applyAlignment="1">
      <alignment vertical="center"/>
    </xf>
    <xf numFmtId="0" fontId="0" fillId="13" borderId="2" xfId="0" applyFont="1" applyFill="1" applyBorder="1" applyAlignment="1">
      <alignment vertical="center"/>
    </xf>
    <xf numFmtId="0" fontId="0" fillId="0" borderId="28" xfId="0" applyBorder="1" applyAlignment="1">
      <alignment vertical="center"/>
    </xf>
    <xf numFmtId="0" fontId="0" fillId="0" borderId="22" xfId="0" applyBorder="1" applyAlignment="1">
      <alignment vertical="center"/>
    </xf>
    <xf numFmtId="0" fontId="0" fillId="0" borderId="34" xfId="0" applyBorder="1" applyAlignment="1">
      <alignment vertical="center"/>
    </xf>
    <xf numFmtId="0" fontId="0" fillId="0" borderId="0" xfId="0" applyBorder="1" applyAlignment="1">
      <alignment horizontal="right" vertical="center"/>
    </xf>
    <xf numFmtId="0" fontId="0" fillId="0" borderId="0" xfId="0" applyBorder="1" applyAlignment="1">
      <alignment vertical="center"/>
    </xf>
    <xf numFmtId="0" fontId="0" fillId="0" borderId="29" xfId="0" applyBorder="1" applyAlignment="1">
      <alignment vertical="center"/>
    </xf>
    <xf numFmtId="0" fontId="0" fillId="0" borderId="22" xfId="0" applyBorder="1" applyAlignment="1">
      <alignment horizontal="right" vertical="center"/>
    </xf>
    <xf numFmtId="0" fontId="0" fillId="13" borderId="22" xfId="0" applyFill="1" applyBorder="1" applyAlignment="1">
      <alignment vertical="center"/>
    </xf>
    <xf numFmtId="0" fontId="0" fillId="0" borderId="2" xfId="0" applyBorder="1" applyAlignment="1">
      <alignment horizontal="right" vertical="center"/>
    </xf>
    <xf numFmtId="0" fontId="0" fillId="0" borderId="2" xfId="0" applyBorder="1" applyAlignment="1">
      <alignment vertical="center"/>
    </xf>
    <xf numFmtId="0" fontId="0" fillId="0" borderId="21" xfId="0" applyBorder="1" applyAlignment="1">
      <alignment vertical="center"/>
    </xf>
    <xf numFmtId="0" fontId="0" fillId="0" borderId="41" xfId="0" applyBorder="1" applyAlignment="1">
      <alignment vertical="center"/>
    </xf>
    <xf numFmtId="0" fontId="17" fillId="0" borderId="2" xfId="0" applyFont="1" applyBorder="1" applyAlignment="1">
      <alignment horizontal="right" vertical="center"/>
    </xf>
    <xf numFmtId="0" fontId="23" fillId="0" borderId="2" xfId="0" applyFont="1" applyFill="1" applyBorder="1" applyAlignment="1">
      <alignment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2" xfId="0" applyFill="1" applyBorder="1" applyAlignment="1">
      <alignment vertical="center"/>
    </xf>
    <xf numFmtId="0" fontId="17" fillId="0" borderId="42" xfId="0" applyFont="1" applyBorder="1" applyAlignment="1">
      <alignment horizontal="right" vertical="center"/>
    </xf>
    <xf numFmtId="0" fontId="0" fillId="8" borderId="42" xfId="0" applyFill="1" applyBorder="1" applyAlignment="1">
      <alignment horizontal="center" vertical="center"/>
    </xf>
    <xf numFmtId="0" fontId="0" fillId="0" borderId="43" xfId="0" applyBorder="1" applyAlignment="1">
      <alignment vertical="center"/>
    </xf>
    <xf numFmtId="0" fontId="17" fillId="0" borderId="0" xfId="0" applyFont="1" applyAlignment="1">
      <alignment vertical="center"/>
    </xf>
    <xf numFmtId="0" fontId="0" fillId="13" borderId="34" xfId="0" applyFill="1" applyBorder="1" applyAlignment="1">
      <alignment vertical="center"/>
    </xf>
    <xf numFmtId="0" fontId="0" fillId="13" borderId="35" xfId="0" applyFill="1" applyBorder="1" applyAlignment="1">
      <alignment vertical="center"/>
    </xf>
    <xf numFmtId="0" fontId="0" fillId="11" borderId="44" xfId="0" applyFont="1" applyFill="1" applyBorder="1" applyAlignment="1">
      <alignment vertical="center"/>
    </xf>
    <xf numFmtId="0" fontId="17" fillId="13" borderId="45" xfId="0" applyFont="1" applyFill="1" applyBorder="1" applyAlignment="1">
      <alignment vertical="center"/>
    </xf>
    <xf numFmtId="0" fontId="0" fillId="11" borderId="35" xfId="0" applyFont="1" applyFill="1" applyBorder="1" applyAlignment="1">
      <alignment vertical="center"/>
    </xf>
    <xf numFmtId="0" fontId="0" fillId="13" borderId="46" xfId="0" applyFill="1" applyBorder="1" applyAlignment="1">
      <alignment vertical="center"/>
    </xf>
    <xf numFmtId="0" fontId="0" fillId="14" borderId="35" xfId="0" applyFill="1" applyBorder="1" applyAlignment="1">
      <alignment vertical="center"/>
    </xf>
    <xf numFmtId="0" fontId="17" fillId="13" borderId="46" xfId="0" applyFont="1" applyFill="1" applyBorder="1" applyAlignment="1">
      <alignment vertical="center"/>
    </xf>
    <xf numFmtId="0" fontId="0" fillId="14" borderId="47" xfId="0" applyFill="1" applyBorder="1" applyAlignment="1">
      <alignment vertical="center"/>
    </xf>
    <xf numFmtId="0" fontId="17" fillId="13" borderId="48" xfId="0" applyFont="1" applyFill="1" applyBorder="1" applyAlignment="1">
      <alignment vertical="center"/>
    </xf>
    <xf numFmtId="0" fontId="0" fillId="0" borderId="0" xfId="0" applyFill="1" applyBorder="1" applyAlignment="1">
      <alignment vertical="center"/>
    </xf>
    <xf numFmtId="0" fontId="17" fillId="0" borderId="42" xfId="0" applyFont="1" applyBorder="1" applyAlignment="1">
      <alignment vertical="center"/>
    </xf>
    <xf numFmtId="0" fontId="0" fillId="13" borderId="42" xfId="0" applyFill="1" applyBorder="1" applyAlignment="1">
      <alignment vertical="center"/>
    </xf>
    <xf numFmtId="0" fontId="0" fillId="0" borderId="0" xfId="0" applyNumberFormat="1" applyAlignment="1">
      <alignment vertical="center" textRotation="255"/>
    </xf>
    <xf numFmtId="0" fontId="0" fillId="10" borderId="35" xfId="0" applyFill="1" applyBorder="1"/>
    <xf numFmtId="0" fontId="17" fillId="10" borderId="35" xfId="0" applyFont="1" applyFill="1" applyBorder="1" applyAlignment="1">
      <alignment horizontal="right"/>
    </xf>
    <xf numFmtId="0" fontId="0" fillId="8" borderId="35" xfId="0" applyFill="1" applyBorder="1"/>
    <xf numFmtId="0" fontId="17" fillId="10" borderId="35" xfId="0" applyFont="1" applyFill="1" applyBorder="1"/>
    <xf numFmtId="0" fontId="0" fillId="7" borderId="35" xfId="0" applyFill="1" applyBorder="1"/>
    <xf numFmtId="0" fontId="18" fillId="10" borderId="35" xfId="0" applyFont="1" applyFill="1" applyBorder="1" applyAlignment="1">
      <alignment horizontal="right"/>
    </xf>
    <xf numFmtId="0" fontId="0" fillId="8" borderId="35" xfId="0" applyNumberFormat="1" applyFill="1" applyBorder="1"/>
    <xf numFmtId="9" fontId="0" fillId="8" borderId="35" xfId="0" applyNumberFormat="1" applyFill="1" applyBorder="1"/>
    <xf numFmtId="0" fontId="0" fillId="7" borderId="35" xfId="0" applyNumberFormat="1" applyFill="1" applyBorder="1"/>
    <xf numFmtId="0" fontId="0" fillId="0" borderId="49" xfId="0" applyFont="1" applyBorder="1"/>
    <xf numFmtId="0" fontId="0" fillId="0" borderId="2" xfId="0" applyBorder="1"/>
    <xf numFmtId="0" fontId="0" fillId="0" borderId="50" xfId="0" applyFont="1" applyBorder="1"/>
    <xf numFmtId="0" fontId="0" fillId="0" borderId="50" xfId="0" applyFont="1" applyBorder="1" applyAlignment="1">
      <alignment horizontal="right"/>
    </xf>
    <xf numFmtId="0" fontId="0" fillId="0" borderId="50" xfId="0" applyFont="1" applyFill="1" applyBorder="1" applyAlignment="1">
      <alignment horizontal="left"/>
    </xf>
    <xf numFmtId="0" fontId="0" fillId="0" borderId="22" xfId="0" applyBorder="1"/>
    <xf numFmtId="0" fontId="0" fillId="0" borderId="0" xfId="0" applyNumberFormat="1" applyFont="1" applyAlignment="1">
      <alignment vertical="center" textRotation="255"/>
    </xf>
    <xf numFmtId="0" fontId="20" fillId="7" borderId="0" xfId="0" applyFont="1" applyFill="1"/>
    <xf numFmtId="0" fontId="0" fillId="7" borderId="0" xfId="0" applyFont="1" applyFill="1"/>
    <xf numFmtId="0" fontId="0" fillId="7" borderId="0" xfId="0" applyFill="1"/>
    <xf numFmtId="0" fontId="0" fillId="0" borderId="22" xfId="0" applyBorder="1" applyAlignment="1">
      <alignment horizontal="right"/>
    </xf>
    <xf numFmtId="0" fontId="0" fillId="7" borderId="22" xfId="0" applyFill="1" applyBorder="1"/>
    <xf numFmtId="0" fontId="0" fillId="0" borderId="2" xfId="0" applyBorder="1" applyAlignment="1">
      <alignment horizontal="right"/>
    </xf>
    <xf numFmtId="0" fontId="0" fillId="0" borderId="49" xfId="0" applyBorder="1"/>
    <xf numFmtId="0" fontId="0" fillId="0" borderId="28" xfId="0" applyBorder="1"/>
    <xf numFmtId="0" fontId="0" fillId="0" borderId="29" xfId="0" applyBorder="1"/>
    <xf numFmtId="0" fontId="0" fillId="0" borderId="34" xfId="0" applyBorder="1"/>
    <xf numFmtId="0" fontId="18" fillId="0" borderId="0" xfId="0" applyFont="1" applyAlignment="1">
      <alignment horizontal="right" vertical="center"/>
    </xf>
    <xf numFmtId="0" fontId="0" fillId="0" borderId="0" xfId="0" applyNumberFormat="1" applyAlignment="1">
      <alignment horizontal="center" vertical="center" textRotation="255"/>
    </xf>
    <xf numFmtId="0" fontId="17" fillId="14" borderId="0" xfId="0" applyFont="1" applyFill="1"/>
    <xf numFmtId="0" fontId="0" fillId="14" borderId="0" xfId="0" applyFill="1"/>
    <xf numFmtId="0" fontId="0" fillId="0" borderId="51" xfId="0" applyBorder="1"/>
    <xf numFmtId="0" fontId="17" fillId="0" borderId="0" xfId="0" applyFont="1" applyAlignment="1">
      <alignment horizontal="right"/>
    </xf>
    <xf numFmtId="0" fontId="23" fillId="0" borderId="0" xfId="0" applyFont="1" applyFill="1" applyBorder="1"/>
    <xf numFmtId="0" fontId="22" fillId="0" borderId="0" xfId="0" applyFont="1" applyAlignment="1">
      <alignment horizontal="right"/>
    </xf>
    <xf numFmtId="0" fontId="22" fillId="15" borderId="0" xfId="0" applyFont="1" applyFill="1" applyAlignment="1">
      <alignment horizontal="right" wrapText="1"/>
    </xf>
    <xf numFmtId="0" fontId="0" fillId="15" borderId="0" xfId="0" applyFill="1" applyAlignment="1">
      <alignment horizontal="right"/>
    </xf>
    <xf numFmtId="0" fontId="0" fillId="15" borderId="0" xfId="0" applyFill="1" applyAlignment="1"/>
    <xf numFmtId="0" fontId="22" fillId="0" borderId="0" xfId="0" applyFont="1" applyFill="1" applyAlignment="1">
      <alignment horizontal="right" wrapText="1"/>
    </xf>
    <xf numFmtId="0" fontId="0" fillId="0" borderId="0" xfId="0" applyFill="1" applyAlignment="1">
      <alignment horizontal="right"/>
    </xf>
    <xf numFmtId="0" fontId="0" fillId="0" borderId="0" xfId="0" applyFill="1" applyAlignment="1"/>
    <xf numFmtId="0" fontId="0" fillId="15" borderId="0" xfId="0" applyFill="1" applyBorder="1" applyAlignment="1"/>
    <xf numFmtId="0" fontId="0" fillId="0" borderId="0" xfId="0" applyFill="1" applyBorder="1" applyAlignment="1"/>
    <xf numFmtId="0" fontId="22" fillId="15" borderId="0" xfId="0" applyFont="1" applyFill="1" applyAlignment="1">
      <alignment horizontal="right"/>
    </xf>
    <xf numFmtId="0" fontId="0" fillId="15" borderId="0" xfId="0" applyFill="1"/>
    <xf numFmtId="0" fontId="22" fillId="0" borderId="0" xfId="0" applyFont="1" applyFill="1" applyAlignment="1">
      <alignment horizontal="right"/>
    </xf>
    <xf numFmtId="0" fontId="24" fillId="0" borderId="0" xfId="0" applyFont="1" applyFill="1" applyAlignment="1">
      <alignment horizontal="right"/>
    </xf>
    <xf numFmtId="0" fontId="24" fillId="0" borderId="0" xfId="0" applyFont="1" applyFill="1" applyAlignment="1"/>
    <xf numFmtId="0" fontId="22" fillId="0" borderId="3" xfId="0" applyFont="1" applyBorder="1" applyAlignment="1">
      <alignment horizontal="right"/>
    </xf>
    <xf numFmtId="0" fontId="22" fillId="15" borderId="39" xfId="0" applyFont="1" applyFill="1" applyBorder="1" applyAlignment="1">
      <alignment horizontal="right"/>
    </xf>
    <xf numFmtId="0" fontId="0" fillId="8" borderId="35" xfId="0" applyFill="1" applyBorder="1" applyAlignment="1">
      <alignment horizontal="center" vertical="center"/>
    </xf>
    <xf numFmtId="0" fontId="22" fillId="0" borderId="39" xfId="0" applyFont="1" applyBorder="1" applyAlignment="1">
      <alignment horizontal="right"/>
    </xf>
    <xf numFmtId="0" fontId="22" fillId="15" borderId="39" xfId="0" applyFont="1" applyFill="1" applyBorder="1" applyAlignment="1">
      <alignment horizontal="right" wrapText="1"/>
    </xf>
    <xf numFmtId="178" fontId="0" fillId="7" borderId="35" xfId="0" applyNumberFormat="1" applyFill="1" applyBorder="1"/>
    <xf numFmtId="0" fontId="22" fillId="0" borderId="40" xfId="0" applyFont="1" applyBorder="1" applyAlignment="1">
      <alignment horizontal="right"/>
    </xf>
    <xf numFmtId="178" fontId="0" fillId="7" borderId="47" xfId="0" applyNumberFormat="1" applyFill="1" applyBorder="1"/>
    <xf numFmtId="0" fontId="22" fillId="0" borderId="52" xfId="0" applyFont="1" applyBorder="1" applyAlignment="1">
      <alignment horizontal="right"/>
    </xf>
    <xf numFmtId="0" fontId="0" fillId="8" borderId="36" xfId="0" applyFill="1" applyBorder="1" applyAlignment="1">
      <alignment horizontal="center" vertical="center"/>
    </xf>
    <xf numFmtId="0" fontId="22" fillId="0" borderId="39" xfId="0" applyFont="1" applyBorder="1" applyAlignment="1">
      <alignment horizontal="right" wrapText="1"/>
    </xf>
    <xf numFmtId="0" fontId="0" fillId="7" borderId="47" xfId="0" applyFill="1" applyBorder="1"/>
    <xf numFmtId="0" fontId="22" fillId="15" borderId="36" xfId="0" applyFont="1" applyFill="1" applyBorder="1" applyAlignment="1">
      <alignment horizontal="center" vertical="center"/>
    </xf>
    <xf numFmtId="0" fontId="22" fillId="0" borderId="35" xfId="0" applyFont="1" applyBorder="1" applyAlignment="1">
      <alignment horizontal="center" vertical="center"/>
    </xf>
    <xf numFmtId="0" fontId="22" fillId="15" borderId="35" xfId="0" applyFont="1" applyFill="1" applyBorder="1" applyAlignment="1">
      <alignment horizontal="center" vertical="center"/>
    </xf>
    <xf numFmtId="0" fontId="22" fillId="15" borderId="35" xfId="0" applyFont="1" applyFill="1" applyBorder="1" applyAlignment="1">
      <alignment horizontal="center" vertical="center" wrapText="1"/>
    </xf>
    <xf numFmtId="0" fontId="22" fillId="15" borderId="35" xfId="0" applyFont="1" applyFill="1" applyBorder="1" applyAlignment="1">
      <alignment horizontal="right"/>
    </xf>
    <xf numFmtId="0" fontId="22" fillId="0" borderId="35" xfId="0" applyFont="1" applyBorder="1" applyAlignment="1">
      <alignment horizontal="right"/>
    </xf>
    <xf numFmtId="0" fontId="22" fillId="15" borderId="52" xfId="0" applyFont="1" applyFill="1" applyBorder="1" applyAlignment="1">
      <alignment horizontal="center" vertical="center"/>
    </xf>
    <xf numFmtId="0" fontId="22" fillId="0" borderId="39" xfId="0" applyFont="1" applyBorder="1" applyAlignment="1">
      <alignment horizontal="center" vertical="center"/>
    </xf>
    <xf numFmtId="0" fontId="22" fillId="15" borderId="39" xfId="0" applyFont="1" applyFill="1" applyBorder="1" applyAlignment="1">
      <alignment horizontal="center" vertical="center"/>
    </xf>
    <xf numFmtId="0" fontId="22" fillId="0" borderId="39" xfId="0" applyFont="1" applyBorder="1" applyAlignment="1">
      <alignment horizontal="center" vertical="center" wrapText="1"/>
    </xf>
    <xf numFmtId="0" fontId="0" fillId="0" borderId="0" xfId="0" applyFill="1" applyAlignment="1">
      <alignment horizontal="center" vertical="center"/>
    </xf>
    <xf numFmtId="0" fontId="22" fillId="15" borderId="40" xfId="0" applyFont="1" applyFill="1" applyBorder="1" applyAlignment="1">
      <alignment horizontal="right"/>
    </xf>
    <xf numFmtId="0" fontId="0" fillId="13" borderId="22" xfId="0" applyFill="1" applyBorder="1"/>
    <xf numFmtId="0" fontId="22" fillId="15" borderId="39" xfId="0" applyFont="1" applyFill="1" applyBorder="1" applyAlignment="1">
      <alignment horizontal="center" vertical="center" wrapText="1"/>
    </xf>
    <xf numFmtId="0" fontId="22" fillId="11" borderId="35" xfId="0" applyFont="1" applyFill="1" applyBorder="1" applyAlignment="1">
      <alignment horizontal="right"/>
    </xf>
    <xf numFmtId="0" fontId="0" fillId="11" borderId="35" xfId="0" applyFill="1" applyBorder="1" applyAlignment="1">
      <alignment horizontal="right"/>
    </xf>
    <xf numFmtId="0" fontId="0" fillId="10" borderId="35" xfId="0" applyFill="1" applyBorder="1" applyAlignment="1"/>
    <xf numFmtId="0" fontId="22" fillId="11" borderId="35" xfId="0" applyFont="1" applyFill="1" applyBorder="1" applyAlignment="1">
      <alignment horizontal="right" wrapText="1"/>
    </xf>
    <xf numFmtId="0" fontId="0" fillId="0" borderId="0" xfId="0" applyFont="1" applyFill="1" applyAlignment="1">
      <alignment horizontal="left"/>
    </xf>
    <xf numFmtId="0" fontId="22" fillId="11" borderId="0" xfId="0" applyFont="1" applyFill="1" applyAlignment="1">
      <alignment horizontal="right" wrapText="1"/>
    </xf>
    <xf numFmtId="0" fontId="26" fillId="10" borderId="0" xfId="0" applyFont="1" applyFill="1"/>
    <xf numFmtId="0" fontId="27" fillId="10" borderId="0" xfId="0" applyFont="1" applyFill="1"/>
    <xf numFmtId="0" fontId="0" fillId="10" borderId="0" xfId="0" applyFill="1" applyAlignment="1">
      <alignment horizontal="right"/>
    </xf>
    <xf numFmtId="0" fontId="0" fillId="10" borderId="0" xfId="0" applyFill="1" applyBorder="1" applyAlignment="1"/>
    <xf numFmtId="0" fontId="22" fillId="11" borderId="0" xfId="0" applyFont="1" applyFill="1" applyAlignment="1">
      <alignment horizontal="right"/>
    </xf>
    <xf numFmtId="0" fontId="0" fillId="11" borderId="0" xfId="0" applyFill="1" applyAlignment="1">
      <alignment horizontal="right"/>
    </xf>
    <xf numFmtId="0" fontId="0" fillId="11" borderId="0" xfId="0" applyFill="1" applyAlignment="1"/>
    <xf numFmtId="0" fontId="28" fillId="0" borderId="0" xfId="0" applyFont="1"/>
    <xf numFmtId="0" fontId="0" fillId="0" borderId="0" xfId="0" applyProtection="1"/>
    <xf numFmtId="0" fontId="29" fillId="0" borderId="0" xfId="0" applyFont="1" applyProtection="1"/>
    <xf numFmtId="0" fontId="28" fillId="0" borderId="0" xfId="0" applyFont="1" applyProtection="1"/>
    <xf numFmtId="0" fontId="22" fillId="0" borderId="0" xfId="0" applyFont="1" applyAlignment="1" applyProtection="1">
      <alignment horizontal="left"/>
    </xf>
    <xf numFmtId="0" fontId="30" fillId="0" borderId="0" xfId="0" applyFont="1" applyProtection="1"/>
    <xf numFmtId="0" fontId="31" fillId="0" borderId="0" xfId="0" applyFont="1" applyProtection="1"/>
    <xf numFmtId="0" fontId="32" fillId="0" borderId="0" xfId="0" applyFont="1" applyProtection="1"/>
    <xf numFmtId="0" fontId="31" fillId="0" borderId="0" xfId="0" applyFont="1" applyAlignment="1" applyProtection="1">
      <alignment horizontal="left"/>
    </xf>
    <xf numFmtId="0" fontId="33" fillId="0" borderId="0" xfId="0" applyFont="1" applyProtection="1"/>
    <xf numFmtId="0" fontId="32" fillId="0" borderId="0" xfId="0" applyFont="1" applyAlignment="1" applyProtection="1">
      <alignment horizontal="left"/>
    </xf>
    <xf numFmtId="0" fontId="34" fillId="0" borderId="0" xfId="0" applyFont="1" applyProtection="1"/>
    <xf numFmtId="0" fontId="17" fillId="0" borderId="0" xfId="0" applyFont="1" applyProtection="1"/>
    <xf numFmtId="0" fontId="22" fillId="0" borderId="0" xfId="0" applyFont="1" applyAlignment="1" applyProtection="1">
      <alignment horizontal="right"/>
    </xf>
    <xf numFmtId="0" fontId="35" fillId="0" borderId="0" xfId="0" applyFont="1" applyFill="1" applyAlignment="1" applyProtection="1">
      <alignment horizontal="center"/>
    </xf>
    <xf numFmtId="0" fontId="36" fillId="17" borderId="53" xfId="0" applyFont="1" applyFill="1" applyBorder="1" applyAlignment="1" applyProtection="1">
      <alignment horizontal="center"/>
      <protection locked="0"/>
    </xf>
    <xf numFmtId="0" fontId="35" fillId="0" borderId="0" xfId="0" applyFont="1" applyAlignment="1" applyProtection="1">
      <alignment horizontal="center"/>
    </xf>
    <xf numFmtId="0" fontId="35" fillId="0" borderId="0" xfId="0" applyFont="1" applyFill="1" applyAlignment="1" applyProtection="1">
      <alignment horizontal="right"/>
    </xf>
    <xf numFmtId="0" fontId="35" fillId="0" borderId="0" xfId="0" applyFont="1" applyBorder="1" applyAlignment="1" applyProtection="1">
      <alignment horizontal="center"/>
    </xf>
    <xf numFmtId="0" fontId="0" fillId="0" borderId="0" xfId="0" applyFont="1" applyFill="1" applyAlignment="1" applyProtection="1">
      <alignment horizontal="center"/>
    </xf>
    <xf numFmtId="0" fontId="27" fillId="17" borderId="54" xfId="0" applyFont="1" applyFill="1" applyBorder="1" applyAlignment="1" applyProtection="1">
      <alignment horizontal="center"/>
      <protection locked="0"/>
    </xf>
    <xf numFmtId="0" fontId="22" fillId="0" borderId="0" xfId="0" applyFont="1" applyAlignment="1" applyProtection="1">
      <alignment horizontal="center"/>
    </xf>
    <xf numFmtId="0" fontId="0" fillId="0" borderId="0" xfId="0" applyFont="1" applyFill="1" applyAlignment="1" applyProtection="1">
      <alignment horizontal="right"/>
    </xf>
    <xf numFmtId="0" fontId="22" fillId="0" borderId="53" xfId="0" applyFont="1" applyBorder="1" applyAlignment="1" applyProtection="1">
      <alignment horizontal="right"/>
    </xf>
    <xf numFmtId="0" fontId="0" fillId="0" borderId="53" xfId="0" applyFont="1" applyFill="1" applyBorder="1" applyAlignment="1" applyProtection="1">
      <alignment horizontal="center"/>
    </xf>
    <xf numFmtId="0" fontId="17" fillId="17" borderId="53" xfId="0" applyFont="1" applyFill="1" applyBorder="1" applyAlignment="1" applyProtection="1">
      <alignment horizontal="center"/>
      <protection locked="0"/>
    </xf>
    <xf numFmtId="0" fontId="35" fillId="0" borderId="53" xfId="0" applyFont="1" applyBorder="1" applyAlignment="1" applyProtection="1">
      <alignment horizontal="center"/>
    </xf>
    <xf numFmtId="0" fontId="0" fillId="0" borderId="53" xfId="0" applyFont="1" applyFill="1" applyBorder="1" applyAlignment="1" applyProtection="1">
      <alignment horizontal="right"/>
    </xf>
    <xf numFmtId="0" fontId="0" fillId="0" borderId="0" xfId="0" applyFont="1" applyBorder="1" applyAlignment="1" applyProtection="1">
      <alignment horizontal="center"/>
    </xf>
    <xf numFmtId="0" fontId="37" fillId="0" borderId="0" xfId="0" applyFont="1" applyFill="1" applyBorder="1" applyAlignment="1" applyProtection="1">
      <alignment horizontal="center"/>
    </xf>
    <xf numFmtId="0" fontId="36" fillId="17" borderId="54" xfId="0" applyFont="1" applyFill="1" applyBorder="1" applyAlignment="1" applyProtection="1">
      <alignment horizontal="center"/>
      <protection locked="0"/>
    </xf>
    <xf numFmtId="0" fontId="38" fillId="0" borderId="0" xfId="0" applyFont="1" applyBorder="1" applyAlignment="1" applyProtection="1">
      <alignment horizontal="center"/>
    </xf>
    <xf numFmtId="0" fontId="37" fillId="0" borderId="0" xfId="0" applyFont="1" applyBorder="1" applyAlignment="1" applyProtection="1">
      <alignment horizontal="left"/>
    </xf>
    <xf numFmtId="0" fontId="0" fillId="0" borderId="0" xfId="0" applyFont="1" applyFill="1" applyBorder="1" applyAlignment="1" applyProtection="1">
      <alignment horizontal="right"/>
    </xf>
    <xf numFmtId="0" fontId="36" fillId="0" borderId="0" xfId="0" applyFont="1" applyFill="1" applyBorder="1" applyAlignment="1" applyProtection="1">
      <alignment horizontal="center"/>
    </xf>
    <xf numFmtId="0" fontId="37" fillId="0" borderId="0" xfId="0" applyFont="1" applyFill="1" applyAlignment="1" applyProtection="1">
      <alignment horizontal="center"/>
    </xf>
    <xf numFmtId="0" fontId="36" fillId="17" borderId="0" xfId="0" applyFont="1" applyFill="1" applyBorder="1" applyAlignment="1" applyProtection="1">
      <alignment horizontal="center"/>
      <protection locked="0"/>
    </xf>
    <xf numFmtId="0" fontId="39" fillId="0" borderId="0" xfId="0" applyFont="1" applyBorder="1" applyAlignment="1" applyProtection="1">
      <alignment horizontal="left"/>
    </xf>
    <xf numFmtId="0" fontId="0" fillId="0" borderId="0" xfId="0" applyFill="1" applyBorder="1" applyAlignment="1" applyProtection="1">
      <alignment horizontal="center"/>
    </xf>
    <xf numFmtId="0" fontId="38" fillId="0" borderId="0" xfId="0" applyFont="1" applyBorder="1" applyAlignment="1" applyProtection="1">
      <alignment horizontal="left"/>
    </xf>
    <xf numFmtId="0" fontId="0" fillId="0" borderId="0" xfId="0" applyAlignment="1" applyProtection="1">
      <alignment horizontal="center"/>
    </xf>
    <xf numFmtId="0" fontId="17" fillId="0" borderId="0" xfId="0" applyFont="1" applyAlignment="1" applyProtection="1">
      <alignment horizontal="center"/>
    </xf>
    <xf numFmtId="0" fontId="40" fillId="0" borderId="0" xfId="0" applyFont="1" applyBorder="1" applyAlignment="1" applyProtection="1">
      <alignment horizontal="left"/>
    </xf>
    <xf numFmtId="0" fontId="39" fillId="0" borderId="0" xfId="0" applyFont="1" applyFill="1" applyBorder="1" applyAlignment="1" applyProtection="1">
      <alignment horizontal="left"/>
    </xf>
    <xf numFmtId="0" fontId="39" fillId="0" borderId="0" xfId="0" applyFont="1" applyFill="1" applyAlignment="1" applyProtection="1">
      <alignment horizontal="left"/>
    </xf>
    <xf numFmtId="0" fontId="41" fillId="0" borderId="0" xfId="0" applyFont="1" applyFill="1" applyAlignment="1" applyProtection="1">
      <alignment horizontal="center"/>
      <protection locked="0"/>
    </xf>
    <xf numFmtId="0" fontId="0" fillId="0" borderId="0" xfId="0" applyBorder="1" applyAlignment="1" applyProtection="1">
      <alignment horizontal="center"/>
    </xf>
    <xf numFmtId="0" fontId="17" fillId="0" borderId="0" xfId="0" applyFont="1" applyFill="1" applyBorder="1" applyAlignment="1" applyProtection="1">
      <alignment horizontal="center"/>
    </xf>
    <xf numFmtId="0" fontId="42" fillId="0" borderId="0" xfId="0" applyFont="1" applyFill="1" applyBorder="1" applyAlignment="1" applyProtection="1">
      <alignment horizontal="center"/>
    </xf>
    <xf numFmtId="0" fontId="0" fillId="0" borderId="0" xfId="0" applyBorder="1" applyProtection="1"/>
    <xf numFmtId="0" fontId="43" fillId="0" borderId="0" xfId="0" applyFont="1" applyAlignment="1" applyProtection="1">
      <alignment horizontal="left"/>
    </xf>
    <xf numFmtId="0" fontId="0" fillId="0" borderId="0" xfId="0" applyFill="1" applyAlignment="1" applyProtection="1">
      <alignment horizontal="center"/>
    </xf>
    <xf numFmtId="0" fontId="17" fillId="0" borderId="0" xfId="0" applyFont="1" applyFill="1" applyAlignment="1" applyProtection="1">
      <alignment horizontal="center"/>
    </xf>
    <xf numFmtId="0" fontId="44" fillId="0" borderId="0" xfId="0" applyFont="1" applyFill="1" applyAlignment="1" applyProtection="1">
      <alignment horizontal="center"/>
      <protection locked="0"/>
    </xf>
    <xf numFmtId="0" fontId="38" fillId="0" borderId="0" xfId="0" applyFont="1" applyFill="1" applyBorder="1" applyAlignment="1" applyProtection="1">
      <alignment horizontal="left"/>
    </xf>
    <xf numFmtId="0" fontId="38" fillId="0" borderId="0" xfId="0" applyFont="1" applyFill="1" applyAlignment="1" applyProtection="1">
      <alignment horizontal="right"/>
    </xf>
    <xf numFmtId="0" fontId="43" fillId="0" borderId="0" xfId="0" applyFont="1" applyFill="1" applyAlignment="1" applyProtection="1">
      <alignment horizontal="left"/>
    </xf>
    <xf numFmtId="0" fontId="45" fillId="0" borderId="0" xfId="0" applyFont="1" applyAlignment="1" applyProtection="1">
      <alignment horizontal="center"/>
    </xf>
    <xf numFmtId="0" fontId="0" fillId="0" borderId="0" xfId="0" applyFont="1" applyAlignment="1" applyProtection="1">
      <alignment horizontal="center"/>
    </xf>
    <xf numFmtId="0" fontId="27" fillId="17" borderId="0" xfId="0" applyFont="1" applyFill="1" applyAlignment="1" applyProtection="1">
      <alignment horizontal="center"/>
      <protection locked="0"/>
    </xf>
    <xf numFmtId="0" fontId="22" fillId="0" borderId="0" xfId="0" applyFont="1" applyFill="1" applyBorder="1" applyAlignment="1" applyProtection="1">
      <alignment horizontal="left"/>
    </xf>
    <xf numFmtId="0" fontId="0" fillId="0" borderId="0" xfId="0" applyFont="1" applyFill="1" applyBorder="1" applyAlignment="1" applyProtection="1">
      <alignment horizontal="center"/>
    </xf>
    <xf numFmtId="0" fontId="27" fillId="17" borderId="53" xfId="0" applyFont="1" applyFill="1" applyBorder="1" applyAlignment="1" applyProtection="1">
      <alignment horizontal="center"/>
      <protection locked="0"/>
    </xf>
    <xf numFmtId="0" fontId="46" fillId="0" borderId="0" xfId="0" applyFont="1" applyAlignment="1" applyProtection="1">
      <alignment horizontal="center"/>
    </xf>
    <xf numFmtId="0" fontId="0" fillId="0" borderId="0" xfId="0" applyFont="1" applyAlignment="1" applyProtection="1">
      <alignment horizontal="right"/>
    </xf>
    <xf numFmtId="0" fontId="41" fillId="0" borderId="0" xfId="0" applyFont="1" applyFill="1" applyAlignment="1" applyProtection="1">
      <alignment horizontal="center"/>
    </xf>
    <xf numFmtId="0" fontId="0" fillId="18" borderId="0" xfId="0" applyFill="1" applyAlignment="1" applyProtection="1">
      <alignment horizontal="center"/>
    </xf>
    <xf numFmtId="0" fontId="37" fillId="0" borderId="0" xfId="0" applyFont="1" applyFill="1" applyBorder="1" applyAlignment="1" applyProtection="1">
      <alignment horizontal="left"/>
    </xf>
    <xf numFmtId="0" fontId="47" fillId="0" borderId="0" xfId="0" applyFont="1" applyAlignment="1" applyProtection="1">
      <alignment horizontal="right"/>
    </xf>
    <xf numFmtId="0" fontId="48" fillId="0" borderId="0" xfId="0" applyFont="1" applyAlignment="1" applyProtection="1">
      <alignment horizontal="center"/>
    </xf>
    <xf numFmtId="0" fontId="41" fillId="0" borderId="0" xfId="0" applyFont="1" applyAlignment="1" applyProtection="1">
      <alignment horizontal="center"/>
    </xf>
    <xf numFmtId="0" fontId="0" fillId="0" borderId="0" xfId="0" applyFill="1" applyBorder="1" applyAlignment="1" applyProtection="1">
      <alignment horizontal="right"/>
    </xf>
    <xf numFmtId="0" fontId="17" fillId="0" borderId="0" xfId="0" applyFont="1" applyBorder="1" applyAlignment="1" applyProtection="1">
      <alignment horizontal="center"/>
    </xf>
    <xf numFmtId="0" fontId="0" fillId="18" borderId="0" xfId="0" applyFill="1" applyBorder="1" applyAlignment="1" applyProtection="1">
      <alignment horizontal="center"/>
    </xf>
    <xf numFmtId="0" fontId="36" fillId="17" borderId="0" xfId="0" applyFont="1" applyFill="1" applyAlignment="1" applyProtection="1">
      <alignment horizontal="center"/>
      <protection locked="0"/>
    </xf>
    <xf numFmtId="0" fontId="49" fillId="0" borderId="0" xfId="0" applyFont="1" applyFill="1" applyBorder="1" applyAlignment="1" applyProtection="1">
      <alignment horizontal="center"/>
    </xf>
    <xf numFmtId="0" fontId="17" fillId="18" borderId="0" xfId="0" applyFont="1" applyFill="1" applyAlignment="1" applyProtection="1">
      <alignment horizontal="center"/>
    </xf>
    <xf numFmtId="0" fontId="49" fillId="0" borderId="0" xfId="0" applyFont="1" applyFill="1" applyBorder="1" applyAlignment="1" applyProtection="1">
      <alignment horizontal="left"/>
    </xf>
    <xf numFmtId="0" fontId="46" fillId="0" borderId="0" xfId="0" applyFont="1" applyAlignment="1" applyProtection="1">
      <alignment horizontal="left"/>
    </xf>
    <xf numFmtId="0" fontId="27" fillId="0" borderId="0" xfId="0" applyFont="1" applyFill="1" applyAlignment="1" applyProtection="1">
      <alignment horizontal="center"/>
    </xf>
    <xf numFmtId="0" fontId="27" fillId="0" borderId="0" xfId="0" applyFont="1" applyFill="1" applyAlignment="1" applyProtection="1">
      <alignment horizontal="left"/>
    </xf>
    <xf numFmtId="0" fontId="0" fillId="0" borderId="53" xfId="0" applyBorder="1" applyAlignment="1" applyProtection="1">
      <alignment horizontal="center"/>
    </xf>
    <xf numFmtId="0" fontId="17" fillId="0" borderId="53" xfId="0" applyFont="1" applyFill="1" applyBorder="1" applyAlignment="1" applyProtection="1">
      <alignment horizontal="center"/>
    </xf>
    <xf numFmtId="0" fontId="17" fillId="18" borderId="53" xfId="0" applyFont="1" applyFill="1" applyBorder="1" applyAlignment="1" applyProtection="1">
      <alignment horizontal="center"/>
    </xf>
    <xf numFmtId="0" fontId="22" fillId="0" borderId="53" xfId="0" applyFont="1" applyFill="1" applyBorder="1" applyAlignment="1" applyProtection="1">
      <alignment horizontal="left"/>
    </xf>
    <xf numFmtId="0" fontId="40" fillId="0" borderId="53" xfId="0" applyFont="1" applyFill="1" applyBorder="1" applyAlignment="1" applyProtection="1">
      <alignment horizontal="left"/>
    </xf>
    <xf numFmtId="0" fontId="49" fillId="0" borderId="53" xfId="0" applyFont="1" applyFill="1" applyBorder="1" applyAlignment="1" applyProtection="1">
      <alignment horizontal="left"/>
    </xf>
    <xf numFmtId="0" fontId="0" fillId="0" borderId="53" xfId="0" applyFill="1" applyBorder="1" applyAlignment="1" applyProtection="1">
      <alignment horizontal="center"/>
    </xf>
    <xf numFmtId="0" fontId="22" fillId="0" borderId="0" xfId="0" applyFont="1" applyFill="1" applyBorder="1" applyAlignment="1" applyProtection="1">
      <alignment horizontal="center"/>
    </xf>
    <xf numFmtId="0" fontId="50" fillId="18" borderId="0" xfId="0" applyFont="1" applyFill="1" applyAlignment="1" applyProtection="1">
      <alignment horizontal="center"/>
    </xf>
    <xf numFmtId="0" fontId="42" fillId="18" borderId="0" xfId="0" applyFont="1" applyFill="1" applyAlignment="1" applyProtection="1">
      <alignment horizontal="center"/>
    </xf>
    <xf numFmtId="0" fontId="51" fillId="0" borderId="0" xfId="0" applyFont="1" applyFill="1" applyAlignment="1" applyProtection="1">
      <alignment horizontal="left"/>
    </xf>
    <xf numFmtId="0" fontId="39" fillId="0" borderId="0" xfId="0" applyFont="1" applyFill="1" applyBorder="1" applyAlignment="1" applyProtection="1">
      <alignment horizontal="center"/>
    </xf>
    <xf numFmtId="0" fontId="39" fillId="0" borderId="0" xfId="0" applyFont="1" applyFill="1" applyAlignment="1" applyProtection="1">
      <alignment horizontal="center"/>
    </xf>
    <xf numFmtId="0" fontId="17" fillId="17" borderId="0" xfId="0" applyFont="1" applyFill="1" applyAlignment="1" applyProtection="1">
      <alignment horizontal="center"/>
      <protection locked="0"/>
    </xf>
    <xf numFmtId="0" fontId="44" fillId="0" borderId="0" xfId="0" applyFont="1" applyFill="1" applyAlignment="1" applyProtection="1">
      <alignment horizontal="center"/>
    </xf>
    <xf numFmtId="0" fontId="52" fillId="0" borderId="0" xfId="0" applyFont="1" applyFill="1" applyBorder="1" applyAlignment="1" applyProtection="1">
      <alignment horizontal="left"/>
    </xf>
    <xf numFmtId="0" fontId="37" fillId="0" borderId="0" xfId="0" applyFont="1" applyFill="1" applyAlignment="1" applyProtection="1">
      <alignment horizontal="left"/>
    </xf>
    <xf numFmtId="0" fontId="0" fillId="0" borderId="0" xfId="0" applyBorder="1" applyAlignment="1" applyProtection="1">
      <alignment horizontal="justify"/>
    </xf>
    <xf numFmtId="0" fontId="0" fillId="0" borderId="0" xfId="0" applyFont="1" applyFill="1" applyBorder="1" applyAlignment="1" applyProtection="1">
      <alignment horizontal="left"/>
    </xf>
    <xf numFmtId="0" fontId="0" fillId="18" borderId="0" xfId="0" applyFont="1" applyFill="1" applyBorder="1" applyAlignment="1" applyProtection="1">
      <alignment horizontal="center"/>
    </xf>
    <xf numFmtId="0" fontId="46" fillId="0" borderId="0" xfId="0" applyFont="1" applyBorder="1" applyAlignment="1" applyProtection="1">
      <alignment horizontal="center"/>
    </xf>
    <xf numFmtId="0" fontId="47" fillId="0" borderId="0" xfId="0" applyFont="1" applyAlignment="1" applyProtection="1">
      <alignment horizontal="left"/>
    </xf>
    <xf numFmtId="0" fontId="46" fillId="0" borderId="53" xfId="0" applyFont="1" applyBorder="1" applyAlignment="1" applyProtection="1">
      <alignment horizontal="center"/>
    </xf>
    <xf numFmtId="0" fontId="47" fillId="0" borderId="53" xfId="0" applyFont="1" applyBorder="1" applyAlignment="1" applyProtection="1">
      <alignment horizontal="left"/>
    </xf>
    <xf numFmtId="0" fontId="39" fillId="0" borderId="53" xfId="0" applyFont="1" applyFill="1" applyBorder="1" applyAlignment="1" applyProtection="1">
      <alignment horizontal="left"/>
    </xf>
    <xf numFmtId="0" fontId="42" fillId="0" borderId="53" xfId="0" applyFont="1" applyFill="1" applyBorder="1" applyAlignment="1" applyProtection="1">
      <alignment horizontal="center"/>
    </xf>
    <xf numFmtId="0" fontId="39" fillId="0" borderId="0" xfId="0" applyFont="1" applyAlignment="1" applyProtection="1">
      <alignment horizontal="center"/>
    </xf>
    <xf numFmtId="0" fontId="38" fillId="0" borderId="0" xfId="0" applyFont="1" applyAlignment="1" applyProtection="1">
      <alignment horizontal="left"/>
    </xf>
    <xf numFmtId="0" fontId="37" fillId="0" borderId="0" xfId="0" applyFont="1" applyAlignment="1" applyProtection="1">
      <alignment horizontal="left"/>
    </xf>
    <xf numFmtId="0" fontId="36" fillId="0" borderId="0" xfId="0" applyFont="1" applyFill="1" applyAlignment="1" applyProtection="1">
      <alignment horizontal="center"/>
    </xf>
    <xf numFmtId="0" fontId="39" fillId="0" borderId="0" xfId="0" applyFont="1" applyAlignment="1" applyProtection="1">
      <alignment horizontal="left"/>
    </xf>
    <xf numFmtId="0" fontId="51" fillId="0" borderId="0" xfId="0" applyFont="1" applyAlignment="1" applyProtection="1">
      <alignment horizontal="left"/>
    </xf>
    <xf numFmtId="0" fontId="53" fillId="0" borderId="0" xfId="0" applyFont="1" applyBorder="1" applyAlignment="1" applyProtection="1">
      <alignment horizontal="left"/>
    </xf>
    <xf numFmtId="0" fontId="48" fillId="0" borderId="0" xfId="0" applyFont="1" applyAlignment="1" applyProtection="1">
      <alignment horizontal="left"/>
    </xf>
    <xf numFmtId="0" fontId="54" fillId="0" borderId="0" xfId="0" applyFont="1" applyAlignment="1" applyProtection="1">
      <alignment horizontal="center"/>
    </xf>
    <xf numFmtId="0" fontId="41" fillId="0" borderId="0" xfId="0" applyFont="1" applyFill="1" applyBorder="1" applyAlignment="1" applyProtection="1">
      <alignment horizontal="center"/>
    </xf>
    <xf numFmtId="0" fontId="55" fillId="0" borderId="0" xfId="0" applyFont="1" applyAlignment="1" applyProtection="1">
      <alignment horizontal="left"/>
    </xf>
    <xf numFmtId="0" fontId="54" fillId="0" borderId="0" xfId="0" applyFont="1" applyBorder="1" applyAlignment="1" applyProtection="1">
      <alignment horizontal="center"/>
    </xf>
    <xf numFmtId="0" fontId="41" fillId="0" borderId="0" xfId="0" applyFont="1" applyBorder="1" applyAlignment="1" applyProtection="1">
      <alignment horizontal="center"/>
    </xf>
    <xf numFmtId="0" fontId="44" fillId="0" borderId="0" xfId="0" applyFont="1" applyAlignment="1" applyProtection="1">
      <alignment horizontal="center"/>
    </xf>
    <xf numFmtId="0" fontId="49" fillId="0" borderId="0" xfId="0" applyFont="1" applyBorder="1" applyAlignment="1" applyProtection="1">
      <alignment horizontal="center"/>
    </xf>
    <xf numFmtId="0" fontId="48" fillId="0" borderId="55" xfId="0" applyFont="1" applyFill="1" applyBorder="1" applyAlignment="1" applyProtection="1">
      <alignment horizontal="left"/>
    </xf>
    <xf numFmtId="0" fontId="27" fillId="0" borderId="56" xfId="0" applyFont="1" applyFill="1" applyBorder="1" applyAlignment="1" applyProtection="1">
      <alignment horizontal="center"/>
    </xf>
    <xf numFmtId="0" fontId="49" fillId="0" borderId="0" xfId="0" applyFont="1" applyAlignment="1" applyProtection="1">
      <alignment horizontal="left"/>
    </xf>
    <xf numFmtId="0" fontId="22" fillId="0" borderId="57" xfId="0" applyFont="1" applyFill="1" applyBorder="1" applyAlignment="1" applyProtection="1">
      <alignment horizontal="left"/>
    </xf>
    <xf numFmtId="0" fontId="41" fillId="19" borderId="58" xfId="0" applyFont="1" applyFill="1" applyBorder="1" applyAlignment="1" applyProtection="1">
      <alignment horizontal="center"/>
      <protection locked="0"/>
    </xf>
    <xf numFmtId="0" fontId="56" fillId="0" borderId="0" xfId="0" applyFont="1" applyFill="1" applyBorder="1" applyAlignment="1" applyProtection="1">
      <alignment horizontal="center"/>
    </xf>
    <xf numFmtId="0" fontId="41" fillId="11" borderId="58" xfId="0" applyFont="1" applyFill="1" applyBorder="1" applyAlignment="1" applyProtection="1">
      <alignment horizontal="center"/>
    </xf>
    <xf numFmtId="0" fontId="22" fillId="0" borderId="59" xfId="0" applyFont="1" applyFill="1" applyBorder="1" applyAlignment="1" applyProtection="1">
      <alignment horizontal="left"/>
    </xf>
    <xf numFmtId="0" fontId="57" fillId="0" borderId="60" xfId="0" applyFont="1" applyFill="1" applyBorder="1" applyAlignment="1" applyProtection="1">
      <alignment horizontal="center"/>
    </xf>
    <xf numFmtId="0" fontId="22" fillId="0" borderId="0" xfId="0" applyFont="1" applyBorder="1" applyAlignment="1" applyProtection="1">
      <alignment horizontal="center"/>
    </xf>
    <xf numFmtId="0" fontId="42" fillId="18" borderId="0" xfId="0" applyFont="1" applyFill="1" applyBorder="1" applyAlignment="1" applyProtection="1">
      <alignment horizontal="center"/>
    </xf>
    <xf numFmtId="0" fontId="58" fillId="0" borderId="0" xfId="0" applyFont="1" applyFill="1" applyBorder="1" applyAlignment="1" applyProtection="1">
      <alignment horizontal="left"/>
    </xf>
    <xf numFmtId="0" fontId="22" fillId="0" borderId="0" xfId="0" applyFont="1" applyBorder="1" applyAlignment="1" applyProtection="1">
      <alignment horizontal="right"/>
    </xf>
    <xf numFmtId="0" fontId="22" fillId="0" borderId="53" xfId="0" applyFont="1" applyBorder="1" applyAlignment="1" applyProtection="1">
      <alignment horizontal="center"/>
    </xf>
    <xf numFmtId="0" fontId="17" fillId="0" borderId="53" xfId="0" applyFont="1" applyBorder="1" applyAlignment="1" applyProtection="1">
      <alignment horizontal="center"/>
    </xf>
    <xf numFmtId="0" fontId="50" fillId="18" borderId="53" xfId="0" applyFont="1" applyFill="1" applyBorder="1" applyAlignment="1" applyProtection="1">
      <alignment horizontal="center"/>
    </xf>
    <xf numFmtId="0" fontId="58" fillId="0" borderId="53" xfId="0" applyFont="1" applyBorder="1" applyAlignment="1" applyProtection="1">
      <alignment horizontal="left"/>
    </xf>
    <xf numFmtId="0" fontId="37" fillId="0" borderId="53" xfId="0" applyFont="1" applyFill="1" applyBorder="1" applyAlignment="1" applyProtection="1">
      <alignment horizontal="left"/>
    </xf>
    <xf numFmtId="0" fontId="27" fillId="20" borderId="0" xfId="0" applyFont="1" applyFill="1" applyBorder="1" applyAlignment="1" applyProtection="1">
      <alignment horizontal="left"/>
    </xf>
    <xf numFmtId="0" fontId="17" fillId="0" borderId="0" xfId="0" applyFont="1" applyAlignment="1" applyProtection="1">
      <alignment horizontal="left"/>
    </xf>
    <xf numFmtId="0" fontId="36" fillId="17" borderId="0" xfId="0" applyFont="1" applyFill="1" applyAlignment="1" applyProtection="1">
      <alignment horizontal="left"/>
      <protection locked="0"/>
    </xf>
    <xf numFmtId="0" fontId="59" fillId="0" borderId="0" xfId="0" applyFont="1" applyAlignment="1" applyProtection="1">
      <alignment horizontal="left"/>
    </xf>
    <xf numFmtId="0" fontId="0" fillId="0" borderId="53" xfId="0" applyBorder="1" applyProtection="1"/>
    <xf numFmtId="0" fontId="60" fillId="0" borderId="53" xfId="0" applyFont="1" applyBorder="1" applyProtection="1"/>
    <xf numFmtId="0" fontId="24" fillId="0" borderId="0" xfId="0" applyFont="1" applyProtection="1"/>
    <xf numFmtId="0" fontId="60" fillId="0" borderId="0" xfId="0" applyFont="1" applyBorder="1" applyProtection="1"/>
    <xf numFmtId="0" fontId="27" fillId="0" borderId="0" xfId="0" applyFont="1" applyBorder="1" applyAlignment="1" applyProtection="1">
      <alignment horizontal="center"/>
    </xf>
    <xf numFmtId="0" fontId="52" fillId="0" borderId="0" xfId="0" applyFont="1" applyAlignment="1" applyProtection="1">
      <alignment horizontal="left"/>
    </xf>
    <xf numFmtId="0" fontId="0" fillId="0" borderId="53" xfId="0" applyFont="1" applyBorder="1" applyAlignment="1" applyProtection="1">
      <alignment horizontal="center"/>
    </xf>
    <xf numFmtId="0" fontId="47" fillId="0" borderId="0" xfId="0" applyFont="1" applyBorder="1" applyAlignment="1" applyProtection="1">
      <alignment horizontal="center"/>
    </xf>
    <xf numFmtId="0" fontId="61" fillId="0" borderId="0" xfId="0" applyFont="1" applyFill="1" applyAlignment="1" applyProtection="1">
      <alignment horizontal="center"/>
    </xf>
    <xf numFmtId="0" fontId="24" fillId="0" borderId="0" xfId="0" applyFont="1" applyFill="1" applyBorder="1" applyAlignment="1" applyProtection="1">
      <alignment horizontal="center"/>
    </xf>
    <xf numFmtId="0" fontId="22" fillId="0" borderId="0" xfId="0" applyFont="1" applyBorder="1" applyAlignment="1" applyProtection="1">
      <alignment horizontal="left"/>
    </xf>
    <xf numFmtId="0" fontId="0" fillId="0" borderId="0" xfId="0" applyFont="1" applyFill="1" applyProtection="1"/>
    <xf numFmtId="0" fontId="46" fillId="0" borderId="0" xfId="0" applyFont="1" applyFill="1" applyAlignment="1" applyProtection="1">
      <alignment horizontal="center"/>
    </xf>
    <xf numFmtId="0" fontId="54" fillId="0" borderId="0" xfId="0" applyFont="1" applyFill="1" applyAlignment="1" applyProtection="1">
      <alignment horizontal="center"/>
    </xf>
    <xf numFmtId="0" fontId="0" fillId="0" borderId="0" xfId="0" applyFont="1" applyFill="1" applyBorder="1" applyProtection="1"/>
    <xf numFmtId="0" fontId="47" fillId="0" borderId="0" xfId="0" applyFont="1" applyFill="1" applyBorder="1" applyAlignment="1" applyProtection="1">
      <alignment horizontal="left"/>
    </xf>
    <xf numFmtId="0" fontId="0" fillId="0" borderId="0" xfId="0" applyFont="1" applyBorder="1" applyAlignment="1" applyProtection="1">
      <alignment horizontal="left"/>
    </xf>
    <xf numFmtId="0" fontId="42" fillId="0" borderId="0" xfId="0" applyFont="1" applyBorder="1" applyAlignment="1" applyProtection="1">
      <alignment horizontal="center"/>
    </xf>
    <xf numFmtId="0" fontId="62" fillId="0" borderId="55" xfId="0" applyFont="1" applyBorder="1" applyAlignment="1" applyProtection="1">
      <alignment horizontal="center"/>
    </xf>
    <xf numFmtId="0" fontId="62" fillId="0" borderId="61" xfId="0" applyFont="1" applyBorder="1" applyAlignment="1" applyProtection="1">
      <alignment horizontal="center"/>
    </xf>
    <xf numFmtId="0" fontId="63" fillId="0" borderId="56" xfId="0" applyFont="1" applyBorder="1" applyAlignment="1" applyProtection="1">
      <alignment horizontal="left"/>
    </xf>
    <xf numFmtId="0" fontId="62" fillId="0" borderId="57" xfId="0" applyFont="1" applyBorder="1" applyAlignment="1" applyProtection="1">
      <alignment horizontal="center"/>
    </xf>
    <xf numFmtId="0" fontId="62" fillId="0" borderId="0" xfId="0" applyFont="1" applyFill="1" applyBorder="1" applyAlignment="1" applyProtection="1">
      <alignment horizontal="center"/>
    </xf>
    <xf numFmtId="0" fontId="63" fillId="0" borderId="58" xfId="0" applyFont="1" applyFill="1" applyBorder="1" applyAlignment="1" applyProtection="1">
      <alignment horizontal="left"/>
    </xf>
    <xf numFmtId="0" fontId="63" fillId="0" borderId="58" xfId="0" applyFont="1" applyBorder="1" applyAlignment="1" applyProtection="1">
      <alignment horizontal="left"/>
    </xf>
    <xf numFmtId="0" fontId="63" fillId="0" borderId="0" xfId="0" applyFont="1" applyBorder="1" applyAlignment="1" applyProtection="1">
      <alignment horizontal="center"/>
    </xf>
    <xf numFmtId="0" fontId="62" fillId="0" borderId="58" xfId="0" applyFont="1" applyFill="1" applyBorder="1" applyAlignment="1" applyProtection="1">
      <alignment horizontal="center"/>
    </xf>
    <xf numFmtId="0" fontId="62" fillId="0" borderId="0" xfId="0" applyFont="1" applyBorder="1" applyAlignment="1" applyProtection="1">
      <alignment horizontal="center"/>
    </xf>
    <xf numFmtId="0" fontId="64" fillId="0" borderId="57" xfId="0" applyFont="1" applyFill="1" applyBorder="1" applyAlignment="1" applyProtection="1">
      <alignment horizontal="center"/>
    </xf>
    <xf numFmtId="0" fontId="64" fillId="0" borderId="57" xfId="0" applyFont="1" applyBorder="1" applyAlignment="1" applyProtection="1">
      <alignment horizontal="center"/>
    </xf>
    <xf numFmtId="0" fontId="62" fillId="0" borderId="57" xfId="0" applyFont="1" applyBorder="1" applyAlignment="1" applyProtection="1">
      <alignment horizontal="justify"/>
    </xf>
    <xf numFmtId="0" fontId="62" fillId="0" borderId="57" xfId="0" applyFont="1" applyFill="1" applyBorder="1" applyAlignment="1" applyProtection="1">
      <alignment horizontal="left"/>
    </xf>
    <xf numFmtId="0" fontId="62" fillId="0" borderId="59" xfId="0" applyFont="1" applyBorder="1" applyAlignment="1" applyProtection="1">
      <alignment horizontal="justify"/>
    </xf>
    <xf numFmtId="0" fontId="62" fillId="0" borderId="53" xfId="0" applyFont="1" applyFill="1" applyBorder="1" applyAlignment="1" applyProtection="1">
      <alignment horizontal="center"/>
    </xf>
    <xf numFmtId="0" fontId="62" fillId="0" borderId="60" xfId="0" applyFont="1" applyFill="1" applyBorder="1" applyAlignment="1" applyProtection="1">
      <alignment horizontal="center"/>
    </xf>
    <xf numFmtId="0" fontId="0" fillId="0" borderId="0" xfId="0" applyFont="1" applyBorder="1" applyAlignment="1" applyProtection="1">
      <alignment horizontal="justify"/>
    </xf>
    <xf numFmtId="0" fontId="47" fillId="0" borderId="0" xfId="0" applyFont="1" applyFill="1" applyAlignment="1" applyProtection="1">
      <alignment horizontal="center"/>
    </xf>
    <xf numFmtId="0" fontId="46" fillId="0" borderId="0" xfId="0" applyFont="1" applyBorder="1" applyAlignment="1" applyProtection="1">
      <alignment horizontal="left"/>
    </xf>
    <xf numFmtId="0" fontId="44" fillId="0" borderId="0" xfId="0" applyFont="1" applyFill="1" applyBorder="1" applyAlignment="1" applyProtection="1">
      <alignment horizontal="center"/>
    </xf>
    <xf numFmtId="0" fontId="47" fillId="0" borderId="0" xfId="0" applyFont="1" applyFill="1" applyBorder="1" applyAlignment="1" applyProtection="1">
      <alignment horizontal="center"/>
    </xf>
    <xf numFmtId="0" fontId="27" fillId="0" borderId="0" xfId="0" applyFont="1" applyFill="1" applyBorder="1" applyAlignment="1" applyProtection="1">
      <alignment horizontal="center"/>
    </xf>
    <xf numFmtId="0" fontId="56" fillId="0" borderId="0" xfId="0" applyFont="1" applyBorder="1" applyAlignment="1" applyProtection="1">
      <alignment horizontal="center"/>
    </xf>
    <xf numFmtId="0" fontId="47" fillId="0" borderId="53" xfId="0" applyFont="1" applyFill="1" applyBorder="1" applyAlignment="1" applyProtection="1">
      <alignment horizontal="center"/>
    </xf>
    <xf numFmtId="0" fontId="43" fillId="0" borderId="0" xfId="0" applyFont="1" applyBorder="1" applyAlignment="1" applyProtection="1">
      <alignment horizontal="left"/>
    </xf>
    <xf numFmtId="0" fontId="39" fillId="19" borderId="0" xfId="0" applyFont="1" applyFill="1" applyBorder="1" applyAlignment="1" applyProtection="1">
      <alignment horizontal="left"/>
    </xf>
    <xf numFmtId="0" fontId="43" fillId="19" borderId="0" xfId="0" applyFont="1" applyFill="1" applyBorder="1" applyAlignment="1" applyProtection="1">
      <alignment horizontal="left"/>
    </xf>
    <xf numFmtId="0" fontId="0" fillId="19" borderId="0" xfId="0" applyFont="1" applyFill="1" applyBorder="1" applyAlignment="1" applyProtection="1">
      <alignment horizontal="center"/>
    </xf>
    <xf numFmtId="0" fontId="38" fillId="19" borderId="0" xfId="0" applyFont="1" applyFill="1" applyBorder="1" applyAlignment="1" applyProtection="1">
      <alignment horizontal="left"/>
    </xf>
    <xf numFmtId="0" fontId="47" fillId="19" borderId="0" xfId="0" applyFont="1" applyFill="1" applyBorder="1" applyAlignment="1" applyProtection="1">
      <alignment horizontal="center"/>
    </xf>
    <xf numFmtId="0" fontId="39" fillId="0" borderId="54" xfId="0" applyFont="1" applyBorder="1" applyAlignment="1" applyProtection="1">
      <alignment horizontal="left"/>
    </xf>
    <xf numFmtId="0" fontId="17" fillId="0" borderId="54" xfId="0" applyFont="1" applyFill="1" applyBorder="1" applyAlignment="1" applyProtection="1">
      <alignment horizontal="center"/>
    </xf>
    <xf numFmtId="0" fontId="0" fillId="0" borderId="54" xfId="0" applyFont="1" applyFill="1" applyBorder="1" applyAlignment="1" applyProtection="1">
      <alignment horizontal="center"/>
    </xf>
    <xf numFmtId="0" fontId="41" fillId="0" borderId="54" xfId="0" applyFont="1" applyFill="1" applyBorder="1" applyAlignment="1" applyProtection="1">
      <alignment horizontal="center"/>
    </xf>
    <xf numFmtId="0" fontId="22" fillId="0" borderId="54" xfId="0" applyFont="1" applyFill="1" applyBorder="1" applyAlignment="1" applyProtection="1">
      <alignment horizontal="left"/>
    </xf>
    <xf numFmtId="0" fontId="27" fillId="0" borderId="0" xfId="0" applyFont="1" applyAlignment="1" applyProtection="1">
      <alignment horizontal="center"/>
    </xf>
    <xf numFmtId="0" fontId="0" fillId="0" borderId="0" xfId="0" applyFill="1" applyAlignment="1" applyProtection="1">
      <alignment horizontal="left"/>
    </xf>
    <xf numFmtId="0" fontId="49" fillId="0" borderId="0" xfId="0" applyFont="1" applyFill="1" applyAlignment="1" applyProtection="1">
      <alignment horizontal="center"/>
    </xf>
    <xf numFmtId="0" fontId="0" fillId="0" borderId="0" xfId="0" applyFill="1" applyAlignment="1" applyProtection="1">
      <alignment horizontal="right"/>
    </xf>
    <xf numFmtId="0" fontId="22" fillId="0" borderId="0" xfId="0" applyFont="1" applyFill="1" applyAlignment="1" applyProtection="1">
      <alignment horizontal="right"/>
    </xf>
    <xf numFmtId="0" fontId="22" fillId="0" borderId="0" xfId="0" applyFont="1" applyFill="1" applyAlignment="1" applyProtection="1">
      <alignment horizontal="center"/>
    </xf>
    <xf numFmtId="0" fontId="35" fillId="0" borderId="0" xfId="0" applyFont="1" applyFill="1" applyBorder="1" applyAlignment="1" applyProtection="1">
      <alignment horizontal="center"/>
    </xf>
    <xf numFmtId="0" fontId="33" fillId="0" borderId="53" xfId="0" applyFont="1" applyFill="1" applyBorder="1" applyAlignment="1" applyProtection="1">
      <alignment horizontal="left"/>
    </xf>
    <xf numFmtId="0" fontId="27" fillId="0" borderId="62" xfId="0" applyFont="1" applyFill="1" applyBorder="1" applyAlignment="1" applyProtection="1">
      <alignment horizontal="center"/>
    </xf>
    <xf numFmtId="0" fontId="0" fillId="0" borderId="62" xfId="0" applyFont="1" applyFill="1" applyBorder="1" applyAlignment="1" applyProtection="1">
      <alignment horizontal="right"/>
    </xf>
    <xf numFmtId="0" fontId="22" fillId="0" borderId="62" xfId="0" applyFont="1" applyFill="1" applyBorder="1" applyAlignment="1" applyProtection="1">
      <alignment horizontal="center"/>
    </xf>
    <xf numFmtId="0" fontId="0" fillId="0" borderId="62" xfId="0" applyFill="1" applyBorder="1" applyAlignment="1" applyProtection="1">
      <alignment horizontal="center"/>
    </xf>
    <xf numFmtId="0" fontId="27" fillId="0" borderId="0" xfId="0" applyFont="1" applyFill="1" applyBorder="1" applyAlignment="1" applyProtection="1">
      <alignment horizontal="left"/>
    </xf>
    <xf numFmtId="0" fontId="46" fillId="0" borderId="0" xfId="0" applyFont="1" applyFill="1" applyBorder="1" applyAlignment="1" applyProtection="1">
      <alignment horizontal="center"/>
    </xf>
    <xf numFmtId="0" fontId="17" fillId="0" borderId="0" xfId="0" applyFont="1" applyFill="1" applyBorder="1" applyAlignment="1" applyProtection="1">
      <alignment horizontal="right"/>
    </xf>
    <xf numFmtId="0" fontId="45" fillId="0" borderId="0" xfId="0" applyFont="1" applyFill="1" applyBorder="1" applyAlignment="1" applyProtection="1">
      <alignment horizontal="center"/>
    </xf>
    <xf numFmtId="0" fontId="41" fillId="0" borderId="57" xfId="0" applyFont="1" applyFill="1" applyBorder="1" applyAlignment="1" applyProtection="1">
      <alignment horizontal="center"/>
    </xf>
    <xf numFmtId="0" fontId="17" fillId="0" borderId="57" xfId="0" applyFont="1" applyBorder="1" applyAlignment="1" applyProtection="1">
      <alignment horizontal="center"/>
    </xf>
    <xf numFmtId="0" fontId="56" fillId="0" borderId="57" xfId="0" applyFont="1" applyBorder="1" applyAlignment="1" applyProtection="1">
      <alignment horizontal="center"/>
    </xf>
    <xf numFmtId="0" fontId="0" fillId="0" borderId="57" xfId="0" applyFont="1" applyBorder="1" applyAlignment="1" applyProtection="1">
      <alignment horizontal="center"/>
    </xf>
    <xf numFmtId="0" fontId="0" fillId="0" borderId="57" xfId="0" applyFont="1" applyFill="1" applyBorder="1" applyAlignment="1" applyProtection="1">
      <alignment horizontal="center"/>
    </xf>
    <xf numFmtId="0" fontId="0" fillId="0" borderId="57" xfId="0" applyFill="1" applyBorder="1" applyAlignment="1" applyProtection="1">
      <alignment horizontal="center"/>
    </xf>
    <xf numFmtId="0" fontId="17" fillId="0" borderId="59" xfId="0" applyFont="1" applyBorder="1" applyAlignment="1" applyProtection="1">
      <alignment horizontal="center"/>
    </xf>
    <xf numFmtId="0" fontId="0" fillId="0" borderId="0" xfId="0" applyFill="1" applyBorder="1" applyAlignment="1" applyProtection="1">
      <alignment horizontal="justify"/>
    </xf>
    <xf numFmtId="0" fontId="22" fillId="0" borderId="53" xfId="0" applyFont="1" applyFill="1" applyBorder="1" applyAlignment="1" applyProtection="1">
      <alignment horizontal="center"/>
    </xf>
    <xf numFmtId="0" fontId="27" fillId="0" borderId="53" xfId="0" applyFont="1" applyFill="1" applyBorder="1" applyAlignment="1" applyProtection="1">
      <alignment horizontal="center"/>
    </xf>
    <xf numFmtId="0" fontId="38" fillId="0" borderId="53" xfId="0" applyFont="1" applyFill="1" applyBorder="1" applyAlignment="1" applyProtection="1">
      <alignment horizontal="left"/>
    </xf>
    <xf numFmtId="0" fontId="61" fillId="0" borderId="0" xfId="0" applyFont="1" applyFill="1" applyBorder="1" applyAlignment="1" applyProtection="1">
      <alignment horizontal="left"/>
    </xf>
    <xf numFmtId="0" fontId="17" fillId="0" borderId="0" xfId="0" applyFont="1" applyFill="1" applyBorder="1" applyAlignment="1" applyProtection="1">
      <alignment horizontal="left"/>
    </xf>
    <xf numFmtId="0" fontId="0" fillId="0" borderId="0" xfId="0" applyFill="1" applyBorder="1" applyProtection="1"/>
    <xf numFmtId="0" fontId="22" fillId="0" borderId="0" xfId="0" applyFont="1" applyFill="1" applyBorder="1" applyAlignment="1" applyProtection="1">
      <alignment horizontal="right"/>
    </xf>
    <xf numFmtId="0" fontId="0" fillId="0" borderId="0" xfId="0" applyFill="1" applyBorder="1" applyAlignment="1" applyProtection="1">
      <alignment horizontal="left"/>
    </xf>
    <xf numFmtId="0" fontId="47" fillId="0" borderId="53" xfId="0" applyFont="1" applyFill="1" applyBorder="1" applyAlignment="1" applyProtection="1">
      <alignment horizontal="left"/>
    </xf>
    <xf numFmtId="0" fontId="17" fillId="0" borderId="53" xfId="0" applyFont="1" applyFill="1" applyBorder="1" applyAlignment="1" applyProtection="1">
      <alignment horizontal="left"/>
    </xf>
    <xf numFmtId="0" fontId="49" fillId="0" borderId="0" xfId="0" applyFont="1" applyFill="1" applyAlignment="1" applyProtection="1">
      <alignment horizontal="left"/>
    </xf>
    <xf numFmtId="0" fontId="22" fillId="0" borderId="0" xfId="0" applyFont="1" applyFill="1" applyAlignment="1" applyProtection="1">
      <alignment horizontal="left"/>
    </xf>
    <xf numFmtId="0" fontId="17" fillId="0" borderId="0" xfId="0" applyFont="1" applyFill="1" applyAlignment="1" applyProtection="1">
      <alignment horizontal="left"/>
    </xf>
    <xf numFmtId="0" fontId="38" fillId="0" borderId="53" xfId="0" applyFont="1" applyFill="1" applyBorder="1" applyAlignment="1" applyProtection="1">
      <alignment horizontal="center"/>
    </xf>
    <xf numFmtId="0" fontId="65" fillId="0" borderId="0" xfId="0" applyFont="1" applyBorder="1" applyAlignment="1" applyProtection="1">
      <alignment horizontal="left"/>
    </xf>
    <xf numFmtId="0" fontId="36" fillId="0" borderId="0" xfId="0" applyFont="1" applyBorder="1" applyAlignment="1" applyProtection="1">
      <alignment horizontal="left"/>
    </xf>
    <xf numFmtId="0" fontId="39" fillId="0" borderId="0" xfId="0" applyFont="1" applyFill="1" applyBorder="1" applyProtection="1"/>
    <xf numFmtId="0" fontId="36" fillId="0" borderId="53" xfId="0" applyFont="1" applyBorder="1" applyAlignment="1" applyProtection="1">
      <alignment horizontal="left"/>
    </xf>
    <xf numFmtId="0" fontId="22" fillId="0" borderId="53" xfId="0" applyFont="1" applyFill="1" applyBorder="1" applyProtection="1"/>
    <xf numFmtId="0" fontId="0" fillId="0" borderId="53" xfId="0" applyFill="1" applyBorder="1" applyProtection="1"/>
    <xf numFmtId="0" fontId="22" fillId="0" borderId="0" xfId="0" applyFont="1" applyFill="1" applyBorder="1" applyProtection="1"/>
    <xf numFmtId="0" fontId="27" fillId="0" borderId="35" xfId="0" applyFont="1" applyFill="1" applyBorder="1" applyAlignment="1">
      <alignment horizontal="center" vertical="center"/>
    </xf>
    <xf numFmtId="0" fontId="27" fillId="0" borderId="35" xfId="0" applyFont="1" applyFill="1" applyBorder="1" applyAlignment="1">
      <alignment horizontal="center" vertical="center" wrapText="1"/>
    </xf>
    <xf numFmtId="0" fontId="0" fillId="0" borderId="52" xfId="0" applyFill="1" applyBorder="1" applyAlignment="1">
      <alignment horizontal="center" vertical="center"/>
    </xf>
    <xf numFmtId="0" fontId="27" fillId="0" borderId="36" xfId="0" applyFont="1" applyFill="1" applyBorder="1" applyAlignment="1">
      <alignment horizontal="center" vertical="center"/>
    </xf>
    <xf numFmtId="0" fontId="0" fillId="0" borderId="36" xfId="0" applyFill="1" applyBorder="1" applyAlignment="1">
      <alignment horizontal="center" vertical="center"/>
    </xf>
    <xf numFmtId="0" fontId="0" fillId="0" borderId="39" xfId="0" applyFill="1" applyBorder="1" applyAlignment="1">
      <alignment horizontal="center" vertical="center"/>
    </xf>
    <xf numFmtId="0" fontId="0" fillId="0" borderId="35" xfId="0" applyFill="1" applyBorder="1" applyAlignment="1">
      <alignment horizontal="center" vertical="center"/>
    </xf>
    <xf numFmtId="0" fontId="0" fillId="0" borderId="40" xfId="0" applyFill="1" applyBorder="1" applyAlignment="1">
      <alignment horizontal="center" vertical="center"/>
    </xf>
    <xf numFmtId="0" fontId="27" fillId="0" borderId="47" xfId="0" applyFont="1" applyFill="1" applyBorder="1" applyAlignment="1">
      <alignment horizontal="center" vertical="center"/>
    </xf>
    <xf numFmtId="0" fontId="0" fillId="0" borderId="47" xfId="0" applyFill="1" applyBorder="1" applyAlignment="1">
      <alignment horizontal="center" vertical="center"/>
    </xf>
    <xf numFmtId="0" fontId="27" fillId="0" borderId="63" xfId="0" applyFont="1" applyFill="1" applyBorder="1" applyAlignment="1">
      <alignment horizontal="center" vertical="center" wrapText="1"/>
    </xf>
    <xf numFmtId="0" fontId="0" fillId="0" borderId="64" xfId="0" applyFill="1" applyBorder="1" applyAlignment="1">
      <alignment horizontal="center" vertical="center"/>
    </xf>
    <xf numFmtId="0" fontId="0" fillId="0" borderId="46" xfId="0" applyFill="1" applyBorder="1" applyAlignment="1">
      <alignment horizontal="center" vertical="center"/>
    </xf>
    <xf numFmtId="0" fontId="0" fillId="0" borderId="48" xfId="0" applyFill="1" applyBorder="1" applyAlignment="1">
      <alignment horizontal="center" vertical="center"/>
    </xf>
    <xf numFmtId="0" fontId="0" fillId="0" borderId="63" xfId="0" applyFill="1" applyBorder="1" applyAlignment="1">
      <alignment horizontal="center" vertical="center"/>
    </xf>
    <xf numFmtId="0" fontId="0" fillId="0" borderId="0" xfId="0" applyFill="1" applyBorder="1" applyAlignment="1">
      <alignment horizontal="center" vertical="center"/>
    </xf>
    <xf numFmtId="0" fontId="66" fillId="0" borderId="0" xfId="0" applyFont="1" applyFill="1" applyAlignment="1">
      <alignment vertical="center"/>
    </xf>
    <xf numFmtId="177" fontId="66" fillId="0" borderId="0" xfId="0" applyNumberFormat="1" applyFont="1" applyFill="1" applyAlignment="1">
      <alignment vertical="center"/>
    </xf>
    <xf numFmtId="0" fontId="67" fillId="0" borderId="0" xfId="0" applyFont="1" applyFill="1" applyBorder="1" applyAlignment="1">
      <alignment horizontal="center" vertical="center"/>
    </xf>
    <xf numFmtId="0" fontId="66" fillId="0" borderId="35" xfId="0" applyFont="1" applyFill="1" applyBorder="1" applyAlignment="1">
      <alignment horizontal="center" vertical="center" wrapText="1"/>
    </xf>
    <xf numFmtId="0" fontId="66" fillId="0" borderId="35" xfId="0" applyFont="1" applyFill="1" applyBorder="1" applyAlignment="1">
      <alignment horizontal="center" vertical="center"/>
    </xf>
    <xf numFmtId="177" fontId="66" fillId="0" borderId="35" xfId="0" applyNumberFormat="1" applyFont="1" applyFill="1" applyBorder="1" applyAlignment="1">
      <alignment horizontal="center" vertical="center" wrapText="1"/>
    </xf>
    <xf numFmtId="0" fontId="66" fillId="21" borderId="35" xfId="0" applyFont="1" applyFill="1" applyBorder="1" applyAlignment="1">
      <alignment horizontal="center" vertical="center"/>
    </xf>
    <xf numFmtId="177" fontId="66" fillId="0" borderId="35" xfId="0" applyNumberFormat="1" applyFont="1" applyFill="1" applyBorder="1" applyAlignment="1">
      <alignment horizontal="center" vertical="center"/>
    </xf>
    <xf numFmtId="0" fontId="68" fillId="0" borderId="35" xfId="0" applyFont="1" applyFill="1" applyBorder="1" applyAlignment="1">
      <alignment horizontal="center" vertical="center"/>
    </xf>
    <xf numFmtId="177" fontId="68" fillId="0" borderId="35" xfId="0" applyNumberFormat="1" applyFont="1" applyFill="1" applyBorder="1" applyAlignment="1">
      <alignment horizontal="center" vertical="center"/>
    </xf>
    <xf numFmtId="0" fontId="42" fillId="18" borderId="65" xfId="0" applyFont="1" applyFill="1" applyBorder="1" applyAlignment="1">
      <alignment horizontal="left" vertical="center"/>
    </xf>
    <xf numFmtId="0" fontId="42" fillId="18" borderId="66" xfId="0" applyFont="1" applyFill="1" applyBorder="1" applyAlignment="1">
      <alignment horizontal="left" vertical="center"/>
    </xf>
    <xf numFmtId="0" fontId="69" fillId="18" borderId="67" xfId="0" applyFont="1" applyFill="1" applyBorder="1" applyAlignment="1">
      <alignment horizontal="left" vertical="center"/>
    </xf>
    <xf numFmtId="0" fontId="0" fillId="0" borderId="0" xfId="0" applyFill="1" applyAlignment="1">
      <alignment horizontal="left" vertical="center"/>
    </xf>
    <xf numFmtId="0" fontId="42" fillId="18" borderId="68" xfId="0" applyFont="1" applyFill="1" applyBorder="1" applyAlignment="1">
      <alignment horizontal="left" vertical="center"/>
    </xf>
    <xf numFmtId="0" fontId="42" fillId="18" borderId="35" xfId="0" applyFont="1" applyFill="1" applyBorder="1" applyAlignment="1">
      <alignment horizontal="left" vertical="center"/>
    </xf>
    <xf numFmtId="0" fontId="69" fillId="18" borderId="69" xfId="0" applyFont="1" applyFill="1" applyBorder="1" applyAlignment="1">
      <alignment horizontal="left" vertical="center"/>
    </xf>
    <xf numFmtId="0" fontId="0" fillId="0" borderId="65" xfId="0" applyFill="1" applyBorder="1" applyAlignment="1">
      <alignment horizontal="center" vertical="center"/>
    </xf>
    <xf numFmtId="0" fontId="0" fillId="0" borderId="67" xfId="0" applyFill="1" applyBorder="1" applyAlignment="1">
      <alignment horizontal="center" vertical="center"/>
    </xf>
    <xf numFmtId="0" fontId="27" fillId="0" borderId="68" xfId="0" applyFont="1" applyFill="1" applyBorder="1" applyAlignment="1">
      <alignment horizontal="left" vertical="center"/>
    </xf>
    <xf numFmtId="0" fontId="27" fillId="0" borderId="69" xfId="0" applyFont="1" applyFill="1" applyBorder="1" applyAlignment="1">
      <alignment horizontal="left" vertical="center"/>
    </xf>
    <xf numFmtId="0" fontId="42" fillId="18" borderId="69" xfId="0" applyFont="1" applyFill="1" applyBorder="1" applyAlignment="1">
      <alignment horizontal="left" vertical="center"/>
    </xf>
    <xf numFmtId="0" fontId="70" fillId="0" borderId="69" xfId="0" applyFont="1" applyFill="1" applyBorder="1" applyAlignment="1">
      <alignment horizontal="left" vertical="center"/>
    </xf>
    <xf numFmtId="0" fontId="0" fillId="0" borderId="68" xfId="0" applyFill="1" applyBorder="1" applyAlignment="1">
      <alignment horizontal="left" vertical="center"/>
    </xf>
    <xf numFmtId="0" fontId="0" fillId="0" borderId="69" xfId="0" applyFill="1" applyBorder="1" applyAlignment="1">
      <alignment horizontal="left" vertical="center"/>
    </xf>
    <xf numFmtId="0" fontId="0" fillId="0" borderId="68" xfId="0" applyFill="1" applyBorder="1" applyAlignment="1">
      <alignment vertical="center"/>
    </xf>
    <xf numFmtId="0" fontId="0" fillId="0" borderId="35" xfId="0" applyFill="1" applyBorder="1" applyAlignment="1">
      <alignment vertical="center"/>
    </xf>
    <xf numFmtId="0" fontId="42" fillId="18" borderId="70" xfId="0" applyFont="1" applyFill="1" applyBorder="1" applyAlignment="1">
      <alignment horizontal="left" vertical="center"/>
    </xf>
    <xf numFmtId="0" fontId="42" fillId="18" borderId="71" xfId="0" applyFont="1" applyFill="1" applyBorder="1" applyAlignment="1">
      <alignment horizontal="left" vertical="center"/>
    </xf>
    <xf numFmtId="0" fontId="70" fillId="18" borderId="72" xfId="0" applyFont="1" applyFill="1" applyBorder="1" applyAlignment="1">
      <alignment horizontal="left" vertical="center"/>
    </xf>
    <xf numFmtId="0" fontId="27" fillId="0" borderId="68" xfId="0" applyFont="1" applyFill="1" applyBorder="1" applyAlignment="1">
      <alignment vertical="center"/>
    </xf>
    <xf numFmtId="0" fontId="27" fillId="0" borderId="69" xfId="0" applyFont="1" applyFill="1" applyBorder="1" applyAlignment="1">
      <alignment horizontal="center" vertical="center"/>
    </xf>
    <xf numFmtId="0" fontId="0" fillId="0" borderId="65" xfId="0" applyFill="1" applyBorder="1" applyAlignment="1">
      <alignment vertical="center"/>
    </xf>
    <xf numFmtId="0" fontId="0" fillId="0" borderId="66" xfId="0" applyFill="1" applyBorder="1" applyAlignment="1">
      <alignment vertical="center"/>
    </xf>
    <xf numFmtId="0" fontId="0" fillId="0" borderId="67" xfId="0" applyFill="1" applyBorder="1" applyAlignment="1">
      <alignment horizontal="left" vertical="center"/>
    </xf>
    <xf numFmtId="0" fontId="0" fillId="0" borderId="69" xfId="0" applyFill="1" applyBorder="1" applyAlignment="1">
      <alignment horizontal="center" vertical="center"/>
    </xf>
    <xf numFmtId="0" fontId="17" fillId="0" borderId="73" xfId="0" applyFont="1" applyFill="1" applyBorder="1" applyAlignment="1">
      <alignment vertical="center"/>
    </xf>
    <xf numFmtId="0" fontId="0" fillId="0" borderId="74" xfId="0" applyFill="1" applyBorder="1" applyAlignment="1">
      <alignment vertical="center"/>
    </xf>
    <xf numFmtId="0" fontId="0" fillId="0" borderId="75" xfId="0" applyFill="1" applyBorder="1" applyAlignment="1">
      <alignment horizontal="left" vertical="center"/>
    </xf>
    <xf numFmtId="0" fontId="17" fillId="0" borderId="68" xfId="0" applyFont="1" applyFill="1" applyBorder="1" applyAlignment="1">
      <alignment vertical="center"/>
    </xf>
    <xf numFmtId="0" fontId="0" fillId="0" borderId="70" xfId="0" applyFill="1" applyBorder="1" applyAlignment="1">
      <alignment horizontal="left" vertical="center"/>
    </xf>
    <xf numFmtId="0" fontId="0" fillId="0" borderId="72" xfId="0" applyFill="1" applyBorder="1" applyAlignment="1">
      <alignment horizontal="center" vertical="center"/>
    </xf>
    <xf numFmtId="0" fontId="42" fillId="13" borderId="65" xfId="0" applyFont="1" applyFill="1" applyBorder="1" applyAlignment="1">
      <alignment horizontal="left" vertical="center"/>
    </xf>
    <xf numFmtId="0" fontId="42" fillId="13" borderId="66" xfId="0" applyFont="1" applyFill="1" applyBorder="1" applyAlignment="1">
      <alignment horizontal="left" vertical="center"/>
    </xf>
    <xf numFmtId="0" fontId="42" fillId="13" borderId="67" xfId="0" applyFont="1" applyFill="1" applyBorder="1" applyAlignment="1">
      <alignment horizontal="left" vertical="center"/>
    </xf>
    <xf numFmtId="0" fontId="71" fillId="22" borderId="70" xfId="0" applyFont="1" applyFill="1" applyBorder="1" applyAlignment="1">
      <alignment horizontal="left" vertical="center"/>
    </xf>
    <xf numFmtId="0" fontId="71" fillId="22" borderId="71" xfId="0" applyFont="1" applyFill="1" applyBorder="1" applyAlignment="1">
      <alignment horizontal="left" vertical="center"/>
    </xf>
    <xf numFmtId="0" fontId="71" fillId="22" borderId="72" xfId="0" applyFont="1" applyFill="1" applyBorder="1" applyAlignment="1">
      <alignment horizontal="left" vertical="center"/>
    </xf>
    <xf numFmtId="0" fontId="72" fillId="23" borderId="65" xfId="0" applyFont="1" applyFill="1" applyBorder="1" applyAlignment="1">
      <alignment horizontal="left" vertical="center"/>
    </xf>
    <xf numFmtId="0" fontId="72" fillId="23" borderId="66" xfId="0" applyFont="1" applyFill="1" applyBorder="1" applyAlignment="1">
      <alignment horizontal="left" vertical="center"/>
    </xf>
    <xf numFmtId="0" fontId="72" fillId="23" borderId="67" xfId="0" applyFont="1" applyFill="1" applyBorder="1" applyAlignment="1">
      <alignment horizontal="left" vertical="center"/>
    </xf>
    <xf numFmtId="0" fontId="17" fillId="0" borderId="35" xfId="0" applyFont="1" applyFill="1" applyBorder="1" applyAlignment="1">
      <alignment vertical="center"/>
    </xf>
    <xf numFmtId="0" fontId="17" fillId="0" borderId="69" xfId="0" applyFont="1" applyFill="1" applyBorder="1" applyAlignment="1">
      <alignment horizontal="left" vertical="center"/>
    </xf>
    <xf numFmtId="0" fontId="72" fillId="23" borderId="68" xfId="0" applyFont="1" applyFill="1" applyBorder="1" applyAlignment="1">
      <alignment horizontal="left" vertical="center"/>
    </xf>
    <xf numFmtId="0" fontId="72" fillId="23" borderId="35" xfId="0" applyFont="1" applyFill="1" applyBorder="1" applyAlignment="1">
      <alignment horizontal="left" vertical="center"/>
    </xf>
    <xf numFmtId="0" fontId="72" fillId="23" borderId="69" xfId="0" applyFont="1" applyFill="1" applyBorder="1" applyAlignment="1">
      <alignment horizontal="left" vertical="center"/>
    </xf>
    <xf numFmtId="0" fontId="27" fillId="0" borderId="35" xfId="0" applyFont="1" applyFill="1" applyBorder="1" applyAlignment="1">
      <alignment horizontal="left" vertical="center"/>
    </xf>
    <xf numFmtId="0" fontId="27" fillId="0" borderId="0" xfId="0" applyFont="1" applyFill="1" applyAlignment="1">
      <alignment horizontal="center" vertical="center"/>
    </xf>
    <xf numFmtId="0" fontId="0" fillId="0" borderId="68" xfId="0" applyFont="1" applyFill="1" applyBorder="1" applyAlignment="1">
      <alignment vertical="center"/>
    </xf>
    <xf numFmtId="0" fontId="72" fillId="23" borderId="70" xfId="0" applyFont="1" applyFill="1" applyBorder="1" applyAlignment="1">
      <alignment horizontal="left" vertical="center"/>
    </xf>
    <xf numFmtId="0" fontId="72" fillId="23" borderId="71" xfId="0" applyFont="1" applyFill="1" applyBorder="1" applyAlignment="1">
      <alignment horizontal="left" vertical="center"/>
    </xf>
    <xf numFmtId="0" fontId="72" fillId="23" borderId="72" xfId="0" applyFont="1" applyFill="1" applyBorder="1" applyAlignment="1">
      <alignment horizontal="left" vertical="center"/>
    </xf>
    <xf numFmtId="0" fontId="73" fillId="23" borderId="63" xfId="0" applyFont="1" applyFill="1" applyBorder="1" applyAlignment="1">
      <alignment horizontal="left" vertical="center"/>
    </xf>
    <xf numFmtId="0" fontId="0" fillId="0" borderId="69" xfId="0" applyFont="1" applyFill="1" applyBorder="1" applyAlignment="1">
      <alignment horizontal="left" vertical="center"/>
    </xf>
    <xf numFmtId="0" fontId="17" fillId="0" borderId="79" xfId="0" applyFont="1" applyFill="1" applyBorder="1" applyAlignment="1">
      <alignment vertical="center"/>
    </xf>
    <xf numFmtId="0" fontId="0" fillId="0" borderId="71" xfId="0" applyFill="1" applyBorder="1" applyAlignment="1">
      <alignment vertical="center"/>
    </xf>
    <xf numFmtId="0" fontId="0" fillId="0" borderId="72" xfId="0" applyFill="1" applyBorder="1" applyAlignment="1">
      <alignment horizontal="left" vertical="center"/>
    </xf>
    <xf numFmtId="0" fontId="17" fillId="0" borderId="66" xfId="0" applyFont="1" applyFill="1" applyBorder="1" applyAlignment="1">
      <alignment horizontal="left" vertical="center"/>
    </xf>
    <xf numFmtId="0" fontId="69" fillId="0" borderId="67" xfId="0" applyFont="1" applyFill="1" applyBorder="1" applyAlignment="1">
      <alignment horizontal="left" vertical="center"/>
    </xf>
    <xf numFmtId="0" fontId="0" fillId="0" borderId="70" xfId="0" applyFill="1" applyBorder="1" applyAlignment="1">
      <alignment vertical="center"/>
    </xf>
    <xf numFmtId="0" fontId="0" fillId="0" borderId="71" xfId="0" applyFill="1" applyBorder="1" applyAlignment="1">
      <alignment horizontal="left" vertical="center"/>
    </xf>
    <xf numFmtId="0" fontId="71" fillId="0" borderId="72" xfId="0" applyFont="1" applyFill="1" applyBorder="1" applyAlignment="1">
      <alignment horizontal="left" vertical="center"/>
    </xf>
    <xf numFmtId="0" fontId="0" fillId="0" borderId="0" xfId="0" applyFill="1" applyBorder="1" applyAlignment="1">
      <alignment horizontal="left" vertical="center"/>
    </xf>
    <xf numFmtId="0" fontId="0" fillId="0" borderId="66" xfId="0" applyFill="1" applyBorder="1" applyAlignment="1">
      <alignment horizontal="center" vertical="top"/>
    </xf>
    <xf numFmtId="0" fontId="19" fillId="0" borderId="35" xfId="0" applyFont="1" applyFill="1" applyBorder="1" applyAlignment="1">
      <alignment horizontal="center"/>
    </xf>
    <xf numFmtId="0" fontId="0" fillId="0" borderId="81" xfId="0" applyFill="1" applyBorder="1" applyAlignment="1">
      <alignment vertical="center"/>
    </xf>
    <xf numFmtId="0" fontId="0" fillId="0" borderId="83" xfId="0" applyFill="1" applyBorder="1" applyAlignment="1">
      <alignment vertical="center"/>
    </xf>
    <xf numFmtId="0" fontId="0" fillId="0" borderId="83" xfId="0" applyFill="1" applyBorder="1" applyAlignment="1">
      <alignment horizontal="center"/>
    </xf>
    <xf numFmtId="0" fontId="0" fillId="0" borderId="68" xfId="0" applyFill="1" applyBorder="1" applyAlignment="1">
      <alignment horizontal="center" vertical="center"/>
    </xf>
    <xf numFmtId="0" fontId="0" fillId="0" borderId="35" xfId="0" applyFill="1" applyBorder="1" applyAlignment="1">
      <alignment horizontal="center"/>
    </xf>
    <xf numFmtId="0" fontId="17" fillId="0" borderId="35" xfId="0" applyFont="1" applyFill="1" applyBorder="1" applyAlignment="1">
      <alignment horizontal="center"/>
    </xf>
    <xf numFmtId="1" fontId="0" fillId="0" borderId="35" xfId="0" applyNumberFormat="1" applyFill="1" applyBorder="1" applyAlignment="1">
      <alignment horizontal="center"/>
    </xf>
    <xf numFmtId="0" fontId="0" fillId="0" borderId="81" xfId="0" applyFill="1" applyBorder="1" applyAlignment="1">
      <alignment horizontal="center"/>
    </xf>
    <xf numFmtId="0" fontId="17" fillId="0" borderId="81" xfId="0" applyFont="1" applyFill="1" applyBorder="1" applyAlignment="1">
      <alignment horizontal="center"/>
    </xf>
    <xf numFmtId="0" fontId="17" fillId="0" borderId="83" xfId="0" applyFont="1" applyFill="1" applyBorder="1" applyAlignment="1">
      <alignment horizontal="center"/>
    </xf>
    <xf numFmtId="0" fontId="0" fillId="0" borderId="71" xfId="0" applyFill="1" applyBorder="1" applyAlignment="1">
      <alignment horizontal="center"/>
    </xf>
    <xf numFmtId="0" fontId="17" fillId="0" borderId="71" xfId="0" applyFont="1" applyFill="1" applyBorder="1" applyAlignment="1">
      <alignment horizontal="center"/>
    </xf>
    <xf numFmtId="0" fontId="0" fillId="0" borderId="66" xfId="0" applyFill="1" applyBorder="1" applyAlignment="1">
      <alignment horizontal="center" vertical="center"/>
    </xf>
    <xf numFmtId="0" fontId="0" fillId="0" borderId="67" xfId="0" applyFill="1" applyBorder="1" applyAlignment="1">
      <alignment vertical="center"/>
    </xf>
    <xf numFmtId="0" fontId="74" fillId="0" borderId="35" xfId="0" applyFont="1" applyFill="1" applyBorder="1" applyAlignment="1">
      <alignment vertical="center"/>
    </xf>
    <xf numFmtId="0" fontId="0" fillId="0" borderId="69" xfId="0" applyFill="1" applyBorder="1" applyAlignment="1">
      <alignment vertical="center"/>
    </xf>
    <xf numFmtId="0" fontId="0" fillId="0" borderId="35" xfId="0" applyFont="1" applyFill="1" applyBorder="1" applyAlignment="1">
      <alignment vertical="center"/>
    </xf>
    <xf numFmtId="0" fontId="0" fillId="0" borderId="69" xfId="0" applyFont="1" applyFill="1" applyBorder="1" applyAlignment="1">
      <alignment vertical="center"/>
    </xf>
    <xf numFmtId="0" fontId="0" fillId="0" borderId="71" xfId="0" applyFont="1" applyFill="1" applyBorder="1" applyAlignment="1">
      <alignment vertical="center"/>
    </xf>
    <xf numFmtId="0" fontId="0" fillId="0" borderId="72" xfId="0" applyFont="1" applyFill="1" applyBorder="1" applyAlignment="1">
      <alignment vertical="center"/>
    </xf>
    <xf numFmtId="0" fontId="0" fillId="0" borderId="84" xfId="0" applyFill="1" applyBorder="1" applyAlignment="1">
      <alignment horizontal="center"/>
    </xf>
    <xf numFmtId="0" fontId="0" fillId="0" borderId="69" xfId="0" applyFill="1" applyBorder="1" applyAlignment="1">
      <alignment horizontal="center"/>
    </xf>
    <xf numFmtId="0" fontId="0" fillId="0" borderId="85" xfId="0" applyFill="1" applyBorder="1" applyAlignment="1">
      <alignment horizontal="center"/>
    </xf>
    <xf numFmtId="0" fontId="0" fillId="0" borderId="72" xfId="0" applyFill="1" applyBorder="1" applyAlignment="1">
      <alignment horizontal="center"/>
    </xf>
    <xf numFmtId="0" fontId="27" fillId="21" borderId="68" xfId="0" applyFont="1" applyFill="1" applyBorder="1" applyAlignment="1">
      <alignment horizontal="center" vertical="center"/>
    </xf>
    <xf numFmtId="0" fontId="0" fillId="21" borderId="35" xfId="0" applyFont="1" applyFill="1" applyBorder="1" applyAlignment="1">
      <alignment horizontal="center" vertical="center"/>
    </xf>
    <xf numFmtId="0" fontId="27" fillId="21" borderId="35" xfId="0" applyFont="1" applyFill="1" applyBorder="1" applyAlignment="1">
      <alignment horizontal="center" vertical="center"/>
    </xf>
    <xf numFmtId="0" fontId="0" fillId="0" borderId="69" xfId="0" applyFont="1" applyFill="1" applyBorder="1" applyAlignment="1">
      <alignment horizontal="center" vertical="center"/>
    </xf>
    <xf numFmtId="0" fontId="0" fillId="21" borderId="69" xfId="0" applyFont="1" applyFill="1" applyBorder="1" applyAlignment="1">
      <alignment horizontal="center" vertical="center"/>
    </xf>
    <xf numFmtId="0" fontId="36" fillId="21" borderId="68" xfId="0" applyFont="1" applyFill="1" applyBorder="1" applyAlignment="1">
      <alignment horizontal="center" vertical="center"/>
    </xf>
    <xf numFmtId="0" fontId="27" fillId="24" borderId="70" xfId="0" applyFont="1" applyFill="1" applyBorder="1" applyAlignment="1">
      <alignment horizontal="center" vertical="center"/>
    </xf>
    <xf numFmtId="0" fontId="0" fillId="24" borderId="72" xfId="0" applyFont="1" applyFill="1" applyBorder="1" applyAlignment="1">
      <alignment horizontal="center" vertical="center"/>
    </xf>
    <xf numFmtId="0" fontId="0" fillId="24" borderId="71" xfId="0" applyFont="1" applyFill="1" applyBorder="1" applyAlignment="1">
      <alignment horizontal="center" vertical="center"/>
    </xf>
    <xf numFmtId="0" fontId="27" fillId="24" borderId="71" xfId="0" applyFont="1" applyFill="1" applyBorder="1" applyAlignment="1">
      <alignment horizontal="center" vertical="center"/>
    </xf>
    <xf numFmtId="0" fontId="0" fillId="0" borderId="0" xfId="0" applyFont="1" applyFill="1" applyBorder="1" applyAlignment="1">
      <alignment horizontal="center" vertical="center"/>
    </xf>
    <xf numFmtId="0" fontId="27" fillId="21" borderId="65" xfId="0" applyFont="1" applyFill="1" applyBorder="1" applyAlignment="1">
      <alignment horizontal="center" vertical="center"/>
    </xf>
    <xf numFmtId="0" fontId="0" fillId="21" borderId="67" xfId="0" applyFont="1" applyFill="1" applyBorder="1" applyAlignment="1">
      <alignment horizontal="center" vertical="center"/>
    </xf>
    <xf numFmtId="0" fontId="0" fillId="0" borderId="68" xfId="0" applyFont="1" applyFill="1" applyBorder="1" applyAlignment="1">
      <alignment horizontal="center" vertical="center"/>
    </xf>
    <xf numFmtId="0" fontId="27" fillId="24" borderId="68" xfId="0" applyFont="1" applyFill="1" applyBorder="1" applyAlignment="1">
      <alignment horizontal="center" vertical="center"/>
    </xf>
    <xf numFmtId="0" fontId="0" fillId="24" borderId="69" xfId="0" applyFont="1" applyFill="1" applyBorder="1" applyAlignment="1">
      <alignment horizontal="center" vertical="center"/>
    </xf>
    <xf numFmtId="0" fontId="27" fillId="0" borderId="0" xfId="0" applyFont="1" applyFill="1" applyBorder="1" applyAlignment="1">
      <alignment horizontal="center" vertical="center"/>
    </xf>
    <xf numFmtId="0" fontId="26" fillId="0" borderId="0" xfId="0" applyFont="1" applyFill="1" applyBorder="1" applyAlignment="1">
      <alignment horizontal="center" vertical="center"/>
    </xf>
    <xf numFmtId="0" fontId="27" fillId="0" borderId="65" xfId="0" applyFont="1" applyFill="1" applyBorder="1" applyAlignment="1">
      <alignment horizontal="center" vertical="center"/>
    </xf>
    <xf numFmtId="0" fontId="0" fillId="0" borderId="67" xfId="0" applyFont="1" applyFill="1" applyBorder="1" applyAlignment="1">
      <alignment horizontal="center" vertical="center"/>
    </xf>
    <xf numFmtId="0" fontId="27" fillId="0" borderId="68" xfId="0" applyFont="1" applyFill="1" applyBorder="1" applyAlignment="1">
      <alignment horizontal="center" vertical="center"/>
    </xf>
    <xf numFmtId="0" fontId="17" fillId="24" borderId="73" xfId="0" applyFont="1" applyFill="1" applyBorder="1" applyAlignment="1">
      <alignment horizontal="center" vertical="center"/>
    </xf>
    <xf numFmtId="0" fontId="0" fillId="24" borderId="75" xfId="0" applyFont="1" applyFill="1" applyBorder="1" applyAlignment="1">
      <alignment horizontal="center" vertical="center"/>
    </xf>
    <xf numFmtId="0" fontId="17" fillId="24" borderId="70" xfId="0" applyFont="1" applyFill="1" applyBorder="1" applyAlignment="1">
      <alignment horizontal="center" vertical="center"/>
    </xf>
    <xf numFmtId="0" fontId="42" fillId="18" borderId="66" xfId="0" applyFont="1" applyFill="1" applyBorder="1" applyAlignment="1">
      <alignment horizontal="center" vertical="center"/>
    </xf>
    <xf numFmtId="0" fontId="42" fillId="18" borderId="35" xfId="0" applyFont="1" applyFill="1" applyBorder="1" applyAlignment="1">
      <alignment horizontal="center" vertical="center"/>
    </xf>
    <xf numFmtId="0" fontId="17" fillId="0" borderId="65" xfId="0" applyFont="1" applyFill="1" applyBorder="1" applyAlignment="1">
      <alignment vertical="center"/>
    </xf>
    <xf numFmtId="0" fontId="0" fillId="0" borderId="35" xfId="0" applyFont="1" applyFill="1" applyBorder="1" applyAlignment="1">
      <alignment horizontal="center" vertical="center" wrapText="1"/>
    </xf>
    <xf numFmtId="0" fontId="69" fillId="18" borderId="68" xfId="0" applyFont="1" applyFill="1" applyBorder="1" applyAlignment="1">
      <alignment horizontal="left" vertical="center"/>
    </xf>
    <xf numFmtId="0" fontId="69" fillId="18" borderId="35" xfId="0" applyFont="1" applyFill="1" applyBorder="1" applyAlignment="1">
      <alignment horizontal="center" vertical="center"/>
    </xf>
    <xf numFmtId="0" fontId="17" fillId="0" borderId="35" xfId="0" applyFont="1" applyFill="1" applyBorder="1" applyAlignment="1">
      <alignment horizontal="center" vertical="center"/>
    </xf>
    <xf numFmtId="0" fontId="42" fillId="18" borderId="71" xfId="0" applyFont="1" applyFill="1" applyBorder="1" applyAlignment="1">
      <alignment horizontal="center" vertical="center"/>
    </xf>
    <xf numFmtId="0" fontId="0" fillId="12" borderId="68" xfId="0" applyFont="1" applyFill="1" applyBorder="1" applyAlignment="1">
      <alignment horizontal="center"/>
    </xf>
    <xf numFmtId="0" fontId="0" fillId="12" borderId="35" xfId="0" applyFont="1" applyFill="1" applyBorder="1" applyAlignment="1">
      <alignment horizontal="center"/>
    </xf>
    <xf numFmtId="0" fontId="0" fillId="12" borderId="69" xfId="0" applyFont="1" applyFill="1" applyBorder="1" applyAlignment="1">
      <alignment horizontal="center"/>
    </xf>
    <xf numFmtId="0" fontId="72" fillId="23" borderId="35" xfId="0" applyFont="1" applyFill="1" applyBorder="1" applyAlignment="1">
      <alignment horizontal="center" vertical="center"/>
    </xf>
    <xf numFmtId="0" fontId="0" fillId="24" borderId="68" xfId="0" applyFill="1" applyBorder="1" applyAlignment="1">
      <alignment horizontal="left" vertical="center"/>
    </xf>
    <xf numFmtId="0" fontId="0" fillId="24" borderId="35" xfId="0" applyFill="1" applyBorder="1" applyAlignment="1">
      <alignment horizontal="left" vertical="center"/>
    </xf>
    <xf numFmtId="0" fontId="0" fillId="24" borderId="70" xfId="0" applyFill="1" applyBorder="1" applyAlignment="1">
      <alignment horizontal="left" vertical="center"/>
    </xf>
    <xf numFmtId="0" fontId="0" fillId="24" borderId="71" xfId="0" applyFill="1" applyBorder="1" applyAlignment="1">
      <alignment horizontal="left" vertical="center"/>
    </xf>
    <xf numFmtId="0" fontId="73" fillId="23" borderId="71" xfId="0" applyFont="1" applyFill="1" applyBorder="1" applyAlignment="1">
      <alignment horizontal="center" vertical="center"/>
    </xf>
    <xf numFmtId="0" fontId="0" fillId="12" borderId="68" xfId="0" applyFont="1" applyFill="1" applyBorder="1" applyAlignment="1">
      <alignment vertical="center"/>
    </xf>
    <xf numFmtId="0" fontId="17" fillId="12" borderId="35" xfId="0" applyFont="1" applyFill="1" applyBorder="1" applyAlignment="1">
      <alignment horizontal="center"/>
    </xf>
    <xf numFmtId="0" fontId="0" fillId="0" borderId="35" xfId="0" applyFont="1" applyFill="1" applyBorder="1" applyAlignment="1">
      <alignment horizontal="center"/>
    </xf>
    <xf numFmtId="0" fontId="0" fillId="24" borderId="70" xfId="0" applyFont="1" applyFill="1" applyBorder="1" applyAlignment="1">
      <alignment vertical="center"/>
    </xf>
    <xf numFmtId="0" fontId="0" fillId="24" borderId="71" xfId="0" applyFont="1" applyFill="1" applyBorder="1" applyAlignment="1">
      <alignment horizontal="center"/>
    </xf>
    <xf numFmtId="0" fontId="0" fillId="24" borderId="69" xfId="0" applyFill="1" applyBorder="1" applyAlignment="1">
      <alignment horizontal="left" vertical="center"/>
    </xf>
    <xf numFmtId="0" fontId="0" fillId="24" borderId="72" xfId="0" applyFill="1" applyBorder="1" applyAlignment="1">
      <alignment horizontal="left" vertical="center"/>
    </xf>
    <xf numFmtId="0" fontId="0" fillId="0" borderId="69" xfId="0" applyFont="1" applyFill="1" applyBorder="1" applyAlignment="1">
      <alignment horizontal="left"/>
    </xf>
    <xf numFmtId="0" fontId="0" fillId="24" borderId="72" xfId="0" applyFont="1" applyFill="1" applyBorder="1" applyAlignment="1">
      <alignment horizontal="left"/>
    </xf>
    <xf numFmtId="0" fontId="27" fillId="0" borderId="0" xfId="0" applyFont="1" applyFill="1" applyBorder="1" applyAlignment="1">
      <alignment horizontal="left" vertical="center"/>
    </xf>
    <xf numFmtId="0" fontId="0" fillId="12" borderId="65" xfId="0" applyFill="1" applyBorder="1" applyAlignment="1">
      <alignment vertical="center"/>
    </xf>
    <xf numFmtId="0" fontId="0" fillId="12" borderId="66" xfId="0" applyFill="1" applyBorder="1" applyAlignment="1">
      <alignment horizontal="center" vertical="center"/>
    </xf>
    <xf numFmtId="0" fontId="0" fillId="12" borderId="67" xfId="0" applyFill="1" applyBorder="1" applyAlignment="1">
      <alignment horizontal="center" vertical="center"/>
    </xf>
    <xf numFmtId="0" fontId="0" fillId="12" borderId="35" xfId="0" applyFill="1" applyBorder="1" applyAlignment="1">
      <alignment vertical="center"/>
    </xf>
    <xf numFmtId="0" fontId="17" fillId="12" borderId="35" xfId="0" applyFont="1" applyFill="1" applyBorder="1" applyAlignment="1">
      <alignment horizontal="center" vertical="center"/>
    </xf>
    <xf numFmtId="0" fontId="0" fillId="12" borderId="35" xfId="0" applyFill="1" applyBorder="1" applyAlignment="1">
      <alignment horizontal="center" vertical="center"/>
    </xf>
    <xf numFmtId="0" fontId="0" fillId="12" borderId="69" xfId="0" applyFill="1" applyBorder="1" applyAlignment="1">
      <alignment horizontal="center" vertical="center"/>
    </xf>
    <xf numFmtId="0" fontId="0" fillId="12" borderId="35" xfId="0" applyFont="1" applyFill="1" applyBorder="1" applyAlignment="1">
      <alignment horizontal="center" vertical="center"/>
    </xf>
    <xf numFmtId="0" fontId="0" fillId="17" borderId="35" xfId="0" applyFill="1" applyBorder="1" applyAlignment="1">
      <alignment vertical="center"/>
    </xf>
    <xf numFmtId="0" fontId="17" fillId="17" borderId="35" xfId="0" applyFont="1" applyFill="1" applyBorder="1" applyAlignment="1">
      <alignment horizontal="center" vertical="center"/>
    </xf>
    <xf numFmtId="0" fontId="0" fillId="17" borderId="35" xfId="0" applyFill="1" applyBorder="1" applyAlignment="1">
      <alignment horizontal="center" vertical="center"/>
    </xf>
    <xf numFmtId="0" fontId="0" fillId="17" borderId="69" xfId="0" applyFill="1" applyBorder="1" applyAlignment="1">
      <alignment horizontal="center" vertical="center"/>
    </xf>
    <xf numFmtId="0" fontId="17" fillId="17" borderId="69" xfId="0" applyFont="1" applyFill="1" applyBorder="1" applyAlignment="1">
      <alignment horizontal="center" vertical="center"/>
    </xf>
    <xf numFmtId="0" fontId="0" fillId="17" borderId="71" xfId="0" applyFill="1" applyBorder="1" applyAlignment="1">
      <alignment vertical="center"/>
    </xf>
    <xf numFmtId="0" fontId="17" fillId="17" borderId="71" xfId="0" applyFont="1" applyFill="1" applyBorder="1" applyAlignment="1">
      <alignment horizontal="center" vertical="center"/>
    </xf>
    <xf numFmtId="0" fontId="0" fillId="17" borderId="71" xfId="0" applyFill="1" applyBorder="1" applyAlignment="1">
      <alignment horizontal="center" vertical="center"/>
    </xf>
    <xf numFmtId="0" fontId="0" fillId="17" borderId="72" xfId="0" applyFill="1" applyBorder="1" applyAlignment="1">
      <alignment horizontal="center" vertical="center"/>
    </xf>
    <xf numFmtId="0" fontId="0" fillId="0" borderId="0" xfId="0" applyFill="1" applyAlignment="1">
      <alignment horizontal="right" vertical="center"/>
    </xf>
    <xf numFmtId="0" fontId="66" fillId="0" borderId="74" xfId="0" applyFont="1" applyFill="1" applyBorder="1" applyAlignment="1">
      <alignment horizontal="center" vertical="center"/>
    </xf>
    <xf numFmtId="0" fontId="66" fillId="0" borderId="36" xfId="0" applyFont="1" applyFill="1" applyBorder="1" applyAlignment="1">
      <alignment vertical="center"/>
    </xf>
    <xf numFmtId="0" fontId="66" fillId="0" borderId="35" xfId="0"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vertical="center"/>
    </xf>
    <xf numFmtId="0" fontId="66" fillId="0" borderId="74" xfId="0" applyFont="1" applyFill="1" applyBorder="1" applyAlignment="1">
      <alignment vertical="center"/>
    </xf>
    <xf numFmtId="0" fontId="0" fillId="0" borderId="0" xfId="0" applyBorder="1"/>
    <xf numFmtId="0" fontId="29" fillId="0" borderId="0" xfId="0" applyFont="1" applyAlignment="1" applyProtection="1">
      <alignment horizontal="left"/>
    </xf>
    <xf numFmtId="0" fontId="26" fillId="0" borderId="0" xfId="0" applyFont="1" applyProtection="1"/>
    <xf numFmtId="0" fontId="26" fillId="0" borderId="0" xfId="0" applyFont="1" applyAlignment="1" applyProtection="1">
      <alignment horizontal="left"/>
    </xf>
    <xf numFmtId="0" fontId="32" fillId="0" borderId="53" xfId="0" applyFont="1" applyBorder="1" applyProtection="1"/>
    <xf numFmtId="0" fontId="28" fillId="0" borderId="53" xfId="0" applyFont="1" applyBorder="1" applyProtection="1"/>
    <xf numFmtId="0" fontId="31" fillId="0" borderId="53" xfId="0" applyFont="1" applyBorder="1" applyAlignment="1" applyProtection="1">
      <alignment horizontal="left"/>
    </xf>
    <xf numFmtId="0" fontId="32" fillId="0" borderId="53" xfId="0" applyFont="1" applyBorder="1" applyAlignment="1" applyProtection="1">
      <alignment horizontal="left"/>
    </xf>
    <xf numFmtId="0" fontId="33" fillId="0" borderId="53" xfId="0" applyFont="1" applyBorder="1" applyProtection="1"/>
    <xf numFmtId="0" fontId="17" fillId="0" borderId="53" xfId="0" applyFont="1" applyBorder="1" applyProtection="1"/>
    <xf numFmtId="0" fontId="17" fillId="17" borderId="54" xfId="0" applyFont="1" applyFill="1" applyBorder="1" applyAlignment="1" applyProtection="1">
      <alignment horizontal="center"/>
      <protection locked="0"/>
    </xf>
    <xf numFmtId="0" fontId="37" fillId="0" borderId="0" xfId="0" applyFont="1" applyProtection="1"/>
    <xf numFmtId="0" fontId="41" fillId="0" borderId="54" xfId="0" applyFont="1" applyFill="1" applyBorder="1" applyAlignment="1" applyProtection="1">
      <alignment horizontal="center"/>
      <protection locked="0"/>
    </xf>
    <xf numFmtId="0" fontId="27" fillId="17" borderId="61" xfId="0" applyFont="1" applyFill="1" applyBorder="1" applyAlignment="1" applyProtection="1">
      <alignment horizontal="center"/>
      <protection locked="0"/>
    </xf>
    <xf numFmtId="0" fontId="41" fillId="0" borderId="0" xfId="0" applyFont="1" applyFill="1" applyBorder="1" applyAlignment="1" applyProtection="1">
      <alignment horizontal="center"/>
      <protection locked="0"/>
    </xf>
    <xf numFmtId="0" fontId="37" fillId="0" borderId="0" xfId="0" applyFont="1" applyFill="1" applyBorder="1" applyAlignment="1" applyProtection="1">
      <alignment horizontal="right"/>
    </xf>
    <xf numFmtId="0" fontId="39" fillId="0" borderId="0" xfId="0" applyFont="1" applyAlignment="1" applyProtection="1">
      <alignment horizontal="right"/>
    </xf>
    <xf numFmtId="0" fontId="39" fillId="0" borderId="0" xfId="0" applyFont="1" applyBorder="1" applyAlignment="1" applyProtection="1">
      <alignment horizontal="right"/>
    </xf>
    <xf numFmtId="0" fontId="39" fillId="0" borderId="0" xfId="0" applyFont="1" applyFill="1" applyBorder="1" applyAlignment="1" applyProtection="1">
      <alignment horizontal="right"/>
    </xf>
    <xf numFmtId="0" fontId="46" fillId="0" borderId="0" xfId="0" applyFont="1" applyFill="1" applyBorder="1" applyAlignment="1" applyProtection="1">
      <alignment horizontal="right"/>
    </xf>
    <xf numFmtId="0" fontId="77" fillId="0" borderId="0" xfId="0" applyFont="1" applyBorder="1" applyAlignment="1" applyProtection="1">
      <alignment horizontal="left"/>
    </xf>
    <xf numFmtId="0" fontId="27" fillId="17" borderId="0" xfId="0" applyFont="1" applyFill="1" applyBorder="1" applyAlignment="1" applyProtection="1">
      <alignment horizontal="center"/>
      <protection locked="0"/>
    </xf>
    <xf numFmtId="0" fontId="22" fillId="0" borderId="53" xfId="0" applyFont="1" applyBorder="1" applyAlignment="1" applyProtection="1">
      <alignment horizontal="left"/>
    </xf>
    <xf numFmtId="0" fontId="46" fillId="0" borderId="53" xfId="0" applyFont="1" applyBorder="1" applyAlignment="1" applyProtection="1">
      <alignment horizontal="right"/>
    </xf>
    <xf numFmtId="0" fontId="48" fillId="0" borderId="53" xfId="0" applyFont="1" applyBorder="1" applyAlignment="1" applyProtection="1">
      <alignment horizontal="center"/>
    </xf>
    <xf numFmtId="0" fontId="39" fillId="0" borderId="53" xfId="0" applyFont="1" applyBorder="1" applyAlignment="1" applyProtection="1">
      <alignment horizontal="right"/>
    </xf>
    <xf numFmtId="0" fontId="39" fillId="0" borderId="53" xfId="0" applyFont="1" applyBorder="1" applyAlignment="1" applyProtection="1">
      <alignment horizontal="left"/>
    </xf>
    <xf numFmtId="0" fontId="41" fillId="0" borderId="53" xfId="0" applyFont="1" applyBorder="1" applyAlignment="1" applyProtection="1">
      <alignment horizontal="center"/>
    </xf>
    <xf numFmtId="0" fontId="48" fillId="0" borderId="0" xfId="0" applyFont="1" applyFill="1" applyBorder="1" applyAlignment="1" applyProtection="1">
      <alignment horizontal="center"/>
    </xf>
    <xf numFmtId="0" fontId="51" fillId="0" borderId="0" xfId="0" applyFont="1" applyFill="1" applyBorder="1" applyAlignment="1" applyProtection="1">
      <alignment horizontal="left"/>
    </xf>
    <xf numFmtId="0" fontId="78" fillId="0" borderId="0" xfId="0" applyFont="1" applyBorder="1" applyAlignment="1" applyProtection="1">
      <alignment horizontal="center"/>
    </xf>
    <xf numFmtId="0" fontId="0" fillId="18" borderId="53" xfId="0" applyFont="1" applyFill="1" applyBorder="1" applyAlignment="1" applyProtection="1">
      <alignment horizontal="center"/>
    </xf>
    <xf numFmtId="0" fontId="78" fillId="0" borderId="0" xfId="0" applyFont="1" applyFill="1" applyAlignment="1" applyProtection="1">
      <alignment horizontal="left"/>
    </xf>
    <xf numFmtId="0" fontId="40" fillId="0" borderId="0" xfId="0" applyFont="1" applyFill="1" applyBorder="1" applyAlignment="1" applyProtection="1">
      <alignment horizontal="left"/>
    </xf>
    <xf numFmtId="0" fontId="79" fillId="0" borderId="0" xfId="0" applyFont="1" applyBorder="1" applyAlignment="1" applyProtection="1">
      <alignment horizontal="right"/>
    </xf>
    <xf numFmtId="0" fontId="40" fillId="0" borderId="0" xfId="0" applyFont="1" applyFill="1" applyBorder="1" applyAlignment="1" applyProtection="1">
      <alignment horizontal="center"/>
    </xf>
    <xf numFmtId="0" fontId="0" fillId="18" borderId="0" xfId="0" applyFont="1" applyFill="1" applyAlignment="1" applyProtection="1">
      <alignment horizontal="center"/>
    </xf>
    <xf numFmtId="0" fontId="48" fillId="0" borderId="55" xfId="0" applyFont="1" applyBorder="1" applyAlignment="1" applyProtection="1">
      <alignment horizontal="left"/>
    </xf>
    <xf numFmtId="0" fontId="49" fillId="0" borderId="57" xfId="0" applyFont="1" applyBorder="1" applyAlignment="1" applyProtection="1">
      <alignment horizontal="center"/>
    </xf>
    <xf numFmtId="0" fontId="22" fillId="0" borderId="57" xfId="0" applyFont="1" applyBorder="1" applyAlignment="1" applyProtection="1">
      <alignment horizontal="center"/>
    </xf>
    <xf numFmtId="0" fontId="22" fillId="0" borderId="59" xfId="0" applyFont="1" applyBorder="1" applyAlignment="1" applyProtection="1">
      <alignment horizontal="center"/>
    </xf>
    <xf numFmtId="0" fontId="57" fillId="0" borderId="53" xfId="0" applyFont="1" applyFill="1" applyBorder="1" applyAlignment="1" applyProtection="1">
      <alignment horizontal="center"/>
    </xf>
    <xf numFmtId="0" fontId="78" fillId="0" borderId="0" xfId="0" applyFont="1" applyFill="1" applyBorder="1" applyAlignment="1" applyProtection="1">
      <alignment horizontal="left"/>
    </xf>
    <xf numFmtId="0" fontId="61" fillId="0" borderId="0" xfId="0" applyFont="1" applyFill="1" applyBorder="1" applyAlignment="1" applyProtection="1">
      <alignment horizontal="center"/>
    </xf>
    <xf numFmtId="0" fontId="24" fillId="0" borderId="0" xfId="0" applyFont="1" applyBorder="1" applyAlignment="1" applyProtection="1">
      <alignment horizontal="right"/>
    </xf>
    <xf numFmtId="0" fontId="0" fillId="0" borderId="53" xfId="0" applyBorder="1" applyAlignment="1" applyProtection="1">
      <alignment horizontal="justify"/>
    </xf>
    <xf numFmtId="0" fontId="0" fillId="0" borderId="53" xfId="0" applyFont="1" applyFill="1" applyBorder="1" applyAlignment="1" applyProtection="1">
      <alignment horizontal="left"/>
    </xf>
    <xf numFmtId="0" fontId="0" fillId="0" borderId="53" xfId="0" applyFont="1" applyBorder="1" applyAlignment="1" applyProtection="1">
      <alignment horizontal="justify"/>
    </xf>
    <xf numFmtId="0" fontId="37" fillId="0" borderId="53" xfId="0" applyFont="1" applyFill="1" applyBorder="1" applyAlignment="1" applyProtection="1">
      <alignment horizontal="right"/>
    </xf>
    <xf numFmtId="0" fontId="24" fillId="0" borderId="0" xfId="0" applyFont="1" applyBorder="1" applyAlignment="1" applyProtection="1">
      <alignment horizontal="left"/>
    </xf>
    <xf numFmtId="0" fontId="0" fillId="0" borderId="0" xfId="0" applyFill="1" applyProtection="1"/>
    <xf numFmtId="0" fontId="57" fillId="0" borderId="0" xfId="0" applyFont="1" applyBorder="1" applyAlignment="1" applyProtection="1">
      <alignment horizontal="left"/>
    </xf>
    <xf numFmtId="0" fontId="56" fillId="0" borderId="0" xfId="0" applyFont="1" applyBorder="1" applyAlignment="1" applyProtection="1">
      <alignment horizontal="left"/>
    </xf>
    <xf numFmtId="0" fontId="38" fillId="0" borderId="0" xfId="0" applyFont="1" applyFill="1" applyAlignment="1" applyProtection="1">
      <alignment horizontal="center"/>
    </xf>
    <xf numFmtId="0" fontId="44" fillId="0" borderId="0" xfId="0" applyFont="1" applyFill="1" applyBorder="1" applyAlignment="1" applyProtection="1">
      <alignment horizontal="center" wrapText="1"/>
    </xf>
    <xf numFmtId="0" fontId="17" fillId="0" borderId="0" xfId="0" applyFont="1" applyBorder="1" applyAlignment="1" applyProtection="1">
      <alignment horizontal="right"/>
    </xf>
    <xf numFmtId="0" fontId="0" fillId="0" borderId="0" xfId="0" applyFont="1" applyBorder="1" applyAlignment="1" applyProtection="1">
      <alignment horizontal="right"/>
    </xf>
    <xf numFmtId="0" fontId="27" fillId="0" borderId="53" xfId="0" applyFont="1" applyFill="1" applyBorder="1" applyAlignment="1" applyProtection="1">
      <alignment horizontal="left"/>
    </xf>
    <xf numFmtId="0" fontId="41" fillId="0" borderId="53" xfId="0" applyFont="1" applyFill="1" applyBorder="1" applyAlignment="1" applyProtection="1">
      <alignment horizontal="center"/>
    </xf>
    <xf numFmtId="0" fontId="80" fillId="20" borderId="0" xfId="0" applyFont="1" applyFill="1" applyBorder="1" applyAlignment="1" applyProtection="1">
      <alignment horizontal="left"/>
    </xf>
    <xf numFmtId="0" fontId="47" fillId="0" borderId="0" xfId="0" applyFont="1" applyBorder="1" applyAlignment="1" applyProtection="1">
      <alignment horizontal="left"/>
    </xf>
    <xf numFmtId="0" fontId="63" fillId="0" borderId="0" xfId="0" applyFont="1" applyBorder="1" applyAlignment="1" applyProtection="1">
      <alignment horizontal="left"/>
    </xf>
    <xf numFmtId="0" fontId="81" fillId="0" borderId="0" xfId="0" applyFont="1" applyBorder="1" applyAlignment="1" applyProtection="1">
      <alignment horizontal="left"/>
    </xf>
    <xf numFmtId="0" fontId="38" fillId="0" borderId="0" xfId="0" applyFont="1" applyFill="1" applyBorder="1" applyAlignment="1" applyProtection="1">
      <alignment horizontal="center"/>
    </xf>
    <xf numFmtId="0" fontId="81" fillId="0" borderId="0" xfId="0" applyFont="1" applyAlignment="1" applyProtection="1">
      <alignment horizontal="left"/>
    </xf>
    <xf numFmtId="0" fontId="82" fillId="0" borderId="0" xfId="0" applyFont="1" applyFill="1" applyBorder="1" applyAlignment="1" applyProtection="1">
      <alignment horizontal="left" wrapText="1"/>
    </xf>
    <xf numFmtId="0" fontId="81" fillId="0" borderId="0" xfId="0" applyFont="1" applyFill="1" applyBorder="1" applyAlignment="1" applyProtection="1">
      <alignment horizontal="left"/>
    </xf>
    <xf numFmtId="0" fontId="63" fillId="0" borderId="0" xfId="0" applyFont="1" applyFill="1" applyBorder="1" applyAlignment="1" applyProtection="1">
      <alignment horizontal="left"/>
    </xf>
    <xf numFmtId="0" fontId="83" fillId="0" borderId="0" xfId="0" applyFont="1" applyBorder="1" applyAlignment="1" applyProtection="1">
      <alignment horizontal="left"/>
    </xf>
    <xf numFmtId="0" fontId="84" fillId="0" borderId="0" xfId="0" applyFont="1" applyBorder="1" applyAlignment="1" applyProtection="1">
      <alignment horizontal="left"/>
    </xf>
    <xf numFmtId="0" fontId="17" fillId="0" borderId="0" xfId="0" applyFont="1" applyBorder="1" applyAlignment="1" applyProtection="1">
      <alignment horizontal="left"/>
    </xf>
    <xf numFmtId="0" fontId="41" fillId="0" borderId="0" xfId="0" applyFont="1" applyFill="1" applyBorder="1" applyAlignment="1" applyProtection="1">
      <alignment horizontal="left"/>
    </xf>
    <xf numFmtId="0" fontId="44" fillId="0" borderId="0" xfId="0" applyFont="1" applyBorder="1" applyAlignment="1" applyProtection="1">
      <alignment horizontal="center"/>
    </xf>
    <xf numFmtId="0" fontId="85" fillId="0" borderId="0" xfId="0" applyFont="1" applyFill="1" applyBorder="1" applyAlignment="1" applyProtection="1">
      <alignment horizontal="left"/>
    </xf>
    <xf numFmtId="0" fontId="48" fillId="0" borderId="0" xfId="0" applyFont="1" applyFill="1" applyBorder="1" applyAlignment="1" applyProtection="1">
      <alignment horizontal="left"/>
    </xf>
    <xf numFmtId="0" fontId="77" fillId="0" borderId="0" xfId="0" applyFont="1" applyFill="1" applyBorder="1" applyAlignment="1" applyProtection="1">
      <alignment horizontal="left"/>
    </xf>
    <xf numFmtId="0" fontId="46" fillId="0" borderId="0" xfId="0" applyFont="1" applyFill="1" applyBorder="1" applyAlignment="1" applyProtection="1">
      <alignment horizontal="left"/>
    </xf>
    <xf numFmtId="0" fontId="77" fillId="0" borderId="0" xfId="0" applyFont="1" applyFill="1" applyBorder="1" applyAlignment="1" applyProtection="1">
      <alignment horizontal="center"/>
    </xf>
    <xf numFmtId="0" fontId="86" fillId="0" borderId="0" xfId="0" applyFont="1" applyAlignment="1" applyProtection="1">
      <alignment horizontal="left"/>
    </xf>
    <xf numFmtId="0" fontId="86" fillId="0" borderId="0" xfId="0" applyFont="1" applyProtection="1"/>
    <xf numFmtId="0" fontId="35" fillId="0" borderId="53" xfId="0" applyFont="1" applyFill="1" applyBorder="1" applyAlignment="1" applyProtection="1">
      <alignment horizontal="center"/>
    </xf>
    <xf numFmtId="0" fontId="0" fillId="0" borderId="53" xfId="0" applyFill="1" applyBorder="1" applyAlignment="1" applyProtection="1">
      <alignment horizontal="right"/>
    </xf>
    <xf numFmtId="0" fontId="39" fillId="0" borderId="62" xfId="0" applyFont="1" applyFill="1" applyBorder="1" applyAlignment="1" applyProtection="1">
      <alignment horizontal="center"/>
    </xf>
    <xf numFmtId="0" fontId="40" fillId="0" borderId="62" xfId="0" applyFont="1" applyFill="1" applyBorder="1" applyAlignment="1" applyProtection="1">
      <alignment horizontal="left"/>
    </xf>
    <xf numFmtId="0" fontId="0" fillId="0" borderId="62" xfId="0" applyBorder="1" applyAlignment="1" applyProtection="1">
      <alignment horizontal="justify"/>
    </xf>
    <xf numFmtId="0" fontId="27" fillId="0" borderId="0" xfId="0" applyFont="1" applyAlignment="1" applyProtection="1">
      <alignment horizontal="left"/>
    </xf>
    <xf numFmtId="0" fontId="85" fillId="0" borderId="0" xfId="0" applyFont="1" applyFill="1" applyBorder="1" applyAlignment="1" applyProtection="1">
      <alignment horizontal="center"/>
    </xf>
    <xf numFmtId="0" fontId="46" fillId="0" borderId="0" xfId="0" applyFont="1" applyFill="1" applyBorder="1" applyAlignment="1" applyProtection="1">
      <alignment horizontal="justify"/>
    </xf>
    <xf numFmtId="0" fontId="48" fillId="0" borderId="53" xfId="0" applyFont="1" applyFill="1" applyBorder="1" applyAlignment="1" applyProtection="1">
      <alignment horizontal="left"/>
    </xf>
    <xf numFmtId="0" fontId="50" fillId="0" borderId="0" xfId="0" applyFont="1" applyFill="1" applyBorder="1" applyAlignment="1" applyProtection="1">
      <alignment horizontal="center"/>
    </xf>
    <xf numFmtId="9" fontId="17" fillId="0" borderId="0" xfId="2" applyFont="1" applyFill="1" applyBorder="1" applyAlignment="1" applyProtection="1">
      <alignment horizontal="center"/>
    </xf>
    <xf numFmtId="0" fontId="22" fillId="0" borderId="53" xfId="0" applyFont="1" applyFill="1" applyBorder="1" applyAlignment="1" applyProtection="1">
      <alignment horizontal="right"/>
    </xf>
    <xf numFmtId="0" fontId="27" fillId="0" borderId="61" xfId="0" applyFont="1" applyFill="1" applyBorder="1" applyAlignment="1" applyProtection="1">
      <alignment horizontal="right"/>
    </xf>
    <xf numFmtId="0" fontId="27" fillId="0" borderId="61" xfId="0" applyFont="1" applyFill="1" applyBorder="1" applyAlignment="1" applyProtection="1">
      <alignment horizontal="center"/>
    </xf>
    <xf numFmtId="0" fontId="27" fillId="0" borderId="61" xfId="0" applyFont="1" applyFill="1" applyBorder="1" applyAlignment="1" applyProtection="1">
      <alignment horizontal="left"/>
    </xf>
    <xf numFmtId="0" fontId="0" fillId="0" borderId="61" xfId="0" applyFont="1" applyFill="1" applyBorder="1" applyAlignment="1" applyProtection="1">
      <alignment horizontal="left"/>
    </xf>
    <xf numFmtId="0" fontId="27" fillId="0" borderId="0" xfId="0" applyFont="1" applyFill="1" applyBorder="1" applyAlignment="1" applyProtection="1">
      <alignment horizontal="right"/>
    </xf>
    <xf numFmtId="9" fontId="0" fillId="0" borderId="0" xfId="2" applyFont="1" applyFill="1" applyAlignment="1" applyProtection="1">
      <alignment horizontal="center"/>
    </xf>
    <xf numFmtId="0" fontId="87" fillId="0" borderId="0" xfId="0" applyFont="1" applyFill="1" applyAlignment="1" applyProtection="1">
      <alignment horizontal="center"/>
    </xf>
    <xf numFmtId="0" fontId="88" fillId="0" borderId="0" xfId="0" applyFont="1" applyFill="1" applyAlignment="1">
      <alignment vertical="center"/>
    </xf>
    <xf numFmtId="0" fontId="89" fillId="0" borderId="0" xfId="0" applyFont="1" applyFill="1" applyAlignment="1">
      <alignment vertical="center"/>
    </xf>
    <xf numFmtId="0" fontId="91" fillId="0" borderId="35" xfId="0" applyFont="1" applyFill="1" applyBorder="1" applyAlignment="1">
      <alignment horizontal="center" vertical="center"/>
    </xf>
    <xf numFmtId="0" fontId="91" fillId="0" borderId="46" xfId="0" applyFont="1" applyFill="1" applyBorder="1" applyAlignment="1">
      <alignment horizontal="center" vertical="center"/>
    </xf>
    <xf numFmtId="0" fontId="88" fillId="0" borderId="0" xfId="0" applyFont="1" applyFill="1" applyAlignment="1">
      <alignment horizontal="center" vertical="center"/>
    </xf>
    <xf numFmtId="0" fontId="88" fillId="0" borderId="39" xfId="0" applyFont="1" applyFill="1" applyBorder="1" applyAlignment="1">
      <alignment horizontal="center" vertical="center"/>
    </xf>
    <xf numFmtId="177" fontId="88" fillId="0" borderId="35" xfId="0" applyNumberFormat="1" applyFont="1" applyFill="1" applyBorder="1" applyAlignment="1">
      <alignment horizontal="center" vertical="center"/>
    </xf>
    <xf numFmtId="0" fontId="88" fillId="0" borderId="35" xfId="0" applyFont="1" applyFill="1" applyBorder="1" applyAlignment="1">
      <alignment horizontal="center" vertical="center"/>
    </xf>
    <xf numFmtId="177" fontId="88" fillId="0" borderId="46" xfId="0" applyNumberFormat="1" applyFont="1" applyFill="1" applyBorder="1" applyAlignment="1">
      <alignment horizontal="center" vertical="center"/>
    </xf>
    <xf numFmtId="177" fontId="88" fillId="0" borderId="0" xfId="0" applyNumberFormat="1" applyFont="1" applyFill="1" applyAlignment="1">
      <alignment horizontal="center" vertical="center"/>
    </xf>
    <xf numFmtId="0" fontId="88" fillId="0" borderId="40" xfId="0" applyFont="1" applyFill="1" applyBorder="1" applyAlignment="1">
      <alignment horizontal="center" vertical="center"/>
    </xf>
    <xf numFmtId="0" fontId="88" fillId="0" borderId="47" xfId="0" applyFont="1" applyFill="1" applyBorder="1" applyAlignment="1">
      <alignment horizontal="center" vertical="center"/>
    </xf>
    <xf numFmtId="0" fontId="88" fillId="0" borderId="48" xfId="0" applyFont="1" applyFill="1" applyBorder="1" applyAlignment="1">
      <alignment horizontal="center" vertical="center"/>
    </xf>
    <xf numFmtId="0" fontId="66" fillId="0" borderId="0" xfId="0" applyFont="1" applyFill="1" applyAlignment="1">
      <alignment horizontal="center" vertical="center"/>
    </xf>
    <xf numFmtId="0" fontId="66" fillId="0" borderId="3" xfId="0" applyFont="1" applyFill="1" applyBorder="1" applyAlignment="1">
      <alignment vertical="center"/>
    </xf>
    <xf numFmtId="0" fontId="93" fillId="0" borderId="61" xfId="0" applyFont="1" applyFill="1" applyBorder="1" applyAlignment="1">
      <alignment horizontal="center" vertical="center"/>
    </xf>
    <xf numFmtId="0" fontId="93" fillId="0" borderId="61" xfId="0" applyFont="1" applyFill="1" applyBorder="1" applyAlignment="1">
      <alignment horizontal="left" vertical="center"/>
    </xf>
    <xf numFmtId="0" fontId="93" fillId="0" borderId="61" xfId="0" applyFont="1" applyFill="1" applyBorder="1" applyAlignment="1">
      <alignment vertical="center"/>
    </xf>
    <xf numFmtId="0" fontId="66" fillId="0" borderId="61" xfId="0" applyFont="1" applyFill="1" applyBorder="1" applyAlignment="1">
      <alignment vertical="center"/>
    </xf>
    <xf numFmtId="0" fontId="93" fillId="0" borderId="56" xfId="0" applyFont="1" applyFill="1" applyBorder="1" applyAlignment="1">
      <alignment vertical="center"/>
    </xf>
    <xf numFmtId="0" fontId="93" fillId="0" borderId="55" xfId="0" applyFont="1" applyFill="1" applyBorder="1" applyAlignment="1">
      <alignment horizontal="center" vertical="center"/>
    </xf>
    <xf numFmtId="0" fontId="93" fillId="0" borderId="0" xfId="0" applyFont="1" applyFill="1" applyBorder="1" applyAlignment="1">
      <alignment horizontal="center" vertical="center"/>
    </xf>
    <xf numFmtId="0" fontId="93" fillId="0" borderId="0" xfId="0" applyFont="1" applyFill="1" applyBorder="1" applyAlignment="1">
      <alignment horizontal="left" vertical="center"/>
    </xf>
    <xf numFmtId="0" fontId="93" fillId="0" borderId="0" xfId="0" applyFont="1" applyFill="1" applyBorder="1" applyAlignment="1">
      <alignment vertical="center"/>
    </xf>
    <xf numFmtId="0" fontId="93" fillId="0" borderId="58" xfId="0" applyFont="1" applyFill="1" applyBorder="1" applyAlignment="1">
      <alignment vertical="center"/>
    </xf>
    <xf numFmtId="0" fontId="93" fillId="0" borderId="57" xfId="0" applyFont="1" applyFill="1" applyBorder="1" applyAlignment="1">
      <alignment horizontal="center" vertical="center"/>
    </xf>
    <xf numFmtId="0" fontId="88" fillId="0" borderId="3" xfId="0" applyFont="1" applyFill="1" applyBorder="1" applyAlignment="1">
      <alignment horizontal="left" vertical="center"/>
    </xf>
    <xf numFmtId="0" fontId="88" fillId="0" borderId="0" xfId="0" applyFont="1" applyFill="1" applyBorder="1" applyAlignment="1">
      <alignment horizontal="center" vertical="center"/>
    </xf>
    <xf numFmtId="0" fontId="88" fillId="0" borderId="0" xfId="0" applyFont="1" applyFill="1" applyBorder="1" applyAlignment="1">
      <alignment horizontal="left" vertical="center"/>
    </xf>
    <xf numFmtId="0" fontId="94" fillId="0" borderId="0" xfId="0" applyFont="1" applyFill="1" applyBorder="1" applyAlignment="1">
      <alignment vertical="center"/>
    </xf>
    <xf numFmtId="0" fontId="66" fillId="0" borderId="58" xfId="0" applyFont="1" applyFill="1" applyBorder="1" applyAlignment="1">
      <alignment vertical="center"/>
    </xf>
    <xf numFmtId="0" fontId="66" fillId="0" borderId="57" xfId="0" applyFont="1" applyFill="1" applyBorder="1" applyAlignment="1">
      <alignment vertical="center"/>
    </xf>
    <xf numFmtId="0" fontId="88" fillId="0" borderId="3" xfId="0" applyFont="1" applyFill="1" applyBorder="1" applyAlignment="1">
      <alignment vertical="center"/>
    </xf>
    <xf numFmtId="0" fontId="88" fillId="0" borderId="0" xfId="0" applyFont="1" applyFill="1" applyBorder="1" applyAlignment="1">
      <alignment vertical="center"/>
    </xf>
    <xf numFmtId="0" fontId="94" fillId="0" borderId="58" xfId="0" applyFont="1" applyFill="1" applyBorder="1" applyAlignment="1">
      <alignment vertical="center"/>
    </xf>
    <xf numFmtId="0" fontId="88" fillId="0" borderId="57" xfId="0" applyFont="1" applyFill="1" applyBorder="1" applyAlignment="1">
      <alignment vertical="center"/>
    </xf>
    <xf numFmtId="0" fontId="88" fillId="0" borderId="57" xfId="0" applyFont="1" applyFill="1" applyBorder="1" applyAlignment="1">
      <alignment horizontal="left" vertical="center"/>
    </xf>
    <xf numFmtId="0" fontId="88" fillId="0" borderId="98" xfId="0" applyFont="1" applyFill="1" applyBorder="1" applyAlignment="1">
      <alignment vertical="center"/>
    </xf>
    <xf numFmtId="0" fontId="94" fillId="0" borderId="53" xfId="0" applyFont="1" applyFill="1" applyBorder="1" applyAlignment="1">
      <alignment vertical="center"/>
    </xf>
    <xf numFmtId="0" fontId="94" fillId="0" borderId="60" xfId="0" applyFont="1" applyFill="1" applyBorder="1" applyAlignment="1">
      <alignment vertical="center"/>
    </xf>
    <xf numFmtId="0" fontId="94" fillId="0" borderId="59" xfId="0" applyFont="1" applyFill="1" applyBorder="1" applyAlignment="1">
      <alignment vertical="center"/>
    </xf>
    <xf numFmtId="0" fontId="94" fillId="0" borderId="3" xfId="0" applyFont="1" applyFill="1" applyBorder="1" applyAlignment="1">
      <alignment vertical="center"/>
    </xf>
    <xf numFmtId="0" fontId="95" fillId="0" borderId="3" xfId="0" applyFont="1" applyFill="1" applyBorder="1" applyAlignment="1">
      <alignment vertical="center"/>
    </xf>
    <xf numFmtId="0" fontId="88" fillId="22" borderId="35" xfId="0" applyFont="1" applyFill="1" applyBorder="1" applyAlignment="1">
      <alignment horizontal="center" vertical="center"/>
    </xf>
    <xf numFmtId="0" fontId="66" fillId="22" borderId="35" xfId="0" applyFont="1" applyFill="1" applyBorder="1" applyAlignment="1">
      <alignment vertical="center"/>
    </xf>
    <xf numFmtId="0" fontId="96" fillId="0" borderId="35" xfId="0" applyFont="1" applyFill="1" applyBorder="1" applyAlignment="1">
      <alignment horizontal="center" vertical="center"/>
    </xf>
    <xf numFmtId="0" fontId="88" fillId="0" borderId="21" xfId="0" applyFont="1" applyFill="1" applyBorder="1" applyAlignment="1">
      <alignment vertical="center"/>
    </xf>
    <xf numFmtId="0" fontId="88" fillId="0" borderId="22" xfId="0" applyFont="1" applyFill="1" applyBorder="1" applyAlignment="1">
      <alignment vertical="center"/>
    </xf>
    <xf numFmtId="0" fontId="94" fillId="0" borderId="0" xfId="0" applyFont="1" applyFill="1" applyAlignment="1">
      <alignment vertical="center"/>
    </xf>
    <xf numFmtId="0" fontId="66" fillId="0" borderId="29" xfId="0" applyFont="1" applyFill="1" applyBorder="1" applyAlignment="1">
      <alignment vertical="center"/>
    </xf>
    <xf numFmtId="0" fontId="66" fillId="0" borderId="99" xfId="0" applyFont="1" applyFill="1" applyBorder="1" applyAlignment="1">
      <alignment vertical="center"/>
    </xf>
    <xf numFmtId="0" fontId="93" fillId="0" borderId="0" xfId="0" applyFont="1" applyFill="1" applyBorder="1" applyAlignment="1">
      <alignment horizontal="right" vertical="center"/>
    </xf>
    <xf numFmtId="0" fontId="66" fillId="0" borderId="100" xfId="0" applyFont="1" applyFill="1" applyBorder="1" applyAlignment="1">
      <alignment vertical="center"/>
    </xf>
    <xf numFmtId="0" fontId="97" fillId="0" borderId="35" xfId="0" applyFont="1" applyFill="1" applyBorder="1" applyAlignment="1">
      <alignment horizontal="center" vertical="center"/>
    </xf>
    <xf numFmtId="0" fontId="88" fillId="21" borderId="35" xfId="0" applyFont="1" applyFill="1" applyBorder="1" applyAlignment="1">
      <alignment horizontal="center" vertical="center"/>
    </xf>
    <xf numFmtId="0" fontId="88" fillId="21" borderId="46" xfId="0" applyFont="1" applyFill="1" applyBorder="1" applyAlignment="1">
      <alignment horizontal="center" vertical="center"/>
    </xf>
    <xf numFmtId="0" fontId="88" fillId="0" borderId="46" xfId="0" applyFont="1" applyFill="1" applyBorder="1" applyAlignment="1">
      <alignment horizontal="center" vertical="center"/>
    </xf>
    <xf numFmtId="0" fontId="88" fillId="10" borderId="35" xfId="0" applyFont="1" applyFill="1" applyBorder="1" applyAlignment="1">
      <alignment horizontal="center" vertical="center"/>
    </xf>
    <xf numFmtId="0" fontId="94" fillId="10" borderId="46" xfId="0" applyFont="1" applyFill="1" applyBorder="1" applyAlignment="1">
      <alignment horizontal="center" vertical="center"/>
    </xf>
    <xf numFmtId="0" fontId="66" fillId="0" borderId="34" xfId="0" applyFont="1" applyFill="1" applyBorder="1" applyAlignment="1">
      <alignment vertical="center"/>
    </xf>
    <xf numFmtId="0" fontId="0" fillId="0" borderId="0" xfId="0" applyAlignment="1">
      <alignment horizontal="center" vertical="center"/>
    </xf>
    <xf numFmtId="0" fontId="20" fillId="0" borderId="35" xfId="0" applyFont="1" applyBorder="1" applyAlignment="1">
      <alignment horizontal="center" vertical="center"/>
    </xf>
    <xf numFmtId="0" fontId="20" fillId="0" borderId="69" xfId="0" applyFont="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17" fillId="0" borderId="68" xfId="0" applyFont="1" applyBorder="1" applyAlignment="1">
      <alignment horizontal="center" vertical="center"/>
    </xf>
    <xf numFmtId="180" fontId="0" fillId="0" borderId="35" xfId="0" applyNumberFormat="1" applyBorder="1" applyAlignment="1">
      <alignment horizontal="center" vertical="center"/>
    </xf>
    <xf numFmtId="180" fontId="0" fillId="0" borderId="69" xfId="0" applyNumberFormat="1" applyBorder="1" applyAlignment="1">
      <alignment horizontal="center" vertical="center"/>
    </xf>
    <xf numFmtId="0" fontId="17" fillId="0" borderId="69" xfId="0" applyFont="1" applyBorder="1" applyAlignment="1">
      <alignment horizontal="center" vertical="center"/>
    </xf>
    <xf numFmtId="0" fontId="0" fillId="0" borderId="35" xfId="0" applyBorder="1" applyAlignment="1">
      <alignment horizontal="center" vertical="center"/>
    </xf>
    <xf numFmtId="0" fontId="0" fillId="0" borderId="70" xfId="0" applyBorder="1" applyAlignment="1">
      <alignment horizontal="center" vertical="center"/>
    </xf>
    <xf numFmtId="0" fontId="0" fillId="0" borderId="71" xfId="0" applyBorder="1" applyAlignment="1">
      <alignment horizontal="center" vertical="center"/>
    </xf>
    <xf numFmtId="0" fontId="0" fillId="0" borderId="72" xfId="0" applyBorder="1" applyAlignment="1">
      <alignment horizontal="center" vertical="center"/>
    </xf>
    <xf numFmtId="0" fontId="17" fillId="0" borderId="70" xfId="0" applyFont="1" applyBorder="1" applyAlignment="1">
      <alignment horizontal="center" vertical="center"/>
    </xf>
    <xf numFmtId="0" fontId="17" fillId="0" borderId="72" xfId="0" applyFont="1" applyBorder="1" applyAlignment="1">
      <alignment horizontal="center" vertical="center"/>
    </xf>
    <xf numFmtId="0" fontId="0" fillId="0" borderId="0" xfId="0" applyFont="1" applyAlignment="1">
      <alignment horizontal="center" vertical="center"/>
    </xf>
    <xf numFmtId="0" fontId="0" fillId="0" borderId="68" xfId="0" applyFont="1" applyBorder="1" applyAlignment="1">
      <alignment horizontal="center" vertical="center"/>
    </xf>
    <xf numFmtId="0" fontId="0" fillId="0" borderId="35" xfId="0" applyFont="1" applyBorder="1" applyAlignment="1">
      <alignment horizontal="center" vertical="center"/>
    </xf>
    <xf numFmtId="0" fontId="0" fillId="0" borderId="69" xfId="0" applyFont="1" applyBorder="1" applyAlignment="1">
      <alignment horizontal="center" vertical="center"/>
    </xf>
    <xf numFmtId="0" fontId="22" fillId="0" borderId="68" xfId="0" applyFont="1" applyBorder="1" applyAlignment="1">
      <alignment horizontal="center" vertical="center"/>
    </xf>
    <xf numFmtId="180" fontId="22" fillId="0" borderId="35" xfId="0" applyNumberFormat="1" applyFont="1" applyBorder="1" applyAlignment="1">
      <alignment horizontal="center" vertical="center"/>
    </xf>
    <xf numFmtId="178" fontId="22" fillId="0" borderId="69" xfId="0" applyNumberFormat="1" applyFont="1" applyBorder="1" applyAlignment="1">
      <alignment horizontal="center" vertical="center"/>
    </xf>
    <xf numFmtId="0" fontId="22" fillId="0" borderId="70" xfId="0" applyFont="1" applyBorder="1" applyAlignment="1">
      <alignment horizontal="center" vertical="center"/>
    </xf>
    <xf numFmtId="180" fontId="22" fillId="0" borderId="71" xfId="0" applyNumberFormat="1" applyFont="1" applyBorder="1" applyAlignment="1">
      <alignment horizontal="center" vertical="center"/>
    </xf>
    <xf numFmtId="0" fontId="22" fillId="0" borderId="71" xfId="0" applyFont="1" applyBorder="1" applyAlignment="1">
      <alignment horizontal="center" vertical="center"/>
    </xf>
    <xf numFmtId="178" fontId="22" fillId="0" borderId="72" xfId="0" applyNumberFormat="1" applyFont="1" applyBorder="1" applyAlignment="1">
      <alignment horizontal="center" vertical="center"/>
    </xf>
    <xf numFmtId="0" fontId="22" fillId="0" borderId="69" xfId="0" applyFont="1" applyBorder="1" applyAlignment="1">
      <alignment horizontal="center" vertical="center"/>
    </xf>
    <xf numFmtId="49" fontId="17" fillId="0" borderId="68" xfId="0" applyNumberFormat="1" applyFont="1" applyBorder="1" applyAlignment="1">
      <alignment horizontal="center" vertical="center"/>
    </xf>
    <xf numFmtId="180" fontId="0" fillId="0" borderId="35" xfId="0" applyNumberFormat="1" applyFont="1" applyBorder="1" applyAlignment="1">
      <alignment horizontal="center" vertical="center"/>
    </xf>
    <xf numFmtId="180" fontId="0" fillId="0" borderId="69" xfId="0" applyNumberFormat="1" applyFont="1" applyBorder="1" applyAlignment="1">
      <alignment horizontal="center" vertical="center"/>
    </xf>
    <xf numFmtId="0" fontId="22" fillId="0" borderId="72" xfId="0" applyFont="1" applyBorder="1" applyAlignment="1">
      <alignment horizontal="center" vertical="center"/>
    </xf>
    <xf numFmtId="49" fontId="17" fillId="0" borderId="70" xfId="0" applyNumberFormat="1" applyFont="1" applyBorder="1" applyAlignment="1">
      <alignment horizontal="center" vertical="center"/>
    </xf>
    <xf numFmtId="180" fontId="0" fillId="0" borderId="71" xfId="0" applyNumberFormat="1" applyFont="1" applyBorder="1" applyAlignment="1">
      <alignment horizontal="center" vertical="center"/>
    </xf>
    <xf numFmtId="180" fontId="0" fillId="0" borderId="72" xfId="0" applyNumberFormat="1" applyFont="1" applyBorder="1" applyAlignment="1">
      <alignment horizontal="center" vertical="center"/>
    </xf>
    <xf numFmtId="178" fontId="0" fillId="0" borderId="35" xfId="0" applyNumberFormat="1" applyBorder="1" applyAlignment="1">
      <alignment horizontal="center" vertical="center"/>
    </xf>
    <xf numFmtId="178" fontId="0" fillId="0" borderId="69" xfId="0" applyNumberFormat="1" applyBorder="1" applyAlignment="1">
      <alignment horizontal="center" vertical="center"/>
    </xf>
    <xf numFmtId="180" fontId="0" fillId="0" borderId="71" xfId="0" applyNumberFormat="1" applyBorder="1" applyAlignment="1">
      <alignment horizontal="center" vertical="center"/>
    </xf>
    <xf numFmtId="178" fontId="0" fillId="0" borderId="71" xfId="0" applyNumberFormat="1" applyBorder="1" applyAlignment="1">
      <alignment horizontal="center" vertical="center"/>
    </xf>
    <xf numFmtId="178" fontId="0" fillId="0" borderId="72" xfId="0" applyNumberFormat="1" applyBorder="1" applyAlignment="1">
      <alignment horizontal="center" vertical="center"/>
    </xf>
    <xf numFmtId="49" fontId="0" fillId="0" borderId="0" xfId="0" applyNumberFormat="1" applyAlignment="1">
      <alignment horizontal="center" vertical="center"/>
    </xf>
    <xf numFmtId="0" fontId="0" fillId="2" borderId="35" xfId="0" applyFont="1" applyFill="1" applyBorder="1" applyAlignment="1">
      <alignment horizontal="center" vertical="center"/>
    </xf>
    <xf numFmtId="0" fontId="0" fillId="2" borderId="69" xfId="0" applyFont="1" applyFill="1" applyBorder="1" applyAlignment="1">
      <alignment horizontal="center" vertical="center"/>
    </xf>
    <xf numFmtId="0" fontId="0" fillId="25" borderId="35" xfId="0" applyFont="1" applyFill="1" applyBorder="1" applyAlignment="1">
      <alignment horizontal="center" vertical="center"/>
    </xf>
    <xf numFmtId="0" fontId="0" fillId="25" borderId="69" xfId="0" applyFont="1" applyFill="1" applyBorder="1" applyAlignment="1">
      <alignment horizontal="center" vertical="center"/>
    </xf>
    <xf numFmtId="0" fontId="22" fillId="0" borderId="68" xfId="0" applyFont="1" applyBorder="1" applyAlignment="1">
      <alignment horizontal="left" vertical="center"/>
    </xf>
    <xf numFmtId="176" fontId="22" fillId="0" borderId="35" xfId="0" applyNumberFormat="1" applyFont="1" applyBorder="1" applyAlignment="1">
      <alignment horizontal="left" vertical="center"/>
    </xf>
    <xf numFmtId="178" fontId="22" fillId="0" borderId="35" xfId="0" applyNumberFormat="1" applyFont="1" applyBorder="1" applyAlignment="1">
      <alignment horizontal="left" vertical="center"/>
    </xf>
    <xf numFmtId="178" fontId="22" fillId="0" borderId="69" xfId="0" applyNumberFormat="1" applyFont="1" applyBorder="1" applyAlignment="1">
      <alignment horizontal="left" vertical="center"/>
    </xf>
    <xf numFmtId="180" fontId="22" fillId="0" borderId="35" xfId="0" applyNumberFormat="1" applyFont="1" applyBorder="1" applyAlignment="1">
      <alignment horizontal="left" vertical="center"/>
    </xf>
    <xf numFmtId="0" fontId="22" fillId="0" borderId="35" xfId="0" applyFont="1" applyBorder="1" applyAlignment="1">
      <alignment horizontal="left" vertical="center"/>
    </xf>
    <xf numFmtId="0" fontId="22" fillId="0" borderId="69" xfId="0" applyFont="1" applyBorder="1" applyAlignment="1">
      <alignment horizontal="left" vertical="center"/>
    </xf>
    <xf numFmtId="49" fontId="22" fillId="0" borderId="68" xfId="0" applyNumberFormat="1" applyFont="1" applyBorder="1" applyAlignment="1">
      <alignment horizontal="left" vertical="center"/>
    </xf>
    <xf numFmtId="49" fontId="49" fillId="0" borderId="68" xfId="0" applyNumberFormat="1" applyFont="1" applyBorder="1" applyAlignment="1">
      <alignment horizontal="left" vertical="center"/>
    </xf>
    <xf numFmtId="0" fontId="22" fillId="0" borderId="70" xfId="0" applyFont="1" applyBorder="1" applyAlignment="1">
      <alignment horizontal="left" vertical="center"/>
    </xf>
    <xf numFmtId="176" fontId="22" fillId="0" borderId="71" xfId="0" applyNumberFormat="1" applyFont="1" applyBorder="1" applyAlignment="1">
      <alignment horizontal="left" vertical="center"/>
    </xf>
    <xf numFmtId="178" fontId="22" fillId="0" borderId="71" xfId="0" applyNumberFormat="1" applyFont="1" applyBorder="1" applyAlignment="1">
      <alignment horizontal="left" vertical="center"/>
    </xf>
    <xf numFmtId="178" fontId="22" fillId="0" borderId="72" xfId="0" applyNumberFormat="1" applyFont="1" applyBorder="1" applyAlignment="1">
      <alignment horizontal="left" vertical="center"/>
    </xf>
    <xf numFmtId="49" fontId="22" fillId="0" borderId="70" xfId="0" applyNumberFormat="1" applyFont="1" applyBorder="1" applyAlignment="1">
      <alignment horizontal="left" vertical="center"/>
    </xf>
    <xf numFmtId="0" fontId="22" fillId="0" borderId="71" xfId="0" applyFont="1" applyBorder="1" applyAlignment="1">
      <alignment horizontal="left" vertical="center"/>
    </xf>
    <xf numFmtId="0" fontId="22" fillId="0" borderId="72" xfId="0" applyFont="1" applyBorder="1" applyAlignment="1">
      <alignment horizontal="left" vertical="center"/>
    </xf>
    <xf numFmtId="0" fontId="0" fillId="0" borderId="93" xfId="0" applyFont="1" applyBorder="1" applyAlignment="1">
      <alignment horizontal="center" vertical="center"/>
    </xf>
    <xf numFmtId="178" fontId="0" fillId="0" borderId="35" xfId="0" applyNumberFormat="1" applyFont="1" applyBorder="1" applyAlignment="1">
      <alignment horizontal="center" vertical="center"/>
    </xf>
    <xf numFmtId="178" fontId="0" fillId="0" borderId="93" xfId="0" applyNumberFormat="1" applyFont="1" applyBorder="1" applyAlignment="1">
      <alignment horizontal="center" vertical="center"/>
    </xf>
    <xf numFmtId="178" fontId="0" fillId="0" borderId="93" xfId="0" applyNumberFormat="1" applyBorder="1" applyAlignment="1">
      <alignment horizontal="center" vertical="center"/>
    </xf>
    <xf numFmtId="0" fontId="0" fillId="0" borderId="93" xfId="0" applyBorder="1" applyAlignment="1">
      <alignment horizontal="center" vertical="center"/>
    </xf>
    <xf numFmtId="0" fontId="17" fillId="0" borderId="73" xfId="0" applyFont="1" applyBorder="1" applyAlignment="1">
      <alignment horizontal="center" vertical="center"/>
    </xf>
    <xf numFmtId="180" fontId="0" fillId="0" borderId="74" xfId="0" applyNumberFormat="1" applyBorder="1" applyAlignment="1">
      <alignment horizontal="center" vertical="center"/>
    </xf>
    <xf numFmtId="178" fontId="0" fillId="0" borderId="74" xfId="0" applyNumberFormat="1" applyBorder="1" applyAlignment="1">
      <alignment horizontal="center" vertical="center"/>
    </xf>
    <xf numFmtId="0" fontId="0" fillId="0" borderId="55" xfId="0" applyBorder="1" applyAlignment="1">
      <alignment horizontal="center" vertical="center"/>
    </xf>
    <xf numFmtId="0" fontId="0" fillId="0" borderId="73" xfId="0" applyBorder="1" applyAlignment="1">
      <alignment horizontal="center" vertical="center"/>
    </xf>
    <xf numFmtId="0" fontId="0" fillId="0" borderId="74" xfId="0" applyBorder="1" applyAlignment="1">
      <alignment horizontal="center" vertical="center"/>
    </xf>
    <xf numFmtId="0" fontId="0" fillId="0" borderId="102" xfId="0" applyBorder="1" applyAlignment="1">
      <alignment horizontal="center" vertical="center"/>
    </xf>
    <xf numFmtId="0" fontId="0" fillId="0" borderId="75" xfId="0" applyBorder="1" applyAlignment="1">
      <alignment horizontal="center" vertical="center"/>
    </xf>
    <xf numFmtId="0" fontId="12" fillId="0" borderId="0" xfId="0" applyFont="1" applyFill="1" applyAlignment="1">
      <alignment vertical="center"/>
    </xf>
    <xf numFmtId="0" fontId="12" fillId="0" borderId="35" xfId="0" applyFont="1" applyFill="1" applyBorder="1" applyAlignment="1">
      <alignment horizontal="center" vertical="center"/>
    </xf>
    <xf numFmtId="0" fontId="12" fillId="14" borderId="35" xfId="0" applyFont="1" applyFill="1" applyBorder="1" applyAlignment="1">
      <alignment horizontal="center" vertical="center"/>
    </xf>
    <xf numFmtId="0" fontId="104" fillId="8" borderId="35" xfId="0" applyFont="1" applyFill="1" applyBorder="1" applyAlignment="1">
      <alignment horizontal="center" vertical="center"/>
    </xf>
    <xf numFmtId="0" fontId="104" fillId="7" borderId="35" xfId="0" applyFont="1" applyFill="1" applyBorder="1" applyAlignment="1">
      <alignment horizontal="center" vertical="center"/>
    </xf>
    <xf numFmtId="0" fontId="12" fillId="0" borderId="0" xfId="0" applyFont="1" applyFill="1" applyAlignment="1">
      <alignment horizontal="center" vertical="center"/>
    </xf>
    <xf numFmtId="0" fontId="0" fillId="0" borderId="0" xfId="0" applyFont="1" applyFill="1" applyAlignment="1">
      <alignment horizontal="center" vertical="center"/>
    </xf>
    <xf numFmtId="0" fontId="20" fillId="0" borderId="0" xfId="0" applyFont="1" applyFill="1" applyAlignment="1">
      <alignment horizontal="center" vertical="center"/>
    </xf>
    <xf numFmtId="0" fontId="0" fillId="0" borderId="35" xfId="0" applyFont="1" applyFill="1" applyBorder="1" applyAlignment="1">
      <alignment horizontal="center" vertical="center"/>
    </xf>
    <xf numFmtId="0" fontId="20" fillId="17" borderId="35" xfId="0" applyFont="1" applyFill="1" applyBorder="1" applyAlignment="1">
      <alignment horizontal="center" vertical="center"/>
    </xf>
    <xf numFmtId="0" fontId="20" fillId="20" borderId="35" xfId="0" applyFont="1" applyFill="1" applyBorder="1" applyAlignment="1">
      <alignment horizontal="center" vertical="center"/>
    </xf>
    <xf numFmtId="0" fontId="20" fillId="0" borderId="0" xfId="0" applyFont="1" applyFill="1" applyAlignment="1">
      <alignment vertical="center"/>
    </xf>
    <xf numFmtId="180" fontId="20" fillId="0" borderId="0" xfId="0" applyNumberFormat="1" applyFont="1" applyFill="1" applyAlignment="1">
      <alignment horizontal="center" vertical="center"/>
    </xf>
    <xf numFmtId="0" fontId="20" fillId="0" borderId="35" xfId="0" applyFont="1" applyFill="1" applyBorder="1" applyAlignment="1">
      <alignment horizontal="center" vertical="center"/>
    </xf>
    <xf numFmtId="180" fontId="20" fillId="0" borderId="35" xfId="0" applyNumberFormat="1" applyFont="1" applyFill="1" applyBorder="1" applyAlignment="1">
      <alignment horizontal="center" vertical="center"/>
    </xf>
    <xf numFmtId="0" fontId="20" fillId="21" borderId="35" xfId="0" applyFont="1" applyFill="1" applyBorder="1" applyAlignment="1">
      <alignment horizontal="center" vertical="center"/>
    </xf>
    <xf numFmtId="0" fontId="20" fillId="0" borderId="35" xfId="0" applyFont="1" applyFill="1" applyBorder="1" applyAlignment="1">
      <alignment vertical="center"/>
    </xf>
    <xf numFmtId="180" fontId="20" fillId="21" borderId="35" xfId="0" applyNumberFormat="1" applyFont="1" applyFill="1" applyBorder="1" applyAlignment="1">
      <alignment horizontal="center" vertical="center"/>
    </xf>
    <xf numFmtId="180" fontId="113" fillId="0" borderId="35" xfId="0" applyNumberFormat="1" applyFont="1" applyFill="1" applyBorder="1" applyAlignment="1">
      <alignment horizontal="center" vertical="center"/>
    </xf>
    <xf numFmtId="0" fontId="28" fillId="0" borderId="35" xfId="0" applyFont="1" applyFill="1" applyBorder="1" applyAlignment="1">
      <alignment vertical="center"/>
    </xf>
    <xf numFmtId="0" fontId="20" fillId="21" borderId="35" xfId="0" applyFont="1" applyFill="1" applyBorder="1" applyAlignment="1">
      <alignment vertical="center"/>
    </xf>
    <xf numFmtId="0" fontId="20" fillId="0" borderId="35" xfId="0" applyFont="1" applyFill="1" applyBorder="1" applyAlignment="1">
      <alignment vertical="center" wrapText="1"/>
    </xf>
    <xf numFmtId="0" fontId="20" fillId="0" borderId="0" xfId="0" applyFont="1" applyFill="1" applyBorder="1" applyAlignment="1">
      <alignment vertical="center"/>
    </xf>
    <xf numFmtId="180" fontId="0" fillId="0" borderId="0" xfId="0" applyNumberFormat="1" applyFont="1" applyFill="1" applyAlignment="1">
      <alignment horizontal="center" vertical="center"/>
    </xf>
    <xf numFmtId="180" fontId="0" fillId="0" borderId="35" xfId="0" applyNumberFormat="1" applyFont="1" applyFill="1" applyBorder="1" applyAlignment="1">
      <alignment horizontal="center" vertical="center"/>
    </xf>
    <xf numFmtId="0" fontId="0" fillId="0" borderId="35" xfId="0" applyFont="1" applyFill="1" applyBorder="1" applyAlignment="1">
      <alignment horizontal="left" vertical="center"/>
    </xf>
    <xf numFmtId="180" fontId="0" fillId="7" borderId="35" xfId="0" applyNumberFormat="1" applyFont="1" applyFill="1" applyBorder="1" applyAlignment="1">
      <alignment horizontal="center" vertical="center"/>
    </xf>
    <xf numFmtId="0" fontId="0" fillId="0" borderId="35" xfId="0" applyFill="1" applyBorder="1" applyAlignment="1">
      <alignment horizontal="left" vertical="center"/>
    </xf>
    <xf numFmtId="180" fontId="0" fillId="22" borderId="35" xfId="0" applyNumberFormat="1" applyFont="1" applyFill="1" applyBorder="1" applyAlignment="1">
      <alignment horizontal="center" vertical="center"/>
    </xf>
    <xf numFmtId="0" fontId="0" fillId="28" borderId="35" xfId="0" applyFont="1" applyFill="1" applyBorder="1" applyAlignment="1">
      <alignment horizontal="center" vertical="center"/>
    </xf>
    <xf numFmtId="0" fontId="0" fillId="28" borderId="35" xfId="0" applyFont="1" applyFill="1" applyBorder="1" applyAlignment="1">
      <alignment horizontal="left" vertical="center"/>
    </xf>
    <xf numFmtId="180" fontId="0" fillId="28" borderId="35" xfId="0" applyNumberFormat="1" applyFont="1" applyFill="1" applyBorder="1" applyAlignment="1">
      <alignment horizontal="center" vertical="center"/>
    </xf>
    <xf numFmtId="0" fontId="88" fillId="0" borderId="35" xfId="0" applyFont="1" applyFill="1" applyBorder="1" applyAlignment="1">
      <alignment vertical="center"/>
    </xf>
    <xf numFmtId="0" fontId="0" fillId="0" borderId="0" xfId="0" applyFont="1" applyFill="1" applyAlignment="1">
      <alignment horizontal="left" vertical="center"/>
    </xf>
    <xf numFmtId="180" fontId="42" fillId="0" borderId="35" xfId="0" applyNumberFormat="1" applyFont="1" applyFill="1" applyBorder="1" applyAlignment="1">
      <alignment horizontal="center" vertical="center"/>
    </xf>
    <xf numFmtId="182" fontId="66" fillId="0" borderId="0" xfId="0" applyNumberFormat="1" applyFont="1" applyFill="1" applyAlignment="1">
      <alignment vertical="center"/>
    </xf>
    <xf numFmtId="0" fontId="88" fillId="26" borderId="35" xfId="0" applyFont="1" applyFill="1" applyBorder="1" applyAlignment="1">
      <alignment horizontal="center" vertical="center"/>
    </xf>
    <xf numFmtId="182" fontId="88" fillId="26" borderId="35" xfId="0" applyNumberFormat="1" applyFont="1" applyFill="1" applyBorder="1" applyAlignment="1">
      <alignment horizontal="center" vertical="center"/>
    </xf>
    <xf numFmtId="0" fontId="116" fillId="0" borderId="35" xfId="0" applyFont="1" applyFill="1" applyBorder="1" applyAlignment="1">
      <alignment vertical="center"/>
    </xf>
    <xf numFmtId="182" fontId="116" fillId="21" borderId="35" xfId="0" applyNumberFormat="1" applyFont="1" applyFill="1" applyBorder="1" applyAlignment="1">
      <alignment vertical="center"/>
    </xf>
    <xf numFmtId="0" fontId="88" fillId="0" borderId="74" xfId="0" applyFont="1" applyFill="1" applyBorder="1" applyAlignment="1">
      <alignment vertical="center"/>
    </xf>
    <xf numFmtId="0" fontId="116" fillId="0" borderId="94" xfId="0" applyFont="1" applyFill="1" applyBorder="1" applyAlignment="1">
      <alignment vertical="center"/>
    </xf>
    <xf numFmtId="182" fontId="116" fillId="0" borderId="35" xfId="0" applyNumberFormat="1" applyFont="1" applyFill="1" applyBorder="1" applyAlignment="1">
      <alignment vertical="center"/>
    </xf>
    <xf numFmtId="0" fontId="88" fillId="0" borderId="63" xfId="0" applyFont="1" applyFill="1" applyBorder="1" applyAlignment="1">
      <alignment vertical="center"/>
    </xf>
    <xf numFmtId="0" fontId="88" fillId="0" borderId="36" xfId="0" applyFont="1" applyFill="1" applyBorder="1" applyAlignment="1">
      <alignment vertical="center"/>
    </xf>
    <xf numFmtId="0" fontId="96" fillId="0" borderId="94" xfId="0" applyFont="1" applyFill="1" applyBorder="1" applyAlignment="1">
      <alignment vertical="center"/>
    </xf>
    <xf numFmtId="182" fontId="96" fillId="0" borderId="35" xfId="0" applyNumberFormat="1" applyFont="1" applyFill="1" applyBorder="1" applyAlignment="1">
      <alignment vertical="center"/>
    </xf>
    <xf numFmtId="182" fontId="116" fillId="21" borderId="0" xfId="0" applyNumberFormat="1" applyFont="1" applyFill="1" applyAlignment="1">
      <alignment vertical="center"/>
    </xf>
    <xf numFmtId="0" fontId="96" fillId="0" borderId="35" xfId="0" applyFont="1" applyFill="1" applyBorder="1" applyAlignment="1">
      <alignment vertical="center"/>
    </xf>
    <xf numFmtId="182" fontId="88" fillId="21" borderId="35" xfId="0" applyNumberFormat="1" applyFont="1" applyFill="1" applyBorder="1" applyAlignment="1">
      <alignment vertical="center"/>
    </xf>
    <xf numFmtId="182" fontId="88" fillId="0" borderId="35" xfId="0" applyNumberFormat="1" applyFont="1" applyFill="1" applyBorder="1" applyAlignment="1">
      <alignment vertical="center"/>
    </xf>
    <xf numFmtId="0" fontId="0" fillId="0" borderId="0" xfId="0" applyAlignment="1" applyProtection="1">
      <alignment horizontal="center"/>
      <protection hidden="1"/>
    </xf>
    <xf numFmtId="0" fontId="0" fillId="10" borderId="0" xfId="0" applyFill="1" applyAlignment="1" applyProtection="1">
      <alignment horizontal="center"/>
      <protection locked="0"/>
    </xf>
    <xf numFmtId="0" fontId="0" fillId="0" borderId="0" xfId="0" applyFill="1" applyAlignment="1">
      <alignment horizontal="center"/>
    </xf>
    <xf numFmtId="0" fontId="0" fillId="0" borderId="109" xfId="0" applyBorder="1" applyAlignment="1">
      <alignment horizontal="center" vertical="center"/>
    </xf>
    <xf numFmtId="0" fontId="0" fillId="0" borderId="110" xfId="0" applyBorder="1" applyAlignment="1">
      <alignment horizontal="left" vertical="center"/>
    </xf>
    <xf numFmtId="0" fontId="17" fillId="0" borderId="35" xfId="0" applyFont="1" applyBorder="1" applyAlignment="1">
      <alignment horizontal="center" vertical="center"/>
    </xf>
    <xf numFmtId="0" fontId="0" fillId="0" borderId="111" xfId="0" applyBorder="1" applyAlignment="1">
      <alignment horizontal="left" vertical="center"/>
    </xf>
    <xf numFmtId="0" fontId="0" fillId="0" borderId="81" xfId="0" applyBorder="1" applyAlignment="1">
      <alignment horizontal="center" vertical="center"/>
    </xf>
    <xf numFmtId="0" fontId="17" fillId="0" borderId="81" xfId="0" applyFont="1" applyBorder="1" applyAlignment="1">
      <alignment horizontal="center" vertical="center"/>
    </xf>
    <xf numFmtId="0" fontId="0" fillId="0" borderId="112" xfId="0" applyBorder="1" applyAlignment="1">
      <alignment horizontal="center" vertical="center"/>
    </xf>
    <xf numFmtId="0" fontId="117" fillId="0" borderId="0" xfId="0" applyFont="1"/>
    <xf numFmtId="0" fontId="119" fillId="0" borderId="0" xfId="0" applyFont="1" applyAlignment="1">
      <alignment horizontal="center"/>
    </xf>
    <xf numFmtId="0" fontId="0" fillId="0" borderId="110" xfId="0" applyBorder="1" applyAlignment="1">
      <alignment horizontal="center"/>
    </xf>
    <xf numFmtId="0" fontId="0" fillId="0" borderId="35" xfId="0" applyBorder="1"/>
    <xf numFmtId="0" fontId="17" fillId="0" borderId="35" xfId="0" applyFont="1" applyBorder="1"/>
    <xf numFmtId="0" fontId="120" fillId="31" borderId="109" xfId="0" applyFont="1" applyFill="1" applyBorder="1" applyAlignment="1">
      <alignment horizontal="right"/>
    </xf>
    <xf numFmtId="0" fontId="0" fillId="0" borderId="35" xfId="0" applyFill="1" applyBorder="1"/>
    <xf numFmtId="0" fontId="0" fillId="0" borderId="110" xfId="0" applyBorder="1" applyAlignment="1">
      <alignment horizontal="center" vertical="center"/>
    </xf>
    <xf numFmtId="0" fontId="0" fillId="32" borderId="35" xfId="0" applyFill="1" applyBorder="1"/>
    <xf numFmtId="0" fontId="17" fillId="32" borderId="35" xfId="0" applyFont="1" applyFill="1" applyBorder="1"/>
    <xf numFmtId="183" fontId="0" fillId="32" borderId="109" xfId="0" applyNumberFormat="1" applyFill="1" applyBorder="1" applyAlignment="1">
      <alignment horizontal="right"/>
    </xf>
    <xf numFmtId="0" fontId="17" fillId="0" borderId="109" xfId="0" applyFont="1" applyBorder="1" applyAlignment="1">
      <alignment horizontal="center" vertical="center"/>
    </xf>
    <xf numFmtId="0" fontId="0" fillId="32" borderId="109" xfId="0" applyFill="1" applyBorder="1"/>
    <xf numFmtId="0" fontId="0" fillId="0" borderId="111" xfId="0" applyBorder="1" applyAlignment="1">
      <alignment horizontal="center"/>
    </xf>
    <xf numFmtId="0" fontId="121" fillId="0" borderId="81" xfId="0" applyFont="1" applyFill="1" applyBorder="1"/>
    <xf numFmtId="0" fontId="122" fillId="0" borderId="81" xfId="0" applyFont="1" applyFill="1" applyBorder="1"/>
    <xf numFmtId="180" fontId="123" fillId="6" borderId="112" xfId="0" applyNumberFormat="1" applyFont="1" applyFill="1" applyBorder="1" applyAlignment="1">
      <alignment horizontal="center"/>
    </xf>
    <xf numFmtId="0" fontId="17" fillId="0" borderId="112" xfId="0" applyFont="1" applyBorder="1" applyAlignment="1">
      <alignment horizontal="center" vertical="center"/>
    </xf>
    <xf numFmtId="0" fontId="22" fillId="15" borderId="74" xfId="0" applyFont="1" applyFill="1" applyBorder="1" applyAlignment="1">
      <alignment horizontal="center" vertical="center"/>
    </xf>
    <xf numFmtId="0" fontId="125" fillId="15" borderId="74" xfId="0" applyFont="1" applyFill="1" applyBorder="1" applyAlignment="1">
      <alignment horizontal="center" vertical="center"/>
    </xf>
    <xf numFmtId="0" fontId="126" fillId="15" borderId="35" xfId="0" applyFont="1" applyFill="1" applyBorder="1" applyAlignment="1">
      <alignment horizontal="center" vertical="center" shrinkToFit="1"/>
    </xf>
    <xf numFmtId="0" fontId="22" fillId="10" borderId="35" xfId="0" applyFont="1" applyFill="1" applyBorder="1" applyAlignment="1">
      <alignment horizontal="center" vertical="center"/>
    </xf>
    <xf numFmtId="0" fontId="22" fillId="0" borderId="0" xfId="0" applyFont="1" applyFill="1" applyBorder="1" applyAlignment="1">
      <alignment horizontal="center" vertical="center"/>
    </xf>
    <xf numFmtId="0" fontId="24" fillId="0" borderId="0" xfId="0" applyFont="1" applyFill="1" applyAlignment="1">
      <alignment vertical="center"/>
    </xf>
    <xf numFmtId="0" fontId="0" fillId="15" borderId="0" xfId="0" applyFill="1" applyBorder="1" applyAlignment="1">
      <alignment vertical="center"/>
    </xf>
    <xf numFmtId="0" fontId="0" fillId="15" borderId="35" xfId="0" applyFill="1" applyBorder="1" applyAlignment="1">
      <alignment vertical="center"/>
    </xf>
    <xf numFmtId="0" fontId="127" fillId="13" borderId="35" xfId="0" applyFont="1" applyFill="1" applyBorder="1" applyAlignment="1">
      <alignment vertical="center"/>
    </xf>
    <xf numFmtId="0" fontId="127" fillId="15" borderId="0" xfId="0" applyFont="1" applyFill="1" applyBorder="1" applyAlignment="1">
      <alignment vertical="center"/>
    </xf>
    <xf numFmtId="0" fontId="127" fillId="0" borderId="0" xfId="0" applyFont="1" applyFill="1" applyAlignment="1">
      <alignment vertical="center"/>
    </xf>
    <xf numFmtId="0" fontId="0" fillId="23" borderId="55" xfId="0" applyFill="1" applyBorder="1" applyAlignment="1">
      <alignment vertical="center"/>
    </xf>
    <xf numFmtId="0" fontId="0" fillId="23" borderId="61" xfId="0" applyFill="1" applyBorder="1" applyAlignment="1">
      <alignment vertical="center"/>
    </xf>
    <xf numFmtId="0" fontId="127" fillId="23" borderId="61" xfId="0" applyFont="1" applyFill="1" applyBorder="1" applyAlignment="1">
      <alignment vertical="center"/>
    </xf>
    <xf numFmtId="0" fontId="0" fillId="23" borderId="57" xfId="0" applyFill="1" applyBorder="1" applyAlignment="1">
      <alignment vertical="center"/>
    </xf>
    <xf numFmtId="0" fontId="0" fillId="23" borderId="35" xfId="0" applyFill="1" applyBorder="1" applyAlignment="1">
      <alignment vertical="center"/>
    </xf>
    <xf numFmtId="0" fontId="127" fillId="23" borderId="35" xfId="0" applyFont="1" applyFill="1" applyBorder="1" applyAlignment="1">
      <alignment vertical="center"/>
    </xf>
    <xf numFmtId="0" fontId="0" fillId="23" borderId="0" xfId="0" applyFill="1" applyBorder="1" applyAlignment="1">
      <alignment vertical="center"/>
    </xf>
    <xf numFmtId="0" fontId="57" fillId="23" borderId="0" xfId="0" applyFont="1" applyFill="1" applyBorder="1" applyAlignment="1">
      <alignment vertical="center"/>
    </xf>
    <xf numFmtId="0" fontId="0" fillId="23" borderId="59" xfId="0" applyFill="1" applyBorder="1" applyAlignment="1">
      <alignment vertical="center"/>
    </xf>
    <xf numFmtId="0" fontId="0" fillId="23" borderId="53" xfId="0" applyFill="1" applyBorder="1" applyAlignment="1">
      <alignment vertical="center"/>
    </xf>
    <xf numFmtId="0" fontId="0" fillId="0" borderId="55" xfId="0" applyFill="1" applyBorder="1" applyAlignment="1">
      <alignment vertical="center"/>
    </xf>
    <xf numFmtId="0" fontId="0" fillId="0" borderId="61" xfId="0" applyFill="1" applyBorder="1" applyAlignment="1">
      <alignment vertical="center"/>
    </xf>
    <xf numFmtId="0" fontId="24" fillId="22" borderId="61" xfId="0" applyNumberFormat="1" applyFont="1" applyFill="1" applyBorder="1" applyAlignment="1">
      <alignment vertical="center"/>
    </xf>
    <xf numFmtId="0" fontId="0" fillId="0" borderId="57" xfId="0" applyFill="1" applyBorder="1" applyAlignment="1">
      <alignment vertical="center"/>
    </xf>
    <xf numFmtId="0" fontId="24" fillId="22" borderId="0" xfId="0" applyNumberFormat="1" applyFont="1" applyFill="1" applyBorder="1" applyAlignment="1">
      <alignment vertical="center"/>
    </xf>
    <xf numFmtId="185" fontId="0" fillId="0" borderId="0" xfId="0" applyNumberFormat="1" applyFill="1" applyBorder="1" applyAlignment="1">
      <alignment vertical="center"/>
    </xf>
    <xf numFmtId="0" fontId="0" fillId="0" borderId="59" xfId="0" applyFill="1" applyBorder="1" applyAlignment="1">
      <alignment vertical="center"/>
    </xf>
    <xf numFmtId="0" fontId="0" fillId="0" borderId="53" xfId="0" applyFill="1" applyBorder="1" applyAlignment="1">
      <alignment vertical="center"/>
    </xf>
    <xf numFmtId="0" fontId="24" fillId="22" borderId="53" xfId="0" applyNumberFormat="1" applyFont="1" applyFill="1" applyBorder="1" applyAlignment="1">
      <alignment vertical="center"/>
    </xf>
    <xf numFmtId="185" fontId="0" fillId="0" borderId="53" xfId="0" applyNumberFormat="1" applyFill="1" applyBorder="1" applyAlignment="1">
      <alignment vertical="center"/>
    </xf>
    <xf numFmtId="0" fontId="0" fillId="0" borderId="93" xfId="0" applyFill="1" applyBorder="1" applyAlignment="1">
      <alignment vertical="center"/>
    </xf>
    <xf numFmtId="0" fontId="0" fillId="0" borderId="54" xfId="0" applyFill="1" applyBorder="1" applyAlignment="1">
      <alignment vertical="center"/>
    </xf>
    <xf numFmtId="0" fontId="24" fillId="22" borderId="54" xfId="0" applyFont="1" applyFill="1" applyBorder="1" applyAlignment="1">
      <alignment vertical="center"/>
    </xf>
    <xf numFmtId="0" fontId="0" fillId="0" borderId="61" xfId="0" applyFill="1" applyBorder="1" applyAlignment="1">
      <alignment vertical="center" wrapText="1"/>
    </xf>
    <xf numFmtId="0" fontId="42" fillId="0" borderId="61" xfId="0" applyFont="1" applyFill="1" applyBorder="1" applyAlignment="1">
      <alignment vertical="center"/>
    </xf>
    <xf numFmtId="0" fontId="0" fillId="0" borderId="53" xfId="0" applyFill="1" applyBorder="1" applyAlignment="1">
      <alignment vertical="center" wrapText="1"/>
    </xf>
    <xf numFmtId="0" fontId="24" fillId="22" borderId="53" xfId="0" applyFont="1" applyFill="1" applyBorder="1" applyAlignment="1">
      <alignment vertical="center"/>
    </xf>
    <xf numFmtId="0" fontId="0" fillId="0" borderId="53" xfId="0" applyFill="1" applyBorder="1" applyAlignment="1">
      <alignment horizontal="center" vertical="center"/>
    </xf>
    <xf numFmtId="49" fontId="42" fillId="0" borderId="53" xfId="0" applyNumberFormat="1" applyFont="1" applyFill="1" applyBorder="1" applyAlignment="1">
      <alignment vertical="center"/>
    </xf>
    <xf numFmtId="178" fontId="24" fillId="22" borderId="54" xfId="0" applyNumberFormat="1" applyFont="1" applyFill="1" applyBorder="1" applyAlignment="1">
      <alignment vertical="center"/>
    </xf>
    <xf numFmtId="183" fontId="24" fillId="22" borderId="54" xfId="0" applyNumberFormat="1" applyFont="1" applyFill="1" applyBorder="1" applyAlignment="1">
      <alignment vertical="center"/>
    </xf>
    <xf numFmtId="0" fontId="0" fillId="23" borderId="56" xfId="0" applyFill="1" applyBorder="1" applyAlignment="1">
      <alignment vertical="center"/>
    </xf>
    <xf numFmtId="0" fontId="0" fillId="23" borderId="58" xfId="0" applyFill="1" applyBorder="1" applyAlignment="1">
      <alignment vertical="center"/>
    </xf>
    <xf numFmtId="0" fontId="57" fillId="23" borderId="0" xfId="0" applyFont="1" applyFill="1" applyBorder="1" applyAlignment="1">
      <alignment horizontal="center" vertical="center"/>
    </xf>
    <xf numFmtId="0" fontId="0" fillId="23" borderId="60" xfId="0" applyFill="1" applyBorder="1" applyAlignment="1">
      <alignment vertical="center"/>
    </xf>
    <xf numFmtId="0" fontId="0" fillId="0" borderId="56" xfId="0" applyFill="1" applyBorder="1" applyAlignment="1">
      <alignment vertical="center"/>
    </xf>
    <xf numFmtId="0" fontId="0" fillId="0" borderId="58" xfId="0" applyFill="1" applyBorder="1" applyAlignment="1">
      <alignment vertical="center"/>
    </xf>
    <xf numFmtId="0" fontId="0" fillId="0" borderId="60" xfId="0" applyFill="1" applyBorder="1" applyAlignment="1">
      <alignment vertical="center"/>
    </xf>
    <xf numFmtId="11" fontId="0" fillId="0" borderId="0" xfId="0" applyNumberFormat="1" applyFill="1" applyAlignment="1">
      <alignment vertical="center"/>
    </xf>
    <xf numFmtId="0" fontId="0" fillId="0" borderId="94" xfId="0" applyFill="1" applyBorder="1" applyAlignment="1">
      <alignment vertical="center"/>
    </xf>
    <xf numFmtId="0" fontId="0" fillId="0" borderId="53" xfId="0" applyFont="1" applyFill="1" applyBorder="1" applyAlignment="1">
      <alignment vertical="center"/>
    </xf>
    <xf numFmtId="0" fontId="0" fillId="0" borderId="0" xfId="0" applyFill="1" applyBorder="1" applyAlignment="1">
      <alignment vertical="center" wrapText="1"/>
    </xf>
    <xf numFmtId="11" fontId="128" fillId="0" borderId="61" xfId="0" applyNumberFormat="1" applyFont="1" applyFill="1" applyBorder="1" applyAlignment="1">
      <alignment vertical="center"/>
    </xf>
    <xf numFmtId="178" fontId="128" fillId="0" borderId="0" xfId="0" applyNumberFormat="1" applyFont="1" applyFill="1" applyBorder="1" applyAlignment="1">
      <alignment vertical="center"/>
    </xf>
    <xf numFmtId="183" fontId="128" fillId="0" borderId="0" xfId="0" applyNumberFormat="1" applyFont="1" applyFill="1" applyBorder="1" applyAlignment="1">
      <alignment vertical="center"/>
    </xf>
    <xf numFmtId="0" fontId="128" fillId="0" borderId="0" xfId="0" applyFont="1" applyFill="1" applyBorder="1" applyAlignment="1">
      <alignment vertical="center"/>
    </xf>
    <xf numFmtId="0" fontId="128" fillId="0" borderId="53" xfId="0" applyFont="1" applyFill="1" applyBorder="1" applyAlignment="1">
      <alignment vertical="center"/>
    </xf>
    <xf numFmtId="11" fontId="0" fillId="0" borderId="61" xfId="0" applyNumberFormat="1" applyFill="1" applyBorder="1" applyAlignment="1">
      <alignment vertical="center"/>
    </xf>
    <xf numFmtId="0" fontId="0" fillId="0" borderId="39" xfId="0" applyBorder="1" applyAlignment="1">
      <alignment horizontal="center"/>
    </xf>
    <xf numFmtId="0" fontId="0" fillId="0" borderId="35" xfId="0" applyFill="1" applyBorder="1" applyAlignment="1"/>
    <xf numFmtId="0" fontId="0" fillId="0" borderId="46" xfId="0" applyFill="1" applyBorder="1"/>
    <xf numFmtId="0" fontId="0" fillId="0" borderId="35" xfId="0" applyBorder="1" applyAlignment="1">
      <alignment horizontal="right"/>
    </xf>
    <xf numFmtId="0" fontId="0" fillId="19" borderId="35" xfId="0" applyFill="1" applyBorder="1"/>
    <xf numFmtId="0" fontId="0" fillId="0" borderId="46" xfId="0" applyBorder="1"/>
    <xf numFmtId="0" fontId="0" fillId="0" borderId="46" xfId="0" applyBorder="1" applyAlignment="1">
      <alignment wrapText="1"/>
    </xf>
    <xf numFmtId="0" fontId="0" fillId="0" borderId="115" xfId="0" applyBorder="1" applyAlignment="1">
      <alignment horizontal="center"/>
    </xf>
    <xf numFmtId="0" fontId="0" fillId="0" borderId="74" xfId="0" applyBorder="1" applyAlignment="1">
      <alignment horizontal="right"/>
    </xf>
    <xf numFmtId="0" fontId="0" fillId="19" borderId="74" xfId="0" applyFill="1" applyBorder="1"/>
    <xf numFmtId="0" fontId="0" fillId="0" borderId="74" xfId="0" applyBorder="1"/>
    <xf numFmtId="0" fontId="0" fillId="0" borderId="116" xfId="0" applyBorder="1" applyAlignment="1">
      <alignment wrapText="1"/>
    </xf>
    <xf numFmtId="0" fontId="0" fillId="0" borderId="117" xfId="0" applyBorder="1" applyAlignment="1">
      <alignment horizontal="left"/>
    </xf>
    <xf numFmtId="0" fontId="0" fillId="0" borderId="54" xfId="0" applyBorder="1" applyAlignment="1">
      <alignment horizontal="left"/>
    </xf>
    <xf numFmtId="0" fontId="0" fillId="0" borderId="118" xfId="0" applyBorder="1" applyAlignment="1">
      <alignment horizontal="left"/>
    </xf>
    <xf numFmtId="0" fontId="0" fillId="0" borderId="52" xfId="0" applyBorder="1" applyAlignment="1">
      <alignment horizontal="center"/>
    </xf>
    <xf numFmtId="0" fontId="0" fillId="0" borderId="36" xfId="0" applyBorder="1" applyAlignment="1">
      <alignment horizontal="right"/>
    </xf>
    <xf numFmtId="10" fontId="0" fillId="0" borderId="36" xfId="0" applyNumberFormat="1" applyBorder="1"/>
    <xf numFmtId="0" fontId="0" fillId="0" borderId="36" xfId="0" applyBorder="1"/>
    <xf numFmtId="0" fontId="0" fillId="0" borderId="64" xfId="0" applyBorder="1" applyAlignment="1">
      <alignment horizontal="right" wrapText="1"/>
    </xf>
    <xf numFmtId="0" fontId="0" fillId="0" borderId="119" xfId="0" applyBorder="1" applyAlignment="1">
      <alignment horizontal="center"/>
    </xf>
    <xf numFmtId="0" fontId="0" fillId="0" borderId="63" xfId="0" applyBorder="1" applyAlignment="1">
      <alignment horizontal="right"/>
    </xf>
    <xf numFmtId="10" fontId="0" fillId="0" borderId="63" xfId="0" applyNumberFormat="1" applyBorder="1"/>
    <xf numFmtId="0" fontId="0" fillId="0" borderId="63" xfId="0" applyBorder="1"/>
    <xf numFmtId="0" fontId="0" fillId="0" borderId="120" xfId="0" applyBorder="1" applyAlignment="1">
      <alignment horizontal="right" wrapText="1"/>
    </xf>
    <xf numFmtId="0" fontId="0" fillId="0" borderId="54" xfId="0" applyBorder="1" applyAlignment="1">
      <alignment horizontal="right"/>
    </xf>
    <xf numFmtId="10" fontId="0" fillId="0" borderId="54" xfId="0" applyNumberFormat="1" applyBorder="1"/>
    <xf numFmtId="0" fontId="0" fillId="0" borderId="54" xfId="0" applyBorder="1"/>
    <xf numFmtId="0" fontId="0" fillId="0" borderId="118" xfId="0" applyBorder="1" applyAlignment="1">
      <alignment horizontal="right" wrapText="1"/>
    </xf>
    <xf numFmtId="187" fontId="0" fillId="0" borderId="36" xfId="0" applyNumberFormat="1" applyBorder="1"/>
    <xf numFmtId="0" fontId="0" fillId="0" borderId="64" xfId="0" applyBorder="1"/>
    <xf numFmtId="187" fontId="0" fillId="0" borderId="35" xfId="0" applyNumberFormat="1" applyBorder="1"/>
    <xf numFmtId="0" fontId="0" fillId="0" borderId="40" xfId="0" applyBorder="1" applyAlignment="1">
      <alignment horizontal="center"/>
    </xf>
    <xf numFmtId="0" fontId="0" fillId="0" borderId="47" xfId="0" applyFill="1" applyBorder="1" applyAlignment="1">
      <alignment horizontal="right"/>
    </xf>
    <xf numFmtId="0" fontId="0" fillId="18" borderId="47" xfId="0" applyFill="1" applyBorder="1"/>
    <xf numFmtId="0" fontId="0" fillId="0" borderId="47" xfId="0" applyBorder="1"/>
    <xf numFmtId="0" fontId="0" fillId="0" borderId="48" xfId="0" applyBorder="1"/>
    <xf numFmtId="0" fontId="0" fillId="0" borderId="0" xfId="0" applyFill="1" applyBorder="1" applyAlignment="1">
      <alignment horizontal="right"/>
    </xf>
    <xf numFmtId="0" fontId="0" fillId="34" borderId="125" xfId="0" applyFill="1" applyBorder="1" applyAlignment="1">
      <alignment horizontal="center" wrapText="1"/>
    </xf>
    <xf numFmtId="0" fontId="0" fillId="0" borderId="125" xfId="0" applyBorder="1" applyAlignment="1">
      <alignment horizontal="center" wrapText="1"/>
    </xf>
    <xf numFmtId="0" fontId="0" fillId="8" borderId="125" xfId="0" applyFill="1" applyBorder="1" applyAlignment="1">
      <alignment horizontal="center" wrapText="1"/>
    </xf>
    <xf numFmtId="0" fontId="88" fillId="0" borderId="35" xfId="0" applyFont="1" applyFill="1" applyBorder="1" applyAlignment="1">
      <alignment horizontal="center" vertical="center" wrapText="1"/>
    </xf>
    <xf numFmtId="0" fontId="88" fillId="0" borderId="36" xfId="0" applyFont="1" applyFill="1" applyBorder="1" applyAlignment="1">
      <alignment horizontal="center" vertical="center"/>
    </xf>
    <xf numFmtId="0" fontId="12" fillId="35" borderId="0" xfId="0" applyFont="1" applyFill="1" applyAlignment="1" applyProtection="1">
      <alignment vertical="center"/>
      <protection locked="0"/>
    </xf>
    <xf numFmtId="0" fontId="12" fillId="35" borderId="0" xfId="0" applyFont="1" applyFill="1" applyAlignment="1" applyProtection="1">
      <alignment horizontal="center" vertical="center"/>
      <protection locked="0"/>
    </xf>
    <xf numFmtId="0" fontId="12" fillId="35" borderId="0" xfId="0" applyFont="1" applyFill="1" applyAlignment="1" applyProtection="1">
      <alignment horizontal="right" vertical="center"/>
      <protection locked="0"/>
    </xf>
    <xf numFmtId="0" fontId="131" fillId="35" borderId="0" xfId="0" applyFont="1" applyFill="1" applyAlignment="1" applyProtection="1">
      <alignment horizontal="center" vertical="center"/>
      <protection locked="0"/>
    </xf>
    <xf numFmtId="0" fontId="131" fillId="35" borderId="128" xfId="0" applyFont="1" applyFill="1" applyBorder="1" applyAlignment="1" applyProtection="1">
      <alignment horizontal="center" vertical="center"/>
      <protection locked="0"/>
    </xf>
    <xf numFmtId="0" fontId="131" fillId="35" borderId="129" xfId="0" applyFont="1" applyFill="1" applyBorder="1" applyAlignment="1" applyProtection="1">
      <alignment horizontal="center" vertical="center"/>
      <protection locked="0"/>
    </xf>
    <xf numFmtId="0" fontId="12" fillId="35" borderId="110" xfId="0" applyFont="1" applyFill="1" applyBorder="1" applyAlignment="1" applyProtection="1">
      <alignment horizontal="center" vertical="center"/>
      <protection locked="0"/>
    </xf>
    <xf numFmtId="0" fontId="12" fillId="35" borderId="35" xfId="0" applyFont="1" applyFill="1" applyBorder="1" applyAlignment="1" applyProtection="1">
      <alignment horizontal="right" vertical="center"/>
      <protection locked="0"/>
    </xf>
    <xf numFmtId="0" fontId="12" fillId="36" borderId="35" xfId="0" applyFont="1" applyFill="1" applyBorder="1" applyAlignment="1" applyProtection="1">
      <alignment vertical="center"/>
      <protection locked="0"/>
    </xf>
    <xf numFmtId="0" fontId="12" fillId="35" borderId="35" xfId="0" applyFont="1" applyFill="1" applyBorder="1" applyAlignment="1" applyProtection="1">
      <alignment vertical="center"/>
      <protection locked="0"/>
    </xf>
    <xf numFmtId="0" fontId="12" fillId="35" borderId="35" xfId="0" applyFont="1" applyFill="1" applyBorder="1" applyAlignment="1" applyProtection="1">
      <alignment horizontal="center" vertical="center"/>
      <protection locked="0"/>
    </xf>
    <xf numFmtId="0" fontId="12" fillId="36" borderId="35" xfId="0" applyFont="1" applyFill="1" applyBorder="1" applyAlignment="1" applyProtection="1">
      <alignment vertical="center"/>
    </xf>
    <xf numFmtId="0" fontId="12" fillId="37" borderId="35" xfId="0" applyFont="1" applyFill="1" applyBorder="1" applyAlignment="1" applyProtection="1">
      <alignment vertical="center"/>
    </xf>
    <xf numFmtId="0" fontId="12" fillId="35" borderId="135" xfId="0" applyFont="1" applyFill="1" applyBorder="1" applyAlignment="1" applyProtection="1">
      <alignment horizontal="center" vertical="center"/>
      <protection locked="0"/>
    </xf>
    <xf numFmtId="0" fontId="12" fillId="35" borderId="0" xfId="0" applyFont="1" applyFill="1" applyBorder="1" applyAlignment="1" applyProtection="1">
      <alignment horizontal="right" vertical="center"/>
      <protection locked="0"/>
    </xf>
    <xf numFmtId="0" fontId="12" fillId="35" borderId="0" xfId="0" applyFont="1" applyFill="1" applyBorder="1" applyAlignment="1" applyProtection="1">
      <alignment vertical="center"/>
      <protection locked="0"/>
    </xf>
    <xf numFmtId="0" fontId="131" fillId="35" borderId="136" xfId="0" applyFont="1" applyFill="1" applyBorder="1" applyAlignment="1" applyProtection="1">
      <alignment horizontal="center" vertical="center"/>
      <protection locked="0"/>
    </xf>
    <xf numFmtId="0" fontId="12" fillId="35" borderId="137" xfId="0" applyFont="1" applyFill="1" applyBorder="1" applyAlignment="1" applyProtection="1">
      <alignment vertical="center"/>
      <protection locked="0"/>
    </xf>
    <xf numFmtId="0" fontId="12" fillId="35" borderId="0" xfId="0" applyFont="1" applyFill="1" applyAlignment="1">
      <alignment vertical="center"/>
    </xf>
    <xf numFmtId="0" fontId="12" fillId="35" borderId="0" xfId="0" applyNumberFormat="1" applyFont="1" applyFill="1" applyAlignment="1" applyProtection="1">
      <alignment vertical="center"/>
      <protection locked="0"/>
    </xf>
    <xf numFmtId="0" fontId="12" fillId="0" borderId="0" xfId="0" applyNumberFormat="1" applyFont="1" applyFill="1" applyAlignment="1" applyProtection="1">
      <alignment vertical="center"/>
      <protection locked="0"/>
    </xf>
    <xf numFmtId="0" fontId="135" fillId="38" borderId="0" xfId="0" applyNumberFormat="1" applyFont="1" applyFill="1" applyAlignment="1" applyProtection="1">
      <alignment vertical="center"/>
      <protection locked="0"/>
    </xf>
    <xf numFmtId="0" fontId="134" fillId="35" borderId="0" xfId="0" applyNumberFormat="1" applyFont="1" applyFill="1" applyAlignment="1" applyProtection="1">
      <alignment vertical="center"/>
      <protection locked="0"/>
    </xf>
    <xf numFmtId="0" fontId="12" fillId="35" borderId="0" xfId="0" applyNumberFormat="1" applyFont="1" applyFill="1" applyAlignment="1" applyProtection="1">
      <alignment horizontal="center" vertical="center"/>
      <protection locked="0"/>
    </xf>
    <xf numFmtId="0" fontId="12" fillId="35" borderId="0" xfId="0" applyNumberFormat="1" applyFont="1" applyFill="1" applyAlignment="1" applyProtection="1">
      <alignment horizontal="right" vertical="center"/>
      <protection locked="0"/>
    </xf>
    <xf numFmtId="0" fontId="12" fillId="36" borderId="0" xfId="0" applyNumberFormat="1" applyFont="1" applyFill="1" applyAlignment="1" applyProtection="1">
      <alignment horizontal="center" vertical="center"/>
      <protection locked="0"/>
    </xf>
    <xf numFmtId="0" fontId="12" fillId="37" borderId="0" xfId="0" applyNumberFormat="1" applyFont="1" applyFill="1" applyAlignment="1" applyProtection="1">
      <alignment horizontal="left" vertical="center"/>
    </xf>
    <xf numFmtId="0" fontId="12" fillId="37" borderId="0" xfId="0" applyNumberFormat="1" applyFont="1" applyFill="1" applyAlignment="1" applyProtection="1">
      <alignment horizontal="center" vertical="center"/>
      <protection locked="0"/>
    </xf>
    <xf numFmtId="0" fontId="12" fillId="35" borderId="0" xfId="0" applyNumberFormat="1" applyFont="1" applyFill="1" applyBorder="1" applyAlignment="1" applyProtection="1">
      <alignment horizontal="right" vertical="center"/>
      <protection locked="0"/>
    </xf>
    <xf numFmtId="0" fontId="12" fillId="37" borderId="0" xfId="0" applyNumberFormat="1" applyFont="1" applyFill="1" applyAlignment="1" applyProtection="1">
      <alignment horizontal="center" vertical="center"/>
    </xf>
    <xf numFmtId="0" fontId="12" fillId="37" borderId="0" xfId="0" applyNumberFormat="1" applyFont="1" applyFill="1" applyAlignment="1" applyProtection="1">
      <alignment vertical="center"/>
    </xf>
    <xf numFmtId="0" fontId="12" fillId="20" borderId="35" xfId="0" applyNumberFormat="1" applyFont="1" applyFill="1" applyBorder="1" applyAlignment="1" applyProtection="1">
      <alignment horizontal="center" vertical="center"/>
      <protection locked="0"/>
    </xf>
    <xf numFmtId="0" fontId="12" fillId="20" borderId="35" xfId="0" applyNumberFormat="1" applyFont="1" applyFill="1" applyBorder="1" applyAlignment="1" applyProtection="1">
      <alignment vertical="center"/>
      <protection locked="0"/>
    </xf>
    <xf numFmtId="0" fontId="12" fillId="20" borderId="35" xfId="0" applyNumberFormat="1" applyFont="1" applyFill="1" applyBorder="1" applyAlignment="1" applyProtection="1">
      <alignment horizontal="left" vertical="center"/>
      <protection locked="0"/>
    </xf>
    <xf numFmtId="0" fontId="138" fillId="0" borderId="0" xfId="0" applyNumberFormat="1" applyFont="1" applyFill="1" applyAlignment="1" applyProtection="1">
      <alignment vertical="center"/>
      <protection locked="0"/>
    </xf>
    <xf numFmtId="0" fontId="139" fillId="35" borderId="0" xfId="0" applyNumberFormat="1" applyFont="1" applyFill="1" applyAlignment="1" applyProtection="1">
      <alignment vertical="center"/>
      <protection locked="0"/>
    </xf>
    <xf numFmtId="0" fontId="140" fillId="36" borderId="0" xfId="0" applyNumberFormat="1" applyFont="1" applyFill="1" applyAlignment="1" applyProtection="1">
      <alignment horizontal="center" vertical="center"/>
      <protection locked="0"/>
    </xf>
    <xf numFmtId="0" fontId="137" fillId="35" borderId="0" xfId="0" applyNumberFormat="1" applyFont="1" applyFill="1" applyAlignment="1" applyProtection="1">
      <alignment horizontal="center" vertical="center"/>
      <protection locked="0"/>
    </xf>
    <xf numFmtId="0" fontId="137" fillId="37" borderId="0" xfId="0" applyNumberFormat="1" applyFont="1" applyFill="1" applyAlignment="1" applyProtection="1">
      <alignment horizontal="center" vertical="center"/>
    </xf>
    <xf numFmtId="0" fontId="138" fillId="35" borderId="0" xfId="0" applyNumberFormat="1" applyFont="1" applyFill="1" applyAlignment="1" applyProtection="1">
      <alignment vertical="center"/>
      <protection locked="0"/>
    </xf>
    <xf numFmtId="0" fontId="137" fillId="36" borderId="0" xfId="0" applyNumberFormat="1" applyFont="1" applyFill="1" applyAlignment="1" applyProtection="1">
      <alignment horizontal="center" vertical="center"/>
      <protection locked="0"/>
    </xf>
    <xf numFmtId="0" fontId="12" fillId="31" borderId="0" xfId="0" applyNumberFormat="1" applyFont="1" applyFill="1" applyAlignment="1" applyProtection="1">
      <alignment vertical="center"/>
      <protection locked="0"/>
    </xf>
    <xf numFmtId="0" fontId="141" fillId="0" borderId="0" xfId="0" applyNumberFormat="1" applyFont="1" applyFill="1" applyAlignment="1" applyProtection="1">
      <alignment vertical="center"/>
      <protection locked="0"/>
    </xf>
    <xf numFmtId="0" fontId="144" fillId="0" borderId="0" xfId="0" applyFont="1" applyFill="1" applyAlignment="1">
      <alignment horizontal="center"/>
    </xf>
    <xf numFmtId="0" fontId="144" fillId="11" borderId="141" xfId="0" applyFont="1" applyFill="1" applyBorder="1" applyAlignment="1">
      <alignment horizontal="center"/>
    </xf>
    <xf numFmtId="0" fontId="144" fillId="14" borderId="41" xfId="0" applyFont="1" applyFill="1" applyBorder="1" applyAlignment="1">
      <alignment horizontal="center"/>
    </xf>
    <xf numFmtId="0" fontId="145" fillId="13" borderId="141" xfId="0" applyFont="1" applyFill="1" applyBorder="1" applyAlignment="1"/>
    <xf numFmtId="0" fontId="145" fillId="0" borderId="0" xfId="0" applyFont="1" applyFill="1" applyAlignment="1">
      <alignment horizontal="center"/>
    </xf>
    <xf numFmtId="0" fontId="27" fillId="0" borderId="103" xfId="0" applyFont="1" applyBorder="1" applyAlignment="1">
      <alignment horizontal="center"/>
    </xf>
    <xf numFmtId="0" fontId="42" fillId="0" borderId="113" xfId="0" applyFont="1" applyBorder="1" applyAlignment="1">
      <alignment horizontal="center"/>
    </xf>
    <xf numFmtId="0" fontId="0" fillId="13" borderId="83" xfId="0" applyFill="1" applyBorder="1" applyAlignment="1">
      <alignment horizontal="center"/>
    </xf>
    <xf numFmtId="0" fontId="17" fillId="13" borderId="83" xfId="0" applyFont="1" applyFill="1" applyBorder="1" applyAlignment="1">
      <alignment horizontal="center"/>
    </xf>
    <xf numFmtId="0" fontId="0" fillId="11" borderId="110" xfId="0" applyFont="1" applyFill="1" applyBorder="1" applyAlignment="1">
      <alignment horizontal="center"/>
    </xf>
    <xf numFmtId="0" fontId="17" fillId="13" borderId="35" xfId="0" applyFont="1" applyFill="1" applyBorder="1" applyAlignment="1">
      <alignment horizontal="center"/>
    </xf>
    <xf numFmtId="0" fontId="0" fillId="14" borderId="35" xfId="0" applyFill="1" applyBorder="1" applyAlignment="1">
      <alignment horizontal="center"/>
    </xf>
    <xf numFmtId="0" fontId="17" fillId="13" borderId="74" xfId="0" applyFont="1" applyFill="1" applyBorder="1" applyAlignment="1">
      <alignment horizontal="center"/>
    </xf>
    <xf numFmtId="0" fontId="0" fillId="11" borderId="142" xfId="0" applyFont="1" applyFill="1" applyBorder="1" applyAlignment="1">
      <alignment horizontal="center"/>
    </xf>
    <xf numFmtId="0" fontId="17" fillId="13" borderId="22" xfId="0" applyFont="1" applyFill="1" applyBorder="1" applyAlignment="1">
      <alignment horizontal="center"/>
    </xf>
    <xf numFmtId="0" fontId="0" fillId="14" borderId="143" xfId="0" applyFill="1" applyBorder="1" applyAlignment="1">
      <alignment horizontal="center"/>
    </xf>
    <xf numFmtId="0" fontId="0" fillId="14" borderId="81" xfId="0" applyFill="1" applyBorder="1" applyAlignment="1">
      <alignment horizontal="center"/>
    </xf>
    <xf numFmtId="0" fontId="27" fillId="0" borderId="103" xfId="0" applyFont="1" applyFill="1" applyBorder="1" applyAlignment="1">
      <alignment horizontal="center"/>
    </xf>
    <xf numFmtId="0" fontId="0" fillId="0" borderId="103" xfId="0" applyBorder="1" applyAlignment="1">
      <alignment horizontal="center"/>
    </xf>
    <xf numFmtId="0" fontId="0" fillId="0" borderId="0" xfId="0" applyBorder="1" applyAlignment="1">
      <alignment horizontal="center"/>
    </xf>
    <xf numFmtId="0" fontId="17" fillId="13" borderId="114" xfId="0" applyFont="1" applyFill="1" applyBorder="1" applyAlignment="1">
      <alignment horizontal="center"/>
    </xf>
    <xf numFmtId="0" fontId="0" fillId="14" borderId="109" xfId="0" applyFill="1" applyBorder="1" applyAlignment="1">
      <alignment horizontal="center"/>
    </xf>
    <xf numFmtId="0" fontId="0" fillId="11" borderId="111" xfId="0" applyFont="1" applyFill="1" applyBorder="1" applyAlignment="1">
      <alignment horizontal="center"/>
    </xf>
    <xf numFmtId="0" fontId="17" fillId="13" borderId="81" xfId="0" applyFont="1" applyFill="1" applyBorder="1" applyAlignment="1">
      <alignment horizontal="center"/>
    </xf>
    <xf numFmtId="189" fontId="0" fillId="14" borderId="112" xfId="0" applyNumberFormat="1" applyFill="1" applyBorder="1" applyAlignment="1">
      <alignment horizontal="center"/>
    </xf>
    <xf numFmtId="0" fontId="17" fillId="13" borderId="93" xfId="0" applyFont="1" applyFill="1" applyBorder="1" applyAlignment="1">
      <alignment horizontal="center"/>
    </xf>
    <xf numFmtId="0" fontId="0" fillId="14" borderId="145" xfId="0" applyFill="1" applyBorder="1" applyAlignment="1">
      <alignment horizontal="center"/>
    </xf>
    <xf numFmtId="0" fontId="17" fillId="0" borderId="0" xfId="0" applyFont="1" applyFill="1" applyBorder="1" applyAlignment="1">
      <alignment horizontal="center"/>
    </xf>
    <xf numFmtId="2" fontId="0" fillId="14" borderId="35" xfId="0" applyNumberFormat="1" applyFill="1" applyBorder="1" applyAlignment="1">
      <alignment horizontal="center"/>
    </xf>
    <xf numFmtId="190" fontId="0" fillId="14" borderId="112" xfId="0" applyNumberFormat="1" applyFill="1" applyBorder="1" applyAlignment="1">
      <alignment horizontal="center"/>
    </xf>
    <xf numFmtId="0" fontId="42" fillId="0" borderId="38" xfId="0" applyFont="1" applyBorder="1" applyAlignment="1">
      <alignment horizontal="center"/>
    </xf>
    <xf numFmtId="0" fontId="17" fillId="13" borderId="44" xfId="0" applyFont="1" applyFill="1" applyBorder="1" applyAlignment="1">
      <alignment horizontal="center"/>
    </xf>
    <xf numFmtId="0" fontId="0" fillId="13" borderId="2" xfId="0" applyFill="1" applyBorder="1" applyAlignment="1">
      <alignment horizontal="center"/>
    </xf>
    <xf numFmtId="0" fontId="17" fillId="13" borderId="45" xfId="0" applyFont="1" applyFill="1" applyBorder="1" applyAlignment="1">
      <alignment horizontal="center"/>
    </xf>
    <xf numFmtId="0" fontId="0" fillId="11" borderId="39" xfId="0" applyFont="1" applyFill="1" applyBorder="1" applyAlignment="1">
      <alignment horizontal="center"/>
    </xf>
    <xf numFmtId="0" fontId="0" fillId="14" borderId="46" xfId="0" applyFill="1" applyBorder="1" applyAlignment="1">
      <alignment horizontal="center"/>
    </xf>
    <xf numFmtId="0" fontId="0" fillId="11" borderId="40" xfId="0" applyFont="1" applyFill="1" applyBorder="1" applyAlignment="1">
      <alignment horizontal="center"/>
    </xf>
    <xf numFmtId="0" fontId="17" fillId="13" borderId="47" xfId="0" applyFont="1" applyFill="1" applyBorder="1" applyAlignment="1">
      <alignment horizontal="center"/>
    </xf>
    <xf numFmtId="0" fontId="0" fillId="14" borderId="47" xfId="0" applyFill="1" applyBorder="1" applyAlignment="1">
      <alignment horizontal="center"/>
    </xf>
    <xf numFmtId="0" fontId="0" fillId="14" borderId="48" xfId="0" applyFill="1" applyBorder="1" applyAlignment="1">
      <alignment horizontal="center"/>
    </xf>
    <xf numFmtId="0" fontId="42" fillId="0" borderId="0" xfId="0" applyFont="1" applyBorder="1"/>
    <xf numFmtId="0" fontId="17" fillId="0" borderId="0" xfId="0" applyFont="1" applyBorder="1"/>
    <xf numFmtId="190" fontId="0" fillId="0" borderId="0" xfId="0" applyNumberFormat="1" applyBorder="1"/>
    <xf numFmtId="0" fontId="27" fillId="12" borderId="0" xfId="0" applyFont="1" applyFill="1"/>
    <xf numFmtId="0" fontId="0" fillId="11" borderId="38" xfId="0" applyFill="1" applyBorder="1"/>
    <xf numFmtId="0" fontId="0" fillId="13" borderId="44" xfId="0" applyFill="1" applyBorder="1"/>
    <xf numFmtId="0" fontId="17" fillId="13" borderId="44" xfId="0" applyFont="1" applyFill="1" applyBorder="1"/>
    <xf numFmtId="0" fontId="17" fillId="13" borderId="45" xfId="0" applyFont="1" applyFill="1" applyBorder="1"/>
    <xf numFmtId="0" fontId="56" fillId="11" borderId="39" xfId="0" applyFont="1" applyFill="1" applyBorder="1"/>
    <xf numFmtId="0" fontId="17" fillId="13" borderId="35" xfId="0" applyFont="1" applyFill="1" applyBorder="1"/>
    <xf numFmtId="0" fontId="0" fillId="14" borderId="35" xfId="0" applyFill="1" applyBorder="1"/>
    <xf numFmtId="0" fontId="0" fillId="14" borderId="46" xfId="0" applyFill="1" applyBorder="1"/>
    <xf numFmtId="0" fontId="56" fillId="11" borderId="40" xfId="0" applyFont="1" applyFill="1" applyBorder="1"/>
    <xf numFmtId="0" fontId="17" fillId="13" borderId="47" xfId="0" applyFont="1" applyFill="1" applyBorder="1"/>
    <xf numFmtId="0" fontId="0" fillId="14" borderId="47" xfId="0" applyFill="1" applyBorder="1"/>
    <xf numFmtId="0" fontId="0" fillId="14" borderId="48" xfId="0" applyFill="1" applyBorder="1"/>
    <xf numFmtId="0" fontId="27" fillId="12" borderId="103" xfId="0" applyFont="1" applyFill="1" applyBorder="1" applyAlignment="1">
      <alignment horizontal="center"/>
    </xf>
    <xf numFmtId="0" fontId="42" fillId="0" borderId="113" xfId="0" applyFont="1" applyBorder="1"/>
    <xf numFmtId="0" fontId="0" fillId="13" borderId="83" xfId="0" applyFill="1" applyBorder="1"/>
    <xf numFmtId="0" fontId="17" fillId="13" borderId="83" xfId="0" applyFont="1" applyFill="1" applyBorder="1"/>
    <xf numFmtId="0" fontId="0" fillId="11" borderId="110" xfId="0" applyFont="1" applyFill="1" applyBorder="1"/>
    <xf numFmtId="0" fontId="0" fillId="13" borderId="35" xfId="0" applyFill="1" applyBorder="1"/>
    <xf numFmtId="1" fontId="0" fillId="14" borderId="35" xfId="0" applyNumberFormat="1" applyFill="1" applyBorder="1"/>
    <xf numFmtId="0" fontId="0" fillId="11" borderId="111" xfId="0" applyFont="1" applyFill="1" applyBorder="1"/>
    <xf numFmtId="0" fontId="0" fillId="13" borderId="81" xfId="0" applyFill="1" applyBorder="1"/>
    <xf numFmtId="0" fontId="0" fillId="14" borderId="81" xfId="0" applyFill="1" applyBorder="1"/>
    <xf numFmtId="0" fontId="50" fillId="0" borderId="38" xfId="0" applyFont="1" applyFill="1" applyBorder="1"/>
    <xf numFmtId="0" fontId="0" fillId="13" borderId="44" xfId="0" applyFont="1" applyFill="1" applyBorder="1"/>
    <xf numFmtId="0" fontId="0" fillId="13" borderId="45" xfId="0" applyFont="1" applyFill="1" applyBorder="1"/>
    <xf numFmtId="0" fontId="17" fillId="11" borderId="39" xfId="0" applyFont="1" applyFill="1" applyBorder="1"/>
    <xf numFmtId="0" fontId="17" fillId="14" borderId="35" xfId="0" applyFont="1" applyFill="1" applyBorder="1"/>
    <xf numFmtId="0" fontId="0" fillId="13" borderId="35" xfId="0" applyFont="1" applyFill="1" applyBorder="1"/>
    <xf numFmtId="0" fontId="17" fillId="11" borderId="40" xfId="0" applyFont="1" applyFill="1" applyBorder="1"/>
    <xf numFmtId="0" fontId="0" fillId="13" borderId="47" xfId="0" applyFont="1" applyFill="1" applyBorder="1"/>
    <xf numFmtId="0" fontId="0" fillId="14" borderId="112" xfId="0" applyFill="1" applyBorder="1" applyAlignment="1">
      <alignment horizontal="center"/>
    </xf>
    <xf numFmtId="0" fontId="0" fillId="13" borderId="114" xfId="0" applyFill="1" applyBorder="1"/>
    <xf numFmtId="0" fontId="0" fillId="14" borderId="109" xfId="0" applyFill="1" applyBorder="1"/>
    <xf numFmtId="0" fontId="0" fillId="14" borderId="112" xfId="0" applyFill="1" applyBorder="1"/>
    <xf numFmtId="0" fontId="0" fillId="0" borderId="38" xfId="0" applyBorder="1"/>
    <xf numFmtId="191" fontId="0" fillId="14" borderId="35" xfId="0" applyNumberFormat="1" applyFill="1" applyBorder="1"/>
    <xf numFmtId="191" fontId="0" fillId="14" borderId="48" xfId="0" applyNumberFormat="1" applyFill="1" applyBorder="1"/>
    <xf numFmtId="0" fontId="0" fillId="0" borderId="38" xfId="0" applyFill="1" applyBorder="1"/>
    <xf numFmtId="190" fontId="0" fillId="14" borderId="35" xfId="0" applyNumberFormat="1" applyFill="1" applyBorder="1"/>
    <xf numFmtId="0" fontId="27" fillId="12" borderId="0" xfId="0" applyFont="1" applyFill="1" applyBorder="1"/>
    <xf numFmtId="0" fontId="17" fillId="13" borderId="114" xfId="0" applyFont="1" applyFill="1" applyBorder="1"/>
    <xf numFmtId="0" fontId="17" fillId="11" borderId="110" xfId="0" applyFont="1" applyFill="1" applyBorder="1"/>
    <xf numFmtId="0" fontId="17" fillId="11" borderId="111" xfId="0" applyFont="1" applyFill="1" applyBorder="1"/>
    <xf numFmtId="0" fontId="17" fillId="13" borderId="81" xfId="0" applyFont="1" applyFill="1" applyBorder="1"/>
    <xf numFmtId="190" fontId="0" fillId="14" borderId="112" xfId="0" applyNumberFormat="1" applyFill="1" applyBorder="1"/>
    <xf numFmtId="0" fontId="0" fillId="0" borderId="113" xfId="0" applyBorder="1"/>
    <xf numFmtId="0" fontId="0" fillId="13" borderId="45" xfId="0" applyFill="1" applyBorder="1"/>
    <xf numFmtId="0" fontId="0" fillId="13" borderId="36" xfId="0" applyFill="1" applyBorder="1"/>
    <xf numFmtId="0" fontId="0" fillId="14" borderId="36" xfId="0" applyFill="1" applyBorder="1"/>
    <xf numFmtId="0" fontId="0" fillId="13" borderId="47" xfId="0" applyFill="1" applyBorder="1"/>
    <xf numFmtId="0" fontId="0" fillId="14" borderId="22" xfId="0" applyFill="1" applyBorder="1"/>
    <xf numFmtId="2" fontId="0" fillId="14" borderId="47" xfId="0" applyNumberFormat="1" applyFill="1" applyBorder="1"/>
    <xf numFmtId="0" fontId="0" fillId="12" borderId="0" xfId="0" applyFill="1"/>
    <xf numFmtId="0" fontId="17" fillId="13" borderId="38" xfId="0" applyFont="1" applyFill="1" applyBorder="1"/>
    <xf numFmtId="0" fontId="0" fillId="11" borderId="44" xfId="0" applyFont="1" applyFill="1" applyBorder="1"/>
    <xf numFmtId="0" fontId="17" fillId="13" borderId="39" xfId="0" applyFont="1" applyFill="1" applyBorder="1"/>
    <xf numFmtId="0" fontId="0" fillId="11" borderId="35" xfId="0" applyFont="1" applyFill="1" applyBorder="1"/>
    <xf numFmtId="0" fontId="0" fillId="13" borderId="46" xfId="0" applyFill="1" applyBorder="1"/>
    <xf numFmtId="0" fontId="17" fillId="13" borderId="46" xfId="0" applyFont="1" applyFill="1" applyBorder="1"/>
    <xf numFmtId="0" fontId="17" fillId="13" borderId="40" xfId="0" applyFont="1" applyFill="1" applyBorder="1"/>
    <xf numFmtId="0" fontId="17" fillId="13" borderId="48" xfId="0" applyFont="1" applyFill="1" applyBorder="1"/>
    <xf numFmtId="0" fontId="0" fillId="13" borderId="38" xfId="0" applyFont="1" applyFill="1" applyBorder="1"/>
    <xf numFmtId="0" fontId="0" fillId="11" borderId="45" xfId="0" applyFont="1" applyFill="1" applyBorder="1"/>
    <xf numFmtId="0" fontId="17" fillId="13" borderId="35" xfId="0" applyFont="1" applyFill="1" applyBorder="1" applyAlignment="1">
      <alignment horizontal="left"/>
    </xf>
    <xf numFmtId="0" fontId="17" fillId="13" borderId="47" xfId="0" applyFont="1" applyFill="1" applyBorder="1" applyAlignment="1">
      <alignment horizontal="left"/>
    </xf>
    <xf numFmtId="0" fontId="112" fillId="34" borderId="0" xfId="0" applyFont="1" applyFill="1" applyAlignment="1">
      <alignment vertical="center"/>
    </xf>
    <xf numFmtId="0" fontId="0" fillId="0" borderId="0" xfId="0" applyFont="1" applyFill="1" applyBorder="1" applyAlignment="1"/>
    <xf numFmtId="0" fontId="0" fillId="0" borderId="0" xfId="0" applyFont="1" applyFill="1" applyAlignment="1"/>
    <xf numFmtId="0" fontId="119" fillId="34" borderId="0" xfId="0" applyFont="1" applyFill="1" applyAlignment="1">
      <alignment vertical="center"/>
    </xf>
    <xf numFmtId="0" fontId="0" fillId="15" borderId="94" xfId="0" applyFont="1" applyFill="1" applyBorder="1" applyAlignment="1">
      <alignment horizontal="right"/>
    </xf>
    <xf numFmtId="0" fontId="0" fillId="8" borderId="35" xfId="0" applyFont="1" applyFill="1" applyBorder="1" applyAlignment="1"/>
    <xf numFmtId="0" fontId="0" fillId="0" borderId="0" xfId="0" applyFont="1" applyFill="1" applyBorder="1" applyAlignment="1">
      <alignment horizontal="center"/>
    </xf>
    <xf numFmtId="12" fontId="0" fillId="8" borderId="35" xfId="0" applyNumberFormat="1" applyFont="1" applyFill="1" applyBorder="1" applyAlignment="1">
      <alignment horizontal="right"/>
    </xf>
    <xf numFmtId="12" fontId="0" fillId="8" borderId="35" xfId="0" applyNumberFormat="1" applyFont="1" applyFill="1" applyBorder="1" applyAlignment="1"/>
    <xf numFmtId="0" fontId="148" fillId="8" borderId="35" xfId="0" applyFont="1" applyFill="1" applyBorder="1" applyAlignment="1">
      <alignment vertical="center"/>
    </xf>
    <xf numFmtId="0" fontId="0" fillId="0" borderId="0" xfId="0" applyFont="1" applyFill="1" applyAlignment="1">
      <alignment vertical="center"/>
    </xf>
    <xf numFmtId="0" fontId="149" fillId="0" borderId="0" xfId="0" applyFont="1" applyFill="1" applyBorder="1" applyAlignment="1"/>
    <xf numFmtId="0" fontId="150" fillId="13" borderId="148" xfId="0" applyNumberFormat="1" applyFont="1" applyFill="1" applyBorder="1" applyAlignment="1">
      <alignment vertical="center" textRotation="255"/>
    </xf>
    <xf numFmtId="0" fontId="0" fillId="20" borderId="35" xfId="0" applyFont="1" applyFill="1" applyBorder="1" applyAlignment="1">
      <alignment horizontal="right"/>
    </xf>
    <xf numFmtId="0" fontId="0" fillId="0" borderId="0" xfId="0" applyFont="1" applyFill="1" applyAlignment="1">
      <alignment horizontal="center"/>
    </xf>
    <xf numFmtId="0" fontId="150" fillId="7" borderId="148" xfId="0" applyNumberFormat="1" applyFont="1" applyFill="1" applyBorder="1" applyAlignment="1">
      <alignment vertical="center" textRotation="255"/>
    </xf>
    <xf numFmtId="0" fontId="0" fillId="7" borderId="35" xfId="0" applyFont="1" applyFill="1" applyBorder="1" applyAlignment="1" applyProtection="1">
      <alignment horizontal="right"/>
      <protection hidden="1"/>
    </xf>
    <xf numFmtId="0" fontId="149" fillId="0" borderId="0" xfId="0" applyFont="1" applyFill="1" applyAlignment="1"/>
    <xf numFmtId="0" fontId="149" fillId="15" borderId="0" xfId="0" applyFont="1" applyFill="1" applyAlignment="1">
      <alignment horizontal="right"/>
    </xf>
    <xf numFmtId="0" fontId="149" fillId="0" borderId="0" xfId="0" applyFont="1" applyFill="1" applyBorder="1" applyAlignment="1">
      <alignment horizontal="right"/>
    </xf>
    <xf numFmtId="0" fontId="151" fillId="0" borderId="0" xfId="0" applyFont="1" applyFill="1" applyAlignment="1"/>
    <xf numFmtId="0" fontId="0" fillId="20" borderId="93" xfId="0" applyFont="1" applyFill="1" applyBorder="1" applyAlignment="1">
      <alignment horizontal="center"/>
    </xf>
    <xf numFmtId="0" fontId="150" fillId="13" borderId="149" xfId="0" applyNumberFormat="1" applyFont="1" applyFill="1" applyBorder="1" applyAlignment="1">
      <alignment vertical="center" textRotation="255"/>
    </xf>
    <xf numFmtId="0" fontId="27" fillId="6" borderId="35" xfId="0" applyFont="1" applyFill="1" applyBorder="1" applyAlignment="1"/>
    <xf numFmtId="0" fontId="0" fillId="6" borderId="35" xfId="0" applyFont="1" applyFill="1" applyBorder="1" applyAlignment="1"/>
    <xf numFmtId="0" fontId="0" fillId="6" borderId="0" xfId="0" applyFont="1" applyFill="1" applyAlignment="1"/>
    <xf numFmtId="190" fontId="0" fillId="7" borderId="35" xfId="0" applyNumberFormat="1" applyFont="1" applyFill="1" applyBorder="1" applyAlignment="1" applyProtection="1">
      <protection hidden="1"/>
    </xf>
    <xf numFmtId="0" fontId="0" fillId="10" borderId="35" xfId="0" applyFont="1" applyFill="1" applyBorder="1" applyAlignment="1"/>
    <xf numFmtId="0" fontId="0" fillId="0" borderId="35" xfId="0" applyFont="1" applyFill="1" applyBorder="1" applyAlignment="1"/>
    <xf numFmtId="0" fontId="0" fillId="0" borderId="0" xfId="0" applyFont="1" applyFill="1" applyBorder="1" applyAlignment="1">
      <alignment horizontal="right" vertical="center"/>
    </xf>
    <xf numFmtId="0" fontId="0" fillId="0" borderId="0" xfId="0" applyFont="1" applyFill="1" applyBorder="1" applyAlignment="1">
      <alignment horizontal="right"/>
    </xf>
    <xf numFmtId="190" fontId="0" fillId="0" borderId="0" xfId="0" applyNumberFormat="1" applyFont="1" applyFill="1" applyBorder="1" applyAlignment="1" applyProtection="1">
      <protection hidden="1"/>
    </xf>
    <xf numFmtId="0" fontId="0" fillId="7" borderId="35" xfId="0" applyFont="1" applyFill="1" applyBorder="1" applyAlignment="1" applyProtection="1">
      <protection hidden="1"/>
    </xf>
    <xf numFmtId="0" fontId="0" fillId="0" borderId="0" xfId="0" applyFont="1" applyFill="1" applyBorder="1" applyAlignment="1" applyProtection="1">
      <protection hidden="1"/>
    </xf>
    <xf numFmtId="0" fontId="0" fillId="0" borderId="0" xfId="0" applyFont="1" applyFill="1" applyAlignment="1">
      <alignment horizontal="right"/>
    </xf>
    <xf numFmtId="191" fontId="0" fillId="7" borderId="35" xfId="0" applyNumberFormat="1" applyFont="1" applyFill="1" applyBorder="1" applyAlignment="1" applyProtection="1">
      <protection hidden="1"/>
    </xf>
    <xf numFmtId="0" fontId="0" fillId="0" borderId="94" xfId="0" applyFont="1" applyFill="1" applyBorder="1" applyAlignment="1"/>
    <xf numFmtId="0" fontId="0" fillId="0" borderId="35" xfId="0" applyFont="1" applyFill="1" applyBorder="1" applyAlignment="1">
      <alignment horizontal="right"/>
    </xf>
    <xf numFmtId="191" fontId="0" fillId="0" borderId="35" xfId="0" applyNumberFormat="1" applyFont="1" applyFill="1" applyBorder="1" applyAlignment="1" applyProtection="1">
      <protection hidden="1"/>
    </xf>
    <xf numFmtId="191" fontId="0" fillId="0" borderId="0" xfId="0" applyNumberFormat="1" applyFont="1" applyFill="1" applyBorder="1" applyAlignment="1" applyProtection="1">
      <protection hidden="1"/>
    </xf>
    <xf numFmtId="193" fontId="0" fillId="7" borderId="35" xfId="0" applyNumberFormat="1" applyFont="1" applyFill="1" applyBorder="1" applyAlignment="1" applyProtection="1">
      <alignment horizontal="right"/>
      <protection hidden="1"/>
    </xf>
    <xf numFmtId="180" fontId="0" fillId="7" borderId="35" xfId="0" applyNumberFormat="1" applyFont="1" applyFill="1" applyBorder="1" applyAlignment="1" applyProtection="1">
      <protection hidden="1"/>
    </xf>
    <xf numFmtId="0" fontId="70" fillId="0" borderId="0" xfId="0" applyFont="1" applyFill="1" applyAlignment="1"/>
    <xf numFmtId="191" fontId="0" fillId="0" borderId="0" xfId="0" applyNumberFormat="1" applyFont="1" applyFill="1" applyAlignment="1" applyProtection="1">
      <protection hidden="1"/>
    </xf>
    <xf numFmtId="181" fontId="0" fillId="7" borderId="35" xfId="0" applyNumberFormat="1" applyFont="1" applyFill="1" applyBorder="1" applyAlignment="1" applyProtection="1">
      <protection hidden="1"/>
    </xf>
    <xf numFmtId="190" fontId="0" fillId="7" borderId="35" xfId="0" applyNumberFormat="1" applyFont="1" applyFill="1" applyBorder="1" applyAlignment="1" applyProtection="1">
      <alignment horizontal="left" indent="2"/>
      <protection hidden="1"/>
    </xf>
    <xf numFmtId="0" fontId="0" fillId="6" borderId="0" xfId="0" applyFont="1" applyFill="1" applyBorder="1" applyAlignment="1"/>
    <xf numFmtId="191" fontId="0" fillId="7" borderId="35" xfId="0" applyNumberFormat="1" applyFont="1" applyFill="1" applyBorder="1" applyAlignment="1"/>
    <xf numFmtId="0" fontId="0" fillId="15" borderId="94" xfId="0" applyFont="1" applyFill="1" applyBorder="1" applyAlignment="1"/>
    <xf numFmtId="180" fontId="0" fillId="7" borderId="35" xfId="0" applyNumberFormat="1" applyFont="1" applyFill="1" applyBorder="1" applyAlignment="1"/>
    <xf numFmtId="180" fontId="149" fillId="7" borderId="35" xfId="0" applyNumberFormat="1" applyFont="1" applyFill="1" applyBorder="1" applyAlignment="1"/>
    <xf numFmtId="0" fontId="27" fillId="6" borderId="0" xfId="0" applyFont="1" applyFill="1" applyAlignment="1"/>
    <xf numFmtId="190" fontId="0" fillId="7" borderId="0" xfId="0" applyNumberFormat="1" applyFont="1" applyFill="1" applyAlignment="1" applyProtection="1">
      <protection hidden="1"/>
    </xf>
    <xf numFmtId="0" fontId="0" fillId="10" borderId="0" xfId="0" applyFont="1" applyFill="1" applyAlignment="1"/>
    <xf numFmtId="0" fontId="87" fillId="0" borderId="35" xfId="0" applyFont="1" applyFill="1" applyBorder="1" applyAlignment="1">
      <alignment horizontal="center" vertical="center"/>
    </xf>
    <xf numFmtId="178" fontId="87" fillId="8" borderId="35" xfId="0" applyNumberFormat="1" applyFont="1" applyFill="1" applyBorder="1" applyAlignment="1">
      <alignment horizontal="center" vertical="center"/>
    </xf>
    <xf numFmtId="184" fontId="157" fillId="8" borderId="35" xfId="0" applyNumberFormat="1" applyFont="1" applyFill="1" applyBorder="1" applyAlignment="1">
      <alignment horizontal="center" vertical="center"/>
    </xf>
    <xf numFmtId="193" fontId="157" fillId="8" borderId="35" xfId="0" applyNumberFormat="1" applyFont="1" applyFill="1" applyBorder="1" applyAlignment="1">
      <alignment horizontal="center" vertical="center"/>
    </xf>
    <xf numFmtId="193" fontId="87" fillId="8" borderId="47" xfId="0" applyNumberFormat="1" applyFont="1" applyFill="1" applyBorder="1" applyAlignment="1">
      <alignment horizontal="center" vertical="center"/>
    </xf>
    <xf numFmtId="193" fontId="87" fillId="8" borderId="35" xfId="0" applyNumberFormat="1" applyFont="1" applyFill="1" applyBorder="1" applyAlignment="1">
      <alignment horizontal="center" vertical="center"/>
    </xf>
    <xf numFmtId="193" fontId="87" fillId="0" borderId="35" xfId="0" applyNumberFormat="1" applyFont="1" applyFill="1" applyBorder="1" applyAlignment="1">
      <alignment horizontal="center" vertical="center"/>
    </xf>
    <xf numFmtId="184" fontId="157" fillId="0" borderId="35" xfId="0" applyNumberFormat="1" applyFont="1" applyFill="1" applyBorder="1" applyAlignment="1">
      <alignment horizontal="center" vertical="center"/>
    </xf>
    <xf numFmtId="193" fontId="157" fillId="0" borderId="35" xfId="0" applyNumberFormat="1" applyFont="1" applyFill="1" applyBorder="1" applyAlignment="1">
      <alignment horizontal="center" vertical="center"/>
    </xf>
    <xf numFmtId="184" fontId="157" fillId="8" borderId="47" xfId="0" applyNumberFormat="1" applyFont="1" applyFill="1" applyBorder="1" applyAlignment="1">
      <alignment horizontal="center" vertical="center"/>
    </xf>
    <xf numFmtId="193" fontId="157" fillId="8" borderId="47" xfId="0" applyNumberFormat="1" applyFont="1" applyFill="1" applyBorder="1" applyAlignment="1">
      <alignment horizontal="center" vertical="center"/>
    </xf>
    <xf numFmtId="0" fontId="156" fillId="0" borderId="0" xfId="0" applyFont="1" applyFill="1" applyBorder="1" applyAlignment="1">
      <alignment vertical="center"/>
    </xf>
    <xf numFmtId="0" fontId="87" fillId="0" borderId="46" xfId="0" applyFont="1" applyFill="1" applyBorder="1" applyAlignment="1">
      <alignment horizontal="center" vertical="center"/>
    </xf>
    <xf numFmtId="0" fontId="87" fillId="0" borderId="0" xfId="0" applyFont="1" applyFill="1" applyBorder="1" applyAlignment="1">
      <alignment horizontal="center" vertical="center"/>
    </xf>
    <xf numFmtId="0" fontId="87" fillId="8" borderId="117" xfId="0" applyFont="1" applyFill="1" applyBorder="1" applyAlignment="1">
      <alignment vertical="center"/>
    </xf>
    <xf numFmtId="49" fontId="87" fillId="8" borderId="94" xfId="0" applyNumberFormat="1" applyFont="1" applyFill="1" applyBorder="1" applyAlignment="1">
      <alignment horizontal="left" vertical="center"/>
    </xf>
    <xf numFmtId="193" fontId="87" fillId="8" borderId="46" xfId="0" applyNumberFormat="1" applyFont="1" applyFill="1" applyBorder="1" applyAlignment="1">
      <alignment horizontal="center" vertical="center"/>
    </xf>
    <xf numFmtId="193" fontId="87" fillId="0" borderId="0" xfId="0" applyNumberFormat="1" applyFont="1" applyFill="1" applyBorder="1" applyAlignment="1">
      <alignment horizontal="center" vertical="center"/>
    </xf>
    <xf numFmtId="0" fontId="87" fillId="0" borderId="117" xfId="0" applyFont="1" applyFill="1" applyBorder="1" applyAlignment="1">
      <alignment vertical="center"/>
    </xf>
    <xf numFmtId="49" fontId="87" fillId="0" borderId="94" xfId="0" applyNumberFormat="1" applyFont="1" applyFill="1" applyBorder="1" applyAlignment="1">
      <alignment horizontal="left" vertical="center"/>
    </xf>
    <xf numFmtId="193" fontId="87" fillId="0" borderId="46" xfId="0" applyNumberFormat="1" applyFont="1" applyFill="1" applyBorder="1" applyAlignment="1">
      <alignment horizontal="center" vertical="center"/>
    </xf>
    <xf numFmtId="0" fontId="87" fillId="8" borderId="21" xfId="0" applyFont="1" applyFill="1" applyBorder="1" applyAlignment="1">
      <alignment vertical="center"/>
    </xf>
    <xf numFmtId="49" fontId="87" fillId="8" borderId="153" xfId="0" applyNumberFormat="1" applyFont="1" applyFill="1" applyBorder="1" applyAlignment="1">
      <alignment horizontal="left" vertical="center"/>
    </xf>
    <xf numFmtId="193" fontId="87" fillId="8" borderId="48" xfId="0" applyNumberFormat="1" applyFont="1" applyFill="1" applyBorder="1" applyAlignment="1">
      <alignment horizontal="center" vertical="center"/>
    </xf>
    <xf numFmtId="0" fontId="87" fillId="0" borderId="44" xfId="0" applyFont="1" applyFill="1" applyBorder="1" applyAlignment="1">
      <alignment horizontal="center" vertical="center"/>
    </xf>
    <xf numFmtId="187" fontId="87" fillId="8" borderId="117" xfId="0" applyNumberFormat="1" applyFont="1" applyFill="1" applyBorder="1" applyAlignment="1">
      <alignment horizontal="right" vertical="center"/>
    </xf>
    <xf numFmtId="0" fontId="87" fillId="8" borderId="94" xfId="0" applyFont="1" applyFill="1" applyBorder="1" applyAlignment="1">
      <alignment vertical="center"/>
    </xf>
    <xf numFmtId="184" fontId="87" fillId="8" borderId="35" xfId="0" applyNumberFormat="1" applyFont="1" applyFill="1" applyBorder="1" applyAlignment="1">
      <alignment horizontal="center" vertical="center"/>
    </xf>
    <xf numFmtId="187" fontId="87" fillId="0" borderId="117" xfId="0" applyNumberFormat="1" applyFont="1" applyFill="1" applyBorder="1" applyAlignment="1">
      <alignment horizontal="right" vertical="center"/>
    </xf>
    <xf numFmtId="0" fontId="87" fillId="0" borderId="94" xfId="0" applyFont="1" applyFill="1" applyBorder="1" applyAlignment="1">
      <alignment vertical="center"/>
    </xf>
    <xf numFmtId="184" fontId="87" fillId="0" borderId="35" xfId="0" applyNumberFormat="1" applyFont="1" applyFill="1" applyBorder="1" applyAlignment="1">
      <alignment horizontal="center" vertical="center"/>
    </xf>
    <xf numFmtId="49" fontId="87" fillId="8" borderId="94" xfId="0" applyNumberFormat="1" applyFont="1" applyFill="1" applyBorder="1" applyAlignment="1">
      <alignment vertical="center"/>
    </xf>
    <xf numFmtId="49" fontId="87" fillId="0" borderId="94" xfId="0" applyNumberFormat="1" applyFont="1" applyFill="1" applyBorder="1" applyAlignment="1">
      <alignment vertical="center"/>
    </xf>
    <xf numFmtId="187" fontId="87" fillId="8" borderId="155" xfId="0" applyNumberFormat="1" applyFont="1" applyFill="1" applyBorder="1" applyAlignment="1">
      <alignment horizontal="right" vertical="center"/>
    </xf>
    <xf numFmtId="49" fontId="87" fillId="8" borderId="153" xfId="0" applyNumberFormat="1" applyFont="1" applyFill="1" applyBorder="1" applyAlignment="1">
      <alignment vertical="center"/>
    </xf>
    <xf numFmtId="184" fontId="87" fillId="8" borderId="47" xfId="0" applyNumberFormat="1" applyFont="1" applyFill="1" applyBorder="1" applyAlignment="1">
      <alignment horizontal="center" vertical="center"/>
    </xf>
    <xf numFmtId="0" fontId="157" fillId="0" borderId="93" xfId="0" applyFont="1" applyFill="1" applyBorder="1" applyAlignment="1">
      <alignment horizontal="center" vertical="center"/>
    </xf>
    <xf numFmtId="178" fontId="159" fillId="7" borderId="93" xfId="0" applyNumberFormat="1" applyFont="1" applyFill="1" applyBorder="1" applyAlignment="1">
      <alignment horizontal="center" vertical="center"/>
    </xf>
    <xf numFmtId="187" fontId="159" fillId="40" borderId="46" xfId="0" applyNumberFormat="1" applyFont="1" applyFill="1" applyBorder="1" applyAlignment="1">
      <alignment horizontal="center" vertical="center"/>
    </xf>
    <xf numFmtId="178" fontId="159" fillId="0" borderId="93" xfId="0" applyNumberFormat="1" applyFont="1" applyFill="1" applyBorder="1" applyAlignment="1">
      <alignment horizontal="center" vertical="center"/>
    </xf>
    <xf numFmtId="187" fontId="159" fillId="0" borderId="46" xfId="0" applyNumberFormat="1" applyFont="1" applyFill="1" applyBorder="1" applyAlignment="1">
      <alignment horizontal="center" vertical="center"/>
    </xf>
    <xf numFmtId="178" fontId="159" fillId="7" borderId="156" xfId="0" applyNumberFormat="1" applyFont="1" applyFill="1" applyBorder="1" applyAlignment="1">
      <alignment horizontal="center" vertical="center"/>
    </xf>
    <xf numFmtId="187" fontId="159" fillId="40" borderId="48" xfId="0" applyNumberFormat="1" applyFont="1" applyFill="1" applyBorder="1" applyAlignment="1">
      <alignment horizontal="center" vertical="center"/>
    </xf>
    <xf numFmtId="184" fontId="157" fillId="0" borderId="0" xfId="0" applyNumberFormat="1" applyFont="1" applyFill="1" applyBorder="1" applyAlignment="1">
      <alignment horizontal="center" vertical="center"/>
    </xf>
    <xf numFmtId="0" fontId="87" fillId="0" borderId="45" xfId="0" applyFont="1" applyFill="1" applyBorder="1" applyAlignment="1">
      <alignment horizontal="center" vertical="center"/>
    </xf>
    <xf numFmtId="184" fontId="87" fillId="8" borderId="46" xfId="0" applyNumberFormat="1" applyFont="1" applyFill="1" applyBorder="1" applyAlignment="1">
      <alignment horizontal="center" vertical="center"/>
    </xf>
    <xf numFmtId="187" fontId="87" fillId="0" borderId="0" xfId="0" applyNumberFormat="1" applyFont="1" applyFill="1" applyBorder="1" applyAlignment="1">
      <alignment horizontal="right" vertical="center"/>
    </xf>
    <xf numFmtId="184" fontId="87" fillId="0" borderId="46" xfId="0" applyNumberFormat="1" applyFont="1" applyFill="1" applyBorder="1" applyAlignment="1">
      <alignment horizontal="center" vertical="center"/>
    </xf>
    <xf numFmtId="184" fontId="87" fillId="8" borderId="48" xfId="0" applyNumberFormat="1" applyFont="1" applyFill="1" applyBorder="1" applyAlignment="1">
      <alignment horizontal="center" vertical="center"/>
    </xf>
    <xf numFmtId="0" fontId="74" fillId="0" borderId="0" xfId="4" applyFont="1" applyFill="1" applyAlignment="1">
      <alignment vertical="center"/>
    </xf>
    <xf numFmtId="0" fontId="160" fillId="0" borderId="0" xfId="5" applyAlignment="1">
      <alignment vertical="center"/>
    </xf>
    <xf numFmtId="0" fontId="160" fillId="0" borderId="0" xfId="5">
      <alignment vertical="center"/>
    </xf>
    <xf numFmtId="0" fontId="161" fillId="0" borderId="38" xfId="4" applyFont="1" applyFill="1" applyBorder="1" applyAlignment="1">
      <alignment horizontal="center" vertical="center"/>
    </xf>
    <xf numFmtId="0" fontId="161" fillId="0" borderId="44" xfId="4" applyFont="1" applyFill="1" applyBorder="1" applyAlignment="1">
      <alignment horizontal="center" vertical="center"/>
    </xf>
    <xf numFmtId="0" fontId="162" fillId="0" borderId="44" xfId="4" applyFont="1" applyFill="1" applyBorder="1" applyAlignment="1">
      <alignment horizontal="center" vertical="center"/>
    </xf>
    <xf numFmtId="0" fontId="162" fillId="0" borderId="45" xfId="4" applyFont="1" applyFill="1" applyBorder="1" applyAlignment="1">
      <alignment horizontal="center" vertical="center"/>
    </xf>
    <xf numFmtId="0" fontId="74" fillId="23" borderId="39" xfId="4" applyFont="1" applyFill="1" applyBorder="1" applyAlignment="1">
      <alignment horizontal="center" vertical="center"/>
    </xf>
    <xf numFmtId="0" fontId="162" fillId="23" borderId="35" xfId="4" applyFont="1" applyFill="1" applyBorder="1" applyAlignment="1">
      <alignment horizontal="center" vertical="center"/>
    </xf>
    <xf numFmtId="0" fontId="74" fillId="23" borderId="35" xfId="4" applyFont="1" applyFill="1" applyBorder="1" applyAlignment="1">
      <alignment horizontal="center" vertical="center"/>
    </xf>
    <xf numFmtId="0" fontId="74" fillId="23" borderId="46" xfId="4" applyFont="1" applyFill="1" applyBorder="1" applyAlignment="1">
      <alignment horizontal="center" vertical="center"/>
    </xf>
    <xf numFmtId="0" fontId="74" fillId="0" borderId="39" xfId="5" applyFont="1" applyBorder="1" applyAlignment="1">
      <alignment horizontal="center" vertical="center"/>
    </xf>
    <xf numFmtId="0" fontId="74" fillId="0" borderId="35" xfId="5" applyFont="1" applyBorder="1" applyAlignment="1">
      <alignment horizontal="center" vertical="center"/>
    </xf>
    <xf numFmtId="0" fontId="74" fillId="0" borderId="46" xfId="5" applyFont="1" applyBorder="1" applyAlignment="1">
      <alignment horizontal="center" vertical="center"/>
    </xf>
    <xf numFmtId="0" fontId="160" fillId="0" borderId="0" xfId="5" applyBorder="1" applyAlignment="1">
      <alignment horizontal="center" vertical="center"/>
    </xf>
    <xf numFmtId="0" fontId="163" fillId="0" borderId="39" xfId="5" applyFont="1" applyBorder="1" applyAlignment="1">
      <alignment horizontal="center" vertical="center"/>
    </xf>
    <xf numFmtId="0" fontId="163" fillId="0" borderId="35" xfId="5" applyFont="1" applyBorder="1" applyAlignment="1">
      <alignment horizontal="center" vertical="center"/>
    </xf>
    <xf numFmtId="0" fontId="163" fillId="0" borderId="46" xfId="5" applyFont="1" applyBorder="1" applyAlignment="1">
      <alignment horizontal="center" vertical="center"/>
    </xf>
    <xf numFmtId="0" fontId="160" fillId="0" borderId="0" xfId="5" applyAlignment="1">
      <alignment horizontal="center" vertical="center"/>
    </xf>
    <xf numFmtId="0" fontId="160" fillId="0" borderId="0" xfId="5" applyBorder="1">
      <alignment vertical="center"/>
    </xf>
    <xf numFmtId="0" fontId="160" fillId="0" borderId="0" xfId="5" applyBorder="1" applyAlignment="1">
      <alignment vertical="center"/>
    </xf>
    <xf numFmtId="0" fontId="74" fillId="13" borderId="39" xfId="4" applyFont="1" applyFill="1" applyBorder="1" applyAlignment="1">
      <alignment horizontal="center" vertical="center"/>
    </xf>
    <xf numFmtId="0" fontId="162" fillId="13" borderId="35" xfId="4" applyFont="1" applyFill="1" applyBorder="1" applyAlignment="1">
      <alignment horizontal="center" vertical="center"/>
    </xf>
    <xf numFmtId="0" fontId="74" fillId="13" borderId="35" xfId="5" applyFont="1" applyFill="1" applyBorder="1" applyAlignment="1">
      <alignment horizontal="center" vertical="center"/>
    </xf>
    <xf numFmtId="0" fontId="74" fillId="13" borderId="35" xfId="4" applyFont="1" applyFill="1" applyBorder="1" applyAlignment="1">
      <alignment horizontal="center" vertical="center"/>
    </xf>
    <xf numFmtId="0" fontId="74" fillId="13" borderId="46" xfId="4" applyFont="1" applyFill="1" applyBorder="1" applyAlignment="1">
      <alignment horizontal="center" vertical="center"/>
    </xf>
    <xf numFmtId="0" fontId="66" fillId="0" borderId="35" xfId="5" applyFont="1" applyBorder="1" applyAlignment="1">
      <alignment horizontal="center" vertical="center"/>
    </xf>
    <xf numFmtId="0" fontId="66" fillId="0" borderId="46" xfId="5" applyFont="1" applyBorder="1" applyAlignment="1">
      <alignment horizontal="center" vertical="center"/>
    </xf>
    <xf numFmtId="0" fontId="66" fillId="0" borderId="35" xfId="5" applyFont="1" applyBorder="1" applyAlignment="1">
      <alignment horizontal="center" vertical="center" wrapText="1"/>
    </xf>
    <xf numFmtId="0" fontId="74" fillId="0" borderId="35" xfId="5" applyFont="1" applyBorder="1" applyAlignment="1">
      <alignment horizontal="center" vertical="center" wrapText="1"/>
    </xf>
    <xf numFmtId="0" fontId="74" fillId="0" borderId="0" xfId="4" applyFont="1" applyFill="1"/>
    <xf numFmtId="0" fontId="74" fillId="23" borderId="0" xfId="4" applyFont="1" applyFill="1"/>
    <xf numFmtId="0" fontId="74" fillId="0" borderId="0" xfId="4" applyFont="1" applyAlignment="1">
      <alignment horizontal="center"/>
    </xf>
    <xf numFmtId="0" fontId="74" fillId="0" borderId="0" xfId="4" applyFont="1"/>
    <xf numFmtId="0" fontId="74" fillId="0" borderId="158" xfId="4" applyFont="1" applyFill="1" applyBorder="1" applyAlignment="1">
      <alignment horizontal="center"/>
    </xf>
    <xf numFmtId="0" fontId="74" fillId="0" borderId="159" xfId="4" applyFont="1" applyFill="1" applyBorder="1" applyAlignment="1">
      <alignment horizontal="center"/>
    </xf>
    <xf numFmtId="0" fontId="74" fillId="0" borderId="160" xfId="4" applyFont="1" applyFill="1" applyBorder="1" applyAlignment="1">
      <alignment horizontal="center"/>
    </xf>
    <xf numFmtId="0" fontId="161" fillId="23" borderId="38" xfId="4" applyFont="1" applyFill="1" applyBorder="1" applyAlignment="1">
      <alignment horizontal="center"/>
    </xf>
    <xf numFmtId="0" fontId="74" fillId="23" borderId="44" xfId="4" applyFont="1" applyFill="1" applyBorder="1" applyAlignment="1">
      <alignment horizontal="center"/>
    </xf>
    <xf numFmtId="0" fontId="74" fillId="23" borderId="45" xfId="4" applyFont="1" applyFill="1" applyBorder="1" applyAlignment="1">
      <alignment horizontal="center"/>
    </xf>
    <xf numFmtId="0" fontId="74" fillId="0" borderId="39" xfId="4" applyFont="1" applyFill="1" applyBorder="1" applyAlignment="1">
      <alignment horizontal="center"/>
    </xf>
    <xf numFmtId="0" fontId="74" fillId="0" borderId="35" xfId="4" applyFont="1" applyFill="1" applyBorder="1" applyAlignment="1">
      <alignment horizontal="center"/>
    </xf>
    <xf numFmtId="0" fontId="74" fillId="0" borderId="46" xfId="4" applyFont="1" applyFill="1" applyBorder="1" applyAlignment="1">
      <alignment horizontal="center"/>
    </xf>
    <xf numFmtId="0" fontId="161" fillId="0" borderId="39" xfId="4" applyFont="1" applyFill="1" applyBorder="1" applyAlignment="1">
      <alignment horizontal="center"/>
    </xf>
    <xf numFmtId="0" fontId="74" fillId="0" borderId="40" xfId="4" applyFont="1" applyFill="1" applyBorder="1" applyAlignment="1">
      <alignment horizontal="center"/>
    </xf>
    <xf numFmtId="0" fontId="74" fillId="0" borderId="47" xfId="4" applyFont="1" applyFill="1" applyBorder="1" applyAlignment="1">
      <alignment horizontal="center"/>
    </xf>
    <xf numFmtId="0" fontId="74" fillId="0" borderId="48" xfId="4" applyFont="1" applyFill="1" applyBorder="1" applyAlignment="1">
      <alignment horizontal="center"/>
    </xf>
    <xf numFmtId="0" fontId="74" fillId="23" borderId="38" xfId="4" applyFont="1" applyFill="1" applyBorder="1" applyAlignment="1">
      <alignment horizontal="center"/>
    </xf>
    <xf numFmtId="0" fontId="74" fillId="23" borderId="63" xfId="4" applyFont="1" applyFill="1" applyBorder="1" applyAlignment="1">
      <alignment horizontal="center"/>
    </xf>
    <xf numFmtId="0" fontId="74" fillId="23" borderId="120" xfId="4" applyFont="1" applyFill="1" applyBorder="1" applyAlignment="1">
      <alignment horizontal="center"/>
    </xf>
    <xf numFmtId="0" fontId="74" fillId="0" borderId="115" xfId="4" applyFont="1" applyFill="1" applyBorder="1" applyAlignment="1">
      <alignment horizontal="center"/>
    </xf>
    <xf numFmtId="0" fontId="164" fillId="0" borderId="38" xfId="4" applyFont="1" applyFill="1" applyBorder="1" applyAlignment="1">
      <alignment horizontal="center" vertical="center"/>
    </xf>
    <xf numFmtId="0" fontId="164" fillId="0" borderId="44" xfId="4" applyFont="1" applyFill="1" applyBorder="1" applyAlignment="1">
      <alignment horizontal="center" vertical="center"/>
    </xf>
    <xf numFmtId="0" fontId="165" fillId="0" borderId="44" xfId="4" applyFont="1" applyFill="1" applyBorder="1" applyAlignment="1">
      <alignment horizontal="center" vertical="center"/>
    </xf>
    <xf numFmtId="0" fontId="165" fillId="0" borderId="45" xfId="4" applyFont="1" applyFill="1" applyBorder="1" applyAlignment="1">
      <alignment horizontal="center" vertical="center"/>
    </xf>
    <xf numFmtId="0" fontId="163" fillId="23" borderId="39" xfId="4" applyFont="1" applyFill="1" applyBorder="1" applyAlignment="1">
      <alignment horizontal="center" vertical="center"/>
    </xf>
    <xf numFmtId="0" fontId="165" fillId="23" borderId="35" xfId="4" applyFont="1" applyFill="1" applyBorder="1" applyAlignment="1">
      <alignment horizontal="center" vertical="center"/>
    </xf>
    <xf numFmtId="0" fontId="163" fillId="23" borderId="35" xfId="4" applyFont="1" applyFill="1" applyBorder="1" applyAlignment="1">
      <alignment horizontal="center" vertical="center"/>
    </xf>
    <xf numFmtId="0" fontId="163" fillId="23" borderId="46" xfId="4" applyFont="1" applyFill="1" applyBorder="1" applyAlignment="1">
      <alignment horizontal="center" vertical="center"/>
    </xf>
    <xf numFmtId="0" fontId="74" fillId="0" borderId="60" xfId="6" applyFont="1" applyBorder="1" applyAlignment="1">
      <alignment horizontal="center" vertical="center"/>
    </xf>
    <xf numFmtId="0" fontId="74" fillId="0" borderId="36" xfId="6" applyFont="1" applyBorder="1" applyAlignment="1">
      <alignment horizontal="center" vertical="center"/>
    </xf>
    <xf numFmtId="0" fontId="74" fillId="0" borderId="94" xfId="6" applyFont="1" applyBorder="1" applyAlignment="1">
      <alignment horizontal="center" vertical="center"/>
    </xf>
    <xf numFmtId="0" fontId="74" fillId="0" borderId="35" xfId="6" applyFont="1" applyBorder="1" applyAlignment="1">
      <alignment horizontal="center" vertical="center"/>
    </xf>
    <xf numFmtId="0" fontId="74" fillId="0" borderId="93" xfId="6" applyFont="1" applyBorder="1" applyAlignment="1">
      <alignment horizontal="center" vertical="center"/>
    </xf>
    <xf numFmtId="0" fontId="74" fillId="0" borderId="46" xfId="6" applyFont="1" applyBorder="1" applyAlignment="1">
      <alignment horizontal="center" vertical="center"/>
    </xf>
    <xf numFmtId="0" fontId="163" fillId="0" borderId="35" xfId="5" applyFont="1" applyBorder="1" applyAlignment="1">
      <alignment horizontal="left" vertical="center" wrapText="1"/>
    </xf>
    <xf numFmtId="0" fontId="166" fillId="0" borderId="35" xfId="5" applyFont="1" applyBorder="1" applyAlignment="1">
      <alignment horizontal="center" vertical="center"/>
    </xf>
    <xf numFmtId="0" fontId="74" fillId="0" borderId="0" xfId="5" applyFont="1">
      <alignment vertical="center"/>
    </xf>
    <xf numFmtId="0" fontId="164" fillId="0" borderId="45" xfId="4" applyFont="1" applyFill="1" applyBorder="1" applyAlignment="1">
      <alignment horizontal="center" vertical="center"/>
    </xf>
    <xf numFmtId="0" fontId="164" fillId="23" borderId="35" xfId="4" applyFont="1" applyFill="1" applyBorder="1" applyAlignment="1">
      <alignment horizontal="center" vertical="center"/>
    </xf>
    <xf numFmtId="0" fontId="15" fillId="0" borderId="39" xfId="0" applyFont="1" applyFill="1" applyBorder="1" applyAlignment="1">
      <alignment horizontal="center" vertical="center" wrapText="1"/>
    </xf>
    <xf numFmtId="0" fontId="167" fillId="0" borderId="36" xfId="0" applyFont="1" applyFill="1" applyBorder="1" applyAlignment="1">
      <alignment horizontal="center" vertical="center" wrapText="1"/>
    </xf>
    <xf numFmtId="0" fontId="168" fillId="0" borderId="36" xfId="0" applyFont="1" applyFill="1" applyBorder="1" applyAlignment="1">
      <alignment horizontal="center" vertical="center" wrapText="1"/>
    </xf>
    <xf numFmtId="0" fontId="15" fillId="0" borderId="36" xfId="0" applyFont="1" applyFill="1" applyBorder="1" applyAlignment="1">
      <alignment horizontal="center" vertical="center" wrapText="1"/>
    </xf>
    <xf numFmtId="0" fontId="15" fillId="0" borderId="64" xfId="0" applyFont="1" applyFill="1" applyBorder="1" applyAlignment="1">
      <alignment horizontal="center" vertical="center" wrapText="1"/>
    </xf>
    <xf numFmtId="0" fontId="74" fillId="35" borderId="35" xfId="4" applyFont="1" applyFill="1" applyBorder="1" applyAlignment="1">
      <alignment horizontal="center" vertical="center"/>
    </xf>
    <xf numFmtId="0" fontId="66" fillId="35" borderId="35" xfId="4" applyFont="1" applyFill="1" applyBorder="1" applyAlignment="1">
      <alignment horizontal="center" vertical="center" wrapText="1"/>
    </xf>
    <xf numFmtId="0" fontId="74" fillId="35" borderId="46" xfId="4" applyFont="1" applyFill="1" applyBorder="1" applyAlignment="1">
      <alignment horizontal="center" vertical="center"/>
    </xf>
    <xf numFmtId="0" fontId="163" fillId="0" borderId="39" xfId="4" applyFont="1" applyFill="1" applyBorder="1" applyAlignment="1">
      <alignment horizontal="center" vertical="center"/>
    </xf>
    <xf numFmtId="0" fontId="74" fillId="0" borderId="35" xfId="4" applyFont="1" applyFill="1" applyBorder="1" applyAlignment="1">
      <alignment horizontal="center" vertical="center"/>
    </xf>
    <xf numFmtId="0" fontId="74" fillId="0" borderId="35" xfId="4" applyFont="1" applyFill="1" applyBorder="1" applyAlignment="1">
      <alignment horizontal="center" vertical="center" wrapText="1"/>
    </xf>
    <xf numFmtId="0" fontId="66" fillId="0" borderId="35" xfId="4" applyFont="1" applyFill="1" applyBorder="1" applyAlignment="1">
      <alignment horizontal="center" vertical="center"/>
    </xf>
    <xf numFmtId="0" fontId="74" fillId="0" borderId="46" xfId="4" applyFont="1" applyFill="1" applyBorder="1" applyAlignment="1">
      <alignment horizontal="center" vertical="center"/>
    </xf>
    <xf numFmtId="0" fontId="164" fillId="0" borderId="35" xfId="4" applyFont="1" applyFill="1" applyBorder="1" applyAlignment="1">
      <alignment horizontal="center" vertical="center"/>
    </xf>
    <xf numFmtId="0" fontId="163" fillId="0" borderId="35" xfId="4" applyFont="1" applyFill="1" applyBorder="1" applyAlignment="1">
      <alignment horizontal="center" vertical="center"/>
    </xf>
    <xf numFmtId="0" fontId="163" fillId="0" borderId="46" xfId="4" applyFont="1" applyFill="1" applyBorder="1" applyAlignment="1">
      <alignment horizontal="center" vertical="center"/>
    </xf>
    <xf numFmtId="0" fontId="164" fillId="0" borderId="38" xfId="4" applyFont="1" applyFill="1" applyBorder="1" applyAlignment="1">
      <alignment horizontal="center" vertical="center" wrapText="1"/>
    </xf>
    <xf numFmtId="0" fontId="164" fillId="0" borderId="44" xfId="4" applyFont="1" applyFill="1" applyBorder="1" applyAlignment="1">
      <alignment horizontal="center" vertical="center" wrapText="1"/>
    </xf>
    <xf numFmtId="0" fontId="164" fillId="0" borderId="45" xfId="4" applyFont="1" applyFill="1" applyBorder="1" applyAlignment="1">
      <alignment horizontal="center" vertical="center" wrapText="1"/>
    </xf>
    <xf numFmtId="0" fontId="163" fillId="23" borderId="39" xfId="4" applyFont="1" applyFill="1" applyBorder="1" applyAlignment="1">
      <alignment horizontal="center" vertical="center" wrapText="1"/>
    </xf>
    <xf numFmtId="0" fontId="164" fillId="23" borderId="35" xfId="4" applyFont="1" applyFill="1" applyBorder="1" applyAlignment="1">
      <alignment horizontal="center" vertical="center" wrapText="1"/>
    </xf>
    <xf numFmtId="0" fontId="163" fillId="23" borderId="35" xfId="4" applyFont="1" applyFill="1" applyBorder="1" applyAlignment="1">
      <alignment horizontal="center" vertical="center" wrapText="1"/>
    </xf>
    <xf numFmtId="0" fontId="163" fillId="23" borderId="46" xfId="4" applyFont="1" applyFill="1" applyBorder="1" applyAlignment="1">
      <alignment horizontal="center" vertical="center" wrapText="1"/>
    </xf>
    <xf numFmtId="0" fontId="74" fillId="0" borderId="39" xfId="3" applyFont="1" applyBorder="1" applyAlignment="1">
      <alignment horizontal="center" vertical="center" wrapText="1"/>
    </xf>
    <xf numFmtId="0" fontId="74" fillId="0" borderId="35" xfId="3" applyFont="1" applyBorder="1" applyAlignment="1">
      <alignment horizontal="center" vertical="center" wrapText="1"/>
    </xf>
    <xf numFmtId="0" fontId="74" fillId="0" borderId="46" xfId="3" applyFont="1" applyBorder="1" applyAlignment="1">
      <alignment horizontal="center" vertical="center" wrapText="1"/>
    </xf>
    <xf numFmtId="0" fontId="74" fillId="20" borderId="35" xfId="3" applyFont="1" applyFill="1" applyBorder="1" applyAlignment="1">
      <alignment horizontal="center" vertical="center" wrapText="1"/>
    </xf>
    <xf numFmtId="0" fontId="74" fillId="20" borderId="46" xfId="3" applyFont="1" applyFill="1" applyBorder="1" applyAlignment="1">
      <alignment horizontal="center" vertical="center" wrapText="1"/>
    </xf>
    <xf numFmtId="0" fontId="74" fillId="0" borderId="35" xfId="3" applyFont="1" applyFill="1" applyBorder="1" applyAlignment="1">
      <alignment horizontal="center" vertical="center" wrapText="1"/>
    </xf>
    <xf numFmtId="0" fontId="74" fillId="0" borderId="46" xfId="3" applyFont="1" applyFill="1" applyBorder="1" applyAlignment="1">
      <alignment horizontal="center" vertical="center" wrapText="1"/>
    </xf>
    <xf numFmtId="0" fontId="169" fillId="0" borderId="39" xfId="3" applyFont="1" applyBorder="1" applyAlignment="1">
      <alignment horizontal="center" vertical="center"/>
    </xf>
    <xf numFmtId="0" fontId="169" fillId="0" borderId="35" xfId="3" applyFont="1" applyBorder="1" applyAlignment="1">
      <alignment horizontal="center" vertical="center"/>
    </xf>
    <xf numFmtId="0" fontId="169" fillId="0" borderId="35" xfId="3" applyFont="1" applyBorder="1" applyAlignment="1">
      <alignment horizontal="center" vertical="center" wrapText="1"/>
    </xf>
    <xf numFmtId="0" fontId="169" fillId="0" borderId="46" xfId="3" applyFont="1" applyBorder="1" applyAlignment="1">
      <alignment horizontal="center" vertical="center"/>
    </xf>
    <xf numFmtId="0" fontId="74" fillId="35" borderId="35" xfId="4" applyFont="1" applyFill="1" applyBorder="1" applyAlignment="1">
      <alignment horizontal="center" vertical="center" wrapText="1"/>
    </xf>
    <xf numFmtId="0" fontId="74" fillId="35" borderId="35" xfId="4" applyFont="1" applyFill="1" applyBorder="1" applyAlignment="1">
      <alignment vertical="center"/>
    </xf>
    <xf numFmtId="0" fontId="74" fillId="0" borderId="35" xfId="4" applyFont="1" applyFill="1" applyBorder="1" applyAlignment="1">
      <alignment vertical="center"/>
    </xf>
    <xf numFmtId="0" fontId="66" fillId="0" borderId="35" xfId="4" applyFont="1" applyFill="1" applyBorder="1" applyAlignment="1">
      <alignment horizontal="center" vertical="center" wrapText="1"/>
    </xf>
    <xf numFmtId="0" fontId="74" fillId="35" borderId="35" xfId="4" applyFont="1" applyFill="1" applyBorder="1" applyAlignment="1">
      <alignment vertical="center" wrapText="1"/>
    </xf>
    <xf numFmtId="0" fontId="74" fillId="35" borderId="46" xfId="4" applyFont="1" applyFill="1" applyBorder="1" applyAlignment="1">
      <alignment vertical="center"/>
    </xf>
    <xf numFmtId="0" fontId="74" fillId="0" borderId="0" xfId="4" applyFont="1" applyAlignment="1">
      <alignment vertical="center"/>
    </xf>
    <xf numFmtId="0" fontId="74" fillId="0" borderId="39" xfId="4" applyFont="1" applyBorder="1" applyAlignment="1">
      <alignment horizontal="center" vertical="center"/>
    </xf>
    <xf numFmtId="0" fontId="15" fillId="0" borderId="35" xfId="0" applyFont="1" applyFill="1" applyBorder="1" applyAlignment="1">
      <alignment horizontal="center" vertical="center" wrapText="1"/>
    </xf>
    <xf numFmtId="0" fontId="74" fillId="0" borderId="35" xfId="4" applyFont="1" applyBorder="1" applyAlignment="1">
      <alignment horizontal="center" vertical="center"/>
    </xf>
    <xf numFmtId="0" fontId="74" fillId="0" borderId="46" xfId="4" applyFont="1" applyBorder="1" applyAlignment="1">
      <alignment horizontal="center" vertical="center"/>
    </xf>
    <xf numFmtId="0" fontId="15" fillId="0" borderId="46" xfId="0" applyFont="1" applyFill="1" applyBorder="1" applyAlignment="1">
      <alignment horizontal="center" vertical="center" wrapText="1"/>
    </xf>
    <xf numFmtId="0" fontId="74" fillId="0" borderId="35" xfId="0" applyFont="1" applyFill="1" applyBorder="1" applyAlignment="1">
      <alignment horizontal="center" vertical="center" wrapText="1"/>
    </xf>
    <xf numFmtId="0" fontId="74" fillId="0" borderId="35" xfId="4" applyFont="1" applyBorder="1" applyAlignment="1">
      <alignment horizontal="center" vertical="center" wrapText="1"/>
    </xf>
    <xf numFmtId="0" fontId="161" fillId="0" borderId="35" xfId="0" applyFont="1" applyFill="1" applyBorder="1" applyAlignment="1">
      <alignment horizontal="center" vertical="center" wrapText="1"/>
    </xf>
    <xf numFmtId="0" fontId="170" fillId="0" borderId="0" xfId="0" applyFont="1" applyFill="1" applyAlignment="1"/>
    <xf numFmtId="180" fontId="170" fillId="0" borderId="0" xfId="0" applyNumberFormat="1" applyFont="1" applyFill="1" applyAlignment="1"/>
    <xf numFmtId="176" fontId="170" fillId="0" borderId="0" xfId="0" applyNumberFormat="1" applyFont="1" applyFill="1" applyAlignment="1"/>
    <xf numFmtId="0" fontId="50" fillId="12" borderId="0" xfId="0" applyFont="1" applyFill="1" applyAlignment="1"/>
    <xf numFmtId="180" fontId="170" fillId="0" borderId="0" xfId="0" applyNumberFormat="1" applyFont="1" applyFill="1" applyAlignment="1">
      <alignment horizontal="right"/>
    </xf>
    <xf numFmtId="0" fontId="17" fillId="0" borderId="0" xfId="0" applyFont="1" applyFill="1" applyAlignment="1"/>
    <xf numFmtId="0" fontId="170" fillId="24" borderId="0" xfId="0" applyFont="1" applyFill="1" applyAlignment="1"/>
    <xf numFmtId="0" fontId="17" fillId="20" borderId="0" xfId="0" applyFont="1" applyFill="1" applyAlignment="1"/>
    <xf numFmtId="176" fontId="170" fillId="34" borderId="0" xfId="0" applyNumberFormat="1" applyFont="1" applyFill="1" applyAlignment="1"/>
    <xf numFmtId="180" fontId="170" fillId="20" borderId="0" xfId="0" applyNumberFormat="1" applyFont="1" applyFill="1" applyAlignment="1"/>
    <xf numFmtId="193" fontId="170" fillId="34" borderId="0" xfId="0" applyNumberFormat="1" applyFont="1" applyFill="1" applyAlignment="1"/>
    <xf numFmtId="178" fontId="170" fillId="20" borderId="0" xfId="0" applyNumberFormat="1" applyFont="1" applyFill="1" applyAlignment="1"/>
    <xf numFmtId="0" fontId="171" fillId="24" borderId="0" xfId="0" applyFont="1" applyFill="1" applyAlignment="1"/>
    <xf numFmtId="0" fontId="17" fillId="20" borderId="0" xfId="0" applyFont="1" applyFill="1" applyAlignment="1">
      <alignment shrinkToFit="1"/>
    </xf>
    <xf numFmtId="0" fontId="17" fillId="24" borderId="0" xfId="0" applyFont="1" applyFill="1" applyAlignment="1"/>
    <xf numFmtId="176" fontId="17" fillId="34" borderId="0" xfId="0" applyNumberFormat="1" applyFont="1" applyFill="1" applyAlignment="1"/>
    <xf numFmtId="179" fontId="17" fillId="34" borderId="0" xfId="0" applyNumberFormat="1" applyFont="1" applyFill="1" applyAlignment="1"/>
    <xf numFmtId="178" fontId="170" fillId="34" borderId="0" xfId="0" applyNumberFormat="1" applyFont="1" applyFill="1" applyAlignment="1"/>
    <xf numFmtId="0" fontId="170" fillId="35" borderId="0" xfId="0" applyFont="1" applyFill="1" applyAlignment="1"/>
    <xf numFmtId="180" fontId="170" fillId="35" borderId="0" xfId="0" applyNumberFormat="1" applyFont="1" applyFill="1" applyAlignment="1"/>
    <xf numFmtId="178" fontId="170" fillId="0" borderId="0" xfId="0" applyNumberFormat="1" applyFont="1" applyFill="1" applyAlignment="1"/>
    <xf numFmtId="176" fontId="170" fillId="35" borderId="0" xfId="0" applyNumberFormat="1" applyFont="1" applyFill="1" applyAlignment="1"/>
    <xf numFmtId="0" fontId="172" fillId="0" borderId="0" xfId="0" applyFont="1" applyFill="1" applyBorder="1" applyAlignment="1"/>
    <xf numFmtId="0" fontId="172" fillId="0" borderId="0" xfId="0" applyFont="1" applyFill="1" applyAlignment="1"/>
    <xf numFmtId="0" fontId="175" fillId="15" borderId="36" xfId="0" applyFont="1" applyFill="1" applyBorder="1" applyAlignment="1"/>
    <xf numFmtId="0" fontId="175" fillId="8" borderId="36" xfId="0" applyFont="1" applyFill="1" applyBorder="1" applyAlignment="1">
      <alignment horizontal="right"/>
    </xf>
    <xf numFmtId="0" fontId="175" fillId="10" borderId="124" xfId="0" applyFont="1" applyFill="1" applyBorder="1" applyAlignment="1"/>
    <xf numFmtId="0" fontId="175" fillId="0" borderId="35" xfId="0" applyFont="1" applyFill="1" applyBorder="1" applyAlignment="1"/>
    <xf numFmtId="0" fontId="175" fillId="8" borderId="35" xfId="0" applyFont="1" applyFill="1" applyBorder="1" applyAlignment="1">
      <alignment horizontal="right"/>
    </xf>
    <xf numFmtId="0" fontId="175" fillId="10" borderId="125" xfId="0" applyFont="1" applyFill="1" applyBorder="1" applyAlignment="1">
      <alignment horizontal="left"/>
    </xf>
    <xf numFmtId="0" fontId="175" fillId="15" borderId="35" xfId="0" applyFont="1" applyFill="1" applyBorder="1" applyAlignment="1"/>
    <xf numFmtId="0" fontId="175" fillId="10" borderId="125" xfId="0" applyFont="1" applyFill="1" applyBorder="1" applyAlignment="1"/>
    <xf numFmtId="0" fontId="175" fillId="0" borderId="35" xfId="0" applyNumberFormat="1" applyFont="1" applyFill="1" applyBorder="1" applyAlignment="1">
      <alignment horizontal="center" vertical="center" shrinkToFit="1"/>
    </xf>
    <xf numFmtId="0" fontId="175" fillId="7" borderId="35" xfId="0" applyFont="1" applyFill="1" applyBorder="1" applyAlignment="1" applyProtection="1">
      <alignment horizontal="right"/>
      <protection hidden="1"/>
    </xf>
    <xf numFmtId="0" fontId="126" fillId="10" borderId="125" xfId="0" applyFont="1" applyFill="1" applyBorder="1" applyAlignment="1"/>
    <xf numFmtId="0" fontId="176" fillId="0" borderId="0" xfId="0" applyFont="1" applyFill="1" applyAlignment="1"/>
    <xf numFmtId="0" fontId="177" fillId="0" borderId="0" xfId="0" applyFont="1" applyFill="1" applyBorder="1" applyAlignment="1"/>
    <xf numFmtId="0" fontId="175" fillId="8" borderId="35" xfId="0" applyFont="1" applyFill="1" applyBorder="1" applyAlignment="1" applyProtection="1">
      <alignment horizontal="right"/>
      <protection hidden="1"/>
    </xf>
    <xf numFmtId="0" fontId="175" fillId="10" borderId="35" xfId="0" applyFont="1" applyFill="1" applyBorder="1" applyAlignment="1"/>
    <xf numFmtId="0" fontId="175" fillId="15" borderId="125" xfId="0" applyFont="1" applyFill="1" applyBorder="1" applyAlignment="1"/>
    <xf numFmtId="0" fontId="175" fillId="15" borderId="125" xfId="0" applyFont="1" applyFill="1" applyBorder="1" applyAlignment="1">
      <alignment horizontal="right"/>
    </xf>
    <xf numFmtId="0" fontId="175" fillId="20" borderId="125" xfId="0" applyFont="1" applyFill="1" applyBorder="1" applyAlignment="1"/>
    <xf numFmtId="0" fontId="175" fillId="0" borderId="125" xfId="0" applyFont="1" applyFill="1" applyBorder="1" applyAlignment="1"/>
    <xf numFmtId="0" fontId="175" fillId="0" borderId="125" xfId="0" applyFont="1" applyFill="1" applyBorder="1" applyAlignment="1">
      <alignment horizontal="right"/>
    </xf>
    <xf numFmtId="0" fontId="175" fillId="20" borderId="35" xfId="0" applyFont="1" applyFill="1" applyBorder="1" applyAlignment="1">
      <alignment horizontal="right"/>
    </xf>
    <xf numFmtId="0" fontId="179" fillId="0" borderId="0" xfId="0" applyFont="1" applyFill="1" applyAlignment="1"/>
    <xf numFmtId="0" fontId="177" fillId="0" borderId="0" xfId="0" applyFont="1" applyFill="1" applyAlignment="1"/>
    <xf numFmtId="0" fontId="173" fillId="13" borderId="0" xfId="0" applyNumberFormat="1" applyFont="1" applyFill="1" applyAlignment="1">
      <alignment vertical="center" textRotation="255"/>
    </xf>
    <xf numFmtId="0" fontId="172" fillId="0" borderId="0" xfId="0" applyFont="1" applyFill="1" applyAlignment="1">
      <alignment horizontal="center"/>
    </xf>
    <xf numFmtId="0" fontId="172" fillId="15" borderId="35" xfId="0" applyFont="1" applyFill="1" applyBorder="1" applyAlignment="1"/>
    <xf numFmtId="0" fontId="180" fillId="13" borderId="35" xfId="0" applyFont="1" applyFill="1" applyBorder="1"/>
    <xf numFmtId="0" fontId="180" fillId="13" borderId="35" xfId="0" applyFont="1" applyFill="1" applyBorder="1" applyAlignment="1"/>
    <xf numFmtId="0" fontId="172" fillId="7" borderId="35" xfId="0" applyFont="1" applyFill="1" applyBorder="1" applyAlignment="1">
      <alignment horizontal="center"/>
    </xf>
    <xf numFmtId="0" fontId="172" fillId="10" borderId="35" xfId="0" applyFont="1" applyFill="1" applyBorder="1" applyAlignment="1"/>
    <xf numFmtId="0" fontId="172" fillId="0" borderId="35" xfId="0" applyFont="1" applyFill="1" applyBorder="1" applyAlignment="1"/>
    <xf numFmtId="0" fontId="172" fillId="0" borderId="0" xfId="0" applyFont="1" applyFill="1" applyAlignment="1">
      <alignment horizontal="center" vertical="center"/>
    </xf>
    <xf numFmtId="0" fontId="172" fillId="15" borderId="35" xfId="0" applyFont="1" applyFill="1" applyBorder="1" applyAlignment="1">
      <alignment horizontal="center"/>
    </xf>
    <xf numFmtId="0" fontId="172" fillId="7" borderId="35" xfId="0" applyFont="1" applyFill="1" applyBorder="1" applyAlignment="1" applyProtection="1">
      <alignment horizontal="center"/>
      <protection hidden="1"/>
    </xf>
    <xf numFmtId="0" fontId="172" fillId="0" borderId="0" xfId="0" applyFont="1" applyFill="1" applyAlignment="1" applyProtection="1">
      <alignment horizontal="center"/>
      <protection hidden="1"/>
    </xf>
    <xf numFmtId="0" fontId="172" fillId="15" borderId="35" xfId="0" applyFont="1" applyFill="1" applyBorder="1" applyAlignment="1">
      <alignment horizontal="right"/>
    </xf>
    <xf numFmtId="0" fontId="181" fillId="13" borderId="35" xfId="0" applyFont="1" applyFill="1" applyBorder="1" applyAlignment="1"/>
    <xf numFmtId="0" fontId="172" fillId="13" borderId="35" xfId="0" applyFont="1" applyFill="1" applyBorder="1" applyAlignment="1"/>
    <xf numFmtId="0" fontId="172" fillId="7" borderId="35" xfId="0" applyFont="1" applyFill="1" applyBorder="1" applyAlignment="1"/>
    <xf numFmtId="0" fontId="172" fillId="0" borderId="0" xfId="0" applyFont="1" applyFill="1" applyBorder="1" applyAlignment="1">
      <alignment horizontal="center" vertical="center"/>
    </xf>
    <xf numFmtId="0" fontId="172" fillId="0" borderId="0" xfId="0" applyFont="1" applyFill="1" applyBorder="1" applyAlignment="1">
      <alignment horizontal="right"/>
    </xf>
    <xf numFmtId="0" fontId="181" fillId="13" borderId="35" xfId="0" applyFont="1" applyFill="1" applyBorder="1" applyAlignment="1">
      <alignment vertical="center"/>
    </xf>
    <xf numFmtId="0" fontId="181" fillId="0" borderId="0" xfId="0" applyFont="1" applyFill="1" applyAlignment="1">
      <alignment vertical="center"/>
    </xf>
    <xf numFmtId="178" fontId="172" fillId="0" borderId="0" xfId="0" applyNumberFormat="1" applyFont="1" applyFill="1" applyBorder="1" applyAlignment="1" applyProtection="1">
      <alignment horizontal="left" indent="2"/>
      <protection hidden="1"/>
    </xf>
    <xf numFmtId="178" fontId="172" fillId="7" borderId="35" xfId="0" applyNumberFormat="1" applyFont="1" applyFill="1" applyBorder="1" applyAlignment="1"/>
    <xf numFmtId="193" fontId="172" fillId="7" borderId="35" xfId="0" applyNumberFormat="1" applyFont="1" applyFill="1" applyBorder="1" applyAlignment="1" applyProtection="1">
      <protection hidden="1"/>
    </xf>
    <xf numFmtId="193" fontId="172" fillId="0" borderId="0" xfId="0" applyNumberFormat="1" applyFont="1" applyFill="1" applyBorder="1" applyAlignment="1" applyProtection="1">
      <protection hidden="1"/>
    </xf>
    <xf numFmtId="176" fontId="172" fillId="7" borderId="35" xfId="0" applyNumberFormat="1" applyFont="1" applyFill="1" applyBorder="1" applyAlignment="1" applyProtection="1">
      <protection hidden="1"/>
    </xf>
    <xf numFmtId="176" fontId="172" fillId="0" borderId="0" xfId="0" applyNumberFormat="1" applyFont="1" applyFill="1" applyBorder="1" applyAlignment="1" applyProtection="1">
      <protection hidden="1"/>
    </xf>
    <xf numFmtId="178" fontId="172" fillId="7" borderId="35" xfId="0" applyNumberFormat="1" applyFont="1" applyFill="1" applyBorder="1" applyAlignment="1" applyProtection="1">
      <protection hidden="1"/>
    </xf>
    <xf numFmtId="176" fontId="172" fillId="7" borderId="35" xfId="0" applyNumberFormat="1" applyFont="1" applyFill="1" applyBorder="1" applyAlignment="1"/>
    <xf numFmtId="0" fontId="172" fillId="0" borderId="0" xfId="0" applyFont="1" applyFill="1" applyBorder="1" applyAlignment="1">
      <alignment horizontal="center"/>
    </xf>
    <xf numFmtId="0" fontId="181" fillId="0" borderId="0" xfId="0" applyFont="1" applyFill="1" applyBorder="1" applyAlignment="1"/>
    <xf numFmtId="193" fontId="172" fillId="7" borderId="35" xfId="0" applyNumberFormat="1" applyFont="1" applyFill="1" applyBorder="1" applyAlignment="1" applyProtection="1">
      <alignment horizontal="right"/>
      <protection hidden="1"/>
    </xf>
    <xf numFmtId="0" fontId="183" fillId="13" borderId="35" xfId="0" applyFont="1" applyFill="1" applyBorder="1" applyAlignment="1"/>
    <xf numFmtId="191" fontId="172" fillId="7" borderId="35" xfId="0" applyNumberFormat="1" applyFont="1" applyFill="1" applyBorder="1" applyAlignment="1" applyProtection="1">
      <protection hidden="1"/>
    </xf>
    <xf numFmtId="180" fontId="152" fillId="7" borderId="35" xfId="0" applyNumberFormat="1" applyFont="1" applyFill="1" applyBorder="1" applyAlignment="1">
      <alignment horizontal="center" vertical="center"/>
    </xf>
    <xf numFmtId="180" fontId="184" fillId="7" borderId="35" xfId="0" applyNumberFormat="1" applyFont="1" applyFill="1" applyBorder="1" applyAlignment="1">
      <alignment horizontal="center" vertical="center"/>
    </xf>
    <xf numFmtId="0" fontId="126" fillId="0" borderId="0" xfId="0" applyFont="1" applyFill="1" applyBorder="1" applyAlignment="1"/>
    <xf numFmtId="0" fontId="175" fillId="0" borderId="0" xfId="0" applyFont="1" applyFill="1" applyBorder="1" applyAlignment="1"/>
    <xf numFmtId="0" fontId="175" fillId="0" borderId="0" xfId="0" applyFont="1" applyFill="1" applyBorder="1" applyAlignment="1">
      <alignment horizontal="right"/>
    </xf>
    <xf numFmtId="192" fontId="172" fillId="0" borderId="0" xfId="0" applyNumberFormat="1" applyFont="1" applyFill="1" applyBorder="1" applyAlignment="1"/>
    <xf numFmtId="0" fontId="172" fillId="0" borderId="0" xfId="0" applyFont="1" applyFill="1" applyAlignment="1">
      <alignment horizontal="left"/>
    </xf>
    <xf numFmtId="0" fontId="172" fillId="0" borderId="36" xfId="0" applyFont="1" applyFill="1" applyBorder="1" applyAlignment="1"/>
    <xf numFmtId="181" fontId="172" fillId="7" borderId="35" xfId="0" applyNumberFormat="1" applyFont="1" applyFill="1" applyBorder="1" applyAlignment="1" applyProtection="1">
      <protection hidden="1"/>
    </xf>
    <xf numFmtId="0" fontId="181" fillId="7" borderId="35" xfId="0" applyFont="1" applyFill="1" applyBorder="1" applyAlignment="1"/>
    <xf numFmtId="191" fontId="172" fillId="7" borderId="35" xfId="0" applyNumberFormat="1" applyFont="1" applyFill="1" applyBorder="1" applyAlignment="1"/>
    <xf numFmtId="190" fontId="172" fillId="7" borderId="35" xfId="0" applyNumberFormat="1" applyFont="1" applyFill="1" applyBorder="1" applyAlignment="1" applyProtection="1">
      <protection hidden="1"/>
    </xf>
    <xf numFmtId="0" fontId="181" fillId="0" borderId="0" xfId="0" applyFont="1" applyFill="1" applyAlignment="1"/>
    <xf numFmtId="190" fontId="172" fillId="0" borderId="0" xfId="0" applyNumberFormat="1" applyFont="1" applyFill="1" applyAlignment="1" applyProtection="1">
      <alignment horizontal="left" indent="2"/>
      <protection hidden="1"/>
    </xf>
    <xf numFmtId="0" fontId="186" fillId="0" borderId="0" xfId="0" applyFont="1" applyFill="1" applyAlignment="1"/>
    <xf numFmtId="0" fontId="152" fillId="0" borderId="0" xfId="0" applyFont="1"/>
    <xf numFmtId="0" fontId="175" fillId="0" borderId="0" xfId="0" applyFont="1" applyFill="1" applyAlignment="1"/>
    <xf numFmtId="0" fontId="172" fillId="0" borderId="42" xfId="0" applyFont="1" applyFill="1" applyBorder="1" applyAlignment="1">
      <alignment vertical="center"/>
    </xf>
    <xf numFmtId="0" fontId="172" fillId="0" borderId="0" xfId="0" applyFont="1" applyFill="1" applyAlignment="1">
      <alignment vertical="center"/>
    </xf>
    <xf numFmtId="0" fontId="172" fillId="41" borderId="0" xfId="0" applyFont="1" applyFill="1" applyAlignment="1">
      <alignment vertical="center"/>
    </xf>
    <xf numFmtId="0" fontId="180" fillId="44" borderId="36" xfId="0" applyFont="1" applyFill="1" applyBorder="1" applyAlignment="1">
      <alignment horizontal="center" vertical="center"/>
    </xf>
    <xf numFmtId="0" fontId="181" fillId="44" borderId="36" xfId="0" applyFont="1" applyFill="1" applyBorder="1" applyAlignment="1">
      <alignment horizontal="center" vertical="center"/>
    </xf>
    <xf numFmtId="0" fontId="180" fillId="0" borderId="0" xfId="0" applyFont="1" applyFill="1" applyAlignment="1">
      <alignment horizontal="center" vertical="center"/>
    </xf>
    <xf numFmtId="0" fontId="172" fillId="44" borderId="35" xfId="0" applyFont="1" applyFill="1" applyBorder="1" applyAlignment="1">
      <alignment horizontal="right"/>
    </xf>
    <xf numFmtId="0" fontId="172" fillId="44" borderId="35" xfId="0" applyFont="1" applyFill="1" applyBorder="1" applyAlignment="1">
      <alignment vertical="center"/>
    </xf>
    <xf numFmtId="189" fontId="172" fillId="42" borderId="35" xfId="0" applyNumberFormat="1" applyFont="1" applyFill="1" applyBorder="1" applyAlignment="1" applyProtection="1">
      <alignment horizontal="center"/>
      <protection hidden="1"/>
    </xf>
    <xf numFmtId="0" fontId="180" fillId="41" borderId="35" xfId="0" applyFont="1" applyFill="1" applyBorder="1" applyAlignment="1">
      <alignment horizontal="center" vertical="center"/>
    </xf>
    <xf numFmtId="0" fontId="188" fillId="0" borderId="35" xfId="0" applyFont="1" applyFill="1" applyBorder="1" applyAlignment="1">
      <alignment horizontal="right"/>
    </xf>
    <xf numFmtId="0" fontId="188" fillId="0" borderId="35" xfId="0" applyFont="1" applyFill="1" applyBorder="1" applyAlignment="1"/>
    <xf numFmtId="0" fontId="172" fillId="42" borderId="35" xfId="0" applyFont="1" applyFill="1" applyBorder="1" applyAlignment="1">
      <alignment horizontal="center"/>
    </xf>
    <xf numFmtId="0" fontId="188" fillId="41" borderId="35" xfId="0" applyFont="1" applyFill="1" applyBorder="1" applyAlignment="1"/>
    <xf numFmtId="0" fontId="188" fillId="0" borderId="0" xfId="0" applyFont="1" applyFill="1" applyAlignment="1"/>
    <xf numFmtId="0" fontId="188" fillId="44" borderId="35" xfId="0" applyFont="1" applyFill="1" applyBorder="1" applyAlignment="1">
      <alignment horizontal="right"/>
    </xf>
    <xf numFmtId="0" fontId="188" fillId="44" borderId="35" xfId="0" applyFont="1" applyFill="1" applyBorder="1" applyAlignment="1"/>
    <xf numFmtId="0" fontId="172" fillId="0" borderId="35" xfId="0" applyFont="1" applyFill="1" applyBorder="1" applyAlignment="1">
      <alignment horizontal="right"/>
    </xf>
    <xf numFmtId="0" fontId="172" fillId="42" borderId="35" xfId="0" applyFont="1" applyFill="1" applyBorder="1" applyAlignment="1" applyProtection="1">
      <alignment horizontal="center"/>
      <protection hidden="1"/>
    </xf>
    <xf numFmtId="0" fontId="172" fillId="41" borderId="35" xfId="0" applyFont="1" applyFill="1" applyBorder="1" applyAlignment="1"/>
    <xf numFmtId="0" fontId="172" fillId="44" borderId="35" xfId="0" applyFont="1" applyFill="1" applyBorder="1" applyAlignment="1"/>
    <xf numFmtId="0" fontId="172" fillId="45" borderId="35" xfId="0" applyFont="1" applyFill="1" applyBorder="1" applyAlignment="1">
      <alignment horizontal="center"/>
    </xf>
    <xf numFmtId="0" fontId="172" fillId="0" borderId="74" xfId="0" applyFont="1" applyFill="1" applyBorder="1" applyAlignment="1">
      <alignment horizontal="right"/>
    </xf>
    <xf numFmtId="0" fontId="172" fillId="0" borderId="74" xfId="0" applyFont="1" applyFill="1" applyBorder="1" applyAlignment="1"/>
    <xf numFmtId="0" fontId="172" fillId="45" borderId="74" xfId="0" applyFont="1" applyFill="1" applyBorder="1" applyAlignment="1">
      <alignment horizontal="center"/>
    </xf>
    <xf numFmtId="0" fontId="172" fillId="41" borderId="74" xfId="0" applyFont="1" applyFill="1" applyBorder="1" applyAlignment="1"/>
    <xf numFmtId="0" fontId="173" fillId="25" borderId="41" xfId="0" applyFont="1" applyFill="1" applyBorder="1" applyAlignment="1">
      <alignment vertical="center"/>
    </xf>
    <xf numFmtId="0" fontId="172" fillId="25" borderId="42" xfId="0" applyFont="1" applyFill="1" applyBorder="1" applyAlignment="1">
      <alignment vertical="center"/>
    </xf>
    <xf numFmtId="0" fontId="172" fillId="25" borderId="42" xfId="0" applyFont="1" applyFill="1" applyBorder="1" applyAlignment="1">
      <alignment horizontal="center" vertical="center"/>
    </xf>
    <xf numFmtId="0" fontId="189" fillId="0" borderId="36" xfId="0" applyFont="1" applyFill="1" applyBorder="1" applyAlignment="1"/>
    <xf numFmtId="0" fontId="189" fillId="0" borderId="0" xfId="0" applyFont="1" applyFill="1" applyBorder="1" applyAlignment="1"/>
    <xf numFmtId="0" fontId="0" fillId="46" borderId="1" xfId="0" applyFill="1" applyBorder="1"/>
    <xf numFmtId="0" fontId="0" fillId="46" borderId="2" xfId="0" applyFill="1" applyBorder="1"/>
    <xf numFmtId="0" fontId="0" fillId="25" borderId="2" xfId="0" applyFill="1" applyBorder="1"/>
    <xf numFmtId="0" fontId="0" fillId="47" borderId="3" xfId="0" applyFill="1" applyBorder="1"/>
    <xf numFmtId="0" fontId="0" fillId="47" borderId="0" xfId="0" applyFill="1"/>
    <xf numFmtId="0" fontId="0" fillId="46" borderId="3" xfId="0" applyFill="1" applyBorder="1"/>
    <xf numFmtId="0" fontId="0" fillId="46" borderId="0" xfId="0" applyFill="1"/>
    <xf numFmtId="0" fontId="172" fillId="46" borderId="0" xfId="0" applyFont="1" applyFill="1" applyAlignment="1">
      <alignment horizontal="center" vertical="center"/>
    </xf>
    <xf numFmtId="0" fontId="181" fillId="46" borderId="0" xfId="0" applyFont="1" applyFill="1" applyAlignment="1">
      <alignment vertical="center"/>
    </xf>
    <xf numFmtId="0" fontId="172" fillId="46" borderId="0" xfId="0" applyFont="1" applyFill="1" applyAlignment="1">
      <alignment vertical="center"/>
    </xf>
    <xf numFmtId="181" fontId="172" fillId="46" borderId="0" xfId="0" applyNumberFormat="1" applyFont="1" applyFill="1" applyAlignment="1" applyProtection="1">
      <alignment vertical="center"/>
      <protection hidden="1"/>
    </xf>
    <xf numFmtId="0" fontId="0" fillId="25" borderId="0" xfId="0" applyFill="1"/>
    <xf numFmtId="0" fontId="172" fillId="46" borderId="0" xfId="0" applyFont="1" applyFill="1" applyAlignment="1"/>
    <xf numFmtId="0" fontId="190" fillId="46" borderId="3" xfId="0" applyFont="1" applyFill="1" applyBorder="1" applyAlignment="1"/>
    <xf numFmtId="0" fontId="190" fillId="46" borderId="0" xfId="0" applyFont="1" applyFill="1" applyAlignment="1"/>
    <xf numFmtId="0" fontId="172" fillId="46" borderId="0" xfId="0" applyFont="1" applyFill="1" applyAlignment="1">
      <alignment horizontal="center"/>
    </xf>
    <xf numFmtId="0" fontId="181" fillId="46" borderId="0" xfId="0" applyFont="1" applyFill="1" applyAlignment="1"/>
    <xf numFmtId="0" fontId="191" fillId="46" borderId="3" xfId="0" applyFont="1" applyFill="1" applyBorder="1" applyAlignment="1"/>
    <xf numFmtId="0" fontId="191" fillId="46" borderId="0" xfId="0" applyFont="1" applyFill="1" applyAlignment="1"/>
    <xf numFmtId="0" fontId="191" fillId="46" borderId="0" xfId="0" applyFont="1" applyFill="1" applyAlignment="1">
      <alignment horizontal="center"/>
    </xf>
    <xf numFmtId="0" fontId="189" fillId="46" borderId="0" xfId="0" applyFont="1" applyFill="1" applyAlignment="1"/>
    <xf numFmtId="0" fontId="172" fillId="46" borderId="2" xfId="0" applyFont="1" applyFill="1" applyBorder="1" applyAlignment="1"/>
    <xf numFmtId="0" fontId="172" fillId="46" borderId="28" xfId="0" applyFont="1" applyFill="1" applyBorder="1" applyAlignment="1"/>
    <xf numFmtId="0" fontId="0" fillId="47" borderId="29" xfId="0" applyFill="1" applyBorder="1"/>
    <xf numFmtId="0" fontId="172" fillId="46" borderId="29" xfId="0" applyFont="1" applyFill="1" applyBorder="1" applyAlignment="1">
      <alignment vertical="center"/>
    </xf>
    <xf numFmtId="0" fontId="172" fillId="46" borderId="29" xfId="0" applyFont="1" applyFill="1" applyBorder="1" applyAlignment="1"/>
    <xf numFmtId="191" fontId="178" fillId="46" borderId="0" xfId="0" applyNumberFormat="1" applyFont="1" applyFill="1" applyAlignment="1" applyProtection="1">
      <protection hidden="1"/>
    </xf>
    <xf numFmtId="0" fontId="186" fillId="47" borderId="3" xfId="0" applyFont="1" applyFill="1" applyBorder="1" applyAlignment="1"/>
    <xf numFmtId="0" fontId="186" fillId="47" borderId="0" xfId="0" applyFont="1" applyFill="1" applyAlignment="1"/>
    <xf numFmtId="0" fontId="172" fillId="47" borderId="0" xfId="0" applyFont="1" applyFill="1" applyAlignment="1"/>
    <xf numFmtId="0" fontId="172" fillId="46" borderId="21" xfId="0" applyFont="1" applyFill="1" applyBorder="1" applyAlignment="1"/>
    <xf numFmtId="0" fontId="172" fillId="46" borderId="22" xfId="0" applyFont="1" applyFill="1" applyBorder="1" applyAlignment="1"/>
    <xf numFmtId="0" fontId="0" fillId="46" borderId="22" xfId="0" applyFill="1" applyBorder="1"/>
    <xf numFmtId="0" fontId="0" fillId="25" borderId="22" xfId="0" applyFill="1" applyBorder="1"/>
    <xf numFmtId="0" fontId="173" fillId="41" borderId="0" xfId="0" applyFont="1" applyFill="1" applyAlignment="1">
      <alignment vertical="center"/>
    </xf>
    <xf numFmtId="0" fontId="0" fillId="46" borderId="29" xfId="0" applyFill="1" applyBorder="1"/>
    <xf numFmtId="0" fontId="172" fillId="47" borderId="29" xfId="0" applyFont="1" applyFill="1" applyBorder="1" applyAlignment="1"/>
    <xf numFmtId="0" fontId="172" fillId="46" borderId="35" xfId="0" applyFont="1" applyFill="1" applyBorder="1" applyAlignment="1"/>
    <xf numFmtId="0" fontId="192" fillId="0" borderId="0" xfId="0" applyFont="1" applyFill="1" applyAlignment="1">
      <alignment horizontal="center" vertical="center"/>
    </xf>
    <xf numFmtId="0" fontId="172" fillId="0" borderId="53" xfId="0" applyFont="1" applyFill="1" applyBorder="1" applyAlignment="1">
      <alignment horizontal="right"/>
    </xf>
    <xf numFmtId="0" fontId="172" fillId="0" borderId="94" xfId="0" applyFont="1" applyFill="1" applyBorder="1" applyAlignment="1">
      <alignment horizontal="center"/>
    </xf>
    <xf numFmtId="0" fontId="172" fillId="8" borderId="35" xfId="0" applyFont="1" applyFill="1" applyBorder="1" applyAlignment="1">
      <alignment horizontal="center"/>
    </xf>
    <xf numFmtId="0" fontId="172" fillId="0" borderId="60" xfId="0" applyFont="1" applyFill="1" applyBorder="1" applyAlignment="1">
      <alignment horizontal="center"/>
    </xf>
    <xf numFmtId="0" fontId="193" fillId="0" borderId="0" xfId="0" applyFont="1" applyFill="1" applyAlignment="1"/>
    <xf numFmtId="2" fontId="172" fillId="8" borderId="35" xfId="0" applyNumberFormat="1" applyFont="1" applyFill="1" applyBorder="1" applyAlignment="1">
      <alignment horizontal="center"/>
    </xf>
    <xf numFmtId="0" fontId="172" fillId="0" borderId="54" xfId="0" applyFont="1" applyFill="1" applyBorder="1" applyAlignment="1">
      <alignment horizontal="right"/>
    </xf>
    <xf numFmtId="2" fontId="172" fillId="7" borderId="35" xfId="0" applyNumberFormat="1" applyFont="1" applyFill="1" applyBorder="1" applyAlignment="1">
      <alignment horizontal="center"/>
    </xf>
    <xf numFmtId="0" fontId="179" fillId="7" borderId="0" xfId="0" applyFont="1" applyFill="1" applyBorder="1" applyAlignment="1" applyProtection="1">
      <alignment horizontal="center"/>
      <protection hidden="1"/>
    </xf>
    <xf numFmtId="0" fontId="191" fillId="0" borderId="0" xfId="0" applyFont="1" applyFill="1" applyBorder="1" applyAlignment="1"/>
    <xf numFmtId="0" fontId="179" fillId="0" borderId="0" xfId="0" applyFont="1" applyFill="1" applyAlignment="1">
      <alignment horizontal="right"/>
    </xf>
    <xf numFmtId="0" fontId="179" fillId="0" borderId="0" xfId="0" applyFont="1" applyFill="1" applyBorder="1" applyAlignment="1">
      <alignment horizontal="right"/>
    </xf>
    <xf numFmtId="0" fontId="172" fillId="8" borderId="74" xfId="0" applyFont="1" applyFill="1" applyBorder="1" applyAlignment="1">
      <alignment horizontal="center"/>
    </xf>
    <xf numFmtId="0" fontId="172" fillId="8" borderId="36" xfId="0" applyFont="1" applyFill="1" applyBorder="1" applyAlignment="1">
      <alignment horizontal="center"/>
    </xf>
    <xf numFmtId="0" fontId="189" fillId="0" borderId="35" xfId="0" applyFont="1" applyFill="1" applyBorder="1" applyAlignment="1"/>
    <xf numFmtId="190" fontId="190" fillId="0" borderId="0" xfId="0" applyNumberFormat="1" applyFont="1" applyFill="1" applyBorder="1" applyAlignment="1"/>
    <xf numFmtId="190" fontId="179" fillId="0" borderId="0" xfId="0" applyNumberFormat="1" applyFont="1" applyFill="1" applyAlignment="1" applyProtection="1">
      <protection hidden="1"/>
    </xf>
    <xf numFmtId="190" fontId="172" fillId="0" borderId="0" xfId="0" applyNumberFormat="1" applyFont="1" applyFill="1" applyAlignment="1" applyProtection="1">
      <protection hidden="1"/>
    </xf>
    <xf numFmtId="0" fontId="189" fillId="0" borderId="0" xfId="0" applyFont="1" applyFill="1" applyAlignment="1"/>
    <xf numFmtId="0" fontId="190" fillId="0" borderId="0" xfId="0" applyFont="1" applyFill="1" applyAlignment="1"/>
    <xf numFmtId="0" fontId="189" fillId="0" borderId="0" xfId="0" applyFont="1" applyFill="1" applyAlignment="1">
      <alignment horizontal="right"/>
    </xf>
    <xf numFmtId="0" fontId="190" fillId="0" borderId="0" xfId="0" applyFont="1" applyFill="1" applyAlignment="1">
      <alignment horizontal="right"/>
    </xf>
    <xf numFmtId="181" fontId="172" fillId="0" borderId="0" xfId="0" applyNumberFormat="1" applyFont="1" applyFill="1" applyAlignment="1" applyProtection="1">
      <protection hidden="1"/>
    </xf>
    <xf numFmtId="2" fontId="172" fillId="0" borderId="0" xfId="0" applyNumberFormat="1" applyFont="1" applyFill="1" applyAlignment="1" applyProtection="1">
      <alignment horizontal="left" indent="2"/>
      <protection hidden="1"/>
    </xf>
    <xf numFmtId="0" fontId="189" fillId="0" borderId="93" xfId="0" applyFont="1" applyFill="1" applyBorder="1" applyAlignment="1"/>
    <xf numFmtId="0" fontId="172" fillId="0" borderId="54" xfId="0" applyFont="1" applyFill="1" applyBorder="1" applyAlignment="1"/>
    <xf numFmtId="0" fontId="172" fillId="0" borderId="94" xfId="0" applyFont="1" applyFill="1" applyBorder="1" applyAlignment="1"/>
    <xf numFmtId="0" fontId="181" fillId="0" borderId="0" xfId="0" applyFont="1" applyFill="1" applyAlignment="1">
      <alignment horizontal="right"/>
    </xf>
    <xf numFmtId="191" fontId="172" fillId="0" borderId="0" xfId="0" applyNumberFormat="1" applyFont="1" applyFill="1" applyAlignment="1" applyProtection="1">
      <protection hidden="1"/>
    </xf>
    <xf numFmtId="0" fontId="194" fillId="0" borderId="0" xfId="0" applyFont="1" applyFill="1" applyAlignment="1"/>
    <xf numFmtId="0" fontId="27" fillId="0" borderId="0" xfId="0" applyFont="1" applyAlignment="1">
      <alignment horizontal="center" vertical="center"/>
    </xf>
    <xf numFmtId="0" fontId="27" fillId="40" borderId="35" xfId="0" applyFont="1" applyFill="1" applyBorder="1" applyAlignment="1">
      <alignment horizontal="center" vertical="center"/>
    </xf>
    <xf numFmtId="0" fontId="27" fillId="17" borderId="35" xfId="0" applyFont="1" applyFill="1" applyBorder="1" applyAlignment="1">
      <alignment horizontal="center" vertical="center"/>
    </xf>
    <xf numFmtId="0" fontId="27" fillId="34" borderId="35" xfId="0" applyFont="1" applyFill="1" applyBorder="1" applyAlignment="1">
      <alignment horizontal="center" vertical="center"/>
    </xf>
    <xf numFmtId="0" fontId="27" fillId="0" borderId="35" xfId="0" applyFont="1" applyBorder="1" applyAlignment="1">
      <alignment horizontal="center" vertical="center"/>
    </xf>
    <xf numFmtId="0" fontId="27" fillId="22" borderId="35" xfId="0" applyFont="1" applyFill="1" applyBorder="1" applyAlignment="1">
      <alignment horizontal="center" vertical="center"/>
    </xf>
    <xf numFmtId="0" fontId="27" fillId="0" borderId="63" xfId="0" applyFont="1" applyBorder="1" applyAlignment="1">
      <alignment horizontal="center" vertical="center" wrapText="1"/>
    </xf>
    <xf numFmtId="0" fontId="27" fillId="0" borderId="36" xfId="0" applyFont="1" applyBorder="1" applyAlignment="1">
      <alignment horizontal="center" vertical="center" wrapText="1"/>
    </xf>
    <xf numFmtId="0" fontId="36" fillId="0" borderId="35" xfId="0" applyFont="1" applyBorder="1" applyAlignment="1">
      <alignment horizontal="center" vertical="center" wrapText="1"/>
    </xf>
    <xf numFmtId="0" fontId="27" fillId="13" borderId="35" xfId="0" applyFont="1" applyFill="1" applyBorder="1" applyAlignment="1">
      <alignment horizontal="center" vertical="center"/>
    </xf>
    <xf numFmtId="0" fontId="195" fillId="0" borderId="35" xfId="0" applyFont="1" applyBorder="1" applyAlignment="1">
      <alignment horizontal="center" vertical="center" wrapText="1"/>
    </xf>
    <xf numFmtId="0" fontId="157" fillId="40" borderId="35" xfId="0" applyFont="1" applyFill="1" applyBorder="1" applyAlignment="1">
      <alignment horizontal="center" vertical="center"/>
    </xf>
    <xf numFmtId="0" fontId="0" fillId="17" borderId="35" xfId="0" applyFont="1" applyFill="1" applyBorder="1" applyAlignment="1">
      <alignment horizontal="center" vertical="center"/>
    </xf>
    <xf numFmtId="0" fontId="0" fillId="17" borderId="35" xfId="0" applyFont="1" applyFill="1" applyBorder="1" applyAlignment="1">
      <alignment horizontal="center" vertical="center" wrapText="1"/>
    </xf>
    <xf numFmtId="0" fontId="57" fillId="34" borderId="35" xfId="0" applyFont="1" applyFill="1" applyBorder="1" applyAlignment="1">
      <alignment horizontal="center" vertical="center"/>
    </xf>
    <xf numFmtId="0" fontId="0" fillId="0" borderId="35" xfId="0" applyFont="1" applyBorder="1" applyAlignment="1">
      <alignment horizontal="center" vertical="center" wrapText="1"/>
    </xf>
    <xf numFmtId="0" fontId="0" fillId="0" borderId="74" xfId="0" applyFont="1" applyBorder="1" applyAlignment="1">
      <alignment horizontal="center" vertical="center"/>
    </xf>
    <xf numFmtId="0" fontId="0" fillId="0" borderId="63" xfId="0" applyFont="1" applyBorder="1" applyAlignment="1">
      <alignment horizontal="center" vertical="center"/>
    </xf>
    <xf numFmtId="0" fontId="0" fillId="0" borderId="36" xfId="0" applyFont="1" applyBorder="1" applyAlignment="1">
      <alignment horizontal="center" vertical="center"/>
    </xf>
    <xf numFmtId="0" fontId="157" fillId="40" borderId="74" xfId="0" applyFont="1" applyFill="1" applyBorder="1" applyAlignment="1">
      <alignment horizontal="center" vertical="center" wrapText="1"/>
    </xf>
    <xf numFmtId="0" fontId="0" fillId="17" borderId="74" xfId="0" applyFont="1" applyFill="1" applyBorder="1" applyAlignment="1">
      <alignment horizontal="center" vertical="center" wrapText="1"/>
    </xf>
    <xf numFmtId="0" fontId="0" fillId="17" borderId="60" xfId="0" applyFont="1" applyFill="1" applyBorder="1" applyAlignment="1">
      <alignment horizontal="center" vertical="center" wrapText="1"/>
    </xf>
    <xf numFmtId="0" fontId="0" fillId="22" borderId="35" xfId="0" applyFont="1" applyFill="1" applyBorder="1" applyAlignment="1">
      <alignment horizontal="center" vertical="center"/>
    </xf>
    <xf numFmtId="0" fontId="42" fillId="34" borderId="35" xfId="0" applyFont="1" applyFill="1" applyBorder="1" applyAlignment="1">
      <alignment horizontal="center" vertical="center"/>
    </xf>
    <xf numFmtId="0" fontId="149" fillId="14" borderId="164" xfId="0" applyFont="1" applyFill="1" applyBorder="1" applyAlignment="1">
      <alignment horizontal="center" wrapText="1"/>
    </xf>
    <xf numFmtId="0" fontId="149" fillId="14" borderId="165" xfId="0" applyFont="1" applyFill="1" applyBorder="1" applyAlignment="1">
      <alignment horizontal="center" wrapText="1"/>
    </xf>
    <xf numFmtId="0" fontId="197" fillId="0" borderId="164" xfId="0" applyFont="1" applyBorder="1" applyAlignment="1">
      <alignment horizontal="left" wrapText="1"/>
    </xf>
    <xf numFmtId="0" fontId="197" fillId="0" borderId="164" xfId="0" applyFont="1" applyBorder="1" applyAlignment="1">
      <alignment horizontal="center" wrapText="1"/>
    </xf>
    <xf numFmtId="0" fontId="197" fillId="0" borderId="166" xfId="0" applyFont="1" applyBorder="1" applyAlignment="1">
      <alignment horizontal="center" vertical="center" wrapText="1"/>
    </xf>
    <xf numFmtId="0" fontId="149" fillId="0" borderId="164" xfId="0" applyFont="1" applyBorder="1" applyAlignment="1">
      <alignment horizontal="left" wrapText="1"/>
    </xf>
    <xf numFmtId="0" fontId="197" fillId="0" borderId="172" xfId="0" applyFont="1" applyBorder="1" applyAlignment="1">
      <alignment horizontal="center" vertical="center" wrapText="1"/>
    </xf>
    <xf numFmtId="0" fontId="197" fillId="0" borderId="169" xfId="0" applyFont="1" applyBorder="1" applyAlignment="1">
      <alignment horizontal="center" vertical="center" wrapText="1"/>
    </xf>
    <xf numFmtId="0" fontId="0" fillId="0" borderId="172" xfId="0" applyBorder="1" applyAlignment="1">
      <alignment horizontal="center" vertical="center" wrapText="1"/>
    </xf>
    <xf numFmtId="0" fontId="0" fillId="0" borderId="169" xfId="0" applyBorder="1" applyAlignment="1">
      <alignment horizontal="center" vertical="center" wrapText="1"/>
    </xf>
    <xf numFmtId="0" fontId="197" fillId="0" borderId="164" xfId="0" applyFont="1" applyBorder="1" applyAlignment="1">
      <alignment horizontal="fill" vertical="center" wrapText="1"/>
    </xf>
    <xf numFmtId="0" fontId="197" fillId="0" borderId="164" xfId="0" applyFont="1" applyBorder="1" applyAlignment="1">
      <alignment horizontal="center" vertical="center" wrapText="1"/>
    </xf>
    <xf numFmtId="0" fontId="149" fillId="14" borderId="172" xfId="0" applyFont="1" applyFill="1" applyBorder="1" applyAlignment="1">
      <alignment horizontal="center" wrapText="1"/>
    </xf>
    <xf numFmtId="0" fontId="197" fillId="14" borderId="164" xfId="0" applyFont="1" applyFill="1" applyBorder="1" applyAlignment="1">
      <alignment horizontal="center" vertical="center" wrapText="1"/>
    </xf>
    <xf numFmtId="0" fontId="198" fillId="13" borderId="35" xfId="0" applyFont="1" applyFill="1" applyBorder="1" applyAlignment="1">
      <alignment horizontal="center" vertical="top" wrapText="1"/>
    </xf>
    <xf numFmtId="0" fontId="0" fillId="13" borderId="35" xfId="0" applyFill="1" applyBorder="1" applyAlignment="1">
      <alignment horizontal="center" vertical="top" wrapText="1"/>
    </xf>
    <xf numFmtId="0" fontId="198" fillId="0" borderId="93" xfId="0" applyFont="1" applyFill="1" applyBorder="1" applyAlignment="1">
      <alignment horizontal="center" vertical="top" wrapText="1"/>
    </xf>
    <xf numFmtId="0" fontId="198" fillId="0" borderId="94" xfId="0" applyFont="1" applyFill="1" applyBorder="1" applyAlignment="1">
      <alignment horizontal="center" vertical="top" wrapText="1"/>
    </xf>
    <xf numFmtId="0" fontId="198" fillId="0" borderId="35" xfId="0" applyFont="1" applyFill="1" applyBorder="1" applyAlignment="1">
      <alignment horizontal="center" vertical="top" wrapText="1"/>
    </xf>
    <xf numFmtId="0" fontId="198" fillId="35" borderId="35" xfId="0" applyFont="1" applyFill="1" applyBorder="1" applyAlignment="1">
      <alignment horizontal="center" vertical="top" wrapText="1"/>
    </xf>
    <xf numFmtId="0" fontId="27" fillId="14" borderId="35" xfId="0" applyFont="1" applyFill="1" applyBorder="1" applyAlignment="1">
      <alignment horizontal="center" vertical="center"/>
    </xf>
    <xf numFmtId="0" fontId="27" fillId="14" borderId="35" xfId="0" applyFont="1" applyFill="1" applyBorder="1" applyAlignment="1">
      <alignment vertical="center"/>
    </xf>
    <xf numFmtId="0" fontId="27" fillId="14" borderId="74" xfId="0" applyFont="1" applyFill="1" applyBorder="1" applyAlignment="1">
      <alignment vertical="center"/>
    </xf>
    <xf numFmtId="0" fontId="201" fillId="35" borderId="35" xfId="0" applyFont="1" applyFill="1" applyBorder="1" applyAlignment="1">
      <alignment horizontal="center" vertical="center" wrapText="1"/>
    </xf>
    <xf numFmtId="181" fontId="201" fillId="35" borderId="35" xfId="0" applyNumberFormat="1" applyFont="1" applyFill="1" applyBorder="1" applyAlignment="1">
      <alignment horizontal="center" vertical="center" wrapText="1"/>
    </xf>
    <xf numFmtId="181" fontId="202" fillId="35" borderId="35" xfId="0" applyNumberFormat="1" applyFont="1" applyFill="1" applyBorder="1" applyAlignment="1">
      <alignment horizontal="center" vertical="center" wrapText="1"/>
    </xf>
    <xf numFmtId="0" fontId="201" fillId="35" borderId="74" xfId="0" applyFont="1" applyFill="1" applyBorder="1" applyAlignment="1">
      <alignment horizontal="center" vertical="center" wrapText="1"/>
    </xf>
    <xf numFmtId="181" fontId="201" fillId="35" borderId="74" xfId="0" applyNumberFormat="1" applyFont="1" applyFill="1" applyBorder="1" applyAlignment="1">
      <alignment horizontal="center" vertical="center" wrapText="1"/>
    </xf>
    <xf numFmtId="0" fontId="202" fillId="35" borderId="35" xfId="0" applyFont="1" applyFill="1" applyBorder="1" applyAlignment="1">
      <alignment horizontal="center" vertical="center" wrapText="1"/>
    </xf>
    <xf numFmtId="0" fontId="203" fillId="0" borderId="35" xfId="0" applyFont="1" applyFill="1" applyBorder="1" applyAlignment="1">
      <alignment horizontal="center" vertical="center"/>
    </xf>
    <xf numFmtId="181" fontId="203" fillId="0" borderId="35" xfId="0" applyNumberFormat="1" applyFont="1" applyFill="1" applyBorder="1" applyAlignment="1">
      <alignment horizontal="center" vertical="center"/>
    </xf>
    <xf numFmtId="181" fontId="202" fillId="35" borderId="74" xfId="0" applyNumberFormat="1" applyFont="1" applyFill="1" applyBorder="1" applyAlignment="1">
      <alignment horizontal="center" vertical="center" wrapText="1"/>
    </xf>
    <xf numFmtId="0" fontId="204" fillId="0" borderId="0" xfId="0" applyFont="1" applyFill="1" applyAlignment="1">
      <alignment vertical="center"/>
    </xf>
    <xf numFmtId="0" fontId="0" fillId="0" borderId="74" xfId="0" applyBorder="1" applyAlignment="1">
      <alignment vertical="center"/>
    </xf>
    <xf numFmtId="0" fontId="27" fillId="12" borderId="74" xfId="0" applyFont="1" applyFill="1" applyBorder="1" applyAlignment="1">
      <alignment vertical="center"/>
    </xf>
    <xf numFmtId="0" fontId="205" fillId="0" borderId="68" xfId="0" applyFont="1" applyBorder="1" applyAlignment="1">
      <alignment horizontal="center" vertical="center"/>
    </xf>
    <xf numFmtId="0" fontId="205" fillId="0" borderId="35" xfId="0" applyFont="1" applyBorder="1" applyAlignment="1">
      <alignment horizontal="center" vertical="center"/>
    </xf>
    <xf numFmtId="0" fontId="205" fillId="0" borderId="69" xfId="0" applyFont="1" applyBorder="1" applyAlignment="1">
      <alignment horizontal="center" vertical="center"/>
    </xf>
    <xf numFmtId="0" fontId="0" fillId="0" borderId="91" xfId="0" applyBorder="1" applyAlignment="1">
      <alignment vertical="center"/>
    </xf>
    <xf numFmtId="0" fontId="0" fillId="0" borderId="63" xfId="0" applyBorder="1" applyAlignment="1">
      <alignment vertical="center"/>
    </xf>
    <xf numFmtId="0" fontId="0" fillId="0" borderId="176" xfId="0" applyBorder="1" applyAlignment="1">
      <alignment vertical="center"/>
    </xf>
    <xf numFmtId="0" fontId="0" fillId="0" borderId="57" xfId="0" applyBorder="1" applyAlignment="1">
      <alignment horizontal="center" vertical="center"/>
    </xf>
    <xf numFmtId="0" fontId="0" fillId="0" borderId="0" xfId="0" applyBorder="1" applyAlignment="1">
      <alignment horizontal="center" vertical="center"/>
    </xf>
    <xf numFmtId="0" fontId="0" fillId="0" borderId="58" xfId="0" applyBorder="1" applyAlignment="1">
      <alignment horizontal="center" vertical="center"/>
    </xf>
    <xf numFmtId="0" fontId="57" fillId="0" borderId="65" xfId="0" applyFont="1" applyBorder="1" applyAlignment="1">
      <alignment horizontal="center" vertical="center"/>
    </xf>
    <xf numFmtId="0" fontId="57" fillId="0" borderId="66" xfId="0" applyFont="1" applyBorder="1" applyAlignment="1">
      <alignment horizontal="center" vertical="center"/>
    </xf>
    <xf numFmtId="0" fontId="57" fillId="0" borderId="67" xfId="0" applyFont="1" applyBorder="1" applyAlignment="1">
      <alignment horizontal="center" vertical="center"/>
    </xf>
    <xf numFmtId="0" fontId="57" fillId="0" borderId="68" xfId="0" applyFont="1" applyBorder="1" applyAlignment="1">
      <alignment horizontal="center" vertical="center"/>
    </xf>
    <xf numFmtId="0" fontId="57" fillId="0" borderId="35" xfId="0" applyFont="1" applyBorder="1" applyAlignment="1">
      <alignment horizontal="center" vertical="center"/>
    </xf>
    <xf numFmtId="0" fontId="57" fillId="0" borderId="69" xfId="0" applyFont="1" applyBorder="1" applyAlignment="1">
      <alignment horizontal="center" vertical="center"/>
    </xf>
    <xf numFmtId="0" fontId="57" fillId="0" borderId="71" xfId="0" applyFont="1" applyBorder="1" applyAlignment="1">
      <alignment horizontal="center" vertical="center"/>
    </xf>
    <xf numFmtId="0" fontId="57" fillId="0" borderId="72" xfId="0" applyFont="1" applyBorder="1" applyAlignment="1">
      <alignment horizontal="center" vertical="center"/>
    </xf>
    <xf numFmtId="0" fontId="206" fillId="0" borderId="35" xfId="0" applyFont="1" applyBorder="1" applyAlignment="1">
      <alignment horizontal="center" vertical="center"/>
    </xf>
    <xf numFmtId="0" fontId="206" fillId="0" borderId="69" xfId="0" applyFont="1" applyBorder="1" applyAlignment="1">
      <alignment horizontal="center" vertical="center"/>
    </xf>
    <xf numFmtId="0" fontId="206" fillId="0" borderId="71" xfId="0" applyFont="1" applyBorder="1" applyAlignment="1">
      <alignment horizontal="center" vertical="center"/>
    </xf>
    <xf numFmtId="0" fontId="206" fillId="0" borderId="72" xfId="0" applyFont="1" applyBorder="1" applyAlignment="1">
      <alignment horizontal="center" vertical="center"/>
    </xf>
    <xf numFmtId="0" fontId="0" fillId="0" borderId="61" xfId="0" applyBorder="1" applyAlignment="1">
      <alignment horizontal="center" vertical="center"/>
    </xf>
    <xf numFmtId="0" fontId="0" fillId="0" borderId="56" xfId="0" applyBorder="1" applyAlignment="1">
      <alignment horizontal="center" vertical="center"/>
    </xf>
    <xf numFmtId="0" fontId="205" fillId="0" borderId="65" xfId="0" applyFont="1" applyBorder="1" applyAlignment="1">
      <alignment horizontal="center" vertical="center"/>
    </xf>
    <xf numFmtId="0" fontId="205" fillId="0" borderId="66" xfId="0" applyFont="1" applyBorder="1" applyAlignment="1">
      <alignment horizontal="center" vertical="center"/>
    </xf>
    <xf numFmtId="0" fontId="205" fillId="0" borderId="67" xfId="0" applyFont="1" applyBorder="1" applyAlignment="1">
      <alignment horizontal="center" vertical="center"/>
    </xf>
    <xf numFmtId="0" fontId="205" fillId="0" borderId="70" xfId="0" applyFont="1" applyBorder="1" applyAlignment="1">
      <alignment horizontal="center" vertical="center"/>
    </xf>
    <xf numFmtId="0" fontId="205" fillId="0" borderId="71" xfId="0" applyFont="1" applyBorder="1" applyAlignment="1">
      <alignment horizontal="center" vertical="center"/>
    </xf>
    <xf numFmtId="0" fontId="205" fillId="0" borderId="72" xfId="0" applyFont="1" applyBorder="1" applyAlignment="1">
      <alignment horizontal="center" vertical="center"/>
    </xf>
    <xf numFmtId="0" fontId="0" fillId="0" borderId="63" xfId="0" applyBorder="1" applyAlignment="1">
      <alignment horizontal="center" vertical="center"/>
    </xf>
    <xf numFmtId="0" fontId="0" fillId="0" borderId="57" xfId="0" applyBorder="1" applyAlignment="1">
      <alignment horizontal="center" vertical="center" wrapText="1"/>
    </xf>
    <xf numFmtId="0" fontId="0" fillId="0" borderId="0" xfId="0" applyBorder="1" applyAlignment="1">
      <alignment horizontal="center" vertical="center" wrapText="1"/>
    </xf>
    <xf numFmtId="0" fontId="0" fillId="0" borderId="58" xfId="0" applyBorder="1" applyAlignment="1">
      <alignment horizontal="center" vertical="center" wrapText="1"/>
    </xf>
    <xf numFmtId="0" fontId="207" fillId="0" borderId="65" xfId="0" applyFont="1" applyBorder="1" applyAlignment="1">
      <alignment horizontal="center" vertical="center"/>
    </xf>
    <xf numFmtId="0" fontId="207" fillId="0" borderId="66" xfId="0" applyFont="1" applyBorder="1" applyAlignment="1">
      <alignment horizontal="center" vertical="center"/>
    </xf>
    <xf numFmtId="0" fontId="207" fillId="0" borderId="67" xfId="0" applyFont="1" applyBorder="1" applyAlignment="1">
      <alignment horizontal="center" vertical="center"/>
    </xf>
    <xf numFmtId="0" fontId="207" fillId="0" borderId="0" xfId="0" applyFont="1"/>
    <xf numFmtId="0" fontId="207" fillId="0" borderId="68" xfId="0" applyFont="1" applyBorder="1" applyAlignment="1">
      <alignment horizontal="center" vertical="center"/>
    </xf>
    <xf numFmtId="0" fontId="207" fillId="0" borderId="35" xfId="0" applyFont="1" applyBorder="1" applyAlignment="1">
      <alignment horizontal="center" vertical="center"/>
    </xf>
    <xf numFmtId="0" fontId="207" fillId="0" borderId="69" xfId="0" applyFont="1" applyBorder="1" applyAlignment="1">
      <alignment horizontal="center" vertical="center"/>
    </xf>
    <xf numFmtId="0" fontId="207" fillId="0" borderId="70" xfId="0" applyFont="1" applyBorder="1" applyAlignment="1">
      <alignment horizontal="center" vertical="center"/>
    </xf>
    <xf numFmtId="0" fontId="207" fillId="0" borderId="71" xfId="0" applyFont="1" applyBorder="1" applyAlignment="1">
      <alignment horizontal="center" vertical="center"/>
    </xf>
    <xf numFmtId="0" fontId="207" fillId="0" borderId="72" xfId="0" applyFont="1"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0" borderId="67" xfId="0" applyBorder="1" applyAlignment="1">
      <alignment horizontal="center" vertical="center"/>
    </xf>
    <xf numFmtId="0" fontId="0" fillId="0" borderId="71" xfId="0" applyFill="1" applyBorder="1" applyAlignment="1">
      <alignment horizontal="center" vertical="center"/>
    </xf>
    <xf numFmtId="0" fontId="0" fillId="0" borderId="42" xfId="0" applyBorder="1" applyAlignment="1">
      <alignment vertical="center"/>
    </xf>
    <xf numFmtId="0" fontId="209" fillId="0" borderId="36" xfId="0" applyFont="1" applyBorder="1" applyAlignment="1">
      <alignment horizontal="center" vertical="center"/>
    </xf>
    <xf numFmtId="0" fontId="27" fillId="12" borderId="35" xfId="0" applyFont="1" applyFill="1" applyBorder="1" applyAlignment="1">
      <alignment horizontal="center" vertical="center"/>
    </xf>
    <xf numFmtId="0" fontId="170" fillId="0" borderId="1" xfId="0" applyFont="1" applyFill="1" applyBorder="1" applyAlignment="1"/>
    <xf numFmtId="0" fontId="170" fillId="0" borderId="2" xfId="0" applyFont="1" applyFill="1" applyBorder="1" applyAlignment="1"/>
    <xf numFmtId="0" fontId="17" fillId="0" borderId="3" xfId="0" applyFont="1" applyFill="1" applyBorder="1" applyAlignment="1">
      <alignment horizontal="center"/>
    </xf>
    <xf numFmtId="0" fontId="170" fillId="0" borderId="3" xfId="0" applyFont="1" applyFill="1" applyBorder="1" applyAlignment="1">
      <alignment horizontal="center" vertical="center" wrapText="1"/>
    </xf>
    <xf numFmtId="0" fontId="170" fillId="0" borderId="0" xfId="0" applyFont="1" applyFill="1" applyBorder="1" applyAlignment="1">
      <alignment horizontal="center" vertical="center" wrapText="1"/>
    </xf>
    <xf numFmtId="0" fontId="170" fillId="0" borderId="0" xfId="0" applyFont="1" applyFill="1" applyBorder="1" applyAlignment="1">
      <alignment horizontal="center"/>
    </xf>
    <xf numFmtId="0" fontId="49" fillId="0" borderId="0" xfId="0" applyFont="1" applyFill="1" applyBorder="1" applyAlignment="1">
      <alignment horizontal="center"/>
    </xf>
    <xf numFmtId="0" fontId="212" fillId="0" borderId="0" xfId="0" applyFont="1" applyFill="1" applyBorder="1" applyAlignment="1">
      <alignment horizontal="center"/>
    </xf>
    <xf numFmtId="0" fontId="17" fillId="0" borderId="0" xfId="0" applyFont="1" applyFill="1" applyBorder="1" applyAlignment="1">
      <alignment horizontal="center" vertical="top"/>
    </xf>
    <xf numFmtId="0" fontId="49" fillId="0" borderId="35" xfId="0" applyFont="1" applyFill="1" applyBorder="1" applyAlignment="1">
      <alignment horizontal="center" vertical="center" wrapText="1"/>
    </xf>
    <xf numFmtId="0" fontId="49" fillId="0" borderId="47" xfId="0" applyFont="1" applyFill="1" applyBorder="1" applyAlignment="1">
      <alignment horizontal="center" vertical="center" wrapText="1"/>
    </xf>
    <xf numFmtId="0" fontId="170" fillId="0" borderId="3" xfId="0" applyFont="1" applyFill="1" applyBorder="1" applyAlignment="1">
      <alignment horizontal="center" vertical="center"/>
    </xf>
    <xf numFmtId="0" fontId="170" fillId="0" borderId="0" xfId="0" applyFont="1" applyFill="1" applyBorder="1" applyAlignment="1">
      <alignment horizontal="center" vertical="center"/>
    </xf>
    <xf numFmtId="0" fontId="170" fillId="0" borderId="0" xfId="0" applyFont="1" applyFill="1" applyBorder="1" applyAlignment="1">
      <alignment horizontal="center" vertical="top"/>
    </xf>
    <xf numFmtId="0" fontId="17" fillId="0" borderId="0" xfId="0" applyFont="1" applyFill="1" applyBorder="1" applyAlignment="1">
      <alignment horizontal="center" vertical="center"/>
    </xf>
    <xf numFmtId="0" fontId="170" fillId="0" borderId="21" xfId="0" applyFont="1" applyFill="1" applyBorder="1" applyAlignment="1">
      <alignment horizontal="center" vertical="center"/>
    </xf>
    <xf numFmtId="0" fontId="170" fillId="0" borderId="22" xfId="0" applyFont="1" applyFill="1" applyBorder="1" applyAlignment="1">
      <alignment horizontal="center" vertical="center"/>
    </xf>
    <xf numFmtId="0" fontId="170" fillId="0" borderId="22" xfId="0" applyFont="1" applyFill="1" applyBorder="1" applyAlignment="1">
      <alignment horizontal="center"/>
    </xf>
    <xf numFmtId="0" fontId="170" fillId="0" borderId="22" xfId="0" applyFont="1" applyFill="1" applyBorder="1" applyAlignment="1"/>
    <xf numFmtId="0" fontId="170" fillId="0" borderId="0" xfId="0" applyFont="1" applyFill="1" applyBorder="1" applyAlignment="1"/>
    <xf numFmtId="0" fontId="49" fillId="0" borderId="44" xfId="0" applyFont="1" applyFill="1" applyBorder="1" applyAlignment="1">
      <alignment horizontal="center"/>
    </xf>
    <xf numFmtId="0" fontId="49" fillId="0" borderId="35" xfId="0" applyFont="1" applyFill="1" applyBorder="1" applyAlignment="1">
      <alignment horizontal="center" vertical="center"/>
    </xf>
    <xf numFmtId="0" fontId="49" fillId="0" borderId="47" xfId="0" applyFont="1" applyFill="1" applyBorder="1" applyAlignment="1">
      <alignment horizontal="center" vertical="center"/>
    </xf>
    <xf numFmtId="0" fontId="170" fillId="0" borderId="0" xfId="0" applyFont="1" applyFill="1" applyBorder="1" applyAlignment="1">
      <alignment horizontal="left"/>
    </xf>
    <xf numFmtId="0" fontId="212" fillId="0" borderId="0" xfId="0" applyFont="1" applyFill="1" applyBorder="1" applyAlignment="1">
      <alignment horizontal="left" vertical="top" wrapText="1"/>
    </xf>
    <xf numFmtId="0" fontId="170" fillId="0" borderId="28" xfId="0" applyFont="1" applyFill="1" applyBorder="1" applyAlignment="1"/>
    <xf numFmtId="0" fontId="170" fillId="0" borderId="29" xfId="0" applyFont="1" applyFill="1" applyBorder="1" applyAlignment="1"/>
    <xf numFmtId="0" fontId="17" fillId="0" borderId="29" xfId="0" applyFont="1" applyFill="1" applyBorder="1" applyAlignment="1">
      <alignment horizontal="center"/>
    </xf>
    <xf numFmtId="0" fontId="170" fillId="0" borderId="29" xfId="0" applyFont="1" applyFill="1" applyBorder="1" applyAlignment="1">
      <alignment horizontal="center"/>
    </xf>
    <xf numFmtId="0" fontId="49" fillId="0" borderId="46" xfId="0" applyFont="1" applyFill="1" applyBorder="1" applyAlignment="1">
      <alignment horizontal="center" vertical="center"/>
    </xf>
    <xf numFmtId="0" fontId="49" fillId="0" borderId="48" xfId="0" applyFont="1" applyFill="1" applyBorder="1" applyAlignment="1">
      <alignment horizontal="center" vertical="center"/>
    </xf>
    <xf numFmtId="0" fontId="170" fillId="0" borderId="29" xfId="0" applyFont="1" applyFill="1" applyBorder="1" applyAlignment="1">
      <alignment horizontal="center" vertical="top"/>
    </xf>
    <xf numFmtId="0" fontId="170" fillId="0" borderId="34" xfId="0" applyFont="1" applyFill="1" applyBorder="1" applyAlignment="1">
      <alignment horizontal="center"/>
    </xf>
    <xf numFmtId="0" fontId="212" fillId="0" borderId="29" xfId="0" applyFont="1" applyFill="1" applyBorder="1" applyAlignment="1">
      <alignment horizontal="left" vertical="top" wrapText="1"/>
    </xf>
    <xf numFmtId="0" fontId="17" fillId="0" borderId="1" xfId="0" applyFont="1" applyFill="1" applyBorder="1" applyAlignment="1">
      <alignment horizontal="center"/>
    </xf>
    <xf numFmtId="0" fontId="17" fillId="0" borderId="2" xfId="0" applyFont="1" applyFill="1" applyBorder="1" applyAlignment="1">
      <alignment horizontal="center"/>
    </xf>
    <xf numFmtId="0" fontId="49" fillId="0" borderId="1" xfId="0" applyFont="1" applyFill="1" applyBorder="1" applyAlignment="1">
      <alignment horizontal="left" vertical="top"/>
    </xf>
    <xf numFmtId="0" fontId="213" fillId="0" borderId="2" xfId="0" applyFont="1" applyFill="1" applyBorder="1" applyAlignment="1">
      <alignment horizontal="left" vertical="top"/>
    </xf>
    <xf numFmtId="0" fontId="213" fillId="0" borderId="3" xfId="0" applyFont="1" applyFill="1" applyBorder="1" applyAlignment="1">
      <alignment horizontal="left" vertical="top"/>
    </xf>
    <xf numFmtId="0" fontId="213" fillId="0" borderId="0" xfId="0" applyFont="1" applyFill="1" applyBorder="1" applyAlignment="1">
      <alignment horizontal="left" vertical="top"/>
    </xf>
    <xf numFmtId="0" fontId="213" fillId="0" borderId="1" xfId="0" applyFont="1" applyFill="1" applyBorder="1" applyAlignment="1">
      <alignment horizontal="left" vertical="top"/>
    </xf>
    <xf numFmtId="0" fontId="49" fillId="0" borderId="3" xfId="0" applyFont="1" applyFill="1" applyBorder="1" applyAlignment="1">
      <alignment horizontal="center" vertical="center"/>
    </xf>
    <xf numFmtId="0" fontId="49" fillId="0" borderId="0" xfId="0" applyFont="1" applyFill="1" applyBorder="1" applyAlignment="1">
      <alignment horizontal="center" vertical="center"/>
    </xf>
    <xf numFmtId="0" fontId="170" fillId="0" borderId="1" xfId="0" applyFont="1" applyFill="1" applyBorder="1" applyAlignment="1">
      <alignment horizontal="center" vertical="center"/>
    </xf>
    <xf numFmtId="0" fontId="170" fillId="0" borderId="2" xfId="0" applyFont="1" applyFill="1" applyBorder="1" applyAlignment="1">
      <alignment horizontal="center" vertical="center"/>
    </xf>
    <xf numFmtId="0" fontId="170" fillId="0" borderId="2" xfId="0" applyFont="1" applyFill="1" applyBorder="1" applyAlignment="1">
      <alignment horizontal="center"/>
    </xf>
    <xf numFmtId="0" fontId="17" fillId="0" borderId="2" xfId="0" applyFont="1" applyFill="1" applyBorder="1" applyAlignment="1">
      <alignment horizontal="center" vertical="top"/>
    </xf>
    <xf numFmtId="0" fontId="17" fillId="0" borderId="3" xfId="0" applyFont="1" applyFill="1" applyBorder="1" applyAlignment="1">
      <alignment horizontal="left"/>
    </xf>
    <xf numFmtId="0" fontId="212" fillId="0" borderId="3" xfId="0" applyFont="1" applyFill="1" applyBorder="1" applyAlignment="1">
      <alignment horizontal="left" vertical="center" wrapText="1"/>
    </xf>
    <xf numFmtId="0" fontId="212" fillId="0" borderId="0" xfId="0" applyFont="1" applyFill="1" applyBorder="1" applyAlignment="1">
      <alignment horizontal="left" vertical="center" wrapText="1"/>
    </xf>
    <xf numFmtId="0" fontId="212" fillId="0" borderId="3" xfId="0" applyFont="1" applyFill="1" applyBorder="1" applyAlignment="1">
      <alignment horizontal="center" vertical="top" wrapText="1"/>
    </xf>
    <xf numFmtId="0" fontId="212" fillId="0" borderId="0" xfId="0" applyFont="1" applyFill="1" applyBorder="1" applyAlignment="1">
      <alignment horizontal="center" vertical="top" wrapText="1"/>
    </xf>
    <xf numFmtId="0" fontId="212" fillId="0" borderId="0" xfId="0" applyFont="1" applyFill="1" applyBorder="1" applyAlignment="1">
      <alignment horizontal="center" vertical="center" wrapText="1"/>
    </xf>
    <xf numFmtId="0" fontId="49" fillId="0" borderId="44" xfId="0" applyFont="1" applyFill="1" applyBorder="1" applyAlignment="1">
      <alignment horizontal="center" vertical="center"/>
    </xf>
    <xf numFmtId="0" fontId="213" fillId="0" borderId="2" xfId="0" applyFont="1" applyFill="1" applyBorder="1" applyAlignment="1">
      <alignment horizontal="center" vertical="top"/>
    </xf>
    <xf numFmtId="0" fontId="49" fillId="0" borderId="2" xfId="0" applyFont="1" applyFill="1" applyBorder="1" applyAlignment="1">
      <alignment horizontal="center" vertical="center"/>
    </xf>
    <xf numFmtId="0" fontId="170" fillId="0" borderId="2" xfId="0" applyFont="1" applyFill="1" applyBorder="1" applyAlignment="1">
      <alignment horizontal="center" vertical="top"/>
    </xf>
    <xf numFmtId="0" fontId="212" fillId="0" borderId="0" xfId="0" applyFont="1" applyFill="1" applyAlignment="1"/>
    <xf numFmtId="0" fontId="49" fillId="0" borderId="45" xfId="0" applyFont="1" applyFill="1" applyBorder="1" applyAlignment="1">
      <alignment horizontal="center" vertical="center"/>
    </xf>
    <xf numFmtId="0" fontId="49" fillId="0" borderId="28" xfId="0" applyFont="1" applyFill="1" applyBorder="1" applyAlignment="1">
      <alignment horizontal="center" vertical="center"/>
    </xf>
    <xf numFmtId="0" fontId="49" fillId="0" borderId="29" xfId="0" applyFont="1" applyFill="1" applyBorder="1" applyAlignment="1">
      <alignment horizontal="center" vertical="center"/>
    </xf>
    <xf numFmtId="0" fontId="170" fillId="0" borderId="28" xfId="0" applyFont="1" applyFill="1" applyBorder="1" applyAlignment="1">
      <alignment horizontal="center" vertical="top"/>
    </xf>
    <xf numFmtId="0" fontId="212" fillId="0" borderId="29" xfId="0" applyFont="1" applyFill="1" applyBorder="1" applyAlignment="1">
      <alignment horizontal="left" vertical="center" wrapText="1"/>
    </xf>
    <xf numFmtId="0" fontId="212" fillId="0" borderId="29" xfId="0" applyFont="1" applyFill="1" applyBorder="1" applyAlignment="1">
      <alignment horizontal="center" vertical="center" wrapText="1"/>
    </xf>
    <xf numFmtId="0" fontId="49" fillId="0" borderId="3" xfId="0" applyFont="1" applyFill="1" applyBorder="1" applyAlignment="1">
      <alignment horizontal="center" vertical="center" wrapText="1"/>
    </xf>
    <xf numFmtId="0" fontId="49" fillId="0" borderId="0" xfId="0" applyFont="1" applyFill="1" applyBorder="1" applyAlignment="1">
      <alignment horizontal="center" vertical="center" wrapText="1"/>
    </xf>
    <xf numFmtId="0" fontId="212" fillId="0" borderId="3" xfId="0" applyFont="1" applyFill="1" applyBorder="1" applyAlignment="1">
      <alignment horizontal="center" vertical="center" wrapText="1"/>
    </xf>
    <xf numFmtId="0" fontId="49" fillId="0" borderId="3" xfId="0" applyFont="1" applyFill="1" applyBorder="1" applyAlignment="1">
      <alignment horizontal="center"/>
    </xf>
    <xf numFmtId="194" fontId="17" fillId="0" borderId="0" xfId="0" applyNumberFormat="1" applyFont="1" applyFill="1" applyBorder="1" applyAlignment="1">
      <alignment horizontal="center" wrapText="1"/>
    </xf>
    <xf numFmtId="0" fontId="18" fillId="0" borderId="35" xfId="0" applyFont="1" applyFill="1" applyBorder="1" applyAlignment="1">
      <alignment horizontal="center" vertical="center" wrapText="1"/>
    </xf>
    <xf numFmtId="0" fontId="56" fillId="0" borderId="44" xfId="0" applyFont="1" applyFill="1" applyBorder="1" applyAlignment="1">
      <alignment horizontal="center"/>
    </xf>
    <xf numFmtId="0" fontId="56" fillId="0" borderId="44" xfId="0" applyFont="1" applyFill="1" applyBorder="1" applyAlignment="1">
      <alignment horizontal="center" vertical="center"/>
    </xf>
    <xf numFmtId="0" fontId="56" fillId="0" borderId="35" xfId="0" applyFont="1" applyFill="1" applyBorder="1" applyAlignment="1">
      <alignment horizontal="center" vertical="center" wrapText="1"/>
    </xf>
    <xf numFmtId="0" fontId="56" fillId="0" borderId="35" xfId="0" applyFont="1" applyFill="1" applyBorder="1" applyAlignment="1">
      <alignment horizontal="center" vertical="center"/>
    </xf>
    <xf numFmtId="0" fontId="17" fillId="0" borderId="29" xfId="0" applyFont="1" applyFill="1" applyBorder="1" applyAlignment="1">
      <alignment horizontal="center" vertical="center"/>
    </xf>
    <xf numFmtId="0" fontId="56" fillId="0" borderId="45" xfId="0" applyFont="1" applyFill="1" applyBorder="1" applyAlignment="1">
      <alignment horizontal="center" vertical="center"/>
    </xf>
    <xf numFmtId="0" fontId="49" fillId="0" borderId="35" xfId="0" applyFont="1" applyFill="1" applyBorder="1" applyAlignment="1"/>
    <xf numFmtId="0" fontId="210" fillId="0" borderId="0" xfId="0" applyFont="1" applyFill="1" applyBorder="1" applyAlignment="1">
      <alignment horizontal="center" wrapText="1"/>
    </xf>
    <xf numFmtId="0" fontId="210" fillId="0" borderId="0" xfId="0" applyFont="1" applyFill="1" applyBorder="1" applyAlignment="1">
      <alignment horizontal="center"/>
    </xf>
    <xf numFmtId="0" fontId="211" fillId="0" borderId="0" xfId="0" applyFont="1" applyFill="1" applyBorder="1" applyAlignment="1">
      <alignment horizontal="center"/>
    </xf>
    <xf numFmtId="0" fontId="17" fillId="0" borderId="0" xfId="0" applyFont="1" applyFill="1" applyBorder="1" applyAlignment="1">
      <alignment horizontal="left"/>
    </xf>
    <xf numFmtId="0" fontId="17" fillId="0" borderId="0" xfId="0" applyFont="1" applyFill="1" applyBorder="1" applyAlignment="1"/>
    <xf numFmtId="0" fontId="215" fillId="0" borderId="0" xfId="0" applyFont="1" applyFill="1" applyBorder="1" applyAlignment="1">
      <alignment horizontal="center"/>
    </xf>
    <xf numFmtId="0" fontId="170" fillId="0" borderId="0" xfId="0" applyFont="1" applyFill="1" applyAlignment="1">
      <alignment horizontal="center"/>
    </xf>
    <xf numFmtId="0" fontId="17" fillId="0" borderId="0" xfId="0" applyFont="1" applyFill="1" applyBorder="1" applyAlignment="1">
      <alignment horizontal="center" textRotation="90"/>
    </xf>
    <xf numFmtId="0" fontId="170" fillId="0" borderId="0" xfId="0" applyFont="1" applyFill="1" applyBorder="1" applyAlignment="1">
      <alignment horizontal="center" textRotation="90"/>
    </xf>
    <xf numFmtId="0" fontId="77" fillId="0" borderId="0" xfId="0" applyFont="1" applyFill="1" applyBorder="1" applyAlignment="1">
      <alignment horizontal="center" textRotation="90"/>
    </xf>
    <xf numFmtId="0" fontId="216" fillId="0" borderId="0" xfId="0" applyFont="1" applyFill="1" applyBorder="1" applyAlignment="1">
      <alignment horizontal="center" textRotation="90"/>
    </xf>
    <xf numFmtId="0" fontId="170" fillId="0" borderId="0" xfId="0" applyFont="1" applyFill="1" applyBorder="1" applyAlignment="1">
      <alignment textRotation="90"/>
    </xf>
    <xf numFmtId="0" fontId="17" fillId="0" borderId="193" xfId="0" applyFont="1" applyBorder="1" applyAlignment="1" applyProtection="1">
      <alignment horizontal="center" vertical="center"/>
      <protection hidden="1"/>
    </xf>
    <xf numFmtId="0" fontId="17" fillId="0" borderId="194" xfId="0" applyFont="1" applyBorder="1" applyAlignment="1" applyProtection="1">
      <alignment horizontal="center" vertical="center"/>
      <protection hidden="1"/>
    </xf>
    <xf numFmtId="0" fontId="0" fillId="0" borderId="195" xfId="0" applyFont="1" applyBorder="1" applyAlignment="1" applyProtection="1">
      <alignment horizontal="center" vertical="center"/>
      <protection hidden="1"/>
    </xf>
    <xf numFmtId="0" fontId="0" fillId="0" borderId="196" xfId="0" applyFont="1" applyBorder="1" applyAlignment="1" applyProtection="1">
      <alignment horizontal="center" vertical="center"/>
      <protection hidden="1"/>
    </xf>
    <xf numFmtId="0" fontId="0" fillId="0" borderId="198" xfId="0" applyFont="1" applyBorder="1" applyAlignment="1" applyProtection="1">
      <alignment horizontal="center" vertical="center"/>
      <protection hidden="1"/>
    </xf>
    <xf numFmtId="0" fontId="0" fillId="0" borderId="197" xfId="0" applyFont="1" applyBorder="1" applyAlignment="1" applyProtection="1">
      <alignment horizontal="center" vertical="center"/>
      <protection hidden="1"/>
    </xf>
    <xf numFmtId="0" fontId="17" fillId="0" borderId="196" xfId="0" applyFont="1" applyBorder="1" applyAlignment="1" applyProtection="1">
      <alignment horizontal="center" vertical="center"/>
      <protection hidden="1"/>
    </xf>
    <xf numFmtId="0" fontId="0" fillId="0" borderId="199" xfId="0" applyFont="1" applyBorder="1" applyAlignment="1" applyProtection="1">
      <alignment horizontal="center" vertical="center"/>
      <protection hidden="1"/>
    </xf>
    <xf numFmtId="0" fontId="0" fillId="0" borderId="200" xfId="0" applyFont="1" applyBorder="1" applyAlignment="1" applyProtection="1">
      <alignment horizontal="center" vertical="center"/>
      <protection hidden="1"/>
    </xf>
    <xf numFmtId="0" fontId="0" fillId="0" borderId="201" xfId="0" applyFont="1" applyBorder="1" applyAlignment="1" applyProtection="1">
      <alignment horizontal="center" vertical="center"/>
      <protection hidden="1"/>
    </xf>
    <xf numFmtId="0" fontId="0" fillId="0" borderId="202" xfId="0" applyFont="1" applyBorder="1" applyAlignment="1" applyProtection="1">
      <alignment horizontal="center" vertical="center"/>
      <protection hidden="1"/>
    </xf>
    <xf numFmtId="0" fontId="22" fillId="0" borderId="198" xfId="0" applyFont="1" applyBorder="1" applyAlignment="1" applyProtection="1">
      <alignment horizontal="center" vertical="center"/>
      <protection hidden="1"/>
    </xf>
    <xf numFmtId="0" fontId="22" fillId="0" borderId="195" xfId="0" applyFont="1" applyBorder="1" applyAlignment="1" applyProtection="1">
      <alignment horizontal="center" vertical="center"/>
      <protection hidden="1"/>
    </xf>
    <xf numFmtId="0" fontId="22" fillId="21" borderId="195" xfId="0" applyFont="1" applyFill="1" applyBorder="1" applyAlignment="1" applyProtection="1">
      <alignment horizontal="center" vertical="center"/>
      <protection hidden="1"/>
    </xf>
    <xf numFmtId="0" fontId="22" fillId="21" borderId="198" xfId="0" applyFont="1" applyFill="1" applyBorder="1" applyAlignment="1" applyProtection="1">
      <alignment horizontal="center" vertical="center"/>
      <protection hidden="1"/>
    </xf>
    <xf numFmtId="0" fontId="0" fillId="21" borderId="198" xfId="0" applyFont="1" applyFill="1" applyBorder="1" applyAlignment="1" applyProtection="1">
      <alignment horizontal="center" vertical="center"/>
      <protection hidden="1"/>
    </xf>
    <xf numFmtId="0" fontId="49" fillId="0" borderId="195" xfId="0" applyFont="1" applyBorder="1" applyAlignment="1" applyProtection="1">
      <alignment horizontal="center" vertical="center"/>
      <protection hidden="1"/>
    </xf>
    <xf numFmtId="0" fontId="49" fillId="0" borderId="199" xfId="0" applyFont="1" applyBorder="1" applyAlignment="1" applyProtection="1">
      <alignment horizontal="center" vertical="center"/>
      <protection hidden="1"/>
    </xf>
    <xf numFmtId="0" fontId="22" fillId="0" borderId="202" xfId="0" applyFont="1" applyBorder="1" applyAlignment="1" applyProtection="1">
      <alignment horizontal="center" vertical="center"/>
      <protection hidden="1"/>
    </xf>
    <xf numFmtId="0" fontId="17" fillId="21" borderId="204" xfId="0" applyFont="1" applyFill="1" applyBorder="1" applyAlignment="1" applyProtection="1">
      <alignment horizontal="center"/>
      <protection hidden="1"/>
    </xf>
    <xf numFmtId="0" fontId="0" fillId="21" borderId="205" xfId="0" applyFont="1" applyFill="1" applyBorder="1" applyAlignment="1" applyProtection="1">
      <alignment horizontal="center"/>
      <protection hidden="1"/>
    </xf>
    <xf numFmtId="0" fontId="0" fillId="21" borderId="206" xfId="0" applyFont="1" applyFill="1" applyBorder="1" applyAlignment="1" applyProtection="1">
      <alignment horizontal="center"/>
      <protection hidden="1"/>
    </xf>
    <xf numFmtId="189" fontId="0" fillId="21" borderId="207" xfId="0" applyNumberFormat="1" applyFont="1" applyFill="1" applyBorder="1" applyAlignment="1" applyProtection="1">
      <alignment horizontal="center"/>
      <protection hidden="1"/>
    </xf>
    <xf numFmtId="0" fontId="17" fillId="21" borderId="208" xfId="0" applyFont="1" applyFill="1" applyBorder="1" applyAlignment="1" applyProtection="1">
      <alignment horizontal="center"/>
      <protection hidden="1"/>
    </xf>
    <xf numFmtId="0" fontId="57" fillId="18" borderId="203" xfId="0" applyFont="1" applyFill="1" applyBorder="1" applyAlignment="1" applyProtection="1">
      <alignment horizontal="center"/>
      <protection hidden="1"/>
    </xf>
    <xf numFmtId="189" fontId="70" fillId="0" borderId="194" xfId="0" applyNumberFormat="1" applyFont="1" applyFill="1" applyBorder="1" applyAlignment="1" applyProtection="1">
      <alignment horizontal="center"/>
      <protection hidden="1"/>
    </xf>
    <xf numFmtId="0" fontId="0" fillId="18" borderId="209" xfId="0" applyNumberFormat="1" applyFont="1" applyFill="1" applyBorder="1" applyAlignment="1" applyProtection="1">
      <alignment horizontal="center"/>
      <protection hidden="1"/>
    </xf>
    <xf numFmtId="189" fontId="70" fillId="0" borderId="193" xfId="0" applyNumberFormat="1" applyFont="1" applyBorder="1" applyAlignment="1" applyProtection="1">
      <alignment horizontal="center"/>
      <protection hidden="1"/>
    </xf>
    <xf numFmtId="0" fontId="0" fillId="18" borderId="210" xfId="0" applyNumberFormat="1" applyFont="1" applyFill="1" applyBorder="1" applyAlignment="1" applyProtection="1">
      <alignment horizontal="center"/>
      <protection hidden="1"/>
    </xf>
    <xf numFmtId="189" fontId="207" fillId="10" borderId="192" xfId="0" applyNumberFormat="1" applyFont="1" applyFill="1" applyBorder="1" applyAlignment="1" applyProtection="1">
      <alignment horizontal="center"/>
      <protection hidden="1"/>
    </xf>
    <xf numFmtId="0" fontId="57" fillId="18" borderId="195" xfId="0" applyFont="1" applyFill="1" applyBorder="1" applyAlignment="1" applyProtection="1">
      <alignment horizontal="center"/>
      <protection hidden="1"/>
    </xf>
    <xf numFmtId="189" fontId="70" fillId="0" borderId="198" xfId="0" applyNumberFormat="1" applyFont="1" applyFill="1" applyBorder="1" applyAlignment="1" applyProtection="1">
      <alignment horizontal="center"/>
      <protection hidden="1"/>
    </xf>
    <xf numFmtId="0" fontId="0" fillId="18" borderId="198" xfId="0" applyNumberFormat="1" applyFont="1" applyFill="1" applyBorder="1" applyAlignment="1" applyProtection="1">
      <alignment horizontal="center"/>
      <protection hidden="1"/>
    </xf>
    <xf numFmtId="189" fontId="70" fillId="0" borderId="197" xfId="0" applyNumberFormat="1" applyFont="1" applyBorder="1" applyAlignment="1" applyProtection="1">
      <alignment horizontal="center"/>
      <protection hidden="1"/>
    </xf>
    <xf numFmtId="0" fontId="0" fillId="18" borderId="211" xfId="0" applyNumberFormat="1" applyFont="1" applyFill="1" applyBorder="1" applyAlignment="1" applyProtection="1">
      <alignment horizontal="center"/>
      <protection hidden="1"/>
    </xf>
    <xf numFmtId="189" fontId="207" fillId="10" borderId="196" xfId="0" applyNumberFormat="1" applyFont="1" applyFill="1" applyBorder="1" applyAlignment="1" applyProtection="1">
      <alignment horizontal="center"/>
      <protection hidden="1"/>
    </xf>
    <xf numFmtId="0" fontId="57" fillId="18" borderId="199" xfId="0" applyFont="1" applyFill="1" applyBorder="1" applyAlignment="1" applyProtection="1">
      <alignment horizontal="center"/>
      <protection hidden="1"/>
    </xf>
    <xf numFmtId="189" fontId="70" fillId="0" borderId="202" xfId="0" applyNumberFormat="1" applyFont="1" applyFill="1" applyBorder="1" applyAlignment="1" applyProtection="1">
      <alignment horizontal="center"/>
      <protection hidden="1"/>
    </xf>
    <xf numFmtId="0" fontId="0" fillId="18" borderId="202" xfId="0" applyNumberFormat="1" applyFont="1" applyFill="1" applyBorder="1" applyAlignment="1" applyProtection="1">
      <alignment horizontal="center"/>
      <protection hidden="1"/>
    </xf>
    <xf numFmtId="189" fontId="70" fillId="0" borderId="201" xfId="0" applyNumberFormat="1" applyFont="1" applyBorder="1" applyAlignment="1" applyProtection="1">
      <alignment horizontal="center"/>
      <protection hidden="1"/>
    </xf>
    <xf numFmtId="0" fontId="0" fillId="18" borderId="212" xfId="0" applyNumberFormat="1" applyFont="1" applyFill="1" applyBorder="1" applyAlignment="1" applyProtection="1">
      <alignment horizontal="center"/>
      <protection hidden="1"/>
    </xf>
    <xf numFmtId="189" fontId="207" fillId="10" borderId="200" xfId="0" applyNumberFormat="1" applyFont="1" applyFill="1" applyBorder="1" applyAlignment="1" applyProtection="1">
      <alignment horizontal="center"/>
      <protection hidden="1"/>
    </xf>
    <xf numFmtId="0" fontId="17" fillId="21" borderId="213" xfId="0" applyFont="1" applyFill="1" applyBorder="1" applyAlignment="1" applyProtection="1">
      <alignment horizontal="center"/>
      <protection hidden="1"/>
    </xf>
    <xf numFmtId="189" fontId="0" fillId="21" borderId="208" xfId="0" applyNumberFormat="1" applyFont="1" applyFill="1" applyBorder="1" applyAlignment="1" applyProtection="1">
      <alignment horizontal="center"/>
      <protection hidden="1"/>
    </xf>
    <xf numFmtId="0" fontId="57" fillId="18" borderId="214" xfId="0" applyFont="1" applyFill="1" applyBorder="1" applyAlignment="1" applyProtection="1">
      <alignment horizontal="center"/>
      <protection hidden="1"/>
    </xf>
    <xf numFmtId="189" fontId="70" fillId="0" borderId="209" xfId="0" applyNumberFormat="1" applyFont="1" applyFill="1" applyBorder="1" applyAlignment="1" applyProtection="1">
      <alignment horizontal="center"/>
      <protection hidden="1"/>
    </xf>
    <xf numFmtId="0" fontId="0" fillId="18" borderId="209" xfId="0" applyFont="1" applyFill="1" applyBorder="1" applyAlignment="1" applyProtection="1">
      <alignment horizontal="center"/>
      <protection hidden="1"/>
    </xf>
    <xf numFmtId="189" fontId="70" fillId="0" borderId="209" xfId="0" applyNumberFormat="1" applyFont="1" applyBorder="1" applyAlignment="1" applyProtection="1">
      <alignment horizontal="center"/>
      <protection hidden="1"/>
    </xf>
    <xf numFmtId="0" fontId="0" fillId="18" borderId="192" xfId="0" applyFont="1" applyFill="1" applyBorder="1" applyAlignment="1" applyProtection="1">
      <alignment horizontal="center"/>
      <protection hidden="1"/>
    </xf>
    <xf numFmtId="0" fontId="0" fillId="18" borderId="198" xfId="0" applyFont="1" applyFill="1" applyBorder="1" applyAlignment="1" applyProtection="1">
      <alignment horizontal="center"/>
      <protection hidden="1"/>
    </xf>
    <xf numFmtId="189" fontId="70" fillId="0" borderId="198" xfId="0" applyNumberFormat="1" applyFont="1" applyBorder="1" applyAlignment="1" applyProtection="1">
      <alignment horizontal="center"/>
      <protection hidden="1"/>
    </xf>
    <xf numFmtId="0" fontId="0" fillId="18" borderId="196" xfId="0" applyFont="1" applyFill="1" applyBorder="1" applyAlignment="1" applyProtection="1">
      <alignment horizontal="center"/>
      <protection hidden="1"/>
    </xf>
    <xf numFmtId="0" fontId="0" fillId="18" borderId="202" xfId="0" applyFont="1" applyFill="1" applyBorder="1" applyAlignment="1" applyProtection="1">
      <alignment horizontal="center"/>
      <protection hidden="1"/>
    </xf>
    <xf numFmtId="0" fontId="70" fillId="0" borderId="202" xfId="0" applyFont="1" applyBorder="1" applyAlignment="1" applyProtection="1">
      <alignment horizontal="center"/>
      <protection hidden="1"/>
    </xf>
    <xf numFmtId="0" fontId="0" fillId="18" borderId="200" xfId="0" applyFont="1" applyFill="1" applyBorder="1" applyAlignment="1" applyProtection="1">
      <alignment horizontal="center"/>
      <protection hidden="1"/>
    </xf>
    <xf numFmtId="0" fontId="17" fillId="0" borderId="210" xfId="0" applyFont="1" applyBorder="1" applyAlignment="1" applyProtection="1">
      <alignment horizontal="center" vertical="center"/>
      <protection hidden="1"/>
    </xf>
    <xf numFmtId="0" fontId="17" fillId="0" borderId="203" xfId="0" applyFont="1" applyBorder="1" applyAlignment="1" applyProtection="1">
      <alignment horizontal="center" vertical="center"/>
      <protection hidden="1"/>
    </xf>
    <xf numFmtId="0" fontId="0" fillId="0" borderId="211" xfId="0" applyFont="1" applyBorder="1" applyAlignment="1" applyProtection="1">
      <alignment horizontal="center" vertical="center"/>
      <protection hidden="1"/>
    </xf>
    <xf numFmtId="2" fontId="0" fillId="0" borderId="195" xfId="0" applyNumberFormat="1" applyFont="1" applyBorder="1" applyAlignment="1" applyProtection="1">
      <alignment horizontal="center" vertical="center"/>
      <protection hidden="1"/>
    </xf>
    <xf numFmtId="0" fontId="0" fillId="0" borderId="212" xfId="0" applyFont="1" applyBorder="1" applyAlignment="1" applyProtection="1">
      <alignment horizontal="center" vertical="center"/>
      <protection hidden="1"/>
    </xf>
    <xf numFmtId="2" fontId="0" fillId="0" borderId="199" xfId="0" applyNumberFormat="1" applyFont="1" applyBorder="1" applyAlignment="1" applyProtection="1">
      <alignment horizontal="center" vertical="center"/>
      <protection hidden="1"/>
    </xf>
    <xf numFmtId="0" fontId="17" fillId="21" borderId="216" xfId="0" applyFont="1" applyFill="1" applyBorder="1" applyAlignment="1" applyProtection="1">
      <alignment horizontal="center"/>
      <protection hidden="1"/>
    </xf>
    <xf numFmtId="189" fontId="0" fillId="21" borderId="217" xfId="0" applyNumberFormat="1" applyFont="1" applyFill="1" applyBorder="1" applyAlignment="1" applyProtection="1">
      <alignment horizontal="center"/>
      <protection hidden="1"/>
    </xf>
    <xf numFmtId="189" fontId="70" fillId="0" borderId="214" xfId="0" applyNumberFormat="1" applyFont="1" applyBorder="1" applyAlignment="1" applyProtection="1">
      <alignment horizontal="center"/>
      <protection hidden="1"/>
    </xf>
    <xf numFmtId="0" fontId="0" fillId="18" borderId="218" xfId="0" applyNumberFormat="1" applyFont="1" applyFill="1" applyBorder="1" applyAlignment="1" applyProtection="1">
      <alignment horizontal="center"/>
      <protection hidden="1"/>
    </xf>
    <xf numFmtId="0" fontId="57" fillId="18" borderId="191" xfId="0" applyFont="1" applyFill="1" applyBorder="1" applyAlignment="1" applyProtection="1">
      <alignment horizontal="center"/>
      <protection hidden="1"/>
    </xf>
    <xf numFmtId="0" fontId="70" fillId="0" borderId="201" xfId="0" applyNumberFormat="1" applyFont="1" applyBorder="1" applyAlignment="1" applyProtection="1">
      <alignment horizontal="center"/>
      <protection hidden="1"/>
    </xf>
    <xf numFmtId="0" fontId="70" fillId="0" borderId="202" xfId="0" applyNumberFormat="1" applyFont="1" applyBorder="1" applyAlignment="1" applyProtection="1">
      <alignment horizontal="center"/>
      <protection hidden="1"/>
    </xf>
    <xf numFmtId="0" fontId="17" fillId="0" borderId="215" xfId="0" applyFont="1" applyBorder="1" applyAlignment="1" applyProtection="1">
      <alignment horizontal="center" vertical="center"/>
      <protection hidden="1"/>
    </xf>
    <xf numFmtId="2" fontId="0" fillId="0" borderId="198" xfId="0" applyNumberFormat="1" applyFont="1" applyBorder="1" applyAlignment="1" applyProtection="1">
      <alignment horizontal="center" vertical="center"/>
      <protection hidden="1"/>
    </xf>
    <xf numFmtId="2" fontId="0" fillId="18" borderId="198" xfId="0" applyNumberFormat="1" applyFont="1" applyFill="1" applyBorder="1" applyAlignment="1" applyProtection="1">
      <alignment horizontal="center" vertical="center"/>
      <protection hidden="1"/>
    </xf>
    <xf numFmtId="189" fontId="0" fillId="18" borderId="198" xfId="0" applyNumberFormat="1" applyFont="1" applyFill="1" applyBorder="1" applyAlignment="1" applyProtection="1">
      <alignment horizontal="center" vertical="center"/>
      <protection hidden="1"/>
    </xf>
    <xf numFmtId="189" fontId="0" fillId="18" borderId="196" xfId="0" applyNumberFormat="1" applyFont="1" applyFill="1" applyBorder="1" applyAlignment="1" applyProtection="1">
      <alignment horizontal="center" vertical="center"/>
      <protection hidden="1"/>
    </xf>
    <xf numFmtId="189" fontId="0" fillId="0" borderId="198" xfId="0" applyNumberFormat="1" applyFont="1" applyBorder="1" applyAlignment="1" applyProtection="1">
      <alignment horizontal="center" vertical="center"/>
      <protection hidden="1"/>
    </xf>
    <xf numFmtId="189" fontId="0" fillId="0" borderId="196" xfId="0" applyNumberFormat="1" applyFont="1" applyBorder="1" applyAlignment="1" applyProtection="1">
      <alignment horizontal="center" vertical="center"/>
      <protection hidden="1"/>
    </xf>
    <xf numFmtId="2" fontId="0" fillId="0" borderId="202" xfId="0" applyNumberFormat="1" applyFont="1" applyBorder="1" applyAlignment="1" applyProtection="1">
      <alignment horizontal="center" vertical="center"/>
      <protection hidden="1"/>
    </xf>
    <xf numFmtId="189" fontId="0" fillId="0" borderId="202" xfId="0" applyNumberFormat="1" applyFont="1" applyBorder="1" applyAlignment="1" applyProtection="1">
      <alignment horizontal="center" vertical="center"/>
      <protection hidden="1"/>
    </xf>
    <xf numFmtId="189" fontId="0" fillId="0" borderId="200" xfId="0" applyNumberFormat="1" applyFont="1" applyBorder="1" applyAlignment="1" applyProtection="1">
      <alignment horizontal="center" vertical="center"/>
      <protection hidden="1"/>
    </xf>
    <xf numFmtId="0" fontId="22" fillId="0" borderId="200" xfId="0" applyFont="1" applyBorder="1" applyAlignment="1" applyProtection="1">
      <alignment horizontal="center" vertical="center"/>
      <protection hidden="1"/>
    </xf>
    <xf numFmtId="0" fontId="0" fillId="0" borderId="0" xfId="0" applyFont="1" applyAlignment="1" applyProtection="1">
      <alignment horizontal="center" vertical="center"/>
      <protection hidden="1"/>
    </xf>
    <xf numFmtId="0" fontId="0" fillId="18" borderId="194" xfId="0" applyNumberFormat="1" applyFont="1" applyFill="1" applyBorder="1" applyAlignment="1" applyProtection="1">
      <alignment horizontal="center"/>
      <protection hidden="1"/>
    </xf>
    <xf numFmtId="0" fontId="0" fillId="18" borderId="218" xfId="0" applyFont="1" applyFill="1" applyBorder="1" applyAlignment="1" applyProtection="1">
      <alignment horizontal="center"/>
      <protection hidden="1"/>
    </xf>
    <xf numFmtId="2" fontId="0" fillId="0" borderId="0" xfId="0" applyNumberFormat="1" applyFont="1" applyAlignment="1" applyProtection="1">
      <alignment horizontal="center" vertical="center"/>
      <protection hidden="1"/>
    </xf>
    <xf numFmtId="0" fontId="0" fillId="18" borderId="211" xfId="0" applyFont="1" applyFill="1" applyBorder="1" applyAlignment="1" applyProtection="1">
      <alignment horizontal="center"/>
      <protection hidden="1"/>
    </xf>
    <xf numFmtId="0" fontId="0" fillId="18" borderId="212" xfId="0" applyFont="1" applyFill="1" applyBorder="1" applyAlignment="1" applyProtection="1">
      <alignment horizontal="center"/>
      <protection hidden="1"/>
    </xf>
    <xf numFmtId="189" fontId="0" fillId="21" borderId="219" xfId="0" applyNumberFormat="1" applyFont="1" applyFill="1" applyBorder="1" applyAlignment="1" applyProtection="1">
      <alignment horizontal="center"/>
      <protection hidden="1"/>
    </xf>
    <xf numFmtId="49" fontId="0" fillId="0" borderId="0" xfId="0" applyNumberFormat="1" applyFont="1" applyAlignment="1" applyProtection="1">
      <alignment horizontal="center" vertical="center"/>
      <protection hidden="1"/>
    </xf>
    <xf numFmtId="49" fontId="0" fillId="0" borderId="93" xfId="0" applyNumberFormat="1" applyFont="1" applyBorder="1" applyAlignment="1" applyProtection="1">
      <alignment horizontal="center" vertical="center"/>
      <protection hidden="1"/>
    </xf>
    <xf numFmtId="49" fontId="0" fillId="0" borderId="54" xfId="0" applyNumberFormat="1" applyFont="1" applyBorder="1" applyAlignment="1" applyProtection="1">
      <alignment horizontal="center" vertical="center"/>
      <protection hidden="1"/>
    </xf>
    <xf numFmtId="49" fontId="17" fillId="0" borderId="189" xfId="0" applyNumberFormat="1" applyFont="1" applyBorder="1" applyAlignment="1" applyProtection="1">
      <alignment horizontal="center" vertical="center"/>
      <protection hidden="1"/>
    </xf>
    <xf numFmtId="49" fontId="17" fillId="0" borderId="205" xfId="0" applyNumberFormat="1" applyFont="1" applyBorder="1" applyAlignment="1" applyProtection="1">
      <alignment horizontal="center" vertical="center"/>
      <protection hidden="1"/>
    </xf>
    <xf numFmtId="49" fontId="0" fillId="0" borderId="216" xfId="0" applyNumberFormat="1" applyFont="1" applyBorder="1" applyAlignment="1" applyProtection="1">
      <alignment horizontal="center" vertical="center"/>
      <protection hidden="1"/>
    </xf>
    <xf numFmtId="49" fontId="0" fillId="0" borderId="208" xfId="0" applyNumberFormat="1" applyFont="1" applyBorder="1" applyAlignment="1" applyProtection="1">
      <alignment horizontal="center" vertical="center"/>
      <protection hidden="1"/>
    </xf>
    <xf numFmtId="49" fontId="0" fillId="0" borderId="191" xfId="0" applyNumberFormat="1" applyFont="1" applyBorder="1" applyAlignment="1" applyProtection="1">
      <alignment horizontal="center" vertical="center"/>
      <protection hidden="1"/>
    </xf>
    <xf numFmtId="49" fontId="17" fillId="0" borderId="192" xfId="0" applyNumberFormat="1" applyFont="1" applyBorder="1" applyAlignment="1" applyProtection="1">
      <alignment horizontal="center" vertical="center"/>
      <protection hidden="1"/>
    </xf>
    <xf numFmtId="49" fontId="17" fillId="0" borderId="191" xfId="0" applyNumberFormat="1" applyFont="1" applyBorder="1" applyAlignment="1" applyProtection="1">
      <alignment horizontal="center" vertical="center"/>
      <protection hidden="1"/>
    </xf>
    <xf numFmtId="49" fontId="17" fillId="0" borderId="209" xfId="0" applyNumberFormat="1" applyFont="1" applyBorder="1" applyAlignment="1" applyProtection="1">
      <alignment horizontal="center" vertical="center"/>
      <protection hidden="1"/>
    </xf>
    <xf numFmtId="49" fontId="17" fillId="0" borderId="195" xfId="0" applyNumberFormat="1" applyFont="1" applyBorder="1" applyAlignment="1" applyProtection="1">
      <alignment horizontal="center" vertical="center"/>
      <protection hidden="1"/>
    </xf>
    <xf numFmtId="49" fontId="17" fillId="0" borderId="196" xfId="0" applyNumberFormat="1" applyFont="1" applyBorder="1" applyAlignment="1" applyProtection="1">
      <alignment horizontal="center" vertical="center"/>
      <protection hidden="1"/>
    </xf>
    <xf numFmtId="49" fontId="17" fillId="0" borderId="198" xfId="0" applyNumberFormat="1" applyFont="1" applyBorder="1" applyAlignment="1" applyProtection="1">
      <alignment horizontal="center" vertical="center"/>
      <protection hidden="1"/>
    </xf>
    <xf numFmtId="49" fontId="17" fillId="0" borderId="199" xfId="0" applyNumberFormat="1" applyFont="1" applyBorder="1" applyAlignment="1" applyProtection="1">
      <alignment horizontal="center" vertical="center"/>
      <protection hidden="1"/>
    </xf>
    <xf numFmtId="49" fontId="17" fillId="0" borderId="200" xfId="0" applyNumberFormat="1" applyFont="1" applyBorder="1" applyAlignment="1" applyProtection="1">
      <alignment horizontal="center" vertical="center"/>
      <protection hidden="1"/>
    </xf>
    <xf numFmtId="49" fontId="17" fillId="0" borderId="202" xfId="0" applyNumberFormat="1" applyFont="1" applyBorder="1" applyAlignment="1" applyProtection="1">
      <alignment horizontal="center" vertical="center"/>
      <protection hidden="1"/>
    </xf>
    <xf numFmtId="49" fontId="17" fillId="0" borderId="203" xfId="0" applyNumberFormat="1" applyFont="1" applyBorder="1" applyAlignment="1" applyProtection="1">
      <alignment horizontal="center" vertical="center"/>
      <protection hidden="1"/>
    </xf>
    <xf numFmtId="49" fontId="17" fillId="0" borderId="215" xfId="0" applyNumberFormat="1" applyFont="1" applyBorder="1" applyAlignment="1" applyProtection="1">
      <alignment horizontal="center" vertical="center"/>
      <protection hidden="1"/>
    </xf>
    <xf numFmtId="49" fontId="17" fillId="0" borderId="194" xfId="0" applyNumberFormat="1" applyFont="1" applyBorder="1" applyAlignment="1" applyProtection="1">
      <alignment horizontal="center" vertical="center"/>
      <protection hidden="1"/>
    </xf>
    <xf numFmtId="49" fontId="0" fillId="0" borderId="0" xfId="0" applyNumberFormat="1" applyFont="1" applyBorder="1" applyAlignment="1" applyProtection="1">
      <alignment vertical="center"/>
      <protection hidden="1"/>
    </xf>
    <xf numFmtId="49" fontId="17" fillId="0" borderId="0" xfId="0" applyNumberFormat="1" applyFont="1" applyBorder="1" applyAlignment="1" applyProtection="1">
      <alignment vertical="center"/>
      <protection hidden="1"/>
    </xf>
    <xf numFmtId="49" fontId="17" fillId="0" borderId="0" xfId="0" applyNumberFormat="1" applyFont="1" applyAlignment="1" applyProtection="1">
      <alignment vertical="center"/>
      <protection hidden="1"/>
    </xf>
    <xf numFmtId="49" fontId="0" fillId="0" borderId="194" xfId="0" applyNumberFormat="1" applyFont="1" applyBorder="1" applyAlignment="1" applyProtection="1">
      <alignment horizontal="center" vertical="center"/>
      <protection hidden="1"/>
    </xf>
    <xf numFmtId="49" fontId="0" fillId="0" borderId="215" xfId="0" applyNumberFormat="1" applyFont="1" applyBorder="1" applyAlignment="1" applyProtection="1">
      <alignment horizontal="center" vertical="center"/>
      <protection hidden="1"/>
    </xf>
    <xf numFmtId="49" fontId="0" fillId="0" borderId="195" xfId="0" applyNumberFormat="1" applyFont="1" applyBorder="1" applyAlignment="1" applyProtection="1">
      <alignment horizontal="center" vertical="center"/>
      <protection hidden="1"/>
    </xf>
    <xf numFmtId="49" fontId="0" fillId="0" borderId="196" xfId="0" applyNumberFormat="1" applyFont="1" applyBorder="1" applyAlignment="1" applyProtection="1">
      <alignment horizontal="center" vertical="center"/>
      <protection hidden="1"/>
    </xf>
    <xf numFmtId="49" fontId="17" fillId="0" borderId="197" xfId="0" applyNumberFormat="1" applyFont="1" applyBorder="1" applyAlignment="1" applyProtection="1">
      <alignment horizontal="center" vertical="center"/>
      <protection hidden="1"/>
    </xf>
    <xf numFmtId="49" fontId="217" fillId="0" borderId="198" xfId="0" applyNumberFormat="1" applyFont="1" applyBorder="1" applyAlignment="1" applyProtection="1">
      <alignment horizontal="center" vertical="center"/>
      <protection hidden="1"/>
    </xf>
    <xf numFmtId="49" fontId="0" fillId="0" borderId="198" xfId="0" applyNumberFormat="1" applyFont="1" applyBorder="1" applyAlignment="1" applyProtection="1">
      <alignment horizontal="center" vertical="center"/>
      <protection hidden="1"/>
    </xf>
    <xf numFmtId="49" fontId="17" fillId="0" borderId="216" xfId="0" applyNumberFormat="1" applyFont="1" applyBorder="1" applyAlignment="1" applyProtection="1">
      <alignment horizontal="center" vertical="center"/>
      <protection hidden="1"/>
    </xf>
    <xf numFmtId="49" fontId="17" fillId="0" borderId="0" xfId="0" applyNumberFormat="1" applyFont="1" applyAlignment="1" applyProtection="1">
      <alignment horizontal="center" vertical="center"/>
      <protection hidden="1"/>
    </xf>
    <xf numFmtId="49" fontId="0" fillId="0" borderId="202" xfId="0" applyNumberFormat="1" applyFont="1" applyBorder="1" applyAlignment="1" applyProtection="1">
      <alignment horizontal="center" vertical="center"/>
      <protection hidden="1"/>
    </xf>
    <xf numFmtId="49" fontId="0" fillId="0" borderId="200" xfId="0" applyNumberFormat="1" applyFont="1" applyBorder="1" applyAlignment="1" applyProtection="1">
      <alignment horizontal="center" vertical="center"/>
      <protection hidden="1"/>
    </xf>
    <xf numFmtId="49" fontId="217" fillId="0" borderId="196" xfId="0" applyNumberFormat="1" applyFont="1" applyBorder="1" applyAlignment="1" applyProtection="1">
      <alignment horizontal="center" vertical="center"/>
      <protection hidden="1"/>
    </xf>
    <xf numFmtId="49" fontId="218" fillId="0" borderId="198" xfId="0" applyNumberFormat="1" applyFont="1" applyBorder="1" applyAlignment="1" applyProtection="1">
      <alignment horizontal="center" vertical="center"/>
      <protection hidden="1"/>
    </xf>
    <xf numFmtId="49" fontId="17" fillId="0" borderId="206" xfId="0" applyNumberFormat="1" applyFont="1" applyBorder="1" applyAlignment="1" applyProtection="1">
      <alignment horizontal="center" vertical="center"/>
      <protection hidden="1"/>
    </xf>
    <xf numFmtId="0" fontId="0" fillId="0" borderId="206" xfId="0" applyFont="1" applyBorder="1" applyAlignment="1" applyProtection="1">
      <protection hidden="1"/>
    </xf>
    <xf numFmtId="49" fontId="0" fillId="0" borderId="206" xfId="0" applyNumberFormat="1" applyFont="1" applyBorder="1" applyAlignment="1" applyProtection="1">
      <alignment horizontal="center" vertical="center"/>
      <protection hidden="1"/>
    </xf>
    <xf numFmtId="49" fontId="17" fillId="0" borderId="198" xfId="0" applyNumberFormat="1" applyFont="1" applyBorder="1" applyAlignment="1" applyProtection="1">
      <alignment horizontal="center" vertical="center" wrapText="1"/>
      <protection hidden="1"/>
    </xf>
    <xf numFmtId="49" fontId="17" fillId="0" borderId="207" xfId="0" applyNumberFormat="1" applyFont="1" applyBorder="1" applyAlignment="1" applyProtection="1">
      <alignment horizontal="center" vertical="center"/>
      <protection hidden="1"/>
    </xf>
    <xf numFmtId="0" fontId="0" fillId="0" borderId="209" xfId="0" applyFont="1" applyBorder="1" applyAlignment="1" applyProtection="1">
      <alignment horizontal="center" vertical="center"/>
      <protection hidden="1"/>
    </xf>
    <xf numFmtId="0" fontId="17" fillId="0" borderId="198" xfId="0" applyFont="1" applyBorder="1" applyAlignment="1" applyProtection="1">
      <alignment horizontal="center" vertical="center"/>
      <protection hidden="1"/>
    </xf>
    <xf numFmtId="0" fontId="17" fillId="0" borderId="202" xfId="0" applyFont="1" applyBorder="1" applyAlignment="1" applyProtection="1">
      <alignment horizontal="center" vertical="center"/>
      <protection hidden="1"/>
    </xf>
    <xf numFmtId="49" fontId="0" fillId="0" borderId="194" xfId="0" applyNumberFormat="1" applyFont="1" applyBorder="1" applyAlignment="1" applyProtection="1">
      <alignment vertical="center"/>
      <protection hidden="1"/>
    </xf>
    <xf numFmtId="49" fontId="0" fillId="0" borderId="198" xfId="0" applyNumberFormat="1" applyFont="1" applyBorder="1" applyAlignment="1" applyProtection="1">
      <alignment vertical="center"/>
      <protection hidden="1"/>
    </xf>
    <xf numFmtId="49" fontId="0" fillId="0" borderId="202" xfId="0" applyNumberFormat="1" applyFont="1" applyBorder="1" applyAlignment="1" applyProtection="1">
      <alignment vertical="center"/>
      <protection hidden="1"/>
    </xf>
    <xf numFmtId="49" fontId="217" fillId="0" borderId="195" xfId="0" applyNumberFormat="1" applyFont="1" applyBorder="1" applyAlignment="1" applyProtection="1">
      <alignment horizontal="center" vertical="center"/>
      <protection hidden="1"/>
    </xf>
    <xf numFmtId="49" fontId="17" fillId="0" borderId="218" xfId="0" applyNumberFormat="1" applyFont="1" applyBorder="1" applyAlignment="1" applyProtection="1">
      <alignment horizontal="center" vertical="center"/>
      <protection hidden="1"/>
    </xf>
    <xf numFmtId="49" fontId="17" fillId="0" borderId="211" xfId="0" applyNumberFormat="1" applyFont="1" applyBorder="1" applyAlignment="1" applyProtection="1">
      <alignment horizontal="center" vertical="center"/>
      <protection hidden="1"/>
    </xf>
    <xf numFmtId="49" fontId="17" fillId="0" borderId="212" xfId="0" applyNumberFormat="1" applyFont="1" applyBorder="1" applyAlignment="1" applyProtection="1">
      <alignment horizontal="center" vertical="center"/>
      <protection hidden="1"/>
    </xf>
    <xf numFmtId="49" fontId="0" fillId="0" borderId="61" xfId="0" applyNumberFormat="1" applyFont="1" applyBorder="1" applyAlignment="1" applyProtection="1">
      <alignment vertical="center"/>
      <protection hidden="1"/>
    </xf>
    <xf numFmtId="49" fontId="0" fillId="0" borderId="215" xfId="0" applyNumberFormat="1" applyFont="1" applyBorder="1" applyAlignment="1" applyProtection="1">
      <alignment vertical="center"/>
      <protection hidden="1"/>
    </xf>
    <xf numFmtId="49" fontId="0" fillId="0" borderId="196" xfId="0" applyNumberFormat="1" applyFont="1" applyBorder="1" applyAlignment="1" applyProtection="1">
      <alignment vertical="center"/>
      <protection hidden="1"/>
    </xf>
    <xf numFmtId="49" fontId="0" fillId="0" borderId="200" xfId="0" applyNumberFormat="1" applyFont="1" applyBorder="1" applyAlignment="1" applyProtection="1">
      <alignment vertical="center"/>
      <protection hidden="1"/>
    </xf>
    <xf numFmtId="49" fontId="0" fillId="0" borderId="199" xfId="0" applyNumberFormat="1" applyFont="1" applyBorder="1" applyAlignment="1" applyProtection="1">
      <alignment horizontal="center" vertical="center"/>
      <protection hidden="1"/>
    </xf>
    <xf numFmtId="49" fontId="0" fillId="0" borderId="237" xfId="0" applyNumberFormat="1" applyFont="1" applyBorder="1" applyAlignment="1" applyProtection="1">
      <alignment horizontal="center" vertical="center"/>
      <protection hidden="1"/>
    </xf>
    <xf numFmtId="49" fontId="17" fillId="0" borderId="208" xfId="0" applyNumberFormat="1" applyFont="1" applyBorder="1" applyAlignment="1" applyProtection="1">
      <alignment horizontal="center" vertical="center"/>
      <protection hidden="1"/>
    </xf>
    <xf numFmtId="49" fontId="0" fillId="0" borderId="0" xfId="0" applyNumberFormat="1" applyFont="1" applyBorder="1" applyAlignment="1" applyProtection="1">
      <alignment horizontal="center" vertical="center"/>
      <protection hidden="1"/>
    </xf>
    <xf numFmtId="49" fontId="0" fillId="0" borderId="94" xfId="0" applyNumberFormat="1" applyFont="1" applyBorder="1" applyAlignment="1" applyProtection="1">
      <alignment horizontal="center" vertical="center"/>
      <protection hidden="1"/>
    </xf>
    <xf numFmtId="49" fontId="0" fillId="0" borderId="240" xfId="0" applyNumberFormat="1" applyFont="1" applyBorder="1" applyAlignment="1" applyProtection="1">
      <alignment horizontal="center" vertical="center"/>
      <protection hidden="1"/>
    </xf>
    <xf numFmtId="49" fontId="0" fillId="0" borderId="242" xfId="0" applyNumberFormat="1" applyFont="1" applyBorder="1" applyAlignment="1" applyProtection="1">
      <alignment horizontal="center" vertical="center"/>
      <protection hidden="1"/>
    </xf>
    <xf numFmtId="49" fontId="17" fillId="0" borderId="244" xfId="0" applyNumberFormat="1" applyFont="1" applyBorder="1" applyAlignment="1" applyProtection="1">
      <alignment horizontal="center" vertical="center"/>
      <protection hidden="1"/>
    </xf>
    <xf numFmtId="49" fontId="17" fillId="0" borderId="245" xfId="0" applyNumberFormat="1" applyFont="1" applyBorder="1" applyAlignment="1" applyProtection="1">
      <alignment horizontal="center" vertical="center"/>
      <protection hidden="1"/>
    </xf>
    <xf numFmtId="49" fontId="17" fillId="0" borderId="201" xfId="0" applyNumberFormat="1" applyFont="1" applyBorder="1" applyAlignment="1" applyProtection="1">
      <alignment horizontal="center" vertical="center"/>
      <protection hidden="1"/>
    </xf>
    <xf numFmtId="49" fontId="17" fillId="0" borderId="247" xfId="0" applyNumberFormat="1" applyFont="1" applyBorder="1" applyAlignment="1" applyProtection="1">
      <alignment horizontal="center" vertical="center"/>
      <protection hidden="1"/>
    </xf>
    <xf numFmtId="49" fontId="17" fillId="0" borderId="0" xfId="0" applyNumberFormat="1" applyFont="1" applyBorder="1" applyAlignment="1" applyProtection="1">
      <alignment horizontal="center" vertical="center"/>
      <protection hidden="1"/>
    </xf>
    <xf numFmtId="0" fontId="0" fillId="0" borderId="0" xfId="0" applyFont="1" applyAlignment="1"/>
    <xf numFmtId="49" fontId="0" fillId="0" borderId="209" xfId="0" applyNumberFormat="1" applyFont="1" applyBorder="1" applyAlignment="1" applyProtection="1">
      <alignment horizontal="center" vertical="center"/>
      <protection hidden="1"/>
    </xf>
    <xf numFmtId="49" fontId="0" fillId="0" borderId="211" xfId="0" applyNumberFormat="1" applyFont="1" applyBorder="1" applyAlignment="1" applyProtection="1">
      <alignment horizontal="center" vertical="center"/>
      <protection hidden="1"/>
    </xf>
    <xf numFmtId="49" fontId="0" fillId="0" borderId="218" xfId="0" applyNumberFormat="1" applyFont="1" applyBorder="1" applyAlignment="1" applyProtection="1">
      <alignment horizontal="center" vertical="center"/>
      <protection hidden="1"/>
    </xf>
    <xf numFmtId="49" fontId="0" fillId="0" borderId="57" xfId="0" applyNumberFormat="1" applyFont="1" applyBorder="1" applyAlignment="1" applyProtection="1">
      <alignment horizontal="center" vertical="center"/>
      <protection hidden="1"/>
    </xf>
    <xf numFmtId="49" fontId="0" fillId="0" borderId="212" xfId="0" applyNumberFormat="1" applyFont="1" applyBorder="1" applyAlignment="1" applyProtection="1">
      <alignment horizontal="center" vertical="center"/>
      <protection hidden="1"/>
    </xf>
    <xf numFmtId="0" fontId="12" fillId="0" borderId="0" xfId="0" applyFont="1" applyBorder="1" applyAlignment="1">
      <alignment vertical="center"/>
    </xf>
    <xf numFmtId="0" fontId="12" fillId="0" borderId="0" xfId="0" applyFont="1" applyBorder="1" applyAlignment="1"/>
    <xf numFmtId="0" fontId="27" fillId="0" borderId="0" xfId="0" applyFont="1" applyBorder="1" applyAlignment="1">
      <alignment horizontal="center"/>
    </xf>
    <xf numFmtId="0" fontId="12" fillId="0" borderId="0" xfId="0" applyFont="1" applyBorder="1" applyAlignment="1">
      <alignment horizontal="right" vertical="center"/>
    </xf>
    <xf numFmtId="0" fontId="0" fillId="0" borderId="35" xfId="0" applyFont="1" applyBorder="1" applyAlignment="1">
      <alignment horizontal="right" vertical="center"/>
    </xf>
    <xf numFmtId="0" fontId="12" fillId="0" borderId="35" xfId="0" applyFont="1" applyBorder="1" applyAlignment="1">
      <alignment horizontal="center" vertical="center"/>
    </xf>
    <xf numFmtId="0" fontId="0" fillId="0" borderId="35" xfId="0" applyFont="1" applyBorder="1" applyAlignment="1">
      <alignment horizontal="left" vertical="center"/>
    </xf>
    <xf numFmtId="0" fontId="0" fillId="0" borderId="35" xfId="0" applyFont="1" applyBorder="1" applyAlignment="1">
      <alignment horizontal="left"/>
    </xf>
    <xf numFmtId="0" fontId="0" fillId="20" borderId="35" xfId="0" applyFont="1" applyFill="1" applyBorder="1" applyAlignment="1">
      <alignment horizontal="center" vertical="center"/>
    </xf>
    <xf numFmtId="0" fontId="12" fillId="20" borderId="35" xfId="0" applyFont="1" applyFill="1" applyBorder="1" applyAlignment="1">
      <alignment horizontal="center" vertical="center"/>
    </xf>
    <xf numFmtId="49" fontId="12" fillId="0" borderId="35" xfId="0" applyNumberFormat="1" applyFont="1" applyBorder="1" applyAlignment="1">
      <alignment horizontal="center" vertical="center"/>
    </xf>
    <xf numFmtId="0" fontId="0" fillId="0" borderId="55" xfId="0" applyFont="1" applyFill="1" applyBorder="1" applyAlignment="1">
      <alignment horizontal="right" vertical="center"/>
    </xf>
    <xf numFmtId="0" fontId="0" fillId="0" borderId="61" xfId="0" applyFont="1" applyFill="1" applyBorder="1" applyAlignment="1">
      <alignment horizontal="right" vertical="center"/>
    </xf>
    <xf numFmtId="0" fontId="220" fillId="0" borderId="61" xfId="0" applyFont="1" applyBorder="1" applyAlignment="1"/>
    <xf numFmtId="0" fontId="0" fillId="0" borderId="61" xfId="0" applyFont="1" applyBorder="1" applyAlignment="1">
      <alignment horizontal="left" vertical="center"/>
    </xf>
    <xf numFmtId="0" fontId="12" fillId="0" borderId="61" xfId="0" applyFont="1" applyBorder="1" applyAlignment="1"/>
    <xf numFmtId="0" fontId="12" fillId="0" borderId="57" xfId="0" applyFont="1" applyBorder="1" applyAlignment="1"/>
    <xf numFmtId="0" fontId="12" fillId="0" borderId="0" xfId="0" applyFont="1" applyBorder="1" applyAlignment="1">
      <alignment horizontal="center"/>
    </xf>
    <xf numFmtId="0" fontId="0" fillId="0" borderId="0" xfId="0" applyFont="1" applyBorder="1" applyAlignment="1">
      <alignment horizontal="left" vertical="center"/>
    </xf>
    <xf numFmtId="0" fontId="220" fillId="0" borderId="0" xfId="0" applyFont="1" applyBorder="1" applyAlignment="1"/>
    <xf numFmtId="0" fontId="0" fillId="0" borderId="0" xfId="0" applyFont="1" applyFill="1" applyBorder="1" applyAlignment="1">
      <alignment horizontal="left" vertical="center"/>
    </xf>
    <xf numFmtId="0" fontId="12" fillId="0" borderId="59" xfId="0" applyFont="1" applyBorder="1" applyAlignment="1"/>
    <xf numFmtId="0" fontId="12" fillId="0" borderId="53" xfId="0" applyFont="1" applyBorder="1" applyAlignment="1"/>
    <xf numFmtId="0" fontId="12" fillId="0" borderId="53" xfId="0" applyFont="1" applyBorder="1" applyAlignment="1">
      <alignment horizontal="center"/>
    </xf>
    <xf numFmtId="0" fontId="0" fillId="0" borderId="53" xfId="0" applyFont="1" applyFill="1" applyBorder="1" applyAlignment="1">
      <alignment horizontal="left" vertical="center"/>
    </xf>
    <xf numFmtId="0" fontId="27" fillId="0" borderId="0" xfId="0" applyFont="1" applyBorder="1" applyAlignment="1">
      <alignment horizontal="center" vertical="center"/>
    </xf>
    <xf numFmtId="0" fontId="12" fillId="0" borderId="57" xfId="0" applyFont="1" applyBorder="1" applyAlignment="1">
      <alignment vertical="center"/>
    </xf>
    <xf numFmtId="0" fontId="0" fillId="0" borderId="0" xfId="0" applyFont="1" applyBorder="1" applyAlignment="1">
      <alignment vertical="center"/>
    </xf>
    <xf numFmtId="0" fontId="12" fillId="0" borderId="0" xfId="0" applyFont="1" applyBorder="1" applyAlignment="1">
      <alignment horizontal="center" vertical="center"/>
    </xf>
    <xf numFmtId="0" fontId="0" fillId="0" borderId="0" xfId="0" applyFont="1" applyBorder="1" applyAlignment="1">
      <alignment horizontal="center" vertical="center"/>
    </xf>
    <xf numFmtId="0" fontId="0" fillId="0" borderId="0" xfId="0" applyFont="1" applyBorder="1" applyAlignment="1"/>
    <xf numFmtId="0" fontId="12" fillId="0" borderId="56" xfId="0" applyFont="1" applyBorder="1" applyAlignment="1"/>
    <xf numFmtId="0" fontId="12" fillId="0" borderId="58" xfId="0" applyFont="1" applyBorder="1" applyAlignment="1"/>
    <xf numFmtId="0" fontId="12" fillId="0" borderId="60" xfId="0" applyFont="1" applyBorder="1" applyAlignment="1"/>
    <xf numFmtId="0" fontId="42" fillId="20" borderId="35" xfId="0" applyFont="1" applyFill="1" applyBorder="1" applyAlignment="1">
      <alignment horizontal="center" vertical="center"/>
    </xf>
    <xf numFmtId="0" fontId="0" fillId="0" borderId="0" xfId="0" applyFont="1" applyBorder="1" applyAlignment="1">
      <alignment horizontal="center"/>
    </xf>
    <xf numFmtId="0" fontId="46" fillId="0" borderId="0" xfId="0" applyFont="1" applyBorder="1" applyAlignment="1">
      <alignment horizontal="center" vertical="center"/>
    </xf>
    <xf numFmtId="0" fontId="46" fillId="0" borderId="0" xfId="0" applyFont="1" applyBorder="1" applyAlignment="1">
      <alignment vertical="center"/>
    </xf>
    <xf numFmtId="0" fontId="208" fillId="0" borderId="0" xfId="0" applyFont="1" applyFill="1" applyAlignment="1">
      <alignment horizontal="center" vertical="center"/>
    </xf>
    <xf numFmtId="0" fontId="0" fillId="0" borderId="158" xfId="0" applyFill="1" applyBorder="1" applyAlignment="1">
      <alignment horizontal="center" vertical="center"/>
    </xf>
    <xf numFmtId="0" fontId="0" fillId="0" borderId="159" xfId="0" applyFill="1" applyBorder="1" applyAlignment="1">
      <alignment horizontal="center" vertical="center"/>
    </xf>
    <xf numFmtId="0" fontId="0" fillId="0" borderId="38" xfId="0" applyFill="1" applyBorder="1" applyAlignment="1">
      <alignment horizontal="center" vertical="center"/>
    </xf>
    <xf numFmtId="0" fontId="0" fillId="0" borderId="44" xfId="0" applyFill="1" applyBorder="1" applyAlignment="1">
      <alignment horizontal="center" vertical="center"/>
    </xf>
    <xf numFmtId="0" fontId="0" fillId="0" borderId="45" xfId="0" applyFill="1" applyBorder="1" applyAlignment="1">
      <alignment horizontal="center" vertical="center"/>
    </xf>
    <xf numFmtId="0" fontId="0" fillId="0" borderId="151" xfId="0" applyFill="1" applyBorder="1" applyAlignment="1">
      <alignment horizontal="center" vertical="center"/>
    </xf>
    <xf numFmtId="0" fontId="0" fillId="0" borderId="54" xfId="0" applyFill="1" applyBorder="1" applyAlignment="1">
      <alignment horizontal="center" vertical="center"/>
    </xf>
    <xf numFmtId="0" fontId="0" fillId="0" borderId="62" xfId="0" applyFill="1" applyBorder="1" applyAlignment="1">
      <alignment horizontal="center" vertical="center"/>
    </xf>
    <xf numFmtId="0" fontId="0" fillId="0" borderId="160" xfId="0" applyFill="1" applyBorder="1" applyAlignment="1">
      <alignment horizontal="center" vertical="center"/>
    </xf>
    <xf numFmtId="0" fontId="0" fillId="0" borderId="3" xfId="0" applyFill="1" applyBorder="1" applyAlignment="1">
      <alignment horizontal="center" vertical="center"/>
    </xf>
    <xf numFmtId="0" fontId="0" fillId="0" borderId="29" xfId="0" applyFill="1" applyBorder="1" applyAlignment="1">
      <alignment horizontal="center" vertical="center"/>
    </xf>
    <xf numFmtId="0" fontId="208" fillId="0" borderId="0" xfId="0" applyFont="1" applyFill="1" applyAlignment="1">
      <alignment vertical="center"/>
    </xf>
    <xf numFmtId="0" fontId="221" fillId="0" borderId="250" xfId="0" applyFont="1" applyFill="1" applyBorder="1" applyAlignment="1">
      <alignment vertical="center" wrapText="1"/>
    </xf>
    <xf numFmtId="0" fontId="221" fillId="0" borderId="126" xfId="0" applyFont="1" applyFill="1" applyBorder="1" applyAlignment="1">
      <alignment vertical="center" wrapText="1"/>
    </xf>
    <xf numFmtId="0" fontId="221" fillId="0" borderId="251" xfId="0" applyFont="1" applyFill="1" applyBorder="1" applyAlignment="1">
      <alignment vertical="center" wrapText="1"/>
    </xf>
    <xf numFmtId="0" fontId="221" fillId="0" borderId="250" xfId="0" applyFont="1" applyFill="1" applyBorder="1" applyAlignment="1">
      <alignment horizontal="left" vertical="center" wrapText="1"/>
    </xf>
    <xf numFmtId="0" fontId="0" fillId="0" borderId="126" xfId="0" applyFill="1" applyBorder="1" applyAlignment="1">
      <alignment vertical="center"/>
    </xf>
    <xf numFmtId="0" fontId="0" fillId="0" borderId="251" xfId="0" applyFill="1" applyBorder="1" applyAlignment="1">
      <alignment vertical="center"/>
    </xf>
    <xf numFmtId="0" fontId="221" fillId="0" borderId="252" xfId="0" applyFont="1" applyFill="1" applyBorder="1" applyAlignment="1">
      <alignment vertical="center" wrapText="1"/>
    </xf>
    <xf numFmtId="0" fontId="221" fillId="0" borderId="0" xfId="0" applyFont="1" applyFill="1" applyBorder="1" applyAlignment="1">
      <alignment vertical="center" wrapText="1"/>
    </xf>
    <xf numFmtId="0" fontId="221" fillId="0" borderId="252" xfId="0" applyFont="1" applyFill="1" applyBorder="1" applyAlignment="1">
      <alignment horizontal="left" vertical="center" wrapText="1"/>
    </xf>
    <xf numFmtId="0" fontId="221" fillId="0" borderId="0" xfId="0" applyFont="1" applyFill="1" applyAlignment="1">
      <alignment horizontal="left" vertical="center"/>
    </xf>
    <xf numFmtId="0" fontId="0" fillId="0" borderId="253" xfId="0" applyFill="1" applyBorder="1" applyAlignment="1">
      <alignment vertical="center"/>
    </xf>
    <xf numFmtId="0" fontId="221" fillId="0" borderId="254" xfId="0" applyFont="1" applyFill="1" applyBorder="1" applyAlignment="1">
      <alignment vertical="center" wrapText="1"/>
    </xf>
    <xf numFmtId="0" fontId="221" fillId="0" borderId="255" xfId="0" applyFont="1" applyFill="1" applyBorder="1" applyAlignment="1">
      <alignment vertical="center" wrapText="1"/>
    </xf>
    <xf numFmtId="0" fontId="221" fillId="0" borderId="254" xfId="0" applyFont="1" applyFill="1" applyBorder="1" applyAlignment="1">
      <alignment horizontal="left" vertical="center" wrapText="1"/>
    </xf>
    <xf numFmtId="0" fontId="221" fillId="0" borderId="255" xfId="0" applyFont="1" applyFill="1" applyBorder="1" applyAlignment="1">
      <alignment horizontal="left" vertical="center"/>
    </xf>
    <xf numFmtId="0" fontId="0" fillId="0" borderId="255" xfId="0" applyFill="1" applyBorder="1" applyAlignment="1">
      <alignment vertical="center"/>
    </xf>
    <xf numFmtId="0" fontId="0" fillId="0" borderId="256" xfId="0" applyFill="1" applyBorder="1" applyAlignment="1">
      <alignment vertical="center"/>
    </xf>
    <xf numFmtId="0" fontId="47" fillId="35" borderId="125" xfId="0" applyFont="1" applyFill="1" applyBorder="1" applyAlignment="1">
      <alignment horizontal="center" vertical="center" wrapText="1"/>
    </xf>
    <xf numFmtId="0" fontId="221" fillId="15" borderId="125" xfId="0" applyFont="1" applyFill="1" applyBorder="1" applyAlignment="1">
      <alignment horizontal="center" vertical="center" wrapText="1"/>
    </xf>
    <xf numFmtId="0" fontId="221" fillId="35" borderId="125" xfId="0" applyFont="1" applyFill="1" applyBorder="1" applyAlignment="1">
      <alignment horizontal="center" vertical="center" wrapText="1"/>
    </xf>
    <xf numFmtId="0" fontId="0" fillId="0" borderId="0" xfId="0" applyAlignment="1">
      <alignment shrinkToFit="1"/>
    </xf>
    <xf numFmtId="0" fontId="223" fillId="0" borderId="3" xfId="0" applyFont="1" applyFill="1" applyBorder="1" applyAlignment="1">
      <alignment vertical="center"/>
    </xf>
    <xf numFmtId="0" fontId="223" fillId="0" borderId="0" xfId="0" applyFont="1" applyFill="1" applyBorder="1" applyAlignment="1">
      <alignment vertical="center"/>
    </xf>
    <xf numFmtId="0" fontId="223" fillId="0" borderId="29" xfId="0" applyFont="1" applyFill="1" applyBorder="1" applyAlignment="1">
      <alignment vertical="center"/>
    </xf>
    <xf numFmtId="0" fontId="22" fillId="0" borderId="35" xfId="0" applyFont="1" applyFill="1" applyBorder="1" applyAlignment="1">
      <alignment horizontal="center" vertical="center" wrapText="1"/>
    </xf>
    <xf numFmtId="0" fontId="22" fillId="19" borderId="35" xfId="0" applyFont="1" applyFill="1" applyBorder="1" applyAlignment="1">
      <alignment horizontal="center" vertical="center" wrapText="1"/>
    </xf>
    <xf numFmtId="180" fontId="22" fillId="0" borderId="35" xfId="0" applyNumberFormat="1" applyFont="1" applyFill="1" applyBorder="1" applyAlignment="1">
      <alignment horizontal="center" vertical="center"/>
    </xf>
    <xf numFmtId="180" fontId="22" fillId="19" borderId="35" xfId="0" applyNumberFormat="1" applyFont="1" applyFill="1" applyBorder="1" applyAlignment="1">
      <alignment horizontal="center" vertical="center"/>
    </xf>
    <xf numFmtId="0" fontId="224" fillId="0" borderId="150" xfId="0" applyFont="1" applyFill="1" applyBorder="1" applyAlignment="1">
      <alignment vertical="center"/>
    </xf>
    <xf numFmtId="0" fontId="0" fillId="0" borderId="151" xfId="0" applyFill="1" applyBorder="1" applyAlignment="1">
      <alignment vertical="center"/>
    </xf>
    <xf numFmtId="0" fontId="0" fillId="0" borderId="36" xfId="0" applyFill="1" applyBorder="1" applyAlignment="1">
      <alignment vertical="center"/>
    </xf>
    <xf numFmtId="180" fontId="0" fillId="0" borderId="35" xfId="0" applyNumberFormat="1" applyFont="1" applyFill="1" applyBorder="1" applyAlignment="1">
      <alignment vertical="center"/>
    </xf>
    <xf numFmtId="180" fontId="0" fillId="19" borderId="35" xfId="0" applyNumberFormat="1" applyFont="1" applyFill="1" applyBorder="1" applyAlignment="1">
      <alignment vertical="center"/>
    </xf>
    <xf numFmtId="0" fontId="0" fillId="0" borderId="97" xfId="0" applyFill="1" applyBorder="1" applyAlignment="1">
      <alignment vertical="center"/>
    </xf>
    <xf numFmtId="0" fontId="35" fillId="0" borderId="35" xfId="0" applyFont="1" applyFill="1" applyBorder="1" applyAlignment="1">
      <alignment vertical="center"/>
    </xf>
    <xf numFmtId="0" fontId="0" fillId="0" borderId="47" xfId="0" applyFill="1" applyBorder="1" applyAlignment="1">
      <alignment vertical="center"/>
    </xf>
    <xf numFmtId="0" fontId="62" fillId="0" borderId="0" xfId="0" applyFont="1" applyFill="1" applyAlignment="1">
      <alignment vertical="center"/>
    </xf>
    <xf numFmtId="0" fontId="22" fillId="13" borderId="35" xfId="0" applyFont="1" applyFill="1" applyBorder="1" applyAlignment="1">
      <alignment horizontal="center" vertical="center" wrapText="1"/>
    </xf>
    <xf numFmtId="0" fontId="22" fillId="17" borderId="35" xfId="0" applyFont="1" applyFill="1" applyBorder="1" applyAlignment="1">
      <alignment horizontal="center" vertical="center" wrapText="1"/>
    </xf>
    <xf numFmtId="0" fontId="22" fillId="10" borderId="35" xfId="0" applyFont="1" applyFill="1" applyBorder="1" applyAlignment="1">
      <alignment horizontal="center" vertical="center" wrapText="1"/>
    </xf>
    <xf numFmtId="0" fontId="22" fillId="18" borderId="35" xfId="0" applyFont="1" applyFill="1" applyBorder="1" applyAlignment="1">
      <alignment horizontal="center" vertical="center" wrapText="1"/>
    </xf>
    <xf numFmtId="180" fontId="22" fillId="13" borderId="35" xfId="0" applyNumberFormat="1" applyFont="1" applyFill="1" applyBorder="1" applyAlignment="1">
      <alignment horizontal="center" vertical="center"/>
    </xf>
    <xf numFmtId="0" fontId="22" fillId="17" borderId="35" xfId="0" applyFont="1" applyFill="1" applyBorder="1" applyAlignment="1">
      <alignment horizontal="center" vertical="center"/>
    </xf>
    <xf numFmtId="180" fontId="22" fillId="10" borderId="35" xfId="0" applyNumberFormat="1" applyFont="1" applyFill="1" applyBorder="1" applyAlignment="1">
      <alignment horizontal="center" vertical="center"/>
    </xf>
    <xf numFmtId="0" fontId="22" fillId="0" borderId="35" xfId="0" applyFont="1" applyFill="1" applyBorder="1" applyAlignment="1">
      <alignment horizontal="center" vertical="center"/>
    </xf>
    <xf numFmtId="180" fontId="22" fillId="17" borderId="35" xfId="0" applyNumberFormat="1" applyFont="1" applyFill="1" applyBorder="1" applyAlignment="1">
      <alignment horizontal="center" vertical="center"/>
    </xf>
    <xf numFmtId="0" fontId="22" fillId="18" borderId="35" xfId="0" applyFont="1" applyFill="1" applyBorder="1" applyAlignment="1">
      <alignment horizontal="center" vertical="center"/>
    </xf>
    <xf numFmtId="180" fontId="0" fillId="13" borderId="35" xfId="0" applyNumberFormat="1" applyFont="1" applyFill="1" applyBorder="1" applyAlignment="1">
      <alignment vertical="center"/>
    </xf>
    <xf numFmtId="180" fontId="0" fillId="17" borderId="35" xfId="0" applyNumberFormat="1" applyFont="1" applyFill="1" applyBorder="1" applyAlignment="1">
      <alignment vertical="center"/>
    </xf>
    <xf numFmtId="180" fontId="0" fillId="10" borderId="35" xfId="0" applyNumberFormat="1" applyFont="1" applyFill="1" applyBorder="1" applyAlignment="1">
      <alignment vertical="center"/>
    </xf>
    <xf numFmtId="180" fontId="0" fillId="18" borderId="35" xfId="0" applyNumberFormat="1" applyFont="1" applyFill="1" applyBorder="1" applyAlignment="1">
      <alignment vertical="center"/>
    </xf>
    <xf numFmtId="0" fontId="22" fillId="0" borderId="46" xfId="0" applyFont="1" applyFill="1" applyBorder="1" applyAlignment="1">
      <alignment horizontal="center" vertical="center" wrapText="1"/>
    </xf>
    <xf numFmtId="0" fontId="22" fillId="0" borderId="46" xfId="0" applyFont="1" applyFill="1" applyBorder="1" applyAlignment="1">
      <alignment horizontal="center" vertical="center"/>
    </xf>
    <xf numFmtId="0" fontId="0" fillId="17" borderId="74" xfId="0" applyFont="1" applyFill="1" applyBorder="1" applyAlignment="1">
      <alignment horizontal="center" vertical="center"/>
    </xf>
    <xf numFmtId="0" fontId="0" fillId="0" borderId="118" xfId="0" applyFill="1" applyBorder="1" applyAlignment="1">
      <alignment vertical="center"/>
    </xf>
    <xf numFmtId="0" fontId="0" fillId="35" borderId="0" xfId="0" applyFont="1" applyFill="1" applyAlignment="1">
      <alignment horizontal="center" vertical="center"/>
    </xf>
    <xf numFmtId="0" fontId="0" fillId="35" borderId="0" xfId="0" applyFill="1" applyAlignment="1">
      <alignment vertical="center"/>
    </xf>
    <xf numFmtId="0" fontId="22" fillId="35" borderId="0" xfId="0" applyFont="1" applyFill="1" applyAlignment="1">
      <alignment vertical="center"/>
    </xf>
    <xf numFmtId="0" fontId="0" fillId="0" borderId="150" xfId="0" applyFont="1" applyFill="1" applyBorder="1" applyAlignment="1">
      <alignment horizontal="center" vertical="center" wrapText="1"/>
    </xf>
    <xf numFmtId="0" fontId="225" fillId="0" borderId="261" xfId="0" applyFont="1" applyFill="1" applyBorder="1" applyAlignment="1">
      <alignment horizontal="center" vertical="center" wrapText="1"/>
    </xf>
    <xf numFmtId="0" fontId="225" fillId="0" borderId="151" xfId="0" applyFont="1" applyFill="1" applyBorder="1" applyAlignment="1">
      <alignment horizontal="center" vertical="center" wrapText="1"/>
    </xf>
    <xf numFmtId="0" fontId="0" fillId="0" borderId="117" xfId="0" applyFont="1" applyFill="1" applyBorder="1" applyAlignment="1">
      <alignment horizontal="center" vertical="center" wrapText="1"/>
    </xf>
    <xf numFmtId="0" fontId="225" fillId="0" borderId="148" xfId="0" applyFont="1" applyFill="1" applyBorder="1" applyAlignment="1">
      <alignment horizontal="center" vertical="center" wrapText="1"/>
    </xf>
    <xf numFmtId="0" fontId="0" fillId="35" borderId="35" xfId="0" applyFont="1" applyFill="1" applyBorder="1" applyAlignment="1">
      <alignment horizontal="center" vertical="center" wrapText="1"/>
    </xf>
    <xf numFmtId="0" fontId="0" fillId="19" borderId="35" xfId="0" applyFont="1" applyFill="1" applyBorder="1" applyAlignment="1">
      <alignment horizontal="center" vertical="center" wrapText="1"/>
    </xf>
    <xf numFmtId="0" fontId="0" fillId="13" borderId="35" xfId="0" applyFont="1" applyFill="1" applyBorder="1" applyAlignment="1">
      <alignment horizontal="center" vertical="center" wrapText="1"/>
    </xf>
    <xf numFmtId="0" fontId="0" fillId="35" borderId="36" xfId="0" applyFont="1" applyFill="1" applyBorder="1" applyAlignment="1">
      <alignment horizontal="center" vertical="center" wrapText="1"/>
    </xf>
    <xf numFmtId="180" fontId="0" fillId="35" borderId="94" xfId="0" applyNumberFormat="1" applyFont="1" applyFill="1" applyBorder="1" applyAlignment="1">
      <alignment horizontal="center" vertical="center"/>
    </xf>
    <xf numFmtId="180" fontId="0" fillId="19" borderId="35" xfId="0" applyNumberFormat="1" applyFont="1" applyFill="1" applyBorder="1" applyAlignment="1">
      <alignment horizontal="center" vertical="center"/>
    </xf>
    <xf numFmtId="180" fontId="0" fillId="35" borderId="35" xfId="0" applyNumberFormat="1" applyFont="1" applyFill="1" applyBorder="1" applyAlignment="1">
      <alignment horizontal="center" vertical="center"/>
    </xf>
    <xf numFmtId="180" fontId="0" fillId="13" borderId="35" xfId="0" applyNumberFormat="1" applyFont="1" applyFill="1" applyBorder="1" applyAlignment="1">
      <alignment horizontal="center" vertical="center"/>
    </xf>
    <xf numFmtId="0" fontId="0" fillId="0" borderId="117" xfId="0" applyFont="1" applyFill="1" applyBorder="1" applyAlignment="1">
      <alignment horizontal="center" vertical="center"/>
    </xf>
    <xf numFmtId="0" fontId="225" fillId="0" borderId="117" xfId="0" applyFont="1" applyFill="1" applyBorder="1" applyAlignment="1">
      <alignment horizontal="center" vertical="center" wrapText="1"/>
    </xf>
    <xf numFmtId="0" fontId="42" fillId="35" borderId="35" xfId="0" applyFont="1" applyFill="1" applyBorder="1" applyAlignment="1">
      <alignment vertical="center"/>
    </xf>
    <xf numFmtId="0" fontId="42" fillId="19" borderId="35" xfId="0" applyFont="1" applyFill="1" applyBorder="1" applyAlignment="1">
      <alignment vertical="center"/>
    </xf>
    <xf numFmtId="0" fontId="42" fillId="13" borderId="35" xfId="0" applyFont="1" applyFill="1" applyBorder="1" applyAlignment="1">
      <alignment vertical="center"/>
    </xf>
    <xf numFmtId="176" fontId="0" fillId="35" borderId="35" xfId="0" applyNumberFormat="1" applyFont="1" applyFill="1" applyBorder="1" applyAlignment="1">
      <alignment vertical="center"/>
    </xf>
    <xf numFmtId="0" fontId="0" fillId="0" borderId="117" xfId="0" applyFill="1" applyBorder="1" applyAlignment="1">
      <alignment vertical="center"/>
    </xf>
    <xf numFmtId="195" fontId="0" fillId="35" borderId="35" xfId="0" applyNumberFormat="1" applyFont="1" applyFill="1" applyBorder="1" applyAlignment="1">
      <alignment vertical="center"/>
    </xf>
    <xf numFmtId="195" fontId="0" fillId="19" borderId="35" xfId="0" applyNumberFormat="1" applyFont="1" applyFill="1" applyBorder="1" applyAlignment="1">
      <alignment vertical="center"/>
    </xf>
    <xf numFmtId="195" fontId="0" fillId="13" borderId="35" xfId="0" applyNumberFormat="1" applyFont="1" applyFill="1" applyBorder="1" applyAlignment="1">
      <alignment vertical="center"/>
    </xf>
    <xf numFmtId="195" fontId="226" fillId="15" borderId="35" xfId="0" applyNumberFormat="1" applyFont="1" applyFill="1" applyBorder="1" applyAlignment="1">
      <alignment vertical="center"/>
    </xf>
    <xf numFmtId="0" fontId="0" fillId="0" borderId="155" xfId="0" applyFont="1" applyFill="1" applyBorder="1" applyAlignment="1">
      <alignment horizontal="center" vertical="center"/>
    </xf>
    <xf numFmtId="0" fontId="0" fillId="0" borderId="155" xfId="0" applyFont="1" applyFill="1" applyBorder="1" applyAlignment="1">
      <alignment vertical="center"/>
    </xf>
    <xf numFmtId="0" fontId="16" fillId="35" borderId="0" xfId="0" applyFont="1" applyFill="1" applyAlignment="1">
      <alignment horizontal="left" vertical="center"/>
    </xf>
    <xf numFmtId="0" fontId="0" fillId="18" borderId="35" xfId="0" applyFont="1" applyFill="1" applyBorder="1" applyAlignment="1">
      <alignment horizontal="center" vertical="center" wrapText="1"/>
    </xf>
    <xf numFmtId="180" fontId="0" fillId="0" borderId="46" xfId="0" applyNumberFormat="1" applyFont="1" applyFill="1" applyBorder="1" applyAlignment="1">
      <alignment horizontal="center" vertical="center"/>
    </xf>
    <xf numFmtId="0" fontId="42" fillId="17" borderId="35" xfId="0" applyFont="1" applyFill="1" applyBorder="1" applyAlignment="1">
      <alignment vertical="center"/>
    </xf>
    <xf numFmtId="0" fontId="39" fillId="0" borderId="35" xfId="0" applyFont="1" applyFill="1" applyBorder="1" applyAlignment="1">
      <alignment vertical="center"/>
    </xf>
    <xf numFmtId="0" fontId="39" fillId="35" borderId="35" xfId="0" applyFont="1" applyFill="1" applyBorder="1" applyAlignment="1">
      <alignment vertical="center"/>
    </xf>
    <xf numFmtId="0" fontId="39" fillId="18" borderId="35" xfId="0" applyFont="1" applyFill="1" applyBorder="1" applyAlignment="1">
      <alignment vertical="center"/>
    </xf>
    <xf numFmtId="0" fontId="22" fillId="35" borderId="35" xfId="0" applyFont="1" applyFill="1" applyBorder="1" applyAlignment="1">
      <alignment vertical="center"/>
    </xf>
    <xf numFmtId="0" fontId="22" fillId="18" borderId="35" xfId="0" applyFont="1" applyFill="1" applyBorder="1" applyAlignment="1">
      <alignment vertical="center"/>
    </xf>
    <xf numFmtId="195" fontId="0" fillId="17" borderId="35" xfId="0" applyNumberFormat="1" applyFont="1" applyFill="1" applyBorder="1" applyAlignment="1">
      <alignment vertical="center"/>
    </xf>
    <xf numFmtId="49" fontId="0" fillId="0" borderId="0" xfId="0" applyNumberFormat="1" applyFill="1" applyAlignment="1">
      <alignment vertical="center"/>
    </xf>
    <xf numFmtId="0" fontId="227" fillId="0" borderId="0" xfId="0" applyFont="1" applyFill="1" applyAlignment="1">
      <alignment vertical="center"/>
    </xf>
    <xf numFmtId="49" fontId="47" fillId="0" borderId="251" xfId="0" applyNumberFormat="1" applyFont="1" applyFill="1" applyBorder="1" applyAlignment="1">
      <alignment horizontal="center" vertical="top" wrapText="1"/>
    </xf>
    <xf numFmtId="0" fontId="0" fillId="0" borderId="74" xfId="0" applyFont="1" applyFill="1" applyBorder="1" applyAlignment="1">
      <alignment horizontal="center" vertical="center" wrapText="1"/>
    </xf>
    <xf numFmtId="0" fontId="0" fillId="0" borderId="55" xfId="0" applyFont="1" applyFill="1" applyBorder="1" applyAlignment="1">
      <alignment horizontal="center" vertical="center" wrapText="1"/>
    </xf>
    <xf numFmtId="49" fontId="0" fillId="0" borderId="63" xfId="0" applyNumberFormat="1" applyFont="1" applyFill="1" applyBorder="1" applyAlignment="1">
      <alignment vertical="center"/>
    </xf>
    <xf numFmtId="0" fontId="0" fillId="0" borderId="63" xfId="0" applyFont="1" applyFill="1" applyBorder="1" applyAlignment="1">
      <alignment horizontal="center" vertical="center" wrapText="1"/>
    </xf>
    <xf numFmtId="0" fontId="0" fillId="0" borderId="36" xfId="0" applyFont="1" applyFill="1" applyBorder="1" applyAlignment="1">
      <alignment horizontal="center" vertical="center" wrapText="1"/>
    </xf>
    <xf numFmtId="49" fontId="22" fillId="0" borderId="35" xfId="0" applyNumberFormat="1" applyFont="1" applyFill="1" applyBorder="1" applyAlignment="1">
      <alignment vertical="center" wrapText="1"/>
    </xf>
    <xf numFmtId="0" fontId="22" fillId="0" borderId="35" xfId="0" applyFont="1" applyFill="1" applyBorder="1" applyAlignment="1">
      <alignment vertical="center" wrapText="1"/>
    </xf>
    <xf numFmtId="0" fontId="22" fillId="0" borderId="36" xfId="0" applyFont="1" applyFill="1" applyBorder="1" applyAlignment="1">
      <alignment vertical="center" wrapText="1"/>
    </xf>
    <xf numFmtId="0" fontId="0" fillId="0" borderId="56" xfId="0" applyFont="1" applyFill="1" applyBorder="1" applyAlignment="1">
      <alignment horizontal="center" vertical="center" wrapText="1"/>
    </xf>
    <xf numFmtId="180" fontId="0" fillId="0" borderId="0" xfId="0" applyNumberFormat="1" applyFill="1" applyAlignment="1">
      <alignment horizontal="center" vertical="center"/>
    </xf>
    <xf numFmtId="0" fontId="16" fillId="0" borderId="0" xfId="0" applyFont="1" applyFill="1" applyAlignment="1">
      <alignment horizontal="center" vertical="center"/>
    </xf>
    <xf numFmtId="0" fontId="228" fillId="15" borderId="35" xfId="0" applyFont="1" applyFill="1" applyBorder="1" applyAlignment="1">
      <alignment horizontal="right" vertical="center"/>
    </xf>
    <xf numFmtId="0" fontId="149" fillId="7" borderId="35" xfId="0" applyFont="1" applyFill="1" applyBorder="1" applyAlignment="1">
      <alignment horizontal="center" vertical="center"/>
    </xf>
    <xf numFmtId="0" fontId="42" fillId="35" borderId="53" xfId="0" applyFont="1" applyFill="1" applyBorder="1" applyAlignment="1">
      <alignment vertical="center"/>
    </xf>
    <xf numFmtId="0" fontId="22" fillId="15" borderId="35" xfId="0" applyFont="1" applyFill="1" applyBorder="1" applyAlignment="1">
      <alignment vertical="center"/>
    </xf>
    <xf numFmtId="0" fontId="22" fillId="15" borderId="46" xfId="0" applyFont="1" applyFill="1" applyBorder="1" applyAlignment="1">
      <alignment vertical="center"/>
    </xf>
    <xf numFmtId="0" fontId="12" fillId="15" borderId="35" xfId="0" applyFont="1" applyFill="1" applyBorder="1" applyAlignment="1">
      <alignment horizontal="center" vertical="center" wrapText="1"/>
    </xf>
    <xf numFmtId="0" fontId="22" fillId="35" borderId="35" xfId="0" applyFont="1" applyFill="1" applyBorder="1" applyAlignment="1">
      <alignment horizontal="right" vertical="center"/>
    </xf>
    <xf numFmtId="0" fontId="22" fillId="15" borderId="35" xfId="0" applyFont="1" applyFill="1" applyBorder="1" applyAlignment="1">
      <alignment horizontal="right" vertical="center"/>
    </xf>
    <xf numFmtId="180" fontId="12" fillId="15" borderId="94" xfId="0" applyNumberFormat="1" applyFont="1" applyFill="1" applyBorder="1" applyAlignment="1">
      <alignment horizontal="center" vertical="center"/>
    </xf>
    <xf numFmtId="180" fontId="12" fillId="15" borderId="35" xfId="0" applyNumberFormat="1" applyFont="1" applyFill="1" applyBorder="1" applyAlignment="1">
      <alignment horizontal="center" vertical="center"/>
    </xf>
    <xf numFmtId="180" fontId="12" fillId="0" borderId="94" xfId="0" applyNumberFormat="1" applyFont="1" applyFill="1" applyBorder="1" applyAlignment="1">
      <alignment horizontal="center" vertical="center"/>
    </xf>
    <xf numFmtId="180" fontId="12" fillId="0" borderId="35" xfId="0" applyNumberFormat="1" applyFont="1" applyFill="1" applyBorder="1" applyAlignment="1">
      <alignment horizontal="center" vertical="center"/>
    </xf>
    <xf numFmtId="180" fontId="12" fillId="0" borderId="56" xfId="0" applyNumberFormat="1" applyFont="1" applyFill="1" applyBorder="1" applyAlignment="1">
      <alignment horizontal="center" vertical="center"/>
    </xf>
    <xf numFmtId="180" fontId="12" fillId="0" borderId="74" xfId="0" applyNumberFormat="1" applyFont="1" applyFill="1" applyBorder="1" applyAlignment="1">
      <alignment horizontal="center" vertical="center"/>
    </xf>
    <xf numFmtId="180" fontId="12" fillId="15" borderId="38" xfId="0" applyNumberFormat="1" applyFont="1" applyFill="1" applyBorder="1" applyAlignment="1">
      <alignment horizontal="center" vertical="center"/>
    </xf>
    <xf numFmtId="180" fontId="12" fillId="15" borderId="162" xfId="0" applyNumberFormat="1" applyFont="1" applyFill="1" applyBorder="1" applyAlignment="1">
      <alignment horizontal="center" vertical="center"/>
    </xf>
    <xf numFmtId="0" fontId="22" fillId="15" borderId="35" xfId="0" applyFont="1" applyFill="1" applyBorder="1" applyAlignment="1">
      <alignment vertical="center" wrapText="1"/>
    </xf>
    <xf numFmtId="180" fontId="12" fillId="0" borderId="39" xfId="0" applyNumberFormat="1" applyFont="1" applyFill="1" applyBorder="1" applyAlignment="1">
      <alignment horizontal="center" vertical="center"/>
    </xf>
    <xf numFmtId="180" fontId="12" fillId="15" borderId="39" xfId="0" applyNumberFormat="1" applyFont="1" applyFill="1" applyBorder="1" applyAlignment="1">
      <alignment horizontal="center" vertical="center"/>
    </xf>
    <xf numFmtId="180" fontId="12" fillId="10" borderId="39" xfId="0" applyNumberFormat="1" applyFont="1" applyFill="1" applyBorder="1" applyAlignment="1">
      <alignment horizontal="center" vertical="center"/>
    </xf>
    <xf numFmtId="180" fontId="12" fillId="10" borderId="94" xfId="0" applyNumberFormat="1" applyFont="1" applyFill="1" applyBorder="1" applyAlignment="1">
      <alignment horizontal="center" vertical="center"/>
    </xf>
    <xf numFmtId="0" fontId="22" fillId="35" borderId="96" xfId="0" applyFont="1" applyFill="1" applyBorder="1" applyAlignment="1">
      <alignment vertical="center"/>
    </xf>
    <xf numFmtId="0" fontId="22" fillId="35" borderId="34" xfId="0" applyFont="1" applyFill="1" applyBorder="1" applyAlignment="1">
      <alignment vertical="center"/>
    </xf>
    <xf numFmtId="180" fontId="12" fillId="0" borderId="40" xfId="0" applyNumberFormat="1" applyFont="1" applyFill="1" applyBorder="1" applyAlignment="1">
      <alignment horizontal="center" vertical="center"/>
    </xf>
    <xf numFmtId="180" fontId="12" fillId="0" borderId="153" xfId="0" applyNumberFormat="1" applyFont="1" applyFill="1" applyBorder="1" applyAlignment="1">
      <alignment horizontal="center" vertical="center"/>
    </xf>
    <xf numFmtId="0" fontId="22" fillId="0" borderId="0" xfId="0" applyFont="1" applyFill="1" applyAlignment="1">
      <alignment vertical="center"/>
    </xf>
    <xf numFmtId="180" fontId="229" fillId="0" borderId="0" xfId="0" applyNumberFormat="1" applyFont="1" applyFill="1" applyAlignment="1">
      <alignment horizontal="center" vertical="center"/>
    </xf>
    <xf numFmtId="0" fontId="229" fillId="0" borderId="0" xfId="0" applyFont="1" applyFill="1" applyAlignment="1">
      <alignment horizontal="center" vertical="center"/>
    </xf>
    <xf numFmtId="0" fontId="87" fillId="0" borderId="1" xfId="0" applyFont="1" applyFill="1" applyBorder="1" applyAlignment="1">
      <alignment vertical="center"/>
    </xf>
    <xf numFmtId="0" fontId="0" fillId="0" borderId="2" xfId="0" applyFill="1" applyBorder="1" applyAlignment="1">
      <alignment vertical="center"/>
    </xf>
    <xf numFmtId="0" fontId="229" fillId="0" borderId="2" xfId="0" applyFont="1" applyFill="1" applyBorder="1" applyAlignment="1">
      <alignment horizontal="center" vertical="center"/>
    </xf>
    <xf numFmtId="0" fontId="46" fillId="0" borderId="35" xfId="0" applyFont="1" applyFill="1" applyBorder="1" applyAlignment="1">
      <alignment horizontal="center" vertical="center" wrapText="1"/>
    </xf>
    <xf numFmtId="0" fontId="46" fillId="19" borderId="35" xfId="0" applyFont="1" applyFill="1" applyBorder="1" applyAlignment="1">
      <alignment horizontal="center" vertical="center" wrapText="1"/>
    </xf>
    <xf numFmtId="180" fontId="229" fillId="0" borderId="35" xfId="0" applyNumberFormat="1" applyFont="1" applyFill="1" applyBorder="1" applyAlignment="1">
      <alignment horizontal="center" vertical="center"/>
    </xf>
    <xf numFmtId="180" fontId="229" fillId="19" borderId="35" xfId="0" applyNumberFormat="1" applyFont="1" applyFill="1" applyBorder="1" applyAlignment="1">
      <alignment horizontal="center" vertical="center"/>
    </xf>
    <xf numFmtId="0" fontId="0" fillId="0" borderId="3" xfId="0" applyFill="1" applyBorder="1" applyAlignment="1">
      <alignment vertical="center"/>
    </xf>
    <xf numFmtId="180" fontId="0" fillId="0" borderId="0" xfId="0" applyNumberFormat="1" applyFill="1" applyBorder="1" applyAlignment="1">
      <alignment horizontal="center" vertical="center"/>
    </xf>
    <xf numFmtId="0" fontId="0" fillId="0" borderId="21" xfId="0" applyFill="1" applyBorder="1" applyAlignment="1">
      <alignment vertical="center"/>
    </xf>
    <xf numFmtId="180" fontId="0" fillId="0" borderId="22" xfId="0" applyNumberFormat="1" applyFill="1" applyBorder="1" applyAlignment="1">
      <alignment horizontal="center" vertical="center"/>
    </xf>
    <xf numFmtId="0" fontId="0" fillId="0" borderId="22" xfId="0" applyFill="1" applyBorder="1" applyAlignment="1">
      <alignment horizontal="center" vertical="center"/>
    </xf>
    <xf numFmtId="0" fontId="12" fillId="15" borderId="35" xfId="0" applyFont="1" applyFill="1" applyBorder="1" applyAlignment="1">
      <alignment horizontal="center" vertical="center"/>
    </xf>
    <xf numFmtId="180" fontId="12" fillId="15" borderId="46" xfId="0" applyNumberFormat="1" applyFont="1" applyFill="1" applyBorder="1" applyAlignment="1">
      <alignment horizontal="center" vertical="center"/>
    </xf>
    <xf numFmtId="0" fontId="12" fillId="0" borderId="46" xfId="0" applyFont="1" applyFill="1" applyBorder="1" applyAlignment="1">
      <alignment horizontal="center" vertical="center"/>
    </xf>
    <xf numFmtId="0" fontId="12" fillId="15" borderId="0" xfId="0" applyFont="1" applyFill="1" applyAlignment="1">
      <alignment horizontal="center" vertical="center"/>
    </xf>
    <xf numFmtId="180" fontId="12" fillId="0" borderId="116" xfId="0" applyNumberFormat="1" applyFont="1" applyFill="1" applyBorder="1" applyAlignment="1">
      <alignment horizontal="center" vertical="center"/>
    </xf>
    <xf numFmtId="0" fontId="12" fillId="0" borderId="74" xfId="0" applyFont="1" applyFill="1" applyBorder="1" applyAlignment="1">
      <alignment horizontal="center" vertical="center"/>
    </xf>
    <xf numFmtId="0" fontId="46" fillId="13" borderId="35" xfId="0" applyFont="1" applyFill="1" applyBorder="1" applyAlignment="1">
      <alignment horizontal="center" vertical="center" wrapText="1"/>
    </xf>
    <xf numFmtId="0" fontId="46" fillId="17" borderId="35" xfId="0" applyFont="1" applyFill="1" applyBorder="1" applyAlignment="1">
      <alignment horizontal="center" vertical="center" wrapText="1"/>
    </xf>
    <xf numFmtId="0" fontId="46" fillId="10" borderId="35" xfId="0" applyFont="1" applyFill="1" applyBorder="1" applyAlignment="1">
      <alignment horizontal="center" vertical="center" wrapText="1"/>
    </xf>
    <xf numFmtId="0" fontId="46" fillId="18" borderId="35" xfId="0" applyFont="1" applyFill="1" applyBorder="1" applyAlignment="1">
      <alignment horizontal="center" vertical="center" wrapText="1"/>
    </xf>
    <xf numFmtId="180" fontId="229" fillId="13" borderId="35" xfId="0" applyNumberFormat="1" applyFont="1" applyFill="1" applyBorder="1" applyAlignment="1">
      <alignment horizontal="center" vertical="center"/>
    </xf>
    <xf numFmtId="180" fontId="229" fillId="17" borderId="35" xfId="0" applyNumberFormat="1" applyFont="1" applyFill="1" applyBorder="1" applyAlignment="1">
      <alignment horizontal="center" vertical="center"/>
    </xf>
    <xf numFmtId="180" fontId="229" fillId="10" borderId="35" xfId="0" applyNumberFormat="1" applyFont="1" applyFill="1" applyBorder="1" applyAlignment="1">
      <alignment horizontal="center" vertical="center"/>
    </xf>
    <xf numFmtId="180" fontId="229" fillId="18" borderId="35" xfId="0" applyNumberFormat="1" applyFont="1" applyFill="1" applyBorder="1" applyAlignment="1">
      <alignment horizontal="center" vertical="center"/>
    </xf>
    <xf numFmtId="180" fontId="12" fillId="15" borderId="152" xfId="0" applyNumberFormat="1" applyFont="1" applyFill="1" applyBorder="1" applyAlignment="1">
      <alignment horizontal="center" vertical="center"/>
    </xf>
    <xf numFmtId="180" fontId="12" fillId="0" borderId="118" xfId="0" applyNumberFormat="1" applyFont="1" applyFill="1" applyBorder="1" applyAlignment="1">
      <alignment horizontal="center" vertical="center"/>
    </xf>
    <xf numFmtId="180" fontId="12" fillId="15" borderId="118" xfId="0" applyNumberFormat="1" applyFont="1" applyFill="1" applyBorder="1" applyAlignment="1">
      <alignment horizontal="center" vertical="center"/>
    </xf>
    <xf numFmtId="180" fontId="12" fillId="10" borderId="118" xfId="0" applyNumberFormat="1" applyFont="1" applyFill="1" applyBorder="1" applyAlignment="1">
      <alignment horizontal="center" vertical="center"/>
    </xf>
    <xf numFmtId="180" fontId="12" fillId="0" borderId="188" xfId="0" applyNumberFormat="1" applyFont="1" applyFill="1" applyBorder="1" applyAlignment="1">
      <alignment horizontal="center" vertical="center"/>
    </xf>
    <xf numFmtId="0" fontId="229" fillId="0" borderId="28" xfId="0" applyFont="1" applyFill="1" applyBorder="1" applyAlignment="1">
      <alignment horizontal="center" vertical="center"/>
    </xf>
    <xf numFmtId="0" fontId="0" fillId="0" borderId="34" xfId="0" applyFill="1" applyBorder="1" applyAlignment="1">
      <alignment horizontal="center" vertical="center"/>
    </xf>
    <xf numFmtId="180" fontId="42" fillId="35" borderId="35" xfId="0" applyNumberFormat="1" applyFont="1" applyFill="1" applyBorder="1" applyAlignment="1">
      <alignment horizontal="center" vertical="center"/>
    </xf>
    <xf numFmtId="180" fontId="42" fillId="19" borderId="35" xfId="0" applyNumberFormat="1" applyFont="1" applyFill="1" applyBorder="1" applyAlignment="1">
      <alignment horizontal="center" vertical="center"/>
    </xf>
    <xf numFmtId="180" fontId="42" fillId="13" borderId="35" xfId="0" applyNumberFormat="1" applyFont="1" applyFill="1" applyBorder="1" applyAlignment="1">
      <alignment horizontal="center" vertical="center"/>
    </xf>
    <xf numFmtId="0" fontId="24" fillId="0" borderId="57" xfId="0" applyFont="1" applyFill="1" applyBorder="1" applyAlignment="1">
      <alignment vertical="center"/>
    </xf>
    <xf numFmtId="0" fontId="24" fillId="0" borderId="58" xfId="0" applyFont="1" applyFill="1" applyBorder="1" applyAlignment="1">
      <alignment vertical="center"/>
    </xf>
    <xf numFmtId="0" fontId="0" fillId="35" borderId="94" xfId="0" applyFont="1" applyFill="1" applyBorder="1" applyAlignment="1">
      <alignment horizontal="center" vertical="center" wrapText="1"/>
    </xf>
    <xf numFmtId="0" fontId="0" fillId="35" borderId="60" xfId="0" applyFont="1" applyFill="1" applyBorder="1" applyAlignment="1">
      <alignment horizontal="center" vertical="center" wrapText="1"/>
    </xf>
    <xf numFmtId="180" fontId="0" fillId="35" borderId="56" xfId="0" applyNumberFormat="1" applyFont="1" applyFill="1" applyBorder="1" applyAlignment="1">
      <alignment horizontal="center" vertical="center"/>
    </xf>
    <xf numFmtId="180" fontId="0" fillId="19" borderId="74" xfId="0" applyNumberFormat="1" applyFont="1" applyFill="1" applyBorder="1" applyAlignment="1">
      <alignment horizontal="center" vertical="center"/>
    </xf>
    <xf numFmtId="180" fontId="0" fillId="35" borderId="74" xfId="0" applyNumberFormat="1" applyFont="1" applyFill="1" applyBorder="1" applyAlignment="1">
      <alignment horizontal="center" vertical="center"/>
    </xf>
    <xf numFmtId="180" fontId="0" fillId="13" borderId="74" xfId="0" applyNumberFormat="1" applyFont="1" applyFill="1" applyBorder="1" applyAlignment="1">
      <alignment horizontal="center" vertical="center"/>
    </xf>
    <xf numFmtId="0" fontId="225" fillId="0" borderId="35" xfId="0" applyFont="1" applyFill="1" applyBorder="1" applyAlignment="1">
      <alignment horizontal="center" vertical="center" wrapText="1"/>
    </xf>
    <xf numFmtId="176" fontId="0" fillId="0" borderId="35" xfId="0" applyNumberFormat="1" applyFill="1" applyBorder="1" applyAlignment="1">
      <alignment vertical="center"/>
    </xf>
    <xf numFmtId="176" fontId="0" fillId="19" borderId="35" xfId="0" applyNumberFormat="1" applyFont="1" applyFill="1" applyBorder="1" applyAlignment="1">
      <alignment horizontal="center" vertical="center" wrapText="1"/>
    </xf>
    <xf numFmtId="176" fontId="0" fillId="35" borderId="35" xfId="0" applyNumberFormat="1" applyFont="1" applyFill="1" applyBorder="1" applyAlignment="1">
      <alignment horizontal="center" vertical="center" wrapText="1"/>
    </xf>
    <xf numFmtId="176" fontId="0" fillId="13" borderId="35" xfId="0" applyNumberFormat="1" applyFont="1" applyFill="1" applyBorder="1" applyAlignment="1">
      <alignment horizontal="center" vertical="center" wrapText="1"/>
    </xf>
    <xf numFmtId="0" fontId="225" fillId="0" borderId="35" xfId="0" applyFont="1" applyFill="1" applyBorder="1" applyAlignment="1">
      <alignment vertical="center" wrapText="1"/>
    </xf>
    <xf numFmtId="0" fontId="42" fillId="17" borderId="35" xfId="0" applyFont="1" applyFill="1" applyBorder="1" applyAlignment="1">
      <alignment horizontal="center" vertical="center"/>
    </xf>
    <xf numFmtId="180" fontId="42" fillId="10" borderId="35" xfId="0" applyNumberFormat="1" applyFont="1" applyFill="1" applyBorder="1" applyAlignment="1">
      <alignment horizontal="center" vertical="center"/>
    </xf>
    <xf numFmtId="0" fontId="42" fillId="35" borderId="35" xfId="0" applyFont="1" applyFill="1" applyBorder="1" applyAlignment="1">
      <alignment horizontal="center" vertical="center" wrapText="1"/>
    </xf>
    <xf numFmtId="0" fontId="42" fillId="18" borderId="35" xfId="0" applyFont="1" applyFill="1" applyBorder="1" applyAlignment="1">
      <alignment horizontal="center" vertical="center" wrapText="1"/>
    </xf>
    <xf numFmtId="0" fontId="0" fillId="10" borderId="35" xfId="0" applyFont="1" applyFill="1" applyBorder="1" applyAlignment="1">
      <alignment horizontal="center" vertical="center" wrapText="1"/>
    </xf>
    <xf numFmtId="180" fontId="0" fillId="10" borderId="116" xfId="0" applyNumberFormat="1" applyFont="1" applyFill="1" applyBorder="1" applyAlignment="1">
      <alignment horizontal="center" vertical="center"/>
    </xf>
    <xf numFmtId="0" fontId="0" fillId="35" borderId="74" xfId="0" applyFont="1" applyFill="1" applyBorder="1" applyAlignment="1">
      <alignment horizontal="center" vertical="center" wrapText="1"/>
    </xf>
    <xf numFmtId="0" fontId="0" fillId="18" borderId="74" xfId="0" applyFont="1" applyFill="1" applyBorder="1" applyAlignment="1">
      <alignment horizontal="center" vertical="center" wrapText="1"/>
    </xf>
    <xf numFmtId="176" fontId="0" fillId="17" borderId="35" xfId="0" applyNumberFormat="1" applyFont="1" applyFill="1" applyBorder="1" applyAlignment="1">
      <alignment horizontal="center" vertical="center" wrapText="1"/>
    </xf>
    <xf numFmtId="176" fontId="0" fillId="10" borderId="35" xfId="0" applyNumberFormat="1" applyFont="1" applyFill="1" applyBorder="1" applyAlignment="1">
      <alignment horizontal="center" vertical="center" wrapText="1"/>
    </xf>
    <xf numFmtId="176" fontId="0" fillId="18" borderId="35" xfId="0" applyNumberFormat="1" applyFont="1" applyFill="1" applyBorder="1" applyAlignment="1">
      <alignment horizontal="center" vertical="center" wrapText="1"/>
    </xf>
    <xf numFmtId="0" fontId="22" fillId="0" borderId="0" xfId="0" applyFont="1"/>
    <xf numFmtId="0" fontId="22" fillId="0" borderId="52" xfId="0" applyFont="1" applyBorder="1"/>
    <xf numFmtId="0" fontId="22" fillId="0" borderId="36" xfId="0" applyFont="1" applyBorder="1"/>
    <xf numFmtId="0" fontId="49" fillId="0" borderId="36" xfId="0" applyFont="1" applyBorder="1" applyAlignment="1">
      <alignment horizontal="center"/>
    </xf>
    <xf numFmtId="0" fontId="22" fillId="0" borderId="40" xfId="0" applyFont="1" applyBorder="1"/>
    <xf numFmtId="0" fontId="22" fillId="0" borderId="47" xfId="0" applyFont="1" applyBorder="1"/>
    <xf numFmtId="0" fontId="49" fillId="0" borderId="47" xfId="0" applyFont="1" applyBorder="1" applyAlignment="1">
      <alignment horizontal="center"/>
    </xf>
    <xf numFmtId="0" fontId="22" fillId="0" borderId="3" xfId="0" applyFont="1" applyBorder="1"/>
    <xf numFmtId="0" fontId="22" fillId="0" borderId="0" xfId="0" applyFont="1" applyBorder="1"/>
    <xf numFmtId="0" fontId="49" fillId="0" borderId="0" xfId="0" applyFont="1" applyBorder="1" applyAlignment="1">
      <alignment horizontal="center"/>
    </xf>
    <xf numFmtId="0" fontId="35" fillId="0" borderId="52" xfId="0" applyFont="1" applyBorder="1"/>
    <xf numFmtId="0" fontId="231" fillId="0" borderId="36" xfId="0" applyFont="1" applyBorder="1"/>
    <xf numFmtId="0" fontId="49" fillId="0" borderId="64" xfId="0" applyFont="1" applyBorder="1" applyAlignment="1">
      <alignment horizontal="center"/>
    </xf>
    <xf numFmtId="0" fontId="232" fillId="0" borderId="0" xfId="0" applyFont="1" applyBorder="1" applyAlignment="1">
      <alignment horizontal="center"/>
    </xf>
    <xf numFmtId="0" fontId="37" fillId="0" borderId="52" xfId="0" applyFont="1" applyFill="1" applyBorder="1"/>
    <xf numFmtId="0" fontId="51" fillId="0" borderId="39" xfId="0" applyFont="1" applyBorder="1" applyAlignment="1"/>
    <xf numFmtId="0" fontId="37" fillId="0" borderId="35" xfId="0" applyFont="1" applyBorder="1"/>
    <xf numFmtId="0" fontId="82" fillId="0" borderId="35" xfId="0" applyFont="1" applyBorder="1"/>
    <xf numFmtId="0" fontId="49" fillId="0" borderId="46" xfId="0" applyFont="1" applyBorder="1" applyAlignment="1">
      <alignment horizontal="right"/>
    </xf>
    <xf numFmtId="0" fontId="37" fillId="0" borderId="40" xfId="0" applyFont="1" applyBorder="1"/>
    <xf numFmtId="0" fontId="51" fillId="0" borderId="39" xfId="0" applyFont="1" applyBorder="1"/>
    <xf numFmtId="0" fontId="57" fillId="0" borderId="35" xfId="0" applyFont="1" applyBorder="1"/>
    <xf numFmtId="0" fontId="233" fillId="0" borderId="0" xfId="0" applyFont="1" applyBorder="1"/>
    <xf numFmtId="0" fontId="51" fillId="0" borderId="115" xfId="0" applyFont="1" applyBorder="1"/>
    <xf numFmtId="0" fontId="37" fillId="0" borderId="74" xfId="0" applyFont="1" applyBorder="1"/>
    <xf numFmtId="0" fontId="82" fillId="0" borderId="74" xfId="0" applyFont="1" applyBorder="1"/>
    <xf numFmtId="0" fontId="22" fillId="0" borderId="116" xfId="0" applyFont="1" applyBorder="1"/>
    <xf numFmtId="0" fontId="233" fillId="0" borderId="154" xfId="0" applyFont="1" applyBorder="1"/>
    <xf numFmtId="0" fontId="51" fillId="0" borderId="38" xfId="0" applyFont="1" applyBorder="1"/>
    <xf numFmtId="0" fontId="37" fillId="0" borderId="44" xfId="0" applyFont="1" applyBorder="1"/>
    <xf numFmtId="183" fontId="234" fillId="0" borderId="44" xfId="0" applyNumberFormat="1" applyFont="1" applyBorder="1" applyAlignment="1">
      <alignment horizontal="right"/>
    </xf>
    <xf numFmtId="0" fontId="49" fillId="0" borderId="44" xfId="0" applyFont="1" applyBorder="1" applyAlignment="1">
      <alignment horizontal="right"/>
    </xf>
    <xf numFmtId="183" fontId="39" fillId="0" borderId="162" xfId="0" applyNumberFormat="1" applyFont="1" applyBorder="1" applyAlignment="1">
      <alignment horizontal="center"/>
    </xf>
    <xf numFmtId="0" fontId="49" fillId="0" borderId="45" xfId="0" applyFont="1" applyBorder="1" applyAlignment="1">
      <alignment horizontal="right"/>
    </xf>
    <xf numFmtId="0" fontId="37" fillId="0" borderId="39" xfId="0" applyFont="1" applyFill="1" applyBorder="1"/>
    <xf numFmtId="180" fontId="22" fillId="0" borderId="35" xfId="0" applyNumberFormat="1" applyFont="1" applyBorder="1" applyAlignment="1">
      <alignment horizontal="right"/>
    </xf>
    <xf numFmtId="0" fontId="49" fillId="0" borderId="35" xfId="0" applyFont="1" applyBorder="1" applyAlignment="1">
      <alignment horizontal="right"/>
    </xf>
    <xf numFmtId="186" fontId="39" fillId="0" borderId="94" xfId="0" applyNumberFormat="1" applyFont="1" applyBorder="1" applyAlignment="1">
      <alignment horizontal="center"/>
    </xf>
    <xf numFmtId="0" fontId="37" fillId="0" borderId="40" xfId="0" applyFont="1" applyFill="1" applyBorder="1"/>
    <xf numFmtId="0" fontId="49" fillId="0" borderId="47" xfId="0" applyFont="1" applyBorder="1" applyAlignment="1">
      <alignment horizontal="right"/>
    </xf>
    <xf numFmtId="186" fontId="39" fillId="0" borderId="153" xfId="0" applyNumberFormat="1" applyFont="1" applyBorder="1" applyAlignment="1">
      <alignment horizontal="center"/>
    </xf>
    <xf numFmtId="0" fontId="49" fillId="0" borderId="48" xfId="0" applyFont="1" applyBorder="1" applyAlignment="1">
      <alignment horizontal="right"/>
    </xf>
    <xf numFmtId="0" fontId="37" fillId="0" borderId="21" xfId="0" applyFont="1" applyFill="1" applyBorder="1"/>
    <xf numFmtId="0" fontId="22" fillId="0" borderId="22" xfId="0" applyFont="1" applyBorder="1"/>
    <xf numFmtId="186" fontId="39" fillId="0" borderId="22" xfId="0" applyNumberFormat="1" applyFont="1" applyBorder="1" applyAlignment="1">
      <alignment horizontal="center"/>
    </xf>
    <xf numFmtId="0" fontId="49" fillId="0" borderId="22" xfId="0" applyFont="1" applyBorder="1" applyAlignment="1">
      <alignment horizontal="right"/>
    </xf>
    <xf numFmtId="0" fontId="49" fillId="0" borderId="64" xfId="0" applyFont="1" applyBorder="1" applyAlignment="1">
      <alignment horizontal="right"/>
    </xf>
    <xf numFmtId="0" fontId="37" fillId="0" borderId="115" xfId="0" applyFont="1" applyFill="1" applyBorder="1"/>
    <xf numFmtId="0" fontId="49" fillId="0" borderId="74" xfId="0" applyFont="1" applyBorder="1" applyAlignment="1">
      <alignment horizontal="right"/>
    </xf>
    <xf numFmtId="186" fontId="39" fillId="0" borderId="56" xfId="0" applyNumberFormat="1" applyFont="1" applyBorder="1" applyAlignment="1">
      <alignment horizontal="center"/>
    </xf>
    <xf numFmtId="0" fontId="49" fillId="0" borderId="116" xfId="0" applyFont="1" applyBorder="1" applyAlignment="1">
      <alignment horizontal="right"/>
    </xf>
    <xf numFmtId="0" fontId="22" fillId="0" borderId="38" xfId="0" applyFont="1" applyBorder="1"/>
    <xf numFmtId="0" fontId="22" fillId="0" borderId="44" xfId="0" applyFont="1" applyBorder="1"/>
    <xf numFmtId="0" fontId="49" fillId="0" borderId="44" xfId="0" applyFont="1" applyBorder="1" applyAlignment="1">
      <alignment horizontal="center"/>
    </xf>
    <xf numFmtId="176" fontId="236" fillId="0" borderId="44" xfId="0" applyNumberFormat="1" applyFont="1" applyBorder="1"/>
    <xf numFmtId="176" fontId="236" fillId="0" borderId="161" xfId="0" applyNumberFormat="1" applyFont="1" applyBorder="1" applyAlignment="1">
      <alignment horizontal="center"/>
    </xf>
    <xf numFmtId="0" fontId="22" fillId="0" borderId="44" xfId="0" applyFont="1" applyBorder="1" applyAlignment="1">
      <alignment horizontal="center"/>
    </xf>
    <xf numFmtId="176" fontId="236" fillId="0" borderId="36" xfId="0" applyNumberFormat="1" applyFont="1" applyBorder="1"/>
    <xf numFmtId="0" fontId="22" fillId="0" borderId="39" xfId="0" applyFont="1" applyBorder="1"/>
    <xf numFmtId="0" fontId="22" fillId="0" borderId="35" xfId="0" applyFont="1" applyBorder="1"/>
    <xf numFmtId="0" fontId="49" fillId="0" borderId="35" xfId="0" applyFont="1" applyBorder="1" applyAlignment="1">
      <alignment horizontal="center"/>
    </xf>
    <xf numFmtId="187" fontId="17" fillId="0" borderId="35" xfId="0" applyNumberFormat="1" applyFont="1" applyBorder="1"/>
    <xf numFmtId="0" fontId="17" fillId="0" borderId="93" xfId="0" applyFont="1" applyBorder="1" applyAlignment="1">
      <alignment horizontal="center"/>
    </xf>
    <xf numFmtId="0" fontId="51" fillId="0" borderId="35" xfId="0" applyFont="1" applyBorder="1" applyAlignment="1">
      <alignment horizontal="right"/>
    </xf>
    <xf numFmtId="183" fontId="236" fillId="0" borderId="35" xfId="0" applyNumberFormat="1" applyFont="1" applyBorder="1"/>
    <xf numFmtId="180" fontId="236" fillId="0" borderId="93" xfId="0" applyNumberFormat="1" applyFont="1" applyBorder="1" applyAlignment="1">
      <alignment horizontal="center"/>
    </xf>
    <xf numFmtId="183" fontId="50" fillId="0" borderId="35" xfId="0" applyNumberFormat="1" applyFont="1" applyBorder="1"/>
    <xf numFmtId="176" fontId="50" fillId="0" borderId="35" xfId="0" applyNumberFormat="1" applyFont="1" applyBorder="1"/>
    <xf numFmtId="176" fontId="236" fillId="0" borderId="35" xfId="0" applyNumberFormat="1" applyFont="1" applyBorder="1"/>
    <xf numFmtId="176" fontId="50" fillId="0" borderId="93" xfId="0" applyNumberFormat="1" applyFont="1" applyBorder="1" applyAlignment="1">
      <alignment horizontal="center"/>
    </xf>
    <xf numFmtId="0" fontId="22" fillId="0" borderId="35" xfId="0" applyFont="1" applyBorder="1" applyAlignment="1">
      <alignment horizontal="center"/>
    </xf>
    <xf numFmtId="176" fontId="236" fillId="0" borderId="93" xfId="0" applyNumberFormat="1" applyFont="1" applyBorder="1" applyAlignment="1">
      <alignment horizontal="center"/>
    </xf>
    <xf numFmtId="0" fontId="22" fillId="0" borderId="47" xfId="0" applyFont="1" applyBorder="1" applyAlignment="1">
      <alignment horizontal="center"/>
    </xf>
    <xf numFmtId="180" fontId="50" fillId="0" borderId="47" xfId="0" applyNumberFormat="1" applyFont="1" applyBorder="1"/>
    <xf numFmtId="0" fontId="17" fillId="0" borderId="156" xfId="0" applyFont="1" applyBorder="1" applyAlignment="1">
      <alignment horizontal="center"/>
    </xf>
    <xf numFmtId="0" fontId="17" fillId="0" borderId="0" xfId="0" applyFont="1" applyAlignment="1">
      <alignment horizontal="center"/>
    </xf>
    <xf numFmtId="0" fontId="17" fillId="0" borderId="64" xfId="0" applyFont="1" applyBorder="1" applyAlignment="1">
      <alignment horizontal="right"/>
    </xf>
    <xf numFmtId="0" fontId="37" fillId="0" borderId="38" xfId="0" applyFont="1" applyFill="1" applyBorder="1"/>
    <xf numFmtId="0" fontId="17" fillId="0" borderId="46" xfId="0" applyFont="1" applyBorder="1" applyAlignment="1">
      <alignment horizontal="right"/>
    </xf>
    <xf numFmtId="0" fontId="0" fillId="0" borderId="116" xfId="0" applyBorder="1"/>
    <xf numFmtId="0" fontId="233" fillId="0" borderId="158" xfId="0" applyFont="1" applyBorder="1"/>
    <xf numFmtId="0" fontId="57" fillId="0" borderId="159" xfId="0" applyFont="1" applyBorder="1"/>
    <xf numFmtId="0" fontId="17" fillId="0" borderId="44" xfId="0" applyFont="1" applyBorder="1" applyAlignment="1">
      <alignment horizontal="right"/>
    </xf>
    <xf numFmtId="183" fontId="39" fillId="0" borderId="44" xfId="0" applyNumberFormat="1" applyFont="1" applyBorder="1" applyAlignment="1">
      <alignment horizontal="center"/>
    </xf>
    <xf numFmtId="0" fontId="37" fillId="0" borderId="0" xfId="0" applyFont="1" applyBorder="1"/>
    <xf numFmtId="0" fontId="17" fillId="0" borderId="35" xfId="0" applyFont="1" applyBorder="1" applyAlignment="1">
      <alignment horizontal="right"/>
    </xf>
    <xf numFmtId="186" fontId="39" fillId="0" borderId="35" xfId="0" applyNumberFormat="1" applyFont="1" applyBorder="1" applyAlignment="1">
      <alignment horizontal="center"/>
    </xf>
    <xf numFmtId="186" fontId="39" fillId="0" borderId="47" xfId="0" applyNumberFormat="1" applyFont="1" applyBorder="1" applyAlignment="1">
      <alignment horizontal="center"/>
    </xf>
    <xf numFmtId="0" fontId="37" fillId="0" borderId="0" xfId="0" applyFont="1" applyFill="1" applyBorder="1"/>
    <xf numFmtId="0" fontId="51" fillId="0" borderId="0" xfId="0" applyFont="1" applyFill="1" applyBorder="1"/>
    <xf numFmtId="0" fontId="35" fillId="0" borderId="0" xfId="0" applyFont="1"/>
    <xf numFmtId="0" fontId="49" fillId="0" borderId="59" xfId="0" applyFont="1" applyBorder="1" applyAlignment="1">
      <alignment horizontal="center"/>
    </xf>
    <xf numFmtId="0" fontId="233" fillId="0" borderId="0" xfId="0" applyFont="1" applyFill="1" applyBorder="1"/>
    <xf numFmtId="0" fontId="238" fillId="0" borderId="0" xfId="1" applyFont="1" applyAlignment="1" applyProtection="1"/>
    <xf numFmtId="0" fontId="49" fillId="0" borderId="156" xfId="0" applyFont="1" applyBorder="1" applyAlignment="1">
      <alignment horizontal="center"/>
    </xf>
    <xf numFmtId="0" fontId="22" fillId="0" borderId="42" xfId="0" applyFont="1" applyBorder="1"/>
    <xf numFmtId="0" fontId="49" fillId="0" borderId="42" xfId="0" applyFont="1" applyBorder="1" applyAlignment="1">
      <alignment horizontal="center"/>
    </xf>
    <xf numFmtId="0" fontId="22" fillId="0" borderId="59" xfId="0" applyFont="1" applyBorder="1" applyAlignment="1">
      <alignment horizontal="center"/>
    </xf>
    <xf numFmtId="0" fontId="35" fillId="0" borderId="60" xfId="0" applyFont="1" applyBorder="1"/>
    <xf numFmtId="183" fontId="231" fillId="0" borderId="156" xfId="0" applyNumberFormat="1" applyFont="1" applyBorder="1"/>
    <xf numFmtId="0" fontId="51" fillId="0" borderId="94" xfId="0" applyFont="1" applyBorder="1" applyAlignment="1"/>
    <xf numFmtId="0" fontId="63" fillId="0" borderId="0" xfId="0" applyFont="1" applyBorder="1" applyAlignment="1">
      <alignment horizontal="center"/>
    </xf>
    <xf numFmtId="0" fontId="51" fillId="0" borderId="94" xfId="0" applyFont="1" applyBorder="1"/>
    <xf numFmtId="0" fontId="57" fillId="0" borderId="95" xfId="0" applyFont="1" applyBorder="1"/>
    <xf numFmtId="0" fontId="82" fillId="0" borderId="262" xfId="0" applyFont="1" applyBorder="1" applyAlignment="1">
      <alignment horizontal="center"/>
    </xf>
    <xf numFmtId="0" fontId="51" fillId="0" borderId="56" xfId="0" applyFont="1" applyBorder="1"/>
    <xf numFmtId="0" fontId="37" fillId="0" borderId="2" xfId="0" applyFont="1" applyBorder="1"/>
    <xf numFmtId="183" fontId="22" fillId="0" borderId="1" xfId="0" applyNumberFormat="1" applyFont="1" applyBorder="1" applyAlignment="1">
      <alignment horizontal="center"/>
    </xf>
    <xf numFmtId="0" fontId="51" fillId="0" borderId="162" xfId="0" applyFont="1" applyBorder="1"/>
    <xf numFmtId="183" fontId="22" fillId="0" borderId="21" xfId="0" applyNumberFormat="1" applyFont="1" applyBorder="1" applyAlignment="1">
      <alignment horizontal="center"/>
    </xf>
    <xf numFmtId="0" fontId="37" fillId="0" borderId="94" xfId="0" applyFont="1" applyFill="1" applyBorder="1"/>
    <xf numFmtId="186" fontId="22" fillId="0" borderId="41" xfId="0" applyNumberFormat="1" applyFont="1" applyBorder="1"/>
    <xf numFmtId="0" fontId="37" fillId="0" borderId="153" xfId="0" applyFont="1" applyFill="1" applyBorder="1"/>
    <xf numFmtId="186" fontId="0" fillId="0" borderId="22" xfId="0" applyNumberFormat="1" applyBorder="1"/>
    <xf numFmtId="0" fontId="37" fillId="0" borderId="22" xfId="0" applyFont="1" applyFill="1" applyBorder="1"/>
    <xf numFmtId="186" fontId="22" fillId="0" borderId="1" xfId="0" applyNumberFormat="1" applyFont="1" applyBorder="1"/>
    <xf numFmtId="0" fontId="37" fillId="0" borderId="56" xfId="0" applyFont="1" applyFill="1" applyBorder="1"/>
    <xf numFmtId="180" fontId="50" fillId="0" borderId="44" xfId="0" applyNumberFormat="1" applyFont="1" applyBorder="1"/>
    <xf numFmtId="0" fontId="17" fillId="0" borderId="45" xfId="0" applyFont="1" applyBorder="1" applyAlignment="1">
      <alignment horizontal="center"/>
    </xf>
    <xf numFmtId="180" fontId="240" fillId="0" borderId="35" xfId="0" applyNumberFormat="1" applyFont="1" applyBorder="1"/>
    <xf numFmtId="0" fontId="17" fillId="0" borderId="46" xfId="0" applyFont="1" applyBorder="1" applyAlignment="1">
      <alignment horizontal="center"/>
    </xf>
    <xf numFmtId="180" fontId="50" fillId="0" borderId="35" xfId="0" applyNumberFormat="1" applyFont="1" applyBorder="1"/>
    <xf numFmtId="180" fontId="50" fillId="0" borderId="93" xfId="0" applyNumberFormat="1" applyFont="1" applyBorder="1" applyAlignment="1">
      <alignment horizontal="center"/>
    </xf>
    <xf numFmtId="176" fontId="241" fillId="0" borderId="35" xfId="0" applyNumberFormat="1" applyFont="1" applyBorder="1"/>
    <xf numFmtId="180" fontId="17" fillId="0" borderId="35" xfId="0" applyNumberFormat="1" applyFont="1" applyBorder="1"/>
    <xf numFmtId="180" fontId="236" fillId="0" borderId="35" xfId="0" applyNumberFormat="1" applyFont="1" applyBorder="1"/>
    <xf numFmtId="183" fontId="17" fillId="0" borderId="35" xfId="0" applyNumberFormat="1" applyFont="1" applyBorder="1" applyAlignment="1">
      <alignment horizontal="center"/>
    </xf>
    <xf numFmtId="0" fontId="42" fillId="0" borderId="0" xfId="0" applyFont="1" applyBorder="1" applyAlignment="1">
      <alignment horizontal="center"/>
    </xf>
    <xf numFmtId="0" fontId="22" fillId="0" borderId="45" xfId="0" applyFont="1" applyBorder="1" applyAlignment="1">
      <alignment horizontal="center"/>
    </xf>
    <xf numFmtId="183" fontId="231" fillId="0" borderId="48" xfId="0" applyNumberFormat="1" applyFont="1" applyBorder="1"/>
    <xf numFmtId="0" fontId="63" fillId="0" borderId="29" xfId="0" applyFont="1" applyBorder="1" applyAlignment="1">
      <alignment horizontal="center"/>
    </xf>
    <xf numFmtId="0" fontId="39" fillId="0" borderId="0" xfId="0" applyFont="1" applyBorder="1" applyAlignment="1">
      <alignment horizontal="center"/>
    </xf>
    <xf numFmtId="0" fontId="82" fillId="0" borderId="160" xfId="0" applyFont="1" applyBorder="1" applyAlignment="1">
      <alignment horizontal="center"/>
    </xf>
    <xf numFmtId="183" fontId="39" fillId="0" borderId="0" xfId="0" applyNumberFormat="1" applyFont="1" applyBorder="1"/>
    <xf numFmtId="183" fontId="22" fillId="0" borderId="37" xfId="0" applyNumberFormat="1" applyFont="1" applyBorder="1" applyAlignment="1">
      <alignment horizontal="center"/>
    </xf>
    <xf numFmtId="0" fontId="48" fillId="0" borderId="0" xfId="0" applyFont="1" applyBorder="1" applyAlignment="1">
      <alignment horizontal="center"/>
    </xf>
    <xf numFmtId="183" fontId="22" fillId="0" borderId="263" xfId="0" applyNumberFormat="1" applyFont="1" applyBorder="1" applyAlignment="1">
      <alignment horizontal="center"/>
    </xf>
    <xf numFmtId="183" fontId="39" fillId="0" borderId="0" xfId="0" applyNumberFormat="1" applyFont="1" applyBorder="1" applyAlignment="1">
      <alignment horizontal="center"/>
    </xf>
    <xf numFmtId="186" fontId="0" fillId="0" borderId="141" xfId="0" applyNumberFormat="1" applyBorder="1"/>
    <xf numFmtId="186" fontId="0" fillId="0" borderId="0" xfId="0" applyNumberFormat="1" applyBorder="1"/>
    <xf numFmtId="0" fontId="49" fillId="0" borderId="43" xfId="0" applyFont="1" applyBorder="1" applyAlignment="1">
      <alignment horizontal="center"/>
    </xf>
    <xf numFmtId="0" fontId="22" fillId="0" borderId="64" xfId="0" applyFont="1" applyBorder="1" applyAlignment="1">
      <alignment horizontal="center"/>
    </xf>
    <xf numFmtId="0" fontId="82" fillId="0" borderId="157" xfId="0" applyFont="1" applyBorder="1" applyAlignment="1">
      <alignment horizontal="center"/>
    </xf>
    <xf numFmtId="186" fontId="22" fillId="0" borderId="141" xfId="0" applyNumberFormat="1" applyFont="1" applyBorder="1"/>
    <xf numFmtId="186" fontId="0" fillId="0" borderId="34" xfId="0" applyNumberFormat="1" applyBorder="1"/>
    <xf numFmtId="186" fontId="22" fillId="0" borderId="37" xfId="0" applyNumberFormat="1" applyFont="1" applyBorder="1"/>
    <xf numFmtId="180" fontId="17" fillId="0" borderId="35" xfId="0" applyNumberFormat="1" applyFont="1" applyBorder="1" applyAlignment="1">
      <alignment horizontal="center"/>
    </xf>
    <xf numFmtId="0" fontId="37" fillId="0" borderId="119" xfId="0" applyFont="1" applyFill="1" applyBorder="1"/>
    <xf numFmtId="0" fontId="49" fillId="0" borderId="63" xfId="0" applyFont="1" applyBorder="1" applyAlignment="1">
      <alignment horizontal="center"/>
    </xf>
    <xf numFmtId="178" fontId="39" fillId="0" borderId="44" xfId="0" applyNumberFormat="1" applyFont="1" applyBorder="1" applyAlignment="1">
      <alignment horizontal="center"/>
    </xf>
    <xf numFmtId="180" fontId="0" fillId="0" borderId="0" xfId="0" applyNumberFormat="1"/>
    <xf numFmtId="183" fontId="0" fillId="0" borderId="0" xfId="0" applyNumberFormat="1"/>
    <xf numFmtId="0" fontId="22" fillId="0" borderId="120" xfId="0" applyFont="1" applyBorder="1" applyAlignment="1">
      <alignment horizontal="center"/>
    </xf>
    <xf numFmtId="0" fontId="241" fillId="0" borderId="0" xfId="0" applyFont="1"/>
    <xf numFmtId="0" fontId="27" fillId="0" borderId="35" xfId="0" applyFont="1" applyFill="1" applyBorder="1" applyAlignment="1">
      <alignment vertical="center"/>
    </xf>
    <xf numFmtId="180" fontId="0" fillId="0" borderId="35" xfId="0" applyNumberFormat="1" applyFill="1" applyBorder="1" applyAlignment="1">
      <alignment vertical="center"/>
    </xf>
    <xf numFmtId="0" fontId="42" fillId="0" borderId="35" xfId="0" applyFont="1" applyFill="1" applyBorder="1" applyAlignment="1">
      <alignment vertical="center"/>
    </xf>
    <xf numFmtId="178" fontId="0" fillId="0" borderId="35" xfId="0" applyNumberFormat="1" applyFill="1" applyBorder="1" applyAlignment="1">
      <alignment vertical="center"/>
    </xf>
    <xf numFmtId="186" fontId="0" fillId="0" borderId="35" xfId="0" applyNumberFormat="1" applyFill="1" applyBorder="1" applyAlignment="1">
      <alignment vertical="center"/>
    </xf>
    <xf numFmtId="0" fontId="0" fillId="39" borderId="42" xfId="0" applyFill="1" applyBorder="1" applyAlignment="1">
      <alignment vertical="center"/>
    </xf>
    <xf numFmtId="0" fontId="0" fillId="39" borderId="41" xfId="0" applyFill="1" applyBorder="1" applyAlignment="1">
      <alignment vertical="center"/>
    </xf>
    <xf numFmtId="0" fontId="42" fillId="0" borderId="0" xfId="0" applyFont="1" applyFill="1" applyBorder="1" applyAlignment="1">
      <alignment vertical="center"/>
    </xf>
    <xf numFmtId="0" fontId="244" fillId="0" borderId="0" xfId="0" applyFont="1" applyFill="1" applyAlignment="1">
      <alignment vertical="center"/>
    </xf>
    <xf numFmtId="0" fontId="0" fillId="35" borderId="0" xfId="0" applyFill="1" applyBorder="1" applyAlignment="1">
      <alignment vertical="center"/>
    </xf>
    <xf numFmtId="0" fontId="245" fillId="0" borderId="0" xfId="0" applyFont="1" applyFill="1" applyAlignment="1" applyProtection="1">
      <alignment vertical="center"/>
    </xf>
    <xf numFmtId="0" fontId="0" fillId="23" borderId="35" xfId="0" applyFill="1" applyBorder="1" applyAlignment="1" applyProtection="1">
      <alignment horizontal="center" vertical="center"/>
    </xf>
    <xf numFmtId="0" fontId="246" fillId="8" borderId="35" xfId="0" applyFont="1" applyFill="1" applyBorder="1" applyAlignment="1" applyProtection="1">
      <alignment horizontal="center" vertical="center"/>
    </xf>
    <xf numFmtId="0" fontId="152" fillId="35" borderId="0" xfId="0" applyFont="1" applyFill="1" applyBorder="1" applyAlignment="1">
      <alignment horizontal="center" vertical="center"/>
    </xf>
    <xf numFmtId="0" fontId="247" fillId="14" borderId="35" xfId="0" applyFont="1" applyFill="1" applyBorder="1" applyAlignment="1" applyProtection="1">
      <alignment horizontal="center" vertical="center"/>
    </xf>
    <xf numFmtId="0" fontId="244" fillId="35" borderId="0" xfId="0" applyFont="1" applyFill="1" applyBorder="1" applyAlignment="1">
      <alignment horizontal="center" vertical="center"/>
    </xf>
    <xf numFmtId="0" fontId="0" fillId="35" borderId="0" xfId="0" applyFill="1" applyAlignment="1" applyProtection="1">
      <alignment horizontal="center" vertical="center"/>
    </xf>
    <xf numFmtId="0" fontId="244" fillId="35" borderId="0" xfId="0" applyFont="1" applyFill="1" applyAlignment="1" applyProtection="1">
      <alignment horizontal="center" vertical="center"/>
    </xf>
    <xf numFmtId="0" fontId="184" fillId="0" borderId="35" xfId="0" applyFont="1" applyFill="1" applyBorder="1" applyAlignment="1">
      <alignment vertical="center"/>
    </xf>
    <xf numFmtId="0" fontId="244" fillId="0" borderId="35" xfId="0" applyFont="1" applyFill="1" applyBorder="1" applyAlignment="1">
      <alignment vertical="center"/>
    </xf>
    <xf numFmtId="0" fontId="248" fillId="0" borderId="35" xfId="0" applyFont="1" applyFill="1" applyBorder="1" applyAlignment="1">
      <alignment vertical="center"/>
    </xf>
    <xf numFmtId="0" fontId="184" fillId="35" borderId="35" xfId="0" applyFont="1" applyFill="1" applyBorder="1" applyAlignment="1" applyProtection="1">
      <alignment horizontal="left" vertical="center"/>
    </xf>
    <xf numFmtId="0" fontId="249" fillId="0" borderId="35" xfId="0" applyFont="1" applyFill="1" applyBorder="1" applyAlignment="1">
      <alignment vertical="center"/>
    </xf>
    <xf numFmtId="0" fontId="152" fillId="35" borderId="35" xfId="0" applyFont="1" applyFill="1" applyBorder="1" applyAlignment="1" applyProtection="1">
      <alignment vertical="center"/>
    </xf>
    <xf numFmtId="0" fontId="152" fillId="35" borderId="35" xfId="0" applyFont="1" applyFill="1" applyBorder="1" applyAlignment="1">
      <alignment vertical="center"/>
    </xf>
    <xf numFmtId="0" fontId="0" fillId="13" borderId="0" xfId="0" applyFill="1" applyBorder="1" applyAlignment="1">
      <alignment horizontal="center" vertical="center" wrapText="1"/>
    </xf>
    <xf numFmtId="49" fontId="0" fillId="35" borderId="0" xfId="0" applyNumberFormat="1" applyFill="1" applyAlignment="1">
      <alignment vertical="center" wrapText="1"/>
    </xf>
    <xf numFmtId="0" fontId="0" fillId="0" borderId="0" xfId="0" applyFont="1" applyFill="1" applyBorder="1" applyAlignment="1">
      <alignment vertical="center"/>
    </xf>
    <xf numFmtId="0" fontId="184" fillId="0" borderId="0" xfId="0" applyFont="1" applyFill="1" applyAlignment="1">
      <alignment horizontal="center" vertical="center"/>
    </xf>
    <xf numFmtId="0" fontId="147" fillId="0" borderId="38" xfId="0" applyFont="1" applyFill="1" applyBorder="1" applyAlignment="1">
      <alignment vertical="center"/>
    </xf>
    <xf numFmtId="0" fontId="152" fillId="0" borderId="44" xfId="0" applyFont="1" applyFill="1" applyBorder="1" applyAlignment="1">
      <alignment vertical="center"/>
    </xf>
    <xf numFmtId="0" fontId="152" fillId="0" borderId="45" xfId="0" applyFont="1" applyFill="1" applyBorder="1" applyAlignment="1">
      <alignment vertical="center"/>
    </xf>
    <xf numFmtId="0" fontId="152" fillId="0" borderId="0" xfId="0" applyFont="1" applyFill="1" applyAlignment="1">
      <alignment vertical="center"/>
    </xf>
    <xf numFmtId="0" fontId="152" fillId="15" borderId="39" xfId="0" applyFont="1" applyFill="1" applyBorder="1" applyAlignment="1">
      <alignment vertical="center"/>
    </xf>
    <xf numFmtId="0" fontId="152" fillId="15" borderId="35" xfId="0" applyFont="1" applyFill="1" applyBorder="1" applyAlignment="1">
      <alignment vertical="center"/>
    </xf>
    <xf numFmtId="0" fontId="152" fillId="8" borderId="35" xfId="0" applyFont="1" applyFill="1" applyBorder="1" applyAlignment="1">
      <alignment vertical="center"/>
    </xf>
    <xf numFmtId="0" fontId="152" fillId="0" borderId="46" xfId="0" applyFont="1" applyFill="1" applyBorder="1" applyAlignment="1">
      <alignment vertical="center"/>
    </xf>
    <xf numFmtId="0" fontId="147" fillId="0" borderId="0" xfId="0" applyFont="1" applyFill="1" applyBorder="1" applyAlignment="1">
      <alignment vertical="center"/>
    </xf>
    <xf numFmtId="0" fontId="152" fillId="0" borderId="0" xfId="0" applyFont="1" applyFill="1" applyBorder="1" applyAlignment="1">
      <alignment vertical="center"/>
    </xf>
    <xf numFmtId="0" fontId="0" fillId="0" borderId="39" xfId="0" applyFont="1" applyFill="1" applyBorder="1" applyAlignment="1">
      <alignment vertical="center"/>
    </xf>
    <xf numFmtId="0" fontId="0" fillId="8" borderId="35" xfId="0" applyFont="1" applyFill="1" applyBorder="1" applyAlignment="1">
      <alignment vertical="center"/>
    </xf>
    <xf numFmtId="0" fontId="0" fillId="0" borderId="46" xfId="0" applyFont="1" applyFill="1" applyBorder="1" applyAlignment="1">
      <alignment vertical="center"/>
    </xf>
    <xf numFmtId="0" fontId="0" fillId="15" borderId="39" xfId="0" applyFont="1" applyFill="1" applyBorder="1" applyAlignment="1">
      <alignment vertical="center"/>
    </xf>
    <xf numFmtId="0" fontId="0" fillId="15" borderId="35" xfId="0" applyFont="1" applyFill="1" applyBorder="1" applyAlignment="1">
      <alignment vertical="center"/>
    </xf>
    <xf numFmtId="178" fontId="0" fillId="8" borderId="35" xfId="0" applyNumberFormat="1" applyFont="1" applyFill="1" applyBorder="1" applyAlignment="1">
      <alignment vertical="center"/>
    </xf>
    <xf numFmtId="0" fontId="152" fillId="0" borderId="35" xfId="0" applyFont="1" applyFill="1" applyBorder="1" applyAlignment="1">
      <alignment vertical="center"/>
    </xf>
    <xf numFmtId="0" fontId="0" fillId="7" borderId="35" xfId="0" applyFont="1" applyFill="1" applyBorder="1" applyAlignment="1">
      <alignment vertical="center"/>
    </xf>
    <xf numFmtId="0" fontId="0" fillId="15" borderId="115" xfId="0" applyFont="1" applyFill="1" applyBorder="1" applyAlignment="1">
      <alignment vertical="center"/>
    </xf>
    <xf numFmtId="0" fontId="0" fillId="15" borderId="74" xfId="0" applyFont="1" applyFill="1" applyBorder="1" applyAlignment="1">
      <alignment vertical="center"/>
    </xf>
    <xf numFmtId="0" fontId="0" fillId="7" borderId="74" xfId="0" applyFont="1" applyFill="1" applyBorder="1" applyAlignment="1">
      <alignment vertical="center"/>
    </xf>
    <xf numFmtId="0" fontId="0" fillId="0" borderId="116" xfId="0" applyFont="1" applyFill="1" applyBorder="1" applyAlignment="1">
      <alignment vertical="center"/>
    </xf>
    <xf numFmtId="0" fontId="0" fillId="0" borderId="40" xfId="0" applyFont="1" applyFill="1" applyBorder="1" applyAlignment="1">
      <alignment vertical="center"/>
    </xf>
    <xf numFmtId="0" fontId="0" fillId="0" borderId="47" xfId="0" applyFont="1" applyFill="1" applyBorder="1" applyAlignment="1">
      <alignment vertical="center"/>
    </xf>
    <xf numFmtId="0" fontId="0" fillId="8" borderId="47" xfId="0" applyFont="1" applyFill="1" applyBorder="1" applyAlignment="1">
      <alignment vertical="center"/>
    </xf>
    <xf numFmtId="0" fontId="0" fillId="0" borderId="48" xfId="0" applyFont="1" applyFill="1" applyBorder="1" applyAlignment="1">
      <alignment vertical="center"/>
    </xf>
    <xf numFmtId="0" fontId="0" fillId="0" borderId="0" xfId="0" applyFont="1" applyBorder="1"/>
    <xf numFmtId="0" fontId="27" fillId="0" borderId="36" xfId="0" applyFont="1" applyFill="1" applyBorder="1" applyAlignment="1">
      <alignment vertical="center"/>
    </xf>
    <xf numFmtId="0" fontId="0" fillId="0" borderId="36" xfId="0" applyFont="1" applyFill="1" applyBorder="1" applyAlignment="1">
      <alignment vertical="center"/>
    </xf>
    <xf numFmtId="0" fontId="0" fillId="0" borderId="74" xfId="0" applyFont="1" applyFill="1" applyBorder="1" applyAlignment="1">
      <alignment vertical="center"/>
    </xf>
    <xf numFmtId="0" fontId="0" fillId="0" borderId="35" xfId="0" applyFont="1" applyFill="1" applyBorder="1" applyAlignment="1">
      <alignment horizontal="right" vertical="center"/>
    </xf>
    <xf numFmtId="178" fontId="0" fillId="7" borderId="35" xfId="0" applyNumberFormat="1" applyFont="1" applyFill="1" applyBorder="1" applyAlignment="1">
      <alignment vertical="center"/>
    </xf>
    <xf numFmtId="0" fontId="0" fillId="0" borderId="0" xfId="0" applyFont="1" applyFill="1"/>
    <xf numFmtId="178" fontId="0" fillId="0" borderId="93" xfId="0" applyNumberFormat="1" applyFont="1" applyFill="1" applyBorder="1" applyAlignment="1">
      <alignment vertical="center"/>
    </xf>
    <xf numFmtId="0" fontId="0" fillId="0" borderId="94" xfId="0" applyFont="1" applyFill="1" applyBorder="1" applyAlignment="1">
      <alignment vertical="center"/>
    </xf>
    <xf numFmtId="178" fontId="0" fillId="0" borderId="35" xfId="0" applyNumberFormat="1" applyFont="1" applyFill="1" applyBorder="1" applyAlignment="1">
      <alignment horizontal="right" vertical="center"/>
    </xf>
    <xf numFmtId="0" fontId="0" fillId="0" borderId="56" xfId="0" applyFont="1" applyFill="1" applyBorder="1" applyAlignment="1">
      <alignment vertical="center"/>
    </xf>
    <xf numFmtId="178" fontId="0" fillId="0" borderId="0" xfId="0" applyNumberFormat="1" applyFont="1" applyFill="1" applyBorder="1" applyAlignment="1">
      <alignment horizontal="right" vertical="center"/>
    </xf>
    <xf numFmtId="178" fontId="0" fillId="0" borderId="0" xfId="0" applyNumberFormat="1" applyFont="1" applyFill="1" applyBorder="1" applyAlignment="1">
      <alignment vertical="center"/>
    </xf>
    <xf numFmtId="0" fontId="149" fillId="7" borderId="35" xfId="0" applyFont="1" applyFill="1" applyBorder="1" applyAlignment="1">
      <alignment vertical="center"/>
    </xf>
    <xf numFmtId="178" fontId="0" fillId="0" borderId="35" xfId="0" applyNumberFormat="1" applyFont="1" applyFill="1" applyBorder="1" applyAlignment="1">
      <alignment vertical="center"/>
    </xf>
    <xf numFmtId="0" fontId="0" fillId="0" borderId="63" xfId="0" applyFont="1" applyFill="1" applyBorder="1" applyAlignment="1">
      <alignment vertical="center"/>
    </xf>
    <xf numFmtId="178" fontId="0" fillId="0" borderId="63" xfId="0" applyNumberFormat="1" applyFont="1" applyFill="1" applyBorder="1" applyAlignment="1">
      <alignment vertical="center"/>
    </xf>
    <xf numFmtId="186" fontId="0" fillId="0" borderId="35" xfId="0" applyNumberFormat="1" applyFont="1" applyFill="1" applyBorder="1" applyAlignment="1">
      <alignment vertical="center"/>
    </xf>
    <xf numFmtId="0" fontId="42" fillId="0" borderId="74" xfId="0" applyFont="1" applyFill="1" applyBorder="1" applyAlignment="1">
      <alignment vertical="center"/>
    </xf>
    <xf numFmtId="180" fontId="27" fillId="0" borderId="47" xfId="0" applyNumberFormat="1" applyFont="1" applyBorder="1" applyAlignment="1">
      <alignment horizontal="center" vertical="center"/>
    </xf>
    <xf numFmtId="180" fontId="27" fillId="0" borderId="48" xfId="0" applyNumberFormat="1" applyFont="1" applyBorder="1" applyAlignment="1">
      <alignment horizontal="center" vertical="center"/>
    </xf>
    <xf numFmtId="0" fontId="0" fillId="0" borderId="150" xfId="0" applyBorder="1" applyAlignment="1"/>
    <xf numFmtId="180" fontId="0" fillId="0" borderId="36" xfId="0" applyNumberFormat="1" applyBorder="1" applyAlignment="1">
      <alignment horizontal="center"/>
    </xf>
    <xf numFmtId="180" fontId="0" fillId="0" borderId="64" xfId="0" applyNumberFormat="1" applyBorder="1" applyAlignment="1">
      <alignment horizontal="center"/>
    </xf>
    <xf numFmtId="0" fontId="0" fillId="0" borderId="117" xfId="0" applyBorder="1" applyAlignment="1"/>
    <xf numFmtId="180" fontId="0" fillId="0" borderId="35" xfId="0" applyNumberFormat="1" applyBorder="1" applyAlignment="1">
      <alignment horizontal="center"/>
    </xf>
    <xf numFmtId="180" fontId="0" fillId="0" borderId="46" xfId="0" applyNumberFormat="1" applyBorder="1" applyAlignment="1">
      <alignment horizontal="center"/>
    </xf>
    <xf numFmtId="0" fontId="0" fillId="0" borderId="155" xfId="0" applyBorder="1" applyAlignment="1"/>
    <xf numFmtId="180" fontId="0" fillId="0" borderId="47" xfId="0" applyNumberFormat="1" applyBorder="1" applyAlignment="1">
      <alignment horizontal="center"/>
    </xf>
    <xf numFmtId="180" fontId="0" fillId="0" borderId="48" xfId="0" applyNumberFormat="1" applyBorder="1" applyAlignment="1">
      <alignment horizontal="center"/>
    </xf>
    <xf numFmtId="0" fontId="74" fillId="0" borderId="0" xfId="0" applyFont="1" applyFill="1" applyBorder="1" applyAlignment="1">
      <alignment vertical="center"/>
    </xf>
    <xf numFmtId="0" fontId="74" fillId="0" borderId="0" xfId="0" applyFont="1" applyFill="1" applyAlignment="1">
      <alignment vertical="center"/>
    </xf>
    <xf numFmtId="0" fontId="74" fillId="0" borderId="0" xfId="0" applyFont="1" applyFill="1" applyAlignment="1">
      <alignment horizontal="center" vertical="center"/>
    </xf>
    <xf numFmtId="196" fontId="74" fillId="0" borderId="0" xfId="0" applyNumberFormat="1" applyFont="1" applyFill="1" applyAlignment="1">
      <alignment vertical="center"/>
    </xf>
    <xf numFmtId="0" fontId="0" fillId="0" borderId="266" xfId="0" applyFont="1" applyFill="1" applyBorder="1" applyAlignment="1">
      <alignment vertical="center"/>
    </xf>
    <xf numFmtId="0" fontId="74" fillId="0" borderId="266" xfId="0" applyFont="1" applyFill="1" applyBorder="1" applyAlignment="1">
      <alignment horizontal="center" vertical="center"/>
    </xf>
    <xf numFmtId="0" fontId="74" fillId="0" borderId="266" xfId="0" applyNumberFormat="1" applyFont="1" applyFill="1" applyBorder="1" applyAlignment="1">
      <alignment vertical="center"/>
    </xf>
    <xf numFmtId="0" fontId="74" fillId="0" borderId="266" xfId="0" applyFont="1" applyFill="1" applyBorder="1" applyAlignment="1">
      <alignment vertical="center"/>
    </xf>
    <xf numFmtId="0" fontId="252" fillId="0" borderId="266" xfId="0" applyFont="1" applyFill="1" applyBorder="1" applyAlignment="1">
      <alignment vertical="center"/>
    </xf>
    <xf numFmtId="0" fontId="27" fillId="0" borderId="266" xfId="0" applyFont="1" applyFill="1" applyBorder="1" applyAlignment="1">
      <alignment horizontal="center" vertical="center"/>
    </xf>
    <xf numFmtId="0" fontId="161" fillId="0" borderId="266" xfId="0" applyNumberFormat="1" applyFont="1" applyFill="1" applyBorder="1" applyAlignment="1">
      <alignment vertical="center"/>
    </xf>
    <xf numFmtId="0" fontId="74" fillId="0" borderId="269" xfId="0" applyFont="1" applyFill="1" applyBorder="1" applyAlignment="1">
      <alignment vertical="center"/>
    </xf>
    <xf numFmtId="0" fontId="74" fillId="0" borderId="269" xfId="0" applyFont="1" applyFill="1" applyBorder="1" applyAlignment="1">
      <alignment horizontal="center" vertical="center"/>
    </xf>
    <xf numFmtId="196" fontId="74" fillId="0" borderId="269" xfId="0" applyNumberFormat="1" applyFont="1" applyFill="1" applyBorder="1" applyAlignment="1">
      <alignment vertical="center"/>
    </xf>
    <xf numFmtId="196" fontId="74" fillId="0" borderId="266" xfId="0" applyNumberFormat="1" applyFont="1" applyFill="1" applyBorder="1" applyAlignment="1">
      <alignment vertical="center"/>
    </xf>
    <xf numFmtId="196" fontId="74" fillId="12" borderId="266" xfId="0" applyNumberFormat="1" applyFont="1" applyFill="1" applyBorder="1" applyAlignment="1">
      <alignment vertical="center"/>
    </xf>
    <xf numFmtId="0" fontId="253" fillId="0" borderId="0" xfId="0" applyFont="1" applyFill="1" applyAlignment="1">
      <alignment vertical="center"/>
    </xf>
    <xf numFmtId="0" fontId="2" fillId="0" borderId="0" xfId="0" applyFont="1" applyFill="1" applyAlignment="1"/>
    <xf numFmtId="0" fontId="6" fillId="0" borderId="0" xfId="0" applyFont="1" applyFill="1" applyAlignment="1"/>
    <xf numFmtId="0" fontId="2" fillId="43" borderId="35" xfId="0" applyFont="1" applyFill="1" applyBorder="1" applyAlignment="1"/>
    <xf numFmtId="0" fontId="2" fillId="49" borderId="35" xfId="0" applyFont="1" applyFill="1" applyBorder="1" applyAlignment="1"/>
    <xf numFmtId="0" fontId="2" fillId="43" borderId="0" xfId="0" applyFont="1" applyFill="1" applyAlignment="1"/>
    <xf numFmtId="0" fontId="255" fillId="7" borderId="35" xfId="0" applyFont="1" applyFill="1" applyBorder="1" applyAlignment="1">
      <alignment horizontal="center" vertical="center"/>
    </xf>
    <xf numFmtId="9" fontId="256" fillId="7" borderId="35" xfId="2" applyFont="1" applyFill="1" applyBorder="1" applyAlignment="1">
      <alignment horizontal="center" vertical="center" readingOrder="1"/>
    </xf>
    <xf numFmtId="0" fontId="225" fillId="20" borderId="35" xfId="0" applyFont="1" applyFill="1" applyBorder="1" applyAlignment="1">
      <alignment horizontal="left"/>
    </xf>
    <xf numFmtId="0" fontId="257" fillId="17" borderId="35" xfId="0" applyFont="1" applyFill="1" applyBorder="1" applyAlignment="1">
      <alignment horizontal="center"/>
    </xf>
    <xf numFmtId="0" fontId="258" fillId="20" borderId="35" xfId="0" applyFont="1" applyFill="1" applyBorder="1"/>
    <xf numFmtId="0" fontId="225" fillId="20" borderId="35" xfId="0" applyFont="1" applyFill="1" applyBorder="1"/>
    <xf numFmtId="0" fontId="225" fillId="20" borderId="35" xfId="0" applyFont="1" applyFill="1" applyBorder="1" applyAlignment="1">
      <alignment shrinkToFit="1"/>
    </xf>
    <xf numFmtId="0" fontId="257" fillId="17" borderId="35" xfId="0" applyFont="1" applyFill="1" applyBorder="1" applyAlignment="1">
      <alignment horizontal="center" vertical="center"/>
    </xf>
    <xf numFmtId="0" fontId="258" fillId="20" borderId="35" xfId="0" applyFont="1" applyFill="1" applyBorder="1" applyAlignment="1">
      <alignment horizontal="left"/>
    </xf>
    <xf numFmtId="0" fontId="0" fillId="20" borderId="35" xfId="0" applyFill="1" applyBorder="1"/>
    <xf numFmtId="0" fontId="42" fillId="17" borderId="35" xfId="0" applyFont="1" applyFill="1" applyBorder="1"/>
    <xf numFmtId="0" fontId="0" fillId="20" borderId="35" xfId="0" applyFill="1" applyBorder="1" applyAlignment="1">
      <alignment horizontal="center"/>
    </xf>
    <xf numFmtId="0" fontId="0" fillId="17" borderId="35" xfId="0" applyFill="1" applyBorder="1" applyAlignment="1">
      <alignment horizontal="center"/>
    </xf>
    <xf numFmtId="0" fontId="46" fillId="35" borderId="94" xfId="0" applyFont="1" applyFill="1" applyBorder="1" applyAlignment="1">
      <alignment horizontal="center" vertical="center" wrapText="1"/>
    </xf>
    <xf numFmtId="0" fontId="46" fillId="35" borderId="35" xfId="0" applyFont="1" applyFill="1" applyBorder="1" applyAlignment="1">
      <alignment horizontal="center" vertical="center" wrapText="1"/>
    </xf>
    <xf numFmtId="0" fontId="22" fillId="35" borderId="94" xfId="0" applyFont="1" applyFill="1" applyBorder="1" applyAlignment="1">
      <alignment horizontal="center" vertical="center" wrapText="1"/>
    </xf>
    <xf numFmtId="0" fontId="22" fillId="35" borderId="35" xfId="0" applyFont="1" applyFill="1" applyBorder="1" applyAlignment="1">
      <alignment horizontal="center" vertical="center" wrapText="1"/>
    </xf>
    <xf numFmtId="0" fontId="208" fillId="0" borderId="0" xfId="0" applyFont="1"/>
    <xf numFmtId="178" fontId="0" fillId="0" borderId="0" xfId="0" applyNumberFormat="1"/>
    <xf numFmtId="0" fontId="260" fillId="0" borderId="0" xfId="0" applyFont="1"/>
    <xf numFmtId="0" fontId="261" fillId="0" borderId="0" xfId="0" applyFont="1"/>
    <xf numFmtId="0" fontId="0" fillId="50" borderId="0" xfId="0" applyFill="1"/>
    <xf numFmtId="0" fontId="262" fillId="51" borderId="1" xfId="0" applyFont="1" applyFill="1" applyBorder="1" applyAlignment="1">
      <alignment horizontal="center"/>
    </xf>
    <xf numFmtId="0" fontId="263" fillId="51" borderId="28" xfId="0" applyFont="1" applyFill="1" applyBorder="1"/>
    <xf numFmtId="0" fontId="262" fillId="51" borderId="21" xfId="0" applyFont="1" applyFill="1" applyBorder="1" applyAlignment="1">
      <alignment horizontal="center"/>
    </xf>
    <xf numFmtId="0" fontId="263" fillId="51" borderId="34" xfId="0" applyFont="1" applyFill="1" applyBorder="1"/>
    <xf numFmtId="0" fontId="22" fillId="0" borderId="35" xfId="0" applyFont="1" applyFill="1" applyBorder="1" applyAlignment="1">
      <alignment horizontal="left" vertical="center" shrinkToFit="1"/>
    </xf>
    <xf numFmtId="0" fontId="22" fillId="0" borderId="35" xfId="0" applyFont="1" applyFill="1" applyBorder="1" applyAlignment="1">
      <alignment horizontal="center" vertical="center" shrinkToFit="1"/>
    </xf>
    <xf numFmtId="0" fontId="265" fillId="0" borderId="35" xfId="0" applyFont="1" applyFill="1" applyBorder="1" applyAlignment="1">
      <alignment horizontal="center" vertical="center" shrinkToFit="1"/>
    </xf>
    <xf numFmtId="0" fontId="62" fillId="0" borderId="35" xfId="0" applyFont="1" applyFill="1" applyBorder="1" applyAlignment="1">
      <alignment vertical="center"/>
    </xf>
    <xf numFmtId="0" fontId="266" fillId="0" borderId="0" xfId="0" applyFont="1" applyBorder="1" applyAlignment="1">
      <alignment vertical="center"/>
    </xf>
    <xf numFmtId="0" fontId="266" fillId="0" borderId="0" xfId="0" applyFont="1" applyBorder="1" applyAlignment="1">
      <alignment horizontal="center" vertical="center"/>
    </xf>
    <xf numFmtId="0" fontId="266" fillId="0" borderId="35" xfId="0" applyFont="1" applyBorder="1" applyAlignment="1">
      <alignment vertical="center"/>
    </xf>
    <xf numFmtId="0" fontId="268" fillId="52" borderId="35" xfId="0" applyFont="1" applyFill="1" applyBorder="1" applyAlignment="1">
      <alignment horizontal="center" vertical="center"/>
    </xf>
    <xf numFmtId="0" fontId="266" fillId="0" borderId="35" xfId="0" applyFont="1" applyBorder="1" applyAlignment="1">
      <alignment horizontal="center" vertical="center"/>
    </xf>
    <xf numFmtId="0" fontId="266" fillId="53" borderId="35" xfId="0" applyFont="1" applyFill="1" applyBorder="1" applyAlignment="1">
      <alignment horizontal="center" vertical="center"/>
    </xf>
    <xf numFmtId="0" fontId="266" fillId="52" borderId="35" xfId="0" applyFont="1" applyFill="1" applyBorder="1" applyAlignment="1">
      <alignment horizontal="center" vertical="center"/>
    </xf>
    <xf numFmtId="0" fontId="266" fillId="54" borderId="35" xfId="0" applyFont="1" applyFill="1" applyBorder="1" applyAlignment="1">
      <alignment horizontal="center" vertical="center"/>
    </xf>
    <xf numFmtId="0" fontId="266" fillId="0" borderId="35" xfId="0" applyFont="1" applyFill="1" applyBorder="1" applyAlignment="1">
      <alignment horizontal="center" vertical="center"/>
    </xf>
    <xf numFmtId="0" fontId="266" fillId="55" borderId="35" xfId="0" applyFont="1" applyFill="1" applyBorder="1" applyAlignment="1">
      <alignment horizontal="center" vertical="center"/>
    </xf>
    <xf numFmtId="0" fontId="0" fillId="0" borderId="1" xfId="0" applyBorder="1"/>
    <xf numFmtId="0" fontId="0" fillId="0" borderId="3" xfId="0" applyBorder="1"/>
    <xf numFmtId="0" fontId="0" fillId="2" borderId="29" xfId="0" applyFill="1" applyBorder="1"/>
    <xf numFmtId="0" fontId="0" fillId="2" borderId="0" xfId="0" applyFill="1"/>
    <xf numFmtId="0" fontId="0" fillId="56" borderId="3" xfId="0" applyFill="1" applyBorder="1"/>
    <xf numFmtId="0" fontId="0" fillId="56" borderId="29" xfId="0" applyFill="1" applyBorder="1"/>
    <xf numFmtId="0" fontId="0" fillId="56" borderId="0" xfId="0" applyFill="1"/>
    <xf numFmtId="0" fontId="0" fillId="56" borderId="21" xfId="0" applyFill="1" applyBorder="1"/>
    <xf numFmtId="0" fontId="0" fillId="56" borderId="34" xfId="0" applyFill="1" applyBorder="1"/>
    <xf numFmtId="0" fontId="170" fillId="0" borderId="0" xfId="0" applyFont="1" applyFill="1" applyAlignment="1" applyProtection="1">
      <protection hidden="1"/>
    </xf>
    <xf numFmtId="0" fontId="170" fillId="0" borderId="0" xfId="0" applyFont="1" applyFill="1" applyBorder="1" applyAlignment="1" applyProtection="1">
      <protection hidden="1"/>
    </xf>
    <xf numFmtId="0" fontId="170" fillId="0" borderId="77" xfId="0" applyFont="1" applyFill="1" applyBorder="1" applyAlignment="1" applyProtection="1">
      <protection hidden="1"/>
    </xf>
    <xf numFmtId="0" fontId="170" fillId="0" borderId="86" xfId="0" applyFont="1" applyFill="1" applyBorder="1" applyAlignment="1" applyProtection="1">
      <protection hidden="1"/>
    </xf>
    <xf numFmtId="0" fontId="170" fillId="0" borderId="270" xfId="0" applyFont="1" applyFill="1" applyBorder="1" applyAlignment="1" applyProtection="1">
      <protection hidden="1"/>
    </xf>
    <xf numFmtId="0" fontId="170" fillId="0" borderId="78" xfId="0" applyFont="1" applyFill="1" applyBorder="1" applyAlignment="1" applyProtection="1">
      <protection hidden="1"/>
    </xf>
    <xf numFmtId="0" fontId="170" fillId="0" borderId="271" xfId="0" applyFont="1" applyFill="1" applyBorder="1" applyAlignment="1" applyProtection="1">
      <protection hidden="1"/>
    </xf>
    <xf numFmtId="0" fontId="170" fillId="0" borderId="57" xfId="0" applyFont="1" applyFill="1" applyBorder="1" applyAlignment="1" applyProtection="1">
      <protection hidden="1"/>
    </xf>
    <xf numFmtId="0" fontId="170" fillId="0" borderId="58" xfId="0" applyFont="1" applyFill="1" applyBorder="1" applyAlignment="1" applyProtection="1">
      <protection hidden="1"/>
    </xf>
    <xf numFmtId="0" fontId="170" fillId="0" borderId="272" xfId="0" applyFont="1" applyFill="1" applyBorder="1" applyAlignment="1" applyProtection="1">
      <protection hidden="1"/>
    </xf>
    <xf numFmtId="0" fontId="11" fillId="0" borderId="0" xfId="0" applyFont="1" applyFill="1" applyAlignment="1">
      <alignment vertical="center"/>
    </xf>
    <xf numFmtId="0" fontId="269" fillId="0" borderId="0" xfId="0" applyFont="1" applyFill="1" applyAlignment="1">
      <alignment vertical="center"/>
    </xf>
    <xf numFmtId="197" fontId="11" fillId="0" borderId="0" xfId="0" applyNumberFormat="1" applyFont="1" applyFill="1" applyAlignment="1">
      <alignment vertical="center"/>
    </xf>
    <xf numFmtId="0" fontId="270" fillId="0" borderId="0" xfId="0" applyFont="1" applyFill="1" applyAlignment="1">
      <alignment vertical="center"/>
    </xf>
    <xf numFmtId="0" fontId="11" fillId="59" borderId="38" xfId="0" applyFont="1" applyFill="1" applyBorder="1" applyAlignment="1">
      <alignment horizontal="center" vertical="center"/>
    </xf>
    <xf numFmtId="0" fontId="274" fillId="59" borderId="44" xfId="0" applyFont="1" applyFill="1" applyBorder="1" applyAlignment="1">
      <alignment horizontal="center" vertical="center"/>
    </xf>
    <xf numFmtId="0" fontId="11" fillId="59" borderId="44" xfId="0" applyFont="1" applyFill="1" applyBorder="1" applyAlignment="1">
      <alignment vertical="center"/>
    </xf>
    <xf numFmtId="0" fontId="11" fillId="59" borderId="39" xfId="0" applyFont="1" applyFill="1" applyBorder="1" applyAlignment="1">
      <alignment horizontal="center" vertical="center"/>
    </xf>
    <xf numFmtId="0" fontId="274" fillId="59" borderId="35" xfId="0" applyFont="1" applyFill="1" applyBorder="1" applyAlignment="1">
      <alignment horizontal="center" vertical="center"/>
    </xf>
    <xf numFmtId="0" fontId="11" fillId="59" borderId="36" xfId="0" applyFont="1" applyFill="1" applyBorder="1" applyAlignment="1">
      <alignment vertical="center"/>
    </xf>
    <xf numFmtId="0" fontId="11" fillId="59" borderId="40" xfId="0" applyFont="1" applyFill="1" applyBorder="1" applyAlignment="1">
      <alignment horizontal="center" vertical="center"/>
    </xf>
    <xf numFmtId="183" fontId="275" fillId="59" borderId="47" xfId="0" applyNumberFormat="1" applyFont="1" applyFill="1" applyBorder="1" applyAlignment="1">
      <alignment horizontal="center" vertical="center"/>
    </xf>
    <xf numFmtId="0" fontId="11" fillId="59" borderId="47" xfId="0" applyFont="1" applyFill="1" applyBorder="1" applyAlignment="1">
      <alignment horizontal="center" vertical="center"/>
    </xf>
    <xf numFmtId="197" fontId="274" fillId="59" borderId="47" xfId="0" applyNumberFormat="1" applyFont="1" applyFill="1" applyBorder="1" applyAlignment="1">
      <alignment horizontal="center" vertical="center"/>
    </xf>
    <xf numFmtId="0" fontId="11" fillId="59" borderId="48" xfId="0" applyFont="1" applyFill="1" applyBorder="1" applyAlignment="1">
      <alignment horizontal="center" vertical="center"/>
    </xf>
    <xf numFmtId="0" fontId="274" fillId="0" borderId="0" xfId="0" applyFont="1" applyFill="1" applyAlignment="1">
      <alignment vertical="center"/>
    </xf>
    <xf numFmtId="0" fontId="11" fillId="60" borderId="38" xfId="0" applyFont="1" applyFill="1" applyBorder="1" applyAlignment="1">
      <alignment horizontal="center" vertical="center"/>
    </xf>
    <xf numFmtId="0" fontId="274" fillId="60" borderId="44" xfId="0" applyFont="1" applyFill="1" applyBorder="1" applyAlignment="1">
      <alignment horizontal="center" vertical="center"/>
    </xf>
    <xf numFmtId="0" fontId="11" fillId="60" borderId="95" xfId="0" applyFont="1" applyFill="1" applyBorder="1" applyAlignment="1">
      <alignment horizontal="center" vertical="center"/>
    </xf>
    <xf numFmtId="0" fontId="11" fillId="60" borderId="39" xfId="0" applyFont="1" applyFill="1" applyBorder="1" applyAlignment="1">
      <alignment horizontal="center" vertical="center"/>
    </xf>
    <xf numFmtId="0" fontId="274" fillId="60" borderId="35" xfId="0" applyFont="1" applyFill="1" applyBorder="1" applyAlignment="1">
      <alignment horizontal="center" vertical="center"/>
    </xf>
    <xf numFmtId="0" fontId="11" fillId="60" borderId="63" xfId="0" applyFont="1" applyFill="1" applyBorder="1" applyAlignment="1">
      <alignment horizontal="center" vertical="center"/>
    </xf>
    <xf numFmtId="0" fontId="11" fillId="60" borderId="40" xfId="0" applyFont="1" applyFill="1" applyBorder="1" applyAlignment="1">
      <alignment horizontal="center" vertical="center"/>
    </xf>
    <xf numFmtId="0" fontId="274" fillId="60" borderId="47" xfId="0" applyFont="1" applyFill="1" applyBorder="1" applyAlignment="1">
      <alignment horizontal="center" vertical="center"/>
    </xf>
    <xf numFmtId="0" fontId="11" fillId="59" borderId="52" xfId="0" applyFont="1" applyFill="1" applyBorder="1" applyAlignment="1">
      <alignment horizontal="center" vertical="center"/>
    </xf>
    <xf numFmtId="0" fontId="274" fillId="59" borderId="36" xfId="0" applyFont="1" applyFill="1" applyBorder="1" applyAlignment="1">
      <alignment horizontal="center" vertical="center"/>
    </xf>
    <xf numFmtId="0" fontId="11" fillId="59" borderId="119" xfId="0" applyFont="1" applyFill="1" applyBorder="1" applyAlignment="1">
      <alignment horizontal="center" vertical="center"/>
    </xf>
    <xf numFmtId="0" fontId="274" fillId="59" borderId="63" xfId="0" applyFont="1" applyFill="1" applyBorder="1" applyAlignment="1">
      <alignment horizontal="center" vertical="center"/>
    </xf>
    <xf numFmtId="0" fontId="274" fillId="59" borderId="47" xfId="0" applyFont="1" applyFill="1" applyBorder="1" applyAlignment="1">
      <alignment horizontal="center" vertical="center"/>
    </xf>
    <xf numFmtId="0" fontId="11" fillId="60" borderId="38" xfId="2" applyNumberFormat="1" applyFont="1" applyFill="1" applyBorder="1" applyAlignment="1">
      <alignment horizontal="center" vertical="center"/>
    </xf>
    <xf numFmtId="0" fontId="11" fillId="60" borderId="39" xfId="2" applyNumberFormat="1" applyFont="1" applyFill="1" applyBorder="1" applyAlignment="1">
      <alignment horizontal="center" vertical="center"/>
    </xf>
    <xf numFmtId="0" fontId="11" fillId="60" borderId="40" xfId="2" applyNumberFormat="1" applyFont="1" applyFill="1" applyBorder="1" applyAlignment="1">
      <alignment horizontal="center" vertical="center"/>
    </xf>
    <xf numFmtId="0" fontId="11" fillId="60" borderId="47" xfId="0" applyFont="1" applyFill="1" applyBorder="1" applyAlignment="1">
      <alignment horizontal="center" vertical="center"/>
    </xf>
    <xf numFmtId="0" fontId="11" fillId="59" borderId="38" xfId="0" applyFont="1" applyFill="1" applyBorder="1" applyAlignment="1">
      <alignment horizontal="center" vertical="center" wrapText="1"/>
    </xf>
    <xf numFmtId="0" fontId="11" fillId="59" borderId="119" xfId="0" applyFont="1" applyFill="1" applyBorder="1" applyAlignment="1">
      <alignment horizontal="center" vertical="center" wrapText="1"/>
    </xf>
    <xf numFmtId="0" fontId="11" fillId="59" borderId="35" xfId="0" applyFont="1" applyFill="1" applyBorder="1" applyAlignment="1">
      <alignment vertical="center"/>
    </xf>
    <xf numFmtId="0" fontId="11" fillId="59" borderId="96" xfId="0" applyFont="1" applyFill="1" applyBorder="1" applyAlignment="1">
      <alignment vertical="center"/>
    </xf>
    <xf numFmtId="0" fontId="2" fillId="0" borderId="0" xfId="0" applyFont="1" applyFill="1" applyAlignment="1">
      <alignment vertical="center"/>
    </xf>
    <xf numFmtId="181" fontId="11" fillId="0" borderId="0" xfId="0" applyNumberFormat="1" applyFont="1" applyFill="1" applyAlignment="1">
      <alignment vertical="center"/>
    </xf>
    <xf numFmtId="0" fontId="11" fillId="5" borderId="120" xfId="0" applyFont="1" applyFill="1" applyBorder="1" applyAlignment="1">
      <alignment vertical="center" wrapText="1"/>
    </xf>
    <xf numFmtId="0" fontId="11" fillId="5" borderId="273" xfId="0" applyFont="1" applyFill="1" applyBorder="1" applyAlignment="1">
      <alignment vertical="center" wrapText="1"/>
    </xf>
    <xf numFmtId="0" fontId="204" fillId="0" borderId="0" xfId="0" applyFont="1" applyFill="1" applyBorder="1" applyAlignment="1"/>
    <xf numFmtId="0" fontId="276" fillId="2" borderId="0" xfId="0" applyFont="1" applyFill="1" applyBorder="1" applyAlignment="1"/>
    <xf numFmtId="0" fontId="161" fillId="2" borderId="0" xfId="0" applyFont="1" applyFill="1" applyBorder="1" applyAlignment="1"/>
    <xf numFmtId="0" fontId="161" fillId="2" borderId="115" xfId="0" applyFont="1" applyFill="1" applyBorder="1" applyAlignment="1"/>
    <xf numFmtId="0" fontId="278" fillId="2" borderId="0" xfId="0" applyFont="1" applyFill="1" applyBorder="1" applyAlignment="1"/>
    <xf numFmtId="0" fontId="278" fillId="2" borderId="119" xfId="0" applyFont="1" applyFill="1" applyBorder="1" applyAlignment="1"/>
    <xf numFmtId="0" fontId="278" fillId="2" borderId="57" xfId="0" applyFont="1" applyFill="1" applyBorder="1" applyAlignment="1">
      <alignment horizontal="center"/>
    </xf>
    <xf numFmtId="0" fontId="278" fillId="2" borderId="58" xfId="0" applyFont="1" applyFill="1" applyBorder="1" applyAlignment="1">
      <alignment horizontal="center"/>
    </xf>
    <xf numFmtId="0" fontId="204" fillId="0" borderId="38" xfId="0" applyFont="1" applyFill="1" applyBorder="1" applyAlignment="1"/>
    <xf numFmtId="0" fontId="204" fillId="0" borderId="44" xfId="0" applyFont="1" applyFill="1" applyBorder="1" applyAlignment="1"/>
    <xf numFmtId="190" fontId="204" fillId="0" borderId="44" xfId="0" applyNumberFormat="1" applyFont="1" applyFill="1" applyBorder="1" applyAlignment="1">
      <alignment horizontal="right"/>
    </xf>
    <xf numFmtId="0" fontId="204" fillId="0" borderId="39" xfId="0" applyFont="1" applyFill="1" applyBorder="1" applyAlignment="1"/>
    <xf numFmtId="0" fontId="204" fillId="0" borderId="35" xfId="0" applyFont="1" applyFill="1" applyBorder="1" applyAlignment="1"/>
    <xf numFmtId="190" fontId="204" fillId="0" borderId="35" xfId="0" applyNumberFormat="1" applyFont="1" applyFill="1" applyBorder="1" applyAlignment="1">
      <alignment horizontal="right"/>
    </xf>
    <xf numFmtId="0" fontId="204" fillId="0" borderId="35" xfId="0" applyFont="1" applyFill="1" applyBorder="1" applyAlignment="1">
      <alignment vertical="center" wrapText="1"/>
    </xf>
    <xf numFmtId="0" fontId="204" fillId="0" borderId="35" xfId="0" applyFont="1" applyFill="1" applyBorder="1" applyAlignment="1">
      <alignment vertical="center"/>
    </xf>
    <xf numFmtId="190" fontId="204" fillId="0" borderId="35" xfId="0" applyNumberFormat="1" applyFont="1" applyFill="1" applyBorder="1" applyAlignment="1">
      <alignment vertical="center"/>
    </xf>
    <xf numFmtId="190" fontId="204" fillId="0" borderId="35" xfId="0" applyNumberFormat="1" applyFont="1" applyFill="1" applyBorder="1" applyAlignment="1">
      <alignment vertical="center" wrapText="1"/>
    </xf>
    <xf numFmtId="49" fontId="204" fillId="0" borderId="35" xfId="0" applyNumberFormat="1" applyFont="1" applyFill="1" applyBorder="1" applyAlignment="1"/>
    <xf numFmtId="190" fontId="204" fillId="0" borderId="35" xfId="0" applyNumberFormat="1" applyFont="1" applyFill="1" applyBorder="1" applyAlignment="1"/>
    <xf numFmtId="0" fontId="278" fillId="2" borderId="29" xfId="0" applyFont="1" applyFill="1" applyBorder="1" applyAlignment="1">
      <alignment horizontal="center"/>
    </xf>
    <xf numFmtId="190" fontId="204" fillId="0" borderId="44" xfId="0" applyNumberFormat="1" applyFont="1" applyFill="1" applyBorder="1" applyAlignment="1"/>
    <xf numFmtId="190" fontId="278" fillId="0" borderId="35" xfId="0" applyNumberFormat="1" applyFont="1" applyFill="1" applyBorder="1" applyAlignment="1"/>
    <xf numFmtId="0" fontId="161" fillId="2" borderId="116" xfId="0" applyFont="1" applyFill="1" applyBorder="1" applyAlignment="1"/>
    <xf numFmtId="0" fontId="278" fillId="2" borderId="120" xfId="0" applyFont="1" applyFill="1" applyBorder="1" applyAlignment="1">
      <alignment horizontal="center"/>
    </xf>
    <xf numFmtId="190" fontId="204" fillId="0" borderId="45" xfId="0" applyNumberFormat="1" applyFont="1" applyFill="1" applyBorder="1" applyAlignment="1">
      <alignment horizontal="right"/>
    </xf>
    <xf numFmtId="190" fontId="204" fillId="0" borderId="46" xfId="0" applyNumberFormat="1" applyFont="1" applyFill="1" applyBorder="1" applyAlignment="1">
      <alignment horizontal="right"/>
    </xf>
    <xf numFmtId="190" fontId="204" fillId="0" borderId="46" xfId="0" applyNumberFormat="1" applyFont="1" applyFill="1" applyBorder="1" applyAlignment="1"/>
    <xf numFmtId="0" fontId="204" fillId="0" borderId="46" xfId="0" applyFont="1" applyFill="1" applyBorder="1" applyAlignment="1"/>
    <xf numFmtId="0" fontId="204" fillId="10" borderId="39" xfId="0" applyFont="1" applyFill="1" applyBorder="1" applyAlignment="1"/>
    <xf numFmtId="49" fontId="204" fillId="10" borderId="35" xfId="0" applyNumberFormat="1" applyFont="1" applyFill="1" applyBorder="1" applyAlignment="1"/>
    <xf numFmtId="190" fontId="204" fillId="10" borderId="35" xfId="0" applyNumberFormat="1" applyFont="1" applyFill="1" applyBorder="1" applyAlignment="1"/>
    <xf numFmtId="190" fontId="204" fillId="10" borderId="46" xfId="0" applyNumberFormat="1" applyFont="1" applyFill="1" applyBorder="1" applyAlignment="1"/>
    <xf numFmtId="0" fontId="204" fillId="0" borderId="40" xfId="0" applyFont="1" applyFill="1" applyBorder="1" applyAlignment="1"/>
    <xf numFmtId="0" fontId="204" fillId="0" borderId="47" xfId="0" applyFont="1" applyFill="1" applyBorder="1" applyAlignment="1">
      <alignment vertical="center" wrapText="1"/>
    </xf>
    <xf numFmtId="0" fontId="204" fillId="0" borderId="47" xfId="0" applyFont="1" applyFill="1" applyBorder="1" applyAlignment="1"/>
    <xf numFmtId="190" fontId="204" fillId="0" borderId="47" xfId="0" applyNumberFormat="1" applyFont="1" applyFill="1" applyBorder="1" applyAlignment="1"/>
    <xf numFmtId="190" fontId="204" fillId="0" borderId="48" xfId="0" applyNumberFormat="1" applyFont="1" applyFill="1" applyBorder="1" applyAlignment="1"/>
    <xf numFmtId="0" fontId="160" fillId="0" borderId="0" xfId="0" applyFont="1" applyFill="1" applyBorder="1" applyAlignment="1">
      <alignment horizontal="center" vertical="center"/>
    </xf>
    <xf numFmtId="0" fontId="160" fillId="0" borderId="0" xfId="0" applyFont="1" applyFill="1" applyBorder="1" applyAlignment="1">
      <alignment vertical="center"/>
    </xf>
    <xf numFmtId="0" fontId="280" fillId="56" borderId="35" xfId="0" applyFont="1" applyFill="1" applyBorder="1" applyAlignment="1">
      <alignment horizontal="center" vertical="center" wrapText="1"/>
    </xf>
    <xf numFmtId="0" fontId="281" fillId="56" borderId="35" xfId="0" applyFont="1" applyFill="1" applyBorder="1" applyAlignment="1">
      <alignment horizontal="center" vertical="center" wrapText="1"/>
    </xf>
    <xf numFmtId="0" fontId="160" fillId="0" borderId="35" xfId="0" applyFont="1" applyFill="1" applyBorder="1" applyAlignment="1">
      <alignment horizontal="center" vertical="center"/>
    </xf>
    <xf numFmtId="0" fontId="160" fillId="56" borderId="35" xfId="0" applyFont="1" applyFill="1" applyBorder="1" applyAlignment="1">
      <alignment horizontal="center" vertical="center"/>
    </xf>
    <xf numFmtId="0" fontId="160" fillId="56" borderId="0" xfId="0" applyFont="1" applyFill="1" applyBorder="1" applyAlignment="1">
      <alignment vertical="center"/>
    </xf>
    <xf numFmtId="0" fontId="160" fillId="21" borderId="35" xfId="0" applyFont="1" applyFill="1" applyBorder="1" applyAlignment="1">
      <alignment vertical="center"/>
    </xf>
    <xf numFmtId="0" fontId="160" fillId="12" borderId="35" xfId="0" applyFont="1" applyFill="1" applyBorder="1" applyAlignment="1">
      <alignment horizontal="center" vertical="center"/>
    </xf>
    <xf numFmtId="0" fontId="160" fillId="15" borderId="35" xfId="0" applyFont="1" applyFill="1" applyBorder="1" applyAlignment="1" applyProtection="1">
      <alignment horizontal="center" vertical="center"/>
      <protection locked="0"/>
    </xf>
    <xf numFmtId="0" fontId="160" fillId="12" borderId="35" xfId="0" applyFont="1" applyFill="1" applyBorder="1" applyAlignment="1">
      <alignment vertical="center"/>
    </xf>
    <xf numFmtId="0" fontId="160" fillId="0" borderId="0" xfId="0" applyFont="1" applyFill="1" applyBorder="1" applyAlignment="1" applyProtection="1">
      <alignment vertical="center"/>
    </xf>
    <xf numFmtId="0" fontId="160" fillId="11" borderId="35" xfId="0" applyFont="1" applyFill="1" applyBorder="1" applyAlignment="1">
      <alignment vertical="center"/>
    </xf>
    <xf numFmtId="0" fontId="27" fillId="0" borderId="0" xfId="4" applyFont="1" applyAlignment="1"/>
    <xf numFmtId="0" fontId="160" fillId="0" borderId="0" xfId="4" applyFill="1"/>
    <xf numFmtId="0" fontId="160" fillId="0" borderId="0" xfId="4"/>
    <xf numFmtId="0" fontId="282" fillId="0" borderId="0" xfId="4" applyFont="1" applyAlignment="1">
      <alignment vertical="center"/>
    </xf>
    <xf numFmtId="0" fontId="283" fillId="23" borderId="0" xfId="4" applyFont="1" applyFill="1"/>
    <xf numFmtId="0" fontId="160" fillId="23" borderId="0" xfId="4" applyFill="1"/>
    <xf numFmtId="0" fontId="72" fillId="0" borderId="0" xfId="4" applyFont="1"/>
    <xf numFmtId="0" fontId="17" fillId="0" borderId="0" xfId="4" applyFont="1"/>
    <xf numFmtId="0" fontId="42" fillId="0" borderId="0" xfId="4" applyFont="1"/>
    <xf numFmtId="0" fontId="42" fillId="0" borderId="0" xfId="4" applyFont="1" applyAlignment="1">
      <alignment horizontal="center"/>
    </xf>
    <xf numFmtId="0" fontId="128" fillId="0" borderId="0" xfId="4" applyFont="1"/>
    <xf numFmtId="0" fontId="50" fillId="0" borderId="0" xfId="4" applyFont="1"/>
    <xf numFmtId="0" fontId="237" fillId="0" borderId="0" xfId="4" applyFont="1" applyBorder="1" applyAlignment="1">
      <alignment horizontal="right"/>
    </xf>
    <xf numFmtId="0" fontId="160" fillId="0" borderId="0" xfId="4" applyFont="1"/>
    <xf numFmtId="0" fontId="149" fillId="0" borderId="0" xfId="4" applyFont="1"/>
    <xf numFmtId="0" fontId="57" fillId="0" borderId="0" xfId="4" applyFont="1"/>
    <xf numFmtId="0" fontId="160" fillId="0" borderId="0" xfId="4" applyAlignment="1">
      <alignment horizontal="right"/>
    </xf>
    <xf numFmtId="0" fontId="11" fillId="0" borderId="0" xfId="7" applyFont="1">
      <alignment vertical="center"/>
    </xf>
    <xf numFmtId="0" fontId="269" fillId="0" borderId="0" xfId="7" applyFont="1">
      <alignment vertical="center"/>
    </xf>
    <xf numFmtId="197" fontId="11" fillId="0" borderId="0" xfId="7" applyNumberFormat="1" applyFont="1">
      <alignment vertical="center"/>
    </xf>
    <xf numFmtId="0" fontId="11" fillId="0" borderId="0" xfId="7" applyFont="1" applyAlignment="1">
      <alignment vertical="center"/>
    </xf>
    <xf numFmtId="0" fontId="270" fillId="0" borderId="0" xfId="7" applyFont="1" applyAlignment="1">
      <alignment vertical="center"/>
    </xf>
    <xf numFmtId="0" fontId="11" fillId="62" borderId="38" xfId="7" applyFont="1" applyFill="1" applyBorder="1" applyAlignment="1">
      <alignment horizontal="center" vertical="center"/>
    </xf>
    <xf numFmtId="0" fontId="274" fillId="62" borderId="44" xfId="7" applyFont="1" applyFill="1" applyBorder="1" applyAlignment="1">
      <alignment horizontal="center" vertical="center"/>
    </xf>
    <xf numFmtId="0" fontId="11" fillId="62" borderId="44" xfId="7" applyFont="1" applyFill="1" applyBorder="1" applyAlignment="1">
      <alignment vertical="center"/>
    </xf>
    <xf numFmtId="0" fontId="11" fillId="62" borderId="39" xfId="7" applyFont="1" applyFill="1" applyBorder="1" applyAlignment="1">
      <alignment horizontal="center" vertical="center"/>
    </xf>
    <xf numFmtId="0" fontId="274" fillId="62" borderId="35" xfId="7" applyFont="1" applyFill="1" applyBorder="1" applyAlignment="1">
      <alignment horizontal="center" vertical="center"/>
    </xf>
    <xf numFmtId="0" fontId="11" fillId="62" borderId="35" xfId="7" applyFont="1" applyFill="1" applyBorder="1" applyAlignment="1">
      <alignment vertical="center"/>
    </xf>
    <xf numFmtId="0" fontId="11" fillId="62" borderId="40" xfId="7" applyFont="1" applyFill="1" applyBorder="1" applyAlignment="1">
      <alignment horizontal="center" vertical="center"/>
    </xf>
    <xf numFmtId="0" fontId="274" fillId="62" borderId="47" xfId="7" applyFont="1" applyFill="1" applyBorder="1" applyAlignment="1">
      <alignment horizontal="center" vertical="center"/>
    </xf>
    <xf numFmtId="0" fontId="11" fillId="62" borderId="96" xfId="7" applyFont="1" applyFill="1" applyBorder="1" applyAlignment="1">
      <alignment vertical="center"/>
    </xf>
    <xf numFmtId="0" fontId="274" fillId="0" borderId="0" xfId="7" applyFont="1">
      <alignment vertical="center"/>
    </xf>
    <xf numFmtId="0" fontId="11" fillId="60" borderId="38" xfId="7" applyFont="1" applyFill="1" applyBorder="1" applyAlignment="1">
      <alignment horizontal="center" vertical="center" wrapText="1"/>
    </xf>
    <xf numFmtId="0" fontId="274" fillId="60" borderId="44" xfId="7" applyFont="1" applyFill="1" applyBorder="1" applyAlignment="1">
      <alignment horizontal="center" vertical="center"/>
    </xf>
    <xf numFmtId="0" fontId="11" fillId="60" borderId="44" xfId="7" applyFont="1" applyFill="1" applyBorder="1" applyAlignment="1">
      <alignment vertical="center"/>
    </xf>
    <xf numFmtId="0" fontId="11" fillId="60" borderId="40" xfId="7" applyFont="1" applyFill="1" applyBorder="1" applyAlignment="1">
      <alignment horizontal="center" vertical="center"/>
    </xf>
    <xf numFmtId="0" fontId="274" fillId="60" borderId="47" xfId="7" applyFont="1" applyFill="1" applyBorder="1" applyAlignment="1">
      <alignment horizontal="center" vertical="center"/>
    </xf>
    <xf numFmtId="0" fontId="11" fillId="60" borderId="96" xfId="7" applyFont="1" applyFill="1" applyBorder="1" applyAlignment="1">
      <alignment vertical="center"/>
    </xf>
    <xf numFmtId="0" fontId="11" fillId="62" borderId="39" xfId="7" applyFont="1" applyFill="1" applyBorder="1" applyAlignment="1">
      <alignment horizontal="center" vertical="center" wrapText="1"/>
    </xf>
    <xf numFmtId="0" fontId="11" fillId="62" borderId="119" xfId="7" applyFont="1" applyFill="1" applyBorder="1" applyAlignment="1">
      <alignment horizontal="center" vertical="center"/>
    </xf>
    <xf numFmtId="0" fontId="274" fillId="62" borderId="63" xfId="7" applyFont="1" applyFill="1" applyBorder="1" applyAlignment="1">
      <alignment horizontal="center" vertical="center"/>
    </xf>
    <xf numFmtId="0" fontId="11" fillId="60" borderId="38" xfId="7" applyFont="1" applyFill="1" applyBorder="1" applyAlignment="1">
      <alignment horizontal="center" vertical="center"/>
    </xf>
    <xf numFmtId="0" fontId="11" fillId="60" borderId="39" xfId="7" applyFont="1" applyFill="1" applyBorder="1" applyAlignment="1">
      <alignment horizontal="center" vertical="center" wrapText="1"/>
    </xf>
    <xf numFmtId="0" fontId="274" fillId="60" borderId="35" xfId="7" applyFont="1" applyFill="1" applyBorder="1" applyAlignment="1">
      <alignment horizontal="center" vertical="center"/>
    </xf>
    <xf numFmtId="0" fontId="11" fillId="60" borderId="35" xfId="7" applyFont="1" applyFill="1" applyBorder="1" applyAlignment="1">
      <alignment vertical="center"/>
    </xf>
    <xf numFmtId="0" fontId="11" fillId="60" borderId="39" xfId="7" applyFont="1" applyFill="1" applyBorder="1" applyAlignment="1">
      <alignment horizontal="center" vertical="center"/>
    </xf>
    <xf numFmtId="0" fontId="11" fillId="0" borderId="0" xfId="7" applyFont="1" applyAlignment="1">
      <alignment horizontal="left" vertical="center"/>
    </xf>
    <xf numFmtId="0" fontId="2" fillId="0" borderId="0" xfId="7">
      <alignment vertical="center"/>
    </xf>
    <xf numFmtId="0" fontId="2" fillId="0" borderId="0" xfId="0" applyFont="1" applyFill="1" applyAlignment="1">
      <alignment vertical="center" wrapText="1"/>
    </xf>
    <xf numFmtId="0" fontId="284" fillId="0" borderId="0" xfId="0" applyFont="1" applyFill="1" applyAlignment="1">
      <alignment vertical="center"/>
    </xf>
    <xf numFmtId="0" fontId="2" fillId="0" borderId="0" xfId="0" applyFont="1" applyFill="1" applyAlignment="1">
      <alignment horizontal="center" vertical="center"/>
    </xf>
    <xf numFmtId="0" fontId="2" fillId="0" borderId="0" xfId="0" applyFont="1" applyFill="1" applyAlignment="1">
      <alignment horizontal="left" vertical="center"/>
    </xf>
    <xf numFmtId="0" fontId="286" fillId="2" borderId="35" xfId="0" applyFont="1" applyFill="1" applyBorder="1" applyAlignment="1">
      <alignment horizontal="center" vertical="center" wrapText="1"/>
    </xf>
    <xf numFmtId="0" fontId="284" fillId="0" borderId="35" xfId="0" applyFont="1" applyFill="1" applyBorder="1" applyAlignment="1">
      <alignment horizontal="center" vertical="center"/>
    </xf>
    <xf numFmtId="0" fontId="284" fillId="0" borderId="35" xfId="0" applyFont="1" applyFill="1" applyBorder="1" applyAlignment="1">
      <alignment horizontal="left" vertical="center"/>
    </xf>
    <xf numFmtId="0" fontId="287" fillId="0" borderId="35" xfId="0" applyFont="1" applyFill="1" applyBorder="1" applyAlignment="1">
      <alignment horizontal="center" vertical="center"/>
    </xf>
    <xf numFmtId="0" fontId="284" fillId="63" borderId="35" xfId="0" applyFont="1" applyFill="1" applyBorder="1" applyAlignment="1">
      <alignment horizontal="left" vertical="center"/>
    </xf>
    <xf numFmtId="0" fontId="284" fillId="63" borderId="35" xfId="0" applyFont="1" applyFill="1" applyBorder="1" applyAlignment="1">
      <alignment horizontal="center" vertical="center"/>
    </xf>
    <xf numFmtId="0" fontId="160" fillId="0" borderId="0" xfId="0" applyFont="1" applyFill="1" applyBorder="1" applyAlignment="1">
      <alignment horizontal="left" vertical="center"/>
    </xf>
    <xf numFmtId="11" fontId="160" fillId="0" borderId="0" xfId="0" applyNumberFormat="1" applyFont="1" applyFill="1" applyBorder="1" applyAlignment="1">
      <alignment horizontal="center" vertical="center"/>
    </xf>
    <xf numFmtId="178" fontId="160" fillId="0" borderId="0" xfId="0" applyNumberFormat="1" applyFont="1" applyFill="1" applyBorder="1" applyAlignment="1">
      <alignment horizontal="center" vertical="center"/>
    </xf>
    <xf numFmtId="0" fontId="27" fillId="2" borderId="125" xfId="0" applyFont="1" applyFill="1" applyBorder="1" applyAlignment="1">
      <alignment horizontal="center" vertical="center" wrapText="1"/>
    </xf>
    <xf numFmtId="0" fontId="288" fillId="2" borderId="125" xfId="0" applyFont="1" applyFill="1" applyBorder="1" applyAlignment="1">
      <alignment horizontal="center" vertical="center" wrapText="1"/>
    </xf>
    <xf numFmtId="49" fontId="27" fillId="2" borderId="125" xfId="0" applyNumberFormat="1" applyFont="1" applyFill="1" applyBorder="1" applyAlignment="1">
      <alignment horizontal="center" vertical="center" wrapText="1"/>
    </xf>
    <xf numFmtId="0" fontId="289" fillId="0" borderId="125" xfId="0" applyFont="1" applyFill="1" applyBorder="1" applyAlignment="1">
      <alignment horizontal="left" vertical="center"/>
    </xf>
    <xf numFmtId="11" fontId="289" fillId="0" borderId="125" xfId="0" applyNumberFormat="1" applyFont="1" applyFill="1" applyBorder="1" applyAlignment="1">
      <alignment horizontal="center" vertical="center"/>
    </xf>
    <xf numFmtId="178" fontId="289" fillId="0" borderId="125" xfId="0" applyNumberFormat="1" applyFont="1" applyFill="1" applyBorder="1" applyAlignment="1">
      <alignment horizontal="center" vertical="center"/>
    </xf>
    <xf numFmtId="11" fontId="160" fillId="0" borderId="125" xfId="0" applyNumberFormat="1" applyFont="1" applyFill="1" applyBorder="1" applyAlignment="1">
      <alignment horizontal="center" vertical="center"/>
    </xf>
    <xf numFmtId="0" fontId="160" fillId="0" borderId="125" xfId="0" applyNumberFormat="1" applyFont="1" applyFill="1" applyBorder="1" applyAlignment="1">
      <alignment horizontal="center" vertical="center"/>
    </xf>
    <xf numFmtId="0" fontId="289" fillId="63" borderId="125" xfId="0" applyFont="1" applyFill="1" applyBorder="1" applyAlignment="1">
      <alignment horizontal="left" vertical="center"/>
    </xf>
    <xf numFmtId="11" fontId="289" fillId="63" borderId="125" xfId="0" applyNumberFormat="1" applyFont="1" applyFill="1" applyBorder="1" applyAlignment="1">
      <alignment horizontal="center" vertical="center"/>
    </xf>
    <xf numFmtId="178" fontId="289" fillId="63" borderId="125" xfId="0" applyNumberFormat="1" applyFont="1" applyFill="1" applyBorder="1" applyAlignment="1">
      <alignment horizontal="center" vertical="center"/>
    </xf>
    <xf numFmtId="11" fontId="160" fillId="63" borderId="125" xfId="0" applyNumberFormat="1" applyFont="1" applyFill="1" applyBorder="1" applyAlignment="1">
      <alignment horizontal="center" vertical="center"/>
    </xf>
    <xf numFmtId="0" fontId="160" fillId="63" borderId="125" xfId="0" applyNumberFormat="1" applyFont="1" applyFill="1" applyBorder="1" applyAlignment="1">
      <alignment horizontal="center" vertical="center"/>
    </xf>
    <xf numFmtId="180" fontId="160" fillId="0" borderId="125" xfId="0" applyNumberFormat="1" applyFont="1" applyFill="1" applyBorder="1" applyAlignment="1">
      <alignment horizontal="center" vertical="center"/>
    </xf>
    <xf numFmtId="180" fontId="160" fillId="63" borderId="125" xfId="0" applyNumberFormat="1" applyFont="1" applyFill="1" applyBorder="1" applyAlignment="1">
      <alignment horizontal="center" vertical="center"/>
    </xf>
    <xf numFmtId="49" fontId="22" fillId="35" borderId="74" xfId="0" applyNumberFormat="1" applyFont="1" applyFill="1" applyBorder="1" applyAlignment="1">
      <alignment horizontal="center" vertical="center"/>
    </xf>
    <xf numFmtId="49" fontId="22" fillId="0" borderId="35" xfId="0" applyNumberFormat="1" applyFont="1" applyFill="1" applyBorder="1" applyAlignment="1">
      <alignment horizontal="center" vertical="center"/>
    </xf>
    <xf numFmtId="49" fontId="22" fillId="39" borderId="35" xfId="0" applyNumberFormat="1" applyFont="1" applyFill="1" applyBorder="1" applyAlignment="1">
      <alignment horizontal="center" vertical="center"/>
    </xf>
    <xf numFmtId="49" fontId="22" fillId="0" borderId="93" xfId="0" applyNumberFormat="1" applyFont="1" applyFill="1" applyBorder="1" applyAlignment="1">
      <alignment horizontal="center" vertical="center"/>
    </xf>
    <xf numFmtId="49" fontId="22" fillId="35" borderId="35" xfId="0" applyNumberFormat="1" applyFont="1" applyFill="1" applyBorder="1" applyAlignment="1">
      <alignment horizontal="center" vertical="center"/>
    </xf>
    <xf numFmtId="49" fontId="87" fillId="35" borderId="53" xfId="0" applyNumberFormat="1" applyFont="1" applyFill="1" applyBorder="1" applyAlignment="1">
      <alignment horizontal="center" vertical="center"/>
    </xf>
    <xf numFmtId="49" fontId="87" fillId="35" borderId="54" xfId="0" applyNumberFormat="1" applyFont="1" applyFill="1" applyBorder="1" applyAlignment="1">
      <alignment horizontal="center" vertical="center"/>
    </xf>
    <xf numFmtId="49" fontId="22" fillId="35" borderId="53" xfId="0" applyNumberFormat="1" applyFont="1" applyFill="1" applyBorder="1" applyAlignment="1">
      <alignment horizontal="center" vertical="center"/>
    </xf>
    <xf numFmtId="49" fontId="290" fillId="35" borderId="53" xfId="0" applyNumberFormat="1" applyFont="1" applyFill="1" applyBorder="1" applyAlignment="1">
      <alignment horizontal="center" vertical="center"/>
    </xf>
    <xf numFmtId="49" fontId="87" fillId="39" borderId="54" xfId="0" applyNumberFormat="1" applyFont="1" applyFill="1" applyBorder="1" applyAlignment="1">
      <alignment horizontal="center" vertical="center"/>
    </xf>
    <xf numFmtId="49" fontId="22" fillId="39" borderId="54" xfId="0" applyNumberFormat="1" applyFont="1" applyFill="1" applyBorder="1" applyAlignment="1">
      <alignment horizontal="center" vertical="center"/>
    </xf>
    <xf numFmtId="49" fontId="290" fillId="39" borderId="54" xfId="0" applyNumberFormat="1" applyFont="1" applyFill="1" applyBorder="1" applyAlignment="1">
      <alignment horizontal="center" vertical="center"/>
    </xf>
    <xf numFmtId="49" fontId="291" fillId="0" borderId="35" xfId="0" applyNumberFormat="1" applyFont="1" applyFill="1" applyBorder="1" applyAlignment="1">
      <alignment horizontal="center" vertical="center"/>
    </xf>
    <xf numFmtId="49" fontId="292" fillId="39" borderId="35" xfId="0" applyNumberFormat="1" applyFont="1" applyFill="1" applyBorder="1" applyAlignment="1">
      <alignment horizontal="center" vertical="center"/>
    </xf>
    <xf numFmtId="49" fontId="63" fillId="0" borderId="35" xfId="0" applyNumberFormat="1" applyFont="1" applyFill="1" applyBorder="1" applyAlignment="1">
      <alignment horizontal="center" vertical="center"/>
    </xf>
    <xf numFmtId="49" fontId="22" fillId="0" borderId="63" xfId="0" applyNumberFormat="1" applyFont="1" applyFill="1" applyBorder="1" applyAlignment="1">
      <alignment horizontal="center" vertical="center"/>
    </xf>
    <xf numFmtId="49" fontId="22" fillId="39" borderId="63" xfId="0" applyNumberFormat="1" applyFont="1" applyFill="1" applyBorder="1" applyAlignment="1">
      <alignment horizontal="center" vertical="center"/>
    </xf>
    <xf numFmtId="49" fontId="22" fillId="0" borderId="74" xfId="0" applyNumberFormat="1" applyFont="1" applyFill="1" applyBorder="1" applyAlignment="1">
      <alignment horizontal="center" vertical="center"/>
    </xf>
    <xf numFmtId="49" fontId="22" fillId="0" borderId="36" xfId="0" applyNumberFormat="1" applyFont="1" applyFill="1" applyBorder="1" applyAlignment="1">
      <alignment horizontal="center" vertical="center"/>
    </xf>
    <xf numFmtId="49" fontId="22" fillId="39" borderId="36" xfId="0" applyNumberFormat="1" applyFont="1" applyFill="1" applyBorder="1" applyAlignment="1">
      <alignment horizontal="center" vertical="center"/>
    </xf>
    <xf numFmtId="49" fontId="293" fillId="0" borderId="35" xfId="0" applyNumberFormat="1" applyFont="1" applyFill="1" applyBorder="1" applyAlignment="1">
      <alignment horizontal="center" vertical="center"/>
    </xf>
    <xf numFmtId="49" fontId="63" fillId="0" borderId="93" xfId="0" applyNumberFormat="1" applyFont="1" applyFill="1" applyBorder="1" applyAlignment="1">
      <alignment horizontal="center" vertical="center"/>
    </xf>
    <xf numFmtId="49" fontId="22" fillId="39" borderId="93" xfId="0" applyNumberFormat="1" applyFont="1" applyFill="1" applyBorder="1" applyAlignment="1">
      <alignment horizontal="center" vertical="center"/>
    </xf>
    <xf numFmtId="49" fontId="22" fillId="0" borderId="55" xfId="0" applyNumberFormat="1" applyFont="1" applyFill="1" applyBorder="1" applyAlignment="1">
      <alignment horizontal="center" vertical="center"/>
    </xf>
    <xf numFmtId="49" fontId="22" fillId="0" borderId="59" xfId="0" applyNumberFormat="1" applyFont="1" applyFill="1" applyBorder="1" applyAlignment="1">
      <alignment horizontal="center" vertical="center"/>
    </xf>
    <xf numFmtId="49" fontId="22" fillId="0" borderId="57" xfId="0" applyNumberFormat="1" applyFont="1" applyFill="1" applyBorder="1" applyAlignment="1">
      <alignment horizontal="center" vertical="center"/>
    </xf>
    <xf numFmtId="49" fontId="294" fillId="0" borderId="63" xfId="0" applyNumberFormat="1" applyFont="1" applyFill="1" applyBorder="1" applyAlignment="1">
      <alignment horizontal="center" vertical="center"/>
    </xf>
    <xf numFmtId="49" fontId="22" fillId="51" borderId="35" xfId="0" applyNumberFormat="1" applyFont="1" applyFill="1" applyBorder="1" applyAlignment="1">
      <alignment horizontal="center" vertical="center"/>
    </xf>
    <xf numFmtId="49" fontId="39" fillId="51" borderId="35" xfId="0" applyNumberFormat="1" applyFont="1" applyFill="1" applyBorder="1" applyAlignment="1">
      <alignment horizontal="center" vertical="center"/>
    </xf>
    <xf numFmtId="49" fontId="22" fillId="39" borderId="74" xfId="0" applyNumberFormat="1" applyFont="1" applyFill="1" applyBorder="1" applyAlignment="1">
      <alignment horizontal="center" vertical="center"/>
    </xf>
    <xf numFmtId="49" fontId="22" fillId="51" borderId="93" xfId="0" applyNumberFormat="1" applyFont="1" applyFill="1" applyBorder="1" applyAlignment="1">
      <alignment horizontal="center" vertical="center"/>
    </xf>
    <xf numFmtId="49" fontId="22" fillId="39" borderId="55" xfId="0" applyNumberFormat="1" applyFont="1" applyFill="1" applyBorder="1" applyAlignment="1">
      <alignment horizontal="center" vertical="center"/>
    </xf>
    <xf numFmtId="49" fontId="87" fillId="0" borderId="54" xfId="0" applyNumberFormat="1" applyFont="1" applyFill="1" applyBorder="1" applyAlignment="1">
      <alignment horizontal="center" vertical="center"/>
    </xf>
    <xf numFmtId="49" fontId="22" fillId="0" borderId="54" xfId="0" applyNumberFormat="1" applyFont="1" applyFill="1" applyBorder="1" applyAlignment="1">
      <alignment horizontal="center" vertical="center"/>
    </xf>
    <xf numFmtId="49" fontId="290" fillId="0" borderId="54" xfId="0" applyNumberFormat="1" applyFont="1" applyFill="1" applyBorder="1" applyAlignment="1">
      <alignment horizontal="left" vertical="center"/>
    </xf>
    <xf numFmtId="49" fontId="291" fillId="0" borderId="74" xfId="0" applyNumberFormat="1" applyFont="1" applyFill="1" applyBorder="1" applyAlignment="1">
      <alignment horizontal="center" vertical="center"/>
    </xf>
    <xf numFmtId="49" fontId="295" fillId="0" borderId="36" xfId="0" applyNumberFormat="1" applyFont="1" applyFill="1" applyBorder="1" applyAlignment="1">
      <alignment horizontal="center" vertical="center"/>
    </xf>
    <xf numFmtId="49" fontId="292" fillId="39" borderId="63" xfId="0" applyNumberFormat="1" applyFont="1" applyFill="1" applyBorder="1" applyAlignment="1">
      <alignment horizontal="center" vertical="center"/>
    </xf>
    <xf numFmtId="49" fontId="292" fillId="51" borderId="35" xfId="0" applyNumberFormat="1" applyFont="1" applyFill="1" applyBorder="1" applyAlignment="1">
      <alignment horizontal="center" vertical="center"/>
    </xf>
    <xf numFmtId="0" fontId="296" fillId="0" borderId="0" xfId="0" applyFont="1" applyFill="1"/>
    <xf numFmtId="0" fontId="298" fillId="29" borderId="154" xfId="1" applyFont="1" applyFill="1" applyBorder="1" applyAlignment="1" applyProtection="1">
      <alignment horizontal="center" vertical="center"/>
    </xf>
    <xf numFmtId="0" fontId="152" fillId="29" borderId="95" xfId="0" applyFont="1" applyFill="1" applyBorder="1" applyAlignment="1">
      <alignment horizontal="center" vertical="center"/>
    </xf>
    <xf numFmtId="0" fontId="152" fillId="29" borderId="157" xfId="0" applyFont="1" applyFill="1" applyBorder="1" applyAlignment="1">
      <alignment horizontal="center" vertical="center"/>
    </xf>
    <xf numFmtId="0" fontId="301" fillId="0" borderId="0" xfId="0" applyFont="1" applyAlignment="1">
      <alignment vertical="center"/>
    </xf>
    <xf numFmtId="0" fontId="229" fillId="0" borderId="0" xfId="1" applyFont="1" applyFill="1" applyAlignment="1" applyProtection="1">
      <alignment horizontal="center" vertical="center"/>
    </xf>
    <xf numFmtId="0" fontId="152" fillId="29" borderId="1" xfId="0" applyFont="1" applyFill="1" applyBorder="1" applyAlignment="1">
      <alignment horizontal="center" vertical="center"/>
    </xf>
    <xf numFmtId="0" fontId="152" fillId="29" borderId="158" xfId="0" applyFont="1" applyFill="1" applyBorder="1" applyAlignment="1">
      <alignment horizontal="center" vertical="center"/>
    </xf>
    <xf numFmtId="0" fontId="152" fillId="29" borderId="159" xfId="0" applyFont="1" applyFill="1" applyBorder="1" applyAlignment="1">
      <alignment horizontal="center" vertical="center"/>
    </xf>
    <xf numFmtId="0" fontId="152" fillId="29" borderId="160" xfId="0" applyFont="1" applyFill="1" applyBorder="1" applyAlignment="1">
      <alignment horizontal="center" vertical="center"/>
    </xf>
    <xf numFmtId="0" fontId="146" fillId="0" borderId="0" xfId="0" applyNumberFormat="1" applyFont="1" applyBorder="1" applyAlignment="1">
      <alignment horizontal="center" vertical="center" textRotation="255"/>
    </xf>
    <xf numFmtId="0" fontId="152" fillId="26" borderId="93" xfId="0" applyFont="1" applyFill="1" applyBorder="1" applyAlignment="1">
      <alignment horizontal="center" vertical="center"/>
    </xf>
    <xf numFmtId="0" fontId="152" fillId="26" borderId="158" xfId="0" applyFont="1" applyFill="1" applyBorder="1" applyAlignment="1">
      <alignment horizontal="center" vertical="center"/>
    </xf>
    <xf numFmtId="0" fontId="152" fillId="26" borderId="159" xfId="0" applyFont="1" applyFill="1" applyBorder="1" applyAlignment="1">
      <alignment horizontal="center" vertical="center"/>
    </xf>
    <xf numFmtId="0" fontId="152" fillId="26" borderId="160" xfId="0" applyFont="1" applyFill="1" applyBorder="1" applyAlignment="1">
      <alignment horizontal="center" vertical="center"/>
    </xf>
    <xf numFmtId="0" fontId="146" fillId="0" borderId="0" xfId="0" applyNumberFormat="1" applyFont="1" applyFill="1" applyAlignment="1">
      <alignment horizontal="center" vertical="center" textRotation="255"/>
    </xf>
    <xf numFmtId="0" fontId="80" fillId="26" borderId="158" xfId="0" applyNumberFormat="1" applyFont="1" applyFill="1" applyBorder="1" applyAlignment="1">
      <alignment horizontal="center" vertical="center" textRotation="255"/>
    </xf>
    <xf numFmtId="0" fontId="302" fillId="0" borderId="0" xfId="1" applyFont="1" applyAlignment="1" applyProtection="1">
      <alignment vertical="center"/>
    </xf>
    <xf numFmtId="0" fontId="303" fillId="0" borderId="0" xfId="0" applyFont="1" applyAlignment="1">
      <alignment vertical="center"/>
    </xf>
    <xf numFmtId="0" fontId="152" fillId="0" borderId="0" xfId="0" applyFont="1" applyFill="1" applyAlignment="1">
      <alignment horizontal="center" vertical="center"/>
    </xf>
    <xf numFmtId="0" fontId="172" fillId="0" borderId="94" xfId="0" quotePrefix="1" applyFont="1" applyFill="1" applyBorder="1" applyAlignment="1">
      <alignment horizontal="center"/>
    </xf>
    <xf numFmtId="0" fontId="172" fillId="0" borderId="60" xfId="0" quotePrefix="1" applyFont="1" applyFill="1" applyBorder="1" applyAlignment="1">
      <alignment horizontal="center"/>
    </xf>
    <xf numFmtId="0" fontId="172" fillId="0" borderId="0" xfId="0" quotePrefix="1" applyFont="1" applyFill="1" applyAlignment="1">
      <alignment horizontal="center"/>
    </xf>
    <xf numFmtId="0" fontId="172" fillId="15" borderId="35" xfId="0" quotePrefix="1" applyFont="1" applyFill="1" applyBorder="1" applyAlignment="1">
      <alignment horizontal="center"/>
    </xf>
    <xf numFmtId="0" fontId="179" fillId="0" borderId="35" xfId="0" quotePrefix="1" applyFont="1" applyFill="1" applyBorder="1" applyAlignment="1">
      <alignment horizontal="center"/>
    </xf>
    <xf numFmtId="0" fontId="179" fillId="15" borderId="35" xfId="0" quotePrefix="1" applyFont="1" applyFill="1" applyBorder="1" applyAlignment="1">
      <alignment horizontal="center"/>
    </xf>
    <xf numFmtId="0" fontId="172" fillId="0" borderId="35" xfId="0" quotePrefix="1" applyFont="1" applyFill="1" applyBorder="1" applyAlignment="1">
      <alignment horizontal="center"/>
    </xf>
    <xf numFmtId="0" fontId="172" fillId="0" borderId="74" xfId="0" quotePrefix="1" applyFont="1" applyFill="1" applyBorder="1" applyAlignment="1">
      <alignment horizontal="center"/>
    </xf>
    <xf numFmtId="0" fontId="175" fillId="15" borderId="36" xfId="0" quotePrefix="1" applyFont="1" applyFill="1" applyBorder="1" applyAlignment="1">
      <alignment horizontal="right" vertical="center"/>
    </xf>
    <xf numFmtId="0" fontId="175" fillId="0" borderId="35" xfId="0" quotePrefix="1" applyFont="1" applyFill="1" applyBorder="1" applyAlignment="1">
      <alignment horizontal="right" vertical="center"/>
    </xf>
    <xf numFmtId="0" fontId="175" fillId="15" borderId="35" xfId="0" quotePrefix="1" applyFont="1" applyFill="1" applyBorder="1" applyAlignment="1">
      <alignment horizontal="right" vertical="center"/>
    </xf>
    <xf numFmtId="0" fontId="175" fillId="0" borderId="35" xfId="0" quotePrefix="1" applyFont="1" applyFill="1" applyBorder="1" applyAlignment="1">
      <alignment horizontal="right"/>
    </xf>
    <xf numFmtId="0" fontId="175" fillId="15" borderId="35" xfId="0" quotePrefix="1" applyFont="1" applyFill="1" applyBorder="1" applyAlignment="1">
      <alignment horizontal="right"/>
    </xf>
    <xf numFmtId="0" fontId="172" fillId="15" borderId="35" xfId="0" quotePrefix="1" applyFont="1" applyFill="1" applyBorder="1" applyAlignment="1">
      <alignment horizontal="right"/>
    </xf>
    <xf numFmtId="0" fontId="74" fillId="0" borderId="39" xfId="4" quotePrefix="1" applyFont="1" applyBorder="1" applyAlignment="1">
      <alignment horizontal="center" vertical="center"/>
    </xf>
    <xf numFmtId="0" fontId="15" fillId="0" borderId="39" xfId="0" quotePrefix="1" applyFont="1" applyFill="1" applyBorder="1" applyAlignment="1">
      <alignment horizontal="center" vertical="center" wrapText="1"/>
    </xf>
    <xf numFmtId="0" fontId="74" fillId="0" borderId="39" xfId="3" quotePrefix="1" applyFont="1" applyBorder="1" applyAlignment="1">
      <alignment horizontal="center" vertical="center" wrapText="1"/>
    </xf>
    <xf numFmtId="0" fontId="163" fillId="0" borderId="39" xfId="5" quotePrefix="1" applyFont="1" applyBorder="1" applyAlignment="1">
      <alignment horizontal="center" vertical="center"/>
    </xf>
    <xf numFmtId="0" fontId="74" fillId="0" borderId="39" xfId="5" quotePrefix="1" applyFont="1" applyBorder="1" applyAlignment="1">
      <alignment horizontal="center" vertical="center"/>
    </xf>
    <xf numFmtId="0" fontId="0" fillId="0" borderId="0" xfId="0" quotePrefix="1" applyFont="1" applyFill="1" applyAlignment="1"/>
    <xf numFmtId="0" fontId="0" fillId="15" borderId="35" xfId="0" quotePrefix="1" applyFont="1" applyFill="1" applyBorder="1" applyAlignment="1">
      <alignment horizontal="right"/>
    </xf>
    <xf numFmtId="0" fontId="27" fillId="6" borderId="35" xfId="0" quotePrefix="1" applyFont="1" applyFill="1" applyBorder="1" applyAlignment="1"/>
    <xf numFmtId="0" fontId="0" fillId="0" borderId="0" xfId="0" quotePrefix="1" applyFont="1" applyFill="1" applyAlignment="1">
      <alignment horizontal="right"/>
    </xf>
    <xf numFmtId="0" fontId="28" fillId="10" borderId="274" xfId="0" applyFont="1" applyFill="1" applyBorder="1" applyAlignment="1">
      <alignment horizontal="center" vertical="center"/>
    </xf>
    <xf numFmtId="0" fontId="28" fillId="10" borderId="275" xfId="0" applyFont="1" applyFill="1" applyBorder="1" applyAlignment="1">
      <alignment horizontal="center" vertical="center"/>
    </xf>
    <xf numFmtId="186" fontId="28" fillId="10" borderId="275" xfId="0" applyNumberFormat="1" applyFont="1" applyFill="1" applyBorder="1" applyAlignment="1">
      <alignment horizontal="center" vertical="center"/>
    </xf>
    <xf numFmtId="178" fontId="28" fillId="10" borderId="276" xfId="0" applyNumberFormat="1" applyFont="1" applyFill="1" applyBorder="1" applyAlignment="1">
      <alignment horizontal="center" vertical="center"/>
    </xf>
    <xf numFmtId="0" fontId="28" fillId="13" borderId="274" xfId="0" applyFont="1" applyFill="1" applyBorder="1" applyAlignment="1">
      <alignment horizontal="center" vertical="center"/>
    </xf>
    <xf numFmtId="0" fontId="28" fillId="13" borderId="275" xfId="0" applyFont="1" applyFill="1" applyBorder="1" applyAlignment="1">
      <alignment horizontal="center" vertical="center"/>
    </xf>
    <xf numFmtId="186" fontId="28" fillId="13" borderId="275" xfId="0" applyNumberFormat="1" applyFont="1" applyFill="1" applyBorder="1" applyAlignment="1">
      <alignment horizontal="center" vertical="center"/>
    </xf>
    <xf numFmtId="178" fontId="28" fillId="13" borderId="277" xfId="0" applyNumberFormat="1" applyFont="1" applyFill="1" applyBorder="1" applyAlignment="1">
      <alignment horizontal="center" vertical="center"/>
    </xf>
    <xf numFmtId="0" fontId="28" fillId="34" borderId="52" xfId="0" applyFont="1" applyFill="1" applyBorder="1" applyAlignment="1">
      <alignment horizontal="center" vertical="center"/>
    </xf>
    <xf numFmtId="0" fontId="28" fillId="34" borderId="36" xfId="0" applyFont="1" applyFill="1" applyBorder="1" applyAlignment="1">
      <alignment horizontal="center" vertical="center"/>
    </xf>
    <xf numFmtId="186" fontId="28" fillId="34" borderId="36" xfId="0" applyNumberFormat="1" applyFont="1" applyFill="1" applyBorder="1" applyAlignment="1">
      <alignment horizontal="right" vertical="center"/>
    </xf>
    <xf numFmtId="178" fontId="28" fillId="34" borderId="59" xfId="0" applyNumberFormat="1" applyFont="1" applyFill="1" applyBorder="1" applyAlignment="1">
      <alignment horizontal="right" vertical="center"/>
    </xf>
    <xf numFmtId="0" fontId="28" fillId="19" borderId="52" xfId="0" applyFont="1" applyFill="1" applyBorder="1" applyAlignment="1">
      <alignment horizontal="center" vertical="center"/>
    </xf>
    <xf numFmtId="0" fontId="28" fillId="19" borderId="36" xfId="0" applyFont="1" applyFill="1" applyBorder="1" applyAlignment="1">
      <alignment horizontal="center" vertical="center"/>
    </xf>
    <xf numFmtId="186" fontId="28" fillId="19" borderId="36" xfId="0" applyNumberFormat="1" applyFont="1" applyFill="1" applyBorder="1" applyAlignment="1">
      <alignment horizontal="right" vertical="center"/>
    </xf>
    <xf numFmtId="178" fontId="28" fillId="19" borderId="64" xfId="0" applyNumberFormat="1" applyFont="1" applyFill="1" applyBorder="1" applyAlignment="1">
      <alignment horizontal="right" vertical="center"/>
    </xf>
    <xf numFmtId="0" fontId="28" fillId="10" borderId="39" xfId="0" applyFont="1" applyFill="1" applyBorder="1" applyAlignment="1">
      <alignment horizontal="center" vertical="center"/>
    </xf>
    <xf numFmtId="0" fontId="28" fillId="10" borderId="35" xfId="0" applyFont="1" applyFill="1" applyBorder="1" applyAlignment="1">
      <alignment horizontal="center" vertical="center"/>
    </xf>
    <xf numFmtId="186" fontId="28" fillId="10" borderId="35" xfId="0" applyNumberFormat="1" applyFont="1" applyFill="1" applyBorder="1" applyAlignment="1">
      <alignment horizontal="right" vertical="center"/>
    </xf>
    <xf numFmtId="178" fontId="28" fillId="10" borderId="93" xfId="0" applyNumberFormat="1" applyFont="1" applyFill="1" applyBorder="1" applyAlignment="1">
      <alignment horizontal="right" vertical="center"/>
    </xf>
    <xf numFmtId="0" fontId="28" fillId="13" borderId="39" xfId="0" applyFont="1" applyFill="1" applyBorder="1" applyAlignment="1">
      <alignment horizontal="center" vertical="center"/>
    </xf>
    <xf numFmtId="0" fontId="28" fillId="13" borderId="35" xfId="0" applyFont="1" applyFill="1" applyBorder="1" applyAlignment="1">
      <alignment horizontal="center" vertical="center"/>
    </xf>
    <xf numFmtId="186" fontId="28" fillId="13" borderId="35" xfId="0" applyNumberFormat="1" applyFont="1" applyFill="1" applyBorder="1" applyAlignment="1">
      <alignment horizontal="right" vertical="center"/>
    </xf>
    <xf numFmtId="178" fontId="28" fillId="13" borderId="46" xfId="0" applyNumberFormat="1" applyFont="1" applyFill="1" applyBorder="1" applyAlignment="1">
      <alignment horizontal="right" vertical="center"/>
    </xf>
    <xf numFmtId="0" fontId="28" fillId="34" borderId="39" xfId="0" applyFont="1" applyFill="1" applyBorder="1" applyAlignment="1">
      <alignment horizontal="center" vertical="center"/>
    </xf>
    <xf numFmtId="0" fontId="28" fillId="34" borderId="35" xfId="0" applyFont="1" applyFill="1" applyBorder="1" applyAlignment="1">
      <alignment horizontal="center" vertical="center"/>
    </xf>
    <xf numFmtId="186" fontId="28" fillId="34" borderId="35" xfId="0" applyNumberFormat="1" applyFont="1" applyFill="1" applyBorder="1" applyAlignment="1">
      <alignment horizontal="right" vertical="center"/>
    </xf>
    <xf numFmtId="178" fontId="28" fillId="34" borderId="93" xfId="0" applyNumberFormat="1" applyFont="1" applyFill="1" applyBorder="1" applyAlignment="1">
      <alignment horizontal="right" vertical="center"/>
    </xf>
    <xf numFmtId="0" fontId="28" fillId="19" borderId="39" xfId="0" applyFont="1" applyFill="1" applyBorder="1" applyAlignment="1">
      <alignment horizontal="center" vertical="center"/>
    </xf>
    <xf numFmtId="0" fontId="28" fillId="19" borderId="35" xfId="0" applyFont="1" applyFill="1" applyBorder="1" applyAlignment="1">
      <alignment horizontal="center" vertical="center"/>
    </xf>
    <xf numFmtId="186" fontId="28" fillId="19" borderId="35" xfId="0" applyNumberFormat="1" applyFont="1" applyFill="1" applyBorder="1" applyAlignment="1">
      <alignment horizontal="right" vertical="center"/>
    </xf>
    <xf numFmtId="178" fontId="28" fillId="19" borderId="46" xfId="0" applyNumberFormat="1" applyFont="1" applyFill="1" applyBorder="1" applyAlignment="1">
      <alignment horizontal="right" vertical="center"/>
    </xf>
    <xf numFmtId="0" fontId="28" fillId="34" borderId="40" xfId="0" applyFont="1" applyFill="1" applyBorder="1" applyAlignment="1">
      <alignment horizontal="center" vertical="center"/>
    </xf>
    <xf numFmtId="0" fontId="28" fillId="34" borderId="47" xfId="0" applyFont="1" applyFill="1" applyBorder="1" applyAlignment="1">
      <alignment horizontal="center" vertical="center"/>
    </xf>
    <xf numFmtId="186" fontId="28" fillId="34" borderId="47" xfId="0" applyNumberFormat="1" applyFont="1" applyFill="1" applyBorder="1" applyAlignment="1">
      <alignment horizontal="right" vertical="center"/>
    </xf>
    <xf numFmtId="178" fontId="28" fillId="34" borderId="156" xfId="0" applyNumberFormat="1" applyFont="1" applyFill="1" applyBorder="1" applyAlignment="1">
      <alignment horizontal="right" vertical="center"/>
    </xf>
    <xf numFmtId="0" fontId="28" fillId="19" borderId="40" xfId="0" applyFont="1" applyFill="1" applyBorder="1" applyAlignment="1">
      <alignment horizontal="center" vertical="center"/>
    </xf>
    <xf numFmtId="0" fontId="28" fillId="19" borderId="47" xfId="0" applyFont="1" applyFill="1" applyBorder="1" applyAlignment="1">
      <alignment horizontal="center" vertical="center"/>
    </xf>
    <xf numFmtId="186" fontId="28" fillId="19" borderId="47" xfId="0" applyNumberFormat="1" applyFont="1" applyFill="1" applyBorder="1" applyAlignment="1">
      <alignment horizontal="right" vertical="center"/>
    </xf>
    <xf numFmtId="178" fontId="28" fillId="19" borderId="48" xfId="0" applyNumberFormat="1" applyFont="1" applyFill="1" applyBorder="1" applyAlignment="1">
      <alignment horizontal="right" vertical="center"/>
    </xf>
    <xf numFmtId="186" fontId="0" fillId="0" borderId="0" xfId="0" applyNumberFormat="1" applyFill="1" applyAlignment="1">
      <alignment horizontal="right" vertical="center"/>
    </xf>
    <xf numFmtId="178" fontId="0" fillId="0" borderId="0" xfId="0" applyNumberFormat="1" applyFill="1" applyAlignment="1">
      <alignment horizontal="right" vertical="center"/>
    </xf>
    <xf numFmtId="0" fontId="17" fillId="0" borderId="93" xfId="0" applyFont="1" applyBorder="1" applyAlignment="1">
      <alignment horizontal="center" vertical="center"/>
    </xf>
    <xf numFmtId="0" fontId="0" fillId="0" borderId="278" xfId="0" applyBorder="1" applyAlignment="1">
      <alignment horizontal="center" vertical="center"/>
    </xf>
    <xf numFmtId="0" fontId="0" fillId="0" borderId="279" xfId="0" applyBorder="1" applyAlignment="1">
      <alignment horizontal="center" vertical="center"/>
    </xf>
    <xf numFmtId="0" fontId="0" fillId="0" borderId="280" xfId="0" applyBorder="1" applyAlignment="1">
      <alignment horizontal="center" vertical="center"/>
    </xf>
    <xf numFmtId="49" fontId="17" fillId="0" borderId="278" xfId="0" applyNumberFormat="1" applyFont="1" applyBorder="1" applyAlignment="1">
      <alignment horizontal="center" vertical="center"/>
    </xf>
    <xf numFmtId="180" fontId="0" fillId="0" borderId="279" xfId="0" applyNumberFormat="1" applyBorder="1" applyAlignment="1">
      <alignment horizontal="center" vertical="center"/>
    </xf>
    <xf numFmtId="0" fontId="0" fillId="0" borderId="281" xfId="0" applyBorder="1" applyAlignment="1">
      <alignment horizontal="center" vertical="center"/>
    </xf>
    <xf numFmtId="0" fontId="22" fillId="0" borderId="278" xfId="0" applyFont="1" applyBorder="1" applyAlignment="1">
      <alignment horizontal="center" vertical="center"/>
    </xf>
    <xf numFmtId="180" fontId="22" fillId="0" borderId="279" xfId="0" applyNumberFormat="1" applyFont="1" applyBorder="1" applyAlignment="1">
      <alignment horizontal="center" vertical="center"/>
    </xf>
    <xf numFmtId="0" fontId="22" fillId="0" borderId="279" xfId="0" applyFont="1" applyBorder="1" applyAlignment="1">
      <alignment horizontal="center" vertical="center"/>
    </xf>
    <xf numFmtId="178" fontId="22" fillId="0" borderId="281" xfId="0" applyNumberFormat="1" applyFont="1" applyBorder="1" applyAlignment="1">
      <alignment horizontal="center" vertical="center"/>
    </xf>
    <xf numFmtId="0" fontId="22" fillId="0" borderId="281" xfId="0" applyFont="1" applyBorder="1" applyAlignment="1">
      <alignment horizontal="center" vertical="center"/>
    </xf>
    <xf numFmtId="180" fontId="0" fillId="0" borderId="279" xfId="0" applyNumberFormat="1" applyFont="1" applyBorder="1" applyAlignment="1">
      <alignment horizontal="center" vertical="center"/>
    </xf>
    <xf numFmtId="180" fontId="0" fillId="0" borderId="281" xfId="0" applyNumberFormat="1" applyFont="1" applyBorder="1" applyAlignment="1">
      <alignment horizontal="center" vertical="center"/>
    </xf>
    <xf numFmtId="0" fontId="0" fillId="0" borderId="274" xfId="0" applyBorder="1" applyAlignment="1">
      <alignment horizontal="center"/>
    </xf>
    <xf numFmtId="0" fontId="17" fillId="0" borderId="275" xfId="0" applyFont="1" applyBorder="1" applyAlignment="1">
      <alignment horizontal="center"/>
    </xf>
    <xf numFmtId="0" fontId="0" fillId="0" borderId="275" xfId="0" applyBorder="1" applyAlignment="1">
      <alignment horizontal="center"/>
    </xf>
    <xf numFmtId="0" fontId="0" fillId="0" borderId="277" xfId="0" applyBorder="1" applyAlignment="1">
      <alignment horizontal="center"/>
    </xf>
    <xf numFmtId="0" fontId="17" fillId="0" borderId="36" xfId="0" applyFont="1" applyBorder="1" applyAlignment="1">
      <alignment horizontal="center"/>
    </xf>
    <xf numFmtId="0" fontId="0" fillId="0" borderId="36" xfId="0" applyBorder="1" applyAlignment="1">
      <alignment horizontal="center"/>
    </xf>
    <xf numFmtId="0" fontId="17" fillId="0" borderId="35" xfId="0" applyFont="1" applyBorder="1" applyAlignment="1">
      <alignment horizontal="center"/>
    </xf>
    <xf numFmtId="0" fontId="0" fillId="0" borderId="35" xfId="0" applyBorder="1" applyAlignment="1">
      <alignment horizontal="center"/>
    </xf>
    <xf numFmtId="0" fontId="17" fillId="0" borderId="278" xfId="0" applyFont="1" applyBorder="1" applyAlignment="1">
      <alignment horizontal="center" vertical="center"/>
    </xf>
    <xf numFmtId="0" fontId="17" fillId="0" borderId="281" xfId="0" applyFont="1" applyBorder="1" applyAlignment="1">
      <alignment horizontal="center" vertical="center"/>
    </xf>
    <xf numFmtId="0" fontId="385" fillId="0" borderId="0" xfId="0" applyFont="1" applyFill="1" applyAlignment="1">
      <alignment horizontal="center" vertical="center"/>
    </xf>
    <xf numFmtId="0" fontId="96" fillId="0" borderId="35" xfId="0" applyFont="1" applyFill="1" applyBorder="1" applyAlignment="1">
      <alignment vertical="center" wrapText="1"/>
    </xf>
    <xf numFmtId="0" fontId="88" fillId="0" borderId="35" xfId="0" applyFont="1" applyFill="1" applyBorder="1" applyAlignment="1">
      <alignment horizontal="left" vertical="center"/>
    </xf>
    <xf numFmtId="0" fontId="88" fillId="0" borderId="35" xfId="0" applyFont="1" applyFill="1" applyBorder="1" applyAlignment="1">
      <alignment vertical="center" wrapText="1"/>
    </xf>
    <xf numFmtId="0" fontId="164" fillId="0" borderId="282" xfId="4" applyFont="1" applyFill="1" applyBorder="1" applyAlignment="1">
      <alignment horizontal="center" vertical="center"/>
    </xf>
    <xf numFmtId="0" fontId="164" fillId="0" borderId="283" xfId="4" applyFont="1" applyFill="1" applyBorder="1" applyAlignment="1">
      <alignment horizontal="center" vertical="center"/>
    </xf>
    <xf numFmtId="0" fontId="165" fillId="0" borderId="283" xfId="4" applyFont="1" applyFill="1" applyBorder="1" applyAlignment="1">
      <alignment horizontal="center" vertical="center"/>
    </xf>
    <xf numFmtId="0" fontId="165" fillId="0" borderId="284" xfId="4" applyFont="1" applyFill="1" applyBorder="1" applyAlignment="1">
      <alignment horizontal="center" vertical="center"/>
    </xf>
    <xf numFmtId="0" fontId="163" fillId="23" borderId="93" xfId="4" applyFont="1" applyFill="1" applyBorder="1" applyAlignment="1">
      <alignment horizontal="center" vertical="center"/>
    </xf>
    <xf numFmtId="0" fontId="74" fillId="0" borderId="35" xfId="7" applyFont="1" applyBorder="1" applyAlignment="1">
      <alignment horizontal="center" vertical="center"/>
    </xf>
    <xf numFmtId="0" fontId="74" fillId="0" borderId="93" xfId="7" applyFont="1" applyBorder="1" applyAlignment="1">
      <alignment horizontal="center" vertical="center"/>
    </xf>
    <xf numFmtId="0" fontId="74" fillId="0" borderId="46" xfId="7" applyFont="1" applyBorder="1" applyAlignment="1">
      <alignment horizontal="center" vertical="center"/>
    </xf>
    <xf numFmtId="0" fontId="15" fillId="0" borderId="35" xfId="0" applyFont="1" applyFill="1" applyBorder="1" applyAlignment="1">
      <alignment horizontal="center" vertical="center"/>
    </xf>
    <xf numFmtId="0" fontId="15" fillId="0" borderId="46" xfId="0" applyFont="1" applyFill="1" applyBorder="1" applyAlignment="1">
      <alignment horizontal="center" vertical="center"/>
    </xf>
    <xf numFmtId="0" fontId="74" fillId="0" borderId="35" xfId="0" applyFont="1" applyFill="1" applyBorder="1" applyAlignment="1">
      <alignment horizontal="center" vertical="center"/>
    </xf>
    <xf numFmtId="0" fontId="0" fillId="0" borderId="285" xfId="0" applyBorder="1" applyAlignment="1">
      <alignment horizontal="left" vertical="center"/>
    </xf>
    <xf numFmtId="0" fontId="17" fillId="0" borderId="286" xfId="0" applyFont="1" applyBorder="1" applyAlignment="1">
      <alignment horizontal="center" vertical="center"/>
    </xf>
    <xf numFmtId="0" fontId="17" fillId="0" borderId="287" xfId="0" applyFont="1" applyBorder="1" applyAlignment="1">
      <alignment horizontal="center" vertical="center"/>
    </xf>
    <xf numFmtId="2" fontId="0" fillId="0" borderId="0" xfId="0" applyNumberFormat="1" applyFont="1" applyAlignment="1" applyProtection="1">
      <protection hidden="1"/>
    </xf>
    <xf numFmtId="0" fontId="0" fillId="0" borderId="288" xfId="0" applyFont="1" applyBorder="1" applyAlignment="1" applyProtection="1">
      <protection hidden="1"/>
    </xf>
    <xf numFmtId="2" fontId="0" fillId="0" borderId="289" xfId="0" applyNumberFormat="1" applyFont="1" applyBorder="1" applyAlignment="1" applyProtection="1">
      <protection hidden="1"/>
    </xf>
    <xf numFmtId="2" fontId="0" fillId="0" borderId="290" xfId="0" applyNumberFormat="1" applyFont="1" applyBorder="1" applyAlignment="1" applyProtection="1">
      <protection hidden="1"/>
    </xf>
    <xf numFmtId="0" fontId="0" fillId="0" borderId="233" xfId="0" applyFont="1" applyBorder="1" applyAlignment="1" applyProtection="1">
      <protection hidden="1"/>
    </xf>
    <xf numFmtId="2" fontId="0" fillId="0" borderId="243" xfId="0" applyNumberFormat="1" applyFont="1" applyBorder="1" applyAlignment="1" applyProtection="1">
      <protection hidden="1"/>
    </xf>
    <xf numFmtId="2" fontId="0" fillId="0" borderId="234" xfId="0" applyNumberFormat="1" applyFont="1" applyBorder="1" applyAlignment="1" applyProtection="1">
      <protection hidden="1"/>
    </xf>
    <xf numFmtId="0" fontId="0" fillId="0" borderId="235" xfId="0" applyFont="1" applyBorder="1" applyAlignment="1" applyProtection="1">
      <protection hidden="1"/>
    </xf>
    <xf numFmtId="2" fontId="0" fillId="0" borderId="291" xfId="0" applyNumberFormat="1" applyFont="1" applyBorder="1" applyAlignment="1" applyProtection="1">
      <protection hidden="1"/>
    </xf>
    <xf numFmtId="2" fontId="0" fillId="0" borderId="236" xfId="0" applyNumberFormat="1" applyFont="1" applyBorder="1" applyAlignment="1" applyProtection="1">
      <protection hidden="1"/>
    </xf>
    <xf numFmtId="0" fontId="0" fillId="0" borderId="247" xfId="0" applyFont="1" applyBorder="1" applyAlignment="1" applyProtection="1">
      <protection hidden="1"/>
    </xf>
    <xf numFmtId="2" fontId="0" fillId="0" borderId="247" xfId="0" applyNumberFormat="1" applyFont="1" applyBorder="1" applyAlignment="1" applyProtection="1">
      <protection hidden="1"/>
    </xf>
    <xf numFmtId="0" fontId="22" fillId="0" borderId="295" xfId="0" applyFont="1" applyBorder="1" applyAlignment="1" applyProtection="1">
      <protection hidden="1"/>
    </xf>
    <xf numFmtId="2" fontId="22" fillId="0" borderId="296" xfId="0" applyNumberFormat="1" applyFont="1" applyBorder="1" applyAlignment="1" applyProtection="1">
      <alignment horizontal="center"/>
      <protection hidden="1"/>
    </xf>
    <xf numFmtId="0" fontId="22" fillId="0" borderId="296" xfId="0" applyFont="1" applyBorder="1" applyAlignment="1" applyProtection="1">
      <alignment horizontal="center"/>
      <protection hidden="1"/>
    </xf>
    <xf numFmtId="2" fontId="22" fillId="0" borderId="297" xfId="0" applyNumberFormat="1" applyFont="1" applyBorder="1" applyAlignment="1" applyProtection="1">
      <alignment horizontal="center"/>
      <protection hidden="1"/>
    </xf>
    <xf numFmtId="0" fontId="0" fillId="0" borderId="298" xfId="0" applyFont="1" applyBorder="1" applyAlignment="1" applyProtection="1">
      <protection hidden="1"/>
    </xf>
    <xf numFmtId="0" fontId="0" fillId="0" borderId="195" xfId="0" applyFont="1" applyBorder="1" applyAlignment="1" applyProtection="1">
      <protection hidden="1"/>
    </xf>
    <xf numFmtId="2" fontId="0" fillId="0" borderId="198" xfId="0" applyNumberFormat="1" applyFont="1" applyBorder="1" applyAlignment="1" applyProtection="1">
      <protection hidden="1"/>
    </xf>
    <xf numFmtId="2" fontId="0" fillId="0" borderId="196" xfId="0" applyNumberFormat="1" applyFont="1" applyBorder="1" applyAlignment="1" applyProtection="1">
      <protection hidden="1"/>
    </xf>
    <xf numFmtId="2" fontId="0" fillId="0" borderId="249" xfId="0" applyNumberFormat="1" applyFont="1" applyBorder="1" applyAlignment="1" applyProtection="1">
      <protection hidden="1"/>
    </xf>
    <xf numFmtId="0" fontId="0" fillId="0" borderId="0" xfId="0" applyFont="1" applyAlignment="1" applyProtection="1">
      <protection hidden="1"/>
    </xf>
    <xf numFmtId="0" fontId="0" fillId="0" borderId="198" xfId="0" applyFont="1" applyBorder="1" applyAlignment="1" applyProtection="1">
      <protection hidden="1"/>
    </xf>
    <xf numFmtId="0" fontId="17" fillId="0" borderId="295" xfId="0" applyFont="1" applyBorder="1" applyAlignment="1" applyProtection="1">
      <protection hidden="1"/>
    </xf>
    <xf numFmtId="189" fontId="0" fillId="0" borderId="296" xfId="0" applyNumberFormat="1" applyFont="1" applyBorder="1" applyAlignment="1" applyProtection="1">
      <protection hidden="1"/>
    </xf>
    <xf numFmtId="0" fontId="17" fillId="0" borderId="300" xfId="0" applyFont="1" applyBorder="1" applyAlignment="1" applyProtection="1">
      <alignment horizontal="center"/>
      <protection hidden="1"/>
    </xf>
    <xf numFmtId="1" fontId="0" fillId="0" borderId="296" xfId="0" applyNumberFormat="1" applyFont="1" applyBorder="1" applyAlignment="1" applyProtection="1">
      <protection hidden="1"/>
    </xf>
    <xf numFmtId="0" fontId="0" fillId="0" borderId="297" xfId="0" applyNumberFormat="1" applyFont="1" applyBorder="1" applyAlignment="1" applyProtection="1">
      <alignment horizontal="center"/>
      <protection hidden="1"/>
    </xf>
    <xf numFmtId="0" fontId="17" fillId="0" borderId="195" xfId="0" applyFont="1" applyBorder="1" applyAlignment="1" applyProtection="1">
      <protection hidden="1"/>
    </xf>
    <xf numFmtId="189" fontId="0" fillId="0" borderId="198" xfId="0" applyNumberFormat="1" applyFont="1" applyBorder="1" applyAlignment="1" applyProtection="1">
      <protection hidden="1"/>
    </xf>
    <xf numFmtId="0" fontId="17" fillId="0" borderId="211" xfId="0" applyFont="1" applyBorder="1" applyAlignment="1" applyProtection="1">
      <alignment horizontal="center"/>
      <protection hidden="1"/>
    </xf>
    <xf numFmtId="1" fontId="0" fillId="0" borderId="198" xfId="0" applyNumberFormat="1" applyFont="1" applyBorder="1" applyAlignment="1" applyProtection="1">
      <protection hidden="1"/>
    </xf>
    <xf numFmtId="0" fontId="0" fillId="0" borderId="196" xfId="0" applyNumberFormat="1" applyFont="1" applyBorder="1" applyAlignment="1" applyProtection="1">
      <alignment horizontal="center"/>
      <protection hidden="1"/>
    </xf>
    <xf numFmtId="49" fontId="17" fillId="0" borderId="288" xfId="0" applyNumberFormat="1" applyFont="1" applyBorder="1" applyAlignment="1" applyProtection="1">
      <alignment horizontal="center"/>
      <protection hidden="1"/>
    </xf>
    <xf numFmtId="189" fontId="0" fillId="0" borderId="290" xfId="0" applyNumberFormat="1" applyFont="1" applyBorder="1" applyAlignment="1" applyProtection="1">
      <protection hidden="1"/>
    </xf>
    <xf numFmtId="49" fontId="17" fillId="0" borderId="233" xfId="0" applyNumberFormat="1" applyFont="1" applyBorder="1" applyAlignment="1" applyProtection="1">
      <alignment horizontal="center"/>
      <protection hidden="1"/>
    </xf>
    <xf numFmtId="189" fontId="0" fillId="0" borderId="234" xfId="0" applyNumberFormat="1" applyFont="1" applyBorder="1" applyAlignment="1" applyProtection="1">
      <protection hidden="1"/>
    </xf>
    <xf numFmtId="0" fontId="0" fillId="0" borderId="230" xfId="0" applyFont="1" applyBorder="1" applyAlignment="1" applyProtection="1">
      <protection hidden="1"/>
    </xf>
    <xf numFmtId="2" fontId="0" fillId="0" borderId="222" xfId="0" applyNumberFormat="1" applyFont="1" applyBorder="1" applyAlignment="1" applyProtection="1">
      <protection hidden="1"/>
    </xf>
    <xf numFmtId="2" fontId="0" fillId="0" borderId="238" xfId="0" applyNumberFormat="1" applyFont="1" applyBorder="1" applyAlignment="1" applyProtection="1">
      <protection hidden="1"/>
    </xf>
    <xf numFmtId="0" fontId="17" fillId="0" borderId="230" xfId="0" applyFont="1" applyBorder="1" applyAlignment="1" applyProtection="1">
      <protection hidden="1"/>
    </xf>
    <xf numFmtId="1" fontId="0" fillId="0" borderId="222" xfId="0" applyNumberFormat="1" applyFont="1" applyBorder="1" applyAlignment="1" applyProtection="1">
      <protection hidden="1"/>
    </xf>
    <xf numFmtId="0" fontId="17" fillId="0" borderId="303" xfId="0" applyFont="1" applyBorder="1" applyAlignment="1" applyProtection="1">
      <alignment horizontal="center"/>
      <protection hidden="1"/>
    </xf>
    <xf numFmtId="0" fontId="0" fillId="0" borderId="238" xfId="0" applyNumberFormat="1" applyFont="1" applyBorder="1" applyAlignment="1" applyProtection="1">
      <alignment horizontal="center"/>
      <protection hidden="1"/>
    </xf>
    <xf numFmtId="0" fontId="0" fillId="0" borderId="298" xfId="0" applyFont="1" applyBorder="1" applyAlignment="1" applyProtection="1">
      <alignment horizontal="center"/>
      <protection hidden="1"/>
    </xf>
    <xf numFmtId="189" fontId="0" fillId="0" borderId="0" xfId="0" applyNumberFormat="1" applyFont="1" applyAlignment="1" applyProtection="1">
      <protection hidden="1"/>
    </xf>
    <xf numFmtId="189" fontId="0" fillId="0" borderId="249" xfId="0" applyNumberFormat="1" applyFont="1" applyBorder="1" applyAlignment="1" applyProtection="1">
      <protection hidden="1"/>
    </xf>
    <xf numFmtId="189" fontId="0" fillId="0" borderId="236" xfId="0" applyNumberFormat="1" applyFont="1" applyBorder="1" applyAlignment="1" applyProtection="1">
      <protection hidden="1"/>
    </xf>
    <xf numFmtId="0" fontId="17" fillId="0" borderId="288" xfId="0" applyFont="1" applyFill="1" applyBorder="1" applyAlignment="1" applyProtection="1">
      <protection hidden="1"/>
    </xf>
    <xf numFmtId="0" fontId="17" fillId="0" borderId="233" xfId="0" applyFont="1" applyFill="1" applyBorder="1" applyAlignment="1" applyProtection="1">
      <protection hidden="1"/>
    </xf>
    <xf numFmtId="0" fontId="0" fillId="0" borderId="288" xfId="0" applyFont="1" applyFill="1" applyBorder="1" applyAlignment="1" applyProtection="1">
      <protection hidden="1"/>
    </xf>
    <xf numFmtId="189" fontId="0" fillId="0" borderId="289" xfId="0" applyNumberFormat="1" applyFont="1" applyBorder="1" applyAlignment="1" applyProtection="1">
      <protection hidden="1"/>
    </xf>
    <xf numFmtId="0" fontId="17" fillId="0" borderId="288" xfId="0" applyFont="1" applyBorder="1" applyAlignment="1" applyProtection="1">
      <protection hidden="1"/>
    </xf>
    <xf numFmtId="0" fontId="0" fillId="0" borderId="233" xfId="0" applyFont="1" applyFill="1" applyBorder="1" applyAlignment="1" applyProtection="1">
      <protection hidden="1"/>
    </xf>
    <xf numFmtId="189" fontId="0" fillId="0" borderId="243" xfId="0" applyNumberFormat="1" applyFont="1" applyBorder="1" applyAlignment="1" applyProtection="1">
      <protection hidden="1"/>
    </xf>
    <xf numFmtId="0" fontId="17" fillId="0" borderId="233" xfId="0" applyFont="1" applyBorder="1" applyAlignment="1" applyProtection="1">
      <protection hidden="1"/>
    </xf>
    <xf numFmtId="0" fontId="17" fillId="0" borderId="298" xfId="0" applyFont="1" applyFill="1" applyBorder="1" applyAlignment="1" applyProtection="1">
      <protection hidden="1"/>
    </xf>
    <xf numFmtId="0" fontId="0" fillId="0" borderId="298" xfId="0" applyFont="1" applyFill="1" applyBorder="1" applyAlignment="1" applyProtection="1">
      <protection hidden="1"/>
    </xf>
    <xf numFmtId="189" fontId="0" fillId="0" borderId="247" xfId="0" applyNumberFormat="1" applyFont="1" applyBorder="1" applyAlignment="1" applyProtection="1">
      <protection hidden="1"/>
    </xf>
    <xf numFmtId="0" fontId="17" fillId="0" borderId="298" xfId="0" applyFont="1" applyBorder="1" applyAlignment="1" applyProtection="1">
      <protection hidden="1"/>
    </xf>
    <xf numFmtId="0" fontId="119" fillId="35" borderId="0" xfId="0" applyFont="1" applyFill="1" applyAlignment="1">
      <alignment horizontal="left"/>
    </xf>
    <xf numFmtId="0" fontId="386" fillId="35" borderId="0" xfId="0" applyFont="1" applyFill="1" applyAlignment="1"/>
    <xf numFmtId="0" fontId="259" fillId="35" borderId="0" xfId="0" applyFont="1" applyFill="1" applyAlignment="1">
      <alignment wrapText="1"/>
    </xf>
    <xf numFmtId="0" fontId="12" fillId="35" borderId="0" xfId="0" applyFont="1" applyFill="1" applyAlignment="1"/>
    <xf numFmtId="0" fontId="87" fillId="35" borderId="0" xfId="0" applyFont="1" applyFill="1" applyAlignment="1">
      <alignment horizontal="left"/>
    </xf>
    <xf numFmtId="0" fontId="87" fillId="36" borderId="0" xfId="0" applyNumberFormat="1" applyFont="1" applyFill="1" applyAlignment="1"/>
    <xf numFmtId="0" fontId="87" fillId="35" borderId="0" xfId="0" applyFont="1" applyFill="1" applyAlignment="1"/>
    <xf numFmtId="0" fontId="134" fillId="35" borderId="0" xfId="0" applyFont="1" applyFill="1" applyAlignment="1"/>
    <xf numFmtId="0" fontId="87" fillId="28" borderId="0" xfId="0" applyNumberFormat="1" applyFont="1" applyFill="1" applyAlignment="1"/>
    <xf numFmtId="0" fontId="259" fillId="35" borderId="0" xfId="0" applyNumberFormat="1" applyFont="1" applyFill="1" applyAlignment="1">
      <alignment wrapText="1"/>
    </xf>
    <xf numFmtId="0" fontId="0" fillId="35" borderId="0" xfId="0" applyFont="1" applyFill="1" applyAlignment="1"/>
    <xf numFmtId="0" fontId="22" fillId="35" borderId="0" xfId="0" applyFont="1" applyFill="1" applyAlignment="1">
      <alignment horizontal="right"/>
    </xf>
    <xf numFmtId="0" fontId="0" fillId="35" borderId="0" xfId="0" applyNumberFormat="1" applyFont="1" applyFill="1" applyAlignment="1"/>
    <xf numFmtId="0" fontId="164" fillId="0" borderId="282" xfId="4" applyFont="1" applyFill="1" applyBorder="1" applyAlignment="1">
      <alignment horizontal="center" vertical="center" wrapText="1"/>
    </xf>
    <xf numFmtId="0" fontId="164" fillId="0" borderId="283" xfId="4" applyFont="1" applyFill="1" applyBorder="1" applyAlignment="1">
      <alignment horizontal="center" vertical="center" wrapText="1"/>
    </xf>
    <xf numFmtId="0" fontId="164" fillId="0" borderId="284" xfId="4" applyFont="1" applyFill="1" applyBorder="1" applyAlignment="1">
      <alignment horizontal="center" vertical="center" wrapText="1"/>
    </xf>
    <xf numFmtId="0" fontId="163" fillId="23" borderId="305" xfId="4" applyFont="1" applyFill="1" applyBorder="1" applyAlignment="1">
      <alignment horizontal="center" vertical="center" wrapText="1"/>
    </xf>
    <xf numFmtId="0" fontId="164" fillId="23" borderId="306" xfId="4" applyFont="1" applyFill="1" applyBorder="1" applyAlignment="1">
      <alignment horizontal="center" vertical="center" wrapText="1"/>
    </xf>
    <xf numFmtId="0" fontId="163" fillId="23" borderId="306" xfId="4" applyFont="1" applyFill="1" applyBorder="1" applyAlignment="1">
      <alignment horizontal="center" vertical="center" wrapText="1"/>
    </xf>
    <xf numFmtId="0" fontId="163" fillId="23" borderId="307" xfId="4" applyFont="1" applyFill="1" applyBorder="1" applyAlignment="1">
      <alignment horizontal="center" vertical="center" wrapText="1"/>
    </xf>
    <xf numFmtId="0" fontId="74" fillId="0" borderId="305" xfId="3" quotePrefix="1" applyFont="1" applyBorder="1" applyAlignment="1">
      <alignment horizontal="center" vertical="center" wrapText="1"/>
    </xf>
    <xf numFmtId="0" fontId="74" fillId="0" borderId="306" xfId="3" applyFont="1" applyBorder="1" applyAlignment="1">
      <alignment horizontal="center" vertical="center" wrapText="1"/>
    </xf>
    <xf numFmtId="0" fontId="74" fillId="0" borderId="307" xfId="3" applyFont="1" applyBorder="1" applyAlignment="1">
      <alignment horizontal="center" vertical="center" wrapText="1"/>
    </xf>
    <xf numFmtId="0" fontId="74" fillId="20" borderId="306" xfId="3" applyFont="1" applyFill="1" applyBorder="1" applyAlignment="1">
      <alignment horizontal="center" vertical="center" wrapText="1"/>
    </xf>
    <xf numFmtId="0" fontId="74" fillId="20" borderId="307" xfId="3" applyFont="1" applyFill="1" applyBorder="1" applyAlignment="1">
      <alignment horizontal="center" vertical="center" wrapText="1"/>
    </xf>
    <xf numFmtId="0" fontId="74" fillId="0" borderId="306" xfId="3" applyFont="1" applyFill="1" applyBorder="1" applyAlignment="1">
      <alignment horizontal="center" vertical="center" wrapText="1"/>
    </xf>
    <xf numFmtId="0" fontId="74" fillId="0" borderId="307" xfId="3" applyFont="1" applyFill="1" applyBorder="1" applyAlignment="1">
      <alignment horizontal="center" vertical="center" wrapText="1"/>
    </xf>
    <xf numFmtId="0" fontId="74" fillId="0" borderId="305" xfId="3" applyFont="1" applyBorder="1" applyAlignment="1">
      <alignment horizontal="center" vertical="center" wrapText="1"/>
    </xf>
    <xf numFmtId="0" fontId="169" fillId="0" borderId="305" xfId="3" applyFont="1" applyBorder="1" applyAlignment="1">
      <alignment horizontal="center" vertical="center"/>
    </xf>
    <xf numFmtId="0" fontId="169" fillId="0" borderId="306" xfId="3" applyFont="1" applyBorder="1" applyAlignment="1">
      <alignment horizontal="center" vertical="center"/>
    </xf>
    <xf numFmtId="0" fontId="169" fillId="0" borderId="306" xfId="3" applyFont="1" applyBorder="1" applyAlignment="1">
      <alignment horizontal="center" vertical="center" wrapText="1"/>
    </xf>
    <xf numFmtId="0" fontId="169" fillId="0" borderId="307" xfId="3" applyFont="1" applyBorder="1" applyAlignment="1">
      <alignment horizontal="center" vertical="center"/>
    </xf>
    <xf numFmtId="0" fontId="74" fillId="23" borderId="305" xfId="4" applyFont="1" applyFill="1" applyBorder="1" applyAlignment="1">
      <alignment horizontal="center" vertical="center"/>
    </xf>
    <xf numFmtId="0" fontId="162" fillId="23" borderId="306" xfId="4" applyFont="1" applyFill="1" applyBorder="1" applyAlignment="1">
      <alignment horizontal="center" vertical="center"/>
    </xf>
    <xf numFmtId="0" fontId="74" fillId="23" borderId="306" xfId="4" applyFont="1" applyFill="1" applyBorder="1" applyAlignment="1">
      <alignment horizontal="center" vertical="center"/>
    </xf>
    <xf numFmtId="0" fontId="74" fillId="23" borderId="307" xfId="4" applyFont="1" applyFill="1" applyBorder="1" applyAlignment="1">
      <alignment horizontal="center" vertical="center"/>
    </xf>
    <xf numFmtId="0" fontId="0" fillId="36" borderId="306" xfId="0" applyFont="1" applyFill="1" applyBorder="1" applyAlignment="1">
      <alignment horizontal="center"/>
    </xf>
    <xf numFmtId="0" fontId="0" fillId="13" borderId="306" xfId="0" applyFont="1" applyFill="1" applyBorder="1" applyAlignment="1">
      <alignment horizontal="center"/>
    </xf>
    <xf numFmtId="0" fontId="0" fillId="13" borderId="306" xfId="0" applyFont="1" applyFill="1" applyBorder="1" applyAlignment="1"/>
    <xf numFmtId="0" fontId="72" fillId="13" borderId="306" xfId="0" applyFont="1" applyFill="1" applyBorder="1" applyAlignment="1">
      <alignment horizontal="center"/>
    </xf>
    <xf numFmtId="0" fontId="70" fillId="13" borderId="306" xfId="0" applyFont="1" applyFill="1" applyBorder="1" applyAlignment="1">
      <alignment horizontal="center"/>
    </xf>
    <xf numFmtId="0" fontId="57" fillId="13" borderId="306" xfId="0" applyFont="1" applyFill="1" applyBorder="1" applyAlignment="1">
      <alignment horizontal="center"/>
    </xf>
    <xf numFmtId="0" fontId="0" fillId="10" borderId="306" xfId="0" applyFont="1" applyFill="1" applyBorder="1" applyAlignment="1">
      <alignment horizontal="center"/>
    </xf>
    <xf numFmtId="0" fontId="0" fillId="10" borderId="306" xfId="0" applyFont="1" applyFill="1" applyBorder="1" applyAlignment="1"/>
    <xf numFmtId="0" fontId="72" fillId="10" borderId="306" xfId="0" applyFont="1" applyFill="1" applyBorder="1" applyAlignment="1">
      <alignment horizontal="center"/>
    </xf>
    <xf numFmtId="0" fontId="388" fillId="10" borderId="306" xfId="0" applyFont="1" applyFill="1" applyBorder="1" applyAlignment="1">
      <alignment horizontal="center"/>
    </xf>
    <xf numFmtId="0" fontId="57" fillId="10" borderId="306" xfId="0" applyFont="1" applyFill="1" applyBorder="1" applyAlignment="1">
      <alignment horizontal="center"/>
    </xf>
    <xf numFmtId="0" fontId="0" fillId="20" borderId="306" xfId="0" applyFont="1" applyFill="1" applyBorder="1" applyAlignment="1">
      <alignment horizontal="center"/>
    </xf>
    <xf numFmtId="0" fontId="0" fillId="20" borderId="306" xfId="0" applyFont="1" applyFill="1" applyBorder="1" applyAlignment="1"/>
    <xf numFmtId="0" fontId="72" fillId="20" borderId="306" xfId="0" applyFont="1" applyFill="1" applyBorder="1" applyAlignment="1">
      <alignment horizontal="center"/>
    </xf>
    <xf numFmtId="0" fontId="263" fillId="20" borderId="306" xfId="0" applyFont="1" applyFill="1" applyBorder="1" applyAlignment="1">
      <alignment horizontal="center"/>
    </xf>
    <xf numFmtId="0" fontId="388" fillId="20" borderId="306" xfId="0" applyFont="1" applyFill="1" applyBorder="1" applyAlignment="1">
      <alignment horizontal="center"/>
    </xf>
    <xf numFmtId="0" fontId="57" fillId="20" borderId="306" xfId="0" applyFont="1" applyFill="1" applyBorder="1" applyAlignment="1">
      <alignment horizontal="center"/>
    </xf>
    <xf numFmtId="0" fontId="388" fillId="13" borderId="306" xfId="0" applyFont="1" applyFill="1" applyBorder="1" applyAlignment="1">
      <alignment horizontal="center"/>
    </xf>
    <xf numFmtId="0" fontId="0" fillId="34" borderId="306" xfId="0" applyFont="1" applyFill="1" applyBorder="1" applyAlignment="1">
      <alignment horizontal="center"/>
    </xf>
    <xf numFmtId="0" fontId="0" fillId="34" borderId="306" xfId="0" applyFont="1" applyFill="1" applyBorder="1" applyAlignment="1"/>
    <xf numFmtId="0" fontId="72" fillId="34" borderId="306" xfId="0" applyFont="1" applyFill="1" applyBorder="1" applyAlignment="1">
      <alignment horizontal="center"/>
    </xf>
    <xf numFmtId="0" fontId="388" fillId="34" borderId="306" xfId="0" applyFont="1" applyFill="1" applyBorder="1" applyAlignment="1">
      <alignment horizontal="center"/>
    </xf>
    <xf numFmtId="0" fontId="57" fillId="34" borderId="306" xfId="0" applyFont="1" applyFill="1" applyBorder="1" applyAlignment="1">
      <alignment horizontal="center"/>
    </xf>
    <xf numFmtId="0" fontId="70" fillId="10" borderId="306" xfId="0" applyFont="1" applyFill="1" applyBorder="1" applyAlignment="1">
      <alignment horizontal="center"/>
    </xf>
    <xf numFmtId="0" fontId="57" fillId="0" borderId="0" xfId="0" applyFont="1" applyFill="1" applyBorder="1" applyAlignment="1">
      <alignment horizontal="center"/>
    </xf>
    <xf numFmtId="0" fontId="0" fillId="0" borderId="306" xfId="0" applyFont="1" applyFill="1" applyBorder="1" applyAlignment="1"/>
    <xf numFmtId="0" fontId="0" fillId="24" borderId="306" xfId="0" applyFont="1" applyFill="1" applyBorder="1" applyAlignment="1"/>
    <xf numFmtId="0" fontId="57" fillId="0" borderId="306" xfId="0" applyFont="1" applyFill="1" applyBorder="1" applyAlignment="1"/>
    <xf numFmtId="0" fontId="57" fillId="24" borderId="306" xfId="0" applyFont="1" applyFill="1" applyBorder="1" applyAlignment="1"/>
    <xf numFmtId="0" fontId="0" fillId="0" borderId="306" xfId="0" applyFont="1" applyBorder="1" applyAlignment="1"/>
    <xf numFmtId="0" fontId="57" fillId="0" borderId="306" xfId="0" applyFont="1" applyBorder="1" applyAlignment="1"/>
    <xf numFmtId="0" fontId="157" fillId="0" borderId="0" xfId="0" applyFont="1" applyAlignment="1"/>
    <xf numFmtId="0" fontId="0" fillId="0" borderId="306" xfId="0" applyFont="1" applyBorder="1" applyAlignment="1">
      <alignment horizontal="center"/>
    </xf>
    <xf numFmtId="0" fontId="0" fillId="17" borderId="306" xfId="0" applyFont="1" applyFill="1" applyBorder="1" applyAlignment="1"/>
    <xf numFmtId="0" fontId="0" fillId="17" borderId="306" xfId="0" applyFont="1" applyFill="1" applyBorder="1" applyAlignment="1">
      <alignment horizontal="center"/>
    </xf>
    <xf numFmtId="0" fontId="128" fillId="0" borderId="306" xfId="0" applyFont="1" applyBorder="1" applyAlignment="1">
      <alignment horizontal="center"/>
    </xf>
    <xf numFmtId="0" fontId="0" fillId="0" borderId="295" xfId="0" applyFont="1" applyBorder="1" applyAlignment="1" applyProtection="1">
      <alignment horizontal="center" vertical="center"/>
      <protection hidden="1"/>
    </xf>
    <xf numFmtId="0" fontId="0" fillId="0" borderId="296" xfId="0" applyFont="1" applyBorder="1" applyAlignment="1" applyProtection="1">
      <alignment horizontal="center" vertical="center"/>
      <protection hidden="1"/>
    </xf>
    <xf numFmtId="0" fontId="0" fillId="0" borderId="300" xfId="0" applyFont="1" applyBorder="1" applyAlignment="1" applyProtection="1">
      <alignment horizontal="center" vertical="center"/>
      <protection hidden="1"/>
    </xf>
    <xf numFmtId="0" fontId="0" fillId="0" borderId="297" xfId="0" applyFont="1" applyBorder="1" applyAlignment="1" applyProtection="1">
      <alignment horizontal="center" vertical="center"/>
      <protection hidden="1"/>
    </xf>
    <xf numFmtId="0" fontId="17" fillId="0" borderId="0" xfId="0" applyFont="1" applyAlignment="1" applyProtection="1">
      <protection hidden="1"/>
    </xf>
    <xf numFmtId="0" fontId="0" fillId="0" borderId="209" xfId="0" applyFont="1" applyBorder="1" applyAlignment="1" applyProtection="1">
      <alignment horizontal="right" vertical="center"/>
      <protection hidden="1"/>
    </xf>
    <xf numFmtId="0" fontId="0" fillId="0" borderId="218" xfId="0" applyFont="1" applyBorder="1" applyAlignment="1" applyProtection="1">
      <alignment horizontal="center" vertical="center"/>
      <protection hidden="1"/>
    </xf>
    <xf numFmtId="0" fontId="0" fillId="0" borderId="211" xfId="0" applyFont="1" applyBorder="1" applyAlignment="1" applyProtection="1">
      <protection hidden="1"/>
    </xf>
    <xf numFmtId="0" fontId="0" fillId="0" borderId="196" xfId="0" applyFont="1" applyBorder="1" applyAlignment="1" applyProtection="1">
      <protection hidden="1"/>
    </xf>
    <xf numFmtId="0" fontId="17" fillId="0" borderId="198" xfId="0" applyFont="1" applyBorder="1" applyAlignment="1" applyProtection="1">
      <alignment horizontal="right"/>
      <protection hidden="1"/>
    </xf>
    <xf numFmtId="0" fontId="17" fillId="0" borderId="211" xfId="0" applyFont="1" applyBorder="1" applyAlignment="1" applyProtection="1">
      <alignment horizontal="right"/>
      <protection hidden="1"/>
    </xf>
    <xf numFmtId="0" fontId="0" fillId="0" borderId="199" xfId="0" applyFont="1" applyBorder="1" applyAlignment="1" applyProtection="1">
      <protection hidden="1"/>
    </xf>
    <xf numFmtId="0" fontId="17" fillId="0" borderId="202" xfId="0" applyFont="1" applyBorder="1" applyAlignment="1" applyProtection="1">
      <protection hidden="1"/>
    </xf>
    <xf numFmtId="0" fontId="0" fillId="0" borderId="212" xfId="0" applyFont="1" applyBorder="1" applyAlignment="1" applyProtection="1">
      <protection hidden="1"/>
    </xf>
    <xf numFmtId="0" fontId="0" fillId="0" borderId="295" xfId="0" applyFont="1" applyFill="1" applyBorder="1" applyAlignment="1" applyProtection="1">
      <protection hidden="1"/>
    </xf>
    <xf numFmtId="0" fontId="17" fillId="0" borderId="296" xfId="0" applyFont="1" applyBorder="1" applyAlignment="1" applyProtection="1">
      <alignment horizontal="right"/>
      <protection hidden="1"/>
    </xf>
    <xf numFmtId="0" fontId="0" fillId="0" borderId="300" xfId="0" applyFont="1" applyBorder="1" applyAlignment="1" applyProtection="1">
      <protection hidden="1"/>
    </xf>
    <xf numFmtId="0" fontId="0" fillId="0" borderId="195" xfId="0" applyFont="1" applyFill="1" applyBorder="1" applyAlignment="1" applyProtection="1">
      <protection hidden="1"/>
    </xf>
    <xf numFmtId="0" fontId="0" fillId="0" borderId="211" xfId="0" applyFont="1" applyBorder="1" applyAlignment="1" applyProtection="1">
      <alignment horizontal="right"/>
      <protection hidden="1"/>
    </xf>
    <xf numFmtId="0" fontId="0" fillId="0" borderId="199" xfId="0" applyFont="1" applyFill="1" applyBorder="1" applyAlignment="1" applyProtection="1">
      <protection hidden="1"/>
    </xf>
    <xf numFmtId="0" fontId="17" fillId="0" borderId="202" xfId="0" applyFont="1" applyBorder="1" applyAlignment="1" applyProtection="1">
      <alignment horizontal="right"/>
      <protection hidden="1"/>
    </xf>
    <xf numFmtId="0" fontId="0" fillId="0" borderId="200" xfId="0" applyFont="1" applyBorder="1" applyAlignment="1" applyProtection="1">
      <protection hidden="1"/>
    </xf>
    <xf numFmtId="0" fontId="0" fillId="0" borderId="0" xfId="0" applyFont="1" applyAlignment="1" applyProtection="1">
      <alignment horizontal="center"/>
      <protection hidden="1"/>
    </xf>
    <xf numFmtId="0" fontId="0" fillId="0" borderId="218" xfId="0" applyFont="1" applyBorder="1" applyAlignment="1" applyProtection="1">
      <alignment horizontal="center"/>
      <protection hidden="1"/>
    </xf>
    <xf numFmtId="0" fontId="0" fillId="0" borderId="311" xfId="0" applyFont="1" applyBorder="1" applyAlignment="1" applyProtection="1">
      <alignment horizontal="center"/>
      <protection hidden="1"/>
    </xf>
    <xf numFmtId="0" fontId="0" fillId="0" borderId="312" xfId="0" applyFont="1" applyBorder="1" applyAlignment="1" applyProtection="1">
      <alignment horizontal="center"/>
      <protection hidden="1"/>
    </xf>
    <xf numFmtId="0" fontId="0" fillId="0" borderId="296" xfId="0" applyFont="1" applyBorder="1" applyAlignment="1" applyProtection="1">
      <alignment horizontal="center"/>
      <protection hidden="1"/>
    </xf>
    <xf numFmtId="0" fontId="0" fillId="0" borderId="297" xfId="0" applyFont="1" applyBorder="1" applyAlignment="1" applyProtection="1">
      <alignment horizontal="center"/>
      <protection hidden="1"/>
    </xf>
    <xf numFmtId="0" fontId="22" fillId="0" borderId="198" xfId="0" applyFont="1" applyBorder="1" applyAlignment="1" applyProtection="1">
      <alignment horizontal="center" wrapText="1"/>
      <protection hidden="1"/>
    </xf>
    <xf numFmtId="0" fontId="22" fillId="0" borderId="196" xfId="0" applyFont="1" applyBorder="1" applyAlignment="1" applyProtection="1">
      <alignment horizontal="center" wrapText="1"/>
      <protection hidden="1"/>
    </xf>
    <xf numFmtId="2" fontId="0" fillId="0" borderId="0" xfId="0" applyNumberFormat="1" applyFont="1" applyAlignment="1" applyProtection="1">
      <alignment horizontal="center"/>
      <protection hidden="1"/>
    </xf>
    <xf numFmtId="0" fontId="0" fillId="0" borderId="209" xfId="0" applyFont="1" applyBorder="1" applyAlignment="1" applyProtection="1">
      <alignment horizontal="center"/>
      <protection hidden="1"/>
    </xf>
    <xf numFmtId="0" fontId="0" fillId="0" borderId="196" xfId="0" applyFont="1" applyBorder="1" applyAlignment="1" applyProtection="1">
      <alignment horizontal="center"/>
      <protection hidden="1"/>
    </xf>
    <xf numFmtId="0" fontId="22" fillId="0" borderId="197" xfId="0" applyFont="1" applyBorder="1" applyAlignment="1" applyProtection="1">
      <alignment horizontal="center" vertical="center"/>
      <protection hidden="1"/>
    </xf>
    <xf numFmtId="2" fontId="0" fillId="0" borderId="198" xfId="0" applyNumberFormat="1" applyFont="1" applyBorder="1" applyAlignment="1" applyProtection="1">
      <alignment horizontal="center"/>
      <protection hidden="1"/>
    </xf>
    <xf numFmtId="0" fontId="0" fillId="0" borderId="198" xfId="0" applyFont="1" applyBorder="1" applyAlignment="1" applyProtection="1">
      <alignment horizontal="center"/>
      <protection hidden="1"/>
    </xf>
    <xf numFmtId="0" fontId="0" fillId="0" borderId="195" xfId="0" applyFont="1" applyBorder="1" applyAlignment="1" applyProtection="1">
      <alignment horizontal="center"/>
      <protection hidden="1"/>
    </xf>
    <xf numFmtId="189" fontId="0" fillId="0" borderId="0" xfId="0" applyNumberFormat="1" applyFont="1" applyAlignment="1" applyProtection="1">
      <alignment horizontal="center"/>
      <protection hidden="1"/>
    </xf>
    <xf numFmtId="0" fontId="0" fillId="0" borderId="222" xfId="0" applyFont="1" applyBorder="1" applyAlignment="1" applyProtection="1">
      <alignment horizontal="center"/>
      <protection hidden="1"/>
    </xf>
    <xf numFmtId="189" fontId="0" fillId="0" borderId="198" xfId="0" applyNumberFormat="1" applyFont="1" applyBorder="1" applyAlignment="1" applyProtection="1">
      <alignment horizontal="center"/>
      <protection hidden="1"/>
    </xf>
    <xf numFmtId="189" fontId="0" fillId="0" borderId="196" xfId="0" applyNumberFormat="1" applyFont="1" applyBorder="1" applyAlignment="1" applyProtection="1">
      <alignment horizontal="center"/>
      <protection hidden="1"/>
    </xf>
    <xf numFmtId="0" fontId="0" fillId="0" borderId="199" xfId="0" applyFont="1" applyBorder="1" applyAlignment="1" applyProtection="1">
      <alignment horizontal="center"/>
      <protection hidden="1"/>
    </xf>
    <xf numFmtId="0" fontId="0" fillId="0" borderId="202" xfId="0" applyFont="1" applyBorder="1" applyAlignment="1" applyProtection="1">
      <alignment horizontal="center"/>
      <protection hidden="1"/>
    </xf>
    <xf numFmtId="0" fontId="0" fillId="0" borderId="200" xfId="0" applyFont="1" applyBorder="1" applyAlignment="1" applyProtection="1">
      <alignment horizontal="center"/>
      <protection hidden="1"/>
    </xf>
    <xf numFmtId="0" fontId="22" fillId="0" borderId="201" xfId="0" applyFont="1" applyBorder="1" applyAlignment="1" applyProtection="1">
      <alignment horizontal="center" vertical="center"/>
      <protection hidden="1"/>
    </xf>
    <xf numFmtId="189" fontId="0" fillId="0" borderId="200" xfId="0" applyNumberFormat="1" applyFont="1" applyBorder="1" applyAlignment="1" applyProtection="1">
      <alignment horizontal="center"/>
      <protection hidden="1"/>
    </xf>
    <xf numFmtId="0" fontId="0" fillId="0" borderId="209" xfId="0" applyFont="1" applyBorder="1" applyAlignment="1" applyProtection="1">
      <protection hidden="1"/>
    </xf>
    <xf numFmtId="0" fontId="0" fillId="0" borderId="192" xfId="0" applyFont="1" applyBorder="1" applyAlignment="1" applyProtection="1">
      <protection hidden="1"/>
    </xf>
    <xf numFmtId="0" fontId="0" fillId="0" borderId="222" xfId="0" applyFont="1" applyBorder="1" applyAlignment="1" applyProtection="1">
      <protection hidden="1"/>
    </xf>
    <xf numFmtId="0" fontId="0" fillId="0" borderId="238" xfId="0" applyFont="1" applyBorder="1" applyAlignment="1" applyProtection="1">
      <protection hidden="1"/>
    </xf>
    <xf numFmtId="189" fontId="0" fillId="21" borderId="198" xfId="0" applyNumberFormat="1" applyFont="1" applyFill="1" applyBorder="1" applyAlignment="1" applyProtection="1">
      <protection hidden="1"/>
    </xf>
    <xf numFmtId="189" fontId="0" fillId="21" borderId="196" xfId="0" applyNumberFormat="1" applyFont="1" applyFill="1" applyBorder="1" applyAlignment="1" applyProtection="1">
      <protection hidden="1"/>
    </xf>
    <xf numFmtId="189" fontId="0" fillId="12" borderId="222" xfId="0" applyNumberFormat="1" applyFont="1" applyFill="1" applyBorder="1" applyAlignment="1" applyProtection="1">
      <protection hidden="1"/>
    </xf>
    <xf numFmtId="189" fontId="0" fillId="12" borderId="238" xfId="0" applyNumberFormat="1" applyFont="1" applyFill="1" applyBorder="1" applyAlignment="1" applyProtection="1">
      <protection hidden="1"/>
    </xf>
    <xf numFmtId="0" fontId="42" fillId="0" borderId="198" xfId="0" applyFont="1" applyBorder="1" applyAlignment="1" applyProtection="1">
      <protection locked="0" hidden="1"/>
    </xf>
    <xf numFmtId="0" fontId="42" fillId="0" borderId="196" xfId="0" applyFont="1" applyBorder="1" applyAlignment="1" applyProtection="1">
      <protection locked="0" hidden="1"/>
    </xf>
    <xf numFmtId="189" fontId="42" fillId="0" borderId="198" xfId="0" applyNumberFormat="1" applyFont="1" applyFill="1" applyBorder="1" applyAlignment="1" applyProtection="1">
      <protection locked="0" hidden="1"/>
    </xf>
    <xf numFmtId="189" fontId="42" fillId="0" borderId="196" xfId="0" applyNumberFormat="1" applyFont="1" applyFill="1" applyBorder="1" applyAlignment="1" applyProtection="1">
      <protection locked="0" hidden="1"/>
    </xf>
    <xf numFmtId="2" fontId="0" fillId="12" borderId="198" xfId="0" applyNumberFormat="1" applyFont="1" applyFill="1" applyBorder="1" applyAlignment="1" applyProtection="1">
      <protection hidden="1"/>
    </xf>
    <xf numFmtId="2" fontId="0" fillId="12" borderId="196" xfId="0" applyNumberFormat="1" applyFont="1" applyFill="1" applyBorder="1" applyAlignment="1" applyProtection="1">
      <protection hidden="1"/>
    </xf>
    <xf numFmtId="49" fontId="0" fillId="0" borderId="296" xfId="0" applyNumberFormat="1" applyFont="1" applyBorder="1" applyAlignment="1" applyProtection="1">
      <alignment horizontal="right"/>
      <protection hidden="1"/>
    </xf>
    <xf numFmtId="49" fontId="0" fillId="0" borderId="297" xfId="0" applyNumberFormat="1" applyFont="1" applyBorder="1" applyAlignment="1" applyProtection="1">
      <alignment horizontal="right"/>
      <protection hidden="1"/>
    </xf>
    <xf numFmtId="49" fontId="0" fillId="0" borderId="198" xfId="0" applyNumberFormat="1" applyFont="1" applyBorder="1" applyAlignment="1" applyProtection="1">
      <alignment horizontal="right"/>
      <protection hidden="1"/>
    </xf>
    <xf numFmtId="49" fontId="0" fillId="0" borderId="196" xfId="0" applyNumberFormat="1" applyFont="1" applyBorder="1" applyAlignment="1" applyProtection="1">
      <alignment horizontal="right"/>
      <protection hidden="1"/>
    </xf>
    <xf numFmtId="0" fontId="0" fillId="0" borderId="202" xfId="0" applyFont="1" applyBorder="1" applyAlignment="1" applyProtection="1">
      <protection hidden="1"/>
    </xf>
    <xf numFmtId="0" fontId="0" fillId="0" borderId="196" xfId="0" applyFont="1" applyBorder="1" applyAlignment="1" applyProtection="1">
      <alignment horizontal="right"/>
      <protection hidden="1"/>
    </xf>
    <xf numFmtId="0" fontId="17" fillId="0" borderId="0" xfId="0" applyFont="1" applyAlignment="1" applyProtection="1">
      <alignment horizontal="center"/>
      <protection hidden="1"/>
    </xf>
    <xf numFmtId="0" fontId="225" fillId="0" borderId="0" xfId="0" applyFont="1" applyAlignment="1" applyProtection="1">
      <alignment horizontal="center"/>
      <protection hidden="1"/>
    </xf>
    <xf numFmtId="0" fontId="22" fillId="0" borderId="195" xfId="0" applyFont="1" applyBorder="1" applyAlignment="1" applyProtection="1">
      <alignment horizontal="center"/>
      <protection hidden="1"/>
    </xf>
    <xf numFmtId="0" fontId="22" fillId="0" borderId="198" xfId="0" applyFont="1" applyBorder="1" applyAlignment="1" applyProtection="1">
      <alignment horizontal="center"/>
      <protection hidden="1"/>
    </xf>
    <xf numFmtId="0" fontId="22" fillId="0" borderId="196" xfId="0" applyFont="1" applyBorder="1" applyAlignment="1" applyProtection="1">
      <alignment horizontal="center"/>
      <protection hidden="1"/>
    </xf>
    <xf numFmtId="0" fontId="22" fillId="0" borderId="195" xfId="0" applyFont="1" applyBorder="1" applyAlignment="1">
      <alignment horizontal="center"/>
    </xf>
    <xf numFmtId="0" fontId="22" fillId="0" borderId="198" xfId="0" applyFont="1" applyBorder="1" applyAlignment="1">
      <alignment horizontal="center"/>
    </xf>
    <xf numFmtId="0" fontId="22" fillId="0" borderId="196" xfId="0" applyFont="1" applyBorder="1" applyAlignment="1">
      <alignment horizontal="center"/>
    </xf>
    <xf numFmtId="0" fontId="0" fillId="0" borderId="195" xfId="0" applyFont="1" applyBorder="1" applyAlignment="1"/>
    <xf numFmtId="0" fontId="0" fillId="0" borderId="198" xfId="0" applyNumberFormat="1" applyFont="1" applyBorder="1" applyAlignment="1"/>
    <xf numFmtId="0" fontId="0" fillId="0" borderId="198" xfId="0" applyFont="1" applyBorder="1" applyAlignment="1"/>
    <xf numFmtId="0" fontId="0" fillId="0" borderId="196" xfId="0" applyFont="1" applyBorder="1" applyAlignment="1"/>
    <xf numFmtId="0" fontId="17" fillId="0" borderId="198" xfId="0" applyFont="1" applyBorder="1" applyAlignment="1">
      <alignment horizontal="right"/>
    </xf>
    <xf numFmtId="0" fontId="0" fillId="0" borderId="199" xfId="0" applyFont="1" applyBorder="1" applyAlignment="1"/>
    <xf numFmtId="0" fontId="0" fillId="0" borderId="202" xfId="0" applyFont="1" applyBorder="1" applyAlignment="1"/>
    <xf numFmtId="0" fontId="0" fillId="0" borderId="200" xfId="0" applyFont="1" applyBorder="1" applyAlignment="1"/>
    <xf numFmtId="0" fontId="27" fillId="0" borderId="306" xfId="0" applyFont="1" applyBorder="1" applyAlignment="1">
      <alignment horizontal="center" vertical="center"/>
    </xf>
    <xf numFmtId="0" fontId="27" fillId="34" borderId="306" xfId="0" applyFont="1" applyFill="1" applyBorder="1" applyAlignment="1">
      <alignment horizontal="center" vertical="center"/>
    </xf>
    <xf numFmtId="0" fontId="0" fillId="0" borderId="306" xfId="0" applyFont="1" applyBorder="1" applyAlignment="1">
      <alignment horizontal="right" vertical="center"/>
    </xf>
    <xf numFmtId="0" fontId="0" fillId="0" borderId="306" xfId="0" applyFont="1" applyBorder="1" applyAlignment="1">
      <alignment horizontal="center" vertical="center"/>
    </xf>
    <xf numFmtId="0" fontId="12" fillId="0" borderId="306" xfId="0" applyFont="1" applyBorder="1" applyAlignment="1">
      <alignment horizontal="center" vertical="center"/>
    </xf>
    <xf numFmtId="0" fontId="0" fillId="0" borderId="306" xfId="0" applyFont="1" applyBorder="1" applyAlignment="1">
      <alignment horizontal="left" vertical="center"/>
    </xf>
    <xf numFmtId="0" fontId="0" fillId="0" borderId="306" xfId="0" applyFont="1" applyBorder="1" applyAlignment="1">
      <alignment horizontal="left"/>
    </xf>
    <xf numFmtId="0" fontId="0" fillId="12" borderId="306" xfId="0" applyFont="1" applyFill="1" applyBorder="1" applyAlignment="1">
      <alignment horizontal="center" vertical="center"/>
    </xf>
    <xf numFmtId="0" fontId="0" fillId="20" borderId="306" xfId="0" applyFont="1" applyFill="1" applyBorder="1" applyAlignment="1">
      <alignment horizontal="center" vertical="center"/>
    </xf>
    <xf numFmtId="0" fontId="42" fillId="20" borderId="306" xfId="0" applyFont="1" applyFill="1" applyBorder="1" applyAlignment="1">
      <alignment horizontal="center" vertical="center"/>
    </xf>
    <xf numFmtId="0" fontId="12" fillId="20" borderId="306" xfId="0" applyFont="1" applyFill="1" applyBorder="1" applyAlignment="1">
      <alignment horizontal="center" vertical="center"/>
    </xf>
    <xf numFmtId="0" fontId="0" fillId="0" borderId="306" xfId="0" applyFont="1" applyFill="1" applyBorder="1" applyAlignment="1">
      <alignment horizontal="center" vertical="center"/>
    </xf>
    <xf numFmtId="49" fontId="12" fillId="0" borderId="306" xfId="0" applyNumberFormat="1" applyFont="1" applyBorder="1" applyAlignment="1">
      <alignment horizontal="center" vertical="center"/>
    </xf>
    <xf numFmtId="0" fontId="0" fillId="0" borderId="294" xfId="0" applyFont="1" applyFill="1" applyBorder="1" applyAlignment="1">
      <alignment horizontal="right" vertical="center"/>
    </xf>
    <xf numFmtId="0" fontId="0" fillId="0" borderId="292" xfId="0" applyFont="1" applyFill="1" applyBorder="1" applyAlignment="1">
      <alignment horizontal="right" vertical="center"/>
    </xf>
    <xf numFmtId="0" fontId="220" fillId="0" borderId="292" xfId="0" applyFont="1" applyBorder="1" applyAlignment="1"/>
    <xf numFmtId="0" fontId="0" fillId="0" borderId="292" xfId="0" applyFont="1" applyBorder="1" applyAlignment="1">
      <alignment horizontal="left" vertical="center"/>
    </xf>
    <xf numFmtId="0" fontId="12" fillId="0" borderId="292" xfId="0" applyFont="1" applyBorder="1" applyAlignment="1"/>
    <xf numFmtId="0" fontId="12" fillId="0" borderId="293" xfId="0" applyFont="1" applyBorder="1" applyAlignment="1"/>
    <xf numFmtId="0" fontId="12" fillId="0" borderId="299" xfId="0" applyFont="1" applyBorder="1" applyAlignment="1"/>
    <xf numFmtId="0" fontId="12" fillId="0" borderId="299" xfId="0" applyFont="1" applyBorder="1" applyAlignment="1">
      <alignment vertical="center"/>
    </xf>
    <xf numFmtId="178" fontId="12" fillId="0" borderId="0" xfId="0" applyNumberFormat="1" applyFont="1" applyBorder="1" applyAlignment="1">
      <alignment vertical="center"/>
    </xf>
    <xf numFmtId="49" fontId="0" fillId="0" borderId="0" xfId="0" applyNumberFormat="1" applyFont="1" applyBorder="1" applyAlignment="1">
      <alignment vertical="center"/>
    </xf>
    <xf numFmtId="0" fontId="149" fillId="0" borderId="164" xfId="0" applyFont="1" applyBorder="1" applyAlignment="1">
      <alignment horizontal="center" wrapText="1"/>
    </xf>
    <xf numFmtId="0" fontId="370" fillId="0" borderId="0" xfId="0" applyFont="1"/>
    <xf numFmtId="0" fontId="390" fillId="0" borderId="44" xfId="1" applyFont="1" applyFill="1" applyBorder="1" applyAlignment="1" applyProtection="1">
      <alignment horizontal="center" vertical="center"/>
    </xf>
    <xf numFmtId="0" fontId="390" fillId="0" borderId="45" xfId="1" applyFont="1" applyFill="1" applyBorder="1" applyAlignment="1" applyProtection="1">
      <alignment horizontal="center" vertical="center"/>
    </xf>
    <xf numFmtId="0" fontId="390" fillId="0" borderId="35" xfId="1" applyFont="1" applyFill="1" applyBorder="1" applyAlignment="1" applyProtection="1">
      <alignment horizontal="center" vertical="center"/>
    </xf>
    <xf numFmtId="0" fontId="390" fillId="0" borderId="46" xfId="1" applyFont="1" applyFill="1" applyBorder="1" applyAlignment="1" applyProtection="1">
      <alignment horizontal="center" vertical="center"/>
    </xf>
    <xf numFmtId="0" fontId="390" fillId="0" borderId="35" xfId="1" applyNumberFormat="1" applyFont="1" applyFill="1" applyBorder="1" applyAlignment="1" applyProtection="1">
      <alignment horizontal="center" vertical="center"/>
    </xf>
    <xf numFmtId="0" fontId="390" fillId="0" borderId="47" xfId="1" applyFont="1" applyFill="1" applyBorder="1" applyAlignment="1" applyProtection="1">
      <alignment horizontal="center" vertical="center"/>
    </xf>
    <xf numFmtId="0" fontId="390" fillId="0" borderId="48" xfId="1" applyFont="1" applyFill="1" applyBorder="1" applyAlignment="1" applyProtection="1">
      <alignment horizontal="center" vertical="center"/>
    </xf>
    <xf numFmtId="0" fontId="390" fillId="0" borderId="52" xfId="1" applyFont="1" applyFill="1" applyBorder="1" applyAlignment="1" applyProtection="1">
      <alignment horizontal="center" vertical="center"/>
    </xf>
    <xf numFmtId="0" fontId="390" fillId="0" borderId="36" xfId="1" applyFont="1" applyFill="1" applyBorder="1" applyAlignment="1" applyProtection="1">
      <alignment horizontal="center" vertical="center"/>
    </xf>
    <xf numFmtId="0" fontId="390" fillId="0" borderId="64" xfId="1" applyFont="1" applyFill="1" applyBorder="1" applyAlignment="1" applyProtection="1">
      <alignment horizontal="center" vertical="center"/>
    </xf>
    <xf numFmtId="0" fontId="390" fillId="0" borderId="39" xfId="1" applyFont="1" applyFill="1" applyBorder="1" applyAlignment="1" applyProtection="1">
      <alignment horizontal="center" vertical="center"/>
    </xf>
    <xf numFmtId="0" fontId="391" fillId="0" borderId="0" xfId="0" applyFont="1" applyAlignment="1">
      <alignment horizontal="center" vertical="center"/>
    </xf>
    <xf numFmtId="0" fontId="390" fillId="0" borderId="74" xfId="1" applyFont="1" applyFill="1" applyBorder="1" applyAlignment="1" applyProtection="1">
      <alignment horizontal="center" vertical="center"/>
    </xf>
    <xf numFmtId="0" fontId="390" fillId="0" borderId="40" xfId="1" applyFont="1" applyFill="1" applyBorder="1" applyAlignment="1" applyProtection="1">
      <alignment horizontal="center" vertical="center"/>
    </xf>
    <xf numFmtId="0" fontId="391" fillId="63" borderId="47" xfId="0" applyFont="1" applyFill="1" applyBorder="1" applyAlignment="1">
      <alignment horizontal="center" vertical="center"/>
    </xf>
    <xf numFmtId="0" fontId="391" fillId="0" borderId="0" xfId="0" applyFont="1" applyFill="1" applyAlignment="1">
      <alignment horizontal="center" vertical="center"/>
    </xf>
    <xf numFmtId="0" fontId="391" fillId="0" borderId="0" xfId="0" applyFont="1" applyFill="1"/>
    <xf numFmtId="0" fontId="392" fillId="0" borderId="0" xfId="1" applyFont="1" applyFill="1" applyAlignment="1" applyProtection="1">
      <alignment horizontal="center" vertical="center"/>
    </xf>
    <xf numFmtId="0" fontId="391" fillId="26" borderId="159" xfId="0" applyFont="1" applyFill="1" applyBorder="1" applyAlignment="1">
      <alignment horizontal="center" vertical="center"/>
    </xf>
    <xf numFmtId="0" fontId="392" fillId="26" borderId="159" xfId="1" applyFont="1" applyFill="1" applyBorder="1" applyAlignment="1" applyProtection="1">
      <alignment horizontal="center" vertical="center"/>
    </xf>
    <xf numFmtId="0" fontId="391" fillId="26" borderId="160" xfId="0" applyFont="1" applyFill="1" applyBorder="1" applyAlignment="1">
      <alignment horizontal="center" vertical="center"/>
    </xf>
    <xf numFmtId="0" fontId="390" fillId="0" borderId="0" xfId="1" applyFont="1" applyAlignment="1" applyProtection="1">
      <alignment horizontal="center" vertical="center"/>
    </xf>
    <xf numFmtId="0" fontId="390" fillId="0" borderId="47" xfId="1" applyFont="1" applyBorder="1" applyAlignment="1" applyProtection="1">
      <alignment horizontal="center" vertical="center"/>
    </xf>
    <xf numFmtId="0" fontId="300" fillId="49" borderId="0" xfId="1" applyFill="1" applyBorder="1" applyAlignment="1" applyProtection="1">
      <alignment vertical="center"/>
    </xf>
    <xf numFmtId="0" fontId="300" fillId="49" borderId="0" xfId="1" applyFill="1" applyBorder="1" applyAlignment="1" applyProtection="1">
      <alignment horizontal="center" vertical="center"/>
    </xf>
    <xf numFmtId="0" fontId="300" fillId="0" borderId="0" xfId="1" applyFill="1" applyBorder="1" applyAlignment="1" applyProtection="1">
      <alignment vertical="center"/>
    </xf>
    <xf numFmtId="0" fontId="300" fillId="49" borderId="0" xfId="1" applyFill="1" applyAlignment="1" applyProtection="1"/>
    <xf numFmtId="0" fontId="370" fillId="0" borderId="0" xfId="0" applyFont="1" applyFill="1" applyAlignment="1">
      <alignment vertical="center"/>
    </xf>
    <xf numFmtId="0" fontId="300" fillId="49" borderId="0" xfId="1" applyFill="1" applyAlignment="1" applyProtection="1">
      <alignment vertical="center"/>
    </xf>
    <xf numFmtId="0" fontId="300" fillId="0" borderId="0" xfId="1" applyFill="1" applyAlignment="1" applyProtection="1"/>
    <xf numFmtId="0" fontId="300" fillId="49" borderId="0" xfId="1" applyFill="1" applyAlignment="1" applyProtection="1">
      <alignment horizontal="center" vertical="center"/>
    </xf>
    <xf numFmtId="0" fontId="300" fillId="49" borderId="35" xfId="1" applyFill="1" applyBorder="1" applyAlignment="1" applyProtection="1">
      <alignment horizontal="center" vertical="center"/>
    </xf>
    <xf numFmtId="0" fontId="300" fillId="49" borderId="0" xfId="1" applyFill="1" applyAlignment="1" applyProtection="1">
      <protection locked="0"/>
    </xf>
    <xf numFmtId="0" fontId="300" fillId="0" borderId="322" xfId="1" applyFill="1" applyBorder="1" applyAlignment="1" applyProtection="1">
      <alignment vertical="center" wrapText="1"/>
    </xf>
    <xf numFmtId="0" fontId="300" fillId="0" borderId="321" xfId="1" applyFill="1" applyBorder="1" applyAlignment="1" applyProtection="1">
      <alignment vertical="center" wrapText="1"/>
    </xf>
    <xf numFmtId="0" fontId="300" fillId="0" borderId="86" xfId="1" applyFill="1" applyBorder="1" applyAlignment="1" applyProtection="1">
      <alignment vertical="center" wrapText="1"/>
    </xf>
    <xf numFmtId="0" fontId="300" fillId="0" borderId="29" xfId="1" applyFill="1" applyBorder="1" applyAlignment="1" applyProtection="1">
      <alignment vertical="center" wrapText="1"/>
    </xf>
    <xf numFmtId="0" fontId="300" fillId="0" borderId="323" xfId="1" applyFill="1" applyBorder="1" applyAlignment="1" applyProtection="1">
      <alignment vertical="center" wrapText="1"/>
    </xf>
    <xf numFmtId="0" fontId="300" fillId="0" borderId="34" xfId="1" applyFill="1" applyBorder="1" applyAlignment="1" applyProtection="1">
      <alignment vertical="center" wrapText="1"/>
    </xf>
    <xf numFmtId="0" fontId="300" fillId="0" borderId="0" xfId="1" applyFill="1" applyBorder="1" applyAlignment="1" applyProtection="1">
      <alignment vertical="center" wrapText="1"/>
    </xf>
    <xf numFmtId="0" fontId="300" fillId="0" borderId="57" xfId="1" applyFill="1" applyBorder="1" applyAlignment="1" applyProtection="1">
      <alignment vertical="center"/>
    </xf>
    <xf numFmtId="0" fontId="393" fillId="49" borderId="0" xfId="1" applyFont="1" applyFill="1" applyBorder="1" applyAlignment="1" applyProtection="1">
      <alignment horizontal="center" vertical="center"/>
    </xf>
    <xf numFmtId="0" fontId="300" fillId="49" borderId="35" xfId="1" applyFill="1" applyBorder="1" applyAlignment="1" applyProtection="1">
      <alignment horizontal="center" vertical="center" wrapText="1"/>
    </xf>
    <xf numFmtId="0" fontId="146" fillId="23" borderId="119" xfId="0" applyNumberFormat="1" applyFont="1" applyFill="1" applyBorder="1" applyAlignment="1">
      <alignment horizontal="center" vertical="center" textRotation="255"/>
    </xf>
    <xf numFmtId="0" fontId="146" fillId="23" borderId="264" xfId="0" applyNumberFormat="1" applyFont="1" applyFill="1" applyBorder="1" applyAlignment="1">
      <alignment horizontal="center" vertical="center" textRotation="255"/>
    </xf>
    <xf numFmtId="0" fontId="297" fillId="65" borderId="0" xfId="0" applyFont="1" applyFill="1" applyAlignment="1">
      <alignment horizontal="center" vertical="center"/>
    </xf>
    <xf numFmtId="0" fontId="230" fillId="65" borderId="0" xfId="0" applyFont="1" applyFill="1" applyAlignment="1">
      <alignment horizontal="center" vertical="center"/>
    </xf>
    <xf numFmtId="0" fontId="370" fillId="66" borderId="0" xfId="0" applyFont="1" applyFill="1" applyAlignment="1">
      <alignment horizontal="center" vertical="center"/>
    </xf>
    <xf numFmtId="0" fontId="0" fillId="66" borderId="0" xfId="0" applyFill="1" applyAlignment="1">
      <alignment horizontal="center" vertical="center"/>
    </xf>
    <xf numFmtId="0" fontId="299" fillId="23" borderId="1" xfId="0" applyNumberFormat="1" applyFont="1" applyFill="1" applyBorder="1" applyAlignment="1">
      <alignment horizontal="center" vertical="center" textRotation="255"/>
    </xf>
    <xf numFmtId="0" fontId="299" fillId="23" borderId="3" xfId="0" applyNumberFormat="1" applyFont="1" applyFill="1" applyBorder="1" applyAlignment="1">
      <alignment horizontal="center" vertical="center" textRotation="255"/>
    </xf>
    <xf numFmtId="0" fontId="299" fillId="23" borderId="21" xfId="0" applyNumberFormat="1" applyFont="1" applyFill="1" applyBorder="1" applyAlignment="1">
      <alignment horizontal="center" vertical="center" textRotation="255"/>
    </xf>
    <xf numFmtId="0" fontId="146" fillId="23" borderId="117" xfId="0" applyNumberFormat="1" applyFont="1" applyFill="1" applyBorder="1" applyAlignment="1">
      <alignment horizontal="center" vertical="center" textRotation="255"/>
    </xf>
    <xf numFmtId="0" fontId="146" fillId="23" borderId="155" xfId="0" applyNumberFormat="1" applyFont="1" applyFill="1" applyBorder="1" applyAlignment="1">
      <alignment horizontal="center" vertical="center" textRotation="255"/>
    </xf>
    <xf numFmtId="0" fontId="146" fillId="23" borderId="93" xfId="0" applyNumberFormat="1" applyFont="1" applyFill="1" applyBorder="1" applyAlignment="1">
      <alignment horizontal="center" vertical="center" textRotation="255"/>
    </xf>
    <xf numFmtId="0" fontId="300" fillId="49" borderId="252" xfId="1" applyFill="1" applyBorder="1" applyAlignment="1" applyProtection="1">
      <alignment horizontal="center" vertical="center"/>
    </xf>
    <xf numFmtId="0" fontId="27" fillId="64" borderId="125" xfId="0" applyFont="1" applyFill="1" applyBorder="1" applyAlignment="1">
      <alignment horizontal="center" vertical="center"/>
    </xf>
    <xf numFmtId="0" fontId="27" fillId="2" borderId="125" xfId="0" applyFont="1" applyFill="1" applyBorder="1" applyAlignment="1">
      <alignment horizontal="center" vertical="center" wrapText="1"/>
    </xf>
    <xf numFmtId="0" fontId="27" fillId="2" borderId="125" xfId="0" applyFont="1" applyFill="1" applyBorder="1" applyAlignment="1">
      <alignment horizontal="left" vertical="center"/>
    </xf>
    <xf numFmtId="11" fontId="27" fillId="2" borderId="125" xfId="0" applyNumberFormat="1" applyFont="1" applyFill="1" applyBorder="1" applyAlignment="1">
      <alignment horizontal="center" vertical="center" wrapText="1"/>
    </xf>
    <xf numFmtId="178" fontId="27" fillId="2" borderId="125" xfId="0" applyNumberFormat="1" applyFont="1" applyFill="1" applyBorder="1" applyAlignment="1">
      <alignment horizontal="center" vertical="center"/>
    </xf>
    <xf numFmtId="0" fontId="285" fillId="46" borderId="0" xfId="0" applyFont="1" applyFill="1" applyAlignment="1">
      <alignment horizontal="center" vertical="center"/>
    </xf>
    <xf numFmtId="0" fontId="300" fillId="49" borderId="319" xfId="1" applyFill="1" applyBorder="1" applyAlignment="1" applyProtection="1">
      <alignment horizontal="center" vertical="center" wrapText="1"/>
    </xf>
    <xf numFmtId="0" fontId="300" fillId="49" borderId="146" xfId="1" applyFill="1" applyBorder="1" applyAlignment="1" applyProtection="1">
      <alignment horizontal="center" vertical="center" wrapText="1"/>
    </xf>
    <xf numFmtId="0" fontId="300" fillId="49" borderId="263" xfId="1" applyFill="1" applyBorder="1" applyAlignment="1" applyProtection="1">
      <alignment horizontal="center" vertical="center" wrapText="1"/>
    </xf>
    <xf numFmtId="0" fontId="11" fillId="60" borderId="95" xfId="7" applyFont="1" applyFill="1" applyBorder="1" applyAlignment="1">
      <alignment horizontal="center" vertical="center" wrapText="1"/>
    </xf>
    <xf numFmtId="0" fontId="11" fillId="60" borderId="96" xfId="7" applyFont="1" applyFill="1" applyBorder="1" applyAlignment="1">
      <alignment horizontal="center" vertical="center"/>
    </xf>
    <xf numFmtId="0" fontId="11" fillId="62" borderId="95" xfId="7" applyFont="1" applyFill="1" applyBorder="1" applyAlignment="1">
      <alignment horizontal="center" vertical="center" wrapText="1"/>
    </xf>
    <xf numFmtId="0" fontId="11" fillId="62" borderId="63" xfId="7" applyFont="1" applyFill="1" applyBorder="1" applyAlignment="1">
      <alignment horizontal="center" vertical="center"/>
    </xf>
    <xf numFmtId="0" fontId="11" fillId="62" borderId="96" xfId="7" applyFont="1" applyFill="1" applyBorder="1" applyAlignment="1">
      <alignment horizontal="center" vertical="center"/>
    </xf>
    <xf numFmtId="0" fontId="11" fillId="60" borderId="63" xfId="7" applyFont="1" applyFill="1" applyBorder="1" applyAlignment="1">
      <alignment horizontal="center" vertical="center"/>
    </xf>
    <xf numFmtId="0" fontId="11" fillId="58" borderId="162" xfId="7" applyFont="1" applyFill="1" applyBorder="1" applyAlignment="1">
      <alignment horizontal="center" vertical="center"/>
    </xf>
    <xf numFmtId="0" fontId="11" fillId="58" borderId="153" xfId="7" applyFont="1" applyFill="1" applyBorder="1" applyAlignment="1">
      <alignment horizontal="center" vertical="center"/>
    </xf>
    <xf numFmtId="0" fontId="11" fillId="62" borderId="58" xfId="7" applyFont="1" applyFill="1" applyBorder="1" applyAlignment="1">
      <alignment horizontal="center" vertical="center"/>
    </xf>
    <xf numFmtId="0" fontId="11" fillId="62" borderId="186" xfId="7" applyFont="1" applyFill="1" applyBorder="1" applyAlignment="1">
      <alignment horizontal="center" vertical="center"/>
    </xf>
    <xf numFmtId="0" fontId="11" fillId="62" borderId="95" xfId="7" applyFont="1" applyFill="1" applyBorder="1" applyAlignment="1">
      <alignment horizontal="center" vertical="center"/>
    </xf>
    <xf numFmtId="0" fontId="11" fillId="60" borderId="95" xfId="7" applyFont="1" applyFill="1" applyBorder="1" applyAlignment="1">
      <alignment horizontal="center" vertical="center"/>
    </xf>
    <xf numFmtId="0" fontId="11" fillId="58" borderId="154" xfId="7" applyFont="1" applyFill="1" applyBorder="1" applyAlignment="1">
      <alignment horizontal="center" vertical="center"/>
    </xf>
    <xf numFmtId="0" fontId="11" fillId="58" borderId="264" xfId="7" applyFont="1" applyFill="1" applyBorder="1" applyAlignment="1">
      <alignment horizontal="center" vertical="center"/>
    </xf>
    <xf numFmtId="0" fontId="11" fillId="62" borderId="257" xfId="7" applyFont="1" applyFill="1" applyBorder="1" applyAlignment="1">
      <alignment horizontal="center" vertical="center" wrapText="1"/>
    </xf>
    <xf numFmtId="0" fontId="11" fillId="60" borderId="157" xfId="7" applyFont="1" applyFill="1" applyBorder="1" applyAlignment="1">
      <alignment horizontal="center" vertical="center"/>
    </xf>
    <xf numFmtId="0" fontId="11" fillId="60" borderId="273" xfId="7" applyFont="1" applyFill="1" applyBorder="1" applyAlignment="1">
      <alignment horizontal="center" vertical="center"/>
    </xf>
    <xf numFmtId="0" fontId="11" fillId="62" borderId="157" xfId="7" applyFont="1" applyFill="1" applyBorder="1" applyAlignment="1">
      <alignment horizontal="center" vertical="center" wrapText="1"/>
    </xf>
    <xf numFmtId="0" fontId="11" fillId="62" borderId="120" xfId="7" applyFont="1" applyFill="1" applyBorder="1" applyAlignment="1">
      <alignment horizontal="center" vertical="center"/>
    </xf>
    <xf numFmtId="0" fontId="11" fillId="62" borderId="273" xfId="7" applyFont="1" applyFill="1" applyBorder="1" applyAlignment="1">
      <alignment horizontal="center" vertical="center"/>
    </xf>
    <xf numFmtId="0" fontId="11" fillId="60" borderId="157" xfId="7" applyFont="1" applyFill="1" applyBorder="1" applyAlignment="1">
      <alignment horizontal="center" vertical="center" wrapText="1"/>
    </xf>
    <xf numFmtId="0" fontId="11" fillId="60" borderId="120" xfId="7" applyFont="1" applyFill="1" applyBorder="1" applyAlignment="1">
      <alignment horizontal="center" vertical="center"/>
    </xf>
    <xf numFmtId="197" fontId="273" fillId="58" borderId="95" xfId="7" applyNumberFormat="1" applyFont="1" applyFill="1" applyBorder="1" applyAlignment="1">
      <alignment horizontal="center" vertical="center"/>
    </xf>
    <xf numFmtId="197" fontId="273" fillId="58" borderId="96" xfId="7" applyNumberFormat="1" applyFont="1" applyFill="1" applyBorder="1" applyAlignment="1">
      <alignment horizontal="center" vertical="center"/>
    </xf>
    <xf numFmtId="197" fontId="274" fillId="62" borderId="63" xfId="7" applyNumberFormat="1" applyFont="1" applyFill="1" applyBorder="1" applyAlignment="1">
      <alignment horizontal="center" vertical="center"/>
    </xf>
    <xf numFmtId="197" fontId="274" fillId="62" borderId="96" xfId="7" applyNumberFormat="1" applyFont="1" applyFill="1" applyBorder="1" applyAlignment="1">
      <alignment horizontal="center" vertical="center"/>
    </xf>
    <xf numFmtId="197" fontId="274" fillId="60" borderId="95" xfId="7" applyNumberFormat="1" applyFont="1" applyFill="1" applyBorder="1" applyAlignment="1">
      <alignment horizontal="center" vertical="center"/>
    </xf>
    <xf numFmtId="197" fontId="274" fillId="60" borderId="96" xfId="7" applyNumberFormat="1" applyFont="1" applyFill="1" applyBorder="1" applyAlignment="1">
      <alignment horizontal="center" vertical="center"/>
    </xf>
    <xf numFmtId="197" fontId="274" fillId="62" borderId="95" xfId="7" applyNumberFormat="1" applyFont="1" applyFill="1" applyBorder="1" applyAlignment="1">
      <alignment horizontal="center" vertical="center"/>
    </xf>
    <xf numFmtId="197" fontId="274" fillId="60" borderId="63" xfId="7" applyNumberFormat="1" applyFont="1" applyFill="1" applyBorder="1" applyAlignment="1">
      <alignment horizontal="center" vertical="center"/>
    </xf>
    <xf numFmtId="0" fontId="271" fillId="0" borderId="1" xfId="7" applyFont="1" applyBorder="1" applyAlignment="1">
      <alignment horizontal="center" vertical="center"/>
    </xf>
    <xf numFmtId="0" fontId="271" fillId="0" borderId="2" xfId="7" applyFont="1" applyBorder="1" applyAlignment="1">
      <alignment horizontal="center" vertical="center"/>
    </xf>
    <xf numFmtId="0" fontId="271" fillId="0" borderId="28" xfId="7" applyFont="1" applyBorder="1" applyAlignment="1">
      <alignment horizontal="center" vertical="center"/>
    </xf>
    <xf numFmtId="0" fontId="271" fillId="0" borderId="21" xfId="7" applyFont="1" applyBorder="1" applyAlignment="1">
      <alignment horizontal="center" vertical="center"/>
    </xf>
    <xf numFmtId="0" fontId="271" fillId="0" borderId="22" xfId="7" applyFont="1" applyBorder="1" applyAlignment="1">
      <alignment horizontal="center" vertical="center"/>
    </xf>
    <xf numFmtId="0" fontId="271" fillId="0" borderId="34" xfId="7" applyFont="1" applyBorder="1" applyAlignment="1">
      <alignment horizontal="center" vertical="center"/>
    </xf>
    <xf numFmtId="0" fontId="272" fillId="2" borderId="1" xfId="7" applyFont="1" applyFill="1" applyBorder="1" applyAlignment="1">
      <alignment horizontal="center" vertical="center"/>
    </xf>
    <xf numFmtId="0" fontId="272" fillId="2" borderId="2" xfId="7" applyFont="1" applyFill="1" applyBorder="1" applyAlignment="1">
      <alignment horizontal="center" vertical="center"/>
    </xf>
    <xf numFmtId="0" fontId="272" fillId="2" borderId="28" xfId="7" applyFont="1" applyFill="1" applyBorder="1" applyAlignment="1">
      <alignment horizontal="center" vertical="center"/>
    </xf>
    <xf numFmtId="0" fontId="272" fillId="2" borderId="21" xfId="7" applyFont="1" applyFill="1" applyBorder="1" applyAlignment="1">
      <alignment horizontal="center" vertical="center"/>
    </xf>
    <xf numFmtId="0" fontId="272" fillId="2" borderId="22" xfId="7" applyFont="1" applyFill="1" applyBorder="1" applyAlignment="1">
      <alignment horizontal="center" vertical="center"/>
    </xf>
    <xf numFmtId="0" fontId="272" fillId="2" borderId="34" xfId="7" applyFont="1" applyFill="1" applyBorder="1" applyAlignment="1">
      <alignment horizontal="center" vertical="center"/>
    </xf>
    <xf numFmtId="0" fontId="11" fillId="58" borderId="45" xfId="7" applyFont="1" applyFill="1" applyBorder="1" applyAlignment="1">
      <alignment horizontal="center" vertical="center"/>
    </xf>
    <xf numFmtId="0" fontId="11" fillId="58" borderId="48" xfId="7" applyFont="1" applyFill="1" applyBorder="1" applyAlignment="1">
      <alignment horizontal="center" vertical="center"/>
    </xf>
    <xf numFmtId="0" fontId="11" fillId="61" borderId="38" xfId="7" applyFont="1" applyFill="1" applyBorder="1" applyAlignment="1">
      <alignment horizontal="center" vertical="center"/>
    </xf>
    <xf numFmtId="0" fontId="11" fillId="61" borderId="40" xfId="7" applyFont="1" applyFill="1" applyBorder="1" applyAlignment="1">
      <alignment horizontal="center" vertical="center"/>
    </xf>
    <xf numFmtId="0" fontId="273" fillId="61" borderId="95" xfId="7" applyFont="1" applyFill="1" applyBorder="1" applyAlignment="1">
      <alignment horizontal="center" vertical="center"/>
    </xf>
    <xf numFmtId="0" fontId="273" fillId="61" borderId="96" xfId="7" applyFont="1" applyFill="1" applyBorder="1" applyAlignment="1">
      <alignment horizontal="center" vertical="center"/>
    </xf>
    <xf numFmtId="0" fontId="11" fillId="61" borderId="157" xfId="7" applyFont="1" applyFill="1" applyBorder="1" applyAlignment="1">
      <alignment horizontal="center" vertical="center"/>
    </xf>
    <xf numFmtId="0" fontId="11" fillId="61" borderId="273" xfId="7" applyFont="1" applyFill="1" applyBorder="1" applyAlignment="1">
      <alignment horizontal="center" vertical="center"/>
    </xf>
    <xf numFmtId="0" fontId="16" fillId="2" borderId="0" xfId="0" applyFont="1" applyFill="1" applyBorder="1" applyAlignment="1">
      <alignment horizontal="center" vertical="center"/>
    </xf>
    <xf numFmtId="0" fontId="279" fillId="56" borderId="35" xfId="0" applyFont="1" applyFill="1" applyBorder="1" applyAlignment="1">
      <alignment horizontal="center" vertical="center" wrapText="1"/>
    </xf>
    <xf numFmtId="0" fontId="280" fillId="56" borderId="35" xfId="0" applyFont="1" applyFill="1" applyBorder="1" applyAlignment="1">
      <alignment horizontal="center" vertical="center" wrapText="1"/>
    </xf>
    <xf numFmtId="0" fontId="277" fillId="2" borderId="1" xfId="0" applyFont="1" applyFill="1" applyBorder="1" applyAlignment="1">
      <alignment horizontal="center"/>
    </xf>
    <xf numFmtId="0" fontId="277" fillId="2" borderId="2" xfId="0" applyFont="1" applyFill="1" applyBorder="1" applyAlignment="1">
      <alignment horizontal="center"/>
    </xf>
    <xf numFmtId="0" fontId="277" fillId="2" borderId="28" xfId="0" applyFont="1" applyFill="1" applyBorder="1" applyAlignment="1">
      <alignment horizontal="center"/>
    </xf>
    <xf numFmtId="0" fontId="161" fillId="2" borderId="55" xfId="0" applyFont="1" applyFill="1" applyBorder="1" applyAlignment="1">
      <alignment horizontal="center"/>
    </xf>
    <xf numFmtId="0" fontId="161" fillId="2" borderId="56" xfId="0" applyFont="1" applyFill="1" applyBorder="1" applyAlignment="1">
      <alignment horizontal="center"/>
    </xf>
    <xf numFmtId="0" fontId="161" fillId="2" borderId="99" xfId="0" applyFont="1" applyFill="1" applyBorder="1" applyAlignment="1">
      <alignment horizontal="center"/>
    </xf>
    <xf numFmtId="0" fontId="11" fillId="0" borderId="0" xfId="0" applyFont="1" applyFill="1" applyAlignment="1">
      <alignment horizontal="left" vertical="center"/>
    </xf>
    <xf numFmtId="0" fontId="11" fillId="0" borderId="42" xfId="0" applyFont="1" applyFill="1" applyBorder="1" applyAlignment="1">
      <alignment horizontal="center" vertical="center"/>
    </xf>
    <xf numFmtId="0" fontId="11" fillId="57" borderId="38" xfId="0" applyFont="1" applyFill="1" applyBorder="1" applyAlignment="1">
      <alignment horizontal="center" vertical="center"/>
    </xf>
    <xf numFmtId="0" fontId="11" fillId="57" borderId="115" xfId="0" applyFont="1" applyFill="1" applyBorder="1" applyAlignment="1">
      <alignment horizontal="center" vertical="center"/>
    </xf>
    <xf numFmtId="0" fontId="11" fillId="5" borderId="154" xfId="0" applyFont="1" applyFill="1" applyBorder="1" applyAlignment="1">
      <alignment horizontal="center" vertical="center"/>
    </xf>
    <xf numFmtId="0" fontId="11" fillId="5" borderId="119" xfId="0" applyFont="1" applyFill="1" applyBorder="1" applyAlignment="1">
      <alignment horizontal="center" vertical="center"/>
    </xf>
    <xf numFmtId="0" fontId="11" fillId="5" borderId="52" xfId="0" applyFont="1" applyFill="1" applyBorder="1" applyAlignment="1">
      <alignment horizontal="center" vertical="center"/>
    </xf>
    <xf numFmtId="0" fontId="11" fillId="5" borderId="115" xfId="0" applyFont="1" applyFill="1" applyBorder="1" applyAlignment="1">
      <alignment horizontal="center" vertical="center"/>
    </xf>
    <xf numFmtId="0" fontId="11" fillId="5" borderId="264" xfId="0" applyFont="1" applyFill="1" applyBorder="1" applyAlignment="1">
      <alignment horizontal="center" vertical="center"/>
    </xf>
    <xf numFmtId="0" fontId="273" fillId="57" borderId="95" xfId="0" applyFont="1" applyFill="1" applyBorder="1" applyAlignment="1">
      <alignment horizontal="center" vertical="center"/>
    </xf>
    <xf numFmtId="0" fontId="273" fillId="57" borderId="63" xfId="0" applyFont="1" applyFill="1" applyBorder="1" applyAlignment="1">
      <alignment horizontal="center" vertical="center"/>
    </xf>
    <xf numFmtId="0" fontId="274" fillId="5" borderId="95" xfId="0" applyFont="1" applyFill="1" applyBorder="1" applyAlignment="1">
      <alignment horizontal="center" vertical="center"/>
    </xf>
    <xf numFmtId="0" fontId="274" fillId="5" borderId="63" xfId="0" applyFont="1" applyFill="1" applyBorder="1" applyAlignment="1">
      <alignment horizontal="center" vertical="center"/>
    </xf>
    <xf numFmtId="0" fontId="274" fillId="5" borderId="36" xfId="0" applyFont="1" applyFill="1" applyBorder="1" applyAlignment="1">
      <alignment horizontal="center" vertical="center"/>
    </xf>
    <xf numFmtId="0" fontId="274" fillId="5" borderId="74" xfId="0" applyFont="1" applyFill="1" applyBorder="1" applyAlignment="1">
      <alignment horizontal="center" vertical="center"/>
    </xf>
    <xf numFmtId="0" fontId="274" fillId="5" borderId="96" xfId="0" applyFont="1" applyFill="1" applyBorder="1" applyAlignment="1">
      <alignment horizontal="center" vertical="center"/>
    </xf>
    <xf numFmtId="0" fontId="11" fillId="57" borderId="157" xfId="0" applyFont="1" applyFill="1" applyBorder="1" applyAlignment="1">
      <alignment horizontal="center" vertical="center"/>
    </xf>
    <xf numFmtId="0" fontId="11" fillId="57" borderId="120" xfId="0" applyFont="1" applyFill="1" applyBorder="1" applyAlignment="1">
      <alignment horizontal="center" vertical="center"/>
    </xf>
    <xf numFmtId="0" fontId="11" fillId="5" borderId="44" xfId="0" applyFont="1" applyFill="1" applyBorder="1" applyAlignment="1">
      <alignment horizontal="center" vertical="center"/>
    </xf>
    <xf numFmtId="0" fontId="11" fillId="5" borderId="35" xfId="0" applyFont="1" applyFill="1" applyBorder="1" applyAlignment="1">
      <alignment horizontal="center" vertical="center"/>
    </xf>
    <xf numFmtId="0" fontId="11" fillId="5" borderId="47" xfId="0" applyFont="1" applyFill="1" applyBorder="1" applyAlignment="1">
      <alignment horizontal="center" vertical="center"/>
    </xf>
    <xf numFmtId="0" fontId="11" fillId="58" borderId="154" xfId="0" applyFont="1" applyFill="1" applyBorder="1" applyAlignment="1">
      <alignment horizontal="center" vertical="center"/>
    </xf>
    <xf numFmtId="0" fontId="11" fillId="58" borderId="119" xfId="0" applyFont="1" applyFill="1" applyBorder="1" applyAlignment="1">
      <alignment horizontal="center" vertical="center"/>
    </xf>
    <xf numFmtId="0" fontId="11" fillId="5" borderId="95" xfId="0" applyFont="1" applyFill="1" applyBorder="1" applyAlignment="1">
      <alignment horizontal="center" vertical="center"/>
    </xf>
    <xf numFmtId="0" fontId="11" fillId="5" borderId="36" xfId="0" applyFont="1" applyFill="1" applyBorder="1" applyAlignment="1">
      <alignment horizontal="center" vertical="center"/>
    </xf>
    <xf numFmtId="0" fontId="11" fillId="5" borderId="74" xfId="0" applyFont="1" applyFill="1" applyBorder="1" applyAlignment="1">
      <alignment horizontal="center" vertical="center"/>
    </xf>
    <xf numFmtId="0" fontId="11" fillId="58" borderId="162" xfId="0" applyFont="1" applyFill="1" applyBorder="1" applyAlignment="1">
      <alignment horizontal="center" vertical="center"/>
    </xf>
    <xf numFmtId="0" fontId="11" fillId="58" borderId="56" xfId="0" applyFont="1" applyFill="1" applyBorder="1" applyAlignment="1">
      <alignment horizontal="center" vertical="center"/>
    </xf>
    <xf numFmtId="183" fontId="274" fillId="5" borderId="74" xfId="0" applyNumberFormat="1" applyFont="1" applyFill="1" applyBorder="1" applyAlignment="1">
      <alignment horizontal="center" vertical="center"/>
    </xf>
    <xf numFmtId="183" fontId="274" fillId="5" borderId="36" xfId="0" applyNumberFormat="1" applyFont="1" applyFill="1" applyBorder="1" applyAlignment="1">
      <alignment horizontal="center" vertical="center"/>
    </xf>
    <xf numFmtId="0" fontId="11" fillId="5" borderId="96" xfId="0" applyFont="1" applyFill="1" applyBorder="1" applyAlignment="1">
      <alignment horizontal="center" vertical="center"/>
    </xf>
    <xf numFmtId="0" fontId="11" fillId="0" borderId="0" xfId="0" applyFont="1" applyFill="1" applyAlignment="1">
      <alignment horizontal="center" vertical="center"/>
    </xf>
    <xf numFmtId="0" fontId="11" fillId="0" borderId="22" xfId="0" applyFont="1" applyFill="1" applyBorder="1" applyAlignment="1">
      <alignment horizontal="center" vertical="center"/>
    </xf>
    <xf numFmtId="0" fontId="11" fillId="58" borderId="45" xfId="0" applyFont="1" applyFill="1" applyBorder="1" applyAlignment="1">
      <alignment horizontal="center" vertical="center"/>
    </xf>
    <xf numFmtId="0" fontId="11" fillId="58" borderId="116" xfId="0" applyFont="1" applyFill="1" applyBorder="1" applyAlignment="1">
      <alignment horizontal="center" vertical="center"/>
    </xf>
    <xf numFmtId="0" fontId="11" fillId="5" borderId="157" xfId="0" applyFont="1" applyFill="1" applyBorder="1" applyAlignment="1">
      <alignment horizontal="center" vertical="center" wrapText="1"/>
    </xf>
    <xf numFmtId="0" fontId="11" fillId="5" borderId="120" xfId="0" applyFont="1" applyFill="1" applyBorder="1" applyAlignment="1">
      <alignment horizontal="center" vertical="center" wrapText="1"/>
    </xf>
    <xf numFmtId="0" fontId="11" fillId="5" borderId="273" xfId="0" applyFont="1" applyFill="1" applyBorder="1" applyAlignment="1">
      <alignment horizontal="center" vertical="center" wrapText="1"/>
    </xf>
    <xf numFmtId="0" fontId="271" fillId="0" borderId="1" xfId="0" applyFont="1" applyFill="1" applyBorder="1" applyAlignment="1">
      <alignment horizontal="center" vertical="center"/>
    </xf>
    <xf numFmtId="0" fontId="271" fillId="0" borderId="2" xfId="0" applyFont="1" applyFill="1" applyBorder="1" applyAlignment="1">
      <alignment horizontal="center" vertical="center"/>
    </xf>
    <xf numFmtId="0" fontId="271" fillId="0" borderId="28" xfId="0" applyFont="1" applyFill="1" applyBorder="1" applyAlignment="1">
      <alignment horizontal="center" vertical="center"/>
    </xf>
    <xf numFmtId="0" fontId="271" fillId="0" borderId="21" xfId="0" applyFont="1" applyFill="1" applyBorder="1" applyAlignment="1">
      <alignment horizontal="center" vertical="center"/>
    </xf>
    <xf numFmtId="0" fontId="271" fillId="0" borderId="22" xfId="0" applyFont="1" applyFill="1" applyBorder="1" applyAlignment="1">
      <alignment horizontal="center" vertical="center"/>
    </xf>
    <xf numFmtId="0" fontId="271" fillId="0" borderId="34" xfId="0" applyFont="1" applyFill="1" applyBorder="1" applyAlignment="1">
      <alignment horizontal="center" vertical="center"/>
    </xf>
    <xf numFmtId="0" fontId="272" fillId="2" borderId="1" xfId="0" applyFont="1" applyFill="1" applyBorder="1" applyAlignment="1">
      <alignment horizontal="center" vertical="center"/>
    </xf>
    <xf numFmtId="0" fontId="272" fillId="2" borderId="2" xfId="0" applyFont="1" applyFill="1" applyBorder="1" applyAlignment="1">
      <alignment horizontal="center" vertical="center"/>
    </xf>
    <xf numFmtId="0" fontId="272" fillId="2" borderId="28" xfId="0" applyFont="1" applyFill="1" applyBorder="1" applyAlignment="1">
      <alignment horizontal="center" vertical="center"/>
    </xf>
    <xf numFmtId="0" fontId="272" fillId="2" borderId="21" xfId="0" applyFont="1" applyFill="1" applyBorder="1" applyAlignment="1">
      <alignment horizontal="center" vertical="center"/>
    </xf>
    <xf numFmtId="0" fontId="272" fillId="2" borderId="22" xfId="0" applyFont="1" applyFill="1" applyBorder="1" applyAlignment="1">
      <alignment horizontal="center" vertical="center"/>
    </xf>
    <xf numFmtId="0" fontId="272" fillId="2" borderId="34" xfId="0" applyFont="1" applyFill="1" applyBorder="1" applyAlignment="1">
      <alignment horizontal="center" vertical="center"/>
    </xf>
    <xf numFmtId="183" fontId="274" fillId="5" borderId="96" xfId="0" applyNumberFormat="1" applyFont="1" applyFill="1" applyBorder="1" applyAlignment="1">
      <alignment horizontal="center" vertical="center"/>
    </xf>
    <xf numFmtId="181" fontId="273" fillId="58" borderId="95" xfId="0" applyNumberFormat="1" applyFont="1" applyFill="1" applyBorder="1" applyAlignment="1">
      <alignment horizontal="center" vertical="center"/>
    </xf>
    <xf numFmtId="181" fontId="273" fillId="58" borderId="63" xfId="0" applyNumberFormat="1" applyFont="1" applyFill="1" applyBorder="1" applyAlignment="1">
      <alignment horizontal="center" vertical="center"/>
    </xf>
    <xf numFmtId="183" fontId="274" fillId="5" borderId="95" xfId="0" applyNumberFormat="1" applyFont="1" applyFill="1" applyBorder="1" applyAlignment="1">
      <alignment horizontal="center" vertical="center"/>
    </xf>
    <xf numFmtId="0" fontId="11" fillId="5" borderId="63" xfId="0" applyFont="1" applyFill="1" applyBorder="1" applyAlignment="1">
      <alignment horizontal="center" vertical="center"/>
    </xf>
    <xf numFmtId="0" fontId="11" fillId="57" borderId="40" xfId="0" applyFont="1" applyFill="1" applyBorder="1" applyAlignment="1">
      <alignment horizontal="center" vertical="center"/>
    </xf>
    <xf numFmtId="0" fontId="273" fillId="57" borderId="96" xfId="0" applyFont="1" applyFill="1" applyBorder="1" applyAlignment="1">
      <alignment horizontal="center" vertical="center"/>
    </xf>
    <xf numFmtId="0" fontId="11" fillId="57" borderId="262" xfId="0" applyFont="1" applyFill="1" applyBorder="1" applyAlignment="1">
      <alignment horizontal="center" vertical="center"/>
    </xf>
    <xf numFmtId="0" fontId="11" fillId="57" borderId="187" xfId="0" applyFont="1" applyFill="1" applyBorder="1" applyAlignment="1">
      <alignment horizontal="center" vertical="center"/>
    </xf>
    <xf numFmtId="0" fontId="11" fillId="58" borderId="264" xfId="0" applyFont="1" applyFill="1" applyBorder="1" applyAlignment="1">
      <alignment horizontal="center" vertical="center"/>
    </xf>
    <xf numFmtId="0" fontId="11" fillId="58" borderId="153" xfId="0" applyFont="1" applyFill="1" applyBorder="1" applyAlignment="1">
      <alignment horizontal="center" vertical="center"/>
    </xf>
    <xf numFmtId="0" fontId="11" fillId="58" borderId="48" xfId="0" applyFont="1" applyFill="1" applyBorder="1" applyAlignment="1">
      <alignment horizontal="center" vertical="center"/>
    </xf>
    <xf numFmtId="0" fontId="272" fillId="2" borderId="3" xfId="0" applyFont="1" applyFill="1" applyBorder="1" applyAlignment="1">
      <alignment horizontal="center" vertical="center"/>
    </xf>
    <xf numFmtId="0" fontId="272" fillId="2" borderId="0" xfId="0" applyFont="1" applyFill="1" applyBorder="1" applyAlignment="1">
      <alignment horizontal="center" vertical="center"/>
    </xf>
    <xf numFmtId="0" fontId="272" fillId="2" borderId="29" xfId="0" applyFont="1" applyFill="1" applyBorder="1" applyAlignment="1">
      <alignment horizontal="center" vertical="center"/>
    </xf>
    <xf numFmtId="181" fontId="273" fillId="58" borderId="96" xfId="0" applyNumberFormat="1" applyFont="1" applyFill="1" applyBorder="1" applyAlignment="1">
      <alignment horizontal="center" vertical="center"/>
    </xf>
    <xf numFmtId="183" fontId="274" fillId="5" borderId="63" xfId="0" applyNumberFormat="1" applyFont="1" applyFill="1" applyBorder="1" applyAlignment="1">
      <alignment horizontal="center" vertical="center"/>
    </xf>
    <xf numFmtId="0" fontId="11" fillId="5" borderId="116" xfId="0" applyFont="1" applyFill="1" applyBorder="1" applyAlignment="1">
      <alignment horizontal="center" vertical="center" wrapText="1"/>
    </xf>
    <xf numFmtId="0" fontId="11" fillId="5" borderId="64" xfId="0" applyFont="1" applyFill="1" applyBorder="1" applyAlignment="1">
      <alignment horizontal="center" vertical="center" wrapText="1"/>
    </xf>
    <xf numFmtId="0" fontId="11" fillId="60" borderId="95" xfId="0" applyFont="1" applyFill="1" applyBorder="1" applyAlignment="1">
      <alignment horizontal="center" vertical="center"/>
    </xf>
    <xf numFmtId="0" fontId="11" fillId="60" borderId="63" xfId="0" applyFont="1" applyFill="1" applyBorder="1" applyAlignment="1">
      <alignment horizontal="center" vertical="center"/>
    </xf>
    <xf numFmtId="0" fontId="11" fillId="60" borderId="96" xfId="0" applyFont="1" applyFill="1" applyBorder="1" applyAlignment="1">
      <alignment horizontal="center" vertical="center"/>
    </xf>
    <xf numFmtId="0" fontId="11" fillId="59" borderId="95" xfId="0" applyFont="1" applyFill="1" applyBorder="1" applyAlignment="1">
      <alignment horizontal="center" vertical="center"/>
    </xf>
    <xf numFmtId="0" fontId="11" fillId="59" borderId="63" xfId="0" applyFont="1" applyFill="1" applyBorder="1" applyAlignment="1">
      <alignment horizontal="center" vertical="center"/>
    </xf>
    <xf numFmtId="0" fontId="11" fillId="59" borderId="96" xfId="0" applyFont="1" applyFill="1" applyBorder="1" applyAlignment="1">
      <alignment horizontal="center" vertical="center"/>
    </xf>
    <xf numFmtId="197" fontId="274" fillId="60" borderId="95" xfId="0" applyNumberFormat="1" applyFont="1" applyFill="1" applyBorder="1" applyAlignment="1">
      <alignment horizontal="center" vertical="center"/>
    </xf>
    <xf numFmtId="197" fontId="274" fillId="60" borderId="63" xfId="0" applyNumberFormat="1" applyFont="1" applyFill="1" applyBorder="1" applyAlignment="1">
      <alignment horizontal="center" vertical="center"/>
    </xf>
    <xf numFmtId="197" fontId="274" fillId="60" borderId="96" xfId="0" applyNumberFormat="1" applyFont="1" applyFill="1" applyBorder="1" applyAlignment="1">
      <alignment horizontal="center" vertical="center"/>
    </xf>
    <xf numFmtId="0" fontId="11" fillId="59" borderId="44" xfId="0" applyFont="1" applyFill="1" applyBorder="1" applyAlignment="1">
      <alignment horizontal="center" vertical="center"/>
    </xf>
    <xf numFmtId="0" fontId="11" fillId="59" borderId="35" xfId="0" applyFont="1" applyFill="1" applyBorder="1" applyAlignment="1">
      <alignment horizontal="center" vertical="center"/>
    </xf>
    <xf numFmtId="0" fontId="11" fillId="0" borderId="0" xfId="0" applyFont="1" applyFill="1" applyAlignment="1">
      <alignment horizontal="left" vertical="center" wrapText="1"/>
    </xf>
    <xf numFmtId="0" fontId="300" fillId="49" borderId="319" xfId="1" applyFill="1" applyBorder="1" applyAlignment="1" applyProtection="1">
      <alignment horizontal="center" vertical="center"/>
    </xf>
    <xf numFmtId="0" fontId="300" fillId="49" borderId="263" xfId="1" applyFill="1" applyBorder="1" applyAlignment="1" applyProtection="1">
      <alignment horizontal="center" vertical="center"/>
    </xf>
    <xf numFmtId="197" fontId="274" fillId="59" borderId="95" xfId="0" applyNumberFormat="1" applyFont="1" applyFill="1" applyBorder="1" applyAlignment="1">
      <alignment horizontal="center" vertical="center"/>
    </xf>
    <xf numFmtId="197" fontId="274" fillId="59" borderId="63" xfId="0" applyNumberFormat="1" applyFont="1" applyFill="1" applyBorder="1" applyAlignment="1">
      <alignment horizontal="center" vertical="center"/>
    </xf>
    <xf numFmtId="197" fontId="274" fillId="59" borderId="96" xfId="0" applyNumberFormat="1" applyFont="1" applyFill="1" applyBorder="1" applyAlignment="1">
      <alignment horizontal="center" vertical="center"/>
    </xf>
    <xf numFmtId="0" fontId="11" fillId="59" borderId="45" xfId="0" applyFont="1" applyFill="1" applyBorder="1" applyAlignment="1">
      <alignment horizontal="center" vertical="center"/>
    </xf>
    <xf numFmtId="0" fontId="11" fillId="59" borderId="46" xfId="0" applyFont="1" applyFill="1" applyBorder="1" applyAlignment="1">
      <alignment horizontal="center" vertical="center"/>
    </xf>
    <xf numFmtId="0" fontId="11" fillId="60" borderId="157" xfId="0" applyFont="1" applyFill="1" applyBorder="1" applyAlignment="1">
      <alignment horizontal="center" vertical="center" wrapText="1"/>
    </xf>
    <xf numFmtId="0" fontId="11" fillId="60" borderId="120" xfId="0" applyFont="1" applyFill="1" applyBorder="1" applyAlignment="1">
      <alignment horizontal="center" vertical="center" wrapText="1"/>
    </xf>
    <xf numFmtId="0" fontId="11" fillId="60" borderId="273" xfId="0" applyFont="1" applyFill="1" applyBorder="1" applyAlignment="1">
      <alignment horizontal="center" vertical="center"/>
    </xf>
    <xf numFmtId="0" fontId="11" fillId="59" borderId="157" xfId="0" applyFont="1" applyFill="1" applyBorder="1" applyAlignment="1">
      <alignment horizontal="center" vertical="center" wrapText="1"/>
    </xf>
    <xf numFmtId="0" fontId="11" fillId="59" borderId="120" xfId="0" applyFont="1" applyFill="1" applyBorder="1" applyAlignment="1">
      <alignment horizontal="center" vertical="center" wrapText="1"/>
    </xf>
    <xf numFmtId="0" fontId="11" fillId="59" borderId="120" xfId="0" applyFont="1" applyFill="1" applyBorder="1" applyAlignment="1">
      <alignment horizontal="center" vertical="center"/>
    </xf>
    <xf numFmtId="0" fontId="11" fillId="59" borderId="273" xfId="0" applyFont="1" applyFill="1" applyBorder="1" applyAlignment="1">
      <alignment horizontal="center" vertical="center"/>
    </xf>
    <xf numFmtId="0" fontId="11" fillId="60" borderId="157" xfId="0" applyFont="1" applyFill="1" applyBorder="1" applyAlignment="1">
      <alignment horizontal="center" vertical="center"/>
    </xf>
    <xf numFmtId="0" fontId="11" fillId="60" borderId="120" xfId="0" applyFont="1" applyFill="1" applyBorder="1" applyAlignment="1">
      <alignment horizontal="center" vertical="center"/>
    </xf>
    <xf numFmtId="197" fontId="273" fillId="58" borderId="95" xfId="0" applyNumberFormat="1" applyFont="1" applyFill="1" applyBorder="1" applyAlignment="1">
      <alignment horizontal="center" vertical="center"/>
    </xf>
    <xf numFmtId="197" fontId="273" fillId="58" borderId="63" xfId="0" applyNumberFormat="1" applyFont="1" applyFill="1" applyBorder="1" applyAlignment="1">
      <alignment horizontal="center" vertical="center"/>
    </xf>
    <xf numFmtId="197" fontId="274" fillId="59" borderId="44" xfId="0" applyNumberFormat="1" applyFont="1" applyFill="1" applyBorder="1" applyAlignment="1">
      <alignment horizontal="center" vertical="center"/>
    </xf>
    <xf numFmtId="197" fontId="274" fillId="59" borderId="35" xfId="0" applyNumberFormat="1" applyFont="1" applyFill="1" applyBorder="1" applyAlignment="1">
      <alignment horizontal="center" vertical="center"/>
    </xf>
    <xf numFmtId="0" fontId="300" fillId="49" borderId="0" xfId="1" applyFill="1" applyAlignment="1" applyProtection="1">
      <alignment horizontal="center" vertical="center"/>
    </xf>
    <xf numFmtId="0" fontId="0" fillId="0" borderId="0" xfId="0"/>
    <xf numFmtId="0" fontId="0" fillId="25" borderId="0" xfId="0" applyFill="1"/>
    <xf numFmtId="0" fontId="0" fillId="0" borderId="1" xfId="0" applyBorder="1"/>
    <xf numFmtId="0" fontId="0" fillId="0" borderId="28" xfId="0" applyBorder="1"/>
    <xf numFmtId="0" fontId="0" fillId="0" borderId="3" xfId="0" applyBorder="1"/>
    <xf numFmtId="0" fontId="267" fillId="2" borderId="0" xfId="0" applyFont="1" applyFill="1" applyAlignment="1">
      <alignment horizontal="center" vertical="center"/>
    </xf>
    <xf numFmtId="0" fontId="300" fillId="49" borderId="0" xfId="1" applyFill="1" applyBorder="1" applyAlignment="1" applyProtection="1">
      <alignment horizontal="center" vertical="center"/>
    </xf>
    <xf numFmtId="0" fontId="155" fillId="0" borderId="0" xfId="0" applyFont="1" applyFill="1" applyAlignment="1">
      <alignment horizontal="center" vertical="center"/>
    </xf>
    <xf numFmtId="0" fontId="264" fillId="0" borderId="35" xfId="0" applyFont="1" applyFill="1" applyBorder="1" applyAlignment="1">
      <alignment horizontal="center" vertical="center"/>
    </xf>
    <xf numFmtId="0" fontId="0" fillId="0" borderId="35" xfId="0" applyFill="1" applyBorder="1" applyAlignment="1">
      <alignment horizontal="left" vertical="center"/>
    </xf>
    <xf numFmtId="0" fontId="259" fillId="0" borderId="0" xfId="0" applyFont="1" applyAlignment="1">
      <alignment horizontal="center" vertical="center"/>
    </xf>
    <xf numFmtId="0" fontId="27" fillId="0" borderId="0" xfId="0" applyFont="1" applyAlignment="1">
      <alignment horizontal="center" vertical="center"/>
    </xf>
    <xf numFmtId="0" fontId="300" fillId="0" borderId="0" xfId="1" applyFill="1" applyBorder="1" applyAlignment="1" applyProtection="1">
      <alignment horizontal="center" vertical="center"/>
    </xf>
    <xf numFmtId="0" fontId="254" fillId="0" borderId="0" xfId="0" applyFont="1" applyAlignment="1">
      <alignment horizontal="center" vertical="center"/>
    </xf>
    <xf numFmtId="0" fontId="259" fillId="0" borderId="0" xfId="0" applyFont="1" applyAlignment="1">
      <alignment horizontal="center"/>
    </xf>
    <xf numFmtId="0" fontId="225" fillId="20" borderId="35" xfId="0" applyFont="1" applyFill="1" applyBorder="1" applyAlignment="1">
      <alignment horizontal="left" vertical="center" wrapText="1"/>
    </xf>
    <xf numFmtId="0" fontId="258" fillId="20" borderId="35" xfId="0" applyFont="1" applyFill="1" applyBorder="1" applyAlignment="1">
      <alignment horizontal="left" vertical="center" wrapText="1"/>
    </xf>
    <xf numFmtId="0" fontId="257" fillId="17" borderId="35" xfId="0" applyFont="1" applyFill="1" applyBorder="1" applyAlignment="1">
      <alignment horizontal="center" vertical="center"/>
    </xf>
    <xf numFmtId="0" fontId="225" fillId="20" borderId="35" xfId="0" applyFont="1" applyFill="1" applyBorder="1" applyAlignment="1">
      <alignment horizontal="left" vertical="center" wrapText="1" shrinkToFit="1"/>
    </xf>
    <xf numFmtId="0" fontId="258" fillId="20" borderId="35" xfId="0" applyFont="1" applyFill="1" applyBorder="1" applyAlignment="1">
      <alignment horizontal="left" vertical="center" wrapText="1" shrinkToFit="1"/>
    </xf>
    <xf numFmtId="0" fontId="1" fillId="43" borderId="0" xfId="0" applyFont="1" applyFill="1" applyAlignment="1">
      <alignment horizontal="center" vertical="center"/>
    </xf>
    <xf numFmtId="0" fontId="250" fillId="48" borderId="0" xfId="0" applyFont="1" applyFill="1" applyAlignment="1">
      <alignment horizontal="center" vertical="center"/>
    </xf>
    <xf numFmtId="0" fontId="251" fillId="48" borderId="0" xfId="0" applyFont="1" applyFill="1" applyAlignment="1">
      <alignment horizontal="center" vertical="center"/>
    </xf>
    <xf numFmtId="0" fontId="0" fillId="0" borderId="265" xfId="0" applyFont="1" applyFill="1" applyBorder="1" applyAlignment="1">
      <alignment horizontal="center" vertical="center"/>
    </xf>
    <xf numFmtId="0" fontId="252" fillId="0" borderId="267" xfId="0" applyFont="1" applyFill="1" applyBorder="1" applyAlignment="1">
      <alignment horizontal="center" vertical="center"/>
    </xf>
    <xf numFmtId="0" fontId="252" fillId="0" borderId="268" xfId="0" applyFont="1" applyFill="1" applyBorder="1" applyAlignment="1">
      <alignment horizontal="center" vertical="center"/>
    </xf>
    <xf numFmtId="0" fontId="26" fillId="15" borderId="22" xfId="0" applyFont="1" applyFill="1" applyBorder="1" applyAlignment="1">
      <alignment horizontal="center" vertical="center"/>
    </xf>
    <xf numFmtId="0" fontId="90" fillId="0" borderId="44" xfId="0" applyFont="1" applyBorder="1" applyAlignment="1">
      <alignment horizontal="center" vertical="center"/>
    </xf>
    <xf numFmtId="0" fontId="90" fillId="0" borderId="45" xfId="0" applyFont="1" applyBorder="1" applyAlignment="1">
      <alignment horizontal="center" vertical="center"/>
    </xf>
    <xf numFmtId="0" fontId="208" fillId="0" borderId="154" xfId="0" applyFont="1" applyBorder="1" applyAlignment="1">
      <alignment horizontal="center" vertical="center"/>
    </xf>
    <xf numFmtId="0" fontId="208" fillId="0" borderId="264" xfId="0" applyFont="1" applyBorder="1" applyAlignment="1">
      <alignment horizontal="center" vertical="center"/>
    </xf>
    <xf numFmtId="0" fontId="184" fillId="8" borderId="0" xfId="0" applyFont="1" applyFill="1" applyAlignment="1">
      <alignment horizontal="center" vertical="center"/>
    </xf>
    <xf numFmtId="0" fontId="184" fillId="0" borderId="0" xfId="0" applyFont="1" applyFill="1" applyAlignment="1">
      <alignment horizontal="center" vertical="center"/>
    </xf>
    <xf numFmtId="0" fontId="16" fillId="39" borderId="0" xfId="0" applyFont="1" applyFill="1" applyAlignment="1">
      <alignment horizontal="left" vertical="center"/>
    </xf>
    <xf numFmtId="0" fontId="0" fillId="39" borderId="0" xfId="0" applyFont="1" applyFill="1" applyAlignment="1">
      <alignment horizontal="left" vertical="center"/>
    </xf>
    <xf numFmtId="0" fontId="0" fillId="0" borderId="35" xfId="0" applyFont="1" applyFill="1" applyBorder="1" applyAlignment="1">
      <alignment horizontal="left" vertical="center"/>
    </xf>
    <xf numFmtId="0" fontId="0" fillId="0" borderId="35" xfId="0" applyFont="1" applyFill="1" applyBorder="1" applyAlignment="1">
      <alignment horizontal="center" vertical="center"/>
    </xf>
    <xf numFmtId="0" fontId="119" fillId="13" borderId="0" xfId="0" applyNumberFormat="1" applyFont="1" applyFill="1" applyAlignment="1">
      <alignment horizontal="center" vertical="center" textRotation="255"/>
    </xf>
    <xf numFmtId="0" fontId="245" fillId="8" borderId="1" xfId="0" applyFont="1" applyFill="1" applyBorder="1" applyAlignment="1" applyProtection="1">
      <alignment horizontal="center" vertical="center"/>
    </xf>
    <xf numFmtId="0" fontId="245" fillId="8" borderId="2" xfId="0" applyFont="1" applyFill="1" applyBorder="1" applyAlignment="1" applyProtection="1">
      <alignment horizontal="center" vertical="center"/>
    </xf>
    <xf numFmtId="0" fontId="243" fillId="8" borderId="0" xfId="0" applyFont="1" applyFill="1" applyAlignment="1">
      <alignment horizontal="center" vertical="center"/>
    </xf>
    <xf numFmtId="0" fontId="0" fillId="8" borderId="0" xfId="0" applyFill="1" applyAlignment="1">
      <alignment horizontal="center" vertical="center"/>
    </xf>
    <xf numFmtId="0" fontId="16" fillId="14" borderId="0" xfId="0" applyFont="1" applyFill="1" applyAlignment="1">
      <alignment horizontal="left" vertical="center"/>
    </xf>
    <xf numFmtId="0" fontId="0" fillId="14" borderId="0" xfId="0" applyFill="1" applyAlignment="1">
      <alignment horizontal="left" vertical="center"/>
    </xf>
    <xf numFmtId="0" fontId="242" fillId="8" borderId="0" xfId="0" applyFont="1" applyFill="1" applyAlignment="1">
      <alignment horizontal="center" vertical="center"/>
    </xf>
    <xf numFmtId="0" fontId="149" fillId="8" borderId="0" xfId="0" applyFont="1" applyFill="1" applyAlignment="1">
      <alignment horizontal="center" vertical="center"/>
    </xf>
    <xf numFmtId="0" fontId="230" fillId="33" borderId="0" xfId="0" applyFont="1" applyFill="1" applyAlignment="1">
      <alignment horizontal="center" vertical="center"/>
    </xf>
    <xf numFmtId="0" fontId="0" fillId="33" borderId="0" xfId="0" applyFill="1" applyAlignment="1">
      <alignment horizontal="center" vertical="center"/>
    </xf>
    <xf numFmtId="0" fontId="70" fillId="0" borderId="41" xfId="0" applyFont="1" applyBorder="1" applyAlignment="1">
      <alignment horizontal="center"/>
    </xf>
    <xf numFmtId="0" fontId="70" fillId="0" borderId="42" xfId="0" applyFont="1" applyBorder="1" applyAlignment="1">
      <alignment horizontal="center"/>
    </xf>
    <xf numFmtId="0" fontId="70" fillId="0" borderId="43" xfId="0" applyFont="1" applyBorder="1" applyAlignment="1">
      <alignment horizontal="center"/>
    </xf>
    <xf numFmtId="0" fontId="158" fillId="0" borderId="37" xfId="0" applyFont="1" applyBorder="1" applyAlignment="1">
      <alignment horizontal="center"/>
    </xf>
    <xf numFmtId="0" fontId="158" fillId="0" borderId="146" xfId="0" applyFont="1" applyBorder="1" applyAlignment="1">
      <alignment horizontal="center"/>
    </xf>
    <xf numFmtId="0" fontId="239" fillId="0" borderId="146" xfId="0" applyFont="1" applyBorder="1" applyAlignment="1">
      <alignment horizontal="center"/>
    </xf>
    <xf numFmtId="0" fontId="235" fillId="33" borderId="41" xfId="0" applyFont="1" applyFill="1" applyBorder="1" applyAlignment="1">
      <alignment horizontal="center"/>
    </xf>
    <xf numFmtId="0" fontId="158" fillId="33" borderId="42" xfId="0" applyFont="1" applyFill="1" applyBorder="1" applyAlignment="1">
      <alignment horizontal="center"/>
    </xf>
    <xf numFmtId="0" fontId="158" fillId="33" borderId="43" xfId="0" applyFont="1" applyFill="1" applyBorder="1" applyAlignment="1">
      <alignment horizontal="center"/>
    </xf>
    <xf numFmtId="0" fontId="0" fillId="10" borderId="1" xfId="0" applyFill="1" applyBorder="1" applyAlignment="1">
      <alignment horizontal="center"/>
    </xf>
    <xf numFmtId="0" fontId="0" fillId="10" borderId="2" xfId="0" applyFill="1" applyBorder="1" applyAlignment="1">
      <alignment horizontal="center"/>
    </xf>
    <xf numFmtId="0" fontId="0" fillId="10" borderId="28" xfId="0" applyFill="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28" xfId="0" applyBorder="1" applyAlignment="1">
      <alignment horizontal="center"/>
    </xf>
    <xf numFmtId="0" fontId="237" fillId="0" borderId="41" xfId="0" applyFont="1" applyBorder="1" applyAlignment="1">
      <alignment horizontal="center"/>
    </xf>
    <xf numFmtId="0" fontId="149" fillId="0" borderId="42" xfId="0" applyFont="1" applyBorder="1" applyAlignment="1">
      <alignment horizontal="center"/>
    </xf>
    <xf numFmtId="0" fontId="149" fillId="0" borderId="43" xfId="0" applyFont="1" applyBorder="1" applyAlignment="1">
      <alignment horizontal="center"/>
    </xf>
    <xf numFmtId="0" fontId="149" fillId="0" borderId="41" xfId="0" applyFont="1" applyBorder="1" applyAlignment="1">
      <alignment horizontal="center"/>
    </xf>
    <xf numFmtId="0" fontId="42" fillId="0" borderId="41" xfId="0" applyFont="1" applyBorder="1" applyAlignment="1">
      <alignment horizontal="center"/>
    </xf>
    <xf numFmtId="0" fontId="0" fillId="0" borderId="146" xfId="0" applyBorder="1" applyAlignment="1">
      <alignment horizontal="center"/>
    </xf>
    <xf numFmtId="0" fontId="112" fillId="0" borderId="55" xfId="0" applyFont="1" applyFill="1" applyBorder="1" applyAlignment="1">
      <alignment horizontal="center" vertical="center"/>
    </xf>
    <xf numFmtId="0" fontId="112" fillId="0" borderId="56" xfId="0" applyFont="1" applyFill="1" applyBorder="1" applyAlignment="1">
      <alignment horizontal="center" vertical="center"/>
    </xf>
    <xf numFmtId="0" fontId="0" fillId="0" borderId="54" xfId="0" applyFill="1" applyBorder="1" applyAlignment="1">
      <alignment horizontal="center" vertical="center"/>
    </xf>
    <xf numFmtId="0" fontId="0" fillId="0" borderId="94" xfId="0" applyFill="1" applyBorder="1" applyAlignment="1">
      <alignment horizontal="center" vertical="center"/>
    </xf>
    <xf numFmtId="0" fontId="0" fillId="0" borderId="93" xfId="0" applyFill="1" applyBorder="1" applyAlignment="1">
      <alignment horizontal="center" vertical="center"/>
    </xf>
    <xf numFmtId="176" fontId="0" fillId="0" borderId="93" xfId="0" applyNumberFormat="1" applyFill="1" applyBorder="1" applyAlignment="1">
      <alignment horizontal="center" vertical="center"/>
    </xf>
    <xf numFmtId="176" fontId="0" fillId="0" borderId="54" xfId="0" applyNumberFormat="1" applyFill="1" applyBorder="1" applyAlignment="1">
      <alignment horizontal="center" vertical="center"/>
    </xf>
    <xf numFmtId="176" fontId="0" fillId="0" borderId="94" xfId="0" applyNumberFormat="1" applyFill="1" applyBorder="1" applyAlignment="1">
      <alignment horizontal="center" vertical="center"/>
    </xf>
    <xf numFmtId="0" fontId="27" fillId="0" borderId="55" xfId="0" applyFont="1" applyFill="1" applyBorder="1" applyAlignment="1">
      <alignment horizontal="center" vertical="center"/>
    </xf>
    <xf numFmtId="0" fontId="27" fillId="0" borderId="56" xfId="0" applyFont="1" applyFill="1" applyBorder="1" applyAlignment="1">
      <alignment horizontal="center" vertical="center"/>
    </xf>
    <xf numFmtId="0" fontId="27" fillId="0" borderId="57" xfId="0" applyFont="1" applyFill="1" applyBorder="1" applyAlignment="1">
      <alignment horizontal="center" vertical="center"/>
    </xf>
    <xf numFmtId="0" fontId="27" fillId="0" borderId="58" xfId="0" applyFont="1" applyFill="1" applyBorder="1" applyAlignment="1">
      <alignment horizontal="center" vertical="center"/>
    </xf>
    <xf numFmtId="0" fontId="27" fillId="0" borderId="59" xfId="0" applyFont="1" applyFill="1" applyBorder="1" applyAlignment="1">
      <alignment horizontal="center" vertical="center"/>
    </xf>
    <xf numFmtId="0" fontId="27" fillId="0" borderId="60" xfId="0" applyFont="1" applyFill="1" applyBorder="1" applyAlignment="1">
      <alignment horizontal="center" vertical="center"/>
    </xf>
    <xf numFmtId="0" fontId="22" fillId="0" borderId="35" xfId="0" applyFont="1" applyFill="1" applyBorder="1" applyAlignment="1">
      <alignment horizontal="left" vertical="center"/>
    </xf>
    <xf numFmtId="0" fontId="16" fillId="8" borderId="3" xfId="0" applyFont="1" applyFill="1" applyBorder="1" applyAlignment="1">
      <alignment horizontal="center" vertical="center"/>
    </xf>
    <xf numFmtId="0" fontId="16" fillId="8" borderId="0" xfId="0" applyFont="1" applyFill="1" applyAlignment="1">
      <alignment horizontal="center" vertical="center"/>
    </xf>
    <xf numFmtId="0" fontId="154" fillId="15" borderId="54" xfId="0" applyFont="1" applyFill="1" applyBorder="1" applyAlignment="1">
      <alignment horizontal="center" vertical="center"/>
    </xf>
    <xf numFmtId="0" fontId="154" fillId="15" borderId="94" xfId="0" applyFont="1" applyFill="1" applyBorder="1" applyAlignment="1">
      <alignment horizontal="center" vertical="center"/>
    </xf>
    <xf numFmtId="0" fontId="22" fillId="15" borderId="39" xfId="0" applyFont="1" applyFill="1" applyBorder="1" applyAlignment="1">
      <alignment vertical="center"/>
    </xf>
    <xf numFmtId="0" fontId="22" fillId="15" borderId="35" xfId="0" applyFont="1" applyFill="1" applyBorder="1" applyAlignment="1">
      <alignment vertical="center"/>
    </xf>
    <xf numFmtId="0" fontId="0" fillId="0" borderId="35" xfId="0" applyFill="1" applyBorder="1" applyAlignment="1">
      <alignment horizontal="center" vertical="center"/>
    </xf>
    <xf numFmtId="0" fontId="22" fillId="35" borderId="74" xfId="0" applyFont="1" applyFill="1" applyBorder="1" applyAlignment="1">
      <alignment horizontal="center" vertical="center" wrapText="1"/>
    </xf>
    <xf numFmtId="0" fontId="22" fillId="35" borderId="63" xfId="0" applyFont="1" applyFill="1" applyBorder="1" applyAlignment="1">
      <alignment horizontal="center" vertical="center" wrapText="1"/>
    </xf>
    <xf numFmtId="0" fontId="22" fillId="35" borderId="36" xfId="0" applyFont="1" applyFill="1" applyBorder="1" applyAlignment="1">
      <alignment horizontal="center" vertical="center" wrapText="1"/>
    </xf>
    <xf numFmtId="0" fontId="22" fillId="35" borderId="97" xfId="0" applyFont="1" applyFill="1" applyBorder="1" applyAlignment="1">
      <alignment horizontal="center" vertical="center" wrapText="1"/>
    </xf>
    <xf numFmtId="0" fontId="22" fillId="35" borderId="3" xfId="0" applyFont="1" applyFill="1" applyBorder="1" applyAlignment="1">
      <alignment horizontal="center" vertical="center" wrapText="1"/>
    </xf>
    <xf numFmtId="0" fontId="22" fillId="35" borderId="21" xfId="0" applyFont="1" applyFill="1" applyBorder="1" applyAlignment="1">
      <alignment horizontal="center" vertical="center" wrapText="1"/>
    </xf>
    <xf numFmtId="0" fontId="0" fillId="0" borderId="39" xfId="0" applyFill="1" applyBorder="1" applyAlignment="1">
      <alignment horizontal="center" vertical="center" wrapText="1"/>
    </xf>
    <xf numFmtId="0" fontId="22" fillId="15" borderId="35" xfId="0" applyFont="1" applyFill="1" applyBorder="1" applyAlignment="1">
      <alignment vertical="center" wrapText="1"/>
    </xf>
    <xf numFmtId="0" fontId="22" fillId="15" borderId="46" xfId="0" applyFont="1" applyFill="1" applyBorder="1" applyAlignment="1">
      <alignment vertical="center" wrapText="1"/>
    </xf>
    <xf numFmtId="0" fontId="22" fillId="15" borderId="46" xfId="0" applyFont="1" applyFill="1" applyBorder="1" applyAlignment="1">
      <alignment vertical="center"/>
    </xf>
    <xf numFmtId="0" fontId="22" fillId="35" borderId="93" xfId="0" applyFont="1" applyFill="1" applyBorder="1" applyAlignment="1">
      <alignment horizontal="center" vertical="center"/>
    </xf>
    <xf numFmtId="0" fontId="22" fillId="35" borderId="94" xfId="0" applyFont="1" applyFill="1" applyBorder="1" applyAlignment="1">
      <alignment horizontal="center" vertical="center"/>
    </xf>
    <xf numFmtId="0" fontId="0" fillId="0" borderId="39" xfId="0" applyFill="1" applyBorder="1" applyAlignment="1">
      <alignment horizontal="center" vertical="center"/>
    </xf>
    <xf numFmtId="0" fontId="0" fillId="0" borderId="93" xfId="0" applyFont="1" applyFill="1" applyBorder="1" applyAlignment="1">
      <alignment horizontal="center" vertical="center" wrapText="1"/>
    </xf>
    <xf numFmtId="0" fontId="0" fillId="0" borderId="54" xfId="0" applyFont="1" applyFill="1" applyBorder="1" applyAlignment="1">
      <alignment horizontal="center" vertical="center" wrapText="1"/>
    </xf>
    <xf numFmtId="0" fontId="0" fillId="0" borderId="94" xfId="0" applyFont="1" applyFill="1" applyBorder="1" applyAlignment="1">
      <alignment horizontal="center" vertical="center" wrapText="1"/>
    </xf>
    <xf numFmtId="0" fontId="0" fillId="0" borderId="35" xfId="0" applyFont="1" applyFill="1" applyBorder="1" applyAlignment="1">
      <alignment horizontal="center" vertical="center" wrapText="1"/>
    </xf>
    <xf numFmtId="0" fontId="0" fillId="0" borderId="74" xfId="0" applyFont="1" applyFill="1" applyBorder="1" applyAlignment="1">
      <alignment horizontal="center" vertical="center" wrapText="1"/>
    </xf>
    <xf numFmtId="0" fontId="0" fillId="0" borderId="63" xfId="0" applyFont="1" applyFill="1" applyBorder="1" applyAlignment="1">
      <alignment horizontal="center" vertical="center" wrapText="1"/>
    </xf>
    <xf numFmtId="0" fontId="28" fillId="35" borderId="0" xfId="0" applyFont="1" applyFill="1" applyBorder="1" applyAlignment="1">
      <alignment horizontal="center" vertical="center"/>
    </xf>
    <xf numFmtId="0" fontId="87" fillId="0" borderId="162" xfId="0" applyFont="1" applyFill="1" applyBorder="1" applyAlignment="1">
      <alignment horizontal="center" vertical="center"/>
    </xf>
    <xf numFmtId="0" fontId="22" fillId="0" borderId="44" xfId="0" applyFont="1" applyFill="1" applyBorder="1" applyAlignment="1">
      <alignment horizontal="center" vertical="center"/>
    </xf>
    <xf numFmtId="0" fontId="0" fillId="15" borderId="35" xfId="0" applyFill="1" applyBorder="1" applyAlignment="1">
      <alignment horizontal="center" vertical="center"/>
    </xf>
    <xf numFmtId="0" fontId="0" fillId="15" borderId="117" xfId="0" applyFill="1" applyBorder="1" applyAlignment="1">
      <alignment horizontal="center" vertical="center"/>
    </xf>
    <xf numFmtId="0" fontId="0" fillId="15" borderId="54" xfId="0" applyFill="1" applyBorder="1" applyAlignment="1">
      <alignment horizontal="center" vertical="center"/>
    </xf>
    <xf numFmtId="0" fontId="0" fillId="15" borderId="94" xfId="0" applyFill="1" applyBorder="1" applyAlignment="1">
      <alignment horizontal="center" vertical="center"/>
    </xf>
    <xf numFmtId="0" fontId="0" fillId="15" borderId="39" xfId="0" applyFill="1" applyBorder="1" applyAlignment="1">
      <alignment horizontal="center" vertical="center" wrapText="1"/>
    </xf>
    <xf numFmtId="0" fontId="0" fillId="15" borderId="35" xfId="0" applyFill="1" applyBorder="1" applyAlignment="1">
      <alignment horizontal="center" vertical="center" wrapText="1"/>
    </xf>
    <xf numFmtId="0" fontId="0" fillId="0" borderId="39" xfId="0" applyFill="1" applyBorder="1" applyAlignment="1">
      <alignment vertical="center"/>
    </xf>
    <xf numFmtId="0" fontId="0" fillId="0" borderId="35" xfId="0" applyFill="1" applyBorder="1" applyAlignment="1">
      <alignment vertical="center"/>
    </xf>
    <xf numFmtId="0" fontId="0" fillId="0" borderId="40" xfId="0" applyFill="1" applyBorder="1" applyAlignment="1">
      <alignment vertical="center"/>
    </xf>
    <xf numFmtId="0" fontId="0" fillId="0" borderId="47" xfId="0" applyFill="1" applyBorder="1" applyAlignment="1">
      <alignment vertical="center"/>
    </xf>
    <xf numFmtId="0" fontId="35" fillId="0" borderId="36" xfId="0" applyFont="1" applyFill="1" applyBorder="1" applyAlignment="1">
      <alignment vertical="center" wrapText="1"/>
    </xf>
    <xf numFmtId="0" fontId="35" fillId="0" borderId="35" xfId="0" applyFont="1" applyFill="1" applyBorder="1" applyAlignment="1">
      <alignment vertical="center" wrapText="1"/>
    </xf>
    <xf numFmtId="0" fontId="0" fillId="0" borderId="39" xfId="0" applyFill="1" applyBorder="1" applyAlignment="1">
      <alignment vertical="center" wrapText="1"/>
    </xf>
    <xf numFmtId="0" fontId="0" fillId="0" borderId="35" xfId="0" applyFill="1" applyBorder="1" applyAlignment="1">
      <alignment vertical="center" wrapText="1"/>
    </xf>
    <xf numFmtId="0" fontId="0" fillId="0" borderId="52" xfId="0" applyFill="1" applyBorder="1" applyAlignment="1">
      <alignment vertical="center" wrapText="1"/>
    </xf>
    <xf numFmtId="0" fontId="0" fillId="0" borderId="63" xfId="0" applyFill="1" applyBorder="1" applyAlignment="1">
      <alignment horizontal="center" vertical="center"/>
    </xf>
    <xf numFmtId="0" fontId="0" fillId="0" borderId="36" xfId="0" applyFill="1" applyBorder="1" applyAlignment="1">
      <alignment horizontal="center" vertical="center"/>
    </xf>
    <xf numFmtId="0" fontId="222" fillId="33" borderId="1" xfId="0" applyFont="1" applyFill="1" applyBorder="1" applyAlignment="1">
      <alignment horizontal="center" vertical="center"/>
    </xf>
    <xf numFmtId="0" fontId="222" fillId="33" borderId="2" xfId="0" applyFont="1" applyFill="1" applyBorder="1" applyAlignment="1">
      <alignment horizontal="center" vertical="center"/>
    </xf>
    <xf numFmtId="0" fontId="222" fillId="33" borderId="28" xfId="0" applyFont="1" applyFill="1" applyBorder="1" applyAlignment="1">
      <alignment horizontal="center" vertical="center"/>
    </xf>
    <xf numFmtId="0" fontId="87" fillId="10" borderId="161" xfId="0" applyFont="1" applyFill="1" applyBorder="1" applyAlignment="1">
      <alignment horizontal="center"/>
    </xf>
    <xf numFmtId="0" fontId="87" fillId="10" borderId="151" xfId="0" applyFont="1" applyFill="1" applyBorder="1" applyAlignment="1">
      <alignment horizontal="center"/>
    </xf>
    <xf numFmtId="0" fontId="87" fillId="15" borderId="161" xfId="0" applyFont="1" applyFill="1" applyBorder="1" applyAlignment="1">
      <alignment horizontal="center"/>
    </xf>
    <xf numFmtId="0" fontId="87" fillId="15" borderId="151" xfId="0" applyFont="1" applyFill="1" applyBorder="1" applyAlignment="1">
      <alignment horizontal="center"/>
    </xf>
    <xf numFmtId="0" fontId="87" fillId="14" borderId="44" xfId="0" applyFont="1" applyFill="1" applyBorder="1" applyAlignment="1">
      <alignment horizontal="center"/>
    </xf>
    <xf numFmtId="0" fontId="87" fillId="14" borderId="45" xfId="0" applyFont="1" applyFill="1" applyBorder="1" applyAlignment="1">
      <alignment horizontal="center"/>
    </xf>
    <xf numFmtId="0" fontId="87" fillId="10" borderId="54" xfId="0" applyFont="1" applyFill="1" applyBorder="1" applyAlignment="1">
      <alignment horizontal="center"/>
    </xf>
    <xf numFmtId="0" fontId="87" fillId="10" borderId="94" xfId="0" applyFont="1" applyFill="1" applyBorder="1" applyAlignment="1">
      <alignment horizontal="center"/>
    </xf>
    <xf numFmtId="0" fontId="19" fillId="10" borderId="93" xfId="0" applyFont="1" applyFill="1" applyBorder="1" applyAlignment="1">
      <alignment horizontal="center"/>
    </xf>
    <xf numFmtId="0" fontId="87" fillId="15" borderId="54" xfId="0" applyFont="1" applyFill="1" applyBorder="1" applyAlignment="1">
      <alignment horizontal="center"/>
    </xf>
    <xf numFmtId="0" fontId="87" fillId="15" borderId="94" xfId="0" applyFont="1" applyFill="1" applyBorder="1" applyAlignment="1">
      <alignment horizontal="center"/>
    </xf>
    <xf numFmtId="0" fontId="19" fillId="15" borderId="93" xfId="0" applyFont="1" applyFill="1" applyBorder="1" applyAlignment="1">
      <alignment horizontal="center"/>
    </xf>
    <xf numFmtId="0" fontId="87" fillId="14" borderId="35" xfId="0" applyFont="1" applyFill="1" applyBorder="1" applyAlignment="1">
      <alignment horizontal="center"/>
    </xf>
    <xf numFmtId="0" fontId="19" fillId="14" borderId="35" xfId="0" applyFont="1" applyFill="1" applyBorder="1" applyAlignment="1">
      <alignment horizontal="center"/>
    </xf>
    <xf numFmtId="0" fontId="87" fillId="14" borderId="46" xfId="0" applyFont="1" applyFill="1" applyBorder="1" applyAlignment="1">
      <alignment horizontal="center"/>
    </xf>
    <xf numFmtId="0" fontId="87" fillId="0" borderId="35" xfId="0" applyFont="1" applyBorder="1" applyAlignment="1">
      <alignment horizontal="center" shrinkToFit="1"/>
    </xf>
    <xf numFmtId="0" fontId="87" fillId="0" borderId="46" xfId="0" applyFont="1" applyBorder="1" applyAlignment="1">
      <alignment horizontal="center" shrinkToFit="1"/>
    </xf>
    <xf numFmtId="0" fontId="19" fillId="10" borderId="117" xfId="0" applyFont="1" applyFill="1" applyBorder="1" applyAlignment="1">
      <alignment horizontal="center" shrinkToFit="1"/>
    </xf>
    <xf numFmtId="0" fontId="87" fillId="10" borderId="94" xfId="0" applyFont="1" applyFill="1" applyBorder="1" applyAlignment="1">
      <alignment horizontal="center" shrinkToFit="1"/>
    </xf>
    <xf numFmtId="0" fontId="87" fillId="10" borderId="93" xfId="0" applyFont="1" applyFill="1" applyBorder="1" applyAlignment="1">
      <alignment horizontal="center" shrinkToFit="1"/>
    </xf>
    <xf numFmtId="180" fontId="87" fillId="10" borderId="93" xfId="0" applyNumberFormat="1" applyFont="1" applyFill="1" applyBorder="1" applyAlignment="1">
      <alignment horizontal="center" shrinkToFit="1"/>
    </xf>
    <xf numFmtId="180" fontId="87" fillId="10" borderId="94" xfId="0" applyNumberFormat="1" applyFont="1" applyFill="1" applyBorder="1" applyAlignment="1">
      <alignment horizontal="center" shrinkToFit="1"/>
    </xf>
    <xf numFmtId="180" fontId="87" fillId="10" borderId="54" xfId="0" applyNumberFormat="1" applyFont="1" applyFill="1" applyBorder="1" applyAlignment="1">
      <alignment horizontal="center" shrinkToFit="1"/>
    </xf>
    <xf numFmtId="0" fontId="19" fillId="15" borderId="130" xfId="0" applyFont="1" applyFill="1" applyBorder="1" applyAlignment="1">
      <alignment horizontal="center" shrinkToFit="1"/>
    </xf>
    <xf numFmtId="0" fontId="87" fillId="15" borderId="94" xfId="0" applyFont="1" applyFill="1" applyBorder="1" applyAlignment="1">
      <alignment horizontal="center" shrinkToFit="1"/>
    </xf>
    <xf numFmtId="0" fontId="87" fillId="15" borderId="93" xfId="0" applyFont="1" applyFill="1" applyBorder="1" applyAlignment="1">
      <alignment horizontal="center" shrinkToFit="1"/>
    </xf>
    <xf numFmtId="0" fontId="87" fillId="15" borderId="54" xfId="0" applyFont="1" applyFill="1" applyBorder="1" applyAlignment="1">
      <alignment horizontal="center" shrinkToFit="1"/>
    </xf>
    <xf numFmtId="0" fontId="19" fillId="14" borderId="39" xfId="0" applyFont="1" applyFill="1" applyBorder="1" applyAlignment="1">
      <alignment horizontal="center" shrinkToFit="1"/>
    </xf>
    <xf numFmtId="0" fontId="87" fillId="14" borderId="35" xfId="0" applyFont="1" applyFill="1" applyBorder="1" applyAlignment="1">
      <alignment horizontal="center" shrinkToFit="1"/>
    </xf>
    <xf numFmtId="0" fontId="87" fillId="14" borderId="46" xfId="0" applyFont="1" applyFill="1" applyBorder="1" applyAlignment="1">
      <alignment horizontal="center" shrinkToFit="1"/>
    </xf>
    <xf numFmtId="0" fontId="19" fillId="0" borderId="117" xfId="0" applyFont="1" applyBorder="1" applyAlignment="1">
      <alignment horizontal="center" shrinkToFit="1"/>
    </xf>
    <xf numFmtId="0" fontId="87" fillId="0" borderId="94" xfId="0" applyFont="1" applyBorder="1" applyAlignment="1">
      <alignment horizontal="center" shrinkToFit="1"/>
    </xf>
    <xf numFmtId="0" fontId="87" fillId="0" borderId="93" xfId="0" applyFont="1" applyBorder="1" applyAlignment="1">
      <alignment horizontal="center" shrinkToFit="1"/>
    </xf>
    <xf numFmtId="180" fontId="87" fillId="0" borderId="93" xfId="0" applyNumberFormat="1" applyFont="1" applyBorder="1" applyAlignment="1">
      <alignment horizontal="center" shrinkToFit="1"/>
    </xf>
    <xf numFmtId="180" fontId="87" fillId="0" borderId="94" xfId="0" applyNumberFormat="1" applyFont="1" applyBorder="1" applyAlignment="1">
      <alignment horizontal="center" shrinkToFit="1"/>
    </xf>
    <xf numFmtId="180" fontId="87" fillId="0" borderId="54" xfId="0" applyNumberFormat="1" applyFont="1" applyBorder="1" applyAlignment="1">
      <alignment horizontal="center" shrinkToFit="1"/>
    </xf>
    <xf numFmtId="0" fontId="19" fillId="0" borderId="130" xfId="0" applyFont="1" applyBorder="1" applyAlignment="1">
      <alignment horizontal="center" shrinkToFit="1"/>
    </xf>
    <xf numFmtId="0" fontId="87" fillId="0" borderId="54" xfId="0" applyFont="1" applyBorder="1" applyAlignment="1">
      <alignment horizontal="center" shrinkToFit="1"/>
    </xf>
    <xf numFmtId="0" fontId="19" fillId="0" borderId="39" xfId="0" applyFont="1" applyBorder="1" applyAlignment="1">
      <alignment horizontal="center" shrinkToFit="1"/>
    </xf>
    <xf numFmtId="0" fontId="87" fillId="14" borderId="39" xfId="0" applyFont="1" applyFill="1" applyBorder="1" applyAlignment="1">
      <alignment horizontal="center" shrinkToFit="1"/>
    </xf>
    <xf numFmtId="0" fontId="87" fillId="0" borderId="35" xfId="0" applyFont="1" applyFill="1" applyBorder="1" applyAlignment="1">
      <alignment horizontal="center" shrinkToFit="1"/>
    </xf>
    <xf numFmtId="0" fontId="87" fillId="0" borderId="46" xfId="0" applyFont="1" applyFill="1" applyBorder="1" applyAlignment="1">
      <alignment horizontal="center" shrinkToFit="1"/>
    </xf>
    <xf numFmtId="0" fontId="19" fillId="0" borderId="39" xfId="0" applyFont="1" applyFill="1" applyBorder="1" applyAlignment="1">
      <alignment horizontal="center" shrinkToFit="1"/>
    </xf>
    <xf numFmtId="0" fontId="87" fillId="0" borderId="47" xfId="0" applyFont="1" applyBorder="1" applyAlignment="1">
      <alignment horizontal="center" shrinkToFit="1"/>
    </xf>
    <xf numFmtId="0" fontId="87" fillId="0" borderId="48" xfId="0" applyFont="1" applyBorder="1" applyAlignment="1">
      <alignment horizontal="center" shrinkToFit="1"/>
    </xf>
    <xf numFmtId="0" fontId="208" fillId="0" borderId="59" xfId="0" applyFont="1" applyBorder="1" applyAlignment="1">
      <alignment horizontal="center"/>
    </xf>
    <xf numFmtId="0" fontId="208" fillId="0" borderId="53" xfId="0" applyFont="1" applyBorder="1" applyAlignment="1">
      <alignment horizontal="center"/>
    </xf>
    <xf numFmtId="0" fontId="27" fillId="0" borderId="53" xfId="0" applyFont="1" applyBorder="1" applyAlignment="1">
      <alignment horizontal="center"/>
    </xf>
    <xf numFmtId="0" fontId="27" fillId="0" borderId="60" xfId="0" applyFont="1" applyBorder="1" applyAlignment="1">
      <alignment horizontal="center"/>
    </xf>
    <xf numFmtId="0" fontId="208" fillId="0" borderId="93" xfId="0" applyFont="1" applyBorder="1" applyAlignment="1">
      <alignment horizontal="center"/>
    </xf>
    <xf numFmtId="0" fontId="208" fillId="0" borderId="54" xfId="0" applyFont="1" applyBorder="1" applyAlignment="1">
      <alignment horizontal="center"/>
    </xf>
    <xf numFmtId="0" fontId="27" fillId="0" borderId="54" xfId="0" applyFont="1" applyBorder="1" applyAlignment="1">
      <alignment horizontal="center"/>
    </xf>
    <xf numFmtId="0" fontId="27" fillId="0" borderId="94" xfId="0" applyFont="1" applyBorder="1" applyAlignment="1">
      <alignment horizontal="center"/>
    </xf>
    <xf numFmtId="0" fontId="208" fillId="10" borderId="1" xfId="0" applyFont="1" applyFill="1" applyBorder="1" applyAlignment="1">
      <alignment horizontal="center" vertical="center"/>
    </xf>
    <xf numFmtId="0" fontId="208" fillId="10" borderId="257" xfId="0" applyFont="1" applyFill="1" applyBorder="1" applyAlignment="1">
      <alignment horizontal="center" vertical="center"/>
    </xf>
    <xf numFmtId="0" fontId="208" fillId="10" borderId="98" xfId="0" applyFont="1" applyFill="1" applyBorder="1" applyAlignment="1">
      <alignment horizontal="center" vertical="center"/>
    </xf>
    <xf numFmtId="0" fontId="208" fillId="10" borderId="60" xfId="0" applyFont="1" applyFill="1" applyBorder="1" applyAlignment="1">
      <alignment horizontal="center" vertical="center"/>
    </xf>
    <xf numFmtId="0" fontId="208" fillId="15" borderId="258" xfId="0" applyFont="1" applyFill="1" applyBorder="1" applyAlignment="1">
      <alignment horizontal="center" vertical="center"/>
    </xf>
    <xf numFmtId="0" fontId="208" fillId="15" borderId="257" xfId="0" applyFont="1" applyFill="1" applyBorder="1" applyAlignment="1">
      <alignment horizontal="center" vertical="center"/>
    </xf>
    <xf numFmtId="0" fontId="208" fillId="15" borderId="259" xfId="0" applyFont="1" applyFill="1" applyBorder="1" applyAlignment="1">
      <alignment horizontal="center" vertical="center"/>
    </xf>
    <xf numFmtId="0" fontId="208" fillId="15" borderId="60" xfId="0" applyFont="1" applyFill="1" applyBorder="1" applyAlignment="1">
      <alignment horizontal="center" vertical="center"/>
    </xf>
    <xf numFmtId="0" fontId="208" fillId="14" borderId="38" xfId="0" applyFont="1" applyFill="1" applyBorder="1" applyAlignment="1">
      <alignment horizontal="center" vertical="center" shrinkToFit="1"/>
    </xf>
    <xf numFmtId="0" fontId="208" fillId="14" borderId="44" xfId="0" applyFont="1" applyFill="1" applyBorder="1" applyAlignment="1">
      <alignment horizontal="center" vertical="center" shrinkToFit="1"/>
    </xf>
    <xf numFmtId="0" fontId="208" fillId="14" borderId="39" xfId="0" applyFont="1" applyFill="1" applyBorder="1" applyAlignment="1">
      <alignment horizontal="center" vertical="center" shrinkToFit="1"/>
    </xf>
    <xf numFmtId="0" fontId="208" fillId="14" borderId="35" xfId="0" applyFont="1" applyFill="1" applyBorder="1" applyAlignment="1">
      <alignment horizontal="center" vertical="center" shrinkToFit="1"/>
    </xf>
    <xf numFmtId="0" fontId="19" fillId="0" borderId="155" xfId="0" applyFont="1" applyBorder="1" applyAlignment="1">
      <alignment horizontal="center" shrinkToFit="1"/>
    </xf>
    <xf numFmtId="0" fontId="87" fillId="0" borderId="153" xfId="0" applyFont="1" applyBorder="1" applyAlignment="1">
      <alignment horizontal="center" shrinkToFit="1"/>
    </xf>
    <xf numFmtId="0" fontId="87" fillId="0" borderId="156" xfId="0" applyFont="1" applyBorder="1" applyAlignment="1">
      <alignment horizontal="center" shrinkToFit="1"/>
    </xf>
    <xf numFmtId="180" fontId="87" fillId="0" borderId="156" xfId="0" applyNumberFormat="1" applyFont="1" applyBorder="1" applyAlignment="1">
      <alignment horizontal="center" shrinkToFit="1"/>
    </xf>
    <xf numFmtId="180" fontId="87" fillId="0" borderId="153" xfId="0" applyNumberFormat="1" applyFont="1" applyBorder="1" applyAlignment="1">
      <alignment horizontal="center" shrinkToFit="1"/>
    </xf>
    <xf numFmtId="180" fontId="87" fillId="0" borderId="62" xfId="0" applyNumberFormat="1" applyFont="1" applyBorder="1" applyAlignment="1">
      <alignment horizontal="center" shrinkToFit="1"/>
    </xf>
    <xf numFmtId="0" fontId="19" fillId="0" borderId="260" xfId="0" applyFont="1" applyBorder="1" applyAlignment="1">
      <alignment horizontal="center" shrinkToFit="1"/>
    </xf>
    <xf numFmtId="0" fontId="87" fillId="0" borderId="62" xfId="0" applyFont="1" applyBorder="1" applyAlignment="1">
      <alignment horizontal="center" shrinkToFit="1"/>
    </xf>
    <xf numFmtId="0" fontId="19" fillId="0" borderId="40" xfId="0" applyFont="1" applyBorder="1" applyAlignment="1">
      <alignment horizontal="center" shrinkToFit="1"/>
    </xf>
    <xf numFmtId="0" fontId="221" fillId="0" borderId="250" xfId="0" applyFont="1" applyFill="1" applyBorder="1" applyAlignment="1">
      <alignment vertical="center" wrapText="1"/>
    </xf>
    <xf numFmtId="0" fontId="221" fillId="0" borderId="126" xfId="0" applyFont="1" applyFill="1" applyBorder="1" applyAlignment="1">
      <alignment vertical="center" wrapText="1"/>
    </xf>
    <xf numFmtId="0" fontId="221" fillId="0" borderId="251" xfId="0" applyFont="1" applyFill="1" applyBorder="1" applyAlignment="1">
      <alignment vertical="center" wrapText="1"/>
    </xf>
    <xf numFmtId="0" fontId="221" fillId="0" borderId="252" xfId="0" applyFont="1" applyFill="1" applyBorder="1" applyAlignment="1">
      <alignment vertical="center" wrapText="1"/>
    </xf>
    <xf numFmtId="0" fontId="221" fillId="0" borderId="0" xfId="0" applyFont="1" applyFill="1" applyBorder="1" applyAlignment="1">
      <alignment vertical="center" wrapText="1"/>
    </xf>
    <xf numFmtId="0" fontId="221" fillId="0" borderId="253" xfId="0" applyFont="1" applyFill="1" applyBorder="1" applyAlignment="1">
      <alignment vertical="center" wrapText="1"/>
    </xf>
    <xf numFmtId="0" fontId="221" fillId="0" borderId="254" xfId="0" applyFont="1" applyFill="1" applyBorder="1" applyAlignment="1">
      <alignment vertical="center" wrapText="1"/>
    </xf>
    <xf numFmtId="0" fontId="221" fillId="0" borderId="255" xfId="0" applyFont="1" applyFill="1" applyBorder="1" applyAlignment="1">
      <alignment vertical="center" wrapText="1"/>
    </xf>
    <xf numFmtId="0" fontId="221" fillId="0" borderId="256" xfId="0" applyFont="1" applyFill="1" applyBorder="1" applyAlignment="1">
      <alignment vertical="center" wrapText="1"/>
    </xf>
    <xf numFmtId="0" fontId="208" fillId="0" borderId="0" xfId="0" applyFont="1" applyFill="1" applyAlignment="1">
      <alignment horizontal="center" vertical="center"/>
    </xf>
    <xf numFmtId="0" fontId="90" fillId="0" borderId="0" xfId="0" applyFont="1" applyBorder="1" applyAlignment="1">
      <alignment horizontal="left" vertical="center"/>
    </xf>
    <xf numFmtId="0" fontId="27" fillId="0" borderId="0" xfId="0" applyFont="1" applyBorder="1" applyAlignment="1">
      <alignment horizontal="center" vertical="center"/>
    </xf>
    <xf numFmtId="0" fontId="12" fillId="0" borderId="0" xfId="0" applyFont="1" applyBorder="1" applyAlignment="1">
      <alignment vertical="center"/>
    </xf>
    <xf numFmtId="0" fontId="12" fillId="0" borderId="0" xfId="0" applyFont="1" applyBorder="1" applyAlignment="1">
      <alignment horizontal="center" vertical="center"/>
    </xf>
    <xf numFmtId="49" fontId="12" fillId="0" borderId="0" xfId="0" applyNumberFormat="1" applyFont="1" applyBorder="1" applyAlignment="1">
      <alignment vertical="center"/>
    </xf>
    <xf numFmtId="0" fontId="12" fillId="0" borderId="0" xfId="0" applyFont="1" applyBorder="1" applyAlignment="1">
      <alignment horizontal="left" vertical="center"/>
    </xf>
    <xf numFmtId="0" fontId="27" fillId="0" borderId="93" xfId="0" applyFont="1" applyBorder="1" applyAlignment="1">
      <alignment horizontal="center" vertical="center"/>
    </xf>
    <xf numFmtId="0" fontId="27" fillId="0" borderId="54" xfId="0" applyFont="1" applyBorder="1" applyAlignment="1">
      <alignment horizontal="center" vertical="center"/>
    </xf>
    <xf numFmtId="0" fontId="27" fillId="0" borderId="94" xfId="0" applyFont="1" applyBorder="1" applyAlignment="1">
      <alignment horizontal="center" vertical="center"/>
    </xf>
    <xf numFmtId="49" fontId="0" fillId="0" borderId="0" xfId="0" applyNumberFormat="1" applyFont="1" applyAlignment="1" applyProtection="1">
      <alignment horizontal="center" vertical="center"/>
      <protection hidden="1"/>
    </xf>
    <xf numFmtId="49" fontId="219" fillId="0" borderId="0" xfId="0" applyNumberFormat="1" applyFont="1" applyAlignment="1" applyProtection="1">
      <alignment horizontal="center" vertical="center"/>
      <protection hidden="1"/>
    </xf>
    <xf numFmtId="49" fontId="0" fillId="0" borderId="189" xfId="0" applyNumberFormat="1" applyFont="1" applyBorder="1" applyAlignment="1" applyProtection="1">
      <alignment horizontal="center" vertical="center"/>
      <protection hidden="1"/>
    </xf>
    <xf numFmtId="49" fontId="0" fillId="0" borderId="205" xfId="0" applyNumberFormat="1" applyFont="1" applyBorder="1" applyAlignment="1" applyProtection="1">
      <alignment horizontal="center" vertical="center"/>
      <protection hidden="1"/>
    </xf>
    <xf numFmtId="49" fontId="0" fillId="0" borderId="210" xfId="0" applyNumberFormat="1" applyFont="1" applyBorder="1" applyAlignment="1" applyProtection="1">
      <alignment horizontal="center" vertical="center"/>
      <protection hidden="1"/>
    </xf>
    <xf numFmtId="49" fontId="0" fillId="0" borderId="248" xfId="0" applyNumberFormat="1" applyFont="1" applyBorder="1" applyAlignment="1" applyProtection="1">
      <alignment horizontal="center" vertical="center"/>
      <protection hidden="1"/>
    </xf>
    <xf numFmtId="0" fontId="0" fillId="0" borderId="248" xfId="0" applyFont="1" applyBorder="1" applyAlignment="1" applyProtection="1">
      <alignment horizontal="center" vertical="center"/>
      <protection hidden="1"/>
    </xf>
    <xf numFmtId="49" fontId="0" fillId="0" borderId="190" xfId="0" applyNumberFormat="1" applyFont="1" applyBorder="1" applyAlignment="1" applyProtection="1">
      <alignment horizontal="center" vertical="center"/>
      <protection hidden="1"/>
    </xf>
    <xf numFmtId="49" fontId="0" fillId="0" borderId="191" xfId="0" applyNumberFormat="1" applyFont="1" applyBorder="1" applyAlignment="1" applyProtection="1">
      <alignment horizontal="center" vertical="center"/>
      <protection hidden="1"/>
    </xf>
    <xf numFmtId="49" fontId="0" fillId="0" borderId="209" xfId="0" applyNumberFormat="1" applyFont="1" applyBorder="1" applyAlignment="1" applyProtection="1">
      <alignment horizontal="center" vertical="center"/>
      <protection hidden="1"/>
    </xf>
    <xf numFmtId="49" fontId="0" fillId="0" borderId="211" xfId="0" applyNumberFormat="1" applyFont="1" applyBorder="1" applyAlignment="1" applyProtection="1">
      <alignment horizontal="center" vertical="center"/>
      <protection hidden="1"/>
    </xf>
    <xf numFmtId="49" fontId="0" fillId="0" borderId="197" xfId="0" applyNumberFormat="1" applyFont="1" applyBorder="1" applyAlignment="1" applyProtection="1">
      <alignment horizontal="center" vertical="center"/>
      <protection hidden="1"/>
    </xf>
    <xf numFmtId="0" fontId="0" fillId="0" borderId="197" xfId="0" applyFont="1" applyBorder="1" applyAlignment="1" applyProtection="1">
      <alignment horizontal="center" vertical="center"/>
      <protection hidden="1"/>
    </xf>
    <xf numFmtId="0" fontId="0" fillId="0" borderId="243" xfId="0" applyFont="1" applyBorder="1" applyAlignment="1" applyProtection="1">
      <alignment horizontal="center" vertical="center"/>
      <protection hidden="1"/>
    </xf>
    <xf numFmtId="49" fontId="0" fillId="0" borderId="192" xfId="0" applyNumberFormat="1" applyFont="1" applyBorder="1" applyAlignment="1" applyProtection="1">
      <alignment horizontal="center" vertical="center"/>
      <protection hidden="1"/>
    </xf>
    <xf numFmtId="0" fontId="0" fillId="0" borderId="243" xfId="0" applyFont="1" applyBorder="1" applyAlignment="1" applyProtection="1">
      <protection hidden="1"/>
    </xf>
    <xf numFmtId="49" fontId="219" fillId="0" borderId="53" xfId="0" applyNumberFormat="1" applyFont="1" applyBorder="1" applyAlignment="1" applyProtection="1">
      <alignment horizontal="center" vertical="center"/>
      <protection hidden="1"/>
    </xf>
    <xf numFmtId="49" fontId="0" fillId="0" borderId="232" xfId="0" applyNumberFormat="1" applyFont="1" applyBorder="1" applyAlignment="1" applyProtection="1">
      <alignment horizontal="center" vertical="center"/>
      <protection hidden="1"/>
    </xf>
    <xf numFmtId="49" fontId="0" fillId="0" borderId="243" xfId="0" applyNumberFormat="1" applyFont="1" applyBorder="1" applyAlignment="1" applyProtection="1">
      <alignment horizontal="center" vertical="center"/>
      <protection hidden="1"/>
    </xf>
    <xf numFmtId="49" fontId="0" fillId="0" borderId="234" xfId="0" applyNumberFormat="1" applyFont="1" applyBorder="1" applyAlignment="1" applyProtection="1">
      <alignment horizontal="center" vertical="center"/>
      <protection hidden="1"/>
    </xf>
    <xf numFmtId="49" fontId="0" fillId="0" borderId="222" xfId="0" applyNumberFormat="1" applyFont="1" applyBorder="1" applyAlignment="1" applyProtection="1">
      <alignment horizontal="center" vertical="center"/>
      <protection hidden="1"/>
    </xf>
    <xf numFmtId="49" fontId="0" fillId="0" borderId="223" xfId="0" applyNumberFormat="1" applyFont="1" applyBorder="1" applyAlignment="1" applyProtection="1">
      <alignment horizontal="center" vertical="center"/>
      <protection hidden="1"/>
    </xf>
    <xf numFmtId="0" fontId="0" fillId="0" borderId="223" xfId="0" applyFont="1" applyBorder="1" applyAlignment="1" applyProtection="1">
      <alignment horizontal="center" vertical="center"/>
      <protection hidden="1"/>
    </xf>
    <xf numFmtId="0" fontId="0" fillId="0" borderId="224" xfId="0" applyFont="1" applyBorder="1" applyAlignment="1" applyProtection="1">
      <alignment horizontal="center" vertical="center"/>
      <protection hidden="1"/>
    </xf>
    <xf numFmtId="49" fontId="0" fillId="0" borderId="0" xfId="0" applyNumberFormat="1" applyFont="1" applyBorder="1" applyAlignment="1" applyProtection="1">
      <alignment horizontal="center" vertical="center"/>
      <protection hidden="1"/>
    </xf>
    <xf numFmtId="0" fontId="0" fillId="0" borderId="0" xfId="0" applyFont="1" applyAlignment="1" applyProtection="1">
      <alignment horizontal="center" vertical="center"/>
      <protection hidden="1"/>
    </xf>
    <xf numFmtId="49" fontId="0" fillId="0" borderId="203" xfId="0" applyNumberFormat="1" applyFont="1" applyBorder="1" applyAlignment="1" applyProtection="1">
      <alignment horizontal="center" vertical="center"/>
      <protection hidden="1"/>
    </xf>
    <xf numFmtId="0" fontId="0" fillId="0" borderId="194" xfId="0" applyFont="1" applyBorder="1" applyAlignment="1" applyProtection="1">
      <alignment horizontal="center" vertical="center"/>
      <protection hidden="1"/>
    </xf>
    <xf numFmtId="49" fontId="0" fillId="0" borderId="194" xfId="0" applyNumberFormat="1" applyFont="1" applyBorder="1" applyAlignment="1" applyProtection="1">
      <alignment horizontal="center" vertical="center"/>
      <protection hidden="1"/>
    </xf>
    <xf numFmtId="0" fontId="0" fillId="0" borderId="215" xfId="0" applyFont="1" applyBorder="1" applyAlignment="1" applyProtection="1">
      <alignment horizontal="center" vertical="center"/>
      <protection hidden="1"/>
    </xf>
    <xf numFmtId="49" fontId="0" fillId="0" borderId="195" xfId="0" applyNumberFormat="1" applyFont="1" applyBorder="1" applyAlignment="1" applyProtection="1">
      <alignment horizontal="center" vertical="center"/>
      <protection hidden="1"/>
    </xf>
    <xf numFmtId="0" fontId="0" fillId="0" borderId="198" xfId="0" applyFont="1" applyBorder="1" applyAlignment="1" applyProtection="1">
      <alignment horizontal="center" vertical="center"/>
      <protection hidden="1"/>
    </xf>
    <xf numFmtId="49" fontId="0" fillId="0" borderId="198" xfId="0" applyNumberFormat="1" applyFont="1" applyBorder="1" applyAlignment="1" applyProtection="1">
      <alignment horizontal="center" vertical="center"/>
      <protection hidden="1"/>
    </xf>
    <xf numFmtId="0" fontId="0" fillId="0" borderId="196" xfId="0" applyFont="1" applyBorder="1" applyAlignment="1" applyProtection="1">
      <alignment horizontal="center" vertical="center"/>
      <protection hidden="1"/>
    </xf>
    <xf numFmtId="49" fontId="0" fillId="0" borderId="199" xfId="0" applyNumberFormat="1" applyFont="1" applyBorder="1" applyAlignment="1" applyProtection="1">
      <alignment horizontal="center" vertical="center"/>
      <protection hidden="1"/>
    </xf>
    <xf numFmtId="0" fontId="0" fillId="0" borderId="202" xfId="0" applyFont="1" applyBorder="1" applyAlignment="1" applyProtection="1">
      <alignment horizontal="center" vertical="center"/>
      <protection hidden="1"/>
    </xf>
    <xf numFmtId="49" fontId="0" fillId="0" borderId="202" xfId="0" applyNumberFormat="1" applyFont="1" applyBorder="1" applyAlignment="1" applyProtection="1">
      <alignment horizontal="center" vertical="center"/>
      <protection hidden="1"/>
    </xf>
    <xf numFmtId="0" fontId="0" fillId="0" borderId="200" xfId="0" applyFont="1" applyBorder="1" applyAlignment="1" applyProtection="1">
      <alignment horizontal="center" vertical="center"/>
      <protection hidden="1"/>
    </xf>
    <xf numFmtId="49" fontId="0" fillId="0" borderId="53" xfId="0" applyNumberFormat="1" applyFont="1" applyBorder="1" applyAlignment="1" applyProtection="1">
      <alignment horizontal="center" vertical="center"/>
      <protection hidden="1"/>
    </xf>
    <xf numFmtId="0" fontId="0" fillId="0" borderId="53" xfId="0" applyFont="1" applyBorder="1" applyAlignment="1" applyProtection="1">
      <alignment horizontal="center" vertical="center"/>
      <protection hidden="1"/>
    </xf>
    <xf numFmtId="0" fontId="0" fillId="0" borderId="234" xfId="0" applyFont="1" applyBorder="1" applyAlignment="1" applyProtection="1">
      <alignment horizontal="center" vertical="center"/>
      <protection hidden="1"/>
    </xf>
    <xf numFmtId="0" fontId="0" fillId="0" borderId="232" xfId="0" applyFont="1" applyBorder="1" applyAlignment="1" applyProtection="1">
      <alignment horizontal="center" vertical="center"/>
      <protection hidden="1"/>
    </xf>
    <xf numFmtId="49" fontId="0" fillId="0" borderId="212" xfId="0" applyNumberFormat="1" applyFont="1" applyBorder="1" applyAlignment="1" applyProtection="1">
      <alignment horizontal="center" vertical="center"/>
      <protection hidden="1"/>
    </xf>
    <xf numFmtId="0" fontId="0" fillId="0" borderId="247" xfId="0" applyFont="1" applyBorder="1" applyAlignment="1" applyProtection="1">
      <alignment horizontal="center" vertical="center"/>
      <protection hidden="1"/>
    </xf>
    <xf numFmtId="0" fontId="0" fillId="0" borderId="249" xfId="0" applyFont="1" applyBorder="1" applyAlignment="1" applyProtection="1">
      <alignment horizontal="center" vertical="center"/>
      <protection hidden="1"/>
    </xf>
    <xf numFmtId="49" fontId="17" fillId="0" borderId="53" xfId="0" applyNumberFormat="1" applyFont="1" applyBorder="1" applyAlignment="1" applyProtection="1">
      <alignment horizontal="center" vertical="center"/>
      <protection hidden="1"/>
    </xf>
    <xf numFmtId="49" fontId="0" fillId="0" borderId="93" xfId="0" applyNumberFormat="1" applyFont="1" applyBorder="1" applyAlignment="1" applyProtection="1">
      <alignment horizontal="center" vertical="center"/>
      <protection hidden="1"/>
    </xf>
    <xf numFmtId="49" fontId="0" fillId="0" borderId="54" xfId="0" applyNumberFormat="1" applyFont="1" applyBorder="1" applyAlignment="1" applyProtection="1">
      <alignment horizontal="center" vertical="center"/>
      <protection hidden="1"/>
    </xf>
    <xf numFmtId="0" fontId="0" fillId="0" borderId="54" xfId="0" applyFont="1" applyBorder="1" applyAlignment="1" applyProtection="1">
      <alignment horizontal="center" vertical="center"/>
      <protection hidden="1"/>
    </xf>
    <xf numFmtId="49" fontId="17" fillId="0" borderId="220" xfId="0" applyNumberFormat="1" applyFont="1" applyBorder="1" applyAlignment="1" applyProtection="1">
      <alignment horizontal="center" vertical="center"/>
      <protection hidden="1"/>
    </xf>
    <xf numFmtId="49" fontId="17" fillId="0" borderId="221" xfId="0" applyNumberFormat="1" applyFont="1" applyBorder="1" applyAlignment="1" applyProtection="1">
      <alignment horizontal="center" vertical="center"/>
      <protection hidden="1"/>
    </xf>
    <xf numFmtId="49" fontId="17" fillId="0" borderId="205" xfId="0" applyNumberFormat="1" applyFont="1" applyBorder="1" applyAlignment="1" applyProtection="1">
      <alignment horizontal="center" vertical="center"/>
      <protection hidden="1"/>
    </xf>
    <xf numFmtId="0" fontId="0" fillId="0" borderId="190" xfId="0" applyFont="1" applyBorder="1" applyAlignment="1" applyProtection="1">
      <protection hidden="1"/>
    </xf>
    <xf numFmtId="49" fontId="17" fillId="0" borderId="189" xfId="0" applyNumberFormat="1" applyFont="1" applyBorder="1" applyAlignment="1" applyProtection="1">
      <alignment horizontal="center" vertical="center"/>
      <protection hidden="1"/>
    </xf>
    <xf numFmtId="0" fontId="0" fillId="0" borderId="205" xfId="0" applyFont="1" applyBorder="1" applyAlignment="1" applyProtection="1">
      <alignment horizontal="center" vertical="center"/>
      <protection hidden="1"/>
    </xf>
    <xf numFmtId="49" fontId="17" fillId="0" borderId="207" xfId="0" applyNumberFormat="1" applyFont="1" applyBorder="1" applyAlignment="1" applyProtection="1">
      <alignment horizontal="center" vertical="center"/>
      <protection hidden="1"/>
    </xf>
    <xf numFmtId="0" fontId="0" fillId="0" borderId="204" xfId="0" applyFont="1" applyBorder="1" applyAlignment="1" applyProtection="1">
      <alignment horizontal="center" vertical="center"/>
      <protection hidden="1"/>
    </xf>
    <xf numFmtId="0" fontId="0" fillId="0" borderId="94" xfId="0" applyFont="1" applyBorder="1" applyAlignment="1" applyProtection="1">
      <alignment horizontal="center" vertical="center"/>
      <protection hidden="1"/>
    </xf>
    <xf numFmtId="0" fontId="0" fillId="0" borderId="217" xfId="0" applyFont="1" applyBorder="1" applyAlignment="1" applyProtection="1">
      <alignment horizontal="center"/>
      <protection hidden="1"/>
    </xf>
    <xf numFmtId="0" fontId="0" fillId="0" borderId="213" xfId="0" applyFont="1" applyBorder="1" applyAlignment="1" applyProtection="1">
      <alignment horizontal="center"/>
      <protection hidden="1"/>
    </xf>
    <xf numFmtId="49" fontId="217" fillId="0" borderId="217" xfId="0" applyNumberFormat="1" applyFont="1" applyBorder="1" applyAlignment="1" applyProtection="1">
      <alignment horizontal="center" vertical="center"/>
      <protection hidden="1"/>
    </xf>
    <xf numFmtId="49" fontId="17" fillId="0" borderId="190" xfId="0" applyNumberFormat="1" applyFont="1" applyBorder="1" applyAlignment="1" applyProtection="1">
      <alignment horizontal="center" vertical="center"/>
      <protection hidden="1"/>
    </xf>
    <xf numFmtId="49" fontId="17" fillId="0" borderId="198" xfId="0" applyNumberFormat="1" applyFont="1" applyBorder="1" applyAlignment="1" applyProtection="1">
      <alignment horizontal="center" vertical="center"/>
      <protection hidden="1"/>
    </xf>
    <xf numFmtId="49" fontId="17" fillId="0" borderId="202" xfId="0" applyNumberFormat="1" applyFont="1" applyBorder="1" applyAlignment="1" applyProtection="1">
      <alignment horizontal="center" vertical="center"/>
      <protection hidden="1"/>
    </xf>
    <xf numFmtId="49" fontId="17" fillId="0" borderId="194" xfId="0" applyNumberFormat="1" applyFont="1" applyBorder="1" applyAlignment="1" applyProtection="1">
      <alignment horizontal="center" vertical="center"/>
      <protection hidden="1"/>
    </xf>
    <xf numFmtId="49" fontId="0" fillId="0" borderId="225" xfId="0" applyNumberFormat="1" applyFont="1" applyBorder="1" applyAlignment="1" applyProtection="1">
      <alignment horizontal="center" vertical="center"/>
      <protection hidden="1"/>
    </xf>
    <xf numFmtId="49" fontId="0" fillId="0" borderId="226" xfId="0" applyNumberFormat="1" applyFont="1" applyBorder="1" applyAlignment="1" applyProtection="1">
      <alignment horizontal="center" vertical="center"/>
      <protection hidden="1"/>
    </xf>
    <xf numFmtId="49" fontId="17" fillId="0" borderId="191" xfId="0" applyNumberFormat="1" applyFont="1" applyBorder="1" applyAlignment="1" applyProtection="1">
      <alignment horizontal="center" vertical="center"/>
      <protection hidden="1"/>
    </xf>
    <xf numFmtId="49" fontId="17" fillId="0" borderId="192" xfId="0" applyNumberFormat="1" applyFont="1" applyBorder="1" applyAlignment="1" applyProtection="1">
      <alignment horizontal="center" vertical="center"/>
      <protection hidden="1"/>
    </xf>
    <xf numFmtId="49" fontId="17" fillId="0" borderId="193" xfId="0" applyNumberFormat="1" applyFont="1" applyBorder="1" applyAlignment="1" applyProtection="1">
      <alignment horizontal="center" vertical="center"/>
      <protection hidden="1"/>
    </xf>
    <xf numFmtId="49" fontId="0" fillId="0" borderId="215" xfId="0" applyNumberFormat="1" applyFont="1" applyBorder="1" applyAlignment="1" applyProtection="1">
      <alignment horizontal="center" vertical="center"/>
      <protection hidden="1"/>
    </xf>
    <xf numFmtId="49" fontId="17" fillId="0" borderId="203" xfId="0" applyNumberFormat="1" applyFont="1" applyBorder="1" applyAlignment="1" applyProtection="1">
      <alignment horizontal="center" vertical="center"/>
      <protection hidden="1"/>
    </xf>
    <xf numFmtId="49" fontId="17" fillId="0" borderId="231" xfId="0" applyNumberFormat="1" applyFont="1" applyBorder="1" applyAlignment="1" applyProtection="1">
      <alignment horizontal="center" vertical="center"/>
      <protection hidden="1"/>
    </xf>
    <xf numFmtId="49" fontId="0" fillId="0" borderId="94" xfId="0" applyNumberFormat="1" applyFont="1" applyBorder="1" applyAlignment="1" applyProtection="1">
      <alignment horizontal="center" vertical="center"/>
      <protection hidden="1"/>
    </xf>
    <xf numFmtId="49" fontId="17" fillId="0" borderId="195" xfId="0" applyNumberFormat="1" applyFont="1" applyBorder="1" applyAlignment="1" applyProtection="1">
      <alignment horizontal="center" vertical="center"/>
      <protection hidden="1"/>
    </xf>
    <xf numFmtId="49" fontId="17" fillId="0" borderId="196" xfId="0" applyNumberFormat="1" applyFont="1" applyBorder="1" applyAlignment="1" applyProtection="1">
      <alignment horizontal="center" vertical="center"/>
      <protection hidden="1"/>
    </xf>
    <xf numFmtId="49" fontId="17" fillId="0" borderId="197" xfId="0" applyNumberFormat="1" applyFont="1" applyBorder="1" applyAlignment="1" applyProtection="1">
      <alignment horizontal="center" vertical="center"/>
      <protection hidden="1"/>
    </xf>
    <xf numFmtId="49" fontId="0" fillId="0" borderId="196" xfId="0" applyNumberFormat="1" applyFont="1" applyBorder="1" applyAlignment="1" applyProtection="1">
      <alignment horizontal="center" vertical="center"/>
      <protection hidden="1"/>
    </xf>
    <xf numFmtId="49" fontId="17" fillId="0" borderId="233" xfId="0" applyNumberFormat="1" applyFont="1" applyBorder="1" applyAlignment="1" applyProtection="1">
      <alignment horizontal="center" vertical="center"/>
      <protection hidden="1"/>
    </xf>
    <xf numFmtId="49" fontId="17" fillId="0" borderId="243" xfId="0" applyNumberFormat="1" applyFont="1" applyBorder="1" applyAlignment="1" applyProtection="1">
      <alignment horizontal="center" vertical="center"/>
      <protection hidden="1"/>
    </xf>
    <xf numFmtId="49" fontId="17" fillId="0" borderId="234" xfId="0" applyNumberFormat="1" applyFont="1" applyBorder="1" applyAlignment="1" applyProtection="1">
      <alignment horizontal="center" vertical="center"/>
      <protection hidden="1"/>
    </xf>
    <xf numFmtId="49" fontId="0" fillId="0" borderId="200" xfId="0" applyNumberFormat="1" applyFont="1" applyBorder="1" applyAlignment="1" applyProtection="1">
      <alignment horizontal="center" vertical="center"/>
      <protection hidden="1"/>
    </xf>
    <xf numFmtId="49" fontId="17" fillId="0" borderId="201" xfId="0" applyNumberFormat="1" applyFont="1" applyBorder="1" applyAlignment="1" applyProtection="1">
      <alignment horizontal="center" vertical="center"/>
      <protection hidden="1"/>
    </xf>
    <xf numFmtId="49" fontId="17" fillId="0" borderId="199" xfId="0" applyNumberFormat="1" applyFont="1" applyBorder="1" applyAlignment="1" applyProtection="1">
      <alignment horizontal="center" vertical="center"/>
      <protection hidden="1"/>
    </xf>
    <xf numFmtId="49" fontId="17" fillId="0" borderId="200" xfId="0" applyNumberFormat="1" applyFont="1" applyBorder="1" applyAlignment="1" applyProtection="1">
      <alignment horizontal="center" vertical="center"/>
      <protection hidden="1"/>
    </xf>
    <xf numFmtId="49" fontId="0" fillId="0" borderId="61" xfId="0" applyNumberFormat="1" applyFont="1" applyBorder="1" applyAlignment="1" applyProtection="1">
      <alignment vertical="center"/>
      <protection hidden="1"/>
    </xf>
    <xf numFmtId="0" fontId="0" fillId="0" borderId="195" xfId="0" applyFont="1" applyBorder="1" applyAlignment="1" applyProtection="1">
      <alignment horizontal="center" vertical="center"/>
      <protection hidden="1"/>
    </xf>
    <xf numFmtId="49" fontId="17" fillId="0" borderId="209" xfId="0" applyNumberFormat="1" applyFont="1" applyBorder="1" applyAlignment="1" applyProtection="1">
      <alignment horizontal="center" vertical="center"/>
      <protection hidden="1"/>
    </xf>
    <xf numFmtId="49" fontId="17" fillId="0" borderId="222" xfId="0" applyNumberFormat="1" applyFont="1" applyBorder="1" applyAlignment="1" applyProtection="1">
      <alignment horizontal="center" vertical="center"/>
      <protection hidden="1"/>
    </xf>
    <xf numFmtId="49" fontId="17" fillId="0" borderId="223" xfId="0" applyNumberFormat="1" applyFont="1" applyBorder="1" applyAlignment="1" applyProtection="1">
      <alignment horizontal="center" vertical="center"/>
      <protection hidden="1"/>
    </xf>
    <xf numFmtId="49" fontId="17" fillId="0" borderId="198" xfId="0" applyNumberFormat="1" applyFont="1" applyBorder="1" applyAlignment="1" applyProtection="1">
      <alignment horizontal="center" vertical="center" wrapText="1"/>
      <protection hidden="1"/>
    </xf>
    <xf numFmtId="0" fontId="0" fillId="0" borderId="199" xfId="0" applyFont="1" applyBorder="1" applyAlignment="1" applyProtection="1">
      <alignment horizontal="center" vertical="center"/>
      <protection hidden="1"/>
    </xf>
    <xf numFmtId="49" fontId="17" fillId="0" borderId="215" xfId="0" applyNumberFormat="1" applyFont="1" applyBorder="1" applyAlignment="1" applyProtection="1">
      <alignment horizontal="center" vertical="center"/>
      <protection hidden="1"/>
    </xf>
    <xf numFmtId="49" fontId="17" fillId="0" borderId="238" xfId="0" applyNumberFormat="1" applyFont="1" applyBorder="1" applyAlignment="1" applyProtection="1">
      <alignment horizontal="center" vertical="center"/>
      <protection hidden="1"/>
    </xf>
    <xf numFmtId="49" fontId="17" fillId="0" borderId="230" xfId="0" applyNumberFormat="1" applyFont="1" applyBorder="1" applyAlignment="1" applyProtection="1">
      <alignment horizontal="center" vertical="center"/>
      <protection hidden="1"/>
    </xf>
    <xf numFmtId="49" fontId="17" fillId="0" borderId="246" xfId="0" applyNumberFormat="1" applyFont="1" applyBorder="1" applyAlignment="1" applyProtection="1">
      <alignment horizontal="center" vertical="center"/>
      <protection hidden="1"/>
    </xf>
    <xf numFmtId="49" fontId="17" fillId="0" borderId="63" xfId="0" applyNumberFormat="1" applyFont="1" applyBorder="1" applyAlignment="1" applyProtection="1">
      <alignment horizontal="center" vertical="center"/>
      <protection hidden="1"/>
    </xf>
    <xf numFmtId="49" fontId="17" fillId="0" borderId="36" xfId="0" applyNumberFormat="1" applyFont="1" applyBorder="1" applyAlignment="1" applyProtection="1">
      <alignment horizontal="center" vertical="center"/>
      <protection hidden="1"/>
    </xf>
    <xf numFmtId="49" fontId="0" fillId="0" borderId="246" xfId="0" applyNumberFormat="1" applyFont="1" applyBorder="1" applyAlignment="1" applyProtection="1">
      <alignment horizontal="center" vertical="center"/>
      <protection hidden="1"/>
    </xf>
    <xf numFmtId="49" fontId="0" fillId="0" borderId="63" xfId="0" applyNumberFormat="1" applyFont="1" applyBorder="1" applyAlignment="1" applyProtection="1">
      <alignment horizontal="center" vertical="center"/>
      <protection hidden="1"/>
    </xf>
    <xf numFmtId="49" fontId="0" fillId="0" borderId="36" xfId="0" applyNumberFormat="1" applyFont="1" applyBorder="1" applyAlignment="1" applyProtection="1">
      <alignment horizontal="center" vertical="center"/>
      <protection hidden="1"/>
    </xf>
    <xf numFmtId="49" fontId="0" fillId="0" borderId="230" xfId="0" applyNumberFormat="1" applyFont="1" applyBorder="1" applyAlignment="1" applyProtection="1">
      <alignment horizontal="center" vertical="center"/>
      <protection hidden="1"/>
    </xf>
    <xf numFmtId="49" fontId="0" fillId="0" borderId="238" xfId="0" applyNumberFormat="1" applyFont="1" applyBorder="1" applyAlignment="1" applyProtection="1">
      <alignment horizontal="center" vertical="center"/>
      <protection hidden="1"/>
    </xf>
    <xf numFmtId="49" fontId="17" fillId="0" borderId="235" xfId="0" applyNumberFormat="1" applyFont="1" applyBorder="1" applyAlignment="1" applyProtection="1">
      <alignment horizontal="center" vertical="center"/>
      <protection hidden="1"/>
    </xf>
    <xf numFmtId="49" fontId="17" fillId="0" borderId="241" xfId="0" applyNumberFormat="1" applyFont="1" applyBorder="1" applyAlignment="1" applyProtection="1">
      <alignment horizontal="center" vertical="center"/>
      <protection hidden="1"/>
    </xf>
    <xf numFmtId="49" fontId="17" fillId="0" borderId="239" xfId="0" applyNumberFormat="1" applyFont="1" applyBorder="1" applyAlignment="1" applyProtection="1">
      <alignment horizontal="center" vertical="center"/>
      <protection hidden="1"/>
    </xf>
    <xf numFmtId="49" fontId="17" fillId="0" borderId="214" xfId="0" applyNumberFormat="1" applyFont="1" applyBorder="1" applyAlignment="1" applyProtection="1">
      <alignment horizontal="center" vertical="center"/>
      <protection hidden="1"/>
    </xf>
    <xf numFmtId="49" fontId="17" fillId="0" borderId="235" xfId="0" applyNumberFormat="1" applyFont="1" applyBorder="1" applyAlignment="1" applyProtection="1">
      <alignment horizontal="center" vertical="center" wrapText="1"/>
      <protection hidden="1"/>
    </xf>
    <xf numFmtId="0" fontId="0" fillId="0" borderId="236" xfId="0" applyFont="1" applyBorder="1" applyAlignment="1" applyProtection="1">
      <alignment horizontal="center" vertical="center" wrapText="1"/>
      <protection hidden="1"/>
    </xf>
    <xf numFmtId="0" fontId="0" fillId="0" borderId="57" xfId="0" applyFont="1" applyBorder="1" applyAlignment="1" applyProtection="1">
      <alignment horizontal="center" vertical="center" wrapText="1"/>
      <protection hidden="1"/>
    </xf>
    <xf numFmtId="0" fontId="0" fillId="0" borderId="58" xfId="0" applyFont="1" applyBorder="1" applyAlignment="1" applyProtection="1">
      <alignment horizontal="center" vertical="center" wrapText="1"/>
      <protection hidden="1"/>
    </xf>
    <xf numFmtId="0" fontId="0" fillId="0" borderId="59" xfId="0" applyFont="1" applyBorder="1" applyAlignment="1" applyProtection="1">
      <alignment horizontal="center" vertical="center" wrapText="1"/>
      <protection hidden="1"/>
    </xf>
    <xf numFmtId="0" fontId="0" fillId="0" borderId="60" xfId="0" applyFont="1" applyBorder="1" applyAlignment="1" applyProtection="1">
      <alignment horizontal="center" vertical="center" wrapText="1"/>
      <protection hidden="1"/>
    </xf>
    <xf numFmtId="49" fontId="17" fillId="0" borderId="236" xfId="0" applyNumberFormat="1" applyFont="1" applyBorder="1" applyAlignment="1" applyProtection="1">
      <alignment horizontal="center" vertical="center" wrapText="1"/>
      <protection hidden="1"/>
    </xf>
    <xf numFmtId="49" fontId="17" fillId="0" borderId="57" xfId="0" applyNumberFormat="1" applyFont="1" applyBorder="1" applyAlignment="1" applyProtection="1">
      <alignment horizontal="center" vertical="center" wrapText="1"/>
      <protection hidden="1"/>
    </xf>
    <xf numFmtId="49" fontId="17" fillId="0" borderId="58" xfId="0" applyNumberFormat="1" applyFont="1" applyBorder="1" applyAlignment="1" applyProtection="1">
      <alignment horizontal="center" vertical="center" wrapText="1"/>
      <protection hidden="1"/>
    </xf>
    <xf numFmtId="49" fontId="17" fillId="0" borderId="59" xfId="0" applyNumberFormat="1" applyFont="1" applyBorder="1" applyAlignment="1" applyProtection="1">
      <alignment horizontal="center" vertical="center" wrapText="1"/>
      <protection hidden="1"/>
    </xf>
    <xf numFmtId="49" fontId="17" fillId="0" borderId="60" xfId="0" applyNumberFormat="1" applyFont="1" applyBorder="1" applyAlignment="1" applyProtection="1">
      <alignment horizontal="center" vertical="center" wrapText="1"/>
      <protection hidden="1"/>
    </xf>
    <xf numFmtId="0" fontId="0" fillId="0" borderId="58" xfId="0" applyFont="1" applyBorder="1" applyAlignment="1" applyProtection="1">
      <alignment horizontal="center" vertical="center"/>
      <protection hidden="1"/>
    </xf>
    <xf numFmtId="0" fontId="0" fillId="0" borderId="60" xfId="0" applyFont="1" applyBorder="1" applyAlignment="1" applyProtection="1">
      <alignment horizontal="center" vertical="center"/>
      <protection hidden="1"/>
    </xf>
    <xf numFmtId="49" fontId="0" fillId="0" borderId="227" xfId="0" applyNumberFormat="1" applyFont="1" applyBorder="1" applyAlignment="1" applyProtection="1">
      <alignment horizontal="center" vertical="center" wrapText="1"/>
      <protection hidden="1"/>
    </xf>
    <xf numFmtId="0" fontId="0" fillId="0" borderId="228" xfId="0" applyFont="1" applyBorder="1" applyAlignment="1" applyProtection="1">
      <alignment horizontal="center" vertical="center" wrapText="1"/>
      <protection hidden="1"/>
    </xf>
    <xf numFmtId="0" fontId="0" fillId="0" borderId="227" xfId="0" applyFont="1" applyBorder="1" applyAlignment="1" applyProtection="1">
      <alignment horizontal="center" vertical="center" wrapText="1"/>
      <protection hidden="1"/>
    </xf>
    <xf numFmtId="0" fontId="0" fillId="0" borderId="219" xfId="0" applyFont="1" applyBorder="1" applyAlignment="1" applyProtection="1">
      <alignment horizontal="center" vertical="center" wrapText="1"/>
      <protection hidden="1"/>
    </xf>
    <xf numFmtId="0" fontId="0" fillId="0" borderId="229" xfId="0" applyFont="1" applyBorder="1" applyAlignment="1" applyProtection="1">
      <alignment horizontal="center" vertical="center" wrapText="1"/>
      <protection hidden="1"/>
    </xf>
    <xf numFmtId="49" fontId="0" fillId="0" borderId="194" xfId="0" applyNumberFormat="1" applyFont="1" applyBorder="1" applyAlignment="1" applyProtection="1">
      <alignment horizontal="center" vertical="center" wrapText="1"/>
      <protection hidden="1"/>
    </xf>
    <xf numFmtId="49" fontId="0" fillId="0" borderId="198" xfId="0" applyNumberFormat="1" applyFont="1" applyBorder="1" applyAlignment="1" applyProtection="1">
      <alignment horizontal="center" vertical="center" wrapText="1"/>
      <protection hidden="1"/>
    </xf>
    <xf numFmtId="0" fontId="0" fillId="0" borderId="198" xfId="0" applyFont="1" applyBorder="1" applyAlignment="1" applyProtection="1">
      <alignment horizontal="center" vertical="center" wrapText="1"/>
      <protection hidden="1"/>
    </xf>
    <xf numFmtId="0" fontId="0" fillId="0" borderId="202" xfId="0" applyFont="1" applyBorder="1" applyAlignment="1" applyProtection="1">
      <alignment horizontal="center" vertical="center" wrapText="1"/>
      <protection hidden="1"/>
    </xf>
    <xf numFmtId="0" fontId="17" fillId="0" borderId="53" xfId="0" applyFont="1" applyBorder="1" applyAlignment="1" applyProtection="1">
      <alignment horizontal="center" vertical="center"/>
      <protection hidden="1"/>
    </xf>
    <xf numFmtId="0" fontId="0" fillId="0" borderId="189" xfId="0" applyFont="1" applyBorder="1" applyAlignment="1" applyProtection="1">
      <alignment horizontal="center" vertical="center"/>
      <protection hidden="1"/>
    </xf>
    <xf numFmtId="0" fontId="0" fillId="0" borderId="190" xfId="0" applyFont="1" applyBorder="1" applyAlignment="1" applyProtection="1">
      <alignment horizontal="center" vertical="center"/>
      <protection hidden="1"/>
    </xf>
    <xf numFmtId="0" fontId="17" fillId="0" borderId="191" xfId="0" applyFont="1" applyBorder="1" applyAlignment="1" applyProtection="1">
      <alignment horizontal="center" vertical="center"/>
      <protection hidden="1"/>
    </xf>
    <xf numFmtId="0" fontId="17" fillId="0" borderId="192" xfId="0" applyFont="1" applyBorder="1" applyAlignment="1" applyProtection="1">
      <alignment horizontal="center" vertical="center"/>
      <protection hidden="1"/>
    </xf>
    <xf numFmtId="0" fontId="17" fillId="0" borderId="197" xfId="0" applyFont="1" applyBorder="1" applyAlignment="1" applyProtection="1">
      <alignment horizontal="center" vertical="center"/>
      <protection hidden="1"/>
    </xf>
    <xf numFmtId="0" fontId="0" fillId="0" borderId="211" xfId="0" applyFont="1" applyBorder="1" applyAlignment="1" applyProtection="1">
      <alignment horizontal="center" vertical="center"/>
      <protection hidden="1"/>
    </xf>
    <xf numFmtId="0" fontId="17" fillId="0" borderId="195" xfId="0" applyFont="1" applyBorder="1" applyAlignment="1" applyProtection="1">
      <alignment horizontal="center" vertical="center"/>
      <protection hidden="1"/>
    </xf>
    <xf numFmtId="0" fontId="0" fillId="0" borderId="61" xfId="0" applyFont="1" applyBorder="1" applyAlignment="1" applyProtection="1">
      <alignment vertical="center"/>
      <protection hidden="1"/>
    </xf>
    <xf numFmtId="0" fontId="22" fillId="0" borderId="53" xfId="0" applyFont="1" applyBorder="1" applyAlignment="1" applyProtection="1">
      <alignment horizontal="center" vertical="center"/>
      <protection hidden="1"/>
    </xf>
    <xf numFmtId="0" fontId="22" fillId="0" borderId="194" xfId="0" applyFont="1" applyBorder="1" applyAlignment="1" applyProtection="1">
      <alignment horizontal="center" vertical="center"/>
      <protection hidden="1"/>
    </xf>
    <xf numFmtId="0" fontId="22" fillId="0" borderId="203" xfId="0" applyFont="1" applyBorder="1" applyAlignment="1" applyProtection="1">
      <alignment horizontal="center" vertical="center" wrapText="1"/>
      <protection hidden="1"/>
    </xf>
    <xf numFmtId="0" fontId="22" fillId="0" borderId="194" xfId="0" applyFont="1" applyBorder="1" applyAlignment="1" applyProtection="1">
      <alignment horizontal="center" vertical="center" wrapText="1"/>
      <protection hidden="1"/>
    </xf>
    <xf numFmtId="0" fontId="22" fillId="0" borderId="215" xfId="0" applyFont="1" applyBorder="1" applyAlignment="1" applyProtection="1">
      <alignment horizontal="center" vertical="center" wrapText="1"/>
      <protection hidden="1"/>
    </xf>
    <xf numFmtId="0" fontId="22" fillId="0" borderId="198" xfId="0" applyFont="1" applyBorder="1" applyAlignment="1" applyProtection="1">
      <alignment horizontal="center" vertical="center"/>
      <protection hidden="1"/>
    </xf>
    <xf numFmtId="0" fontId="22" fillId="0" borderId="195" xfId="0" applyFont="1" applyBorder="1" applyAlignment="1" applyProtection="1">
      <alignment horizontal="center" vertical="center" wrapText="1"/>
      <protection hidden="1"/>
    </xf>
    <xf numFmtId="0" fontId="22" fillId="0" borderId="198" xfId="0" applyFont="1" applyBorder="1" applyAlignment="1" applyProtection="1">
      <alignment horizontal="center" vertical="center" wrapText="1"/>
      <protection hidden="1"/>
    </xf>
    <xf numFmtId="0" fontId="22" fillId="0" borderId="196" xfId="0" applyFont="1" applyBorder="1" applyAlignment="1" applyProtection="1">
      <alignment horizontal="center" vertical="center" wrapText="1"/>
      <protection hidden="1"/>
    </xf>
    <xf numFmtId="0" fontId="22" fillId="0" borderId="195" xfId="0" applyFont="1" applyBorder="1" applyAlignment="1" applyProtection="1">
      <alignment horizontal="center" vertical="center"/>
      <protection hidden="1"/>
    </xf>
    <xf numFmtId="0" fontId="22" fillId="0" borderId="196" xfId="0" applyFont="1" applyBorder="1" applyAlignment="1" applyProtection="1">
      <alignment horizontal="center" vertical="center"/>
      <protection hidden="1"/>
    </xf>
    <xf numFmtId="0" fontId="22" fillId="0" borderId="202" xfId="0" applyFont="1" applyBorder="1" applyAlignment="1" applyProtection="1">
      <alignment horizontal="center" vertical="center"/>
      <protection hidden="1"/>
    </xf>
    <xf numFmtId="0" fontId="0" fillId="21" borderId="198" xfId="0" applyFont="1" applyFill="1" applyBorder="1" applyAlignment="1" applyProtection="1">
      <alignment horizontal="center" vertical="center"/>
      <protection hidden="1"/>
    </xf>
    <xf numFmtId="0" fontId="22" fillId="0" borderId="200" xfId="0" applyFont="1" applyBorder="1" applyAlignment="1" applyProtection="1">
      <alignment horizontal="center" vertical="center"/>
      <protection hidden="1"/>
    </xf>
    <xf numFmtId="0" fontId="0" fillId="0" borderId="93" xfId="0" applyFont="1" applyBorder="1" applyAlignment="1" applyProtection="1">
      <alignment horizontal="center"/>
      <protection hidden="1"/>
    </xf>
    <xf numFmtId="0" fontId="0" fillId="0" borderId="94" xfId="0" applyFont="1" applyBorder="1" applyAlignment="1" applyProtection="1">
      <alignment horizontal="center"/>
      <protection hidden="1"/>
    </xf>
    <xf numFmtId="0" fontId="0" fillId="21" borderId="196" xfId="0" applyFont="1" applyFill="1" applyBorder="1" applyAlignment="1" applyProtection="1">
      <alignment horizontal="center" vertical="center"/>
      <protection hidden="1"/>
    </xf>
    <xf numFmtId="0" fontId="22" fillId="0" borderId="199" xfId="0" applyFont="1" applyBorder="1" applyAlignment="1" applyProtection="1">
      <alignment horizontal="center" vertical="center"/>
      <protection hidden="1"/>
    </xf>
    <xf numFmtId="0" fontId="211" fillId="0" borderId="44" xfId="0" applyFont="1" applyFill="1" applyBorder="1" applyAlignment="1">
      <alignment horizontal="center"/>
    </xf>
    <xf numFmtId="0" fontId="215" fillId="0" borderId="44" xfId="0" applyFont="1" applyFill="1" applyBorder="1" applyAlignment="1">
      <alignment horizontal="center"/>
    </xf>
    <xf numFmtId="0" fontId="215" fillId="0" borderId="45" xfId="0" applyFont="1" applyFill="1" applyBorder="1" applyAlignment="1">
      <alignment horizontal="center"/>
    </xf>
    <xf numFmtId="0" fontId="210" fillId="0" borderId="47" xfId="0" applyFont="1" applyFill="1" applyBorder="1" applyAlignment="1">
      <alignment horizontal="center"/>
    </xf>
    <xf numFmtId="0" fontId="212" fillId="0" borderId="47" xfId="0" applyFont="1" applyFill="1" applyBorder="1" applyAlignment="1">
      <alignment horizontal="center"/>
    </xf>
    <xf numFmtId="0" fontId="212" fillId="0" borderId="48" xfId="0" applyFont="1" applyFill="1" applyBorder="1" applyAlignment="1">
      <alignment horizontal="center"/>
    </xf>
    <xf numFmtId="0" fontId="49" fillId="0" borderId="3" xfId="0" applyFont="1" applyFill="1" applyBorder="1" applyAlignment="1">
      <alignment horizontal="left"/>
    </xf>
    <xf numFmtId="0" fontId="212" fillId="0" borderId="0" xfId="0" applyFont="1" applyFill="1" applyBorder="1" applyAlignment="1">
      <alignment horizontal="left"/>
    </xf>
    <xf numFmtId="0" fontId="212" fillId="0" borderId="29" xfId="0" applyFont="1" applyFill="1" applyBorder="1" applyAlignment="1">
      <alignment horizontal="left"/>
    </xf>
    <xf numFmtId="0" fontId="212" fillId="0" borderId="3" xfId="0" applyFont="1" applyFill="1" applyBorder="1" applyAlignment="1">
      <alignment horizontal="center"/>
    </xf>
    <xf numFmtId="0" fontId="212" fillId="0" borderId="0" xfId="0" applyFont="1" applyFill="1" applyBorder="1" applyAlignment="1">
      <alignment horizontal="center"/>
    </xf>
    <xf numFmtId="0" fontId="212" fillId="0" borderId="29" xfId="0" applyFont="1" applyFill="1" applyBorder="1" applyAlignment="1">
      <alignment horizontal="center"/>
    </xf>
    <xf numFmtId="0" fontId="212" fillId="0" borderId="38" xfId="0" applyFont="1" applyFill="1" applyBorder="1" applyAlignment="1">
      <alignment horizontal="center"/>
    </xf>
    <xf numFmtId="0" fontId="212" fillId="0" borderId="44" xfId="0" applyFont="1" applyFill="1" applyBorder="1" applyAlignment="1">
      <alignment horizontal="center"/>
    </xf>
    <xf numFmtId="0" fontId="212" fillId="0" borderId="39" xfId="0" applyFont="1" applyFill="1" applyBorder="1" applyAlignment="1">
      <alignment horizontal="center"/>
    </xf>
    <xf numFmtId="0" fontId="212" fillId="0" borderId="35" xfId="0" applyFont="1" applyFill="1" applyBorder="1" applyAlignment="1">
      <alignment horizontal="center"/>
    </xf>
    <xf numFmtId="0" fontId="210" fillId="0" borderId="38" xfId="0" applyFont="1" applyFill="1" applyBorder="1" applyAlignment="1">
      <alignment horizontal="center"/>
    </xf>
    <xf numFmtId="0" fontId="210" fillId="0" borderId="44" xfId="0" applyFont="1" applyFill="1" applyBorder="1" applyAlignment="1">
      <alignment horizontal="center"/>
    </xf>
    <xf numFmtId="0" fontId="210" fillId="0" borderId="45" xfId="0" applyFont="1" applyFill="1" applyBorder="1" applyAlignment="1">
      <alignment horizontal="center"/>
    </xf>
    <xf numFmtId="0" fontId="210" fillId="0" borderId="35" xfId="0" applyFont="1" applyFill="1" applyBorder="1" applyAlignment="1">
      <alignment horizontal="center"/>
    </xf>
    <xf numFmtId="0" fontId="49" fillId="0" borderId="35" xfId="0" applyFont="1" applyFill="1" applyBorder="1" applyAlignment="1">
      <alignment horizontal="center" vertical="center"/>
    </xf>
    <xf numFmtId="0" fontId="49" fillId="0" borderId="74" xfId="0" applyFont="1" applyFill="1" applyBorder="1" applyAlignment="1">
      <alignment horizontal="center" vertical="center"/>
    </xf>
    <xf numFmtId="0" fontId="49" fillId="0" borderId="63" xfId="0" applyFont="1" applyFill="1" applyBorder="1" applyAlignment="1">
      <alignment horizontal="center" vertical="center"/>
    </xf>
    <xf numFmtId="0" fontId="49" fillId="0" borderId="96" xfId="0" applyFont="1" applyFill="1" applyBorder="1" applyAlignment="1">
      <alignment horizontal="center" vertical="center"/>
    </xf>
    <xf numFmtId="0" fontId="212" fillId="0" borderId="74" xfId="0" applyFont="1" applyFill="1" applyBorder="1" applyAlignment="1">
      <alignment horizontal="center"/>
    </xf>
    <xf numFmtId="0" fontId="212" fillId="0" borderId="63" xfId="0" applyFont="1" applyFill="1" applyBorder="1" applyAlignment="1">
      <alignment horizontal="center"/>
    </xf>
    <xf numFmtId="0" fontId="212" fillId="0" borderId="36" xfId="0" applyFont="1" applyFill="1" applyBorder="1" applyAlignment="1">
      <alignment horizontal="center"/>
    </xf>
    <xf numFmtId="0" fontId="212" fillId="0" borderId="63" xfId="0" applyFont="1" applyFill="1" applyBorder="1" applyAlignment="1"/>
    <xf numFmtId="0" fontId="212" fillId="0" borderId="36" xfId="0" applyFont="1" applyFill="1" applyBorder="1" applyAlignment="1"/>
    <xf numFmtId="0" fontId="49" fillId="0" borderId="36" xfId="0" applyFont="1" applyFill="1" applyBorder="1" applyAlignment="1">
      <alignment horizontal="center" vertical="center"/>
    </xf>
    <xf numFmtId="0" fontId="212" fillId="0" borderId="63" xfId="0" applyFont="1" applyFill="1" applyBorder="1" applyAlignment="1">
      <alignment vertical="center"/>
    </xf>
    <xf numFmtId="0" fontId="212" fillId="0" borderId="36" xfId="0" applyFont="1" applyFill="1" applyBorder="1" applyAlignment="1">
      <alignment vertical="center"/>
    </xf>
    <xf numFmtId="0" fontId="212" fillId="0" borderId="63" xfId="0" applyFont="1" applyFill="1" applyBorder="1" applyAlignment="1">
      <alignment horizontal="center" vertical="center"/>
    </xf>
    <xf numFmtId="0" fontId="212" fillId="0" borderId="36" xfId="0" applyFont="1" applyFill="1" applyBorder="1" applyAlignment="1">
      <alignment horizontal="center" vertical="center"/>
    </xf>
    <xf numFmtId="0" fontId="212" fillId="0" borderId="35" xfId="0" applyFont="1" applyFill="1" applyBorder="1" applyAlignment="1">
      <alignment horizontal="center" vertical="center"/>
    </xf>
    <xf numFmtId="0" fontId="212" fillId="0" borderId="74" xfId="0" applyFont="1" applyFill="1" applyBorder="1" applyAlignment="1">
      <alignment horizontal="center" vertical="center"/>
    </xf>
    <xf numFmtId="0" fontId="49" fillId="0" borderId="35" xfId="0" applyFont="1" applyFill="1" applyBorder="1" applyAlignment="1">
      <alignment horizontal="center" textRotation="90"/>
    </xf>
    <xf numFmtId="0" fontId="49" fillId="0" borderId="35" xfId="0" applyFont="1" applyFill="1" applyBorder="1" applyAlignment="1">
      <alignment horizontal="center" vertical="center" textRotation="90"/>
    </xf>
    <xf numFmtId="0" fontId="49" fillId="0" borderId="47" xfId="0" applyFont="1" applyFill="1" applyBorder="1" applyAlignment="1">
      <alignment horizontal="center" vertical="center" textRotation="90"/>
    </xf>
    <xf numFmtId="0" fontId="49" fillId="0" borderId="35" xfId="0" applyFont="1" applyFill="1" applyBorder="1" applyAlignment="1">
      <alignment horizontal="center"/>
    </xf>
    <xf numFmtId="0" fontId="49" fillId="0" borderId="74" xfId="0" applyFont="1" applyFill="1" applyBorder="1" applyAlignment="1">
      <alignment horizontal="center" textRotation="90"/>
    </xf>
    <xf numFmtId="0" fontId="212" fillId="0" borderId="36" xfId="0" applyFont="1" applyFill="1" applyBorder="1" applyAlignment="1">
      <alignment horizontal="center" textRotation="90"/>
    </xf>
    <xf numFmtId="0" fontId="212" fillId="0" borderId="63" xfId="0" applyFont="1" applyFill="1" applyBorder="1" applyAlignment="1">
      <alignment horizontal="center" textRotation="90"/>
    </xf>
    <xf numFmtId="0" fontId="49" fillId="0" borderId="74" xfId="0" applyFont="1" applyFill="1" applyBorder="1" applyAlignment="1">
      <alignment horizontal="center"/>
    </xf>
    <xf numFmtId="0" fontId="49" fillId="0" borderId="63" xfId="0" applyFont="1" applyFill="1" applyBorder="1" applyAlignment="1">
      <alignment horizontal="center"/>
    </xf>
    <xf numFmtId="0" fontId="49" fillId="0" borderId="36" xfId="0" applyFont="1" applyFill="1" applyBorder="1" applyAlignment="1">
      <alignment horizontal="center"/>
    </xf>
    <xf numFmtId="0" fontId="49" fillId="0" borderId="63" xfId="0" applyFont="1" applyFill="1" applyBorder="1" applyAlignment="1"/>
    <xf numFmtId="0" fontId="49" fillId="0" borderId="36" xfId="0" applyFont="1" applyFill="1" applyBorder="1" applyAlignment="1"/>
    <xf numFmtId="0" fontId="212" fillId="0" borderId="96" xfId="0" applyFont="1" applyFill="1" applyBorder="1" applyAlignment="1">
      <alignment horizontal="center" textRotation="90"/>
    </xf>
    <xf numFmtId="0" fontId="49" fillId="0" borderId="95" xfId="0" applyFont="1" applyFill="1" applyBorder="1" applyAlignment="1">
      <alignment horizontal="center" textRotation="90"/>
    </xf>
    <xf numFmtId="0" fontId="49" fillId="0" borderId="36" xfId="0" applyFont="1" applyFill="1" applyBorder="1" applyAlignment="1">
      <alignment horizontal="center" textRotation="90"/>
    </xf>
    <xf numFmtId="0" fontId="212" fillId="0" borderId="35" xfId="0" applyFont="1" applyFill="1" applyBorder="1" applyAlignment="1">
      <alignment horizontal="center" textRotation="90"/>
    </xf>
    <xf numFmtId="0" fontId="212" fillId="0" borderId="74" xfId="0" applyFont="1" applyFill="1" applyBorder="1" applyAlignment="1">
      <alignment horizontal="center" textRotation="90"/>
    </xf>
    <xf numFmtId="0" fontId="212" fillId="0" borderId="36" xfId="0" applyFont="1" applyFill="1" applyBorder="1" applyAlignment="1">
      <alignment textRotation="90"/>
    </xf>
    <xf numFmtId="0" fontId="49" fillId="0" borderId="35" xfId="0" applyFont="1" applyFill="1" applyBorder="1" applyAlignment="1">
      <alignment horizontal="center" vertical="top"/>
    </xf>
    <xf numFmtId="0" fontId="49" fillId="0" borderId="116" xfId="0" applyFont="1" applyFill="1" applyBorder="1" applyAlignment="1">
      <alignment horizontal="center" vertical="center"/>
    </xf>
    <xf numFmtId="0" fontId="49" fillId="0" borderId="64" xfId="0" applyFont="1" applyFill="1" applyBorder="1" applyAlignment="1">
      <alignment horizontal="center" vertical="center"/>
    </xf>
    <xf numFmtId="0" fontId="49" fillId="0" borderId="46" xfId="0" applyFont="1" applyFill="1" applyBorder="1" applyAlignment="1">
      <alignment horizontal="center"/>
    </xf>
    <xf numFmtId="0" fontId="212" fillId="0" borderId="46" xfId="0" applyFont="1" applyFill="1" applyBorder="1" applyAlignment="1">
      <alignment horizontal="center"/>
    </xf>
    <xf numFmtId="0" fontId="212" fillId="0" borderId="116" xfId="0" applyFont="1" applyFill="1" applyBorder="1" applyAlignment="1">
      <alignment horizontal="center" textRotation="90"/>
    </xf>
    <xf numFmtId="0" fontId="212" fillId="0" borderId="64" xfId="0" applyFont="1" applyFill="1" applyBorder="1" applyAlignment="1">
      <alignment horizontal="center" textRotation="90"/>
    </xf>
    <xf numFmtId="0" fontId="212" fillId="0" borderId="116" xfId="0" applyFont="1" applyFill="1" applyBorder="1" applyAlignment="1">
      <alignment horizontal="center"/>
    </xf>
    <xf numFmtId="0" fontId="49" fillId="0" borderId="46" xfId="0" applyFont="1" applyFill="1" applyBorder="1" applyAlignment="1">
      <alignment horizontal="center" vertical="top"/>
    </xf>
    <xf numFmtId="0" fontId="210" fillId="0" borderId="38" xfId="0" applyFont="1" applyFill="1" applyBorder="1" applyAlignment="1">
      <alignment horizontal="center" wrapText="1"/>
    </xf>
    <xf numFmtId="0" fontId="210" fillId="0" borderId="40" xfId="0" applyFont="1" applyFill="1" applyBorder="1" applyAlignment="1">
      <alignment horizontal="center"/>
    </xf>
    <xf numFmtId="0" fontId="49" fillId="0" borderId="97" xfId="0" applyFont="1" applyFill="1" applyBorder="1" applyAlignment="1">
      <alignment horizontal="center" vertical="center"/>
    </xf>
    <xf numFmtId="0" fontId="214" fillId="0" borderId="61" xfId="0" applyFont="1" applyFill="1" applyBorder="1" applyAlignment="1">
      <alignment horizontal="center" vertical="center"/>
    </xf>
    <xf numFmtId="0" fontId="214" fillId="0" borderId="56" xfId="0" applyFont="1" applyFill="1" applyBorder="1" applyAlignment="1">
      <alignment horizontal="center" vertical="center"/>
    </xf>
    <xf numFmtId="0" fontId="214" fillId="0" borderId="21" xfId="0" applyFont="1" applyFill="1" applyBorder="1" applyAlignment="1">
      <alignment horizontal="center" vertical="center"/>
    </xf>
    <xf numFmtId="0" fontId="214" fillId="0" borderId="22" xfId="0" applyFont="1" applyFill="1" applyBorder="1" applyAlignment="1">
      <alignment horizontal="center" vertical="center"/>
    </xf>
    <xf numFmtId="0" fontId="214" fillId="0" borderId="186" xfId="0" applyFont="1" applyFill="1" applyBorder="1" applyAlignment="1">
      <alignment horizontal="center" vertical="center"/>
    </xf>
    <xf numFmtId="0" fontId="210" fillId="0" borderId="46" xfId="0" applyFont="1" applyFill="1" applyBorder="1" applyAlignment="1">
      <alignment horizontal="center"/>
    </xf>
    <xf numFmtId="0" fontId="210" fillId="0" borderId="48" xfId="0" applyFont="1" applyFill="1" applyBorder="1" applyAlignment="1">
      <alignment horizontal="center"/>
    </xf>
    <xf numFmtId="0" fontId="212" fillId="0" borderId="97" xfId="0" applyFont="1" applyFill="1" applyBorder="1" applyAlignment="1">
      <alignment horizontal="center" vertical="center" wrapText="1"/>
    </xf>
    <xf numFmtId="0" fontId="212" fillId="0" borderId="56" xfId="0" applyFont="1" applyFill="1" applyBorder="1" applyAlignment="1">
      <alignment horizontal="center" vertical="center" wrapText="1"/>
    </xf>
    <xf numFmtId="0" fontId="212" fillId="0" borderId="3" xfId="0" applyFont="1" applyFill="1" applyBorder="1" applyAlignment="1">
      <alignment horizontal="center" vertical="center" wrapText="1"/>
    </xf>
    <xf numFmtId="0" fontId="212" fillId="0" borderId="58" xfId="0" applyFont="1" applyFill="1" applyBorder="1" applyAlignment="1">
      <alignment horizontal="center" vertical="center" wrapText="1"/>
    </xf>
    <xf numFmtId="0" fontId="212" fillId="0" borderId="98" xfId="0" applyFont="1" applyFill="1" applyBorder="1" applyAlignment="1">
      <alignment horizontal="center" vertical="center" wrapText="1"/>
    </xf>
    <xf numFmtId="0" fontId="212" fillId="0" borderId="60" xfId="0" applyFont="1" applyFill="1" applyBorder="1" applyAlignment="1">
      <alignment horizontal="center" vertical="center" wrapText="1"/>
    </xf>
    <xf numFmtId="0" fontId="170" fillId="0" borderId="55" xfId="0" applyFont="1" applyFill="1" applyBorder="1" applyAlignment="1">
      <alignment horizontal="center"/>
    </xf>
    <xf numFmtId="0" fontId="170" fillId="0" borderId="61" xfId="0" applyFont="1" applyFill="1" applyBorder="1" applyAlignment="1">
      <alignment horizontal="center"/>
    </xf>
    <xf numFmtId="0" fontId="170" fillId="0" borderId="56" xfId="0" applyFont="1" applyFill="1" applyBorder="1" applyAlignment="1">
      <alignment horizontal="center"/>
    </xf>
    <xf numFmtId="0" fontId="170" fillId="0" borderId="57" xfId="0" applyFont="1" applyFill="1" applyBorder="1" applyAlignment="1">
      <alignment horizontal="center"/>
    </xf>
    <xf numFmtId="0" fontId="170" fillId="0" borderId="0" xfId="0" applyFont="1" applyFill="1" applyBorder="1" applyAlignment="1">
      <alignment horizontal="center"/>
    </xf>
    <xf numFmtId="0" fontId="170" fillId="0" borderId="58" xfId="0" applyFont="1" applyFill="1" applyBorder="1" applyAlignment="1">
      <alignment horizontal="center"/>
    </xf>
    <xf numFmtId="0" fontId="170" fillId="0" borderId="59" xfId="0" applyFont="1" applyFill="1" applyBorder="1" applyAlignment="1">
      <alignment horizontal="center"/>
    </xf>
    <xf numFmtId="0" fontId="170" fillId="0" borderId="53" xfId="0" applyFont="1" applyFill="1" applyBorder="1" applyAlignment="1">
      <alignment horizontal="center"/>
    </xf>
    <xf numFmtId="0" fontId="170" fillId="0" borderId="60" xfId="0" applyFont="1" applyFill="1" applyBorder="1" applyAlignment="1">
      <alignment horizontal="center"/>
    </xf>
    <xf numFmtId="0" fontId="212" fillId="0" borderId="39" xfId="0" applyFont="1" applyFill="1" applyBorder="1" applyAlignment="1">
      <alignment horizontal="center" vertical="center" wrapText="1"/>
    </xf>
    <xf numFmtId="0" fontId="212" fillId="0" borderId="39" xfId="0" applyFont="1" applyFill="1" applyBorder="1" applyAlignment="1">
      <alignment horizontal="center" vertical="center"/>
    </xf>
    <xf numFmtId="0" fontId="170" fillId="0" borderId="35" xfId="0" applyFont="1" applyFill="1" applyBorder="1" applyAlignment="1">
      <alignment horizontal="center"/>
    </xf>
    <xf numFmtId="0" fontId="212" fillId="0" borderId="115" xfId="0" applyFont="1" applyFill="1" applyBorder="1" applyAlignment="1">
      <alignment horizontal="center" vertical="center"/>
    </xf>
    <xf numFmtId="0" fontId="170" fillId="0" borderId="74" xfId="0" applyFont="1" applyFill="1" applyBorder="1" applyAlignment="1">
      <alignment horizontal="center"/>
    </xf>
    <xf numFmtId="0" fontId="212" fillId="0" borderId="35" xfId="0" applyFont="1" applyFill="1" applyBorder="1" applyAlignment="1">
      <alignment horizontal="center" vertical="center" wrapText="1"/>
    </xf>
    <xf numFmtId="0" fontId="212" fillId="0" borderId="40" xfId="0" applyFont="1" applyFill="1" applyBorder="1" applyAlignment="1">
      <alignment horizontal="center" vertical="center" wrapText="1"/>
    </xf>
    <xf numFmtId="0" fontId="212" fillId="0" borderId="47" xfId="0" applyFont="1" applyFill="1" applyBorder="1" applyAlignment="1">
      <alignment horizontal="center" vertical="center" wrapText="1"/>
    </xf>
    <xf numFmtId="0" fontId="170" fillId="0" borderId="47" xfId="0" applyFont="1" applyFill="1" applyBorder="1" applyAlignment="1">
      <alignment horizontal="center"/>
    </xf>
    <xf numFmtId="0" fontId="300" fillId="49" borderId="2" xfId="1" applyFill="1" applyBorder="1" applyAlignment="1" applyProtection="1">
      <alignment horizontal="center"/>
    </xf>
    <xf numFmtId="0" fontId="49" fillId="0" borderId="120" xfId="0" applyFont="1" applyFill="1" applyBorder="1" applyAlignment="1">
      <alignment horizontal="center" vertical="center"/>
    </xf>
    <xf numFmtId="0" fontId="49" fillId="0" borderId="116" xfId="0" applyFont="1" applyFill="1" applyBorder="1" applyAlignment="1">
      <alignment horizontal="center"/>
    </xf>
    <xf numFmtId="0" fontId="49" fillId="0" borderId="120" xfId="0" applyFont="1" applyFill="1" applyBorder="1" applyAlignment="1">
      <alignment horizontal="center"/>
    </xf>
    <xf numFmtId="0" fontId="49" fillId="0" borderId="64" xfId="0" applyFont="1" applyFill="1" applyBorder="1" applyAlignment="1">
      <alignment horizontal="center"/>
    </xf>
    <xf numFmtId="0" fontId="49" fillId="0" borderId="120" xfId="0" applyFont="1" applyFill="1" applyBorder="1" applyAlignment="1"/>
    <xf numFmtId="0" fontId="49" fillId="0" borderId="64" xfId="0" applyFont="1" applyFill="1" applyBorder="1" applyAlignment="1"/>
    <xf numFmtId="0" fontId="49" fillId="0" borderId="0" xfId="0" applyFont="1" applyFill="1" applyBorder="1" applyAlignment="1">
      <alignment horizontal="left"/>
    </xf>
    <xf numFmtId="0" fontId="49" fillId="0" borderId="35" xfId="0" applyFont="1" applyFill="1" applyBorder="1" applyAlignment="1">
      <alignment horizontal="center" vertical="center" wrapText="1"/>
    </xf>
    <xf numFmtId="0" fontId="212" fillId="0" borderId="46" xfId="0" applyFont="1" applyFill="1" applyBorder="1" applyAlignment="1">
      <alignment horizontal="center" vertical="center" wrapText="1"/>
    </xf>
    <xf numFmtId="0" fontId="212" fillId="0" borderId="38" xfId="0" applyFont="1" applyFill="1" applyBorder="1" applyAlignment="1">
      <alignment horizontal="center" vertical="center" wrapText="1"/>
    </xf>
    <xf numFmtId="0" fontId="212" fillId="0" borderId="44" xfId="0" applyFont="1" applyFill="1" applyBorder="1" applyAlignment="1">
      <alignment horizontal="center" vertical="center" wrapText="1"/>
    </xf>
    <xf numFmtId="0" fontId="49" fillId="0" borderId="46" xfId="0" applyFont="1" applyFill="1" applyBorder="1" applyAlignment="1">
      <alignment horizontal="center" vertical="center"/>
    </xf>
    <xf numFmtId="0" fontId="49" fillId="0" borderId="117" xfId="0" applyFont="1" applyFill="1" applyBorder="1" applyAlignment="1">
      <alignment horizontal="center" vertical="center" wrapText="1"/>
    </xf>
    <xf numFmtId="0" fontId="213" fillId="0" borderId="94" xfId="0" applyFont="1" applyFill="1" applyBorder="1" applyAlignment="1">
      <alignment horizontal="center" vertical="center" wrapText="1"/>
    </xf>
    <xf numFmtId="0" fontId="49" fillId="0" borderId="93" xfId="0" applyFont="1" applyFill="1" applyBorder="1" applyAlignment="1">
      <alignment horizontal="center" vertical="center" wrapText="1"/>
    </xf>
    <xf numFmtId="0" fontId="49" fillId="0" borderId="94" xfId="0" applyFont="1" applyFill="1" applyBorder="1" applyAlignment="1">
      <alignment horizontal="center" vertical="center" wrapText="1"/>
    </xf>
    <xf numFmtId="0" fontId="49" fillId="0" borderId="55" xfId="0" applyFont="1" applyFill="1" applyBorder="1" applyAlignment="1">
      <alignment horizontal="center" vertical="center" wrapText="1"/>
    </xf>
    <xf numFmtId="0" fontId="49" fillId="0" borderId="56" xfId="0" applyFont="1" applyFill="1" applyBorder="1" applyAlignment="1">
      <alignment horizontal="center" vertical="center" wrapText="1"/>
    </xf>
    <xf numFmtId="0" fontId="49" fillId="0" borderId="59" xfId="0" applyFont="1" applyFill="1" applyBorder="1" applyAlignment="1">
      <alignment horizontal="center" vertical="center" wrapText="1"/>
    </xf>
    <xf numFmtId="0" fontId="49" fillId="0" borderId="60" xfId="0" applyFont="1" applyFill="1" applyBorder="1" applyAlignment="1">
      <alignment horizontal="center" vertical="center" wrapText="1"/>
    </xf>
    <xf numFmtId="0" fontId="49" fillId="0" borderId="55" xfId="0" applyFont="1" applyFill="1" applyBorder="1" applyAlignment="1">
      <alignment horizontal="center" vertical="center"/>
    </xf>
    <xf numFmtId="0" fontId="49" fillId="0" borderId="56" xfId="0" applyFont="1" applyFill="1" applyBorder="1" applyAlignment="1">
      <alignment horizontal="center" vertical="center"/>
    </xf>
    <xf numFmtId="0" fontId="49" fillId="0" borderId="57" xfId="0" applyFont="1" applyFill="1" applyBorder="1" applyAlignment="1">
      <alignment horizontal="center" vertical="center"/>
    </xf>
    <xf numFmtId="0" fontId="49" fillId="0" borderId="58" xfId="0" applyFont="1" applyFill="1" applyBorder="1" applyAlignment="1">
      <alignment horizontal="center" vertical="center"/>
    </xf>
    <xf numFmtId="0" fontId="49" fillId="0" borderId="59" xfId="0" applyFont="1" applyFill="1" applyBorder="1" applyAlignment="1">
      <alignment horizontal="center" vertical="center"/>
    </xf>
    <xf numFmtId="0" fontId="49" fillId="0" borderId="60"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94" xfId="0" applyFont="1" applyFill="1" applyBorder="1" applyAlignment="1">
      <alignment horizontal="center" vertical="center"/>
    </xf>
    <xf numFmtId="0" fontId="170" fillId="0" borderId="156" xfId="0" applyFont="1" applyFill="1" applyBorder="1" applyAlignment="1">
      <alignment horizontal="center" vertical="center"/>
    </xf>
    <xf numFmtId="0" fontId="170" fillId="0" borderId="153" xfId="0" applyFont="1" applyFill="1" applyBorder="1" applyAlignment="1">
      <alignment horizontal="center" vertical="center"/>
    </xf>
    <xf numFmtId="0" fontId="49" fillId="0" borderId="47" xfId="0" applyFont="1" applyFill="1" applyBorder="1" applyAlignment="1">
      <alignment horizontal="center"/>
    </xf>
    <xf numFmtId="0" fontId="49" fillId="0" borderId="47" xfId="0" applyFont="1" applyFill="1" applyBorder="1" applyAlignment="1">
      <alignment horizontal="center" vertical="center"/>
    </xf>
    <xf numFmtId="0" fontId="49" fillId="0" borderId="48" xfId="0" applyFont="1" applyFill="1" applyBorder="1" applyAlignment="1">
      <alignment horizontal="center" vertical="center"/>
    </xf>
    <xf numFmtId="0" fontId="170" fillId="0" borderId="55" xfId="0" applyFont="1" applyFill="1" applyBorder="1" applyAlignment="1">
      <alignment horizontal="center" vertical="center"/>
    </xf>
    <xf numFmtId="0" fontId="170" fillId="0" borderId="56" xfId="0" applyFont="1" applyFill="1" applyBorder="1" applyAlignment="1">
      <alignment horizontal="center" vertical="center"/>
    </xf>
    <xf numFmtId="0" fontId="170" fillId="0" borderId="59" xfId="0" applyFont="1" applyFill="1" applyBorder="1" applyAlignment="1">
      <alignment horizontal="center" vertical="center"/>
    </xf>
    <xf numFmtId="0" fontId="170" fillId="0" borderId="60" xfId="0" applyFont="1" applyFill="1" applyBorder="1" applyAlignment="1">
      <alignment horizontal="center" vertical="center"/>
    </xf>
    <xf numFmtId="0" fontId="49" fillId="0" borderId="3" xfId="0" applyFont="1" applyFill="1" applyBorder="1" applyAlignment="1">
      <alignment horizontal="left" vertical="center" wrapText="1"/>
    </xf>
    <xf numFmtId="0" fontId="212" fillId="0" borderId="0" xfId="0" applyFont="1" applyFill="1" applyBorder="1" applyAlignment="1">
      <alignment horizontal="left" vertical="center" wrapText="1"/>
    </xf>
    <xf numFmtId="0" fontId="212" fillId="0" borderId="29" xfId="0" applyFont="1" applyFill="1" applyBorder="1" applyAlignment="1">
      <alignment horizontal="left" vertical="center" wrapText="1"/>
    </xf>
    <xf numFmtId="0" fontId="212" fillId="0" borderId="3" xfId="0" applyFont="1" applyFill="1" applyBorder="1" applyAlignment="1">
      <alignment horizontal="left" vertical="center" wrapText="1"/>
    </xf>
    <xf numFmtId="0" fontId="212" fillId="0" borderId="21" xfId="0" applyFont="1" applyFill="1" applyBorder="1" applyAlignment="1">
      <alignment horizontal="left" vertical="center" wrapText="1"/>
    </xf>
    <xf numFmtId="0" fontId="212" fillId="0" borderId="22" xfId="0" applyFont="1" applyFill="1" applyBorder="1" applyAlignment="1">
      <alignment horizontal="left" vertical="center" wrapText="1"/>
    </xf>
    <xf numFmtId="0" fontId="212" fillId="0" borderId="34" xfId="0" applyFont="1" applyFill="1" applyBorder="1" applyAlignment="1">
      <alignment horizontal="left" vertical="center" wrapText="1"/>
    </xf>
    <xf numFmtId="0" fontId="212" fillId="0" borderId="45" xfId="0" applyFont="1" applyFill="1" applyBorder="1" applyAlignment="1">
      <alignment horizontal="center" vertical="center" wrapText="1"/>
    </xf>
    <xf numFmtId="0" fontId="49" fillId="0" borderId="57" xfId="0" applyFont="1" applyFill="1" applyBorder="1" applyAlignment="1">
      <alignment horizontal="center" vertical="center" wrapText="1"/>
    </xf>
    <xf numFmtId="0" fontId="49" fillId="0" borderId="58" xfId="0" applyFont="1" applyFill="1" applyBorder="1" applyAlignment="1">
      <alignment horizontal="center" vertical="center" wrapText="1"/>
    </xf>
    <xf numFmtId="0" fontId="49" fillId="0" borderId="29" xfId="0" applyFont="1" applyFill="1" applyBorder="1" applyAlignment="1">
      <alignment horizontal="left"/>
    </xf>
    <xf numFmtId="0" fontId="213" fillId="0" borderId="38" xfId="0" applyFont="1" applyFill="1" applyBorder="1" applyAlignment="1">
      <alignment horizontal="center" vertical="center" wrapText="1"/>
    </xf>
    <xf numFmtId="0" fontId="49" fillId="0" borderId="44" xfId="0" applyFont="1" applyFill="1" applyBorder="1" applyAlignment="1">
      <alignment horizontal="center" vertical="center" wrapText="1"/>
    </xf>
    <xf numFmtId="0" fontId="213" fillId="0" borderId="39" xfId="0" applyFont="1" applyFill="1" applyBorder="1" applyAlignment="1">
      <alignment horizontal="center" vertical="center" wrapText="1"/>
    </xf>
    <xf numFmtId="0" fontId="49" fillId="0" borderId="39" xfId="0" applyFont="1" applyFill="1" applyBorder="1" applyAlignment="1">
      <alignment horizontal="center" vertical="center" wrapText="1"/>
    </xf>
    <xf numFmtId="0" fontId="49" fillId="0" borderId="40" xfId="0" applyFont="1" applyFill="1" applyBorder="1" applyAlignment="1">
      <alignment horizontal="center" vertical="center" wrapText="1"/>
    </xf>
    <xf numFmtId="0" fontId="49" fillId="0" borderId="47" xfId="0" applyFont="1" applyFill="1" applyBorder="1" applyAlignment="1">
      <alignment horizontal="center" vertical="center" wrapText="1"/>
    </xf>
    <xf numFmtId="0" fontId="49" fillId="0" borderId="44" xfId="0" applyFont="1" applyFill="1" applyBorder="1" applyAlignment="1">
      <alignment horizontal="center"/>
    </xf>
    <xf numFmtId="0" fontId="49" fillId="0" borderId="44" xfId="0" applyFont="1" applyFill="1" applyBorder="1" applyAlignment="1">
      <alignment horizontal="center" vertical="top"/>
    </xf>
    <xf numFmtId="0" fontId="212" fillId="0" borderId="45" xfId="0" applyFont="1" applyFill="1" applyBorder="1" applyAlignment="1">
      <alignment horizontal="center" vertical="top"/>
    </xf>
    <xf numFmtId="0" fontId="170" fillId="0" borderId="39" xfId="0" applyFont="1" applyFill="1" applyBorder="1" applyAlignment="1">
      <alignment horizontal="center" vertical="center"/>
    </xf>
    <xf numFmtId="0" fontId="170" fillId="0" borderId="35" xfId="0" applyFont="1" applyFill="1" applyBorder="1" applyAlignment="1">
      <alignment horizontal="center" vertical="center"/>
    </xf>
    <xf numFmtId="0" fontId="49" fillId="0" borderId="93" xfId="0" applyFont="1" applyFill="1" applyBorder="1" applyAlignment="1">
      <alignment horizontal="center"/>
    </xf>
    <xf numFmtId="0" fontId="49" fillId="0" borderId="118" xfId="0" applyFont="1" applyFill="1" applyBorder="1" applyAlignment="1">
      <alignment horizontal="center"/>
    </xf>
    <xf numFmtId="0" fontId="212" fillId="0" borderId="38" xfId="0" applyFont="1" applyFill="1" applyBorder="1" applyAlignment="1">
      <alignment horizontal="center" vertical="center"/>
    </xf>
    <xf numFmtId="0" fontId="170" fillId="0" borderId="44" xfId="0" applyFont="1" applyFill="1" applyBorder="1" applyAlignment="1">
      <alignment horizontal="center" vertical="center"/>
    </xf>
    <xf numFmtId="0" fontId="170" fillId="0" borderId="40" xfId="0" applyFont="1" applyFill="1" applyBorder="1" applyAlignment="1">
      <alignment horizontal="center" vertical="center"/>
    </xf>
    <xf numFmtId="0" fontId="170" fillId="0" borderId="47" xfId="0" applyFont="1" applyFill="1" applyBorder="1" applyAlignment="1">
      <alignment horizontal="center" vertical="center"/>
    </xf>
    <xf numFmtId="0" fontId="18" fillId="0" borderId="44" xfId="0" applyFont="1" applyFill="1" applyBorder="1" applyAlignment="1">
      <alignment horizontal="center" vertical="center"/>
    </xf>
    <xf numFmtId="0" fontId="18" fillId="0" borderId="35" xfId="0" applyFont="1" applyFill="1" applyBorder="1" applyAlignment="1">
      <alignment horizontal="center" vertical="center"/>
    </xf>
    <xf numFmtId="0" fontId="17" fillId="0" borderId="39" xfId="0" applyFont="1" applyFill="1" applyBorder="1" applyAlignment="1">
      <alignment horizontal="center" vertical="center" wrapText="1"/>
    </xf>
    <xf numFmtId="0" fontId="170" fillId="0" borderId="35" xfId="0" applyFont="1" applyFill="1" applyBorder="1" applyAlignment="1">
      <alignment horizontal="center" vertical="center" wrapText="1"/>
    </xf>
    <xf numFmtId="0" fontId="170" fillId="0" borderId="39" xfId="0" applyFont="1" applyFill="1" applyBorder="1" applyAlignment="1">
      <alignment horizontal="center" vertical="center" wrapText="1"/>
    </xf>
    <xf numFmtId="0" fontId="300" fillId="49" borderId="0" xfId="1" applyFill="1" applyAlignment="1" applyProtection="1">
      <alignment horizontal="center" vertical="center" wrapText="1"/>
    </xf>
    <xf numFmtId="0" fontId="213" fillId="0" borderId="21" xfId="0" applyFont="1" applyFill="1" applyBorder="1" applyAlignment="1">
      <alignment horizontal="center"/>
    </xf>
    <xf numFmtId="0" fontId="212" fillId="0" borderId="22" xfId="0" applyFont="1" applyFill="1" applyBorder="1" applyAlignment="1">
      <alignment horizontal="center"/>
    </xf>
    <xf numFmtId="0" fontId="212" fillId="0" borderId="34" xfId="0" applyFont="1" applyFill="1" applyBorder="1" applyAlignment="1">
      <alignment horizontal="center"/>
    </xf>
    <xf numFmtId="0" fontId="49" fillId="0" borderId="0" xfId="0" applyFont="1" applyFill="1" applyBorder="1" applyAlignment="1">
      <alignment horizontal="center"/>
    </xf>
    <xf numFmtId="0" fontId="170" fillId="0" borderId="22" xfId="0" applyFont="1" applyFill="1" applyBorder="1" applyAlignment="1">
      <alignment horizontal="center" vertical="top"/>
    </xf>
    <xf numFmtId="0" fontId="170" fillId="0" borderId="34" xfId="0" applyFont="1" applyFill="1" applyBorder="1" applyAlignment="1">
      <alignment horizontal="center" vertical="top"/>
    </xf>
    <xf numFmtId="0" fontId="300" fillId="49" borderId="320" xfId="1" applyFill="1" applyBorder="1" applyAlignment="1" applyProtection="1">
      <alignment horizontal="center" vertical="center" wrapText="1"/>
    </xf>
    <xf numFmtId="0" fontId="300" fillId="49" borderId="321" xfId="1" applyFill="1" applyBorder="1" applyAlignment="1" applyProtection="1">
      <alignment horizontal="center" vertical="center" wrapText="1"/>
    </xf>
    <xf numFmtId="0" fontId="300" fillId="49" borderId="3" xfId="1" applyFill="1" applyBorder="1" applyAlignment="1" applyProtection="1">
      <alignment horizontal="center" vertical="center" wrapText="1"/>
    </xf>
    <xf numFmtId="0" fontId="300" fillId="49" borderId="29" xfId="1" applyFill="1" applyBorder="1" applyAlignment="1" applyProtection="1">
      <alignment horizontal="center" vertical="center" wrapText="1"/>
    </xf>
    <xf numFmtId="0" fontId="300" fillId="49" borderId="21" xfId="1" applyFill="1" applyBorder="1" applyAlignment="1" applyProtection="1">
      <alignment horizontal="center" vertical="center" wrapText="1"/>
    </xf>
    <xf numFmtId="0" fontId="300" fillId="49" borderId="34" xfId="1" applyFill="1" applyBorder="1" applyAlignment="1" applyProtection="1">
      <alignment horizontal="center" vertical="center" wrapText="1"/>
    </xf>
    <xf numFmtId="0" fontId="17" fillId="0" borderId="3" xfId="0" applyFont="1" applyFill="1" applyBorder="1" applyAlignment="1">
      <alignment horizontal="center"/>
    </xf>
    <xf numFmtId="0" fontId="17" fillId="0" borderId="0" xfId="0" applyFont="1" applyFill="1" applyBorder="1" applyAlignment="1">
      <alignment horizontal="center"/>
    </xf>
    <xf numFmtId="0" fontId="17" fillId="0" borderId="29" xfId="0" applyFont="1" applyFill="1" applyBorder="1" applyAlignment="1">
      <alignment horizontal="center"/>
    </xf>
    <xf numFmtId="0" fontId="212" fillId="0" borderId="44" xfId="0" applyFont="1" applyFill="1" applyBorder="1" applyAlignment="1">
      <alignment horizontal="center" vertical="top"/>
    </xf>
    <xf numFmtId="0" fontId="212" fillId="0" borderId="52" xfId="0" applyFont="1" applyFill="1" applyBorder="1" applyAlignment="1">
      <alignment horizontal="center" vertical="center" wrapText="1"/>
    </xf>
    <xf numFmtId="0" fontId="212" fillId="0" borderId="36" xfId="0" applyFont="1" applyFill="1" applyBorder="1" applyAlignment="1">
      <alignment horizontal="center" vertical="center" wrapText="1"/>
    </xf>
    <xf numFmtId="0" fontId="212" fillId="0" borderId="36" xfId="0" applyFont="1" applyFill="1" applyBorder="1" applyAlignment="1">
      <alignment horizontal="center" vertical="top"/>
    </xf>
    <xf numFmtId="0" fontId="212" fillId="0" borderId="64" xfId="0" applyFont="1" applyFill="1" applyBorder="1" applyAlignment="1">
      <alignment horizontal="center" vertical="top"/>
    </xf>
    <xf numFmtId="0" fontId="17" fillId="0" borderId="150" xfId="0" applyFont="1" applyFill="1" applyBorder="1" applyAlignment="1">
      <alignment horizontal="center"/>
    </xf>
    <xf numFmtId="0" fontId="17" fillId="0" borderId="151" xfId="0" applyFont="1" applyFill="1" applyBorder="1" applyAlignment="1">
      <alignment horizontal="center"/>
    </xf>
    <xf numFmtId="0" fontId="17" fillId="0" borderId="162" xfId="0" applyFont="1" applyFill="1" applyBorder="1" applyAlignment="1">
      <alignment horizontal="center"/>
    </xf>
    <xf numFmtId="0" fontId="49" fillId="0" borderId="38" xfId="0" applyFont="1" applyFill="1" applyBorder="1" applyAlignment="1">
      <alignment horizontal="center"/>
    </xf>
    <xf numFmtId="0" fontId="49" fillId="0" borderId="45" xfId="0" applyFont="1" applyFill="1" applyBorder="1" applyAlignment="1">
      <alignment horizontal="center"/>
    </xf>
    <xf numFmtId="0" fontId="49" fillId="0" borderId="39" xfId="0" applyFont="1" applyFill="1" applyBorder="1" applyAlignment="1">
      <alignment horizontal="center"/>
    </xf>
    <xf numFmtId="0" fontId="17" fillId="0" borderId="35" xfId="0" applyFont="1" applyFill="1" applyBorder="1" applyAlignment="1">
      <alignment horizontal="center"/>
    </xf>
    <xf numFmtId="0" fontId="49" fillId="0" borderId="150" xfId="0" applyFont="1" applyFill="1" applyBorder="1" applyAlignment="1">
      <alignment horizontal="center"/>
    </xf>
    <xf numFmtId="0" fontId="49" fillId="0" borderId="151" xfId="0" applyFont="1" applyFill="1" applyBorder="1" applyAlignment="1">
      <alignment horizontal="center"/>
    </xf>
    <xf numFmtId="0" fontId="49" fillId="0" borderId="162" xfId="0" applyFont="1" applyFill="1" applyBorder="1" applyAlignment="1">
      <alignment horizontal="center"/>
    </xf>
    <xf numFmtId="0" fontId="212" fillId="0" borderId="161" xfId="0" applyFont="1" applyFill="1" applyBorder="1" applyAlignment="1">
      <alignment horizontal="center"/>
    </xf>
    <xf numFmtId="0" fontId="212" fillId="0" borderId="151" xfId="0" applyFont="1" applyFill="1" applyBorder="1" applyAlignment="1">
      <alignment horizontal="center"/>
    </xf>
    <xf numFmtId="0" fontId="212" fillId="0" borderId="152" xfId="0" applyFont="1" applyFill="1" applyBorder="1" applyAlignment="1">
      <alignment horizontal="center"/>
    </xf>
    <xf numFmtId="0" fontId="170" fillId="0" borderId="117" xfId="0" applyFont="1" applyFill="1" applyBorder="1" applyAlignment="1">
      <alignment horizontal="center"/>
    </xf>
    <xf numFmtId="0" fontId="170" fillId="0" borderId="54" xfId="0" applyFont="1" applyFill="1" applyBorder="1" applyAlignment="1">
      <alignment horizontal="center"/>
    </xf>
    <xf numFmtId="0" fontId="170" fillId="0" borderId="94" xfId="0" applyFont="1" applyFill="1" applyBorder="1" applyAlignment="1">
      <alignment horizontal="center"/>
    </xf>
    <xf numFmtId="194" fontId="49" fillId="0" borderId="35" xfId="0" applyNumberFormat="1" applyFont="1" applyFill="1" applyBorder="1" applyAlignment="1">
      <alignment horizontal="center"/>
    </xf>
    <xf numFmtId="0" fontId="17" fillId="0" borderId="117" xfId="0" applyFont="1" applyFill="1" applyBorder="1" applyAlignment="1">
      <alignment horizontal="center"/>
    </xf>
    <xf numFmtId="0" fontId="17" fillId="0" borderId="54" xfId="0" applyFont="1" applyFill="1" applyBorder="1" applyAlignment="1">
      <alignment horizontal="center"/>
    </xf>
    <xf numFmtId="0" fontId="17" fillId="0" borderId="94" xfId="0" applyFont="1" applyFill="1" applyBorder="1" applyAlignment="1">
      <alignment horizontal="center"/>
    </xf>
    <xf numFmtId="0" fontId="170" fillId="0" borderId="93" xfId="0" applyFont="1" applyFill="1" applyBorder="1" applyAlignment="1">
      <alignment horizontal="center"/>
    </xf>
    <xf numFmtId="0" fontId="170" fillId="0" borderId="118" xfId="0" applyFont="1" applyFill="1" applyBorder="1" applyAlignment="1">
      <alignment horizontal="center"/>
    </xf>
    <xf numFmtId="0" fontId="17" fillId="0" borderId="155" xfId="0" applyFont="1" applyFill="1" applyBorder="1" applyAlignment="1">
      <alignment horizontal="center"/>
    </xf>
    <xf numFmtId="0" fontId="17" fillId="0" borderId="62" xfId="0" applyFont="1" applyFill="1" applyBorder="1" applyAlignment="1">
      <alignment horizontal="center"/>
    </xf>
    <xf numFmtId="0" fontId="17" fillId="0" borderId="153" xfId="0" applyFont="1" applyFill="1" applyBorder="1" applyAlignment="1">
      <alignment horizontal="center"/>
    </xf>
    <xf numFmtId="0" fontId="170" fillId="0" borderId="156" xfId="0" applyFont="1" applyFill="1" applyBorder="1" applyAlignment="1">
      <alignment horizontal="center"/>
    </xf>
    <xf numFmtId="0" fontId="170" fillId="0" borderId="62" xfId="0" applyFont="1" applyFill="1" applyBorder="1" applyAlignment="1">
      <alignment horizontal="center"/>
    </xf>
    <xf numFmtId="0" fontId="170" fillId="0" borderId="188" xfId="0" applyFont="1" applyFill="1" applyBorder="1" applyAlignment="1">
      <alignment horizontal="center"/>
    </xf>
    <xf numFmtId="0" fontId="49" fillId="0" borderId="44" xfId="0" applyFont="1" applyFill="1" applyBorder="1" applyAlignment="1">
      <alignment horizontal="center" vertical="center"/>
    </xf>
    <xf numFmtId="0" fontId="49" fillId="0" borderId="40" xfId="0" applyFont="1" applyFill="1" applyBorder="1" applyAlignment="1">
      <alignment horizontal="center"/>
    </xf>
    <xf numFmtId="0" fontId="49" fillId="0" borderId="48" xfId="0" applyFont="1" applyFill="1" applyBorder="1" applyAlignment="1">
      <alignment horizontal="center"/>
    </xf>
    <xf numFmtId="0" fontId="49" fillId="0" borderId="0" xfId="0" applyFont="1" applyFill="1" applyBorder="1" applyAlignment="1">
      <alignment horizontal="left" vertical="top" wrapText="1"/>
    </xf>
    <xf numFmtId="0" fontId="49" fillId="0" borderId="29" xfId="0" applyFont="1" applyFill="1" applyBorder="1" applyAlignment="1">
      <alignment horizontal="left" vertical="top" wrapText="1"/>
    </xf>
    <xf numFmtId="0" fontId="49" fillId="0" borderId="38" xfId="0" applyFont="1" applyFill="1" applyBorder="1" applyAlignment="1">
      <alignment horizontal="center" vertical="top" wrapText="1"/>
    </xf>
    <xf numFmtId="0" fontId="213" fillId="0" borderId="44" xfId="0" applyFont="1" applyFill="1" applyBorder="1" applyAlignment="1">
      <alignment horizontal="center" vertical="top"/>
    </xf>
    <xf numFmtId="0" fontId="213" fillId="0" borderId="39" xfId="0" applyFont="1" applyFill="1" applyBorder="1" applyAlignment="1">
      <alignment horizontal="center" vertical="top"/>
    </xf>
    <xf numFmtId="0" fontId="213" fillId="0" borderId="35" xfId="0" applyFont="1" applyFill="1" applyBorder="1" applyAlignment="1">
      <alignment horizontal="center" vertical="top"/>
    </xf>
    <xf numFmtId="0" fontId="49" fillId="0" borderId="115" xfId="0" applyFont="1" applyFill="1" applyBorder="1" applyAlignment="1">
      <alignment horizontal="center"/>
    </xf>
    <xf numFmtId="0" fontId="49" fillId="0" borderId="115" xfId="0" applyFont="1" applyFill="1" applyBorder="1" applyAlignment="1">
      <alignment horizontal="center" vertical="top"/>
    </xf>
    <xf numFmtId="0" fontId="213" fillId="0" borderId="74" xfId="0" applyFont="1" applyFill="1" applyBorder="1" applyAlignment="1">
      <alignment horizontal="center" vertical="top"/>
    </xf>
    <xf numFmtId="0" fontId="213" fillId="0" borderId="0" xfId="0" applyFont="1" applyFill="1" applyBorder="1" applyAlignment="1">
      <alignment horizontal="center" vertical="center"/>
    </xf>
    <xf numFmtId="0" fontId="49" fillId="0" borderId="0" xfId="0" applyFont="1" applyFill="1" applyBorder="1" applyAlignment="1">
      <alignment horizontal="center" vertical="center"/>
    </xf>
    <xf numFmtId="0" fontId="49" fillId="0" borderId="3" xfId="0" applyFont="1" applyFill="1" applyBorder="1" applyAlignment="1">
      <alignment horizontal="left" vertical="top" wrapText="1"/>
    </xf>
    <xf numFmtId="0" fontId="213" fillId="0" borderId="0" xfId="0" applyFont="1" applyFill="1" applyBorder="1" applyAlignment="1">
      <alignment horizontal="left" vertical="top"/>
    </xf>
    <xf numFmtId="0" fontId="213" fillId="0" borderId="3" xfId="0" applyFont="1" applyFill="1" applyBorder="1" applyAlignment="1">
      <alignment horizontal="left" vertical="top"/>
    </xf>
    <xf numFmtId="0" fontId="212" fillId="0" borderId="45" xfId="0" applyFont="1" applyFill="1" applyBorder="1" applyAlignment="1">
      <alignment horizontal="center"/>
    </xf>
    <xf numFmtId="0" fontId="49" fillId="0" borderId="94" xfId="0" applyFont="1" applyFill="1" applyBorder="1" applyAlignment="1">
      <alignment horizontal="center"/>
    </xf>
    <xf numFmtId="0" fontId="49" fillId="0" borderId="54" xfId="0" applyFont="1" applyFill="1" applyBorder="1" applyAlignment="1">
      <alignment horizontal="center"/>
    </xf>
    <xf numFmtId="0" fontId="49" fillId="0" borderId="93" xfId="0" applyFont="1" applyFill="1" applyBorder="1" applyAlignment="1">
      <alignment horizontal="center" vertical="center"/>
    </xf>
    <xf numFmtId="0" fontId="49" fillId="0" borderId="94" xfId="0" applyFont="1" applyFill="1" applyBorder="1" applyAlignment="1">
      <alignment horizontal="center" vertical="center"/>
    </xf>
    <xf numFmtId="0" fontId="49" fillId="0" borderId="55" xfId="0" applyFont="1" applyFill="1" applyBorder="1" applyAlignment="1">
      <alignment horizontal="center"/>
    </xf>
    <xf numFmtId="0" fontId="49" fillId="0" borderId="61" xfId="0" applyFont="1" applyFill="1" applyBorder="1" applyAlignment="1">
      <alignment horizontal="center"/>
    </xf>
    <xf numFmtId="0" fontId="49" fillId="0" borderId="56" xfId="0" applyFont="1" applyFill="1" applyBorder="1" applyAlignment="1">
      <alignment horizontal="center"/>
    </xf>
    <xf numFmtId="0" fontId="49" fillId="0" borderId="57" xfId="0" applyFont="1" applyFill="1" applyBorder="1" applyAlignment="1">
      <alignment horizontal="center"/>
    </xf>
    <xf numFmtId="0" fontId="49" fillId="0" borderId="58" xfId="0" applyFont="1" applyFill="1" applyBorder="1" applyAlignment="1">
      <alignment horizontal="center"/>
    </xf>
    <xf numFmtId="0" fontId="49" fillId="0" borderId="59" xfId="0" applyFont="1" applyFill="1" applyBorder="1" applyAlignment="1">
      <alignment horizontal="center"/>
    </xf>
    <xf numFmtId="0" fontId="49" fillId="0" borderId="53" xfId="0" applyFont="1" applyFill="1" applyBorder="1" applyAlignment="1">
      <alignment horizontal="center"/>
    </xf>
    <xf numFmtId="0" fontId="49" fillId="0" borderId="60" xfId="0" applyFont="1" applyFill="1" applyBorder="1" applyAlignment="1">
      <alignment horizontal="center"/>
    </xf>
    <xf numFmtId="0" fontId="212" fillId="0" borderId="97" xfId="0" applyFont="1" applyFill="1" applyBorder="1" applyAlignment="1">
      <alignment horizontal="center" vertical="top" wrapText="1"/>
    </xf>
    <xf numFmtId="0" fontId="212" fillId="0" borderId="56" xfId="0" applyFont="1" applyFill="1" applyBorder="1" applyAlignment="1">
      <alignment horizontal="center" vertical="top" wrapText="1"/>
    </xf>
    <xf numFmtId="0" fontId="212" fillId="0" borderId="98" xfId="0" applyFont="1" applyFill="1" applyBorder="1" applyAlignment="1">
      <alignment horizontal="center" vertical="top" wrapText="1"/>
    </xf>
    <xf numFmtId="0" fontId="212" fillId="0" borderId="60" xfId="0" applyFont="1" applyFill="1" applyBorder="1" applyAlignment="1">
      <alignment horizontal="center" vertical="top" wrapText="1"/>
    </xf>
    <xf numFmtId="0" fontId="212" fillId="0" borderId="1" xfId="0" applyFont="1" applyFill="1" applyBorder="1" applyAlignment="1">
      <alignment horizontal="left" vertical="center" wrapText="1"/>
    </xf>
    <xf numFmtId="0" fontId="212" fillId="0" borderId="2" xfId="0" applyFont="1" applyFill="1" applyBorder="1" applyAlignment="1">
      <alignment horizontal="left" vertical="center" wrapText="1"/>
    </xf>
    <xf numFmtId="0" fontId="212" fillId="0" borderId="28" xfId="0" applyFont="1" applyFill="1" applyBorder="1" applyAlignment="1">
      <alignment horizontal="left" vertical="center" wrapText="1"/>
    </xf>
    <xf numFmtId="0" fontId="49" fillId="0" borderId="187" xfId="0" applyFont="1" applyFill="1" applyBorder="1" applyAlignment="1">
      <alignment horizontal="center"/>
    </xf>
    <xf numFmtId="0" fontId="49" fillId="0" borderId="186" xfId="0" applyFont="1" applyFill="1" applyBorder="1" applyAlignment="1">
      <alignment horizontal="center"/>
    </xf>
    <xf numFmtId="0" fontId="49" fillId="0" borderId="99" xfId="0" applyFont="1" applyFill="1" applyBorder="1" applyAlignment="1">
      <alignment horizontal="center" vertical="center"/>
    </xf>
    <xf numFmtId="0" fontId="49" fillId="0" borderId="29" xfId="0" applyFont="1" applyFill="1" applyBorder="1" applyAlignment="1">
      <alignment horizontal="center" vertical="center"/>
    </xf>
    <xf numFmtId="0" fontId="49" fillId="0" borderId="100" xfId="0" applyFont="1" applyFill="1" applyBorder="1" applyAlignment="1">
      <alignment horizontal="center" vertical="center"/>
    </xf>
    <xf numFmtId="194" fontId="49" fillId="0" borderId="55" xfId="0" applyNumberFormat="1" applyFont="1" applyFill="1" applyBorder="1" applyAlignment="1">
      <alignment horizontal="center" wrapText="1"/>
    </xf>
    <xf numFmtId="194" fontId="49" fillId="0" borderId="56" xfId="0" applyNumberFormat="1" applyFont="1" applyFill="1" applyBorder="1" applyAlignment="1">
      <alignment horizontal="center" wrapText="1"/>
    </xf>
    <xf numFmtId="194" fontId="49" fillId="0" borderId="57" xfId="0" applyNumberFormat="1" applyFont="1" applyFill="1" applyBorder="1" applyAlignment="1">
      <alignment horizontal="center" wrapText="1"/>
    </xf>
    <xf numFmtId="194" fontId="49" fillId="0" borderId="58" xfId="0" applyNumberFormat="1" applyFont="1" applyFill="1" applyBorder="1" applyAlignment="1">
      <alignment horizontal="center" wrapText="1"/>
    </xf>
    <xf numFmtId="194" fontId="49" fillId="0" borderId="59" xfId="0" applyNumberFormat="1" applyFont="1" applyFill="1" applyBorder="1" applyAlignment="1">
      <alignment horizontal="center" wrapText="1"/>
    </xf>
    <xf numFmtId="194" fontId="49" fillId="0" borderId="60" xfId="0" applyNumberFormat="1" applyFont="1" applyFill="1" applyBorder="1" applyAlignment="1">
      <alignment horizontal="center" wrapText="1"/>
    </xf>
    <xf numFmtId="0" fontId="213" fillId="0" borderId="35" xfId="0" applyFont="1" applyFill="1" applyBorder="1" applyAlignment="1">
      <alignment horizontal="center" vertical="top" wrapText="1"/>
    </xf>
    <xf numFmtId="0" fontId="49" fillId="0" borderId="99" xfId="0" applyFont="1" applyFill="1" applyBorder="1" applyAlignment="1">
      <alignment horizontal="center"/>
    </xf>
    <xf numFmtId="0" fontId="49" fillId="0" borderId="100" xfId="0" applyFont="1" applyFill="1" applyBorder="1" applyAlignment="1">
      <alignment horizontal="center"/>
    </xf>
    <xf numFmtId="0" fontId="212" fillId="0" borderId="0" xfId="0" applyFont="1" applyFill="1" applyBorder="1" applyAlignment="1">
      <alignment horizontal="left" vertical="top" wrapText="1"/>
    </xf>
    <xf numFmtId="0" fontId="212" fillId="0" borderId="29" xfId="0" applyFont="1" applyFill="1" applyBorder="1" applyAlignment="1">
      <alignment horizontal="left" vertical="top" wrapText="1"/>
    </xf>
    <xf numFmtId="0" fontId="170" fillId="0" borderId="99" xfId="0" applyFont="1" applyFill="1" applyBorder="1" applyAlignment="1">
      <alignment horizontal="center"/>
    </xf>
    <xf numFmtId="0" fontId="170" fillId="0" borderId="100" xfId="0" applyFont="1" applyFill="1" applyBorder="1" applyAlignment="1">
      <alignment horizontal="center"/>
    </xf>
    <xf numFmtId="0" fontId="213" fillId="0" borderId="2" xfId="0" applyFont="1" applyFill="1" applyBorder="1" applyAlignment="1">
      <alignment horizontal="left" vertical="center"/>
    </xf>
    <xf numFmtId="0" fontId="213" fillId="0" borderId="28" xfId="0" applyFont="1" applyFill="1" applyBorder="1" applyAlignment="1">
      <alignment horizontal="left" vertical="center"/>
    </xf>
    <xf numFmtId="0" fontId="213" fillId="0" borderId="0" xfId="0" applyFont="1" applyFill="1" applyBorder="1" applyAlignment="1">
      <alignment horizontal="left" vertical="center"/>
    </xf>
    <xf numFmtId="0" fontId="213" fillId="0" borderId="29" xfId="0" applyFont="1" applyFill="1" applyBorder="1" applyAlignment="1">
      <alignment horizontal="left" vertical="center"/>
    </xf>
    <xf numFmtId="0" fontId="49" fillId="0" borderId="45" xfId="0" applyFont="1" applyFill="1" applyBorder="1" applyAlignment="1">
      <alignment horizontal="center" vertical="center"/>
    </xf>
    <xf numFmtId="0" fontId="212" fillId="0" borderId="21" xfId="0" applyFont="1" applyFill="1" applyBorder="1" applyAlignment="1">
      <alignment horizontal="center"/>
    </xf>
    <xf numFmtId="0" fontId="49" fillId="0" borderId="39" xfId="0" applyFont="1" applyFill="1" applyBorder="1" applyAlignment="1">
      <alignment horizontal="center" vertical="top"/>
    </xf>
    <xf numFmtId="0" fontId="49" fillId="0" borderId="115" xfId="0" applyFont="1" applyFill="1" applyBorder="1" applyAlignment="1">
      <alignment horizontal="center" vertical="center"/>
    </xf>
    <xf numFmtId="0" fontId="213" fillId="0" borderId="119" xfId="0" applyFont="1" applyFill="1" applyBorder="1" applyAlignment="1">
      <alignment horizontal="center" vertical="center"/>
    </xf>
    <xf numFmtId="0" fontId="213" fillId="0" borderId="52" xfId="0" applyFont="1" applyFill="1" applyBorder="1" applyAlignment="1">
      <alignment horizontal="center" vertical="center"/>
    </xf>
    <xf numFmtId="0" fontId="49" fillId="0" borderId="187" xfId="0" applyFont="1" applyFill="1" applyBorder="1" applyAlignment="1">
      <alignment horizontal="center" vertical="center"/>
    </xf>
    <xf numFmtId="0" fontId="49" fillId="0" borderId="186" xfId="0" applyFont="1" applyFill="1" applyBorder="1" applyAlignment="1">
      <alignment horizontal="center" vertical="center"/>
    </xf>
    <xf numFmtId="0" fontId="49" fillId="0" borderId="156" xfId="0" applyFont="1" applyFill="1" applyBorder="1" applyAlignment="1">
      <alignment horizontal="center"/>
    </xf>
    <xf numFmtId="0" fontId="49" fillId="0" borderId="153" xfId="0" applyFont="1" applyFill="1" applyBorder="1" applyAlignment="1">
      <alignment horizontal="center"/>
    </xf>
    <xf numFmtId="0" fontId="49" fillId="0" borderId="62" xfId="0" applyFont="1" applyFill="1" applyBorder="1" applyAlignment="1">
      <alignment horizontal="center"/>
    </xf>
    <xf numFmtId="0" fontId="49" fillId="0" borderId="34" xfId="0" applyFont="1" applyFill="1" applyBorder="1" applyAlignment="1">
      <alignment horizontal="center" vertical="center"/>
    </xf>
    <xf numFmtId="0" fontId="49" fillId="0" borderId="22" xfId="0" applyFont="1" applyFill="1" applyBorder="1" applyAlignment="1">
      <alignment horizontal="center"/>
    </xf>
    <xf numFmtId="0" fontId="26" fillId="15" borderId="41" xfId="0" applyFont="1" applyFill="1" applyBorder="1" applyAlignment="1">
      <alignment horizontal="center" vertical="center"/>
    </xf>
    <xf numFmtId="0" fontId="26" fillId="15" borderId="42" xfId="0" applyFont="1" applyFill="1" applyBorder="1" applyAlignment="1">
      <alignment horizontal="center" vertical="center"/>
    </xf>
    <xf numFmtId="0" fontId="26" fillId="15" borderId="43" xfId="0" applyFont="1" applyFill="1" applyBorder="1" applyAlignment="1">
      <alignment horizontal="center" vertical="center"/>
    </xf>
    <xf numFmtId="0" fontId="208" fillId="0" borderId="0" xfId="0" applyFont="1" applyAlignment="1">
      <alignment horizontal="center" vertical="center"/>
    </xf>
    <xf numFmtId="0" fontId="0" fillId="0" borderId="61" xfId="0" applyBorder="1" applyAlignment="1">
      <alignment vertical="center"/>
    </xf>
    <xf numFmtId="0" fontId="16" fillId="0" borderId="0" xfId="0" applyFont="1" applyAlignment="1">
      <alignment horizontal="center" vertical="center"/>
    </xf>
    <xf numFmtId="0" fontId="205" fillId="0" borderId="65" xfId="0" applyFont="1" applyBorder="1" applyAlignment="1">
      <alignment horizontal="left" vertical="center"/>
    </xf>
    <xf numFmtId="0" fontId="205" fillId="0" borderId="66" xfId="0" applyFont="1" applyBorder="1" applyAlignment="1">
      <alignment horizontal="left" vertical="center"/>
    </xf>
    <xf numFmtId="0" fontId="205" fillId="0" borderId="67" xfId="0" applyFont="1" applyBorder="1" applyAlignment="1">
      <alignment horizontal="left" vertical="center"/>
    </xf>
    <xf numFmtId="0" fontId="205" fillId="0" borderId="68" xfId="0" applyFont="1" applyBorder="1" applyAlignment="1">
      <alignment vertical="center"/>
    </xf>
    <xf numFmtId="0" fontId="205" fillId="0" borderId="35" xfId="0" applyFont="1" applyBorder="1" applyAlignment="1">
      <alignment vertical="center"/>
    </xf>
    <xf numFmtId="0" fontId="205" fillId="0" borderId="69" xfId="0" applyFont="1" applyBorder="1" applyAlignment="1">
      <alignment vertical="center"/>
    </xf>
    <xf numFmtId="0" fontId="205" fillId="0" borderId="70" xfId="0" applyFont="1" applyBorder="1" applyAlignment="1">
      <alignment vertical="center"/>
    </xf>
    <xf numFmtId="0" fontId="205" fillId="0" borderId="71" xfId="0" applyFont="1" applyBorder="1" applyAlignment="1">
      <alignment vertical="center"/>
    </xf>
    <xf numFmtId="0" fontId="205" fillId="0" borderId="72" xfId="0" applyFont="1" applyBorder="1" applyAlignment="1">
      <alignment vertical="center"/>
    </xf>
    <xf numFmtId="0" fontId="42" fillId="0" borderId="65" xfId="0" applyFont="1" applyBorder="1" applyAlignment="1">
      <alignment vertical="center"/>
    </xf>
    <xf numFmtId="0" fontId="42" fillId="0" borderId="66" xfId="0" applyFont="1" applyBorder="1" applyAlignment="1">
      <alignment vertical="center"/>
    </xf>
    <xf numFmtId="0" fontId="42" fillId="0" borderId="67" xfId="0" applyFont="1" applyBorder="1" applyAlignment="1">
      <alignment vertical="center"/>
    </xf>
    <xf numFmtId="0" fontId="0" fillId="0" borderId="70" xfId="0" applyBorder="1" applyAlignment="1">
      <alignment vertical="center"/>
    </xf>
    <xf numFmtId="0" fontId="0" fillId="0" borderId="71" xfId="0" applyBorder="1" applyAlignment="1">
      <alignment vertical="center"/>
    </xf>
    <xf numFmtId="0" fontId="0" fillId="0" borderId="72" xfId="0" applyBorder="1" applyAlignment="1">
      <alignment vertical="center"/>
    </xf>
    <xf numFmtId="0" fontId="57" fillId="0" borderId="66" xfId="0" applyFont="1" applyBorder="1" applyAlignment="1">
      <alignment horizontal="center" vertical="center"/>
    </xf>
    <xf numFmtId="0" fontId="57" fillId="0" borderId="67" xfId="0" applyFont="1" applyBorder="1" applyAlignment="1">
      <alignment horizontal="center" vertical="center"/>
    </xf>
    <xf numFmtId="0" fontId="0" fillId="0" borderId="177" xfId="0" applyBorder="1" applyAlignment="1">
      <alignment horizontal="center" vertical="center"/>
    </xf>
    <xf numFmtId="0" fontId="0" fillId="0" borderId="178" xfId="0" applyBorder="1" applyAlignment="1">
      <alignment horizontal="center" vertical="center"/>
    </xf>
    <xf numFmtId="0" fontId="0" fillId="0" borderId="179" xfId="0" applyBorder="1" applyAlignment="1">
      <alignment horizontal="center" vertical="center"/>
    </xf>
    <xf numFmtId="0" fontId="206" fillId="0" borderId="65" xfId="0" applyFont="1" applyBorder="1" applyAlignment="1">
      <alignment horizontal="center" vertical="center"/>
    </xf>
    <xf numFmtId="0" fontId="206" fillId="0" borderId="66" xfId="0" applyFont="1" applyBorder="1" applyAlignment="1">
      <alignment horizontal="center" vertical="center"/>
    </xf>
    <xf numFmtId="0" fontId="206" fillId="0" borderId="67" xfId="0" applyFont="1" applyBorder="1" applyAlignment="1">
      <alignment horizontal="center" vertical="center"/>
    </xf>
    <xf numFmtId="0" fontId="206" fillId="0" borderId="59" xfId="0" applyFont="1" applyBorder="1" applyAlignment="1">
      <alignment horizontal="center" vertical="center"/>
    </xf>
    <xf numFmtId="0" fontId="206" fillId="0" borderId="53" xfId="0" applyFont="1" applyBorder="1" applyAlignment="1">
      <alignment horizontal="center" vertical="center"/>
    </xf>
    <xf numFmtId="0" fontId="206" fillId="0" borderId="60" xfId="0" applyFont="1" applyBorder="1" applyAlignment="1">
      <alignment horizontal="center" vertical="center"/>
    </xf>
    <xf numFmtId="0" fontId="0" fillId="0" borderId="102" xfId="0" applyBorder="1" applyAlignment="1">
      <alignment horizontal="center" vertical="center"/>
    </xf>
    <xf numFmtId="0" fontId="0" fillId="0" borderId="185" xfId="0" applyBorder="1" applyAlignment="1">
      <alignment horizontal="center" vertical="center"/>
    </xf>
    <xf numFmtId="0" fontId="205" fillId="0" borderId="68" xfId="0" applyFont="1" applyBorder="1" applyAlignment="1">
      <alignment horizontal="center" vertical="center"/>
    </xf>
    <xf numFmtId="0" fontId="57" fillId="0" borderId="68" xfId="0" applyFont="1" applyBorder="1" applyAlignment="1">
      <alignment horizontal="center" vertical="center"/>
    </xf>
    <xf numFmtId="0" fontId="57" fillId="0" borderId="70" xfId="0" applyFont="1" applyBorder="1" applyAlignment="1">
      <alignment horizontal="center" vertical="center"/>
    </xf>
    <xf numFmtId="0" fontId="206" fillId="0" borderId="68" xfId="0" applyFont="1" applyBorder="1" applyAlignment="1">
      <alignment horizontal="center" vertical="center"/>
    </xf>
    <xf numFmtId="0" fontId="206" fillId="0" borderId="70" xfId="0" applyFont="1" applyBorder="1" applyAlignment="1">
      <alignment horizontal="center" vertical="center"/>
    </xf>
    <xf numFmtId="0" fontId="205" fillId="0" borderId="65" xfId="0" applyFont="1" applyBorder="1" applyAlignment="1">
      <alignment horizontal="center" vertical="center" wrapText="1"/>
    </xf>
    <xf numFmtId="0" fontId="205" fillId="0" borderId="68" xfId="0" applyFont="1" applyBorder="1" applyAlignment="1">
      <alignment horizontal="center" vertical="center" wrapText="1"/>
    </xf>
    <xf numFmtId="0" fontId="0" fillId="0" borderId="73" xfId="0" applyBorder="1" applyAlignment="1">
      <alignment horizontal="center" vertical="center"/>
    </xf>
    <xf numFmtId="0" fontId="0" fillId="0" borderId="183" xfId="0" applyBorder="1" applyAlignment="1">
      <alignment horizontal="center" vertical="center"/>
    </xf>
    <xf numFmtId="0" fontId="205" fillId="0" borderId="66" xfId="0" applyFont="1" applyBorder="1" applyAlignment="1">
      <alignment horizontal="center" vertical="center" wrapText="1"/>
    </xf>
    <xf numFmtId="0" fontId="205" fillId="0" borderId="35" xfId="0" applyFont="1" applyBorder="1" applyAlignment="1">
      <alignment horizontal="center" vertical="center" wrapText="1"/>
    </xf>
    <xf numFmtId="0" fontId="0" fillId="0" borderId="180" xfId="0" applyBorder="1" applyAlignment="1">
      <alignment horizontal="center" vertical="center"/>
    </xf>
    <xf numFmtId="0" fontId="0" fillId="0" borderId="36" xfId="0" applyBorder="1" applyAlignment="1">
      <alignment horizontal="center" vertical="center"/>
    </xf>
    <xf numFmtId="0" fontId="0" fillId="0" borderId="74" xfId="0" applyBorder="1" applyAlignment="1">
      <alignment horizontal="center" vertical="center"/>
    </xf>
    <xf numFmtId="0" fontId="0" fillId="0" borderId="184" xfId="0" applyBorder="1" applyAlignment="1">
      <alignment horizontal="center" vertical="center"/>
    </xf>
    <xf numFmtId="0" fontId="57" fillId="0" borderId="70" xfId="0" applyFont="1" applyBorder="1" applyAlignment="1">
      <alignment horizontal="center" vertical="center" wrapText="1"/>
    </xf>
    <xf numFmtId="0" fontId="57" fillId="0" borderId="71" xfId="0" applyFont="1" applyBorder="1" applyAlignment="1">
      <alignment horizontal="center" vertical="center" wrapText="1"/>
    </xf>
    <xf numFmtId="0" fontId="57" fillId="0" borderId="72" xfId="0" applyFont="1" applyBorder="1" applyAlignment="1">
      <alignment horizontal="center" vertical="center" wrapText="1"/>
    </xf>
    <xf numFmtId="0" fontId="0" fillId="0" borderId="65" xfId="0" applyBorder="1" applyAlignment="1">
      <alignment horizontal="center" vertical="center"/>
    </xf>
    <xf numFmtId="0" fontId="0" fillId="0" borderId="66" xfId="0" applyBorder="1" applyAlignment="1">
      <alignment horizontal="center" vertical="center"/>
    </xf>
    <xf numFmtId="0" fontId="0" fillId="0" borderId="67" xfId="0" applyBorder="1" applyAlignment="1">
      <alignment horizontal="center" vertical="center"/>
    </xf>
    <xf numFmtId="0" fontId="0" fillId="0" borderId="181" xfId="0" applyBorder="1" applyAlignment="1">
      <alignment horizontal="center" vertical="center"/>
    </xf>
    <xf numFmtId="0" fontId="0" fillId="0" borderId="90" xfId="0" applyBorder="1" applyAlignment="1">
      <alignment horizontal="center" vertical="center"/>
    </xf>
    <xf numFmtId="0" fontId="0" fillId="0" borderId="93" xfId="0" applyBorder="1" applyAlignment="1">
      <alignment horizontal="center" vertical="center"/>
    </xf>
    <xf numFmtId="0" fontId="0" fillId="0" borderId="182" xfId="0" applyBorder="1" applyAlignment="1">
      <alignment horizontal="center" vertical="center"/>
    </xf>
    <xf numFmtId="0" fontId="201" fillId="34" borderId="35" xfId="0" applyFont="1" applyFill="1" applyBorder="1" applyAlignment="1">
      <alignment horizontal="center" vertical="center" wrapText="1"/>
    </xf>
    <xf numFmtId="0" fontId="201" fillId="34" borderId="74" xfId="0" applyFont="1" applyFill="1" applyBorder="1" applyAlignment="1">
      <alignment horizontal="center" vertical="center" wrapText="1"/>
    </xf>
    <xf numFmtId="0" fontId="201" fillId="34" borderId="63" xfId="0" applyFont="1" applyFill="1" applyBorder="1" applyAlignment="1">
      <alignment horizontal="center" vertical="center" wrapText="1"/>
    </xf>
    <xf numFmtId="0" fontId="201" fillId="34" borderId="36" xfId="0" applyFont="1" applyFill="1" applyBorder="1" applyAlignment="1">
      <alignment horizontal="center" vertical="center" wrapText="1"/>
    </xf>
    <xf numFmtId="0" fontId="200" fillId="14" borderId="35" xfId="0" applyFont="1" applyFill="1" applyBorder="1" applyAlignment="1">
      <alignment horizontal="center" vertical="center"/>
    </xf>
    <xf numFmtId="0" fontId="27" fillId="14" borderId="35" xfId="0" applyFont="1" applyFill="1" applyBorder="1" applyAlignment="1">
      <alignment horizontal="center" vertical="center"/>
    </xf>
    <xf numFmtId="0" fontId="27" fillId="14" borderId="36" xfId="0" applyFont="1" applyFill="1" applyBorder="1" applyAlignment="1">
      <alignment horizontal="center" vertical="center"/>
    </xf>
    <xf numFmtId="0" fontId="27" fillId="14" borderId="74" xfId="0" applyFont="1" applyFill="1" applyBorder="1" applyAlignment="1">
      <alignment horizontal="center" vertical="center"/>
    </xf>
    <xf numFmtId="0" fontId="203" fillId="34" borderId="35" xfId="0" applyFont="1" applyFill="1" applyBorder="1" applyAlignment="1">
      <alignment horizontal="center" vertical="center"/>
    </xf>
    <xf numFmtId="0" fontId="202" fillId="34" borderId="35" xfId="0" applyFont="1" applyFill="1" applyBorder="1" applyAlignment="1">
      <alignment horizontal="center" vertical="center" wrapText="1"/>
    </xf>
    <xf numFmtId="0" fontId="198" fillId="13" borderId="35" xfId="0" applyFont="1" applyFill="1" applyBorder="1" applyAlignment="1">
      <alignment horizontal="center" vertical="top" wrapText="1"/>
    </xf>
    <xf numFmtId="0" fontId="198" fillId="13" borderId="74" xfId="0" applyFont="1" applyFill="1" applyBorder="1" applyAlignment="1">
      <alignment horizontal="center" vertical="center" wrapText="1"/>
    </xf>
    <xf numFmtId="0" fontId="198" fillId="13" borderId="63" xfId="0" applyFont="1" applyFill="1" applyBorder="1" applyAlignment="1">
      <alignment horizontal="center" vertical="center" wrapText="1"/>
    </xf>
    <xf numFmtId="0" fontId="198" fillId="13" borderId="36" xfId="0" applyFont="1" applyFill="1" applyBorder="1" applyAlignment="1">
      <alignment horizontal="center" vertical="center" wrapText="1"/>
    </xf>
    <xf numFmtId="0" fontId="198" fillId="0" borderId="74" xfId="0" applyFont="1" applyFill="1" applyBorder="1" applyAlignment="1">
      <alignment horizontal="center" vertical="center" wrapText="1"/>
    </xf>
    <xf numFmtId="0" fontId="198" fillId="0" borderId="63" xfId="0" applyFont="1" applyFill="1" applyBorder="1" applyAlignment="1">
      <alignment horizontal="center" vertical="center" wrapText="1"/>
    </xf>
    <xf numFmtId="0" fontId="198" fillId="0" borderId="36" xfId="0" applyFont="1" applyFill="1" applyBorder="1" applyAlignment="1">
      <alignment horizontal="center" vertical="center" wrapText="1"/>
    </xf>
    <xf numFmtId="0" fontId="198" fillId="35" borderId="35" xfId="0" applyFont="1" applyFill="1" applyBorder="1" applyAlignment="1">
      <alignment horizontal="center" vertical="center" wrapText="1"/>
    </xf>
    <xf numFmtId="0" fontId="0" fillId="0" borderId="74" xfId="0" applyFill="1" applyBorder="1" applyAlignment="1">
      <alignment horizontal="center" vertical="center" wrapText="1"/>
    </xf>
    <xf numFmtId="0" fontId="0" fillId="0" borderId="63" xfId="0" applyFill="1" applyBorder="1" applyAlignment="1">
      <alignment horizontal="center" vertical="center" wrapText="1"/>
    </xf>
    <xf numFmtId="0" fontId="199" fillId="13" borderId="74" xfId="0" applyFont="1" applyFill="1" applyBorder="1" applyAlignment="1">
      <alignment horizontal="center" vertical="center" wrapText="1"/>
    </xf>
    <xf numFmtId="0" fontId="198" fillId="35" borderId="74" xfId="0" applyFont="1" applyFill="1" applyBorder="1" applyAlignment="1">
      <alignment horizontal="center" vertical="center" wrapText="1"/>
    </xf>
    <xf numFmtId="0" fontId="198" fillId="35" borderId="63" xfId="0" applyFont="1" applyFill="1" applyBorder="1" applyAlignment="1">
      <alignment horizontal="center" vertical="center" wrapText="1"/>
    </xf>
    <xf numFmtId="0" fontId="198" fillId="35" borderId="36" xfId="0" applyFont="1" applyFill="1" applyBorder="1" applyAlignment="1">
      <alignment horizontal="center" vertical="center" wrapText="1"/>
    </xf>
    <xf numFmtId="0" fontId="149" fillId="14" borderId="35" xfId="0" applyFont="1" applyFill="1" applyBorder="1" applyAlignment="1">
      <alignment horizontal="center" wrapText="1"/>
    </xf>
    <xf numFmtId="0" fontId="149" fillId="15" borderId="167" xfId="0" applyFont="1" applyFill="1" applyBorder="1" applyAlignment="1">
      <alignment horizontal="center" wrapText="1"/>
    </xf>
    <xf numFmtId="0" fontId="149" fillId="15" borderId="163" xfId="0" applyFont="1" applyFill="1" applyBorder="1" applyAlignment="1">
      <alignment horizontal="center" wrapText="1"/>
    </xf>
    <xf numFmtId="0" fontId="149" fillId="15" borderId="168" xfId="0" applyFont="1" applyFill="1" applyBorder="1" applyAlignment="1">
      <alignment horizontal="center" wrapText="1"/>
    </xf>
    <xf numFmtId="0" fontId="149" fillId="14" borderId="165" xfId="0" applyFont="1" applyFill="1" applyBorder="1" applyAlignment="1">
      <alignment horizontal="center" wrapText="1"/>
    </xf>
    <xf numFmtId="0" fontId="149" fillId="14" borderId="170" xfId="0" applyFont="1" applyFill="1" applyBorder="1" applyAlignment="1">
      <alignment horizontal="center" wrapText="1"/>
    </xf>
    <xf numFmtId="0" fontId="149" fillId="14" borderId="171" xfId="0" applyFont="1" applyFill="1" applyBorder="1" applyAlignment="1">
      <alignment horizontal="center" wrapText="1"/>
    </xf>
    <xf numFmtId="0" fontId="149" fillId="14" borderId="166" xfId="0" applyFont="1" applyFill="1" applyBorder="1" applyAlignment="1">
      <alignment vertical="center" wrapText="1"/>
    </xf>
    <xf numFmtId="0" fontId="197" fillId="14" borderId="169" xfId="0" applyFont="1" applyFill="1" applyBorder="1" applyAlignment="1">
      <alignment vertical="center" wrapText="1"/>
    </xf>
    <xf numFmtId="0" fontId="197" fillId="14" borderId="172" xfId="0" applyFont="1" applyFill="1" applyBorder="1" applyAlignment="1">
      <alignment vertical="center" wrapText="1"/>
    </xf>
    <xf numFmtId="0" fontId="149" fillId="14" borderId="166" xfId="0" applyFont="1" applyFill="1" applyBorder="1" applyAlignment="1">
      <alignment horizontal="center" vertical="center" wrapText="1"/>
    </xf>
    <xf numFmtId="0" fontId="197" fillId="14" borderId="169" xfId="0" applyFont="1" applyFill="1" applyBorder="1" applyAlignment="1">
      <alignment horizontal="center" vertical="center" wrapText="1"/>
    </xf>
    <xf numFmtId="0" fontId="197" fillId="14" borderId="172" xfId="0" applyFont="1" applyFill="1" applyBorder="1" applyAlignment="1">
      <alignment horizontal="center" vertical="center" wrapText="1"/>
    </xf>
    <xf numFmtId="0" fontId="197" fillId="14" borderId="166" xfId="0" applyFont="1" applyFill="1" applyBorder="1" applyAlignment="1">
      <alignment horizontal="center" vertical="center" wrapText="1"/>
    </xf>
    <xf numFmtId="0" fontId="197" fillId="0" borderId="166" xfId="0" applyFont="1" applyBorder="1" applyAlignment="1">
      <alignment horizontal="center" vertical="center" wrapText="1"/>
    </xf>
    <xf numFmtId="0" fontId="197" fillId="0" borderId="172" xfId="0" applyFont="1" applyBorder="1" applyAlignment="1">
      <alignment horizontal="center" vertical="center" wrapText="1"/>
    </xf>
    <xf numFmtId="0" fontId="197" fillId="0" borderId="169" xfId="0" applyFont="1" applyBorder="1" applyAlignment="1">
      <alignment horizontal="center" vertical="center" wrapText="1"/>
    </xf>
    <xf numFmtId="0" fontId="119" fillId="0" borderId="0" xfId="0" applyFont="1" applyBorder="1" applyAlignment="1">
      <alignment horizontal="center"/>
    </xf>
    <xf numFmtId="0" fontId="119" fillId="0" borderId="163" xfId="0" applyFont="1" applyBorder="1" applyAlignment="1">
      <alignment horizontal="center"/>
    </xf>
    <xf numFmtId="0" fontId="149" fillId="14" borderId="36" xfId="0" applyFont="1" applyFill="1" applyBorder="1" applyAlignment="1">
      <alignment horizontal="center" vertical="center" wrapText="1"/>
    </xf>
    <xf numFmtId="0" fontId="149" fillId="14" borderId="35" xfId="0" applyFont="1" applyFill="1" applyBorder="1" applyAlignment="1">
      <alignment horizontal="center" vertical="center" wrapText="1"/>
    </xf>
    <xf numFmtId="0" fontId="149" fillId="14" borderId="173" xfId="0" applyFont="1" applyFill="1" applyBorder="1" applyAlignment="1">
      <alignment horizontal="center" vertical="center" wrapText="1"/>
    </xf>
    <xf numFmtId="0" fontId="149" fillId="14" borderId="174" xfId="0" applyFont="1" applyFill="1" applyBorder="1" applyAlignment="1">
      <alignment horizontal="center" vertical="center" wrapText="1"/>
    </xf>
    <xf numFmtId="0" fontId="149" fillId="14" borderId="167" xfId="0" applyFont="1" applyFill="1" applyBorder="1" applyAlignment="1">
      <alignment horizontal="center" vertical="center" wrapText="1"/>
    </xf>
    <xf numFmtId="0" fontId="149" fillId="14" borderId="168" xfId="0" applyFont="1" applyFill="1" applyBorder="1" applyAlignment="1">
      <alignment horizontal="center" vertical="center" wrapText="1"/>
    </xf>
    <xf numFmtId="0" fontId="149" fillId="14" borderId="175" xfId="0" applyFont="1" applyFill="1" applyBorder="1" applyAlignment="1">
      <alignment horizontal="center" vertical="center" wrapText="1"/>
    </xf>
    <xf numFmtId="0" fontId="149" fillId="14" borderId="163" xfId="0" applyFont="1" applyFill="1" applyBorder="1" applyAlignment="1">
      <alignment horizontal="center" vertical="center" wrapText="1"/>
    </xf>
    <xf numFmtId="0" fontId="157" fillId="40" borderId="35" xfId="0" applyFont="1" applyFill="1" applyBorder="1" applyAlignment="1">
      <alignment horizontal="center" vertical="center"/>
    </xf>
    <xf numFmtId="0" fontId="42" fillId="40" borderId="35" xfId="0" applyFont="1" applyFill="1" applyBorder="1" applyAlignment="1">
      <alignment horizontal="center" vertical="center" wrapText="1"/>
    </xf>
    <xf numFmtId="0" fontId="0" fillId="0" borderId="74" xfId="0" applyFont="1" applyBorder="1" applyAlignment="1">
      <alignment horizontal="center" vertical="center" wrapText="1"/>
    </xf>
    <xf numFmtId="0" fontId="0" fillId="0" borderId="63" xfId="0" applyFont="1" applyBorder="1" applyAlignment="1">
      <alignment horizontal="center" vertical="center" wrapText="1"/>
    </xf>
    <xf numFmtId="0" fontId="0" fillId="0" borderId="36" xfId="0" applyFont="1" applyBorder="1" applyAlignment="1">
      <alignment horizontal="center" vertical="center" wrapText="1"/>
    </xf>
    <xf numFmtId="0" fontId="0" fillId="0" borderId="35" xfId="0" applyFont="1" applyBorder="1" applyAlignment="1">
      <alignment horizontal="center" vertical="center" wrapText="1"/>
    </xf>
    <xf numFmtId="0" fontId="42" fillId="34" borderId="35" xfId="0" applyFont="1" applyFill="1" applyBorder="1" applyAlignment="1">
      <alignment horizontal="center" vertical="center"/>
    </xf>
    <xf numFmtId="0" fontId="42" fillId="34" borderId="74" xfId="0" applyFont="1" applyFill="1" applyBorder="1" applyAlignment="1">
      <alignment horizontal="center" vertical="center"/>
    </xf>
    <xf numFmtId="0" fontId="42" fillId="34" borderId="63" xfId="0" applyFont="1" applyFill="1" applyBorder="1" applyAlignment="1">
      <alignment horizontal="center" vertical="center"/>
    </xf>
    <xf numFmtId="0" fontId="42" fillId="34" borderId="36" xfId="0" applyFont="1" applyFill="1" applyBorder="1" applyAlignment="1">
      <alignment horizontal="center" vertical="center"/>
    </xf>
    <xf numFmtId="0" fontId="157" fillId="40" borderId="93" xfId="0" applyFont="1" applyFill="1" applyBorder="1" applyAlignment="1">
      <alignment horizontal="center" vertical="center"/>
    </xf>
    <xf numFmtId="0" fontId="157" fillId="40" borderId="94" xfId="0" applyFont="1" applyFill="1" applyBorder="1" applyAlignment="1">
      <alignment horizontal="center" vertical="center"/>
    </xf>
    <xf numFmtId="0" fontId="0" fillId="0" borderId="74" xfId="0" applyFont="1" applyBorder="1" applyAlignment="1">
      <alignment horizontal="center" vertical="center"/>
    </xf>
    <xf numFmtId="0" fontId="0" fillId="0" borderId="63" xfId="0" applyFont="1" applyBorder="1" applyAlignment="1">
      <alignment horizontal="center" vertical="center"/>
    </xf>
    <xf numFmtId="0" fontId="0" fillId="0" borderId="36" xfId="0" applyFont="1" applyBorder="1" applyAlignment="1">
      <alignment horizontal="center" vertical="center"/>
    </xf>
    <xf numFmtId="0" fontId="0" fillId="0" borderId="35" xfId="0" applyFont="1" applyBorder="1" applyAlignment="1">
      <alignment horizontal="center" vertical="center"/>
    </xf>
    <xf numFmtId="0" fontId="196" fillId="0" borderId="0" xfId="0" applyFont="1" applyAlignment="1">
      <alignment horizontal="center" vertical="center"/>
    </xf>
    <xf numFmtId="0" fontId="42" fillId="40" borderId="35" xfId="0" applyFont="1" applyFill="1" applyBorder="1" applyAlignment="1">
      <alignment horizontal="center" vertical="center"/>
    </xf>
    <xf numFmtId="0" fontId="42" fillId="40" borderId="93" xfId="0" applyFont="1" applyFill="1" applyBorder="1" applyAlignment="1">
      <alignment horizontal="center" vertical="center"/>
    </xf>
    <xf numFmtId="0" fontId="42" fillId="40" borderId="54" xfId="0" applyFont="1" applyFill="1" applyBorder="1" applyAlignment="1">
      <alignment horizontal="center" vertical="center"/>
    </xf>
    <xf numFmtId="0" fontId="42" fillId="40" borderId="94" xfId="0" applyFont="1" applyFill="1" applyBorder="1" applyAlignment="1">
      <alignment horizontal="center" vertical="center"/>
    </xf>
    <xf numFmtId="0" fontId="113" fillId="40" borderId="35" xfId="0" applyFont="1" applyFill="1" applyBorder="1" applyAlignment="1">
      <alignment horizontal="center" vertical="center" wrapText="1"/>
    </xf>
    <xf numFmtId="0" fontId="27" fillId="0" borderId="35" xfId="0" applyFont="1" applyBorder="1" applyAlignment="1">
      <alignment horizontal="center" vertical="center"/>
    </xf>
    <xf numFmtId="0" fontId="27" fillId="40" borderId="74" xfId="0" applyFont="1" applyFill="1" applyBorder="1" applyAlignment="1">
      <alignment horizontal="center" vertical="center" wrapText="1"/>
    </xf>
    <xf numFmtId="0" fontId="27" fillId="40" borderId="36" xfId="0" applyFont="1" applyFill="1" applyBorder="1" applyAlignment="1">
      <alignment horizontal="center" vertical="center" wrapText="1"/>
    </xf>
    <xf numFmtId="0" fontId="36" fillId="0" borderId="74" xfId="0" applyFont="1" applyBorder="1" applyAlignment="1">
      <alignment horizontal="center" vertical="center" wrapText="1"/>
    </xf>
    <xf numFmtId="0" fontId="27" fillId="0" borderId="63" xfId="0" applyFont="1" applyBorder="1" applyAlignment="1">
      <alignment horizontal="center" vertical="center" wrapText="1"/>
    </xf>
    <xf numFmtId="0" fontId="27" fillId="0" borderId="36" xfId="0" applyFont="1" applyBorder="1" applyAlignment="1">
      <alignment horizontal="center" vertical="center" wrapText="1"/>
    </xf>
    <xf numFmtId="0" fontId="27" fillId="0" borderId="74" xfId="0" applyFont="1" applyBorder="1" applyAlignment="1">
      <alignment horizontal="center" vertical="center"/>
    </xf>
    <xf numFmtId="0" fontId="27" fillId="0" borderId="63" xfId="0" applyFont="1" applyBorder="1" applyAlignment="1">
      <alignment horizontal="center" vertical="center"/>
    </xf>
    <xf numFmtId="0" fontId="27" fillId="0" borderId="36" xfId="0" applyFont="1" applyBorder="1" applyAlignment="1">
      <alignment horizontal="center" vertical="center"/>
    </xf>
    <xf numFmtId="0" fontId="27" fillId="40" borderId="74" xfId="0" applyFont="1" applyFill="1" applyBorder="1" applyAlignment="1">
      <alignment horizontal="center" vertical="center"/>
    </xf>
    <xf numFmtId="0" fontId="27" fillId="40" borderId="36" xfId="0" applyFont="1" applyFill="1" applyBorder="1" applyAlignment="1">
      <alignment horizontal="center" vertical="center"/>
    </xf>
    <xf numFmtId="0" fontId="27" fillId="40" borderId="35" xfId="0" applyFont="1" applyFill="1" applyBorder="1" applyAlignment="1">
      <alignment horizontal="center" vertical="center"/>
    </xf>
    <xf numFmtId="0" fontId="27" fillId="34" borderId="74" xfId="0" applyFont="1" applyFill="1" applyBorder="1" applyAlignment="1">
      <alignment horizontal="center" vertical="center"/>
    </xf>
    <xf numFmtId="0" fontId="27" fillId="34" borderId="63" xfId="0" applyFont="1" applyFill="1" applyBorder="1" applyAlignment="1">
      <alignment horizontal="center" vertical="center"/>
    </xf>
    <xf numFmtId="0" fontId="27" fillId="34" borderId="36" xfId="0" applyFont="1" applyFill="1" applyBorder="1" applyAlignment="1">
      <alignment horizontal="center" vertical="center"/>
    </xf>
    <xf numFmtId="0" fontId="27" fillId="0" borderId="74" xfId="0" applyFont="1" applyBorder="1" applyAlignment="1">
      <alignment horizontal="center" vertical="center" wrapText="1"/>
    </xf>
    <xf numFmtId="0" fontId="119" fillId="0" borderId="0" xfId="0" applyFont="1" applyAlignment="1">
      <alignment horizontal="center" vertical="center"/>
    </xf>
    <xf numFmtId="0" fontId="27" fillId="40" borderId="93" xfId="0" applyFont="1" applyFill="1" applyBorder="1" applyAlignment="1">
      <alignment horizontal="center" vertical="center"/>
    </xf>
    <xf numFmtId="0" fontId="27" fillId="34" borderId="35" xfId="0" applyFont="1" applyFill="1" applyBorder="1" applyAlignment="1">
      <alignment horizontal="center" vertical="center"/>
    </xf>
    <xf numFmtId="0" fontId="27" fillId="0" borderId="35" xfId="0" applyFont="1" applyBorder="1" applyAlignment="1">
      <alignment horizontal="center" vertical="center" wrapText="1"/>
    </xf>
    <xf numFmtId="0" fontId="36" fillId="0" borderId="35" xfId="0" applyFont="1" applyBorder="1" applyAlignment="1">
      <alignment horizontal="center" vertical="center" wrapText="1"/>
    </xf>
    <xf numFmtId="0" fontId="36" fillId="34" borderId="35" xfId="0" applyFont="1" applyFill="1" applyBorder="1" applyAlignment="1">
      <alignment horizontal="center" vertical="center"/>
    </xf>
    <xf numFmtId="0" fontId="192" fillId="0" borderId="0" xfId="0" applyFont="1" applyFill="1" applyAlignment="1">
      <alignment horizontal="center" vertical="center"/>
    </xf>
    <xf numFmtId="0" fontId="174" fillId="0" borderId="0" xfId="0" applyNumberFormat="1" applyFont="1" applyFill="1" applyAlignment="1">
      <alignment horizontal="center" vertical="center" textRotation="255"/>
    </xf>
    <xf numFmtId="0" fontId="172" fillId="0" borderId="0" xfId="0" applyNumberFormat="1" applyFont="1" applyFill="1" applyAlignment="1">
      <alignment horizontal="center" textRotation="255"/>
    </xf>
    <xf numFmtId="0" fontId="187" fillId="42" borderId="0" xfId="0" applyFont="1" applyFill="1" applyAlignment="1">
      <alignment horizontal="center" vertical="center"/>
    </xf>
    <xf numFmtId="49" fontId="180" fillId="43" borderId="41" xfId="0" applyNumberFormat="1" applyFont="1" applyFill="1" applyBorder="1" applyAlignment="1">
      <alignment horizontal="center" vertical="center"/>
    </xf>
    <xf numFmtId="49" fontId="180" fillId="43" borderId="42" xfId="0" applyNumberFormat="1" applyFont="1" applyFill="1" applyBorder="1" applyAlignment="1">
      <alignment horizontal="center" vertical="center"/>
    </xf>
    <xf numFmtId="49" fontId="180" fillId="43" borderId="43" xfId="0" applyNumberFormat="1" applyFont="1" applyFill="1" applyBorder="1" applyAlignment="1">
      <alignment horizontal="center" vertical="center"/>
    </xf>
    <xf numFmtId="0" fontId="173" fillId="43" borderId="74" xfId="0" applyFont="1" applyFill="1" applyBorder="1" applyAlignment="1">
      <alignment horizontal="center" vertical="center" textRotation="255"/>
    </xf>
    <xf numFmtId="0" fontId="173" fillId="43" borderId="63" xfId="0" applyFont="1" applyFill="1" applyBorder="1" applyAlignment="1">
      <alignment horizontal="center" vertical="center" textRotation="255"/>
    </xf>
    <xf numFmtId="0" fontId="28" fillId="15" borderId="35" xfId="0" applyNumberFormat="1" applyFont="1" applyFill="1" applyBorder="1" applyAlignment="1">
      <alignment horizontal="center" vertical="center" wrapText="1"/>
    </xf>
    <xf numFmtId="0" fontId="173" fillId="8" borderId="0" xfId="0" applyFont="1" applyFill="1" applyAlignment="1">
      <alignment horizontal="center" vertical="center"/>
    </xf>
    <xf numFmtId="0" fontId="174" fillId="18" borderId="35" xfId="0" applyFont="1" applyFill="1" applyBorder="1" applyAlignment="1">
      <alignment horizontal="left" vertical="center"/>
    </xf>
    <xf numFmtId="0" fontId="174" fillId="20" borderId="0" xfId="0" applyFont="1" applyFill="1" applyAlignment="1">
      <alignment horizontal="left" vertical="center"/>
    </xf>
    <xf numFmtId="0" fontId="181" fillId="13" borderId="93" xfId="0" applyFont="1" applyFill="1" applyBorder="1" applyAlignment="1">
      <alignment horizontal="center" vertical="top"/>
    </xf>
    <xf numFmtId="0" fontId="181" fillId="13" borderId="94" xfId="0" applyFont="1" applyFill="1" applyBorder="1" applyAlignment="1">
      <alignment horizontal="center" vertical="top"/>
    </xf>
    <xf numFmtId="0" fontId="172" fillId="13" borderId="93" xfId="0" applyFont="1" applyFill="1" applyBorder="1" applyAlignment="1">
      <alignment horizontal="left" vertical="center"/>
    </xf>
    <xf numFmtId="0" fontId="172" fillId="13" borderId="94" xfId="0" applyFont="1" applyFill="1" applyBorder="1" applyAlignment="1">
      <alignment horizontal="left" vertical="center"/>
    </xf>
    <xf numFmtId="0" fontId="182" fillId="13" borderId="35" xfId="0" applyFont="1" applyFill="1" applyBorder="1" applyAlignment="1">
      <alignment horizontal="left" vertical="center"/>
    </xf>
    <xf numFmtId="0" fontId="180" fillId="13" borderId="35" xfId="0" applyFont="1" applyFill="1" applyBorder="1" applyAlignment="1">
      <alignment horizontal="left"/>
    </xf>
    <xf numFmtId="0" fontId="172" fillId="10" borderId="93" xfId="0" applyFont="1" applyFill="1" applyBorder="1" applyAlignment="1">
      <alignment horizontal="left"/>
    </xf>
    <xf numFmtId="0" fontId="172" fillId="10" borderId="94" xfId="0" applyFont="1" applyFill="1" applyBorder="1" applyAlignment="1">
      <alignment horizontal="left"/>
    </xf>
    <xf numFmtId="0" fontId="172" fillId="0" borderId="57" xfId="0" applyFont="1" applyFill="1" applyBorder="1" applyAlignment="1">
      <alignment horizontal="left"/>
    </xf>
    <xf numFmtId="0" fontId="172" fillId="0" borderId="0" xfId="0" applyFont="1" applyFill="1" applyAlignment="1">
      <alignment horizontal="left"/>
    </xf>
    <xf numFmtId="0" fontId="185" fillId="15" borderId="35" xfId="0" applyFont="1" applyFill="1" applyBorder="1" applyAlignment="1">
      <alignment horizontal="center" vertical="center"/>
    </xf>
    <xf numFmtId="0" fontId="181" fillId="13" borderId="35" xfId="0" applyFont="1" applyFill="1" applyBorder="1" applyAlignment="1">
      <alignment horizontal="center"/>
    </xf>
    <xf numFmtId="0" fontId="173" fillId="34" borderId="0" xfId="0" applyFont="1" applyFill="1" applyAlignment="1">
      <alignment horizontal="center" vertical="center"/>
    </xf>
    <xf numFmtId="0" fontId="173" fillId="13" borderId="0" xfId="0" applyNumberFormat="1" applyFont="1" applyFill="1" applyAlignment="1">
      <alignment horizontal="center" vertical="center" textRotation="255"/>
    </xf>
    <xf numFmtId="0" fontId="178" fillId="20" borderId="74" xfId="0" applyNumberFormat="1" applyFont="1" applyFill="1" applyBorder="1" applyAlignment="1">
      <alignment horizontal="center" vertical="center" wrapText="1"/>
    </xf>
    <xf numFmtId="0" fontId="178" fillId="20" borderId="63" xfId="0" applyNumberFormat="1" applyFont="1" applyFill="1" applyBorder="1" applyAlignment="1">
      <alignment horizontal="center" vertical="center" wrapText="1"/>
    </xf>
    <xf numFmtId="0" fontId="178" fillId="20" borderId="36" xfId="0" applyNumberFormat="1" applyFont="1" applyFill="1" applyBorder="1" applyAlignment="1">
      <alignment horizontal="center" vertical="center" wrapText="1"/>
    </xf>
    <xf numFmtId="0" fontId="180" fillId="15" borderId="35" xfId="0" applyNumberFormat="1" applyFont="1" applyFill="1" applyBorder="1" applyAlignment="1">
      <alignment horizontal="center" vertical="center" textRotation="255"/>
    </xf>
    <xf numFmtId="0" fontId="175" fillId="15" borderId="35" xfId="0" applyFont="1" applyFill="1" applyBorder="1" applyAlignment="1">
      <alignment horizontal="center" vertical="center"/>
    </xf>
    <xf numFmtId="0" fontId="175" fillId="15" borderId="74" xfId="0" applyFont="1" applyFill="1" applyBorder="1" applyAlignment="1">
      <alignment horizontal="center" vertical="center"/>
    </xf>
    <xf numFmtId="0" fontId="175" fillId="15" borderId="36" xfId="0" applyFont="1" applyFill="1" applyBorder="1" applyAlignment="1">
      <alignment horizontal="center" vertical="center"/>
    </xf>
    <xf numFmtId="0" fontId="175" fillId="15" borderId="94" xfId="0" applyFont="1" applyFill="1" applyBorder="1" applyAlignment="1">
      <alignment horizontal="center" vertical="center"/>
    </xf>
    <xf numFmtId="0" fontId="172" fillId="15" borderId="94" xfId="0" applyFont="1" applyFill="1" applyBorder="1" applyAlignment="1">
      <alignment horizontal="center" vertical="center"/>
    </xf>
    <xf numFmtId="0" fontId="147" fillId="15" borderId="35" xfId="0" applyFont="1" applyFill="1" applyBorder="1" applyAlignment="1">
      <alignment horizontal="center" vertical="center"/>
    </xf>
    <xf numFmtId="0" fontId="180" fillId="15" borderId="35" xfId="0" applyFont="1" applyFill="1" applyBorder="1" applyAlignment="1">
      <alignment horizontal="center" vertical="center"/>
    </xf>
    <xf numFmtId="0" fontId="74" fillId="0" borderId="35" xfId="4" applyFont="1" applyFill="1" applyBorder="1" applyAlignment="1">
      <alignment horizontal="center" vertical="center" wrapText="1"/>
    </xf>
    <xf numFmtId="0" fontId="74" fillId="0" borderId="93" xfId="4" applyFont="1" applyFill="1" applyBorder="1" applyAlignment="1">
      <alignment horizontal="center"/>
    </xf>
    <xf numFmtId="0" fontId="74" fillId="0" borderId="54" xfId="4" applyFont="1" applyFill="1" applyBorder="1" applyAlignment="1">
      <alignment horizontal="center"/>
    </xf>
    <xf numFmtId="0" fontId="74" fillId="0" borderId="118" xfId="4" applyFont="1" applyFill="1" applyBorder="1" applyAlignment="1">
      <alignment horizontal="center"/>
    </xf>
    <xf numFmtId="0" fontId="74" fillId="0" borderId="156" xfId="4" applyFont="1" applyFill="1" applyBorder="1" applyAlignment="1">
      <alignment horizontal="center"/>
    </xf>
    <xf numFmtId="0" fontId="74" fillId="0" borderId="153" xfId="4" applyFont="1" applyFill="1" applyBorder="1" applyAlignment="1">
      <alignment horizontal="center"/>
    </xf>
    <xf numFmtId="0" fontId="161" fillId="23" borderId="161" xfId="4" applyFont="1" applyFill="1" applyBorder="1" applyAlignment="1">
      <alignment horizontal="center"/>
    </xf>
    <xf numFmtId="0" fontId="74" fillId="23" borderId="162" xfId="4" applyFont="1" applyFill="1" applyBorder="1" applyAlignment="1">
      <alignment horizontal="center"/>
    </xf>
    <xf numFmtId="0" fontId="161" fillId="0" borderId="93" xfId="4" applyFont="1" applyFill="1" applyBorder="1" applyAlignment="1">
      <alignment horizontal="center"/>
    </xf>
    <xf numFmtId="0" fontId="74" fillId="0" borderId="94" xfId="4" applyFont="1" applyFill="1" applyBorder="1" applyAlignment="1">
      <alignment horizontal="center"/>
    </xf>
    <xf numFmtId="0" fontId="156" fillId="0" borderId="150" xfId="0" applyFont="1" applyFill="1" applyBorder="1" applyAlignment="1">
      <alignment horizontal="center" vertical="center"/>
    </xf>
    <xf numFmtId="0" fontId="156" fillId="0" borderId="151" xfId="0" applyFont="1" applyFill="1" applyBorder="1" applyAlignment="1">
      <alignment horizontal="center" vertical="center"/>
    </xf>
    <xf numFmtId="0" fontId="156" fillId="0" borderId="152" xfId="0" applyFont="1" applyFill="1" applyBorder="1" applyAlignment="1">
      <alignment horizontal="center" vertical="center"/>
    </xf>
    <xf numFmtId="0" fontId="87" fillId="0" borderId="39" xfId="0" applyFont="1" applyFill="1" applyBorder="1" applyAlignment="1">
      <alignment horizontal="center" vertical="center"/>
    </xf>
    <xf numFmtId="0" fontId="87" fillId="0" borderId="35" xfId="0" applyFont="1" applyFill="1" applyBorder="1" applyAlignment="1">
      <alignment horizontal="center" vertical="center"/>
    </xf>
    <xf numFmtId="0" fontId="87" fillId="8" borderId="39" xfId="0" applyFont="1" applyFill="1" applyBorder="1" applyAlignment="1">
      <alignment horizontal="center" vertical="center"/>
    </xf>
    <xf numFmtId="0" fontId="87" fillId="8" borderId="35" xfId="0" applyFont="1" applyFill="1" applyBorder="1" applyAlignment="1">
      <alignment horizontal="center" vertical="center"/>
    </xf>
    <xf numFmtId="0" fontId="158" fillId="0" borderId="0" xfId="0" applyFont="1" applyFill="1" applyAlignment="1">
      <alignment horizontal="left" vertical="center"/>
    </xf>
    <xf numFmtId="0" fontId="0" fillId="0" borderId="0" xfId="0" applyFill="1" applyAlignment="1">
      <alignment horizontal="center" vertical="center"/>
    </xf>
    <xf numFmtId="0" fontId="87" fillId="8" borderId="40" xfId="0" applyFont="1" applyFill="1" applyBorder="1" applyAlignment="1">
      <alignment horizontal="center" vertical="center"/>
    </xf>
    <xf numFmtId="0" fontId="87" fillId="8" borderId="47" xfId="0" applyFont="1" applyFill="1" applyBorder="1" applyAlignment="1">
      <alignment horizontal="center" vertical="center"/>
    </xf>
    <xf numFmtId="0" fontId="87" fillId="0" borderId="97" xfId="0" applyFont="1" applyFill="1" applyBorder="1" applyAlignment="1">
      <alignment horizontal="center" vertical="center"/>
    </xf>
    <xf numFmtId="0" fontId="87" fillId="0" borderId="94" xfId="0" applyFont="1" applyFill="1" applyBorder="1" applyAlignment="1">
      <alignment horizontal="center" vertical="center"/>
    </xf>
    <xf numFmtId="0" fontId="156" fillId="0" borderId="154" xfId="0" applyFont="1" applyFill="1" applyBorder="1" applyAlignment="1">
      <alignment horizontal="center" vertical="center"/>
    </xf>
    <xf numFmtId="0" fontId="156" fillId="0" borderId="95" xfId="0" applyFont="1" applyFill="1" applyBorder="1" applyAlignment="1">
      <alignment horizontal="center" vertical="center"/>
    </xf>
    <xf numFmtId="0" fontId="156" fillId="0" borderId="157" xfId="0" applyFont="1" applyFill="1" applyBorder="1" applyAlignment="1">
      <alignment horizontal="center" vertical="center"/>
    </xf>
    <xf numFmtId="0" fontId="157" fillId="0" borderId="38" xfId="0" applyFont="1" applyFill="1" applyBorder="1" applyAlignment="1">
      <alignment horizontal="center" vertical="center"/>
    </xf>
    <xf numFmtId="0" fontId="157" fillId="0" borderId="44" xfId="0" applyFont="1" applyFill="1" applyBorder="1" applyAlignment="1">
      <alignment horizontal="center" vertical="center"/>
    </xf>
    <xf numFmtId="0" fontId="0" fillId="0" borderId="0" xfId="0" applyNumberFormat="1" applyFont="1" applyFill="1" applyAlignment="1" applyProtection="1">
      <alignment horizontal="left"/>
      <protection locked="0"/>
    </xf>
    <xf numFmtId="0" fontId="0" fillId="0" borderId="54" xfId="0" applyFont="1" applyFill="1" applyBorder="1" applyAlignment="1">
      <alignment horizontal="right"/>
    </xf>
    <xf numFmtId="0" fontId="0" fillId="0" borderId="94" xfId="0" applyFont="1" applyFill="1" applyBorder="1" applyAlignment="1">
      <alignment horizontal="right"/>
    </xf>
    <xf numFmtId="0" fontId="146" fillId="8" borderId="0" xfId="0" applyFont="1" applyFill="1" applyAlignment="1">
      <alignment horizontal="left" vertical="center"/>
    </xf>
    <xf numFmtId="0" fontId="0" fillId="15" borderId="54" xfId="0" applyFont="1" applyFill="1" applyBorder="1" applyAlignment="1">
      <alignment horizontal="right"/>
    </xf>
    <xf numFmtId="0" fontId="0" fillId="15" borderId="94" xfId="0" applyFont="1" applyFill="1" applyBorder="1" applyAlignment="1">
      <alignment horizontal="right"/>
    </xf>
    <xf numFmtId="0" fontId="0" fillId="0" borderId="0" xfId="0" applyAlignment="1">
      <alignment horizontal="right"/>
    </xf>
    <xf numFmtId="0" fontId="0" fillId="15" borderId="0" xfId="0" applyFill="1" applyAlignment="1">
      <alignment horizontal="right"/>
    </xf>
    <xf numFmtId="0" fontId="155" fillId="34" borderId="0" xfId="0" applyFont="1" applyFill="1" applyAlignment="1">
      <alignment horizontal="center" vertical="center"/>
    </xf>
    <xf numFmtId="0" fontId="147" fillId="13" borderId="37" xfId="0" applyNumberFormat="1" applyFont="1" applyFill="1" applyBorder="1" applyAlignment="1">
      <alignment horizontal="center" vertical="center" textRotation="255"/>
    </xf>
    <xf numFmtId="0" fontId="147" fillId="13" borderId="146" xfId="0" applyNumberFormat="1" applyFont="1" applyFill="1" applyBorder="1" applyAlignment="1">
      <alignment horizontal="center" vertical="center" textRotation="255"/>
    </xf>
    <xf numFmtId="0" fontId="147" fillId="13" borderId="147" xfId="0" applyNumberFormat="1" applyFont="1" applyFill="1" applyBorder="1" applyAlignment="1">
      <alignment horizontal="center" vertical="center" textRotation="255"/>
    </xf>
    <xf numFmtId="0" fontId="16" fillId="7" borderId="35" xfId="0" applyNumberFormat="1" applyFont="1" applyFill="1" applyBorder="1" applyAlignment="1">
      <alignment vertical="center" textRotation="255"/>
    </xf>
    <xf numFmtId="0" fontId="152" fillId="7" borderId="35" xfId="0" applyNumberFormat="1" applyFont="1" applyFill="1" applyBorder="1" applyAlignment="1">
      <alignment horizontal="center" vertical="center" textRotation="255"/>
    </xf>
    <xf numFmtId="0" fontId="0" fillId="15" borderId="94" xfId="0" applyFont="1" applyFill="1" applyBorder="1" applyAlignment="1">
      <alignment horizontal="right" vertical="center"/>
    </xf>
    <xf numFmtId="0" fontId="0" fillId="15" borderId="56" xfId="0" applyFont="1" applyFill="1" applyBorder="1" applyAlignment="1">
      <alignment horizontal="right" vertical="center"/>
    </xf>
    <xf numFmtId="0" fontId="0" fillId="15" borderId="60" xfId="0" applyFont="1" applyFill="1" applyBorder="1" applyAlignment="1">
      <alignment horizontal="right" vertical="center"/>
    </xf>
    <xf numFmtId="0" fontId="133" fillId="7" borderId="0" xfId="0" applyFont="1" applyFill="1" applyAlignment="1">
      <alignment horizontal="left" vertical="center"/>
    </xf>
    <xf numFmtId="0" fontId="149" fillId="15" borderId="93" xfId="0" applyFont="1" applyFill="1" applyBorder="1" applyAlignment="1">
      <alignment horizontal="center"/>
    </xf>
    <xf numFmtId="0" fontId="149" fillId="15" borderId="54" xfId="0" applyFont="1" applyFill="1" applyBorder="1" applyAlignment="1">
      <alignment horizontal="center"/>
    </xf>
    <xf numFmtId="0" fontId="149" fillId="15" borderId="94" xfId="0" applyFont="1" applyFill="1" applyBorder="1" applyAlignment="1">
      <alignment horizontal="center"/>
    </xf>
    <xf numFmtId="0" fontId="119" fillId="15" borderId="35" xfId="0" applyFont="1" applyFill="1" applyBorder="1" applyAlignment="1">
      <alignment horizontal="right" vertical="center"/>
    </xf>
    <xf numFmtId="0" fontId="26" fillId="15" borderId="35" xfId="0" applyFont="1" applyFill="1" applyBorder="1" applyAlignment="1">
      <alignment horizontal="right" vertical="center"/>
    </xf>
    <xf numFmtId="0" fontId="0" fillId="15" borderId="35" xfId="0" applyFont="1" applyFill="1" applyBorder="1" applyAlignment="1">
      <alignment horizontal="right" vertical="center"/>
    </xf>
    <xf numFmtId="0" fontId="149" fillId="15" borderId="35" xfId="0" applyFont="1" applyFill="1" applyBorder="1" applyAlignment="1">
      <alignment horizontal="right" vertical="center"/>
    </xf>
    <xf numFmtId="0" fontId="153" fillId="15" borderId="35" xfId="0" applyFont="1" applyFill="1" applyBorder="1" applyAlignment="1">
      <alignment horizontal="right" vertical="center"/>
    </xf>
    <xf numFmtId="0" fontId="149" fillId="15" borderId="55" xfId="0" applyFont="1" applyFill="1" applyBorder="1" applyAlignment="1">
      <alignment horizontal="right" vertical="center"/>
    </xf>
    <xf numFmtId="0" fontId="149" fillId="15" borderId="56" xfId="0" applyFont="1" applyFill="1" applyBorder="1" applyAlignment="1">
      <alignment horizontal="right" vertical="center"/>
    </xf>
    <xf numFmtId="0" fontId="149" fillId="15" borderId="59" xfId="0" applyFont="1" applyFill="1" applyBorder="1" applyAlignment="1">
      <alignment horizontal="right" vertical="center"/>
    </xf>
    <xf numFmtId="0" fontId="149" fillId="15" borderId="60" xfId="0" applyFont="1" applyFill="1" applyBorder="1" applyAlignment="1">
      <alignment horizontal="right" vertical="center"/>
    </xf>
    <xf numFmtId="0" fontId="154" fillId="15" borderId="55" xfId="0" applyFont="1" applyFill="1" applyBorder="1" applyAlignment="1">
      <alignment horizontal="right" vertical="center"/>
    </xf>
    <xf numFmtId="0" fontId="154" fillId="15" borderId="56" xfId="0" applyFont="1" applyFill="1" applyBorder="1" applyAlignment="1">
      <alignment horizontal="right" vertical="center"/>
    </xf>
    <xf numFmtId="0" fontId="154" fillId="15" borderId="59" xfId="0" applyFont="1" applyFill="1" applyBorder="1" applyAlignment="1">
      <alignment horizontal="right" vertical="center"/>
    </xf>
    <xf numFmtId="0" fontId="154" fillId="15" borderId="60" xfId="0" applyFont="1" applyFill="1" applyBorder="1" applyAlignment="1">
      <alignment horizontal="right" vertical="center"/>
    </xf>
    <xf numFmtId="0" fontId="153" fillId="35" borderId="0" xfId="0" applyFont="1" applyFill="1" applyBorder="1" applyAlignment="1">
      <alignment horizontal="center"/>
    </xf>
    <xf numFmtId="0" fontId="153" fillId="35" borderId="0" xfId="0" applyFont="1" applyFill="1" applyAlignment="1">
      <alignment horizontal="center"/>
    </xf>
    <xf numFmtId="0" fontId="0" fillId="0" borderId="0" xfId="0" applyFont="1" applyFill="1" applyAlignment="1">
      <alignment horizontal="left"/>
    </xf>
    <xf numFmtId="0" fontId="0" fillId="0" borderId="54" xfId="0" applyNumberFormat="1" applyFont="1" applyFill="1" applyBorder="1" applyAlignment="1">
      <alignment horizontal="right" wrapText="1"/>
    </xf>
    <xf numFmtId="0" fontId="0" fillId="0" borderId="94" xfId="0" applyNumberFormat="1" applyFont="1" applyFill="1" applyBorder="1" applyAlignment="1">
      <alignment horizontal="right" wrapText="1"/>
    </xf>
    <xf numFmtId="0" fontId="142" fillId="39" borderId="41" xfId="0" applyFont="1" applyFill="1" applyBorder="1" applyAlignment="1">
      <alignment horizontal="center" vertical="center"/>
    </xf>
    <xf numFmtId="0" fontId="143" fillId="39" borderId="42" xfId="0" applyFont="1" applyFill="1" applyBorder="1" applyAlignment="1">
      <alignment horizontal="center" vertical="center"/>
    </xf>
    <xf numFmtId="0" fontId="143" fillId="39" borderId="43" xfId="0" applyFont="1" applyFill="1" applyBorder="1" applyAlignment="1">
      <alignment horizontal="center" vertical="center"/>
    </xf>
    <xf numFmtId="0" fontId="145" fillId="0" borderId="42" xfId="0" applyFont="1" applyFill="1" applyBorder="1" applyAlignment="1">
      <alignment horizontal="center"/>
    </xf>
    <xf numFmtId="0" fontId="145" fillId="0" borderId="43" xfId="0" applyFont="1" applyFill="1" applyBorder="1" applyAlignment="1">
      <alignment horizontal="center"/>
    </xf>
    <xf numFmtId="0" fontId="27" fillId="0" borderId="103" xfId="0" applyFont="1" applyFill="1" applyBorder="1" applyAlignment="1">
      <alignment horizontal="center" vertical="center"/>
    </xf>
    <xf numFmtId="0" fontId="27" fillId="0" borderId="144" xfId="0" applyFont="1" applyFill="1" applyBorder="1" applyAlignment="1">
      <alignment horizontal="center"/>
    </xf>
    <xf numFmtId="0" fontId="27" fillId="0" borderId="103" xfId="0" applyFont="1" applyFill="1" applyBorder="1" applyAlignment="1">
      <alignment horizontal="center"/>
    </xf>
    <xf numFmtId="0" fontId="0" fillId="13" borderId="35" xfId="0" applyFill="1" applyBorder="1" applyAlignment="1">
      <alignment horizontal="left"/>
    </xf>
    <xf numFmtId="0" fontId="0" fillId="14" borderId="35" xfId="0" applyFill="1" applyBorder="1" applyAlignment="1">
      <alignment horizontal="center"/>
    </xf>
    <xf numFmtId="0" fontId="0" fillId="14" borderId="46" xfId="0" applyFill="1" applyBorder="1" applyAlignment="1">
      <alignment horizontal="center"/>
    </xf>
    <xf numFmtId="0" fontId="27" fillId="12" borderId="144" xfId="0" applyFont="1" applyFill="1" applyBorder="1" applyAlignment="1">
      <alignment horizontal="center"/>
    </xf>
    <xf numFmtId="0" fontId="27" fillId="12" borderId="129" xfId="0" applyFont="1" applyFill="1" applyBorder="1" applyAlignment="1">
      <alignment horizontal="center"/>
    </xf>
    <xf numFmtId="0" fontId="27" fillId="12" borderId="22" xfId="0" applyFont="1" applyFill="1" applyBorder="1" applyAlignment="1">
      <alignment horizontal="left"/>
    </xf>
    <xf numFmtId="0" fontId="0" fillId="0" borderId="0" xfId="0" applyAlignment="1">
      <alignment horizontal="center"/>
    </xf>
    <xf numFmtId="0" fontId="0" fillId="13" borderId="47" xfId="0" applyFill="1" applyBorder="1" applyAlignment="1">
      <alignment horizontal="left"/>
    </xf>
    <xf numFmtId="0" fontId="0" fillId="14" borderId="47" xfId="0" applyFill="1" applyBorder="1" applyAlignment="1">
      <alignment horizontal="center"/>
    </xf>
    <xf numFmtId="0" fontId="0" fillId="14" borderId="48" xfId="0" applyFill="1" applyBorder="1" applyAlignment="1">
      <alignment horizontal="center"/>
    </xf>
    <xf numFmtId="0" fontId="0" fillId="13" borderId="39" xfId="0" applyFill="1" applyBorder="1" applyAlignment="1">
      <alignment horizontal="center" vertical="center"/>
    </xf>
    <xf numFmtId="0" fontId="0" fillId="13" borderId="40" xfId="0" applyFill="1" applyBorder="1" applyAlignment="1">
      <alignment horizontal="center" vertical="center"/>
    </xf>
    <xf numFmtId="0" fontId="133" fillId="38" borderId="0" xfId="0" applyNumberFormat="1" applyFont="1" applyFill="1" applyBorder="1" applyAlignment="1" applyProtection="1">
      <alignment horizontal="center" vertical="center"/>
      <protection locked="0"/>
    </xf>
    <xf numFmtId="0" fontId="23" fillId="38" borderId="0" xfId="0" applyNumberFormat="1" applyFont="1" applyFill="1" applyBorder="1" applyAlignment="1" applyProtection="1">
      <alignment horizontal="center" vertical="center"/>
      <protection locked="0"/>
    </xf>
    <xf numFmtId="0" fontId="134" fillId="35" borderId="0" xfId="0" applyNumberFormat="1" applyFont="1" applyFill="1" applyBorder="1" applyAlignment="1" applyProtection="1">
      <alignment horizontal="left" vertical="center"/>
      <protection locked="0"/>
    </xf>
    <xf numFmtId="0" fontId="12" fillId="35" borderId="0" xfId="0" applyNumberFormat="1" applyFont="1" applyFill="1" applyBorder="1" applyAlignment="1" applyProtection="1">
      <alignment horizontal="left" vertical="center"/>
      <protection locked="0"/>
    </xf>
    <xf numFmtId="0" fontId="12" fillId="20" borderId="35" xfId="0" applyNumberFormat="1" applyFont="1" applyFill="1" applyBorder="1" applyAlignment="1" applyProtection="1">
      <alignment horizontal="center" vertical="center"/>
      <protection locked="0"/>
    </xf>
    <xf numFmtId="0" fontId="136" fillId="0" borderId="0" xfId="0" applyNumberFormat="1" applyFont="1" applyFill="1" applyBorder="1" applyAlignment="1" applyProtection="1">
      <alignment horizontal="right" vertical="center"/>
      <protection locked="0"/>
    </xf>
    <xf numFmtId="0" fontId="137" fillId="0" borderId="0" xfId="0" applyNumberFormat="1" applyFont="1" applyFill="1" applyBorder="1" applyAlignment="1" applyProtection="1">
      <alignment horizontal="center" vertical="center"/>
      <protection locked="0"/>
    </xf>
    <xf numFmtId="0" fontId="131" fillId="35" borderId="0" xfId="0" applyFont="1" applyFill="1" applyAlignment="1" applyProtection="1">
      <alignment horizontal="center" vertical="center"/>
      <protection locked="0"/>
    </xf>
    <xf numFmtId="0" fontId="132" fillId="35" borderId="130" xfId="0" applyFont="1" applyFill="1" applyBorder="1" applyAlignment="1" applyProtection="1">
      <alignment horizontal="center" vertical="center"/>
      <protection locked="0"/>
    </xf>
    <xf numFmtId="0" fontId="132" fillId="35" borderId="54" xfId="0" applyFont="1" applyFill="1" applyBorder="1" applyAlignment="1" applyProtection="1">
      <alignment horizontal="center" vertical="center"/>
      <protection locked="0"/>
    </xf>
    <xf numFmtId="0" fontId="132" fillId="35" borderId="94" xfId="0" applyFont="1" applyFill="1" applyBorder="1" applyAlignment="1" applyProtection="1">
      <alignment horizontal="center" vertical="center"/>
      <protection locked="0"/>
    </xf>
    <xf numFmtId="0" fontId="12" fillId="35" borderId="93" xfId="0" applyFont="1" applyFill="1" applyBorder="1" applyAlignment="1" applyProtection="1">
      <alignment horizontal="center" vertical="center"/>
      <protection locked="0"/>
    </xf>
    <xf numFmtId="0" fontId="12" fillId="35" borderId="54" xfId="0" applyFont="1" applyFill="1" applyBorder="1" applyAlignment="1" applyProtection="1">
      <alignment horizontal="center" vertical="center"/>
      <protection locked="0"/>
    </xf>
    <xf numFmtId="0" fontId="12" fillId="35" borderId="94" xfId="0" applyFont="1" applyFill="1" applyBorder="1" applyAlignment="1" applyProtection="1">
      <alignment horizontal="center" vertical="center"/>
      <protection locked="0"/>
    </xf>
    <xf numFmtId="0" fontId="132" fillId="35" borderId="133" xfId="0" applyFont="1" applyFill="1" applyBorder="1" applyAlignment="1" applyProtection="1">
      <alignment horizontal="center" vertical="center"/>
      <protection locked="0"/>
    </xf>
    <xf numFmtId="0" fontId="132" fillId="35" borderId="134" xfId="0" applyFont="1" applyFill="1" applyBorder="1" applyAlignment="1" applyProtection="1">
      <alignment horizontal="center" vertical="center"/>
      <protection locked="0"/>
    </xf>
    <xf numFmtId="0" fontId="132" fillId="35" borderId="107" xfId="0" applyFont="1" applyFill="1" applyBorder="1" applyAlignment="1" applyProtection="1">
      <alignment horizontal="center" vertical="center"/>
      <protection locked="0"/>
    </xf>
    <xf numFmtId="0" fontId="12" fillId="35" borderId="140" xfId="0" applyFont="1" applyFill="1" applyBorder="1" applyAlignment="1" applyProtection="1">
      <alignment horizontal="center" vertical="center"/>
      <protection locked="0"/>
    </xf>
    <xf numFmtId="0" fontId="42" fillId="35" borderId="131" xfId="0" applyFont="1" applyFill="1" applyBorder="1" applyAlignment="1" applyProtection="1">
      <alignment horizontal="left" vertical="center" wrapText="1"/>
      <protection locked="0"/>
    </xf>
    <xf numFmtId="0" fontId="42" fillId="35" borderId="61" xfId="0" applyFont="1" applyFill="1" applyBorder="1" applyAlignment="1" applyProtection="1">
      <alignment horizontal="left" vertical="center" wrapText="1"/>
      <protection locked="0"/>
    </xf>
    <xf numFmtId="0" fontId="42" fillId="35" borderId="138" xfId="0" applyFont="1" applyFill="1" applyBorder="1" applyAlignment="1" applyProtection="1">
      <alignment horizontal="left" vertical="center" wrapText="1"/>
      <protection locked="0"/>
    </xf>
    <xf numFmtId="0" fontId="42" fillId="35" borderId="132" xfId="0" applyFont="1" applyFill="1" applyBorder="1" applyAlignment="1" applyProtection="1">
      <alignment horizontal="left" vertical="center" wrapText="1"/>
      <protection locked="0"/>
    </xf>
    <xf numFmtId="0" fontId="42" fillId="35" borderId="103" xfId="0" applyFont="1" applyFill="1" applyBorder="1" applyAlignment="1" applyProtection="1">
      <alignment horizontal="left" vertical="center" wrapText="1"/>
      <protection locked="0"/>
    </xf>
    <xf numFmtId="0" fontId="42" fillId="35" borderId="139" xfId="0" applyFont="1" applyFill="1" applyBorder="1" applyAlignment="1" applyProtection="1">
      <alignment horizontal="left" vertical="center" wrapText="1"/>
      <protection locked="0"/>
    </xf>
    <xf numFmtId="0" fontId="61" fillId="35" borderId="110" xfId="0" applyFont="1" applyFill="1" applyBorder="1" applyAlignment="1" applyProtection="1">
      <alignment horizontal="center" vertical="center" wrapText="1"/>
      <protection locked="0"/>
    </xf>
    <xf numFmtId="0" fontId="61" fillId="35" borderId="35" xfId="0" applyFont="1" applyFill="1" applyBorder="1" applyAlignment="1" applyProtection="1">
      <alignment horizontal="center" vertical="center" wrapText="1"/>
      <protection locked="0"/>
    </xf>
    <xf numFmtId="0" fontId="61" fillId="35" borderId="109" xfId="0" applyFont="1" applyFill="1" applyBorder="1" applyAlignment="1" applyProtection="1">
      <alignment horizontal="center" vertical="center" wrapText="1"/>
      <protection locked="0"/>
    </xf>
    <xf numFmtId="0" fontId="61" fillId="35" borderId="111" xfId="0" applyFont="1" applyFill="1" applyBorder="1" applyAlignment="1" applyProtection="1">
      <alignment horizontal="center" vertical="center" wrapText="1"/>
      <protection locked="0"/>
    </xf>
    <xf numFmtId="0" fontId="61" fillId="35" borderId="81" xfId="0" applyFont="1" applyFill="1" applyBorder="1" applyAlignment="1" applyProtection="1">
      <alignment horizontal="center" vertical="center" wrapText="1"/>
      <protection locked="0"/>
    </xf>
    <xf numFmtId="0" fontId="61" fillId="35" borderId="112" xfId="0" applyFont="1" applyFill="1" applyBorder="1" applyAlignment="1" applyProtection="1">
      <alignment horizontal="center" vertical="center" wrapText="1"/>
      <protection locked="0"/>
    </xf>
    <xf numFmtId="0" fontId="12" fillId="35" borderId="35" xfId="0" applyFont="1" applyFill="1" applyBorder="1" applyAlignment="1" applyProtection="1">
      <alignment horizontal="center" vertical="center"/>
      <protection locked="0"/>
    </xf>
    <xf numFmtId="0" fontId="12" fillId="35" borderId="109" xfId="0" applyFont="1" applyFill="1" applyBorder="1" applyAlignment="1" applyProtection="1">
      <alignment horizontal="center" vertical="center"/>
      <protection locked="0"/>
    </xf>
    <xf numFmtId="0" fontId="12" fillId="35" borderId="93" xfId="0" applyFont="1" applyFill="1" applyBorder="1" applyAlignment="1" applyProtection="1">
      <alignment horizontal="left" vertical="center"/>
      <protection locked="0"/>
    </xf>
    <xf numFmtId="0" fontId="12" fillId="35" borderId="54" xfId="0" applyFont="1" applyFill="1" applyBorder="1" applyAlignment="1" applyProtection="1">
      <alignment horizontal="left" vertical="center"/>
      <protection locked="0"/>
    </xf>
    <xf numFmtId="0" fontId="12" fillId="35" borderId="94" xfId="0" applyFont="1" applyFill="1" applyBorder="1" applyAlignment="1" applyProtection="1">
      <alignment horizontal="left" vertical="center"/>
      <protection locked="0"/>
    </xf>
    <xf numFmtId="0" fontId="89" fillId="0" borderId="0" xfId="0" applyFont="1" applyFill="1" applyAlignment="1">
      <alignment horizontal="center" vertical="center"/>
    </xf>
    <xf numFmtId="0" fontId="95" fillId="0" borderId="0" xfId="0" applyFont="1" applyFill="1" applyAlignment="1">
      <alignment horizontal="center" vertical="center"/>
    </xf>
    <xf numFmtId="0" fontId="88" fillId="0" borderId="35" xfId="0" applyFont="1" applyFill="1" applyBorder="1" applyAlignment="1">
      <alignment horizontal="center" vertical="center"/>
    </xf>
    <xf numFmtId="188" fontId="88" fillId="0" borderId="35" xfId="0" applyNumberFormat="1" applyFont="1" applyFill="1" applyBorder="1" applyAlignment="1">
      <alignment horizontal="center" vertical="center"/>
    </xf>
    <xf numFmtId="0" fontId="0" fillId="15" borderId="3" xfId="0" applyFill="1" applyBorder="1" applyAlignment="1">
      <alignment horizontal="left" wrapText="1"/>
    </xf>
    <xf numFmtId="0" fontId="0" fillId="15" borderId="0" xfId="0" applyFill="1" applyAlignment="1">
      <alignment horizontal="left" wrapText="1"/>
    </xf>
    <xf numFmtId="0" fontId="0" fillId="15" borderId="29" xfId="0" applyFill="1" applyBorder="1" applyAlignment="1">
      <alignment horizontal="left" wrapText="1"/>
    </xf>
    <xf numFmtId="0" fontId="130" fillId="33" borderId="0" xfId="0" applyFont="1" applyFill="1" applyAlignment="1">
      <alignment horizontal="center" vertical="center" wrapText="1"/>
    </xf>
    <xf numFmtId="0" fontId="0" fillId="0" borderId="122" xfId="0" applyFill="1" applyBorder="1" applyAlignment="1">
      <alignment horizontal="center" wrapText="1"/>
    </xf>
    <xf numFmtId="0" fontId="0" fillId="0" borderId="123" xfId="0" applyFill="1" applyBorder="1" applyAlignment="1">
      <alignment horizontal="center" wrapText="1"/>
    </xf>
    <xf numFmtId="0" fontId="0" fillId="0" borderId="127" xfId="0" applyFill="1" applyBorder="1" applyAlignment="1">
      <alignment horizontal="center" wrapText="1"/>
    </xf>
    <xf numFmtId="0" fontId="0" fillId="0" borderId="126" xfId="0" applyBorder="1" applyAlignment="1">
      <alignment wrapText="1"/>
    </xf>
    <xf numFmtId="0" fontId="0" fillId="15" borderId="1" xfId="0" applyFill="1" applyBorder="1" applyAlignment="1">
      <alignment horizontal="left" wrapText="1"/>
    </xf>
    <xf numFmtId="0" fontId="0" fillId="15" borderId="2" xfId="0" applyFill="1" applyBorder="1" applyAlignment="1">
      <alignment horizontal="left" wrapText="1"/>
    </xf>
    <xf numFmtId="0" fontId="0" fillId="15" borderId="28" xfId="0" applyFill="1" applyBorder="1" applyAlignment="1">
      <alignment horizontal="left" wrapText="1"/>
    </xf>
    <xf numFmtId="0" fontId="16" fillId="34" borderId="121" xfId="0" applyFont="1" applyFill="1" applyBorder="1" applyAlignment="1">
      <alignment horizontal="center" vertical="center" wrapText="1"/>
    </xf>
    <xf numFmtId="0" fontId="16" fillId="34" borderId="124" xfId="0" applyFont="1" applyFill="1" applyBorder="1" applyAlignment="1">
      <alignment horizontal="center" vertical="center" wrapText="1"/>
    </xf>
    <xf numFmtId="0" fontId="0" fillId="0" borderId="121" xfId="0" applyFill="1" applyBorder="1" applyAlignment="1">
      <alignment horizontal="center" wrapText="1"/>
    </xf>
    <xf numFmtId="0" fontId="0" fillId="0" borderId="124" xfId="0" applyFill="1" applyBorder="1" applyAlignment="1">
      <alignment horizontal="center" wrapText="1"/>
    </xf>
    <xf numFmtId="0" fontId="0" fillId="15" borderId="21" xfId="0" applyFill="1" applyBorder="1" applyAlignment="1">
      <alignment horizontal="left" wrapText="1"/>
    </xf>
    <xf numFmtId="0" fontId="0" fillId="15" borderId="22" xfId="0" applyFill="1" applyBorder="1" applyAlignment="1">
      <alignment horizontal="left" wrapText="1"/>
    </xf>
    <xf numFmtId="0" fontId="0" fillId="15" borderId="34" xfId="0" applyFill="1" applyBorder="1" applyAlignment="1">
      <alignment horizontal="left" wrapText="1"/>
    </xf>
    <xf numFmtId="0" fontId="129" fillId="0" borderId="0" xfId="0" applyFont="1" applyAlignment="1">
      <alignment horizontal="center"/>
    </xf>
    <xf numFmtId="0" fontId="42" fillId="0" borderId="0" xfId="0" applyFont="1" applyAlignment="1">
      <alignment horizontal="center"/>
    </xf>
    <xf numFmtId="0" fontId="27" fillId="0" borderId="1" xfId="0" applyFont="1" applyBorder="1" applyAlignment="1">
      <alignment horizontal="left" wrapText="1"/>
    </xf>
    <xf numFmtId="0" fontId="27" fillId="0" borderId="2" xfId="0" applyFont="1" applyBorder="1" applyAlignment="1">
      <alignment horizontal="left" wrapText="1"/>
    </xf>
    <xf numFmtId="0" fontId="27" fillId="0" borderId="28" xfId="0" applyFont="1" applyBorder="1" applyAlignment="1">
      <alignment horizontal="left" wrapText="1"/>
    </xf>
    <xf numFmtId="0" fontId="0" fillId="0" borderId="61" xfId="0" applyFill="1" applyBorder="1" applyAlignment="1">
      <alignment horizontal="center" vertical="center"/>
    </xf>
    <xf numFmtId="0" fontId="0" fillId="0" borderId="61" xfId="0" applyNumberFormat="1" applyFill="1" applyBorder="1" applyAlignment="1">
      <alignment horizontal="center" vertical="center"/>
    </xf>
    <xf numFmtId="185" fontId="0" fillId="0" borderId="53" xfId="0" applyNumberFormat="1" applyFill="1" applyBorder="1" applyAlignment="1">
      <alignment horizontal="center" vertical="center"/>
    </xf>
    <xf numFmtId="0" fontId="0" fillId="0" borderId="53" xfId="0" applyFill="1" applyBorder="1" applyAlignment="1">
      <alignment horizontal="center" vertical="center"/>
    </xf>
    <xf numFmtId="0" fontId="124" fillId="33" borderId="0" xfId="0" applyFont="1" applyFill="1" applyAlignment="1">
      <alignment horizontal="center" vertical="center"/>
    </xf>
    <xf numFmtId="0" fontId="72" fillId="33" borderId="0" xfId="0" applyFont="1" applyFill="1" applyAlignment="1">
      <alignment horizontal="center" vertical="center"/>
    </xf>
    <xf numFmtId="0" fontId="0" fillId="0" borderId="0" xfId="0" applyFill="1" applyAlignment="1">
      <alignment horizontal="left" vertical="top"/>
    </xf>
    <xf numFmtId="0" fontId="17" fillId="0" borderId="0" xfId="0" applyFont="1" applyAlignment="1">
      <alignment horizontal="left"/>
    </xf>
    <xf numFmtId="0" fontId="0" fillId="0" borderId="104" xfId="0" applyBorder="1" applyAlignment="1">
      <alignment horizontal="center" vertical="center"/>
    </xf>
    <xf numFmtId="0" fontId="0" fillId="0" borderId="108" xfId="0" applyBorder="1" applyAlignment="1">
      <alignment horizontal="center" vertical="center"/>
    </xf>
    <xf numFmtId="0" fontId="0" fillId="0" borderId="105" xfId="0" applyBorder="1" applyAlignment="1">
      <alignment horizontal="center" vertical="center" wrapText="1"/>
    </xf>
    <xf numFmtId="0" fontId="0" fillId="0" borderId="36" xfId="0" applyBorder="1" applyAlignment="1">
      <alignment horizontal="center" vertical="center" wrapText="1"/>
    </xf>
    <xf numFmtId="0" fontId="118" fillId="0" borderId="113" xfId="0" applyFont="1" applyBorder="1" applyAlignment="1">
      <alignment horizontal="center" vertical="center"/>
    </xf>
    <xf numFmtId="0" fontId="118" fillId="0" borderId="83" xfId="0" applyFont="1" applyBorder="1" applyAlignment="1">
      <alignment horizontal="center" vertical="center"/>
    </xf>
    <xf numFmtId="0" fontId="118" fillId="0" borderId="114" xfId="0" applyFont="1" applyBorder="1" applyAlignment="1">
      <alignment horizontal="center" vertical="center"/>
    </xf>
    <xf numFmtId="0" fontId="118" fillId="0" borderId="110" xfId="0" applyFont="1" applyBorder="1" applyAlignment="1">
      <alignment horizontal="center" vertical="center"/>
    </xf>
    <xf numFmtId="0" fontId="118" fillId="0" borderId="35" xfId="0" applyFont="1" applyBorder="1" applyAlignment="1">
      <alignment horizontal="center" vertical="center"/>
    </xf>
    <xf numFmtId="0" fontId="118" fillId="0" borderId="109" xfId="0" applyFont="1" applyBorder="1" applyAlignment="1">
      <alignment horizontal="center" vertical="center"/>
    </xf>
    <xf numFmtId="0" fontId="87" fillId="0" borderId="103" xfId="0" applyFont="1" applyBorder="1" applyAlignment="1">
      <alignment horizontal="center"/>
    </xf>
    <xf numFmtId="0" fontId="16" fillId="0" borderId="103" xfId="0" applyFont="1" applyBorder="1" applyAlignment="1">
      <alignment horizontal="center"/>
    </xf>
    <xf numFmtId="0" fontId="0" fillId="0" borderId="106" xfId="0" applyBorder="1" applyAlignment="1">
      <alignment horizontal="center" vertical="center" wrapText="1"/>
    </xf>
    <xf numFmtId="0" fontId="0" fillId="0" borderId="107" xfId="0" applyBorder="1" applyAlignment="1">
      <alignment horizontal="center" vertical="center" wrapText="1"/>
    </xf>
    <xf numFmtId="0" fontId="0" fillId="0" borderId="0" xfId="0" applyAlignment="1">
      <alignment horizontal="left"/>
    </xf>
    <xf numFmtId="0" fontId="0" fillId="0" borderId="106" xfId="0" applyBorder="1" applyAlignment="1">
      <alignment horizontal="center" vertical="center"/>
    </xf>
    <xf numFmtId="0" fontId="0" fillId="0" borderId="107" xfId="0" applyBorder="1" applyAlignment="1">
      <alignment horizontal="center" vertical="center"/>
    </xf>
    <xf numFmtId="0" fontId="17" fillId="0" borderId="0" xfId="0" applyFont="1" applyAlignment="1" applyProtection="1">
      <alignment horizontal="left"/>
      <protection hidden="1"/>
    </xf>
    <xf numFmtId="0" fontId="67" fillId="29" borderId="0" xfId="0" applyFont="1" applyFill="1" applyAlignment="1">
      <alignment horizontal="center" vertical="center"/>
    </xf>
    <xf numFmtId="0" fontId="88" fillId="30" borderId="53" xfId="0" applyFont="1" applyFill="1" applyBorder="1" applyAlignment="1">
      <alignment horizontal="left" vertical="center"/>
    </xf>
    <xf numFmtId="0" fontId="28" fillId="0" borderId="0" xfId="0" applyFont="1" applyFill="1" applyAlignment="1">
      <alignment horizontal="center" vertical="center"/>
    </xf>
    <xf numFmtId="0" fontId="0" fillId="22" borderId="93" xfId="0" applyFont="1" applyFill="1" applyBorder="1" applyAlignment="1">
      <alignment horizontal="center" vertical="center"/>
    </xf>
    <xf numFmtId="0" fontId="0" fillId="22" borderId="54" xfId="0" applyFont="1" applyFill="1" applyBorder="1" applyAlignment="1">
      <alignment horizontal="center" vertical="center"/>
    </xf>
    <xf numFmtId="0" fontId="0" fillId="22" borderId="94" xfId="0" applyFont="1" applyFill="1" applyBorder="1" applyAlignment="1">
      <alignment horizontal="center" vertical="center"/>
    </xf>
    <xf numFmtId="0" fontId="0" fillId="0" borderId="93" xfId="0" applyFont="1" applyFill="1" applyBorder="1" applyAlignment="1">
      <alignment horizontal="center" vertical="center"/>
    </xf>
    <xf numFmtId="0" fontId="0" fillId="0" borderId="54" xfId="0" applyFont="1" applyFill="1" applyBorder="1" applyAlignment="1">
      <alignment horizontal="center" vertical="center"/>
    </xf>
    <xf numFmtId="0" fontId="0" fillId="0" borderId="94" xfId="0" applyFont="1" applyFill="1" applyBorder="1" applyAlignment="1">
      <alignment horizontal="center" vertical="center"/>
    </xf>
    <xf numFmtId="0" fontId="0" fillId="22" borderId="93" xfId="0" applyFont="1" applyFill="1" applyBorder="1" applyAlignment="1">
      <alignment horizontal="center" vertical="center" wrapText="1"/>
    </xf>
    <xf numFmtId="0" fontId="0" fillId="22" borderId="54" xfId="0" applyFont="1" applyFill="1" applyBorder="1" applyAlignment="1">
      <alignment horizontal="center" vertical="center" wrapText="1"/>
    </xf>
    <xf numFmtId="0" fontId="0" fillId="22" borderId="94" xfId="0" applyFont="1" applyFill="1" applyBorder="1" applyAlignment="1">
      <alignment horizontal="center" vertical="center" wrapText="1"/>
    </xf>
    <xf numFmtId="0" fontId="0" fillId="28" borderId="93" xfId="0" applyFont="1" applyFill="1" applyBorder="1" applyAlignment="1">
      <alignment horizontal="center" vertical="center"/>
    </xf>
    <xf numFmtId="0" fontId="0" fillId="28" borderId="54" xfId="0" applyFont="1" applyFill="1" applyBorder="1" applyAlignment="1">
      <alignment horizontal="center" vertical="center"/>
    </xf>
    <xf numFmtId="0" fontId="0" fillId="28" borderId="94" xfId="0" applyFont="1" applyFill="1" applyBorder="1" applyAlignment="1">
      <alignment horizontal="center" vertical="center"/>
    </xf>
    <xf numFmtId="0" fontId="14" fillId="2" borderId="0" xfId="0" applyNumberFormat="1" applyFont="1" applyFill="1" applyAlignment="1">
      <alignment horizontal="center" vertical="center" textRotation="255"/>
    </xf>
    <xf numFmtId="0" fontId="0" fillId="0" borderId="35" xfId="0" applyFont="1" applyFill="1" applyBorder="1" applyAlignment="1">
      <alignment horizontal="center" vertical="center" textRotation="255" wrapText="1"/>
    </xf>
    <xf numFmtId="0" fontId="0" fillId="0" borderId="74" xfId="0" applyFont="1" applyFill="1" applyBorder="1" applyAlignment="1">
      <alignment horizontal="center" vertical="center"/>
    </xf>
    <xf numFmtId="0" fontId="0" fillId="0" borderId="36" xfId="0" applyFont="1" applyFill="1" applyBorder="1" applyAlignment="1">
      <alignment horizontal="center" vertical="center"/>
    </xf>
    <xf numFmtId="0" fontId="0" fillId="0" borderId="55" xfId="0" applyFont="1" applyFill="1" applyBorder="1" applyAlignment="1">
      <alignment horizontal="center" vertical="center"/>
    </xf>
    <xf numFmtId="0" fontId="0" fillId="0" borderId="61" xfId="0" applyFont="1" applyFill="1" applyBorder="1" applyAlignment="1">
      <alignment horizontal="center" vertical="center"/>
    </xf>
    <xf numFmtId="0" fontId="0" fillId="0" borderId="56" xfId="0" applyFont="1" applyFill="1" applyBorder="1" applyAlignment="1">
      <alignment horizontal="center" vertical="center"/>
    </xf>
    <xf numFmtId="0" fontId="0" fillId="0" borderId="59" xfId="0" applyFont="1" applyFill="1" applyBorder="1" applyAlignment="1">
      <alignment horizontal="center" vertical="center"/>
    </xf>
    <xf numFmtId="0" fontId="0" fillId="0" borderId="53" xfId="0" applyFont="1" applyFill="1" applyBorder="1" applyAlignment="1">
      <alignment horizontal="center" vertical="center"/>
    </xf>
    <xf numFmtId="0" fontId="0" fillId="0" borderId="60" xfId="0" applyFont="1" applyFill="1" applyBorder="1" applyAlignment="1">
      <alignment horizontal="center" vertical="center"/>
    </xf>
    <xf numFmtId="0" fontId="75" fillId="0" borderId="0" xfId="0" applyFont="1" applyFill="1" applyAlignment="1">
      <alignment horizontal="center" vertical="center"/>
    </xf>
    <xf numFmtId="0" fontId="66" fillId="0" borderId="35" xfId="0" applyFont="1" applyFill="1" applyBorder="1" applyAlignment="1">
      <alignment horizontal="center" vertical="center"/>
    </xf>
    <xf numFmtId="0" fontId="76" fillId="10" borderId="93" xfId="0" applyFont="1" applyFill="1" applyBorder="1" applyAlignment="1">
      <alignment horizontal="center" vertical="center"/>
    </xf>
    <xf numFmtId="0" fontId="76" fillId="10" borderId="54" xfId="0" applyFont="1" applyFill="1" applyBorder="1" applyAlignment="1">
      <alignment horizontal="center" vertical="center"/>
    </xf>
    <xf numFmtId="0" fontId="76" fillId="10" borderId="94" xfId="0" applyFont="1" applyFill="1" applyBorder="1" applyAlignment="1">
      <alignment horizontal="center" vertical="center"/>
    </xf>
    <xf numFmtId="0" fontId="66" fillId="0" borderId="74" xfId="0" applyFont="1" applyFill="1" applyBorder="1" applyAlignment="1">
      <alignment horizontal="center" vertical="center"/>
    </xf>
    <xf numFmtId="0" fontId="66" fillId="0" borderId="93" xfId="0" applyFont="1" applyFill="1" applyBorder="1" applyAlignment="1">
      <alignment horizontal="center" vertical="center"/>
    </xf>
    <xf numFmtId="0" fontId="66" fillId="0" borderId="54" xfId="0" applyFont="1" applyFill="1" applyBorder="1" applyAlignment="1">
      <alignment horizontal="center" vertical="center"/>
    </xf>
    <xf numFmtId="0" fontId="66" fillId="0" borderId="94" xfId="0" applyFont="1" applyFill="1" applyBorder="1" applyAlignment="1">
      <alignment horizontal="center" vertical="center"/>
    </xf>
    <xf numFmtId="0" fontId="66" fillId="0" borderId="63" xfId="0" applyFont="1" applyFill="1" applyBorder="1" applyAlignment="1">
      <alignment horizontal="center" vertical="center"/>
    </xf>
    <xf numFmtId="0" fontId="66" fillId="0" borderId="36" xfId="0" applyFont="1" applyFill="1" applyBorder="1" applyAlignment="1">
      <alignment horizontal="center" vertical="center"/>
    </xf>
    <xf numFmtId="0" fontId="76" fillId="10" borderId="35" xfId="0" applyFont="1" applyFill="1" applyBorder="1" applyAlignment="1">
      <alignment horizontal="center" vertical="center"/>
    </xf>
    <xf numFmtId="0" fontId="115" fillId="0" borderId="0" xfId="0" applyFont="1" applyFill="1" applyAlignment="1">
      <alignment horizontal="center" vertical="center"/>
    </xf>
    <xf numFmtId="0" fontId="20" fillId="0" borderId="93" xfId="0" applyFont="1" applyFill="1" applyBorder="1" applyAlignment="1">
      <alignment horizontal="center" vertical="center"/>
    </xf>
    <xf numFmtId="0" fontId="20" fillId="0" borderId="94" xfId="0" applyFont="1" applyFill="1" applyBorder="1" applyAlignment="1">
      <alignment horizontal="center" vertical="center"/>
    </xf>
    <xf numFmtId="0" fontId="20" fillId="0" borderId="74" xfId="0" applyFont="1" applyFill="1" applyBorder="1" applyAlignment="1">
      <alignment horizontal="center" vertical="center" textRotation="255"/>
    </xf>
    <xf numFmtId="0" fontId="20" fillId="0" borderId="63" xfId="0" applyFont="1" applyFill="1" applyBorder="1" applyAlignment="1">
      <alignment horizontal="center" vertical="center" textRotation="255"/>
    </xf>
    <xf numFmtId="0" fontId="20" fillId="0" borderId="36" xfId="0" applyFont="1" applyFill="1" applyBorder="1" applyAlignment="1">
      <alignment horizontal="center" vertical="center" textRotation="255"/>
    </xf>
    <xf numFmtId="0" fontId="20" fillId="0" borderId="74" xfId="0" applyFont="1" applyFill="1" applyBorder="1" applyAlignment="1">
      <alignment horizontal="left" vertical="center"/>
    </xf>
    <xf numFmtId="0" fontId="20" fillId="0" borderId="36" xfId="0" applyFont="1" applyFill="1" applyBorder="1" applyAlignment="1">
      <alignment horizontal="left" vertical="center"/>
    </xf>
    <xf numFmtId="0" fontId="112" fillId="0" borderId="0" xfId="0" applyFont="1" applyFill="1" applyAlignment="1">
      <alignment horizontal="center" vertical="center"/>
    </xf>
    <xf numFmtId="0" fontId="113" fillId="0" borderId="74" xfId="0" applyFont="1" applyFill="1" applyBorder="1" applyAlignment="1">
      <alignment horizontal="center" vertical="center"/>
    </xf>
    <xf numFmtId="0" fontId="113" fillId="0" borderId="63" xfId="0" applyFont="1" applyFill="1" applyBorder="1" applyAlignment="1">
      <alignment horizontal="center" vertical="center"/>
    </xf>
    <xf numFmtId="0" fontId="113" fillId="0" borderId="36" xfId="0" applyFont="1" applyFill="1" applyBorder="1" applyAlignment="1">
      <alignment horizontal="center" vertical="center"/>
    </xf>
    <xf numFmtId="0" fontId="114" fillId="0" borderId="74" xfId="0" applyFont="1" applyFill="1" applyBorder="1" applyAlignment="1">
      <alignment horizontal="center" vertical="center"/>
    </xf>
    <xf numFmtId="0" fontId="114" fillId="0" borderId="63" xfId="0" applyFont="1" applyFill="1" applyBorder="1" applyAlignment="1">
      <alignment horizontal="center" vertical="center"/>
    </xf>
    <xf numFmtId="0" fontId="114" fillId="0" borderId="36" xfId="0" applyFont="1" applyFill="1" applyBorder="1" applyAlignment="1">
      <alignment horizontal="center" vertical="center"/>
    </xf>
    <xf numFmtId="0" fontId="114" fillId="0" borderId="35" xfId="0" applyFont="1" applyFill="1" applyBorder="1" applyAlignment="1">
      <alignment horizontal="center" vertical="center"/>
    </xf>
    <xf numFmtId="0" fontId="103" fillId="13" borderId="0" xfId="0" applyFont="1" applyFill="1" applyAlignment="1">
      <alignment horizontal="center" vertical="center"/>
    </xf>
    <xf numFmtId="0" fontId="12" fillId="0" borderId="0" xfId="0" applyFont="1" applyFill="1" applyAlignment="1">
      <alignment horizontal="center" vertical="center"/>
    </xf>
    <xf numFmtId="0" fontId="106" fillId="15" borderId="93" xfId="0" applyFont="1" applyFill="1" applyBorder="1" applyAlignment="1">
      <alignment horizontal="center" vertical="center" wrapText="1"/>
    </xf>
    <xf numFmtId="0" fontId="106" fillId="15" borderId="54" xfId="0" applyFont="1" applyFill="1" applyBorder="1" applyAlignment="1">
      <alignment horizontal="center" vertical="center" wrapText="1"/>
    </xf>
    <xf numFmtId="0" fontId="106" fillId="15" borderId="94" xfId="0" applyFont="1" applyFill="1" applyBorder="1" applyAlignment="1">
      <alignment horizontal="center" vertical="center" wrapText="1"/>
    </xf>
    <xf numFmtId="0" fontId="23" fillId="26" borderId="35" xfId="0" applyFont="1" applyFill="1" applyBorder="1" applyAlignment="1">
      <alignment horizontal="center" vertical="center"/>
    </xf>
    <xf numFmtId="0" fontId="105" fillId="26" borderId="93" xfId="0" applyNumberFormat="1" applyFont="1" applyFill="1" applyBorder="1" applyAlignment="1">
      <alignment horizontal="center" vertical="center"/>
    </xf>
    <xf numFmtId="0" fontId="109" fillId="26" borderId="35" xfId="0" applyFont="1" applyFill="1" applyBorder="1" applyAlignment="1">
      <alignment horizontal="center" vertical="center" wrapText="1"/>
    </xf>
    <xf numFmtId="0" fontId="12" fillId="26" borderId="35" xfId="0" applyFont="1" applyFill="1" applyBorder="1" applyAlignment="1">
      <alignment horizontal="center" vertical="center" wrapText="1"/>
    </xf>
    <xf numFmtId="0" fontId="107" fillId="15" borderId="35" xfId="0" applyFont="1" applyFill="1" applyBorder="1" applyAlignment="1">
      <alignment horizontal="center" vertical="center" wrapText="1"/>
    </xf>
    <xf numFmtId="0" fontId="108" fillId="15" borderId="35" xfId="0" applyFont="1" applyFill="1" applyBorder="1" applyAlignment="1">
      <alignment horizontal="center" vertical="center" wrapText="1"/>
    </xf>
    <xf numFmtId="0" fontId="110" fillId="27" borderId="35" xfId="1" applyFont="1" applyFill="1" applyBorder="1" applyAlignment="1" applyProtection="1">
      <alignment horizontal="center" vertical="center"/>
    </xf>
    <xf numFmtId="0" fontId="111" fillId="27" borderId="35" xfId="1" applyFont="1" applyFill="1" applyBorder="1" applyAlignment="1" applyProtection="1">
      <alignment horizontal="center" vertical="center"/>
    </xf>
    <xf numFmtId="0" fontId="102" fillId="3" borderId="0" xfId="0" applyFont="1" applyFill="1" applyAlignment="1">
      <alignment horizontal="center" vertical="center"/>
    </xf>
    <xf numFmtId="0" fontId="20" fillId="2" borderId="65" xfId="0" applyFont="1" applyFill="1" applyBorder="1" applyAlignment="1">
      <alignment horizontal="center" vertical="center"/>
    </xf>
    <xf numFmtId="0" fontId="20" fillId="2" borderId="66" xfId="0" applyFont="1" applyFill="1" applyBorder="1" applyAlignment="1">
      <alignment horizontal="center" vertical="center"/>
    </xf>
    <xf numFmtId="0" fontId="20" fillId="2" borderId="67" xfId="0" applyFont="1" applyFill="1" applyBorder="1" applyAlignment="1">
      <alignment horizontal="center" vertical="center"/>
    </xf>
    <xf numFmtId="0" fontId="20" fillId="25" borderId="65" xfId="0" applyFont="1" applyFill="1" applyBorder="1" applyAlignment="1">
      <alignment horizontal="center" vertical="center"/>
    </xf>
    <xf numFmtId="0" fontId="20" fillId="25" borderId="66" xfId="0" applyFont="1" applyFill="1" applyBorder="1" applyAlignment="1">
      <alignment horizontal="center" vertical="center"/>
    </xf>
    <xf numFmtId="0" fontId="20" fillId="25" borderId="67" xfId="0" applyFont="1" applyFill="1" applyBorder="1" applyAlignment="1">
      <alignment horizontal="center" vertical="center"/>
    </xf>
    <xf numFmtId="0" fontId="20" fillId="2" borderId="101" xfId="0" applyFont="1" applyFill="1" applyBorder="1" applyAlignment="1">
      <alignment horizontal="center" vertical="center"/>
    </xf>
    <xf numFmtId="0" fontId="20" fillId="25" borderId="101" xfId="0" applyFont="1" applyFill="1" applyBorder="1" applyAlignment="1">
      <alignment horizontal="center" vertical="center"/>
    </xf>
    <xf numFmtId="0" fontId="0" fillId="2" borderId="35" xfId="0" applyFont="1" applyFill="1" applyBorder="1" applyAlignment="1">
      <alignment horizontal="center" vertical="center"/>
    </xf>
    <xf numFmtId="0" fontId="0" fillId="2" borderId="69" xfId="0" applyFont="1" applyFill="1" applyBorder="1" applyAlignment="1">
      <alignment horizontal="center" vertical="center"/>
    </xf>
    <xf numFmtId="0" fontId="0" fillId="25" borderId="35" xfId="0" applyFont="1" applyFill="1" applyBorder="1" applyAlignment="1">
      <alignment horizontal="center" vertical="center"/>
    </xf>
    <xf numFmtId="0" fontId="0" fillId="25" borderId="69" xfId="0" applyFont="1" applyFill="1" applyBorder="1" applyAlignment="1">
      <alignment horizontal="center" vertical="center"/>
    </xf>
    <xf numFmtId="0" fontId="26" fillId="0" borderId="0" xfId="0" applyFont="1" applyAlignment="1">
      <alignment horizontal="center" vertical="center"/>
    </xf>
    <xf numFmtId="0" fontId="0" fillId="25" borderId="68" xfId="0" applyFont="1" applyFill="1" applyBorder="1" applyAlignment="1">
      <alignment horizontal="center" vertical="center"/>
    </xf>
    <xf numFmtId="0" fontId="20" fillId="0" borderId="65" xfId="0" applyFont="1" applyBorder="1" applyAlignment="1">
      <alignment horizontal="center" vertical="center"/>
    </xf>
    <xf numFmtId="0" fontId="20" fillId="0" borderId="66" xfId="0" applyFont="1" applyBorder="1" applyAlignment="1">
      <alignment horizontal="center" vertical="center"/>
    </xf>
    <xf numFmtId="0" fontId="20" fillId="0" borderId="67" xfId="0" applyFont="1" applyBorder="1" applyAlignment="1">
      <alignment horizontal="center" vertical="center"/>
    </xf>
    <xf numFmtId="0" fontId="0" fillId="0" borderId="93" xfId="0" applyFont="1" applyBorder="1" applyAlignment="1">
      <alignment horizontal="center" vertical="center"/>
    </xf>
    <xf numFmtId="0" fontId="0" fillId="0" borderId="69" xfId="0" applyFont="1" applyBorder="1" applyAlignment="1">
      <alignment horizontal="center" vertical="center"/>
    </xf>
    <xf numFmtId="0" fontId="0" fillId="0" borderId="68" xfId="0" applyFont="1" applyBorder="1" applyAlignment="1">
      <alignment horizontal="center" vertical="center"/>
    </xf>
    <xf numFmtId="0" fontId="0" fillId="2" borderId="68" xfId="0" applyFont="1" applyFill="1" applyBorder="1" applyAlignment="1">
      <alignment horizontal="center" vertical="center"/>
    </xf>
    <xf numFmtId="0" fontId="101" fillId="0" borderId="65" xfId="0" applyFont="1" applyBorder="1" applyAlignment="1">
      <alignment horizontal="center" vertical="center"/>
    </xf>
    <xf numFmtId="0" fontId="101" fillId="0" borderId="66" xfId="0" applyFont="1" applyBorder="1" applyAlignment="1">
      <alignment horizontal="center" vertical="center"/>
    </xf>
    <xf numFmtId="0" fontId="101" fillId="0" borderId="67" xfId="0" applyFont="1" applyBorder="1" applyAlignment="1">
      <alignment horizontal="center" vertical="center"/>
    </xf>
    <xf numFmtId="0" fontId="20" fillId="0" borderId="35" xfId="0" applyFont="1" applyBorder="1" applyAlignment="1">
      <alignment horizontal="center" vertical="center"/>
    </xf>
    <xf numFmtId="0" fontId="20" fillId="0" borderId="69" xfId="0" applyFont="1" applyBorder="1" applyAlignment="1">
      <alignment horizontal="center" vertical="center"/>
    </xf>
    <xf numFmtId="0" fontId="20" fillId="0" borderId="68" xfId="0" applyFont="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100" fillId="0" borderId="0" xfId="0" applyFont="1" applyAlignment="1">
      <alignment horizontal="center" vertical="center"/>
    </xf>
    <xf numFmtId="0" fontId="46" fillId="0" borderId="74" xfId="0" applyFont="1" applyBorder="1" applyAlignment="1">
      <alignment horizontal="center" vertical="center" wrapText="1"/>
    </xf>
    <xf numFmtId="0" fontId="46" fillId="0" borderId="36" xfId="0" applyFont="1" applyBorder="1" applyAlignment="1">
      <alignment horizontal="center" vertical="center" wrapText="1"/>
    </xf>
    <xf numFmtId="0" fontId="22" fillId="0" borderId="35" xfId="0" applyFont="1" applyBorder="1" applyAlignment="1">
      <alignment horizontal="center" vertical="center" wrapText="1"/>
    </xf>
    <xf numFmtId="0" fontId="22" fillId="0" borderId="69" xfId="0" applyFont="1" applyBorder="1" applyAlignment="1">
      <alignment horizontal="center" vertical="center" wrapText="1"/>
    </xf>
    <xf numFmtId="0" fontId="98" fillId="0" borderId="0" xfId="0" applyFont="1" applyAlignment="1">
      <alignment horizontal="center" vertical="center"/>
    </xf>
    <xf numFmtId="0" fontId="99" fillId="0" borderId="65" xfId="0" applyFont="1" applyBorder="1" applyAlignment="1">
      <alignment horizontal="center" vertical="center"/>
    </xf>
    <xf numFmtId="0" fontId="99" fillId="0" borderId="66" xfId="0" applyFont="1" applyBorder="1" applyAlignment="1">
      <alignment horizontal="center" vertical="center"/>
    </xf>
    <xf numFmtId="0" fontId="99" fillId="0" borderId="67" xfId="0" applyFont="1" applyBorder="1" applyAlignment="1">
      <alignment horizontal="center" vertical="center"/>
    </xf>
    <xf numFmtId="0" fontId="92" fillId="0" borderId="1" xfId="0" applyFont="1" applyFill="1" applyBorder="1" applyAlignment="1">
      <alignment horizontal="center" vertical="center"/>
    </xf>
    <xf numFmtId="0" fontId="92" fillId="0" borderId="2" xfId="0" applyFont="1" applyFill="1" applyBorder="1" applyAlignment="1">
      <alignment horizontal="center" vertical="center"/>
    </xf>
    <xf numFmtId="0" fontId="92" fillId="0" borderId="28" xfId="0" applyFont="1" applyFill="1" applyBorder="1" applyAlignment="1">
      <alignment horizontal="center" vertical="center"/>
    </xf>
    <xf numFmtId="0" fontId="93" fillId="0" borderId="97" xfId="0" applyFont="1" applyFill="1" applyBorder="1" applyAlignment="1">
      <alignment horizontal="right" vertical="center"/>
    </xf>
    <xf numFmtId="0" fontId="93" fillId="0" borderId="3" xfId="0" applyFont="1" applyFill="1" applyBorder="1" applyAlignment="1">
      <alignment horizontal="right" vertical="center"/>
    </xf>
    <xf numFmtId="0" fontId="93" fillId="0" borderId="61" xfId="0" applyFont="1" applyFill="1" applyBorder="1" applyAlignment="1">
      <alignment horizontal="left" vertical="center"/>
    </xf>
    <xf numFmtId="0" fontId="93" fillId="0" borderId="0" xfId="0" applyFont="1" applyFill="1" applyBorder="1" applyAlignment="1">
      <alignment horizontal="left" vertical="center"/>
    </xf>
    <xf numFmtId="0" fontId="93" fillId="0" borderId="61" xfId="0" applyFont="1" applyFill="1" applyBorder="1" applyAlignment="1">
      <alignment horizontal="right" vertical="center"/>
    </xf>
    <xf numFmtId="0" fontId="93" fillId="0" borderId="0" xfId="0" applyFont="1" applyFill="1" applyBorder="1" applyAlignment="1">
      <alignment horizontal="right" vertical="center"/>
    </xf>
    <xf numFmtId="0" fontId="93" fillId="0" borderId="61" xfId="0" applyFont="1" applyFill="1" applyBorder="1" applyAlignment="1">
      <alignment horizontal="center" vertical="center"/>
    </xf>
    <xf numFmtId="0" fontId="93" fillId="0" borderId="0" xfId="0" applyFont="1" applyFill="1" applyBorder="1" applyAlignment="1">
      <alignment horizontal="center" vertical="center"/>
    </xf>
    <xf numFmtId="0" fontId="91" fillId="0" borderId="44" xfId="0" applyFont="1" applyFill="1" applyBorder="1" applyAlignment="1">
      <alignment horizontal="center" vertical="center"/>
    </xf>
    <xf numFmtId="0" fontId="91" fillId="0" borderId="45" xfId="0" applyFont="1" applyFill="1" applyBorder="1" applyAlignment="1">
      <alignment horizontal="center" vertical="center"/>
    </xf>
    <xf numFmtId="0" fontId="90" fillId="0" borderId="38" xfId="0" applyFont="1" applyFill="1" applyBorder="1" applyAlignment="1">
      <alignment horizontal="center" vertical="center"/>
    </xf>
    <xf numFmtId="0" fontId="90" fillId="0" borderId="39" xfId="0" applyFont="1" applyFill="1" applyBorder="1" applyAlignment="1">
      <alignment horizontal="center" vertical="center"/>
    </xf>
    <xf numFmtId="0" fontId="88" fillId="0" borderId="95" xfId="0" applyFont="1" applyFill="1" applyBorder="1" applyAlignment="1">
      <alignment horizontal="center" vertical="center"/>
    </xf>
    <xf numFmtId="0" fontId="88" fillId="0" borderId="63" xfId="0" applyFont="1" applyFill="1" applyBorder="1" applyAlignment="1">
      <alignment horizontal="center" vertical="center"/>
    </xf>
    <xf numFmtId="0" fontId="88" fillId="0" borderId="96" xfId="0" applyFont="1" applyFill="1" applyBorder="1" applyAlignment="1">
      <alignment horizontal="center" vertical="center"/>
    </xf>
    <xf numFmtId="0" fontId="90" fillId="0" borderId="44" xfId="0" applyFont="1" applyFill="1" applyBorder="1" applyAlignment="1">
      <alignment horizontal="center" vertical="center"/>
    </xf>
    <xf numFmtId="0" fontId="90" fillId="0" borderId="35" xfId="0" applyFont="1" applyFill="1" applyBorder="1" applyAlignment="1">
      <alignment horizontal="center" vertical="center"/>
    </xf>
    <xf numFmtId="0" fontId="0" fillId="12" borderId="35" xfId="0" applyFill="1" applyBorder="1" applyAlignment="1">
      <alignment horizontal="center" vertical="center"/>
    </xf>
    <xf numFmtId="0" fontId="0" fillId="12" borderId="69" xfId="0" applyFill="1" applyBorder="1" applyAlignment="1">
      <alignment horizontal="center" vertical="center"/>
    </xf>
    <xf numFmtId="0" fontId="0" fillId="17" borderId="35" xfId="0" applyFill="1" applyBorder="1" applyAlignment="1">
      <alignment horizontal="center" vertical="center"/>
    </xf>
    <xf numFmtId="0" fontId="0" fillId="17" borderId="69" xfId="0" applyFill="1" applyBorder="1" applyAlignment="1">
      <alignment horizontal="center" vertical="center"/>
    </xf>
    <xf numFmtId="0" fontId="0" fillId="12" borderId="73" xfId="0" applyFill="1" applyBorder="1" applyAlignment="1">
      <alignment horizontal="center" vertical="center" textRotation="255"/>
    </xf>
    <xf numFmtId="0" fontId="0" fillId="12" borderId="91" xfId="0" applyFill="1" applyBorder="1" applyAlignment="1">
      <alignment horizontal="center" vertical="center" textRotation="255"/>
    </xf>
    <xf numFmtId="0" fontId="0" fillId="12" borderId="92" xfId="0" applyFill="1" applyBorder="1" applyAlignment="1">
      <alignment horizontal="center" vertical="center" textRotation="255"/>
    </xf>
    <xf numFmtId="0" fontId="0" fillId="17" borderId="68" xfId="0" applyFill="1" applyBorder="1" applyAlignment="1">
      <alignment horizontal="center" vertical="center" textRotation="255"/>
    </xf>
    <xf numFmtId="0" fontId="0" fillId="17" borderId="70" xfId="0" applyFill="1" applyBorder="1" applyAlignment="1">
      <alignment horizontal="center" vertical="center" textRotation="255"/>
    </xf>
    <xf numFmtId="0" fontId="0" fillId="0" borderId="0" xfId="0" applyFill="1" applyAlignment="1">
      <alignment horizontal="left" vertical="center"/>
    </xf>
    <xf numFmtId="0" fontId="36" fillId="19" borderId="65" xfId="0" applyFont="1" applyFill="1" applyBorder="1" applyAlignment="1">
      <alignment horizontal="left" vertical="center"/>
    </xf>
    <xf numFmtId="0" fontId="36" fillId="19" borderId="66" xfId="0" applyFont="1" applyFill="1" applyBorder="1" applyAlignment="1">
      <alignment horizontal="left" vertical="center"/>
    </xf>
    <xf numFmtId="0" fontId="36" fillId="19" borderId="67" xfId="0" applyFont="1" applyFill="1" applyBorder="1" applyAlignment="1">
      <alignment horizontal="left" vertical="center"/>
    </xf>
    <xf numFmtId="0" fontId="36" fillId="19" borderId="68" xfId="0" applyFont="1" applyFill="1" applyBorder="1" applyAlignment="1">
      <alignment horizontal="left" vertical="center"/>
    </xf>
    <xf numFmtId="0" fontId="36" fillId="19" borderId="35" xfId="0" applyFont="1" applyFill="1" applyBorder="1" applyAlignment="1">
      <alignment horizontal="left" vertical="center"/>
    </xf>
    <xf numFmtId="0" fontId="36" fillId="19" borderId="69" xfId="0" applyFont="1" applyFill="1" applyBorder="1" applyAlignment="1">
      <alignment horizontal="left" vertical="center"/>
    </xf>
    <xf numFmtId="0" fontId="0" fillId="0" borderId="68" xfId="0" applyFont="1" applyFill="1" applyBorder="1" applyAlignment="1">
      <alignment horizontal="center" vertical="center" wrapText="1"/>
    </xf>
    <xf numFmtId="0" fontId="0" fillId="0" borderId="69" xfId="0" applyFont="1" applyFill="1" applyBorder="1" applyAlignment="1">
      <alignment horizontal="center" vertical="center" wrapText="1"/>
    </xf>
    <xf numFmtId="0" fontId="36" fillId="0" borderId="68" xfId="0" applyFont="1" applyFill="1" applyBorder="1" applyAlignment="1">
      <alignment horizontal="left" vertical="center"/>
    </xf>
    <xf numFmtId="0" fontId="36" fillId="0" borderId="35" xfId="0" applyFont="1" applyFill="1" applyBorder="1" applyAlignment="1">
      <alignment horizontal="left" vertical="center"/>
    </xf>
    <xf numFmtId="0" fontId="17" fillId="0" borderId="86" xfId="0" applyFont="1" applyFill="1" applyBorder="1" applyAlignment="1">
      <alignment horizontal="left"/>
    </xf>
    <xf numFmtId="0" fontId="17" fillId="0" borderId="0" xfId="0" applyFont="1" applyFill="1" applyAlignment="1">
      <alignment horizontal="left"/>
    </xf>
    <xf numFmtId="0" fontId="17" fillId="0" borderId="87" xfId="0" applyFont="1" applyFill="1" applyBorder="1" applyAlignment="1">
      <alignment horizontal="center"/>
    </xf>
    <xf numFmtId="0" fontId="17" fillId="0" borderId="88" xfId="0" applyFont="1" applyFill="1" applyBorder="1" applyAlignment="1">
      <alignment horizontal="center"/>
    </xf>
    <xf numFmtId="0" fontId="17" fillId="0" borderId="90" xfId="0" applyFont="1" applyFill="1" applyBorder="1" applyAlignment="1">
      <alignment horizontal="center"/>
    </xf>
    <xf numFmtId="0" fontId="0" fillId="0" borderId="76" xfId="0" applyFill="1" applyBorder="1" applyAlignment="1">
      <alignment horizontal="center" vertical="center"/>
    </xf>
    <xf numFmtId="0" fontId="0" fillId="0" borderId="77" xfId="0" applyFill="1" applyBorder="1" applyAlignment="1">
      <alignment horizontal="center" vertical="center"/>
    </xf>
    <xf numFmtId="0" fontId="0" fillId="0" borderId="78" xfId="0" applyFill="1" applyBorder="1" applyAlignment="1">
      <alignment horizontal="center" vertical="center"/>
    </xf>
    <xf numFmtId="0" fontId="0" fillId="0" borderId="87" xfId="0" applyFill="1" applyBorder="1" applyAlignment="1">
      <alignment horizontal="left" vertical="center"/>
    </xf>
    <xf numFmtId="0" fontId="0" fillId="0" borderId="89" xfId="0" applyFill="1" applyBorder="1" applyAlignment="1">
      <alignment horizontal="left" vertical="center"/>
    </xf>
    <xf numFmtId="0" fontId="0" fillId="0" borderId="82" xfId="0" applyFill="1" applyBorder="1" applyAlignment="1">
      <alignment horizontal="center" vertical="center"/>
    </xf>
    <xf numFmtId="0" fontId="0" fillId="0" borderId="68" xfId="0" applyFill="1" applyBorder="1" applyAlignment="1">
      <alignment horizontal="center" vertical="center"/>
    </xf>
    <xf numFmtId="0" fontId="0" fillId="0" borderId="80" xfId="0" applyFill="1" applyBorder="1" applyAlignment="1">
      <alignment horizontal="center" vertical="center"/>
    </xf>
    <xf numFmtId="0" fontId="0" fillId="0" borderId="70" xfId="0" applyFill="1" applyBorder="1" applyAlignment="1">
      <alignment horizontal="center" vertical="center"/>
    </xf>
    <xf numFmtId="0" fontId="0" fillId="0" borderId="66" xfId="0" applyFill="1" applyBorder="1" applyAlignment="1">
      <alignment horizontal="center" vertical="top" textRotation="255"/>
    </xf>
    <xf numFmtId="0" fontId="0" fillId="0" borderId="35" xfId="0" applyFill="1" applyBorder="1" applyAlignment="1">
      <alignment horizontal="center" vertical="top" textRotation="255"/>
    </xf>
    <xf numFmtId="0" fontId="0" fillId="0" borderId="65" xfId="0" applyFill="1" applyBorder="1" applyAlignment="1">
      <alignment horizontal="center" vertical="top" textRotation="255"/>
    </xf>
    <xf numFmtId="0" fontId="0" fillId="0" borderId="68" xfId="0" applyFill="1" applyBorder="1" applyAlignment="1">
      <alignment horizontal="center" vertical="top" textRotation="255"/>
    </xf>
    <xf numFmtId="0" fontId="0" fillId="0" borderId="80" xfId="0" applyFill="1" applyBorder="1" applyAlignment="1">
      <alignment horizontal="center" vertical="top" textRotation="255"/>
    </xf>
    <xf numFmtId="0" fontId="67" fillId="0" borderId="0" xfId="0" applyFont="1" applyFill="1" applyAlignment="1">
      <alignment horizontal="center"/>
    </xf>
    <xf numFmtId="0" fontId="0" fillId="0" borderId="66" xfId="0" applyFill="1" applyBorder="1" applyAlignment="1">
      <alignment horizontal="center"/>
    </xf>
    <xf numFmtId="0" fontId="0" fillId="0" borderId="67" xfId="0" applyFill="1" applyBorder="1" applyAlignment="1">
      <alignment horizontal="center"/>
    </xf>
    <xf numFmtId="0" fontId="25" fillId="16" borderId="0" xfId="0" applyNumberFormat="1" applyFont="1" applyFill="1" applyAlignment="1">
      <alignment textRotation="255" shrinkToFit="1"/>
    </xf>
    <xf numFmtId="0" fontId="14" fillId="2" borderId="0" xfId="0" applyFont="1" applyFill="1" applyAlignment="1">
      <alignment horizontal="center" vertical="center"/>
    </xf>
    <xf numFmtId="0" fontId="13" fillId="2" borderId="35" xfId="0" applyFont="1" applyFill="1" applyBorder="1" applyAlignment="1">
      <alignment horizontal="center" vertical="center"/>
    </xf>
    <xf numFmtId="0" fontId="14" fillId="5" borderId="0" xfId="0" applyFont="1" applyFill="1" applyAlignment="1">
      <alignment horizontal="center" vertical="center"/>
    </xf>
    <xf numFmtId="0" fontId="14" fillId="5" borderId="36" xfId="0" applyFont="1" applyFill="1" applyBorder="1" applyAlignment="1">
      <alignment horizontal="center" vertical="center"/>
    </xf>
    <xf numFmtId="0" fontId="14" fillId="5" borderId="35" xfId="0" applyFont="1" applyFill="1" applyBorder="1" applyAlignment="1">
      <alignment horizontal="center" vertical="center"/>
    </xf>
    <xf numFmtId="0" fontId="4" fillId="2" borderId="1" xfId="0" applyFont="1" applyFill="1" applyBorder="1" applyAlignment="1">
      <alignment horizontal="center" vertical="center" wrapText="1"/>
    </xf>
    <xf numFmtId="0" fontId="2" fillId="2" borderId="4" xfId="0" applyFont="1" applyFill="1" applyBorder="1" applyAlignment="1">
      <alignment vertical="center"/>
    </xf>
    <xf numFmtId="0" fontId="4"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23" xfId="0" applyFont="1" applyFill="1" applyBorder="1" applyAlignment="1">
      <alignment horizontal="center" vertical="center" wrapText="1"/>
    </xf>
    <xf numFmtId="0" fontId="4" fillId="2" borderId="30"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2" fillId="2" borderId="7" xfId="0" applyFont="1" applyFill="1" applyBorder="1" applyAlignment="1">
      <alignment vertical="center"/>
    </xf>
    <xf numFmtId="0" fontId="6" fillId="2" borderId="3" xfId="0" applyFont="1" applyFill="1" applyBorder="1" applyAlignment="1">
      <alignment vertical="center" wrapText="1"/>
    </xf>
    <xf numFmtId="0" fontId="6" fillId="2" borderId="11" xfId="0" applyFont="1" applyFill="1" applyBorder="1" applyAlignment="1">
      <alignment vertical="center" wrapText="1"/>
    </xf>
    <xf numFmtId="0" fontId="2" fillId="2" borderId="12" xfId="0" applyFont="1" applyFill="1" applyBorder="1" applyAlignment="1">
      <alignment vertical="center"/>
    </xf>
    <xf numFmtId="0" fontId="9" fillId="4" borderId="25" xfId="0" applyFont="1" applyFill="1" applyBorder="1" applyAlignment="1">
      <alignment horizontal="center" vertical="center" wrapText="1"/>
    </xf>
    <xf numFmtId="0" fontId="9" fillId="4" borderId="26" xfId="0" applyFont="1" applyFill="1" applyBorder="1" applyAlignment="1">
      <alignment horizontal="center" vertical="center" wrapText="1"/>
    </xf>
    <xf numFmtId="0" fontId="9" fillId="4" borderId="27" xfId="0" applyFont="1" applyFill="1" applyBorder="1" applyAlignment="1">
      <alignment horizontal="center" vertical="center" wrapText="1"/>
    </xf>
    <xf numFmtId="0" fontId="5" fillId="2" borderId="17"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18" xfId="0" applyFont="1" applyFill="1" applyBorder="1" applyAlignment="1">
      <alignment horizontal="center" vertical="center" wrapText="1"/>
    </xf>
    <xf numFmtId="0" fontId="8" fillId="0" borderId="20" xfId="0" applyFont="1" applyFill="1" applyBorder="1" applyAlignment="1">
      <alignment horizontal="center" vertical="center"/>
    </xf>
    <xf numFmtId="0" fontId="8" fillId="0" borderId="9" xfId="0" applyFont="1" applyFill="1" applyBorder="1" applyAlignment="1">
      <alignment horizontal="center" vertical="center"/>
    </xf>
    <xf numFmtId="0" fontId="8" fillId="0" borderId="31"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10" fillId="0" borderId="34" xfId="0" applyFont="1" applyFill="1" applyBorder="1" applyAlignment="1">
      <alignment horizontal="center" vertical="center"/>
    </xf>
    <xf numFmtId="0" fontId="9" fillId="0" borderId="17" xfId="0" applyFont="1" applyFill="1" applyBorder="1" applyAlignment="1">
      <alignment horizontal="center" vertical="center" wrapText="1"/>
    </xf>
    <xf numFmtId="0" fontId="9" fillId="0" borderId="18" xfId="0" applyFont="1" applyFill="1" applyBorder="1" applyAlignment="1">
      <alignment horizontal="center" vertical="center" wrapText="1"/>
    </xf>
    <xf numFmtId="0" fontId="10" fillId="0" borderId="17" xfId="0" applyFont="1" applyFill="1" applyBorder="1" applyAlignment="1">
      <alignment horizontal="center" vertical="center" wrapText="1"/>
    </xf>
    <xf numFmtId="0" fontId="10" fillId="0" borderId="18" xfId="0" applyFont="1" applyFill="1" applyBorder="1" applyAlignment="1">
      <alignment horizontal="center" vertical="center" wrapText="1"/>
    </xf>
    <xf numFmtId="0" fontId="10" fillId="0" borderId="19" xfId="0" applyFont="1" applyFill="1" applyBorder="1" applyAlignment="1">
      <alignment horizontal="center" vertical="center" wrapText="1"/>
    </xf>
    <xf numFmtId="0" fontId="9" fillId="0" borderId="19" xfId="0" applyFont="1" applyFill="1" applyBorder="1" applyAlignment="1">
      <alignment horizontal="center" vertical="center" wrapText="1"/>
    </xf>
    <xf numFmtId="0" fontId="300" fillId="49" borderId="22" xfId="1" applyFill="1" applyBorder="1" applyAlignment="1" applyProtection="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28"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29" xfId="0" applyFont="1" applyFill="1" applyBorder="1" applyAlignment="1">
      <alignment horizontal="center" vertical="center"/>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13" xfId="0" applyFont="1" applyFill="1" applyBorder="1" applyAlignment="1">
      <alignment horizontal="center" vertical="center" wrapText="1"/>
    </xf>
    <xf numFmtId="0" fontId="4" fillId="2" borderId="14" xfId="0" applyFont="1" applyFill="1" applyBorder="1" applyAlignment="1">
      <alignment horizontal="center" vertical="center" wrapText="1"/>
    </xf>
    <xf numFmtId="0" fontId="4" fillId="2" borderId="12"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4" fillId="2" borderId="29" xfId="0" applyFont="1" applyFill="1" applyBorder="1" applyAlignment="1">
      <alignment horizontal="center" vertical="center" wrapText="1"/>
    </xf>
    <xf numFmtId="0" fontId="4" fillId="2" borderId="32" xfId="0" applyFont="1" applyFill="1" applyBorder="1" applyAlignment="1">
      <alignment horizontal="center" vertical="center" wrapText="1"/>
    </xf>
    <xf numFmtId="0" fontId="1" fillId="2" borderId="0" xfId="0" applyFont="1" applyFill="1" applyAlignment="1">
      <alignment horizontal="center" vertical="center"/>
    </xf>
    <xf numFmtId="0" fontId="379" fillId="10" borderId="274" xfId="0" applyFont="1" applyFill="1" applyBorder="1" applyAlignment="1">
      <alignment horizontal="center" vertical="center"/>
    </xf>
    <xf numFmtId="0" fontId="379" fillId="10" borderId="275" xfId="0" applyFont="1" applyFill="1" applyBorder="1" applyAlignment="1">
      <alignment horizontal="center" vertical="center"/>
    </xf>
    <xf numFmtId="0" fontId="379" fillId="10" borderId="276" xfId="0" applyFont="1" applyFill="1" applyBorder="1" applyAlignment="1">
      <alignment horizontal="center" vertical="center"/>
    </xf>
    <xf numFmtId="0" fontId="379" fillId="13" borderId="274" xfId="0" applyFont="1" applyFill="1" applyBorder="1" applyAlignment="1">
      <alignment horizontal="center" vertical="center"/>
    </xf>
    <xf numFmtId="0" fontId="379" fillId="13" borderId="275" xfId="0" applyFont="1" applyFill="1" applyBorder="1" applyAlignment="1">
      <alignment horizontal="center" vertical="center"/>
    </xf>
    <xf numFmtId="0" fontId="379" fillId="13" borderId="277" xfId="0" applyFont="1" applyFill="1" applyBorder="1" applyAlignment="1">
      <alignment horizontal="center" vertical="center"/>
    </xf>
    <xf numFmtId="0" fontId="20" fillId="0" borderId="181" xfId="0" applyFont="1" applyBorder="1" applyAlignment="1">
      <alignment horizontal="center" vertical="center"/>
    </xf>
    <xf numFmtId="0" fontId="380" fillId="0" borderId="65" xfId="0" applyFont="1" applyBorder="1" applyAlignment="1">
      <alignment horizontal="center" vertical="center"/>
    </xf>
    <xf numFmtId="0" fontId="380" fillId="0" borderId="66" xfId="0" applyFont="1" applyBorder="1" applyAlignment="1">
      <alignment horizontal="center" vertical="center"/>
    </xf>
    <xf numFmtId="0" fontId="380" fillId="0" borderId="67" xfId="0" applyFont="1" applyBorder="1" applyAlignment="1">
      <alignment horizontal="center" vertical="center"/>
    </xf>
    <xf numFmtId="0" fontId="16" fillId="0" borderId="74" xfId="0" applyFont="1" applyBorder="1" applyAlignment="1">
      <alignment horizontal="center"/>
    </xf>
    <xf numFmtId="0" fontId="0" fillId="0" borderId="74" xfId="0" applyBorder="1" applyAlignment="1">
      <alignment horizontal="center"/>
    </xf>
    <xf numFmtId="0" fontId="382" fillId="0" borderId="0" xfId="0" applyFont="1" applyAlignment="1">
      <alignment horizontal="center" vertical="center"/>
    </xf>
    <xf numFmtId="0" fontId="383" fillId="0" borderId="65" xfId="0" applyFont="1" applyBorder="1" applyAlignment="1">
      <alignment horizontal="center" vertical="center"/>
    </xf>
    <xf numFmtId="0" fontId="383" fillId="0" borderId="66" xfId="0" applyFont="1" applyBorder="1" applyAlignment="1">
      <alignment horizontal="center" vertical="center"/>
    </xf>
    <xf numFmtId="0" fontId="383" fillId="0" borderId="67" xfId="0" applyFont="1" applyBorder="1" applyAlignment="1">
      <alignment horizontal="center" vertical="center"/>
    </xf>
    <xf numFmtId="0" fontId="384" fillId="0" borderId="0" xfId="0" applyFont="1" applyFill="1" applyAlignment="1">
      <alignment horizontal="center" vertical="center"/>
    </xf>
    <xf numFmtId="0" fontId="17" fillId="0" borderId="294" xfId="0" applyFont="1" applyBorder="1" applyAlignment="1" applyProtection="1">
      <alignment horizontal="center"/>
      <protection hidden="1"/>
    </xf>
    <xf numFmtId="0" fontId="17" fillId="0" borderId="292" xfId="0" applyFont="1" applyBorder="1" applyAlignment="1" applyProtection="1">
      <alignment horizontal="center"/>
      <protection hidden="1"/>
    </xf>
    <xf numFmtId="0" fontId="17" fillId="0" borderId="293" xfId="0" applyFont="1" applyBorder="1" applyAlignment="1" applyProtection="1">
      <alignment horizontal="center"/>
      <protection hidden="1"/>
    </xf>
    <xf numFmtId="0" fontId="0" fillId="0" borderId="53" xfId="0" applyFont="1" applyBorder="1" applyAlignment="1" applyProtection="1">
      <alignment horizontal="center"/>
      <protection hidden="1"/>
    </xf>
    <xf numFmtId="0" fontId="0" fillId="0" borderId="292" xfId="0" applyFont="1" applyBorder="1" applyAlignment="1" applyProtection="1">
      <alignment horizontal="center"/>
      <protection hidden="1"/>
    </xf>
    <xf numFmtId="0" fontId="0" fillId="0" borderId="293" xfId="0" applyFont="1" applyBorder="1" applyAlignment="1" applyProtection="1">
      <alignment horizontal="center"/>
      <protection hidden="1"/>
    </xf>
    <xf numFmtId="0" fontId="0" fillId="0" borderId="60" xfId="0" applyFont="1" applyBorder="1" applyAlignment="1" applyProtection="1">
      <alignment horizontal="center"/>
      <protection hidden="1"/>
    </xf>
    <xf numFmtId="0" fontId="0" fillId="0" borderId="294" xfId="0" applyFont="1" applyBorder="1" applyAlignment="1" applyProtection="1">
      <alignment horizontal="center"/>
      <protection hidden="1"/>
    </xf>
    <xf numFmtId="0" fontId="0" fillId="0" borderId="299" xfId="0" applyFont="1" applyBorder="1" applyAlignment="1" applyProtection="1">
      <alignment horizontal="center"/>
      <protection hidden="1"/>
    </xf>
    <xf numFmtId="0" fontId="0" fillId="0" borderId="0" xfId="0" applyFont="1" applyBorder="1" applyAlignment="1" applyProtection="1">
      <alignment horizontal="center"/>
      <protection hidden="1"/>
    </xf>
    <xf numFmtId="0" fontId="0" fillId="0" borderId="59" xfId="0" applyFont="1" applyBorder="1" applyAlignment="1" applyProtection="1">
      <alignment horizontal="center"/>
      <protection hidden="1"/>
    </xf>
    <xf numFmtId="0" fontId="0" fillId="0" borderId="301" xfId="0" applyFont="1" applyBorder="1" applyAlignment="1" applyProtection="1">
      <alignment horizontal="center"/>
      <protection hidden="1"/>
    </xf>
    <xf numFmtId="0" fontId="0" fillId="0" borderId="304" xfId="0" applyFont="1" applyBorder="1" applyAlignment="1" applyProtection="1">
      <alignment horizontal="center"/>
      <protection hidden="1"/>
    </xf>
    <xf numFmtId="0" fontId="0" fillId="0" borderId="302" xfId="0" applyFont="1" applyBorder="1" applyAlignment="1" applyProtection="1">
      <alignment horizontal="center"/>
      <protection hidden="1"/>
    </xf>
    <xf numFmtId="0" fontId="0" fillId="0" borderId="58" xfId="0" applyFont="1" applyBorder="1" applyAlignment="1" applyProtection="1">
      <alignment horizontal="center"/>
      <protection hidden="1"/>
    </xf>
    <xf numFmtId="2" fontId="17" fillId="0" borderId="301" xfId="0" applyNumberFormat="1" applyFont="1" applyBorder="1" applyAlignment="1" applyProtection="1">
      <alignment horizontal="center" vertical="center"/>
      <protection hidden="1"/>
    </xf>
    <xf numFmtId="2" fontId="17" fillId="0" borderId="304" xfId="0" applyNumberFormat="1" applyFont="1" applyBorder="1" applyAlignment="1" applyProtection="1">
      <alignment horizontal="center" vertical="center"/>
      <protection hidden="1"/>
    </xf>
    <xf numFmtId="2" fontId="17" fillId="0" borderId="302" xfId="0" applyNumberFormat="1" applyFont="1" applyBorder="1" applyAlignment="1" applyProtection="1">
      <alignment horizontal="center" vertical="center"/>
      <protection hidden="1"/>
    </xf>
    <xf numFmtId="0" fontId="17" fillId="0" borderId="301" xfId="0" applyFont="1" applyBorder="1" applyAlignment="1" applyProtection="1">
      <alignment horizontal="center"/>
      <protection hidden="1"/>
    </xf>
    <xf numFmtId="0" fontId="157" fillId="0" borderId="306" xfId="0" applyFont="1" applyFill="1" applyBorder="1" applyAlignment="1">
      <alignment horizontal="center"/>
    </xf>
    <xf numFmtId="0" fontId="0" fillId="13" borderId="306" xfId="0" applyFont="1" applyFill="1" applyBorder="1" applyAlignment="1">
      <alignment horizontal="center" vertical="center"/>
    </xf>
    <xf numFmtId="0" fontId="42" fillId="0" borderId="306" xfId="0" applyFont="1" applyBorder="1" applyAlignment="1">
      <alignment horizontal="center" vertical="center"/>
    </xf>
    <xf numFmtId="0" fontId="157" fillId="0" borderId="306" xfId="0" applyFont="1" applyBorder="1" applyAlignment="1">
      <alignment horizontal="center"/>
    </xf>
    <xf numFmtId="0" fontId="0" fillId="10" borderId="306" xfId="0" applyFont="1" applyFill="1" applyBorder="1" applyAlignment="1">
      <alignment horizontal="center" vertical="center"/>
    </xf>
    <xf numFmtId="0" fontId="0" fillId="20" borderId="306" xfId="0" applyFont="1" applyFill="1" applyBorder="1" applyAlignment="1">
      <alignment horizontal="center" vertical="center"/>
    </xf>
    <xf numFmtId="0" fontId="22" fillId="0" borderId="306" xfId="0" applyFont="1" applyFill="1" applyBorder="1" applyAlignment="1">
      <alignment horizontal="center" wrapText="1"/>
    </xf>
    <xf numFmtId="0" fontId="0" fillId="34" borderId="306" xfId="0" applyFont="1" applyFill="1" applyBorder="1" applyAlignment="1">
      <alignment horizontal="center" vertical="center"/>
    </xf>
    <xf numFmtId="0" fontId="0" fillId="0" borderId="306" xfId="0" applyFont="1" applyFill="1" applyBorder="1" applyAlignment="1">
      <alignment horizontal="center"/>
    </xf>
    <xf numFmtId="0" fontId="42" fillId="0" borderId="306" xfId="0" applyFont="1" applyFill="1" applyBorder="1" applyAlignment="1">
      <alignment horizontal="center" vertical="center"/>
    </xf>
    <xf numFmtId="0" fontId="0" fillId="0" borderId="306" xfId="0" applyFont="1" applyFill="1" applyBorder="1" applyAlignment="1">
      <alignment horizontal="center" vertical="center"/>
    </xf>
    <xf numFmtId="0" fontId="0" fillId="0" borderId="308" xfId="0" applyFont="1" applyFill="1" applyBorder="1" applyAlignment="1">
      <alignment horizontal="center" vertical="center"/>
    </xf>
    <xf numFmtId="0" fontId="0" fillId="0" borderId="309" xfId="0" applyFont="1" applyFill="1" applyBorder="1" applyAlignment="1">
      <alignment horizontal="center" vertical="center"/>
    </xf>
    <xf numFmtId="0" fontId="0" fillId="0" borderId="306" xfId="0" applyFont="1" applyBorder="1" applyAlignment="1">
      <alignment horizontal="center" wrapText="1"/>
    </xf>
    <xf numFmtId="0" fontId="0" fillId="0" borderId="306" xfId="0" applyFont="1" applyBorder="1" applyAlignment="1">
      <alignment horizontal="center"/>
    </xf>
    <xf numFmtId="0" fontId="22" fillId="0" borderId="306" xfId="0" applyFont="1" applyBorder="1" applyAlignment="1">
      <alignment horizontal="center" wrapText="1"/>
    </xf>
    <xf numFmtId="0" fontId="22" fillId="0" borderId="306" xfId="0" applyFont="1" applyBorder="1" applyAlignment="1">
      <alignment horizontal="center"/>
    </xf>
    <xf numFmtId="0" fontId="22" fillId="0" borderId="306" xfId="0" applyFont="1" applyFill="1" applyBorder="1" applyAlignment="1">
      <alignment horizontal="center"/>
    </xf>
    <xf numFmtId="0" fontId="205" fillId="0" borderId="306" xfId="0" applyFont="1" applyBorder="1" applyAlignment="1">
      <alignment horizontal="center"/>
    </xf>
    <xf numFmtId="0" fontId="42" fillId="0" borderId="306" xfId="0" applyFont="1" applyBorder="1" applyAlignment="1">
      <alignment horizontal="center"/>
    </xf>
    <xf numFmtId="0" fontId="0" fillId="0" borderId="301" xfId="0" applyFont="1" applyBorder="1" applyAlignment="1">
      <alignment horizontal="center"/>
    </xf>
    <xf numFmtId="0" fontId="0" fillId="0" borderId="302" xfId="0" applyFont="1" applyBorder="1" applyAlignment="1">
      <alignment horizontal="center"/>
    </xf>
    <xf numFmtId="0" fontId="42" fillId="0" borderId="294" xfId="0" applyFont="1" applyFill="1" applyBorder="1" applyAlignment="1">
      <alignment horizontal="center" vertical="center"/>
    </xf>
    <xf numFmtId="0" fontId="42" fillId="0" borderId="292" xfId="0" applyFont="1" applyFill="1" applyBorder="1" applyAlignment="1">
      <alignment horizontal="center" vertical="center"/>
    </xf>
    <xf numFmtId="0" fontId="42" fillId="0" borderId="293" xfId="0" applyFont="1" applyFill="1" applyBorder="1" applyAlignment="1">
      <alignment horizontal="center" vertical="center"/>
    </xf>
    <xf numFmtId="0" fontId="42" fillId="0" borderId="59" xfId="0" applyFont="1" applyFill="1" applyBorder="1" applyAlignment="1">
      <alignment horizontal="center" vertical="center"/>
    </xf>
    <xf numFmtId="0" fontId="42" fillId="0" borderId="53" xfId="0" applyFont="1" applyFill="1" applyBorder="1" applyAlignment="1">
      <alignment horizontal="center" vertical="center"/>
    </xf>
    <xf numFmtId="0" fontId="42" fillId="0" borderId="60" xfId="0" applyFont="1" applyFill="1" applyBorder="1" applyAlignment="1">
      <alignment horizontal="center" vertical="center"/>
    </xf>
    <xf numFmtId="0" fontId="0" fillId="10" borderId="306" xfId="0" applyFont="1" applyFill="1" applyBorder="1" applyAlignment="1">
      <alignment horizontal="center"/>
    </xf>
    <xf numFmtId="0" fontId="0" fillId="17" borderId="306" xfId="0" applyFont="1" applyFill="1" applyBorder="1" applyAlignment="1">
      <alignment horizontal="center"/>
    </xf>
    <xf numFmtId="0" fontId="0" fillId="0" borderId="0" xfId="0" applyFont="1" applyAlignment="1" applyProtection="1">
      <alignment horizontal="center"/>
      <protection hidden="1"/>
    </xf>
    <xf numFmtId="0" fontId="0" fillId="0" borderId="0" xfId="0" applyFont="1" applyBorder="1" applyAlignment="1" applyProtection="1">
      <alignment horizontal="center" vertical="center"/>
      <protection hidden="1"/>
    </xf>
    <xf numFmtId="0" fontId="0" fillId="0" borderId="288" xfId="0" applyFont="1" applyBorder="1" applyAlignment="1" applyProtection="1">
      <alignment horizontal="center"/>
      <protection hidden="1"/>
    </xf>
    <xf numFmtId="0" fontId="0" fillId="0" borderId="310" xfId="0" applyFont="1" applyBorder="1" applyAlignment="1" applyProtection="1">
      <alignment horizontal="center"/>
      <protection hidden="1"/>
    </xf>
    <xf numFmtId="0" fontId="0" fillId="0" borderId="300" xfId="0" applyFont="1" applyBorder="1" applyAlignment="1" applyProtection="1">
      <alignment horizontal="center"/>
      <protection hidden="1"/>
    </xf>
    <xf numFmtId="0" fontId="0" fillId="0" borderId="289" xfId="0" applyFont="1" applyBorder="1" applyAlignment="1" applyProtection="1">
      <alignment horizontal="center"/>
      <protection hidden="1"/>
    </xf>
    <xf numFmtId="0" fontId="0" fillId="0" borderId="290" xfId="0" applyFont="1" applyBorder="1" applyAlignment="1" applyProtection="1">
      <alignment horizontal="center"/>
      <protection hidden="1"/>
    </xf>
    <xf numFmtId="0" fontId="0" fillId="0" borderId="235" xfId="0" applyFont="1" applyBorder="1" applyAlignment="1" applyProtection="1">
      <alignment horizontal="center" vertical="center"/>
      <protection hidden="1"/>
    </xf>
    <xf numFmtId="0" fontId="0" fillId="0" borderId="239" xfId="0" applyFont="1" applyBorder="1" applyAlignment="1" applyProtection="1">
      <alignment horizontal="center" vertical="center"/>
      <protection hidden="1"/>
    </xf>
    <xf numFmtId="0" fontId="0" fillId="0" borderId="241" xfId="0" applyFont="1" applyBorder="1" applyAlignment="1" applyProtection="1">
      <alignment horizontal="center" vertical="center"/>
      <protection hidden="1"/>
    </xf>
    <xf numFmtId="0" fontId="0" fillId="0" borderId="214" xfId="0" applyFont="1" applyBorder="1" applyAlignment="1" applyProtection="1">
      <alignment horizontal="center" vertical="center"/>
      <protection hidden="1"/>
    </xf>
    <xf numFmtId="0" fontId="0" fillId="0" borderId="313" xfId="0" applyFont="1" applyBorder="1" applyAlignment="1" applyProtection="1">
      <alignment horizontal="center" vertical="center"/>
      <protection hidden="1"/>
    </xf>
    <xf numFmtId="0" fontId="0" fillId="0" borderId="191" xfId="0" applyFont="1" applyBorder="1" applyAlignment="1" applyProtection="1">
      <alignment horizontal="center" vertical="center"/>
      <protection hidden="1"/>
    </xf>
    <xf numFmtId="0" fontId="0" fillId="0" borderId="313" xfId="0" applyFont="1" applyBorder="1" applyAlignment="1" applyProtection="1">
      <alignment horizontal="center" vertical="center" wrapText="1"/>
      <protection hidden="1"/>
    </xf>
    <xf numFmtId="0" fontId="0" fillId="0" borderId="314" xfId="0" applyFont="1" applyBorder="1" applyAlignment="1" applyProtection="1">
      <alignment horizontal="center" vertical="center" wrapText="1"/>
      <protection hidden="1"/>
    </xf>
    <xf numFmtId="0" fontId="0" fillId="0" borderId="225" xfId="0" applyFont="1" applyBorder="1" applyAlignment="1" applyProtection="1">
      <alignment horizontal="center" vertical="center" wrapText="1"/>
      <protection hidden="1"/>
    </xf>
    <xf numFmtId="0" fontId="0" fillId="0" borderId="222" xfId="0" applyFont="1" applyBorder="1" applyAlignment="1" applyProtection="1">
      <alignment horizontal="center"/>
      <protection hidden="1"/>
    </xf>
    <xf numFmtId="0" fontId="0" fillId="0" borderId="211" xfId="0" applyFont="1" applyBorder="1" applyAlignment="1" applyProtection="1">
      <alignment horizontal="center"/>
      <protection hidden="1"/>
    </xf>
    <xf numFmtId="0" fontId="0" fillId="0" borderId="243" xfId="0" applyFont="1" applyBorder="1" applyAlignment="1" applyProtection="1">
      <alignment horizontal="center"/>
      <protection hidden="1"/>
    </xf>
    <xf numFmtId="0" fontId="0" fillId="0" borderId="197" xfId="0" applyFont="1" applyBorder="1" applyAlignment="1" applyProtection="1">
      <alignment horizontal="center"/>
      <protection hidden="1"/>
    </xf>
    <xf numFmtId="0" fontId="0" fillId="0" borderId="198" xfId="0" applyFont="1" applyBorder="1" applyAlignment="1" applyProtection="1">
      <alignment horizontal="center"/>
      <protection hidden="1"/>
    </xf>
    <xf numFmtId="0" fontId="0" fillId="0" borderId="202" xfId="0" applyFont="1" applyBorder="1" applyAlignment="1" applyProtection="1">
      <alignment horizontal="center"/>
      <protection hidden="1"/>
    </xf>
    <xf numFmtId="0" fontId="0" fillId="0" borderId="209" xfId="0" applyFont="1" applyBorder="1" applyAlignment="1" applyProtection="1">
      <alignment horizontal="center" vertical="center"/>
      <protection hidden="1"/>
    </xf>
    <xf numFmtId="0" fontId="0" fillId="0" borderId="209" xfId="0" applyFont="1" applyBorder="1" applyAlignment="1" applyProtection="1">
      <alignment horizontal="center"/>
      <protection hidden="1"/>
    </xf>
    <xf numFmtId="0" fontId="0" fillId="0" borderId="233" xfId="0" applyFont="1" applyBorder="1" applyAlignment="1" applyProtection="1">
      <alignment horizontal="center"/>
      <protection hidden="1"/>
    </xf>
    <xf numFmtId="49" fontId="0" fillId="0" borderId="222" xfId="0" applyNumberFormat="1" applyFont="1" applyBorder="1" applyAlignment="1" applyProtection="1">
      <alignment horizontal="center"/>
      <protection hidden="1"/>
    </xf>
    <xf numFmtId="49" fontId="0" fillId="0" borderId="238" xfId="0" applyNumberFormat="1" applyFont="1" applyBorder="1" applyAlignment="1" applyProtection="1">
      <alignment horizontal="center"/>
      <protection hidden="1"/>
    </xf>
    <xf numFmtId="0" fontId="0" fillId="0" borderId="310" xfId="0" applyFont="1" applyBorder="1" applyAlignment="1" applyProtection="1">
      <alignment horizontal="center" vertical="center" wrapText="1"/>
      <protection hidden="1"/>
    </xf>
    <xf numFmtId="0" fontId="0" fillId="0" borderId="197" xfId="0" applyFont="1" applyBorder="1" applyAlignment="1" applyProtection="1">
      <alignment horizontal="center" vertical="center" wrapText="1"/>
      <protection hidden="1"/>
    </xf>
    <xf numFmtId="0" fontId="0" fillId="0" borderId="315" xfId="0" applyFont="1" applyBorder="1" applyAlignment="1" applyProtection="1">
      <alignment horizontal="center" vertical="center" wrapText="1"/>
      <protection hidden="1"/>
    </xf>
    <xf numFmtId="0" fontId="0" fillId="0" borderId="316" xfId="0" applyFont="1" applyBorder="1" applyAlignment="1" applyProtection="1">
      <alignment horizontal="center" vertical="center" wrapText="1"/>
      <protection hidden="1"/>
    </xf>
    <xf numFmtId="0" fontId="0" fillId="0" borderId="218" xfId="0" applyFont="1" applyBorder="1" applyAlignment="1" applyProtection="1">
      <alignment horizontal="center" vertical="center" wrapText="1"/>
      <protection hidden="1"/>
    </xf>
    <xf numFmtId="0" fontId="0" fillId="0" borderId="214" xfId="0" applyFont="1" applyBorder="1" applyAlignment="1" applyProtection="1">
      <alignment horizontal="center" vertical="center" wrapText="1"/>
      <protection hidden="1"/>
    </xf>
    <xf numFmtId="0" fontId="0" fillId="0" borderId="303" xfId="0" applyFont="1" applyBorder="1" applyAlignment="1" applyProtection="1">
      <alignment horizontal="center" vertical="center" wrapText="1"/>
      <protection hidden="1"/>
    </xf>
    <xf numFmtId="0" fontId="0" fillId="0" borderId="241" xfId="0" applyFont="1" applyBorder="1" applyAlignment="1" applyProtection="1">
      <alignment horizontal="center" vertical="center" wrapText="1"/>
      <protection hidden="1"/>
    </xf>
    <xf numFmtId="0" fontId="0" fillId="0" borderId="201" xfId="0" applyFont="1" applyBorder="1" applyAlignment="1" applyProtection="1">
      <alignment horizontal="center" vertical="center" wrapText="1"/>
      <protection hidden="1"/>
    </xf>
    <xf numFmtId="0" fontId="0" fillId="0" borderId="303" xfId="0" applyFont="1" applyBorder="1" applyAlignment="1" applyProtection="1">
      <alignment horizontal="center" vertical="center"/>
      <protection hidden="1"/>
    </xf>
    <xf numFmtId="0" fontId="0" fillId="0" borderId="218" xfId="0" applyFont="1" applyBorder="1" applyAlignment="1" applyProtection="1">
      <alignment horizontal="center" vertical="center"/>
      <protection hidden="1"/>
    </xf>
    <xf numFmtId="0" fontId="0" fillId="0" borderId="317" xfId="0" applyFont="1" applyBorder="1" applyAlignment="1" applyProtection="1">
      <alignment horizontal="center" vertical="center"/>
      <protection hidden="1"/>
    </xf>
    <xf numFmtId="0" fontId="0" fillId="0" borderId="229" xfId="0" applyFont="1" applyBorder="1" applyAlignment="1" applyProtection="1">
      <alignment horizontal="center" vertical="center"/>
      <protection hidden="1"/>
    </xf>
    <xf numFmtId="0" fontId="0" fillId="0" borderId="196" xfId="0" applyFont="1" applyBorder="1" applyAlignment="1" applyProtection="1">
      <alignment horizontal="center"/>
      <protection hidden="1"/>
    </xf>
    <xf numFmtId="49" fontId="0" fillId="0" borderId="198" xfId="0" applyNumberFormat="1" applyFont="1" applyBorder="1" applyAlignment="1" applyProtection="1">
      <alignment horizontal="center"/>
      <protection hidden="1"/>
    </xf>
    <xf numFmtId="49" fontId="0" fillId="0" borderId="196" xfId="0" applyNumberFormat="1" applyFont="1" applyBorder="1" applyAlignment="1" applyProtection="1">
      <alignment horizontal="center"/>
      <protection hidden="1"/>
    </xf>
    <xf numFmtId="0" fontId="0" fillId="0" borderId="298" xfId="0" applyFont="1" applyBorder="1" applyAlignment="1" applyProtection="1">
      <alignment horizontal="center"/>
      <protection hidden="1"/>
    </xf>
    <xf numFmtId="0" fontId="0" fillId="0" borderId="247" xfId="0" applyFont="1" applyBorder="1" applyAlignment="1" applyProtection="1">
      <alignment horizontal="center"/>
      <protection hidden="1"/>
    </xf>
    <xf numFmtId="0" fontId="0" fillId="0" borderId="201" xfId="0" applyFont="1" applyBorder="1" applyAlignment="1" applyProtection="1">
      <alignment horizontal="center"/>
      <protection hidden="1"/>
    </xf>
    <xf numFmtId="0" fontId="0" fillId="0" borderId="200" xfId="0" applyFont="1" applyBorder="1" applyAlignment="1" applyProtection="1">
      <alignment horizontal="center"/>
      <protection hidden="1"/>
    </xf>
    <xf numFmtId="0" fontId="225" fillId="0" borderId="0" xfId="0" applyFont="1" applyAlignment="1" applyProtection="1">
      <alignment horizontal="left"/>
      <protection hidden="1"/>
    </xf>
    <xf numFmtId="0" fontId="22" fillId="0" borderId="295" xfId="0" applyFont="1" applyBorder="1" applyAlignment="1" applyProtection="1">
      <alignment horizontal="center"/>
      <protection hidden="1"/>
    </xf>
    <xf numFmtId="0" fontId="22" fillId="0" borderId="296" xfId="0" applyFont="1" applyBorder="1" applyAlignment="1" applyProtection="1">
      <alignment horizontal="center"/>
      <protection hidden="1"/>
    </xf>
    <xf numFmtId="0" fontId="22" fillId="0" borderId="297" xfId="0" applyFont="1" applyBorder="1" applyAlignment="1" applyProtection="1">
      <alignment horizontal="center"/>
      <protection hidden="1"/>
    </xf>
    <xf numFmtId="0" fontId="0" fillId="0" borderId="0" xfId="0" applyFont="1" applyAlignment="1" applyProtection="1">
      <alignment horizontal="left"/>
      <protection hidden="1"/>
    </xf>
    <xf numFmtId="0" fontId="0" fillId="0" borderId="295" xfId="0" applyFont="1" applyBorder="1" applyAlignment="1">
      <alignment horizontal="center"/>
    </xf>
    <xf numFmtId="0" fontId="0" fillId="0" borderId="296" xfId="0" applyFont="1" applyBorder="1" applyAlignment="1">
      <alignment horizontal="center"/>
    </xf>
    <xf numFmtId="0" fontId="0" fillId="0" borderId="297" xfId="0" applyFont="1" applyBorder="1" applyAlignment="1">
      <alignment horizontal="center"/>
    </xf>
    <xf numFmtId="0" fontId="0" fillId="0" borderId="0" xfId="0" applyFont="1" applyBorder="1" applyAlignment="1">
      <alignment horizontal="center" vertical="center"/>
    </xf>
    <xf numFmtId="0" fontId="27" fillId="0" borderId="301" xfId="0" applyFont="1" applyBorder="1" applyAlignment="1">
      <alignment horizontal="center" vertical="center"/>
    </xf>
    <xf numFmtId="0" fontId="27" fillId="0" borderId="304" xfId="0" applyFont="1" applyBorder="1" applyAlignment="1">
      <alignment horizontal="center" vertical="center"/>
    </xf>
    <xf numFmtId="0" fontId="27" fillId="0" borderId="302" xfId="0" applyFont="1" applyBorder="1" applyAlignment="1">
      <alignment horizontal="center" vertical="center"/>
    </xf>
    <xf numFmtId="0" fontId="149" fillId="0" borderId="165" xfId="0" applyFont="1" applyBorder="1" applyAlignment="1">
      <alignment horizontal="center" wrapText="1"/>
    </xf>
    <xf numFmtId="0" fontId="149" fillId="0" borderId="170" xfId="0" applyFont="1" applyBorder="1" applyAlignment="1">
      <alignment horizontal="center" wrapText="1"/>
    </xf>
    <xf numFmtId="0" fontId="149" fillId="0" borderId="166" xfId="0" applyFont="1" applyBorder="1" applyAlignment="1">
      <alignment vertical="center" wrapText="1"/>
    </xf>
    <xf numFmtId="0" fontId="197" fillId="0" borderId="169" xfId="0" applyFont="1" applyBorder="1" applyAlignment="1">
      <alignment vertical="center" wrapText="1"/>
    </xf>
    <xf numFmtId="0" fontId="197" fillId="0" borderId="172" xfId="0" applyFont="1" applyBorder="1" applyAlignment="1">
      <alignment vertical="center" wrapText="1"/>
    </xf>
    <xf numFmtId="0" fontId="149" fillId="0" borderId="166" xfId="0" applyFont="1" applyBorder="1" applyAlignment="1">
      <alignment horizontal="center" vertical="center" wrapText="1"/>
    </xf>
    <xf numFmtId="0" fontId="149" fillId="0" borderId="171" xfId="0" applyFont="1" applyBorder="1" applyAlignment="1">
      <alignment horizontal="center" wrapText="1"/>
    </xf>
    <xf numFmtId="0" fontId="149" fillId="0" borderId="173" xfId="0" applyFont="1" applyBorder="1" applyAlignment="1">
      <alignment horizontal="center" vertical="center" wrapText="1"/>
    </xf>
    <xf numFmtId="0" fontId="149" fillId="0" borderId="175" xfId="0" applyFont="1" applyBorder="1" applyAlignment="1">
      <alignment horizontal="center" vertical="center" wrapText="1"/>
    </xf>
    <xf numFmtId="0" fontId="149" fillId="0" borderId="318" xfId="0" applyFont="1" applyBorder="1" applyAlignment="1">
      <alignment horizontal="center" vertical="center" wrapText="1"/>
    </xf>
    <xf numFmtId="0" fontId="149" fillId="0" borderId="0" xfId="0" applyFont="1" applyBorder="1" applyAlignment="1">
      <alignment horizontal="center" vertical="center" wrapText="1"/>
    </xf>
    <xf numFmtId="0" fontId="149" fillId="0" borderId="167" xfId="0" applyFont="1" applyBorder="1" applyAlignment="1">
      <alignment horizontal="center" vertical="center" wrapText="1"/>
    </xf>
    <xf numFmtId="0" fontId="149" fillId="0" borderId="163" xfId="0" applyFont="1" applyBorder="1" applyAlignment="1">
      <alignment horizontal="center" vertical="center" wrapText="1"/>
    </xf>
    <xf numFmtId="0" fontId="149" fillId="0" borderId="174" xfId="0" applyFont="1" applyBorder="1" applyAlignment="1">
      <alignment horizontal="center" vertical="center" wrapText="1"/>
    </xf>
    <xf numFmtId="0" fontId="149" fillId="0" borderId="168" xfId="0" applyFont="1" applyBorder="1" applyAlignment="1">
      <alignment horizontal="center" vertical="center" wrapText="1"/>
    </xf>
  </cellXfs>
  <cellStyles count="8">
    <cellStyle name="百分比" xfId="2" builtinId="5"/>
    <cellStyle name="常规 2" xfId="4"/>
    <cellStyle name="常规 3" xfId="5"/>
    <cellStyle name="常规 4" xfId="6"/>
    <cellStyle name="常规 5" xfId="7"/>
    <cellStyle name="常规_Book2" xfId="3"/>
    <cellStyle name="超連結" xfId="1" builtinId="8"/>
    <cellStyle name="一般" xfId="0" builtinId="0"/>
  </cellStyles>
  <dxfs count="3">
    <dxf>
      <fill>
        <patternFill patternType="solid">
          <bgColor indexed="11"/>
        </patternFill>
      </fill>
    </dxf>
    <dxf>
      <fill>
        <patternFill patternType="solid">
          <bgColor theme="0" tint="-0.14993743705557422"/>
        </patternFill>
      </fill>
    </dxf>
    <dxf>
      <fill>
        <patternFill patternType="solid">
          <bgColor theme="0" tint="-0.14993743705557422"/>
        </patternFill>
      </fill>
    </dxf>
  </dxfs>
  <tableStyles count="0" defaultTableStyle="TableStyleMedium2" defaultPivotStyle="PivotStyleLight16"/>
  <colors>
    <mruColors>
      <color rgb="FF0000FF"/>
      <color rgb="FFCCCCFF"/>
      <color rgb="FFFFCC99"/>
      <color rgb="FFC0C0C0"/>
      <color rgb="FF99CCFF"/>
      <color rgb="FFFF0000"/>
      <color rgb="FFFFFFFF"/>
      <color rgb="FF00FFFF"/>
      <color rgb="FF000000"/>
      <color rgb="FFCC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externalLink" Target="externalLinks/externalLink2.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externalLink" Target="externalLinks/externalLink1.xml"/><Relationship Id="rId16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56036556036599E-2"/>
          <c:y val="4.3315613309706603E-2"/>
          <c:w val="0.82972582972582998"/>
          <c:h val="0.91336877338058697"/>
        </c:manualLayout>
      </c:layout>
      <c:scatterChart>
        <c:scatterStyle val="smoothMarker"/>
        <c:varyColors val="0"/>
        <c:ser>
          <c:idx val="0"/>
          <c:order val="0"/>
          <c:tx>
            <c:strRef>
              <c:f>正弦加速度凸轮!$D$2</c:f>
              <c:strCache>
                <c:ptCount val="1"/>
                <c:pt idx="0">
                  <c:v>y</c:v>
                </c:pt>
              </c:strCache>
            </c:strRef>
          </c:tx>
          <c:spPr>
            <a:ln w="12700" cap="rnd" cmpd="sng" algn="ctr">
              <a:solidFill>
                <a:srgbClr val="000080"/>
              </a:solidFill>
              <a:prstDash val="solid"/>
              <a:round/>
            </a:ln>
          </c:spPr>
          <c:marker>
            <c:symbol val="none"/>
          </c:marker>
          <c:xVal>
            <c:numRef>
              <c:f>正弦加速度凸轮!$C$3:$C$362</c:f>
              <c:numCache>
                <c:formatCode>General</c:formatCode>
                <c:ptCount val="360"/>
                <c:pt idx="0">
                  <c:v>1.74525658390671</c:v>
                </c:pt>
                <c:pt idx="1">
                  <c:v>3.4902042551123502</c:v>
                </c:pt>
                <c:pt idx="2">
                  <c:v>5.2348806047114103</c:v>
                </c:pt>
                <c:pt idx="3">
                  <c:v>6.9796915465437799</c:v>
                </c:pt>
                <c:pt idx="4">
                  <c:v>8.7253946224779302</c:v>
                </c:pt>
                <c:pt idx="5">
                  <c:v>10.473075944854999</c:v>
                </c:pt>
                <c:pt idx="6">
                  <c:v>12.224121148905001</c:v>
                </c:pt>
                <c:pt idx="7">
                  <c:v>13.980180824529</c:v>
                </c:pt>
                <c:pt idx="8">
                  <c:v>15.7431309861642</c:v>
                </c:pt>
                <c:pt idx="9">
                  <c:v>17.515029220139301</c:v>
                </c:pt>
                <c:pt idx="10">
                  <c:v>19.2980672197193</c:v>
                </c:pt>
                <c:pt idx="11">
                  <c:v>21.094520477835999</c:v>
                </c:pt>
                <c:pt idx="12">
                  <c:v>22.9066959553674</c:v>
                </c:pt>
                <c:pt idx="13">
                  <c:v>24.736878578006898</c:v>
                </c:pt>
                <c:pt idx="14">
                  <c:v>26.587277436689298</c:v>
                </c:pt>
                <c:pt idx="15">
                  <c:v>28.4599725748627</c:v>
                </c:pt>
                <c:pt idx="16">
                  <c:v>30.3568632404493</c:v>
                </c:pt>
                <c:pt idx="17">
                  <c:v>32.279618461186303</c:v>
                </c:pt>
                <c:pt idx="18">
                  <c:v>34.229630769448001</c:v>
                </c:pt>
                <c:pt idx="19">
                  <c:v>36.207973857085499</c:v>
                </c:pt>
                <c:pt idx="20">
                  <c:v>38.215364882958497</c:v>
                </c:pt>
                <c:pt idx="21">
                  <c:v>40.252132086524199</c:v>
                </c:pt>
                <c:pt idx="22">
                  <c:v>42.318188281130503</c:v>
                </c:pt>
                <c:pt idx="23">
                  <c:v>44.413010711724901</c:v>
                </c:pt>
                <c:pt idx="24">
                  <c:v>46.535627664874603</c:v>
                </c:pt>
                <c:pt idx="25">
                  <c:v>48.684612115751499</c:v>
                </c:pt>
                <c:pt idx="26">
                  <c:v>50.858082588633899</c:v>
                </c:pt>
                <c:pt idx="27">
                  <c:v>53.053711296146297</c:v>
                </c:pt>
                <c:pt idx="28">
                  <c:v>55.268739509586403</c:v>
                </c:pt>
                <c:pt idx="29">
                  <c:v>57.5</c:v>
                </c:pt>
                <c:pt idx="30">
                  <c:v>59.743946278863497</c:v>
                </c:pt>
                <c:pt idx="31">
                  <c:v>61.996688260028101</c:v>
                </c:pt>
                <c:pt idx="32">
                  <c:v>64.254033862599499</c:v>
                </c:pt>
                <c:pt idx="33">
                  <c:v>66.511535979249103</c:v>
                </c:pt>
                <c:pt idx="34">
                  <c:v>68.764544147542495</c:v>
                </c:pt>
                <c:pt idx="35">
                  <c:v>71.008260184577694</c:v>
                </c:pt>
                <c:pt idx="36">
                  <c:v>73.2377969787577</c:v>
                </c:pt>
                <c:pt idx="37">
                  <c:v>75.448239577924497</c:v>
                </c:pt>
                <c:pt idx="38">
                  <c:v>77.634707671228597</c:v>
                </c:pt>
                <c:pt idx="39">
                  <c:v>79.792418533679395</c:v>
                </c:pt>
                <c:pt idx="40">
                  <c:v>81.916749487801894</c:v>
                </c:pt>
                <c:pt idx="41">
                  <c:v>84.003298936485294</c:v>
                </c:pt>
                <c:pt idx="42">
                  <c:v>86.047945035016994</c:v>
                </c:pt>
                <c:pt idx="43">
                  <c:v>88.046901098294498</c:v>
                </c:pt>
                <c:pt idx="44">
                  <c:v>89.996766880941195</c:v>
                </c:pt>
                <c:pt idx="45">
                  <c:v>91.894574922942795</c:v>
                </c:pt>
                <c:pt idx="46">
                  <c:v>93.737831220714298</c:v>
                </c:pt>
                <c:pt idx="47">
                  <c:v>95.524549562230604</c:v>
                </c:pt>
                <c:pt idx="48">
                  <c:v>97.253278953896299</c:v>
                </c:pt>
                <c:pt idx="49">
                  <c:v>98.923123664888195</c:v>
                </c:pt>
                <c:pt idx="50">
                  <c:v>100.533755520372</c:v>
                </c:pt>
                <c:pt idx="51">
                  <c:v>102.08541818671</c:v>
                </c:pt>
                <c:pt idx="52">
                  <c:v>103.578923307926</c:v>
                </c:pt>
                <c:pt idx="53">
                  <c:v>105.01563847154</c:v>
                </c:pt>
                <c:pt idx="54">
                  <c:v>106.397467101733</c:v>
                </c:pt>
                <c:pt idx="55">
                  <c:v>107.726820496771</c:v>
                </c:pt>
                <c:pt idx="56">
                  <c:v>109.006582344118</c:v>
                </c:pt>
                <c:pt idx="57">
                  <c:v>110.24006615875</c:v>
                </c:pt>
                <c:pt idx="58">
                  <c:v>111.430966196394</c:v>
                </c:pt>
                <c:pt idx="59">
                  <c:v>112.58330249197699</c:v>
                </c:pt>
                <c:pt idx="60">
                  <c:v>113.700561928121</c:v>
                </c:pt>
                <c:pt idx="61">
                  <c:v>114.78318707166</c:v>
                </c:pt>
                <c:pt idx="62">
                  <c:v>115.830848144488</c:v>
                </c:pt>
                <c:pt idx="63">
                  <c:v>116.843226018892</c:v>
                </c:pt>
                <c:pt idx="64">
                  <c:v>117.820012314764</c:v>
                </c:pt>
                <c:pt idx="65">
                  <c:v>118.76090949353799</c:v>
                </c:pt>
                <c:pt idx="66">
                  <c:v>119.665630948817</c:v>
                </c:pt>
                <c:pt idx="67">
                  <c:v>120.533901093682</c:v>
                </c:pt>
                <c:pt idx="68">
                  <c:v>121.365455444636</c:v>
                </c:pt>
                <c:pt idx="69">
                  <c:v>122.160040702168</c:v>
                </c:pt>
                <c:pt idx="70">
                  <c:v>122.917414827911</c:v>
                </c:pt>
                <c:pt idx="71">
                  <c:v>123.63734711837</c:v>
                </c:pt>
                <c:pt idx="72">
                  <c:v>124.319618275195</c:v>
                </c:pt>
                <c:pt idx="73">
                  <c:v>124.964020471981</c:v>
                </c:pt>
                <c:pt idx="74">
                  <c:v>125.570357417579</c:v>
                </c:pt>
                <c:pt idx="75">
                  <c:v>126.13844441588</c:v>
                </c:pt>
                <c:pt idx="76">
                  <c:v>126.668108422081</c:v>
                </c:pt>
                <c:pt idx="77">
                  <c:v>127.159188095395</c:v>
                </c:pt>
                <c:pt idx="78">
                  <c:v>127.611533848196</c:v>
                </c:pt>
                <c:pt idx="79">
                  <c:v>128.02500789158699</c:v>
                </c:pt>
                <c:pt idx="80">
                  <c:v>128.399484277368</c:v>
                </c:pt>
                <c:pt idx="81">
                  <c:v>128.73484893640401</c:v>
                </c:pt>
                <c:pt idx="82">
                  <c:v>129.03099971337201</c:v>
                </c:pt>
                <c:pt idx="83">
                  <c:v>129.287846397876</c:v>
                </c:pt>
                <c:pt idx="84">
                  <c:v>129.505310751927</c:v>
                </c:pt>
                <c:pt idx="85">
                  <c:v>129.68332653377701</c:v>
                </c:pt>
                <c:pt idx="86">
                  <c:v>129.821839518095</c:v>
                </c:pt>
                <c:pt idx="87">
                  <c:v>129.92080751248201</c:v>
                </c:pt>
                <c:pt idx="88">
                  <c:v>129.980200370331</c:v>
                </c:pt>
                <c:pt idx="89">
                  <c:v>130</c:v>
                </c:pt>
                <c:pt idx="90">
                  <c:v>129.980200370331</c:v>
                </c:pt>
                <c:pt idx="91">
                  <c:v>129.92080751248201</c:v>
                </c:pt>
                <c:pt idx="92">
                  <c:v>129.821839518095</c:v>
                </c:pt>
                <c:pt idx="93">
                  <c:v>129.68332653377701</c:v>
                </c:pt>
                <c:pt idx="94">
                  <c:v>129.505310751927</c:v>
                </c:pt>
                <c:pt idx="95">
                  <c:v>129.287846397876</c:v>
                </c:pt>
                <c:pt idx="96">
                  <c:v>129.03099971337201</c:v>
                </c:pt>
                <c:pt idx="97">
                  <c:v>128.73484893640401</c:v>
                </c:pt>
                <c:pt idx="98">
                  <c:v>128.399484277368</c:v>
                </c:pt>
                <c:pt idx="99">
                  <c:v>128.02500789158699</c:v>
                </c:pt>
                <c:pt idx="100">
                  <c:v>127.611533848196</c:v>
                </c:pt>
                <c:pt idx="101">
                  <c:v>127.159188095395</c:v>
                </c:pt>
                <c:pt idx="102">
                  <c:v>126.668108422081</c:v>
                </c:pt>
                <c:pt idx="103">
                  <c:v>126.13844441588</c:v>
                </c:pt>
                <c:pt idx="104">
                  <c:v>125.570357417579</c:v>
                </c:pt>
                <c:pt idx="105">
                  <c:v>124.964020471981</c:v>
                </c:pt>
                <c:pt idx="106">
                  <c:v>124.319618275195</c:v>
                </c:pt>
                <c:pt idx="107">
                  <c:v>123.63734711837</c:v>
                </c:pt>
                <c:pt idx="108">
                  <c:v>122.917414827911</c:v>
                </c:pt>
                <c:pt idx="109">
                  <c:v>122.160040702168</c:v>
                </c:pt>
                <c:pt idx="110">
                  <c:v>121.365455444636</c:v>
                </c:pt>
                <c:pt idx="111">
                  <c:v>120.533901093682</c:v>
                </c:pt>
                <c:pt idx="112">
                  <c:v>119.665630948817</c:v>
                </c:pt>
                <c:pt idx="113">
                  <c:v>118.76090949353799</c:v>
                </c:pt>
                <c:pt idx="114">
                  <c:v>117.82001231476499</c:v>
                </c:pt>
                <c:pt idx="115">
                  <c:v>116.843226018892</c:v>
                </c:pt>
                <c:pt idx="116">
                  <c:v>115.830848144488</c:v>
                </c:pt>
                <c:pt idx="117">
                  <c:v>114.783187071661</c:v>
                </c:pt>
                <c:pt idx="118">
                  <c:v>113.700561928121</c:v>
                </c:pt>
                <c:pt idx="119">
                  <c:v>112.58330249197699</c:v>
                </c:pt>
                <c:pt idx="120">
                  <c:v>111.43174909127499</c:v>
                </c:pt>
                <c:pt idx="121">
                  <c:v>110.246252500335</c:v>
                </c:pt>
                <c:pt idx="122">
                  <c:v>109.02717383290501</c:v>
                </c:pt>
                <c:pt idx="123">
                  <c:v>107.77488443215501</c:v>
                </c:pt>
                <c:pt idx="124">
                  <c:v>106.489765757569</c:v>
                </c:pt>
                <c:pt idx="125">
                  <c:v>105.172209268743</c:v>
                </c:pt>
                <c:pt idx="126">
                  <c:v>103.82261630614801</c:v>
                </c:pt>
                <c:pt idx="127">
                  <c:v>102.441397968874</c:v>
                </c:pt>
                <c:pt idx="128">
                  <c:v>101.028974989406</c:v>
                </c:pt>
                <c:pt idx="129">
                  <c:v>99.585777605467101</c:v>
                </c:pt>
                <c:pt idx="130">
                  <c:v>98.112245428960307</c:v>
                </c:pt>
                <c:pt idx="131">
                  <c:v>96.608827312061294</c:v>
                </c:pt>
                <c:pt idx="132">
                  <c:v>95.075981210492202</c:v>
                </c:pt>
                <c:pt idx="133">
                  <c:v>93.514174044024699</c:v>
                </c:pt>
                <c:pt idx="134">
                  <c:v>91.923881554251196</c:v>
                </c:pt>
                <c:pt idx="135">
                  <c:v>90.305588159669597</c:v>
                </c:pt>
                <c:pt idx="136">
                  <c:v>88.659786808124807</c:v>
                </c:pt>
                <c:pt idx="137">
                  <c:v>86.986978826651594</c:v>
                </c:pt>
                <c:pt idx="138">
                  <c:v>85.287673768765899</c:v>
                </c:pt>
                <c:pt idx="139">
                  <c:v>83.562389259250097</c:v>
                </c:pt>
                <c:pt idx="140">
                  <c:v>81.811650836478904</c:v>
                </c:pt>
                <c:pt idx="141">
                  <c:v>80.035991792335594</c:v>
                </c:pt>
                <c:pt idx="142">
                  <c:v>78.235953009766305</c:v>
                </c:pt>
                <c:pt idx="143">
                  <c:v>76.412082798021501</c:v>
                </c:pt>
                <c:pt idx="144">
                  <c:v>74.564936725636002</c:v>
                </c:pt>
                <c:pt idx="145">
                  <c:v>72.695077451197093</c:v>
                </c:pt>
                <c:pt idx="146">
                  <c:v>70.8030745519535</c:v>
                </c:pt>
                <c:pt idx="147">
                  <c:v>68.889504350316599</c:v>
                </c:pt>
                <c:pt idx="148">
                  <c:v>66.954949738307107</c:v>
                </c:pt>
                <c:pt idx="149">
                  <c:v>65</c:v>
                </c:pt>
                <c:pt idx="150">
                  <c:v>63.025250632023798</c:v>
                </c:pt>
                <c:pt idx="151">
                  <c:v>61.031303162165798</c:v>
                </c:pt>
                <c:pt idx="152">
                  <c:v>59.018764966141099</c:v>
                </c:pt>
                <c:pt idx="153">
                  <c:v>56.988249082579998</c:v>
                </c:pt>
                <c:pt idx="154">
                  <c:v>54.940374026290897</c:v>
                </c:pt>
                <c:pt idx="155">
                  <c:v>52.875763599854103</c:v>
                </c:pt>
                <c:pt idx="156">
                  <c:v>50.7950467036056</c:v>
                </c:pt>
                <c:pt idx="157">
                  <c:v>48.698857144068597</c:v>
                </c:pt>
                <c:pt idx="158">
                  <c:v>46.587833440889</c:v>
                </c:pt>
                <c:pt idx="159">
                  <c:v>44.462618632336998</c:v>
                </c:pt>
                <c:pt idx="160">
                  <c:v>42.323860079430403</c:v>
                </c:pt>
                <c:pt idx="161">
                  <c:v>40.172209268743202</c:v>
                </c:pt>
                <c:pt idx="162">
                  <c:v>38.0083216139558</c:v>
                </c:pt>
                <c:pt idx="163">
                  <c:v>35.83285625621</c:v>
                </c:pt>
                <c:pt idx="164">
                  <c:v>33.646475863327701</c:v>
                </c:pt>
                <c:pt idx="165">
                  <c:v>31.4498464279568</c:v>
                </c:pt>
                <c:pt idx="166">
                  <c:v>29.243637064702401</c:v>
                </c:pt>
                <c:pt idx="167">
                  <c:v>27.028519806308701</c:v>
                </c:pt>
                <c:pt idx="168">
                  <c:v>24.805169398950799</c:v>
                </c:pt>
                <c:pt idx="169">
                  <c:v>22.5742630967009</c:v>
                </c:pt>
                <c:pt idx="170">
                  <c:v>20.336480455229999</c:v>
                </c:pt>
                <c:pt idx="171">
                  <c:v>18.092503124808498</c:v>
                </c:pt>
                <c:pt idx="172">
                  <c:v>15.8430146426692</c:v>
                </c:pt>
                <c:pt idx="173">
                  <c:v>13.588700224795</c:v>
                </c:pt>
                <c:pt idx="174">
                  <c:v>11.330246557195601</c:v>
                </c:pt>
                <c:pt idx="175">
                  <c:v>9.0683415867363202</c:v>
                </c:pt>
                <c:pt idx="176">
                  <c:v>6.8036743115826903</c:v>
                </c:pt>
                <c:pt idx="177">
                  <c:v>4.5369345713250899</c:v>
                </c:pt>
                <c:pt idx="178">
                  <c:v>2.2688128368468501</c:v>
                </c:pt>
                <c:pt idx="179">
                  <c:v>1.5920408388915601E-14</c:v>
                </c:pt>
                <c:pt idx="180">
                  <c:v>-2.2687968966684502</c:v>
                </c:pt>
                <c:pt idx="181">
                  <c:v>-4.5366799864628602</c:v>
                </c:pt>
                <c:pt idx="182">
                  <c:v>-6.8023893311656298</c:v>
                </c:pt>
                <c:pt idx="183">
                  <c:v>-9.0642974146049795</c:v>
                </c:pt>
                <c:pt idx="184">
                  <c:v>-11.320426209483401</c:v>
                </c:pt>
                <c:pt idx="185">
                  <c:v>-13.568470606705301</c:v>
                </c:pt>
                <c:pt idx="186">
                  <c:v>-15.805827834278899</c:v>
                </c:pt>
                <c:pt idx="187">
                  <c:v>-18.029632396286001</c:v>
                </c:pt>
                <c:pt idx="188">
                  <c:v>-20.236795973088899</c:v>
                </c:pt>
                <c:pt idx="189">
                  <c:v>-22.4240516432547</c:v>
                </c:pt>
                <c:pt idx="190">
                  <c:v>-24.588001716886001</c:v>
                </c:pt>
                <c:pt idx="191">
                  <c:v>-26.7251684102486</c:v>
                </c:pt>
                <c:pt idx="192">
                  <c:v>-28.8320465437215</c:v>
                </c:pt>
                <c:pt idx="193">
                  <c:v>-30.905157409916601</c:v>
                </c:pt>
                <c:pt idx="194">
                  <c:v>-32.941102936890502</c:v>
                </c:pt>
                <c:pt idx="195">
                  <c:v>-34.936619263047099</c:v>
                </c:pt>
                <c:pt idx="196">
                  <c:v>-36.888628845780097</c:v>
                </c:pt>
                <c:pt idx="197">
                  <c:v>-38.794290245051599</c:v>
                </c:pt>
                <c:pt idx="198">
                  <c:v>-40.651044755698102</c:v>
                </c:pt>
                <c:pt idx="199">
                  <c:v>-42.456659107818297</c:v>
                </c:pt>
                <c:pt idx="200">
                  <c:v>-44.209263512460602</c:v>
                </c:pt>
                <c:pt idx="201">
                  <c:v>-45.907384399135502</c:v>
                </c:pt>
                <c:pt idx="202">
                  <c:v>-47.549971271402498</c:v>
                </c:pt>
                <c:pt idx="203">
                  <c:v>-49.1364171957091</c:v>
                </c:pt>
                <c:pt idx="204">
                  <c:v>-50.666572535486203</c:v>
                </c:pt>
                <c:pt idx="205">
                  <c:v>-52.140751645736302</c:v>
                </c:pt>
                <c:pt idx="206">
                  <c:v>-53.559732351461797</c:v>
                </c:pt>
                <c:pt idx="207">
                  <c:v>-54.9247481446086</c:v>
                </c:pt>
                <c:pt idx="208">
                  <c:v>-56.2374731470711</c:v>
                </c:pt>
                <c:pt idx="209">
                  <c:v>-57.5</c:v>
                </c:pt>
                <c:pt idx="210">
                  <c:v>-58.714810950448999</c:v>
                </c:pt>
                <c:pt idx="211">
                  <c:v>-59.884742513608998</c:v>
                </c:pt>
                <c:pt idx="212">
                  <c:v>-61.0129441908567</c:v>
                </c:pt>
                <c:pt idx="213">
                  <c:v>-62.102831819022697</c:v>
                </c:pt>
                <c:pt idx="214">
                  <c:v>-63.158036213198102</c:v>
                </c:pt>
                <c:pt idx="215">
                  <c:v>-64.1823478426912</c:v>
                </c:pt>
                <c:pt idx="216">
                  <c:v>-65.179658346213401</c:v>
                </c:pt>
                <c:pt idx="217">
                  <c:v>-66.153899746976904</c:v>
                </c:pt>
                <c:pt idx="218">
                  <c:v>-67.108982270234094</c:v>
                </c:pt>
                <c:pt idx="219">
                  <c:v>-68.0487316942246</c:v>
                </c:pt>
                <c:pt idx="220">
                  <c:v>-68.976827180014794</c:v>
                </c:pt>
                <c:pt idx="221">
                  <c:v>-69.896740526052099</c:v>
                </c:pt>
                <c:pt idx="222">
                  <c:v>-70.811677779357694</c:v>
                </c:pt>
                <c:pt idx="223">
                  <c:v>-71.724524107274803</c:v>
                </c:pt>
                <c:pt idx="224">
                  <c:v>-72.637792791964699</c:v>
                </c:pt>
                <c:pt idx="225">
                  <c:v>-73.553579154946902</c:v>
                </c:pt>
                <c:pt idx="226">
                  <c:v>-74.473520151694899</c:v>
                </c:pt>
                <c:pt idx="227">
                  <c:v>-75.398760297570007</c:v>
                </c:pt>
                <c:pt idx="228">
                  <c:v>-76.329924497341295</c:v>
                </c:pt>
                <c:pt idx="229">
                  <c:v>-77.267098252476799</c:v>
                </c:pt>
                <c:pt idx="230">
                  <c:v>-78.209815614731397</c:v>
                </c:pt>
                <c:pt idx="231">
                  <c:v>-79.157055142835901</c:v>
                </c:pt>
                <c:pt idx="232">
                  <c:v>-80.107244002951703</c:v>
                </c:pt>
                <c:pt idx="233">
                  <c:v>-81.058270234697602</c:v>
                </c:pt>
                <c:pt idx="234">
                  <c:v>-82.007503084735305</c:v>
                </c:pt>
                <c:pt idx="235">
                  <c:v>-82.951821190888595</c:v>
                </c:pt>
                <c:pt idx="236">
                  <c:v>-83.887648283329696</c:v>
                </c:pt>
                <c:pt idx="237">
                  <c:v>-84.810995957227505</c:v>
                </c:pt>
                <c:pt idx="238">
                  <c:v>-85.717512965092098</c:v>
                </c:pt>
                <c:pt idx="239">
                  <c:v>-86.602540378443805</c:v>
                </c:pt>
                <c:pt idx="240">
                  <c:v>-87.461970713939607</c:v>
                </c:pt>
                <c:pt idx="241">
                  <c:v>-88.294759285892695</c:v>
                </c:pt>
                <c:pt idx="242">
                  <c:v>-89.100652418836802</c:v>
                </c:pt>
                <c:pt idx="243">
                  <c:v>-89.879404629916706</c:v>
                </c:pt>
                <c:pt idx="244">
                  <c:v>-90.630778703665001</c:v>
                </c:pt>
                <c:pt idx="245">
                  <c:v>-91.354545764260095</c:v>
                </c:pt>
                <c:pt idx="246">
                  <c:v>-92.050485345243999</c:v>
                </c:pt>
                <c:pt idx="247">
                  <c:v>-92.718385456678703</c:v>
                </c:pt>
                <c:pt idx="248">
                  <c:v>-93.358042649720204</c:v>
                </c:pt>
                <c:pt idx="249">
                  <c:v>-93.969262078590802</c:v>
                </c:pt>
                <c:pt idx="250">
                  <c:v>-94.551857559931705</c:v>
                </c:pt>
                <c:pt idx="251">
                  <c:v>-95.105651629515293</c:v>
                </c:pt>
                <c:pt idx="252">
                  <c:v>-95.630475596303498</c:v>
                </c:pt>
                <c:pt idx="253">
                  <c:v>-96.126169593831904</c:v>
                </c:pt>
                <c:pt idx="254">
                  <c:v>-96.592582628906797</c:v>
                </c:pt>
                <c:pt idx="255">
                  <c:v>-97.029572627599606</c:v>
                </c:pt>
                <c:pt idx="256">
                  <c:v>-97.4370064785235</c:v>
                </c:pt>
                <c:pt idx="257">
                  <c:v>-97.814760073380597</c:v>
                </c:pt>
                <c:pt idx="258">
                  <c:v>-98.162718344766404</c:v>
                </c:pt>
                <c:pt idx="259">
                  <c:v>-98.480775301220802</c:v>
                </c:pt>
                <c:pt idx="260">
                  <c:v>-98.768834059513793</c:v>
                </c:pt>
                <c:pt idx="261">
                  <c:v>-99.026806874157003</c:v>
                </c:pt>
                <c:pt idx="262">
                  <c:v>-99.254615164132204</c:v>
                </c:pt>
                <c:pt idx="263">
                  <c:v>-99.452189536827305</c:v>
                </c:pt>
                <c:pt idx="264">
                  <c:v>-99.619469809174603</c:v>
                </c:pt>
                <c:pt idx="265">
                  <c:v>-99.756405025982403</c:v>
                </c:pt>
                <c:pt idx="266">
                  <c:v>-99.862953475457402</c:v>
                </c:pt>
                <c:pt idx="267">
                  <c:v>-99.939082701909598</c:v>
                </c:pt>
                <c:pt idx="268">
                  <c:v>-99.984769515639101</c:v>
                </c:pt>
                <c:pt idx="269">
                  <c:v>-100</c:v>
                </c:pt>
                <c:pt idx="270">
                  <c:v>-99.984769515639101</c:v>
                </c:pt>
                <c:pt idx="271">
                  <c:v>-99.939082701909598</c:v>
                </c:pt>
                <c:pt idx="272">
                  <c:v>-99.862953475457402</c:v>
                </c:pt>
                <c:pt idx="273">
                  <c:v>-99.756405025982403</c:v>
                </c:pt>
                <c:pt idx="274">
                  <c:v>-99.619469809174603</c:v>
                </c:pt>
                <c:pt idx="275">
                  <c:v>-99.452189536827305</c:v>
                </c:pt>
                <c:pt idx="276">
                  <c:v>-99.254615164132204</c:v>
                </c:pt>
                <c:pt idx="277">
                  <c:v>-99.026806874157003</c:v>
                </c:pt>
                <c:pt idx="278">
                  <c:v>-98.768834059513793</c:v>
                </c:pt>
                <c:pt idx="279">
                  <c:v>-98.480775301220802</c:v>
                </c:pt>
                <c:pt idx="280">
                  <c:v>-98.162718344766404</c:v>
                </c:pt>
                <c:pt idx="281">
                  <c:v>-97.814760073380597</c:v>
                </c:pt>
                <c:pt idx="282">
                  <c:v>-97.4370064785235</c:v>
                </c:pt>
                <c:pt idx="283">
                  <c:v>-97.029572627599705</c:v>
                </c:pt>
                <c:pt idx="284">
                  <c:v>-96.592582628906797</c:v>
                </c:pt>
                <c:pt idx="285">
                  <c:v>-96.126169593831904</c:v>
                </c:pt>
                <c:pt idx="286">
                  <c:v>-95.630475596303498</c:v>
                </c:pt>
                <c:pt idx="287">
                  <c:v>-95.105651629515407</c:v>
                </c:pt>
                <c:pt idx="288">
                  <c:v>-94.551857559931705</c:v>
                </c:pt>
                <c:pt idx="289">
                  <c:v>-93.969262078590901</c:v>
                </c:pt>
                <c:pt idx="290">
                  <c:v>-93.358042649720204</c:v>
                </c:pt>
                <c:pt idx="291">
                  <c:v>-92.718385456678703</c:v>
                </c:pt>
                <c:pt idx="292">
                  <c:v>-92.050485345244098</c:v>
                </c:pt>
                <c:pt idx="293">
                  <c:v>-91.354545764260095</c:v>
                </c:pt>
                <c:pt idx="294">
                  <c:v>-90.630778703665001</c:v>
                </c:pt>
                <c:pt idx="295">
                  <c:v>-89.879404629916706</c:v>
                </c:pt>
                <c:pt idx="296">
                  <c:v>-89.100652418836802</c:v>
                </c:pt>
                <c:pt idx="297">
                  <c:v>-88.294759285892695</c:v>
                </c:pt>
                <c:pt idx="298">
                  <c:v>-87.461970713939607</c:v>
                </c:pt>
                <c:pt idx="299">
                  <c:v>-86.602540378443905</c:v>
                </c:pt>
                <c:pt idx="300">
                  <c:v>-85.716730070211199</c:v>
                </c:pt>
                <c:pt idx="301">
                  <c:v>-84.804809615642597</c:v>
                </c:pt>
                <c:pt idx="302">
                  <c:v>-83.867056794542407</c:v>
                </c:pt>
                <c:pt idx="303">
                  <c:v>-82.903757255504203</c:v>
                </c:pt>
                <c:pt idx="304">
                  <c:v>-81.915204428899202</c:v>
                </c:pt>
                <c:pt idx="305">
                  <c:v>-80.901699437494798</c:v>
                </c:pt>
                <c:pt idx="306">
                  <c:v>-79.863551004729302</c:v>
                </c:pt>
                <c:pt idx="307">
                  <c:v>-78.801075360672201</c:v>
                </c:pt>
                <c:pt idx="308">
                  <c:v>-77.714596145697101</c:v>
                </c:pt>
                <c:pt idx="309">
                  <c:v>-76.604444311897794</c:v>
                </c:pt>
                <c:pt idx="310">
                  <c:v>-75.470958022277202</c:v>
                </c:pt>
                <c:pt idx="311">
                  <c:v>-74.314482547739502</c:v>
                </c:pt>
                <c:pt idx="312">
                  <c:v>-73.135370161917095</c:v>
                </c:pt>
                <c:pt idx="313">
                  <c:v>-71.933980033865197</c:v>
                </c:pt>
                <c:pt idx="314">
                  <c:v>-70.710678118654798</c:v>
                </c:pt>
                <c:pt idx="315">
                  <c:v>-69.465837045899804</c:v>
                </c:pt>
                <c:pt idx="316">
                  <c:v>-68.199836006249797</c:v>
                </c:pt>
                <c:pt idx="317">
                  <c:v>-66.913060635885799</c:v>
                </c:pt>
                <c:pt idx="318">
                  <c:v>-65.605902899050704</c:v>
                </c:pt>
                <c:pt idx="319">
                  <c:v>-64.278760968653998</c:v>
                </c:pt>
                <c:pt idx="320">
                  <c:v>-62.932039104983801</c:v>
                </c:pt>
                <c:pt idx="321">
                  <c:v>-61.5661475325659</c:v>
                </c:pt>
                <c:pt idx="322">
                  <c:v>-60.181502315204803</c:v>
                </c:pt>
                <c:pt idx="323">
                  <c:v>-58.7785252292473</c:v>
                </c:pt>
                <c:pt idx="324">
                  <c:v>-57.357643635104701</c:v>
                </c:pt>
                <c:pt idx="325">
                  <c:v>-55.9192903470747</c:v>
                </c:pt>
                <c:pt idx="326">
                  <c:v>-54.463903501502699</c:v>
                </c:pt>
                <c:pt idx="327">
                  <c:v>-52.991926423320599</c:v>
                </c:pt>
                <c:pt idx="328">
                  <c:v>-51.503807491005396</c:v>
                </c:pt>
                <c:pt idx="329">
                  <c:v>-50</c:v>
                </c:pt>
                <c:pt idx="330">
                  <c:v>-48.480962024633698</c:v>
                </c:pt>
                <c:pt idx="331">
                  <c:v>-46.947156278589098</c:v>
                </c:pt>
                <c:pt idx="332">
                  <c:v>-45.399049973954703</c:v>
                </c:pt>
                <c:pt idx="333">
                  <c:v>-43.837114678907703</c:v>
                </c:pt>
                <c:pt idx="334">
                  <c:v>-42.261826174070002</c:v>
                </c:pt>
                <c:pt idx="335">
                  <c:v>-40.673664307579998</c:v>
                </c:pt>
                <c:pt idx="336">
                  <c:v>-39.073112848927501</c:v>
                </c:pt>
                <c:pt idx="337">
                  <c:v>-37.460659341591203</c:v>
                </c:pt>
                <c:pt idx="338">
                  <c:v>-35.836794954530099</c:v>
                </c:pt>
                <c:pt idx="339">
                  <c:v>-34.202014332566897</c:v>
                </c:pt>
                <c:pt idx="340">
                  <c:v>-32.556815445715799</c:v>
                </c:pt>
                <c:pt idx="341">
                  <c:v>-30.901699437494798</c:v>
                </c:pt>
                <c:pt idx="342">
                  <c:v>-29.237170472273601</c:v>
                </c:pt>
                <c:pt idx="343">
                  <c:v>-27.563735581700001</c:v>
                </c:pt>
                <c:pt idx="344">
                  <c:v>-25.881904510252099</c:v>
                </c:pt>
                <c:pt idx="345">
                  <c:v>-24.192189559966799</c:v>
                </c:pt>
                <c:pt idx="346">
                  <c:v>-22.495105434386499</c:v>
                </c:pt>
                <c:pt idx="347">
                  <c:v>-20.791169081776001</c:v>
                </c:pt>
                <c:pt idx="348">
                  <c:v>-19.080899537654499</c:v>
                </c:pt>
                <c:pt idx="349">
                  <c:v>-17.364817766693101</c:v>
                </c:pt>
                <c:pt idx="350">
                  <c:v>-15.6434465040231</c:v>
                </c:pt>
                <c:pt idx="351">
                  <c:v>-13.917310096006601</c:v>
                </c:pt>
                <c:pt idx="352">
                  <c:v>-12.186934340514799</c:v>
                </c:pt>
                <c:pt idx="353">
                  <c:v>-10.4528463267653</c:v>
                </c:pt>
                <c:pt idx="354">
                  <c:v>-8.7155742747658298</c:v>
                </c:pt>
                <c:pt idx="355">
                  <c:v>-6.9756473744124801</c:v>
                </c:pt>
                <c:pt idx="356">
                  <c:v>-5.2335956242944404</c:v>
                </c:pt>
                <c:pt idx="357">
                  <c:v>-3.4899496702500801</c:v>
                </c:pt>
                <c:pt idx="358">
                  <c:v>-1.74524064372844</c:v>
                </c:pt>
                <c:pt idx="359">
                  <c:v>-2.4492935982947099E-14</c:v>
                </c:pt>
              </c:numCache>
            </c:numRef>
          </c:xVal>
          <c:yVal>
            <c:numRef>
              <c:f>正弦加速度凸轮!$D$3:$D$362</c:f>
              <c:numCache>
                <c:formatCode>General</c:formatCode>
                <c:ptCount val="360"/>
                <c:pt idx="0">
                  <c:v>99.985682727845898</c:v>
                </c:pt>
                <c:pt idx="1">
                  <c:v>99.946373058507106</c:v>
                </c:pt>
                <c:pt idx="2">
                  <c:v>99.887472362435801</c:v>
                </c:pt>
                <c:pt idx="3">
                  <c:v>99.814239381916096</c:v>
                </c:pt>
                <c:pt idx="4">
                  <c:v>99.731716897155295</c:v>
                </c:pt>
                <c:pt idx="5">
                  <c:v>99.644661496101605</c:v>
                </c:pt>
                <c:pt idx="6">
                  <c:v>99.557477414213295</c:v>
                </c:pt>
                <c:pt idx="7">
                  <c:v>99.474155352310206</c:v>
                </c:pt>
                <c:pt idx="8">
                  <c:v>99.398217109621697</c:v>
                </c:pt>
                <c:pt idx="9">
                  <c:v>99.332666786249106</c:v>
                </c:pt>
                <c:pt idx="10">
                  <c:v>99.279949215672104</c:v>
                </c:pt>
                <c:pt idx="11">
                  <c:v>99.241916185036999</c:v>
                </c:pt>
                <c:pt idx="12">
                  <c:v>99.219800890236499</c:v>
                </c:pt>
                <c:pt idx="13">
                  <c:v>99.2142009558615</c:v>
                </c:pt>
                <c:pt idx="14">
                  <c:v>99.225070228654005</c:v>
                </c:pt>
                <c:pt idx="15">
                  <c:v>99.251719428892201</c:v>
                </c:pt>
                <c:pt idx="16">
                  <c:v>99.292825618988402</c:v>
                </c:pt>
                <c:pt idx="17">
                  <c:v>99.346450324291496</c:v>
                </c:pt>
                <c:pt idx="18">
                  <c:v>99.410066019457901</c:v>
                </c:pt>
                <c:pt idx="19">
                  <c:v>99.480590576545694</c:v>
                </c:pt>
                <c:pt idx="20">
                  <c:v>99.554429159878694</c:v>
                </c:pt>
                <c:pt idx="21">
                  <c:v>99.627522949332402</c:v>
                </c:pt>
                <c:pt idx="22">
                  <c:v>99.695403979476296</c:v>
                </c:pt>
                <c:pt idx="23">
                  <c:v>99.753255298336001</c:v>
                </c:pt>
                <c:pt idx="24">
                  <c:v>99.795975577579696</c:v>
                </c:pt>
                <c:pt idx="25">
                  <c:v>99.818247246723303</c:v>
                </c:pt>
                <c:pt idx="26">
                  <c:v>99.8146071783015</c:v>
                </c:pt>
                <c:pt idx="27">
                  <c:v>99.779518919506003</c:v>
                </c:pt>
                <c:pt idx="28">
                  <c:v>99.707445448950395</c:v>
                </c:pt>
                <c:pt idx="29">
                  <c:v>99.592921435210499</c:v>
                </c:pt>
                <c:pt idx="30">
                  <c:v>99.4306239865641</c:v>
                </c:pt>
                <c:pt idx="31">
                  <c:v>99.2154409087169</c:v>
                </c:pt>
                <c:pt idx="32">
                  <c:v>98.942535528772794</c:v>
                </c:pt>
                <c:pt idx="33">
                  <c:v>98.607407198665499</c:v>
                </c:pt>
                <c:pt idx="34">
                  <c:v>98.205946658842905</c:v>
                </c:pt>
                <c:pt idx="35">
                  <c:v>97.734485522165798</c:v>
                </c:pt>
                <c:pt idx="36">
                  <c:v>97.189839227547296</c:v>
                </c:pt>
                <c:pt idx="37">
                  <c:v>96.569342911463096</c:v>
                </c:pt>
                <c:pt idx="38">
                  <c:v>95.870879751630099</c:v>
                </c:pt>
                <c:pt idx="39">
                  <c:v>95.092901449293294</c:v>
                </c:pt>
                <c:pt idx="40">
                  <c:v>94.234440633005207</c:v>
                </c:pt>
                <c:pt idx="41">
                  <c:v>93.2951150857984</c:v>
                </c:pt>
                <c:pt idx="42">
                  <c:v>92.275123817475901</c:v>
                </c:pt>
                <c:pt idx="43">
                  <c:v>91.175235122604207</c:v>
                </c:pt>
                <c:pt idx="44">
                  <c:v>89.996766880941195</c:v>
                </c:pt>
                <c:pt idx="45">
                  <c:v>88.741559468753493</c:v>
                </c:pt>
                <c:pt idx="46">
                  <c:v>87.411941755141996</c:v>
                </c:pt>
                <c:pt idx="47">
                  <c:v>86.010690755561896</c:v>
                </c:pt>
                <c:pt idx="48">
                  <c:v>84.540985603764</c:v>
                </c:pt>
                <c:pt idx="49">
                  <c:v>83.006356582112105</c:v>
                </c:pt>
                <c:pt idx="50">
                  <c:v>81.410630017527595</c:v>
                </c:pt>
                <c:pt idx="51">
                  <c:v>79.757869905204103</c:v>
                </c:pt>
                <c:pt idx="52">
                  <c:v>78.052317163974095</c:v>
                </c:pt>
                <c:pt idx="53">
                  <c:v>76.2983274552099</c:v>
                </c:pt>
                <c:pt idx="54">
                  <c:v>74.500308511052907</c:v>
                </c:pt>
                <c:pt idx="55">
                  <c:v>72.662657917427296</c:v>
                </c:pt>
                <c:pt idx="56">
                  <c:v>70.7897022827798</c:v>
                </c:pt>
                <c:pt idx="57">
                  <c:v>68.885638695059797</c:v>
                </c:pt>
                <c:pt idx="58">
                  <c:v>66.954479327604304</c:v>
                </c:pt>
                <c:pt idx="59">
                  <c:v>65</c:v>
                </c:pt>
                <c:pt idx="60">
                  <c:v>63.025250632023798</c:v>
                </c:pt>
                <c:pt idx="61">
                  <c:v>61.031303162165798</c:v>
                </c:pt>
                <c:pt idx="62">
                  <c:v>59.018764966141099</c:v>
                </c:pt>
                <c:pt idx="63">
                  <c:v>56.988249082580097</c:v>
                </c:pt>
                <c:pt idx="64">
                  <c:v>54.940374026290897</c:v>
                </c:pt>
                <c:pt idx="65">
                  <c:v>52.875763599853997</c:v>
                </c:pt>
                <c:pt idx="66">
                  <c:v>50.7950467036056</c:v>
                </c:pt>
                <c:pt idx="67">
                  <c:v>48.698857144068597</c:v>
                </c:pt>
                <c:pt idx="68">
                  <c:v>46.587833440889</c:v>
                </c:pt>
                <c:pt idx="69">
                  <c:v>44.462618632336898</c:v>
                </c:pt>
                <c:pt idx="70">
                  <c:v>42.323860079430403</c:v>
                </c:pt>
                <c:pt idx="71">
                  <c:v>40.172209268743202</c:v>
                </c:pt>
                <c:pt idx="72">
                  <c:v>38.0083216139558</c:v>
                </c:pt>
                <c:pt idx="73">
                  <c:v>35.832856256209901</c:v>
                </c:pt>
                <c:pt idx="74">
                  <c:v>33.646475863327701</c:v>
                </c:pt>
                <c:pt idx="75">
                  <c:v>31.4498464279568</c:v>
                </c:pt>
                <c:pt idx="76">
                  <c:v>29.243637064702401</c:v>
                </c:pt>
                <c:pt idx="77">
                  <c:v>27.028519806308701</c:v>
                </c:pt>
                <c:pt idx="78">
                  <c:v>24.805169398950799</c:v>
                </c:pt>
                <c:pt idx="79">
                  <c:v>22.574263096700999</c:v>
                </c:pt>
                <c:pt idx="80">
                  <c:v>20.336480455229999</c:v>
                </c:pt>
                <c:pt idx="81">
                  <c:v>18.092503124808498</c:v>
                </c:pt>
                <c:pt idx="82">
                  <c:v>15.8430146426692</c:v>
                </c:pt>
                <c:pt idx="83">
                  <c:v>13.5887002247949</c:v>
                </c:pt>
                <c:pt idx="84">
                  <c:v>11.330246557195601</c:v>
                </c:pt>
                <c:pt idx="85">
                  <c:v>9.0683415867363095</c:v>
                </c:pt>
                <c:pt idx="86">
                  <c:v>6.8036743115827196</c:v>
                </c:pt>
                <c:pt idx="87">
                  <c:v>4.5369345713251397</c:v>
                </c:pt>
                <c:pt idx="88">
                  <c:v>2.2688128368468399</c:v>
                </c:pt>
                <c:pt idx="89">
                  <c:v>7.9602041944578004E-15</c:v>
                </c:pt>
                <c:pt idx="90">
                  <c:v>-2.2688128368468501</c:v>
                </c:pt>
                <c:pt idx="91">
                  <c:v>-4.5369345713250997</c:v>
                </c:pt>
                <c:pt idx="92">
                  <c:v>-6.8036743115826699</c:v>
                </c:pt>
                <c:pt idx="93">
                  <c:v>-9.06834158673629</c:v>
                </c:pt>
                <c:pt idx="94">
                  <c:v>-11.330246557195601</c:v>
                </c:pt>
                <c:pt idx="95">
                  <c:v>-13.5887002247949</c:v>
                </c:pt>
                <c:pt idx="96">
                  <c:v>-15.8430146426692</c:v>
                </c:pt>
                <c:pt idx="97">
                  <c:v>-18.092503124808498</c:v>
                </c:pt>
                <c:pt idx="98">
                  <c:v>-20.336480455229999</c:v>
                </c:pt>
                <c:pt idx="99">
                  <c:v>-22.5742630967009</c:v>
                </c:pt>
                <c:pt idx="100">
                  <c:v>-24.805169398950799</c:v>
                </c:pt>
                <c:pt idx="101">
                  <c:v>-27.028519806308701</c:v>
                </c:pt>
                <c:pt idx="102">
                  <c:v>-29.243637064702401</c:v>
                </c:pt>
                <c:pt idx="103">
                  <c:v>-31.4498464279568</c:v>
                </c:pt>
                <c:pt idx="104">
                  <c:v>-33.646475863327701</c:v>
                </c:pt>
                <c:pt idx="105">
                  <c:v>-35.832856256209901</c:v>
                </c:pt>
                <c:pt idx="106">
                  <c:v>-38.0083216139558</c:v>
                </c:pt>
                <c:pt idx="107">
                  <c:v>-40.172209268743202</c:v>
                </c:pt>
                <c:pt idx="108">
                  <c:v>-42.323860079430297</c:v>
                </c:pt>
                <c:pt idx="109">
                  <c:v>-44.462618632336898</c:v>
                </c:pt>
                <c:pt idx="110">
                  <c:v>-46.587833440889</c:v>
                </c:pt>
                <c:pt idx="111">
                  <c:v>-48.698857144068597</c:v>
                </c:pt>
                <c:pt idx="112">
                  <c:v>-50.7950467036056</c:v>
                </c:pt>
                <c:pt idx="113">
                  <c:v>-52.875763599853997</c:v>
                </c:pt>
                <c:pt idx="114">
                  <c:v>-54.940374026290897</c:v>
                </c:pt>
                <c:pt idx="115">
                  <c:v>-56.988249082580097</c:v>
                </c:pt>
                <c:pt idx="116">
                  <c:v>-59.018764966141099</c:v>
                </c:pt>
                <c:pt idx="117">
                  <c:v>-61.031303162165798</c:v>
                </c:pt>
                <c:pt idx="118">
                  <c:v>-63.025250632023798</c:v>
                </c:pt>
                <c:pt idx="119">
                  <c:v>-65</c:v>
                </c:pt>
                <c:pt idx="120">
                  <c:v>-66.954949738307107</c:v>
                </c:pt>
                <c:pt idx="121">
                  <c:v>-68.889504350316599</c:v>
                </c:pt>
                <c:pt idx="122">
                  <c:v>-70.8030745519535</c:v>
                </c:pt>
                <c:pt idx="123">
                  <c:v>-72.695077451197093</c:v>
                </c:pt>
                <c:pt idx="124">
                  <c:v>-74.564936725636002</c:v>
                </c:pt>
                <c:pt idx="125">
                  <c:v>-76.412082798021501</c:v>
                </c:pt>
                <c:pt idx="126">
                  <c:v>-78.235953009766305</c:v>
                </c:pt>
                <c:pt idx="127">
                  <c:v>-80.035991792335594</c:v>
                </c:pt>
                <c:pt idx="128">
                  <c:v>-81.811650836478805</c:v>
                </c:pt>
                <c:pt idx="129">
                  <c:v>-83.562389259250097</c:v>
                </c:pt>
                <c:pt idx="130">
                  <c:v>-85.287673768765998</c:v>
                </c:pt>
                <c:pt idx="131">
                  <c:v>-86.986978826651594</c:v>
                </c:pt>
                <c:pt idx="132">
                  <c:v>-88.659786808124807</c:v>
                </c:pt>
                <c:pt idx="133">
                  <c:v>-90.305588159669597</c:v>
                </c:pt>
                <c:pt idx="134">
                  <c:v>-91.923881554251196</c:v>
                </c:pt>
                <c:pt idx="135">
                  <c:v>-93.514174044024699</c:v>
                </c:pt>
                <c:pt idx="136">
                  <c:v>-95.075981210492202</c:v>
                </c:pt>
                <c:pt idx="137">
                  <c:v>-96.608827312061194</c:v>
                </c:pt>
                <c:pt idx="138">
                  <c:v>-98.112245428960406</c:v>
                </c:pt>
                <c:pt idx="139">
                  <c:v>-99.585777605467101</c:v>
                </c:pt>
                <c:pt idx="140">
                  <c:v>-101.028974989406</c:v>
                </c:pt>
                <c:pt idx="141">
                  <c:v>-102.441397968874</c:v>
                </c:pt>
                <c:pt idx="142">
                  <c:v>-103.82261630614801</c:v>
                </c:pt>
                <c:pt idx="143">
                  <c:v>-105.172209268743</c:v>
                </c:pt>
                <c:pt idx="144">
                  <c:v>-106.489765757569</c:v>
                </c:pt>
                <c:pt idx="145">
                  <c:v>-107.77488443215501</c:v>
                </c:pt>
                <c:pt idx="146">
                  <c:v>-109.02717383290501</c:v>
                </c:pt>
                <c:pt idx="147">
                  <c:v>-110.246252500335</c:v>
                </c:pt>
                <c:pt idx="148">
                  <c:v>-111.43174909127499</c:v>
                </c:pt>
                <c:pt idx="149">
                  <c:v>-112.58330249197699</c:v>
                </c:pt>
                <c:pt idx="150">
                  <c:v>-113.700561928121</c:v>
                </c:pt>
                <c:pt idx="151">
                  <c:v>-114.78318707166</c:v>
                </c:pt>
                <c:pt idx="152">
                  <c:v>-115.830848144488</c:v>
                </c:pt>
                <c:pt idx="153">
                  <c:v>-116.843226018892</c:v>
                </c:pt>
                <c:pt idx="154">
                  <c:v>-117.820012314764</c:v>
                </c:pt>
                <c:pt idx="155">
                  <c:v>-118.76090949353799</c:v>
                </c:pt>
                <c:pt idx="156">
                  <c:v>-119.665630948817</c:v>
                </c:pt>
                <c:pt idx="157">
                  <c:v>-120.533901093682</c:v>
                </c:pt>
                <c:pt idx="158">
                  <c:v>-121.365455444636</c:v>
                </c:pt>
                <c:pt idx="159">
                  <c:v>-122.160040702168</c:v>
                </c:pt>
                <c:pt idx="160">
                  <c:v>-122.917414827911</c:v>
                </c:pt>
                <c:pt idx="161">
                  <c:v>-123.63734711837</c:v>
                </c:pt>
                <c:pt idx="162">
                  <c:v>-124.319618275195</c:v>
                </c:pt>
                <c:pt idx="163">
                  <c:v>-124.964020471981</c:v>
                </c:pt>
                <c:pt idx="164">
                  <c:v>-125.570357417579</c:v>
                </c:pt>
                <c:pt idx="165">
                  <c:v>-126.13844441588</c:v>
                </c:pt>
                <c:pt idx="166">
                  <c:v>-126.668108422081</c:v>
                </c:pt>
                <c:pt idx="167">
                  <c:v>-127.159188095395</c:v>
                </c:pt>
                <c:pt idx="168">
                  <c:v>-127.611533848196</c:v>
                </c:pt>
                <c:pt idx="169">
                  <c:v>-128.02500789158699</c:v>
                </c:pt>
                <c:pt idx="170">
                  <c:v>-128.399484277368</c:v>
                </c:pt>
                <c:pt idx="171">
                  <c:v>-128.73484893640401</c:v>
                </c:pt>
                <c:pt idx="172">
                  <c:v>-129.03099971337201</c:v>
                </c:pt>
                <c:pt idx="173">
                  <c:v>-129.287846397876</c:v>
                </c:pt>
                <c:pt idx="174">
                  <c:v>-129.505310751927</c:v>
                </c:pt>
                <c:pt idx="175">
                  <c:v>-129.68332653377701</c:v>
                </c:pt>
                <c:pt idx="176">
                  <c:v>-129.821839518095</c:v>
                </c:pt>
                <c:pt idx="177">
                  <c:v>-129.92080751248201</c:v>
                </c:pt>
                <c:pt idx="178">
                  <c:v>-129.980200370331</c:v>
                </c:pt>
                <c:pt idx="179">
                  <c:v>-130</c:v>
                </c:pt>
                <c:pt idx="180">
                  <c:v>-129.97928715812401</c:v>
                </c:pt>
                <c:pt idx="181">
                  <c:v>-129.91351715588499</c:v>
                </c:pt>
                <c:pt idx="182">
                  <c:v>-129.79732063111601</c:v>
                </c:pt>
                <c:pt idx="183">
                  <c:v>-129.625492177843</c:v>
                </c:pt>
                <c:pt idx="184">
                  <c:v>-129.39306366394601</c:v>
                </c:pt>
                <c:pt idx="185">
                  <c:v>-129.095374438601</c:v>
                </c:pt>
                <c:pt idx="186">
                  <c:v>-128.72813746329101</c:v>
                </c:pt>
                <c:pt idx="187">
                  <c:v>-128.287500458251</c:v>
                </c:pt>
                <c:pt idx="188">
                  <c:v>-127.77010122726</c:v>
                </c:pt>
                <c:pt idx="189">
                  <c:v>-127.173116406559</c:v>
                </c:pt>
                <c:pt idx="190">
                  <c:v>-126.494302977291</c:v>
                </c:pt>
                <c:pt idx="191">
                  <c:v>-125.732031983738</c:v>
                </c:pt>
                <c:pt idx="192">
                  <c:v>-124.88531401036801</c:v>
                </c:pt>
                <c:pt idx="193">
                  <c:v>-123.95381608761799</c:v>
                </c:pt>
                <c:pt idx="194">
                  <c:v>-122.937869817832</c:v>
                </c:pt>
                <c:pt idx="195">
                  <c:v>-121.838470636921</c:v>
                </c:pt>
                <c:pt idx="196">
                  <c:v>-120.65726825250999</c:v>
                </c:pt>
                <c:pt idx="197">
                  <c:v>-119.396548423594</c:v>
                </c:pt>
                <c:pt idx="198">
                  <c:v>-118.05920636838501</c:v>
                </c:pt>
                <c:pt idx="199">
                  <c:v>-116.648712204213</c:v>
                </c:pt>
                <c:pt idx="200">
                  <c:v>-115.16906893447801</c:v>
                </c:pt>
                <c:pt idx="201">
                  <c:v>-113.624763601029</c:v>
                </c:pt>
                <c:pt idx="202">
                  <c:v>-112.020712314585</c:v>
                </c:pt>
                <c:pt idx="203">
                  <c:v>-110.362199959462</c:v>
                </c:pt>
                <c:pt idx="204">
                  <c:v>-108.65481544085</c:v>
                </c:pt>
                <c:pt idx="205">
                  <c:v>-106.904383402085</c:v>
                </c:pt>
                <c:pt idx="206">
                  <c:v>-105.116893385023</c:v>
                </c:pt>
                <c:pt idx="207">
                  <c:v>-103.298427438047</c:v>
                </c:pt>
                <c:pt idx="208">
                  <c:v>-101.455087193111</c:v>
                </c:pt>
                <c:pt idx="209">
                  <c:v>-99.5929214352104</c:v>
                </c:pt>
                <c:pt idx="210">
                  <c:v>-97.717855174921695</c:v>
                </c:pt>
                <c:pt idx="211">
                  <c:v>-95.835621207261099</c:v>
                </c:pt>
                <c:pt idx="212">
                  <c:v>-93.951695098674804</c:v>
                </c:pt>
                <c:pt idx="213">
                  <c:v>-92.071234488994094</c:v>
                </c:pt>
                <c:pt idx="214">
                  <c:v>-90.199023527625201</c:v>
                </c:pt>
                <c:pt idx="215">
                  <c:v>-88.339423184072203</c:v>
                </c:pt>
                <c:pt idx="216">
                  <c:v>-86.496328083330098</c:v>
                </c:pt>
                <c:pt idx="217">
                  <c:v>-84.673130418082906</c:v>
                </c:pt>
                <c:pt idx="218">
                  <c:v>-82.872691383473196</c:v>
                </c:pt>
                <c:pt idx="219">
                  <c:v>-81.0973204680717</c:v>
                </c:pt>
                <c:pt idx="220">
                  <c:v>-79.348762818232402</c:v>
                </c:pt>
                <c:pt idx="221">
                  <c:v>-77.628194774002296</c:v>
                </c:pt>
                <c:pt idx="222">
                  <c:v>-75.936227554933296</c:v>
                </c:pt>
                <c:pt idx="223">
                  <c:v>-74.272918955285604</c:v>
                </c:pt>
                <c:pt idx="224">
                  <c:v>-72.637792791964699</c:v>
                </c:pt>
                <c:pt idx="225">
                  <c:v>-71.029865736815907</c:v>
                </c:pt>
                <c:pt idx="226">
                  <c:v>-69.447681059232707</c:v>
                </c:pt>
                <c:pt idx="227">
                  <c:v>-67.889348706975497</c:v>
                </c:pt>
                <c:pt idx="228">
                  <c:v>-66.352591064052703</c:v>
                </c:pt>
                <c:pt idx="229">
                  <c:v>-64.834793645791905</c:v>
                </c:pt>
                <c:pt idx="230">
                  <c:v>-63.333059923934997</c:v>
                </c:pt>
                <c:pt idx="231">
                  <c:v>-61.844269419697298</c:v>
                </c:pt>
                <c:pt idx="232">
                  <c:v>-60.365138160996999</c:v>
                </c:pt>
                <c:pt idx="233">
                  <c:v>-58.892280572058901</c:v>
                </c:pt>
                <c:pt idx="234">
                  <c:v>-57.422271849687696</c:v>
                </c:pt>
                <c:pt idx="235">
                  <c:v>-55.951709880844497</c:v>
                </c:pt>
                <c:pt idx="236">
                  <c:v>-54.4772757706764</c:v>
                </c:pt>
                <c:pt idx="237">
                  <c:v>-52.995792078577402</c:v>
                </c:pt>
                <c:pt idx="238">
                  <c:v>-51.5042779017082</c:v>
                </c:pt>
                <c:pt idx="239">
                  <c:v>-50</c:v>
                </c:pt>
                <c:pt idx="240">
                  <c:v>-48.480962024633698</c:v>
                </c:pt>
                <c:pt idx="241">
                  <c:v>-46.947156278589098</c:v>
                </c:pt>
                <c:pt idx="242">
                  <c:v>-45.399049973954703</c:v>
                </c:pt>
                <c:pt idx="243">
                  <c:v>-43.837114678907803</c:v>
                </c:pt>
                <c:pt idx="244">
                  <c:v>-42.261826174070002</c:v>
                </c:pt>
                <c:pt idx="245">
                  <c:v>-40.673664307579998</c:v>
                </c:pt>
                <c:pt idx="246">
                  <c:v>-39.073112848927401</c:v>
                </c:pt>
                <c:pt idx="247">
                  <c:v>-37.460659341591203</c:v>
                </c:pt>
                <c:pt idx="248">
                  <c:v>-35.836794954530099</c:v>
                </c:pt>
                <c:pt idx="249">
                  <c:v>-34.202014332566897</c:v>
                </c:pt>
                <c:pt idx="250">
                  <c:v>-32.556815445715699</c:v>
                </c:pt>
                <c:pt idx="251">
                  <c:v>-30.901699437494798</c:v>
                </c:pt>
                <c:pt idx="252">
                  <c:v>-29.2371704722737</c:v>
                </c:pt>
                <c:pt idx="253">
                  <c:v>-27.563735581699898</c:v>
                </c:pt>
                <c:pt idx="254">
                  <c:v>-25.881904510252099</c:v>
                </c:pt>
                <c:pt idx="255">
                  <c:v>-24.192189559966799</c:v>
                </c:pt>
                <c:pt idx="256">
                  <c:v>-22.495105434386499</c:v>
                </c:pt>
                <c:pt idx="257">
                  <c:v>-20.791169081776001</c:v>
                </c:pt>
                <c:pt idx="258">
                  <c:v>-19.080899537654499</c:v>
                </c:pt>
                <c:pt idx="259">
                  <c:v>-17.364817766693001</c:v>
                </c:pt>
                <c:pt idx="260">
                  <c:v>-15.6434465040231</c:v>
                </c:pt>
                <c:pt idx="261">
                  <c:v>-13.917310096006499</c:v>
                </c:pt>
                <c:pt idx="262">
                  <c:v>-12.1869343405147</c:v>
                </c:pt>
                <c:pt idx="263">
                  <c:v>-10.4528463267653</c:v>
                </c:pt>
                <c:pt idx="264">
                  <c:v>-8.7155742747658191</c:v>
                </c:pt>
                <c:pt idx="265">
                  <c:v>-6.97564737441256</c:v>
                </c:pt>
                <c:pt idx="266">
                  <c:v>-5.2335956242944297</c:v>
                </c:pt>
                <c:pt idx="267">
                  <c:v>-3.48994967025016</c:v>
                </c:pt>
                <c:pt idx="268">
                  <c:v>-1.7452406437283501</c:v>
                </c:pt>
                <c:pt idx="269">
                  <c:v>-1.8369701987210301E-14</c:v>
                </c:pt>
                <c:pt idx="270">
                  <c:v>1.7452406437283099</c:v>
                </c:pt>
                <c:pt idx="271">
                  <c:v>3.4899496702501298</c:v>
                </c:pt>
                <c:pt idx="272">
                  <c:v>5.2335956242943897</c:v>
                </c:pt>
                <c:pt idx="273">
                  <c:v>6.97564737441252</c:v>
                </c:pt>
                <c:pt idx="274">
                  <c:v>8.7155742747657907</c:v>
                </c:pt>
                <c:pt idx="275">
                  <c:v>10.4528463267653</c:v>
                </c:pt>
                <c:pt idx="276">
                  <c:v>12.186934340514799</c:v>
                </c:pt>
                <c:pt idx="277">
                  <c:v>13.917310096006499</c:v>
                </c:pt>
                <c:pt idx="278">
                  <c:v>15.6434465040231</c:v>
                </c:pt>
                <c:pt idx="279">
                  <c:v>17.364817766693001</c:v>
                </c:pt>
                <c:pt idx="280">
                  <c:v>19.0808995376544</c:v>
                </c:pt>
                <c:pt idx="281">
                  <c:v>20.791169081775902</c:v>
                </c:pt>
                <c:pt idx="282">
                  <c:v>22.495105434386499</c:v>
                </c:pt>
                <c:pt idx="283">
                  <c:v>24.1921895599667</c:v>
                </c:pt>
                <c:pt idx="284">
                  <c:v>25.881904510252099</c:v>
                </c:pt>
                <c:pt idx="285">
                  <c:v>27.563735581699898</c:v>
                </c:pt>
                <c:pt idx="286">
                  <c:v>29.2371704722737</c:v>
                </c:pt>
                <c:pt idx="287">
                  <c:v>30.901699437494699</c:v>
                </c:pt>
                <c:pt idx="288">
                  <c:v>32.5568154457156</c:v>
                </c:pt>
                <c:pt idx="289">
                  <c:v>34.202014332566797</c:v>
                </c:pt>
                <c:pt idx="290">
                  <c:v>35.836794954529999</c:v>
                </c:pt>
                <c:pt idx="291">
                  <c:v>37.460659341591203</c:v>
                </c:pt>
                <c:pt idx="292">
                  <c:v>39.073112848927401</c:v>
                </c:pt>
                <c:pt idx="293">
                  <c:v>40.673664307580097</c:v>
                </c:pt>
                <c:pt idx="294">
                  <c:v>42.261826174070002</c:v>
                </c:pt>
                <c:pt idx="295">
                  <c:v>43.837114678907703</c:v>
                </c:pt>
                <c:pt idx="296">
                  <c:v>45.399049973954703</c:v>
                </c:pt>
                <c:pt idx="297">
                  <c:v>46.947156278588999</c:v>
                </c:pt>
                <c:pt idx="298">
                  <c:v>48.480962024633598</c:v>
                </c:pt>
                <c:pt idx="299">
                  <c:v>50</c:v>
                </c:pt>
                <c:pt idx="300">
                  <c:v>51.503807491005396</c:v>
                </c:pt>
                <c:pt idx="301">
                  <c:v>52.9919264233205</c:v>
                </c:pt>
                <c:pt idx="302">
                  <c:v>54.463903501502699</c:v>
                </c:pt>
                <c:pt idx="303">
                  <c:v>55.9192903470746</c:v>
                </c:pt>
                <c:pt idx="304">
                  <c:v>57.357643635104601</c:v>
                </c:pt>
                <c:pt idx="305">
                  <c:v>58.7785252292473</c:v>
                </c:pt>
                <c:pt idx="306">
                  <c:v>60.181502315204803</c:v>
                </c:pt>
                <c:pt idx="307">
                  <c:v>61.5661475325659</c:v>
                </c:pt>
                <c:pt idx="308">
                  <c:v>62.932039104983801</c:v>
                </c:pt>
                <c:pt idx="309">
                  <c:v>64.278760968653899</c:v>
                </c:pt>
                <c:pt idx="310">
                  <c:v>65.605902899050704</c:v>
                </c:pt>
                <c:pt idx="311">
                  <c:v>66.913060635885799</c:v>
                </c:pt>
                <c:pt idx="312">
                  <c:v>68.199836006249797</c:v>
                </c:pt>
                <c:pt idx="313">
                  <c:v>69.465837045899704</c:v>
                </c:pt>
                <c:pt idx="314">
                  <c:v>70.710678118654698</c:v>
                </c:pt>
                <c:pt idx="315">
                  <c:v>71.933980033865097</c:v>
                </c:pt>
                <c:pt idx="316">
                  <c:v>73.135370161917095</c:v>
                </c:pt>
                <c:pt idx="317">
                  <c:v>74.314482547739402</c:v>
                </c:pt>
                <c:pt idx="318">
                  <c:v>75.470958022277202</c:v>
                </c:pt>
                <c:pt idx="319">
                  <c:v>76.604444311897794</c:v>
                </c:pt>
                <c:pt idx="320">
                  <c:v>77.714596145697101</c:v>
                </c:pt>
                <c:pt idx="321">
                  <c:v>78.801075360672201</c:v>
                </c:pt>
                <c:pt idx="322">
                  <c:v>79.863551004729302</c:v>
                </c:pt>
                <c:pt idx="323">
                  <c:v>80.901699437494699</c:v>
                </c:pt>
                <c:pt idx="324">
                  <c:v>81.915204428899202</c:v>
                </c:pt>
                <c:pt idx="325">
                  <c:v>82.903757255504104</c:v>
                </c:pt>
                <c:pt idx="326">
                  <c:v>83.867056794542407</c:v>
                </c:pt>
                <c:pt idx="327">
                  <c:v>84.804809615642498</c:v>
                </c:pt>
                <c:pt idx="328">
                  <c:v>85.716730070211199</c:v>
                </c:pt>
                <c:pt idx="329">
                  <c:v>86.602540378443805</c:v>
                </c:pt>
                <c:pt idx="330">
                  <c:v>87.461970713939607</c:v>
                </c:pt>
                <c:pt idx="331">
                  <c:v>88.294759285892695</c:v>
                </c:pt>
                <c:pt idx="332">
                  <c:v>89.100652418836802</c:v>
                </c:pt>
                <c:pt idx="333">
                  <c:v>89.879404629916706</c:v>
                </c:pt>
                <c:pt idx="334">
                  <c:v>90.630778703665001</c:v>
                </c:pt>
                <c:pt idx="335">
                  <c:v>91.354545764260095</c:v>
                </c:pt>
                <c:pt idx="336">
                  <c:v>92.050485345243999</c:v>
                </c:pt>
                <c:pt idx="337">
                  <c:v>92.718385456678703</c:v>
                </c:pt>
                <c:pt idx="338">
                  <c:v>93.358042649720105</c:v>
                </c:pt>
                <c:pt idx="339">
                  <c:v>93.969262078590802</c:v>
                </c:pt>
                <c:pt idx="340">
                  <c:v>94.551857559931605</c:v>
                </c:pt>
                <c:pt idx="341">
                  <c:v>95.105651629515293</c:v>
                </c:pt>
                <c:pt idx="342">
                  <c:v>95.630475596303597</c:v>
                </c:pt>
                <c:pt idx="343">
                  <c:v>96.126169593831904</c:v>
                </c:pt>
                <c:pt idx="344">
                  <c:v>96.592582628906797</c:v>
                </c:pt>
                <c:pt idx="345">
                  <c:v>97.029572627599606</c:v>
                </c:pt>
                <c:pt idx="346">
                  <c:v>97.4370064785235</c:v>
                </c:pt>
                <c:pt idx="347">
                  <c:v>97.814760073380597</c:v>
                </c:pt>
                <c:pt idx="348">
                  <c:v>98.162718344766404</c:v>
                </c:pt>
                <c:pt idx="349">
                  <c:v>98.480775301220802</c:v>
                </c:pt>
                <c:pt idx="350">
                  <c:v>98.768834059513793</c:v>
                </c:pt>
                <c:pt idx="351">
                  <c:v>99.026806874157003</c:v>
                </c:pt>
                <c:pt idx="352">
                  <c:v>99.254615164132204</c:v>
                </c:pt>
                <c:pt idx="353">
                  <c:v>99.452189536827305</c:v>
                </c:pt>
                <c:pt idx="354">
                  <c:v>99.619469809174603</c:v>
                </c:pt>
                <c:pt idx="355">
                  <c:v>99.756405025982403</c:v>
                </c:pt>
                <c:pt idx="356">
                  <c:v>99.862953475457402</c:v>
                </c:pt>
                <c:pt idx="357">
                  <c:v>99.939082701909598</c:v>
                </c:pt>
                <c:pt idx="358">
                  <c:v>99.984769515639101</c:v>
                </c:pt>
                <c:pt idx="359">
                  <c:v>100</c:v>
                </c:pt>
              </c:numCache>
            </c:numRef>
          </c:yVal>
          <c:smooth val="1"/>
        </c:ser>
        <c:dLbls>
          <c:showLegendKey val="0"/>
          <c:showVal val="0"/>
          <c:showCatName val="0"/>
          <c:showSerName val="0"/>
          <c:showPercent val="0"/>
          <c:showBubbleSize val="0"/>
        </c:dLbls>
        <c:axId val="134432256"/>
        <c:axId val="134832896"/>
      </c:scatterChart>
      <c:valAx>
        <c:axId val="134432256"/>
        <c:scaling>
          <c:orientation val="minMax"/>
        </c:scaling>
        <c:delete val="0"/>
        <c:axPos val="b"/>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75"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4832896"/>
        <c:crosses val="autoZero"/>
        <c:crossBetween val="midCat"/>
      </c:valAx>
      <c:valAx>
        <c:axId val="134832896"/>
        <c:scaling>
          <c:orientation val="minMax"/>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75"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4432256"/>
        <c:crosses val="autoZero"/>
        <c:crossBetween val="midCat"/>
      </c:valAx>
      <c:spPr>
        <a:solidFill>
          <a:srgbClr val="C0C0C0">
            <a:alpha val="100000"/>
          </a:srgbClr>
        </a:solidFill>
        <a:ln w="12700">
          <a:solidFill>
            <a:srgbClr val="808080">
              <a:alpha val="100000"/>
            </a:srgbClr>
          </a:solidFill>
          <a:prstDash val="solid"/>
        </a:ln>
      </c:spPr>
    </c:plotArea>
    <c:legend>
      <c:legendPos val="r"/>
      <c:layout>
        <c:manualLayout>
          <c:xMode val="edge"/>
          <c:yMode val="edge"/>
          <c:x val="0.91399995455113603"/>
          <c:y val="0.46824984642877099"/>
          <c:w val="7.8E-2"/>
          <c:h val="6.0999999999999999E-2"/>
        </c:manualLayout>
      </c:layout>
      <c:overlay val="0"/>
      <c:spPr>
        <a:solidFill>
          <a:srgbClr val="FFFFFF"/>
        </a:solidFill>
        <a:ln>
          <a:solidFill>
            <a:srgbClr val="000000"/>
          </a:solidFill>
        </a:ln>
      </c:spPr>
      <c:txPr>
        <a:bodyPr rot="0" spcFirstLastPara="0" vertOverflow="ellipsis" vert="horz" wrap="square" anchor="ctr" anchorCtr="1"/>
        <a:lstStyle/>
        <a:p>
          <a:pPr>
            <a:defRPr lang="zh-CN" sz="98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TW"/>
        </a:p>
      </c:txPr>
    </c:legend>
    <c:plotVisOnly val="1"/>
    <c:dispBlanksAs val="gap"/>
    <c:showDLblsOverMax val="0"/>
  </c:chart>
  <c:spPr>
    <a:solidFill>
      <a:srgbClr val="FFFFFF"/>
    </a:solidFill>
    <a:ln w="12700" cap="flat" cmpd="sng" algn="ctr">
      <a:solidFill>
        <a:srgbClr val="000000">
          <a:alpha val="100000"/>
        </a:srgbClr>
      </a:solidFill>
      <a:prstDash val="solid"/>
      <a:round/>
    </a:ln>
    <a:effectLst>
      <a:outerShdw dist="35921" dir="2700000" algn="br" rotWithShape="0">
        <a:srgbClr val="000000"/>
      </a:outerShdw>
    </a:effectLst>
  </c:spPr>
  <c:txPr>
    <a:bodyPr rot="0" wrap="square" anchor="ctr" anchorCtr="1"/>
    <a:lstStyle/>
    <a:p>
      <a:pPr>
        <a:defRPr lang="zh-CN" sz="1075"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正弦加速度凸轮!$B$2</c:f>
              <c:strCache>
                <c:ptCount val="1"/>
                <c:pt idx="0">
                  <c:v>s</c:v>
                </c:pt>
              </c:strCache>
            </c:strRef>
          </c:tx>
          <c:spPr>
            <a:ln w="12700" cap="rnd" cmpd="sng" algn="ctr">
              <a:solidFill>
                <a:srgbClr val="000080"/>
              </a:solidFill>
              <a:prstDash val="solid"/>
              <a:round/>
            </a:ln>
          </c:spPr>
          <c:marker>
            <c:symbol val="none"/>
          </c:marker>
          <c:val>
            <c:numRef>
              <c:f>正弦加速度凸轮!$B$3:$B$362</c:f>
              <c:numCache>
                <c:formatCode>General</c:formatCode>
                <c:ptCount val="360"/>
                <c:pt idx="0">
                  <c:v>9.1335131460021401E-4</c:v>
                </c:pt>
                <c:pt idx="1">
                  <c:v>7.2948003927932699E-3</c:v>
                </c:pt>
                <c:pt idx="2">
                  <c:v>2.4552535374801301E-2</c:v>
                </c:pt>
                <c:pt idx="3">
                  <c:v>5.7975581536474502E-2</c:v>
                </c:pt>
                <c:pt idx="4">
                  <c:v>0.11267585362157</c:v>
                </c:pt>
                <c:pt idx="5">
                  <c:v>0.193532148634083</c:v>
                </c:pt>
                <c:pt idx="6">
                  <c:v>0.30513669271731497</c:v>
                </c:pt>
                <c:pt idx="7">
                  <c:v>0.45174482776326502</c:v>
                </c:pt>
                <c:pt idx="8">
                  <c:v>0.63722838899637102</c:v>
                </c:pt>
                <c:pt idx="9">
                  <c:v>0.86503328433655902</c:v>
                </c:pt>
                <c:pt idx="10">
                  <c:v>1.1381417403109699</c:v>
                </c:pt>
                <c:pt idx="11">
                  <c:v>1.45903962815606</c:v>
                </c:pt>
                <c:pt idx="12">
                  <c:v>1.82968922809212</c:v>
                </c:pt>
                <c:pt idx="13">
                  <c:v>2.2515077301705602</c:v>
                </c:pt>
                <c:pt idx="14">
                  <c:v>2.7253517072431399</c:v>
                </c:pt>
                <c:pt idx="15">
                  <c:v>3.2515077301705602</c:v>
                </c:pt>
                <c:pt idx="16">
                  <c:v>3.8296892280921102</c:v>
                </c:pt>
                <c:pt idx="17">
                  <c:v>4.4590396281560603</c:v>
                </c:pt>
                <c:pt idx="18">
                  <c:v>5.1381417403109699</c:v>
                </c:pt>
                <c:pt idx="19">
                  <c:v>5.86503328433656</c:v>
                </c:pt>
                <c:pt idx="20">
                  <c:v>6.6372283889963697</c:v>
                </c:pt>
                <c:pt idx="21">
                  <c:v>7.4517448277632603</c:v>
                </c:pt>
                <c:pt idx="22">
                  <c:v>8.3051366927173191</c:v>
                </c:pt>
                <c:pt idx="23">
                  <c:v>9.1935321486340804</c:v>
                </c:pt>
                <c:pt idx="24">
                  <c:v>10.112675853621599</c:v>
                </c:pt>
                <c:pt idx="25">
                  <c:v>11.0579755815365</c:v>
                </c:pt>
                <c:pt idx="26">
                  <c:v>12.0245525353748</c:v>
                </c:pt>
                <c:pt idx="27">
                  <c:v>13.007294800392801</c:v>
                </c:pt>
                <c:pt idx="28">
                  <c:v>14.000913351314599</c:v>
                </c:pt>
                <c:pt idx="29">
                  <c:v>15</c:v>
                </c:pt>
                <c:pt idx="30">
                  <c:v>15.999086648685401</c:v>
                </c:pt>
                <c:pt idx="31">
                  <c:v>16.992705199607201</c:v>
                </c:pt>
                <c:pt idx="32">
                  <c:v>17.975447464625201</c:v>
                </c:pt>
                <c:pt idx="33">
                  <c:v>18.9420244184635</c:v>
                </c:pt>
                <c:pt idx="34">
                  <c:v>19.887324146378401</c:v>
                </c:pt>
                <c:pt idx="35">
                  <c:v>20.806467851365898</c:v>
                </c:pt>
                <c:pt idx="36">
                  <c:v>21.694863307282699</c:v>
                </c:pt>
                <c:pt idx="37">
                  <c:v>22.548255172236701</c:v>
                </c:pt>
                <c:pt idx="38">
                  <c:v>23.362771611003598</c:v>
                </c:pt>
                <c:pt idx="39">
                  <c:v>24.134966715663399</c:v>
                </c:pt>
                <c:pt idx="40">
                  <c:v>24.861858259689001</c:v>
                </c:pt>
                <c:pt idx="41">
                  <c:v>25.540960371843902</c:v>
                </c:pt>
                <c:pt idx="42">
                  <c:v>26.1703107719079</c:v>
                </c:pt>
                <c:pt idx="43">
                  <c:v>26.748492269829399</c:v>
                </c:pt>
                <c:pt idx="44">
                  <c:v>27.274648292756901</c:v>
                </c:pt>
                <c:pt idx="45">
                  <c:v>27.748492269829399</c:v>
                </c:pt>
                <c:pt idx="46">
                  <c:v>28.1703107719079</c:v>
                </c:pt>
                <c:pt idx="47">
                  <c:v>28.540960371843902</c:v>
                </c:pt>
                <c:pt idx="48">
                  <c:v>28.861858259689001</c:v>
                </c:pt>
                <c:pt idx="49">
                  <c:v>29.134966715663399</c:v>
                </c:pt>
                <c:pt idx="50">
                  <c:v>29.362771611003598</c:v>
                </c:pt>
                <c:pt idx="51">
                  <c:v>29.548255172236701</c:v>
                </c:pt>
                <c:pt idx="52">
                  <c:v>29.694863307282699</c:v>
                </c:pt>
                <c:pt idx="53">
                  <c:v>29.806467851365898</c:v>
                </c:pt>
                <c:pt idx="54">
                  <c:v>29.887324146378401</c:v>
                </c:pt>
                <c:pt idx="55">
                  <c:v>29.9420244184635</c:v>
                </c:pt>
                <c:pt idx="56">
                  <c:v>29.975447464625201</c:v>
                </c:pt>
                <c:pt idx="57">
                  <c:v>29.992705199607201</c:v>
                </c:pt>
                <c:pt idx="58">
                  <c:v>29.999086648685399</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pt idx="100">
                  <c:v>30</c:v>
                </c:pt>
                <c:pt idx="101">
                  <c:v>30</c:v>
                </c:pt>
                <c:pt idx="102">
                  <c:v>30</c:v>
                </c:pt>
                <c:pt idx="103">
                  <c:v>30</c:v>
                </c:pt>
                <c:pt idx="104">
                  <c:v>30</c:v>
                </c:pt>
                <c:pt idx="105">
                  <c:v>30</c:v>
                </c:pt>
                <c:pt idx="106">
                  <c:v>30</c:v>
                </c:pt>
                <c:pt idx="107">
                  <c:v>30</c:v>
                </c:pt>
                <c:pt idx="108">
                  <c:v>30</c:v>
                </c:pt>
                <c:pt idx="109">
                  <c:v>30</c:v>
                </c:pt>
                <c:pt idx="110">
                  <c:v>30</c:v>
                </c:pt>
                <c:pt idx="111">
                  <c:v>30</c:v>
                </c:pt>
                <c:pt idx="112">
                  <c:v>30</c:v>
                </c:pt>
                <c:pt idx="113">
                  <c:v>30</c:v>
                </c:pt>
                <c:pt idx="114">
                  <c:v>30</c:v>
                </c:pt>
                <c:pt idx="115">
                  <c:v>30</c:v>
                </c:pt>
                <c:pt idx="116">
                  <c:v>30</c:v>
                </c:pt>
                <c:pt idx="117">
                  <c:v>30</c:v>
                </c:pt>
                <c:pt idx="118">
                  <c:v>30</c:v>
                </c:pt>
                <c:pt idx="119">
                  <c:v>30</c:v>
                </c:pt>
                <c:pt idx="120">
                  <c:v>30</c:v>
                </c:pt>
                <c:pt idx="121">
                  <c:v>30</c:v>
                </c:pt>
                <c:pt idx="122">
                  <c:v>30</c:v>
                </c:pt>
                <c:pt idx="123">
                  <c:v>30</c:v>
                </c:pt>
                <c:pt idx="124">
                  <c:v>30</c:v>
                </c:pt>
                <c:pt idx="125">
                  <c:v>30</c:v>
                </c:pt>
                <c:pt idx="126">
                  <c:v>30</c:v>
                </c:pt>
                <c:pt idx="127">
                  <c:v>30</c:v>
                </c:pt>
                <c:pt idx="128">
                  <c:v>30</c:v>
                </c:pt>
                <c:pt idx="129">
                  <c:v>30</c:v>
                </c:pt>
                <c:pt idx="130">
                  <c:v>30</c:v>
                </c:pt>
                <c:pt idx="131">
                  <c:v>30</c:v>
                </c:pt>
                <c:pt idx="132">
                  <c:v>30</c:v>
                </c:pt>
                <c:pt idx="133">
                  <c:v>30</c:v>
                </c:pt>
                <c:pt idx="134">
                  <c:v>30</c:v>
                </c:pt>
                <c:pt idx="135">
                  <c:v>30</c:v>
                </c:pt>
                <c:pt idx="136">
                  <c:v>30</c:v>
                </c:pt>
                <c:pt idx="137">
                  <c:v>30</c:v>
                </c:pt>
                <c:pt idx="138">
                  <c:v>30</c:v>
                </c:pt>
                <c:pt idx="139">
                  <c:v>30</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30</c:v>
                </c:pt>
                <c:pt idx="159">
                  <c:v>30</c:v>
                </c:pt>
                <c:pt idx="160">
                  <c:v>30</c:v>
                </c:pt>
                <c:pt idx="161">
                  <c:v>30</c:v>
                </c:pt>
                <c:pt idx="162">
                  <c:v>30</c:v>
                </c:pt>
                <c:pt idx="163">
                  <c:v>30</c:v>
                </c:pt>
                <c:pt idx="164">
                  <c:v>30</c:v>
                </c:pt>
                <c:pt idx="165">
                  <c:v>30</c:v>
                </c:pt>
                <c:pt idx="166">
                  <c:v>30</c:v>
                </c:pt>
                <c:pt idx="167">
                  <c:v>30</c:v>
                </c:pt>
                <c:pt idx="168">
                  <c:v>30</c:v>
                </c:pt>
                <c:pt idx="169">
                  <c:v>30</c:v>
                </c:pt>
                <c:pt idx="170">
                  <c:v>30</c:v>
                </c:pt>
                <c:pt idx="171">
                  <c:v>30</c:v>
                </c:pt>
                <c:pt idx="172">
                  <c:v>30</c:v>
                </c:pt>
                <c:pt idx="173">
                  <c:v>30</c:v>
                </c:pt>
                <c:pt idx="174">
                  <c:v>30</c:v>
                </c:pt>
                <c:pt idx="175">
                  <c:v>30</c:v>
                </c:pt>
                <c:pt idx="176">
                  <c:v>30</c:v>
                </c:pt>
                <c:pt idx="177">
                  <c:v>30</c:v>
                </c:pt>
                <c:pt idx="178">
                  <c:v>30</c:v>
                </c:pt>
                <c:pt idx="179">
                  <c:v>30</c:v>
                </c:pt>
                <c:pt idx="180">
                  <c:v>29.999086648685399</c:v>
                </c:pt>
                <c:pt idx="181">
                  <c:v>29.992705199607201</c:v>
                </c:pt>
                <c:pt idx="182">
                  <c:v>29.975447464625201</c:v>
                </c:pt>
                <c:pt idx="183">
                  <c:v>29.9420244184635</c:v>
                </c:pt>
                <c:pt idx="184">
                  <c:v>29.887324146378401</c:v>
                </c:pt>
                <c:pt idx="185">
                  <c:v>29.806467851365898</c:v>
                </c:pt>
                <c:pt idx="186">
                  <c:v>29.694863307282699</c:v>
                </c:pt>
                <c:pt idx="187">
                  <c:v>29.548255172236701</c:v>
                </c:pt>
                <c:pt idx="188">
                  <c:v>29.362771611003598</c:v>
                </c:pt>
                <c:pt idx="189">
                  <c:v>29.134966715663399</c:v>
                </c:pt>
                <c:pt idx="190">
                  <c:v>28.861858259689001</c:v>
                </c:pt>
                <c:pt idx="191">
                  <c:v>28.540960371843902</c:v>
                </c:pt>
                <c:pt idx="192">
                  <c:v>28.1703107719079</c:v>
                </c:pt>
                <c:pt idx="193">
                  <c:v>27.748492269829399</c:v>
                </c:pt>
                <c:pt idx="194">
                  <c:v>27.274648292756901</c:v>
                </c:pt>
                <c:pt idx="195">
                  <c:v>26.748492269829399</c:v>
                </c:pt>
                <c:pt idx="196">
                  <c:v>26.1703107719079</c:v>
                </c:pt>
                <c:pt idx="197">
                  <c:v>25.540960371843902</c:v>
                </c:pt>
                <c:pt idx="198">
                  <c:v>24.861858259689001</c:v>
                </c:pt>
                <c:pt idx="199">
                  <c:v>24.134966715663399</c:v>
                </c:pt>
                <c:pt idx="200">
                  <c:v>23.362771611003598</c:v>
                </c:pt>
                <c:pt idx="201">
                  <c:v>22.548255172236701</c:v>
                </c:pt>
                <c:pt idx="202">
                  <c:v>21.694863307282699</c:v>
                </c:pt>
                <c:pt idx="203">
                  <c:v>20.806467851365898</c:v>
                </c:pt>
                <c:pt idx="204">
                  <c:v>19.887324146378401</c:v>
                </c:pt>
                <c:pt idx="205">
                  <c:v>18.9420244184635</c:v>
                </c:pt>
                <c:pt idx="206">
                  <c:v>17.975447464625201</c:v>
                </c:pt>
                <c:pt idx="207">
                  <c:v>16.992705199607201</c:v>
                </c:pt>
                <c:pt idx="208">
                  <c:v>15.999086648685401</c:v>
                </c:pt>
                <c:pt idx="209">
                  <c:v>15</c:v>
                </c:pt>
                <c:pt idx="210">
                  <c:v>14.000913351314599</c:v>
                </c:pt>
                <c:pt idx="211">
                  <c:v>13.007294800392801</c:v>
                </c:pt>
                <c:pt idx="212">
                  <c:v>12.0245525353748</c:v>
                </c:pt>
                <c:pt idx="213">
                  <c:v>11.0579755815365</c:v>
                </c:pt>
                <c:pt idx="214">
                  <c:v>10.112675853621599</c:v>
                </c:pt>
                <c:pt idx="215">
                  <c:v>9.1935321486340804</c:v>
                </c:pt>
                <c:pt idx="216">
                  <c:v>8.3051366927173103</c:v>
                </c:pt>
                <c:pt idx="217">
                  <c:v>7.4517448277632701</c:v>
                </c:pt>
                <c:pt idx="218">
                  <c:v>6.6372283889963697</c:v>
                </c:pt>
                <c:pt idx="219">
                  <c:v>5.86503328433656</c:v>
                </c:pt>
                <c:pt idx="220">
                  <c:v>5.1381417403109699</c:v>
                </c:pt>
                <c:pt idx="221">
                  <c:v>4.4590396281560603</c:v>
                </c:pt>
                <c:pt idx="222">
                  <c:v>3.82968922809212</c:v>
                </c:pt>
                <c:pt idx="223">
                  <c:v>3.2515077301705602</c:v>
                </c:pt>
                <c:pt idx="224">
                  <c:v>2.7253517072431399</c:v>
                </c:pt>
                <c:pt idx="225">
                  <c:v>2.2515077301705499</c:v>
                </c:pt>
                <c:pt idx="226">
                  <c:v>1.82968922809212</c:v>
                </c:pt>
                <c:pt idx="227">
                  <c:v>1.45903962815606</c:v>
                </c:pt>
                <c:pt idx="228">
                  <c:v>1.1381417403109699</c:v>
                </c:pt>
                <c:pt idx="229">
                  <c:v>0.86503328433655802</c:v>
                </c:pt>
                <c:pt idx="230">
                  <c:v>0.63722838899637102</c:v>
                </c:pt>
                <c:pt idx="231">
                  <c:v>0.45174482776326502</c:v>
                </c:pt>
                <c:pt idx="232">
                  <c:v>0.30513669271731603</c:v>
                </c:pt>
                <c:pt idx="233">
                  <c:v>0.193532148634081</c:v>
                </c:pt>
                <c:pt idx="234">
                  <c:v>0.11267585362157299</c:v>
                </c:pt>
                <c:pt idx="235">
                  <c:v>5.79755815364741E-2</c:v>
                </c:pt>
                <c:pt idx="236">
                  <c:v>2.4552535374801499E-2</c:v>
                </c:pt>
                <c:pt idx="237">
                  <c:v>7.2948003927947296E-3</c:v>
                </c:pt>
                <c:pt idx="238">
                  <c:v>9.1335131460198299E-4</c:v>
                </c:pt>
                <c:pt idx="239">
                  <c:v>-5.4101911250405004E-15</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ser>
        <c:ser>
          <c:idx val="1"/>
          <c:order val="1"/>
          <c:tx>
            <c:strRef>
              <c:f>正弦加速度凸轮!$C$2</c:f>
              <c:strCache>
                <c:ptCount val="1"/>
                <c:pt idx="0">
                  <c:v>x</c:v>
                </c:pt>
              </c:strCache>
            </c:strRef>
          </c:tx>
          <c:spPr>
            <a:ln w="12700" cap="rnd" cmpd="sng" algn="ctr">
              <a:solidFill>
                <a:srgbClr val="FF00FF"/>
              </a:solidFill>
              <a:prstDash val="solid"/>
              <a:round/>
            </a:ln>
          </c:spPr>
          <c:marker>
            <c:symbol val="none"/>
          </c:marker>
          <c:val>
            <c:numRef>
              <c:f>正弦加速度凸轮!$C$3:$C$362</c:f>
              <c:numCache>
                <c:formatCode>General</c:formatCode>
                <c:ptCount val="360"/>
                <c:pt idx="0">
                  <c:v>1.74525658390671</c:v>
                </c:pt>
                <c:pt idx="1">
                  <c:v>3.4902042551123502</c:v>
                </c:pt>
                <c:pt idx="2">
                  <c:v>5.2348806047114103</c:v>
                </c:pt>
                <c:pt idx="3">
                  <c:v>6.9796915465437799</c:v>
                </c:pt>
                <c:pt idx="4">
                  <c:v>8.7253946224779302</c:v>
                </c:pt>
                <c:pt idx="5">
                  <c:v>10.473075944854999</c:v>
                </c:pt>
                <c:pt idx="6">
                  <c:v>12.224121148905001</c:v>
                </c:pt>
                <c:pt idx="7">
                  <c:v>13.980180824529</c:v>
                </c:pt>
                <c:pt idx="8">
                  <c:v>15.7431309861642</c:v>
                </c:pt>
                <c:pt idx="9">
                  <c:v>17.515029220139301</c:v>
                </c:pt>
                <c:pt idx="10">
                  <c:v>19.2980672197193</c:v>
                </c:pt>
                <c:pt idx="11">
                  <c:v>21.094520477835999</c:v>
                </c:pt>
                <c:pt idx="12">
                  <c:v>22.9066959553674</c:v>
                </c:pt>
                <c:pt idx="13">
                  <c:v>24.736878578006898</c:v>
                </c:pt>
                <c:pt idx="14">
                  <c:v>26.587277436689298</c:v>
                </c:pt>
                <c:pt idx="15">
                  <c:v>28.4599725748627</c:v>
                </c:pt>
                <c:pt idx="16">
                  <c:v>30.3568632404493</c:v>
                </c:pt>
                <c:pt idx="17">
                  <c:v>32.279618461186303</c:v>
                </c:pt>
                <c:pt idx="18">
                  <c:v>34.229630769448001</c:v>
                </c:pt>
                <c:pt idx="19">
                  <c:v>36.207973857085499</c:v>
                </c:pt>
                <c:pt idx="20">
                  <c:v>38.215364882958497</c:v>
                </c:pt>
                <c:pt idx="21">
                  <c:v>40.252132086524199</c:v>
                </c:pt>
                <c:pt idx="22">
                  <c:v>42.318188281130503</c:v>
                </c:pt>
                <c:pt idx="23">
                  <c:v>44.413010711724901</c:v>
                </c:pt>
                <c:pt idx="24">
                  <c:v>46.535627664874603</c:v>
                </c:pt>
                <c:pt idx="25">
                  <c:v>48.684612115751499</c:v>
                </c:pt>
                <c:pt idx="26">
                  <c:v>50.858082588633899</c:v>
                </c:pt>
                <c:pt idx="27">
                  <c:v>53.053711296146297</c:v>
                </c:pt>
                <c:pt idx="28">
                  <c:v>55.268739509586403</c:v>
                </c:pt>
                <c:pt idx="29">
                  <c:v>57.5</c:v>
                </c:pt>
                <c:pt idx="30">
                  <c:v>59.743946278863497</c:v>
                </c:pt>
                <c:pt idx="31">
                  <c:v>61.996688260028101</c:v>
                </c:pt>
                <c:pt idx="32">
                  <c:v>64.254033862599499</c:v>
                </c:pt>
                <c:pt idx="33">
                  <c:v>66.511535979249103</c:v>
                </c:pt>
                <c:pt idx="34">
                  <c:v>68.764544147542495</c:v>
                </c:pt>
                <c:pt idx="35">
                  <c:v>71.008260184577694</c:v>
                </c:pt>
                <c:pt idx="36">
                  <c:v>73.2377969787577</c:v>
                </c:pt>
                <c:pt idx="37">
                  <c:v>75.448239577924497</c:v>
                </c:pt>
                <c:pt idx="38">
                  <c:v>77.634707671228597</c:v>
                </c:pt>
                <c:pt idx="39">
                  <c:v>79.792418533679395</c:v>
                </c:pt>
                <c:pt idx="40">
                  <c:v>81.916749487801894</c:v>
                </c:pt>
                <c:pt idx="41">
                  <c:v>84.003298936485294</c:v>
                </c:pt>
                <c:pt idx="42">
                  <c:v>86.047945035016994</c:v>
                </c:pt>
                <c:pt idx="43">
                  <c:v>88.046901098294498</c:v>
                </c:pt>
                <c:pt idx="44">
                  <c:v>89.996766880941195</c:v>
                </c:pt>
                <c:pt idx="45">
                  <c:v>91.894574922942795</c:v>
                </c:pt>
                <c:pt idx="46">
                  <c:v>93.737831220714298</c:v>
                </c:pt>
                <c:pt idx="47">
                  <c:v>95.524549562230604</c:v>
                </c:pt>
                <c:pt idx="48">
                  <c:v>97.253278953896299</c:v>
                </c:pt>
                <c:pt idx="49">
                  <c:v>98.923123664888195</c:v>
                </c:pt>
                <c:pt idx="50">
                  <c:v>100.533755520372</c:v>
                </c:pt>
                <c:pt idx="51">
                  <c:v>102.08541818671</c:v>
                </c:pt>
                <c:pt idx="52">
                  <c:v>103.578923307926</c:v>
                </c:pt>
                <c:pt idx="53">
                  <c:v>105.01563847154</c:v>
                </c:pt>
                <c:pt idx="54">
                  <c:v>106.397467101733</c:v>
                </c:pt>
                <c:pt idx="55">
                  <c:v>107.726820496771</c:v>
                </c:pt>
                <c:pt idx="56">
                  <c:v>109.006582344118</c:v>
                </c:pt>
                <c:pt idx="57">
                  <c:v>110.24006615875</c:v>
                </c:pt>
                <c:pt idx="58">
                  <c:v>111.430966196394</c:v>
                </c:pt>
                <c:pt idx="59">
                  <c:v>112.58330249197699</c:v>
                </c:pt>
                <c:pt idx="60">
                  <c:v>113.700561928121</c:v>
                </c:pt>
                <c:pt idx="61">
                  <c:v>114.78318707166</c:v>
                </c:pt>
                <c:pt idx="62">
                  <c:v>115.830848144488</c:v>
                </c:pt>
                <c:pt idx="63">
                  <c:v>116.843226018892</c:v>
                </c:pt>
                <c:pt idx="64">
                  <c:v>117.820012314764</c:v>
                </c:pt>
                <c:pt idx="65">
                  <c:v>118.76090949353799</c:v>
                </c:pt>
                <c:pt idx="66">
                  <c:v>119.665630948817</c:v>
                </c:pt>
                <c:pt idx="67">
                  <c:v>120.533901093682</c:v>
                </c:pt>
                <c:pt idx="68">
                  <c:v>121.365455444636</c:v>
                </c:pt>
                <c:pt idx="69">
                  <c:v>122.160040702168</c:v>
                </c:pt>
                <c:pt idx="70">
                  <c:v>122.917414827911</c:v>
                </c:pt>
                <c:pt idx="71">
                  <c:v>123.63734711837</c:v>
                </c:pt>
                <c:pt idx="72">
                  <c:v>124.319618275195</c:v>
                </c:pt>
                <c:pt idx="73">
                  <c:v>124.964020471981</c:v>
                </c:pt>
                <c:pt idx="74">
                  <c:v>125.570357417579</c:v>
                </c:pt>
                <c:pt idx="75">
                  <c:v>126.13844441588</c:v>
                </c:pt>
                <c:pt idx="76">
                  <c:v>126.668108422081</c:v>
                </c:pt>
                <c:pt idx="77">
                  <c:v>127.159188095395</c:v>
                </c:pt>
                <c:pt idx="78">
                  <c:v>127.611533848196</c:v>
                </c:pt>
                <c:pt idx="79">
                  <c:v>128.02500789158699</c:v>
                </c:pt>
                <c:pt idx="80">
                  <c:v>128.399484277368</c:v>
                </c:pt>
                <c:pt idx="81">
                  <c:v>128.73484893640401</c:v>
                </c:pt>
                <c:pt idx="82">
                  <c:v>129.03099971337201</c:v>
                </c:pt>
                <c:pt idx="83">
                  <c:v>129.287846397876</c:v>
                </c:pt>
                <c:pt idx="84">
                  <c:v>129.505310751927</c:v>
                </c:pt>
                <c:pt idx="85">
                  <c:v>129.68332653377701</c:v>
                </c:pt>
                <c:pt idx="86">
                  <c:v>129.821839518095</c:v>
                </c:pt>
                <c:pt idx="87">
                  <c:v>129.92080751248201</c:v>
                </c:pt>
                <c:pt idx="88">
                  <c:v>129.980200370331</c:v>
                </c:pt>
                <c:pt idx="89">
                  <c:v>130</c:v>
                </c:pt>
                <c:pt idx="90">
                  <c:v>129.980200370331</c:v>
                </c:pt>
                <c:pt idx="91">
                  <c:v>129.92080751248201</c:v>
                </c:pt>
                <c:pt idx="92">
                  <c:v>129.821839518095</c:v>
                </c:pt>
                <c:pt idx="93">
                  <c:v>129.68332653377701</c:v>
                </c:pt>
                <c:pt idx="94">
                  <c:v>129.505310751927</c:v>
                </c:pt>
                <c:pt idx="95">
                  <c:v>129.287846397876</c:v>
                </c:pt>
                <c:pt idx="96">
                  <c:v>129.03099971337201</c:v>
                </c:pt>
                <c:pt idx="97">
                  <c:v>128.73484893640401</c:v>
                </c:pt>
                <c:pt idx="98">
                  <c:v>128.399484277368</c:v>
                </c:pt>
                <c:pt idx="99">
                  <c:v>128.02500789158699</c:v>
                </c:pt>
                <c:pt idx="100">
                  <c:v>127.611533848196</c:v>
                </c:pt>
                <c:pt idx="101">
                  <c:v>127.159188095395</c:v>
                </c:pt>
                <c:pt idx="102">
                  <c:v>126.668108422081</c:v>
                </c:pt>
                <c:pt idx="103">
                  <c:v>126.13844441588</c:v>
                </c:pt>
                <c:pt idx="104">
                  <c:v>125.570357417579</c:v>
                </c:pt>
                <c:pt idx="105">
                  <c:v>124.964020471981</c:v>
                </c:pt>
                <c:pt idx="106">
                  <c:v>124.319618275195</c:v>
                </c:pt>
                <c:pt idx="107">
                  <c:v>123.63734711837</c:v>
                </c:pt>
                <c:pt idx="108">
                  <c:v>122.917414827911</c:v>
                </c:pt>
                <c:pt idx="109">
                  <c:v>122.160040702168</c:v>
                </c:pt>
                <c:pt idx="110">
                  <c:v>121.365455444636</c:v>
                </c:pt>
                <c:pt idx="111">
                  <c:v>120.533901093682</c:v>
                </c:pt>
                <c:pt idx="112">
                  <c:v>119.665630948817</c:v>
                </c:pt>
                <c:pt idx="113">
                  <c:v>118.76090949353799</c:v>
                </c:pt>
                <c:pt idx="114">
                  <c:v>117.82001231476499</c:v>
                </c:pt>
                <c:pt idx="115">
                  <c:v>116.843226018892</c:v>
                </c:pt>
                <c:pt idx="116">
                  <c:v>115.830848144488</c:v>
                </c:pt>
                <c:pt idx="117">
                  <c:v>114.783187071661</c:v>
                </c:pt>
                <c:pt idx="118">
                  <c:v>113.700561928121</c:v>
                </c:pt>
                <c:pt idx="119">
                  <c:v>112.58330249197699</c:v>
                </c:pt>
                <c:pt idx="120">
                  <c:v>111.43174909127499</c:v>
                </c:pt>
                <c:pt idx="121">
                  <c:v>110.246252500335</c:v>
                </c:pt>
                <c:pt idx="122">
                  <c:v>109.02717383290501</c:v>
                </c:pt>
                <c:pt idx="123">
                  <c:v>107.77488443215501</c:v>
                </c:pt>
                <c:pt idx="124">
                  <c:v>106.489765757569</c:v>
                </c:pt>
                <c:pt idx="125">
                  <c:v>105.172209268743</c:v>
                </c:pt>
                <c:pt idx="126">
                  <c:v>103.82261630614801</c:v>
                </c:pt>
                <c:pt idx="127">
                  <c:v>102.441397968874</c:v>
                </c:pt>
                <c:pt idx="128">
                  <c:v>101.028974989406</c:v>
                </c:pt>
                <c:pt idx="129">
                  <c:v>99.585777605467101</c:v>
                </c:pt>
                <c:pt idx="130">
                  <c:v>98.112245428960307</c:v>
                </c:pt>
                <c:pt idx="131">
                  <c:v>96.608827312061294</c:v>
                </c:pt>
                <c:pt idx="132">
                  <c:v>95.075981210492202</c:v>
                </c:pt>
                <c:pt idx="133">
                  <c:v>93.514174044024699</c:v>
                </c:pt>
                <c:pt idx="134">
                  <c:v>91.923881554251196</c:v>
                </c:pt>
                <c:pt idx="135">
                  <c:v>90.305588159669597</c:v>
                </c:pt>
                <c:pt idx="136">
                  <c:v>88.659786808124807</c:v>
                </c:pt>
                <c:pt idx="137">
                  <c:v>86.986978826651594</c:v>
                </c:pt>
                <c:pt idx="138">
                  <c:v>85.287673768765899</c:v>
                </c:pt>
                <c:pt idx="139">
                  <c:v>83.562389259250097</c:v>
                </c:pt>
                <c:pt idx="140">
                  <c:v>81.811650836478904</c:v>
                </c:pt>
                <c:pt idx="141">
                  <c:v>80.035991792335594</c:v>
                </c:pt>
                <c:pt idx="142">
                  <c:v>78.235953009766305</c:v>
                </c:pt>
                <c:pt idx="143">
                  <c:v>76.412082798021501</c:v>
                </c:pt>
                <c:pt idx="144">
                  <c:v>74.564936725636002</c:v>
                </c:pt>
                <c:pt idx="145">
                  <c:v>72.695077451197093</c:v>
                </c:pt>
                <c:pt idx="146">
                  <c:v>70.8030745519535</c:v>
                </c:pt>
                <c:pt idx="147">
                  <c:v>68.889504350316599</c:v>
                </c:pt>
                <c:pt idx="148">
                  <c:v>66.954949738307107</c:v>
                </c:pt>
                <c:pt idx="149">
                  <c:v>65</c:v>
                </c:pt>
                <c:pt idx="150">
                  <c:v>63.025250632023798</c:v>
                </c:pt>
                <c:pt idx="151">
                  <c:v>61.031303162165798</c:v>
                </c:pt>
                <c:pt idx="152">
                  <c:v>59.018764966141099</c:v>
                </c:pt>
                <c:pt idx="153">
                  <c:v>56.988249082579998</c:v>
                </c:pt>
                <c:pt idx="154">
                  <c:v>54.940374026290897</c:v>
                </c:pt>
                <c:pt idx="155">
                  <c:v>52.875763599854103</c:v>
                </c:pt>
                <c:pt idx="156">
                  <c:v>50.7950467036056</c:v>
                </c:pt>
                <c:pt idx="157">
                  <c:v>48.698857144068597</c:v>
                </c:pt>
                <c:pt idx="158">
                  <c:v>46.587833440889</c:v>
                </c:pt>
                <c:pt idx="159">
                  <c:v>44.462618632336998</c:v>
                </c:pt>
                <c:pt idx="160">
                  <c:v>42.323860079430403</c:v>
                </c:pt>
                <c:pt idx="161">
                  <c:v>40.172209268743202</c:v>
                </c:pt>
                <c:pt idx="162">
                  <c:v>38.0083216139558</c:v>
                </c:pt>
                <c:pt idx="163">
                  <c:v>35.83285625621</c:v>
                </c:pt>
                <c:pt idx="164">
                  <c:v>33.646475863327701</c:v>
                </c:pt>
                <c:pt idx="165">
                  <c:v>31.4498464279568</c:v>
                </c:pt>
                <c:pt idx="166">
                  <c:v>29.243637064702401</c:v>
                </c:pt>
                <c:pt idx="167">
                  <c:v>27.028519806308701</c:v>
                </c:pt>
                <c:pt idx="168">
                  <c:v>24.805169398950799</c:v>
                </c:pt>
                <c:pt idx="169">
                  <c:v>22.5742630967009</c:v>
                </c:pt>
                <c:pt idx="170">
                  <c:v>20.336480455229999</c:v>
                </c:pt>
                <c:pt idx="171">
                  <c:v>18.092503124808498</c:v>
                </c:pt>
                <c:pt idx="172">
                  <c:v>15.8430146426692</c:v>
                </c:pt>
                <c:pt idx="173">
                  <c:v>13.588700224795</c:v>
                </c:pt>
                <c:pt idx="174">
                  <c:v>11.330246557195601</c:v>
                </c:pt>
                <c:pt idx="175">
                  <c:v>9.0683415867363202</c:v>
                </c:pt>
                <c:pt idx="176">
                  <c:v>6.8036743115826903</c:v>
                </c:pt>
                <c:pt idx="177">
                  <c:v>4.5369345713250899</c:v>
                </c:pt>
                <c:pt idx="178">
                  <c:v>2.2688128368468501</c:v>
                </c:pt>
                <c:pt idx="179">
                  <c:v>1.5920408388915601E-14</c:v>
                </c:pt>
                <c:pt idx="180">
                  <c:v>-2.2687968966684502</c:v>
                </c:pt>
                <c:pt idx="181">
                  <c:v>-4.5366799864628602</c:v>
                </c:pt>
                <c:pt idx="182">
                  <c:v>-6.8023893311656298</c:v>
                </c:pt>
                <c:pt idx="183">
                  <c:v>-9.0642974146049795</c:v>
                </c:pt>
                <c:pt idx="184">
                  <c:v>-11.320426209483401</c:v>
                </c:pt>
                <c:pt idx="185">
                  <c:v>-13.568470606705301</c:v>
                </c:pt>
                <c:pt idx="186">
                  <c:v>-15.805827834278899</c:v>
                </c:pt>
                <c:pt idx="187">
                  <c:v>-18.029632396286001</c:v>
                </c:pt>
                <c:pt idx="188">
                  <c:v>-20.236795973088899</c:v>
                </c:pt>
                <c:pt idx="189">
                  <c:v>-22.4240516432547</c:v>
                </c:pt>
                <c:pt idx="190">
                  <c:v>-24.588001716886001</c:v>
                </c:pt>
                <c:pt idx="191">
                  <c:v>-26.7251684102486</c:v>
                </c:pt>
                <c:pt idx="192">
                  <c:v>-28.8320465437215</c:v>
                </c:pt>
                <c:pt idx="193">
                  <c:v>-30.905157409916601</c:v>
                </c:pt>
                <c:pt idx="194">
                  <c:v>-32.941102936890502</c:v>
                </c:pt>
                <c:pt idx="195">
                  <c:v>-34.936619263047099</c:v>
                </c:pt>
                <c:pt idx="196">
                  <c:v>-36.888628845780097</c:v>
                </c:pt>
                <c:pt idx="197">
                  <c:v>-38.794290245051599</c:v>
                </c:pt>
                <c:pt idx="198">
                  <c:v>-40.651044755698102</c:v>
                </c:pt>
                <c:pt idx="199">
                  <c:v>-42.456659107818297</c:v>
                </c:pt>
                <c:pt idx="200">
                  <c:v>-44.209263512460602</c:v>
                </c:pt>
                <c:pt idx="201">
                  <c:v>-45.907384399135502</c:v>
                </c:pt>
                <c:pt idx="202">
                  <c:v>-47.549971271402498</c:v>
                </c:pt>
                <c:pt idx="203">
                  <c:v>-49.1364171957091</c:v>
                </c:pt>
                <c:pt idx="204">
                  <c:v>-50.666572535486203</c:v>
                </c:pt>
                <c:pt idx="205">
                  <c:v>-52.140751645736302</c:v>
                </c:pt>
                <c:pt idx="206">
                  <c:v>-53.559732351461797</c:v>
                </c:pt>
                <c:pt idx="207">
                  <c:v>-54.9247481446086</c:v>
                </c:pt>
                <c:pt idx="208">
                  <c:v>-56.2374731470711</c:v>
                </c:pt>
                <c:pt idx="209">
                  <c:v>-57.5</c:v>
                </c:pt>
                <c:pt idx="210">
                  <c:v>-58.714810950448999</c:v>
                </c:pt>
                <c:pt idx="211">
                  <c:v>-59.884742513608998</c:v>
                </c:pt>
                <c:pt idx="212">
                  <c:v>-61.0129441908567</c:v>
                </c:pt>
                <c:pt idx="213">
                  <c:v>-62.102831819022697</c:v>
                </c:pt>
                <c:pt idx="214">
                  <c:v>-63.158036213198102</c:v>
                </c:pt>
                <c:pt idx="215">
                  <c:v>-64.1823478426912</c:v>
                </c:pt>
                <c:pt idx="216">
                  <c:v>-65.179658346213401</c:v>
                </c:pt>
                <c:pt idx="217">
                  <c:v>-66.153899746976904</c:v>
                </c:pt>
                <c:pt idx="218">
                  <c:v>-67.108982270234094</c:v>
                </c:pt>
                <c:pt idx="219">
                  <c:v>-68.0487316942246</c:v>
                </c:pt>
                <c:pt idx="220">
                  <c:v>-68.976827180014794</c:v>
                </c:pt>
                <c:pt idx="221">
                  <c:v>-69.896740526052099</c:v>
                </c:pt>
                <c:pt idx="222">
                  <c:v>-70.811677779357694</c:v>
                </c:pt>
                <c:pt idx="223">
                  <c:v>-71.724524107274803</c:v>
                </c:pt>
                <c:pt idx="224">
                  <c:v>-72.637792791964699</c:v>
                </c:pt>
                <c:pt idx="225">
                  <c:v>-73.553579154946902</c:v>
                </c:pt>
                <c:pt idx="226">
                  <c:v>-74.473520151694899</c:v>
                </c:pt>
                <c:pt idx="227">
                  <c:v>-75.398760297570007</c:v>
                </c:pt>
                <c:pt idx="228">
                  <c:v>-76.329924497341295</c:v>
                </c:pt>
                <c:pt idx="229">
                  <c:v>-77.267098252476799</c:v>
                </c:pt>
                <c:pt idx="230">
                  <c:v>-78.209815614731397</c:v>
                </c:pt>
                <c:pt idx="231">
                  <c:v>-79.157055142835901</c:v>
                </c:pt>
                <c:pt idx="232">
                  <c:v>-80.107244002951703</c:v>
                </c:pt>
                <c:pt idx="233">
                  <c:v>-81.058270234697602</c:v>
                </c:pt>
                <c:pt idx="234">
                  <c:v>-82.007503084735305</c:v>
                </c:pt>
                <c:pt idx="235">
                  <c:v>-82.951821190888595</c:v>
                </c:pt>
                <c:pt idx="236">
                  <c:v>-83.887648283329696</c:v>
                </c:pt>
                <c:pt idx="237">
                  <c:v>-84.810995957227505</c:v>
                </c:pt>
                <c:pt idx="238">
                  <c:v>-85.717512965092098</c:v>
                </c:pt>
                <c:pt idx="239">
                  <c:v>-86.602540378443805</c:v>
                </c:pt>
                <c:pt idx="240">
                  <c:v>-87.461970713939607</c:v>
                </c:pt>
                <c:pt idx="241">
                  <c:v>-88.294759285892695</c:v>
                </c:pt>
                <c:pt idx="242">
                  <c:v>-89.100652418836802</c:v>
                </c:pt>
                <c:pt idx="243">
                  <c:v>-89.879404629916706</c:v>
                </c:pt>
                <c:pt idx="244">
                  <c:v>-90.630778703665001</c:v>
                </c:pt>
                <c:pt idx="245">
                  <c:v>-91.354545764260095</c:v>
                </c:pt>
                <c:pt idx="246">
                  <c:v>-92.050485345243999</c:v>
                </c:pt>
                <c:pt idx="247">
                  <c:v>-92.718385456678703</c:v>
                </c:pt>
                <c:pt idx="248">
                  <c:v>-93.358042649720204</c:v>
                </c:pt>
                <c:pt idx="249">
                  <c:v>-93.969262078590802</c:v>
                </c:pt>
                <c:pt idx="250">
                  <c:v>-94.551857559931705</c:v>
                </c:pt>
                <c:pt idx="251">
                  <c:v>-95.105651629515293</c:v>
                </c:pt>
                <c:pt idx="252">
                  <c:v>-95.630475596303498</c:v>
                </c:pt>
                <c:pt idx="253">
                  <c:v>-96.126169593831904</c:v>
                </c:pt>
                <c:pt idx="254">
                  <c:v>-96.592582628906797</c:v>
                </c:pt>
                <c:pt idx="255">
                  <c:v>-97.029572627599606</c:v>
                </c:pt>
                <c:pt idx="256">
                  <c:v>-97.4370064785235</c:v>
                </c:pt>
                <c:pt idx="257">
                  <c:v>-97.814760073380597</c:v>
                </c:pt>
                <c:pt idx="258">
                  <c:v>-98.162718344766404</c:v>
                </c:pt>
                <c:pt idx="259">
                  <c:v>-98.480775301220802</c:v>
                </c:pt>
                <c:pt idx="260">
                  <c:v>-98.768834059513793</c:v>
                </c:pt>
                <c:pt idx="261">
                  <c:v>-99.026806874157003</c:v>
                </c:pt>
                <c:pt idx="262">
                  <c:v>-99.254615164132204</c:v>
                </c:pt>
                <c:pt idx="263">
                  <c:v>-99.452189536827305</c:v>
                </c:pt>
                <c:pt idx="264">
                  <c:v>-99.619469809174603</c:v>
                </c:pt>
                <c:pt idx="265">
                  <c:v>-99.756405025982403</c:v>
                </c:pt>
                <c:pt idx="266">
                  <c:v>-99.862953475457402</c:v>
                </c:pt>
                <c:pt idx="267">
                  <c:v>-99.939082701909598</c:v>
                </c:pt>
                <c:pt idx="268">
                  <c:v>-99.984769515639101</c:v>
                </c:pt>
                <c:pt idx="269">
                  <c:v>-100</c:v>
                </c:pt>
                <c:pt idx="270">
                  <c:v>-99.984769515639101</c:v>
                </c:pt>
                <c:pt idx="271">
                  <c:v>-99.939082701909598</c:v>
                </c:pt>
                <c:pt idx="272">
                  <c:v>-99.862953475457402</c:v>
                </c:pt>
                <c:pt idx="273">
                  <c:v>-99.756405025982403</c:v>
                </c:pt>
                <c:pt idx="274">
                  <c:v>-99.619469809174603</c:v>
                </c:pt>
                <c:pt idx="275">
                  <c:v>-99.452189536827305</c:v>
                </c:pt>
                <c:pt idx="276">
                  <c:v>-99.254615164132204</c:v>
                </c:pt>
                <c:pt idx="277">
                  <c:v>-99.026806874157003</c:v>
                </c:pt>
                <c:pt idx="278">
                  <c:v>-98.768834059513793</c:v>
                </c:pt>
                <c:pt idx="279">
                  <c:v>-98.480775301220802</c:v>
                </c:pt>
                <c:pt idx="280">
                  <c:v>-98.162718344766404</c:v>
                </c:pt>
                <c:pt idx="281">
                  <c:v>-97.814760073380597</c:v>
                </c:pt>
                <c:pt idx="282">
                  <c:v>-97.4370064785235</c:v>
                </c:pt>
                <c:pt idx="283">
                  <c:v>-97.029572627599705</c:v>
                </c:pt>
                <c:pt idx="284">
                  <c:v>-96.592582628906797</c:v>
                </c:pt>
                <c:pt idx="285">
                  <c:v>-96.126169593831904</c:v>
                </c:pt>
                <c:pt idx="286">
                  <c:v>-95.630475596303498</c:v>
                </c:pt>
                <c:pt idx="287">
                  <c:v>-95.105651629515407</c:v>
                </c:pt>
                <c:pt idx="288">
                  <c:v>-94.551857559931705</c:v>
                </c:pt>
                <c:pt idx="289">
                  <c:v>-93.969262078590901</c:v>
                </c:pt>
                <c:pt idx="290">
                  <c:v>-93.358042649720204</c:v>
                </c:pt>
                <c:pt idx="291">
                  <c:v>-92.718385456678703</c:v>
                </c:pt>
                <c:pt idx="292">
                  <c:v>-92.050485345244098</c:v>
                </c:pt>
                <c:pt idx="293">
                  <c:v>-91.354545764260095</c:v>
                </c:pt>
                <c:pt idx="294">
                  <c:v>-90.630778703665001</c:v>
                </c:pt>
                <c:pt idx="295">
                  <c:v>-89.879404629916706</c:v>
                </c:pt>
                <c:pt idx="296">
                  <c:v>-89.100652418836802</c:v>
                </c:pt>
                <c:pt idx="297">
                  <c:v>-88.294759285892695</c:v>
                </c:pt>
                <c:pt idx="298">
                  <c:v>-87.461970713939607</c:v>
                </c:pt>
                <c:pt idx="299">
                  <c:v>-86.602540378443905</c:v>
                </c:pt>
                <c:pt idx="300">
                  <c:v>-85.716730070211199</c:v>
                </c:pt>
                <c:pt idx="301">
                  <c:v>-84.804809615642597</c:v>
                </c:pt>
                <c:pt idx="302">
                  <c:v>-83.867056794542407</c:v>
                </c:pt>
                <c:pt idx="303">
                  <c:v>-82.903757255504203</c:v>
                </c:pt>
                <c:pt idx="304">
                  <c:v>-81.915204428899202</c:v>
                </c:pt>
                <c:pt idx="305">
                  <c:v>-80.901699437494798</c:v>
                </c:pt>
                <c:pt idx="306">
                  <c:v>-79.863551004729302</c:v>
                </c:pt>
                <c:pt idx="307">
                  <c:v>-78.801075360672201</c:v>
                </c:pt>
                <c:pt idx="308">
                  <c:v>-77.714596145697101</c:v>
                </c:pt>
                <c:pt idx="309">
                  <c:v>-76.604444311897794</c:v>
                </c:pt>
                <c:pt idx="310">
                  <c:v>-75.470958022277202</c:v>
                </c:pt>
                <c:pt idx="311">
                  <c:v>-74.314482547739502</c:v>
                </c:pt>
                <c:pt idx="312">
                  <c:v>-73.135370161917095</c:v>
                </c:pt>
                <c:pt idx="313">
                  <c:v>-71.933980033865197</c:v>
                </c:pt>
                <c:pt idx="314">
                  <c:v>-70.710678118654798</c:v>
                </c:pt>
                <c:pt idx="315">
                  <c:v>-69.465837045899804</c:v>
                </c:pt>
                <c:pt idx="316">
                  <c:v>-68.199836006249797</c:v>
                </c:pt>
                <c:pt idx="317">
                  <c:v>-66.913060635885799</c:v>
                </c:pt>
                <c:pt idx="318">
                  <c:v>-65.605902899050704</c:v>
                </c:pt>
                <c:pt idx="319">
                  <c:v>-64.278760968653998</c:v>
                </c:pt>
                <c:pt idx="320">
                  <c:v>-62.932039104983801</c:v>
                </c:pt>
                <c:pt idx="321">
                  <c:v>-61.5661475325659</c:v>
                </c:pt>
                <c:pt idx="322">
                  <c:v>-60.181502315204803</c:v>
                </c:pt>
                <c:pt idx="323">
                  <c:v>-58.7785252292473</c:v>
                </c:pt>
                <c:pt idx="324">
                  <c:v>-57.357643635104701</c:v>
                </c:pt>
                <c:pt idx="325">
                  <c:v>-55.9192903470747</c:v>
                </c:pt>
                <c:pt idx="326">
                  <c:v>-54.463903501502699</c:v>
                </c:pt>
                <c:pt idx="327">
                  <c:v>-52.991926423320599</c:v>
                </c:pt>
                <c:pt idx="328">
                  <c:v>-51.503807491005396</c:v>
                </c:pt>
                <c:pt idx="329">
                  <c:v>-50</c:v>
                </c:pt>
                <c:pt idx="330">
                  <c:v>-48.480962024633698</c:v>
                </c:pt>
                <c:pt idx="331">
                  <c:v>-46.947156278589098</c:v>
                </c:pt>
                <c:pt idx="332">
                  <c:v>-45.399049973954703</c:v>
                </c:pt>
                <c:pt idx="333">
                  <c:v>-43.837114678907703</c:v>
                </c:pt>
                <c:pt idx="334">
                  <c:v>-42.261826174070002</c:v>
                </c:pt>
                <c:pt idx="335">
                  <c:v>-40.673664307579998</c:v>
                </c:pt>
                <c:pt idx="336">
                  <c:v>-39.073112848927501</c:v>
                </c:pt>
                <c:pt idx="337">
                  <c:v>-37.460659341591203</c:v>
                </c:pt>
                <c:pt idx="338">
                  <c:v>-35.836794954530099</c:v>
                </c:pt>
                <c:pt idx="339">
                  <c:v>-34.202014332566897</c:v>
                </c:pt>
                <c:pt idx="340">
                  <c:v>-32.556815445715799</c:v>
                </c:pt>
                <c:pt idx="341">
                  <c:v>-30.901699437494798</c:v>
                </c:pt>
                <c:pt idx="342">
                  <c:v>-29.237170472273601</c:v>
                </c:pt>
                <c:pt idx="343">
                  <c:v>-27.563735581700001</c:v>
                </c:pt>
                <c:pt idx="344">
                  <c:v>-25.881904510252099</c:v>
                </c:pt>
                <c:pt idx="345">
                  <c:v>-24.192189559966799</c:v>
                </c:pt>
                <c:pt idx="346">
                  <c:v>-22.495105434386499</c:v>
                </c:pt>
                <c:pt idx="347">
                  <c:v>-20.791169081776001</c:v>
                </c:pt>
                <c:pt idx="348">
                  <c:v>-19.080899537654499</c:v>
                </c:pt>
                <c:pt idx="349">
                  <c:v>-17.364817766693101</c:v>
                </c:pt>
                <c:pt idx="350">
                  <c:v>-15.6434465040231</c:v>
                </c:pt>
                <c:pt idx="351">
                  <c:v>-13.917310096006601</c:v>
                </c:pt>
                <c:pt idx="352">
                  <c:v>-12.186934340514799</c:v>
                </c:pt>
                <c:pt idx="353">
                  <c:v>-10.4528463267653</c:v>
                </c:pt>
                <c:pt idx="354">
                  <c:v>-8.7155742747658298</c:v>
                </c:pt>
                <c:pt idx="355">
                  <c:v>-6.9756473744124801</c:v>
                </c:pt>
                <c:pt idx="356">
                  <c:v>-5.2335956242944404</c:v>
                </c:pt>
                <c:pt idx="357">
                  <c:v>-3.4899496702500801</c:v>
                </c:pt>
                <c:pt idx="358">
                  <c:v>-1.74524064372844</c:v>
                </c:pt>
                <c:pt idx="359">
                  <c:v>-2.4492935982947099E-14</c:v>
                </c:pt>
              </c:numCache>
            </c:numRef>
          </c:val>
          <c:smooth val="0"/>
        </c:ser>
        <c:ser>
          <c:idx val="2"/>
          <c:order val="2"/>
          <c:tx>
            <c:strRef>
              <c:f>正弦加速度凸轮!$D$2</c:f>
              <c:strCache>
                <c:ptCount val="1"/>
                <c:pt idx="0">
                  <c:v>y</c:v>
                </c:pt>
              </c:strCache>
            </c:strRef>
          </c:tx>
          <c:spPr>
            <a:ln w="12700" cap="rnd" cmpd="sng" algn="ctr">
              <a:solidFill>
                <a:srgbClr val="FFFF00"/>
              </a:solidFill>
              <a:prstDash val="solid"/>
              <a:round/>
            </a:ln>
          </c:spPr>
          <c:marker>
            <c:symbol val="none"/>
          </c:marker>
          <c:val>
            <c:numRef>
              <c:f>正弦加速度凸轮!$D$3:$D$362</c:f>
              <c:numCache>
                <c:formatCode>General</c:formatCode>
                <c:ptCount val="360"/>
                <c:pt idx="0">
                  <c:v>99.985682727845898</c:v>
                </c:pt>
                <c:pt idx="1">
                  <c:v>99.946373058507106</c:v>
                </c:pt>
                <c:pt idx="2">
                  <c:v>99.887472362435801</c:v>
                </c:pt>
                <c:pt idx="3">
                  <c:v>99.814239381916096</c:v>
                </c:pt>
                <c:pt idx="4">
                  <c:v>99.731716897155295</c:v>
                </c:pt>
                <c:pt idx="5">
                  <c:v>99.644661496101605</c:v>
                </c:pt>
                <c:pt idx="6">
                  <c:v>99.557477414213295</c:v>
                </c:pt>
                <c:pt idx="7">
                  <c:v>99.474155352310206</c:v>
                </c:pt>
                <c:pt idx="8">
                  <c:v>99.398217109621697</c:v>
                </c:pt>
                <c:pt idx="9">
                  <c:v>99.332666786249106</c:v>
                </c:pt>
                <c:pt idx="10">
                  <c:v>99.279949215672104</c:v>
                </c:pt>
                <c:pt idx="11">
                  <c:v>99.241916185036999</c:v>
                </c:pt>
                <c:pt idx="12">
                  <c:v>99.219800890236499</c:v>
                </c:pt>
                <c:pt idx="13">
                  <c:v>99.2142009558615</c:v>
                </c:pt>
                <c:pt idx="14">
                  <c:v>99.225070228654005</c:v>
                </c:pt>
                <c:pt idx="15">
                  <c:v>99.251719428892201</c:v>
                </c:pt>
                <c:pt idx="16">
                  <c:v>99.292825618988402</c:v>
                </c:pt>
                <c:pt idx="17">
                  <c:v>99.346450324291496</c:v>
                </c:pt>
                <c:pt idx="18">
                  <c:v>99.410066019457901</c:v>
                </c:pt>
                <c:pt idx="19">
                  <c:v>99.480590576545694</c:v>
                </c:pt>
                <c:pt idx="20">
                  <c:v>99.554429159878694</c:v>
                </c:pt>
                <c:pt idx="21">
                  <c:v>99.627522949332402</c:v>
                </c:pt>
                <c:pt idx="22">
                  <c:v>99.695403979476296</c:v>
                </c:pt>
                <c:pt idx="23">
                  <c:v>99.753255298336001</c:v>
                </c:pt>
                <c:pt idx="24">
                  <c:v>99.795975577579696</c:v>
                </c:pt>
                <c:pt idx="25">
                  <c:v>99.818247246723303</c:v>
                </c:pt>
                <c:pt idx="26">
                  <c:v>99.8146071783015</c:v>
                </c:pt>
                <c:pt idx="27">
                  <c:v>99.779518919506003</c:v>
                </c:pt>
                <c:pt idx="28">
                  <c:v>99.707445448950395</c:v>
                </c:pt>
                <c:pt idx="29">
                  <c:v>99.592921435210499</c:v>
                </c:pt>
                <c:pt idx="30">
                  <c:v>99.4306239865641</c:v>
                </c:pt>
                <c:pt idx="31">
                  <c:v>99.2154409087169</c:v>
                </c:pt>
                <c:pt idx="32">
                  <c:v>98.942535528772794</c:v>
                </c:pt>
                <c:pt idx="33">
                  <c:v>98.607407198665499</c:v>
                </c:pt>
                <c:pt idx="34">
                  <c:v>98.205946658842905</c:v>
                </c:pt>
                <c:pt idx="35">
                  <c:v>97.734485522165798</c:v>
                </c:pt>
                <c:pt idx="36">
                  <c:v>97.189839227547296</c:v>
                </c:pt>
                <c:pt idx="37">
                  <c:v>96.569342911463096</c:v>
                </c:pt>
                <c:pt idx="38">
                  <c:v>95.870879751630099</c:v>
                </c:pt>
                <c:pt idx="39">
                  <c:v>95.092901449293294</c:v>
                </c:pt>
                <c:pt idx="40">
                  <c:v>94.234440633005207</c:v>
                </c:pt>
                <c:pt idx="41">
                  <c:v>93.2951150857984</c:v>
                </c:pt>
                <c:pt idx="42">
                  <c:v>92.275123817475901</c:v>
                </c:pt>
                <c:pt idx="43">
                  <c:v>91.175235122604207</c:v>
                </c:pt>
                <c:pt idx="44">
                  <c:v>89.996766880941195</c:v>
                </c:pt>
                <c:pt idx="45">
                  <c:v>88.741559468753493</c:v>
                </c:pt>
                <c:pt idx="46">
                  <c:v>87.411941755141996</c:v>
                </c:pt>
                <c:pt idx="47">
                  <c:v>86.010690755561896</c:v>
                </c:pt>
                <c:pt idx="48">
                  <c:v>84.540985603764</c:v>
                </c:pt>
                <c:pt idx="49">
                  <c:v>83.006356582112105</c:v>
                </c:pt>
                <c:pt idx="50">
                  <c:v>81.410630017527595</c:v>
                </c:pt>
                <c:pt idx="51">
                  <c:v>79.757869905204103</c:v>
                </c:pt>
                <c:pt idx="52">
                  <c:v>78.052317163974095</c:v>
                </c:pt>
                <c:pt idx="53">
                  <c:v>76.2983274552099</c:v>
                </c:pt>
                <c:pt idx="54">
                  <c:v>74.500308511052907</c:v>
                </c:pt>
                <c:pt idx="55">
                  <c:v>72.662657917427296</c:v>
                </c:pt>
                <c:pt idx="56">
                  <c:v>70.7897022827798</c:v>
                </c:pt>
                <c:pt idx="57">
                  <c:v>68.885638695059797</c:v>
                </c:pt>
                <c:pt idx="58">
                  <c:v>66.954479327604304</c:v>
                </c:pt>
                <c:pt idx="59">
                  <c:v>65</c:v>
                </c:pt>
                <c:pt idx="60">
                  <c:v>63.025250632023798</c:v>
                </c:pt>
                <c:pt idx="61">
                  <c:v>61.031303162165798</c:v>
                </c:pt>
                <c:pt idx="62">
                  <c:v>59.018764966141099</c:v>
                </c:pt>
                <c:pt idx="63">
                  <c:v>56.988249082580097</c:v>
                </c:pt>
                <c:pt idx="64">
                  <c:v>54.940374026290897</c:v>
                </c:pt>
                <c:pt idx="65">
                  <c:v>52.875763599853997</c:v>
                </c:pt>
                <c:pt idx="66">
                  <c:v>50.7950467036056</c:v>
                </c:pt>
                <c:pt idx="67">
                  <c:v>48.698857144068597</c:v>
                </c:pt>
                <c:pt idx="68">
                  <c:v>46.587833440889</c:v>
                </c:pt>
                <c:pt idx="69">
                  <c:v>44.462618632336898</c:v>
                </c:pt>
                <c:pt idx="70">
                  <c:v>42.323860079430403</c:v>
                </c:pt>
                <c:pt idx="71">
                  <c:v>40.172209268743202</c:v>
                </c:pt>
                <c:pt idx="72">
                  <c:v>38.0083216139558</c:v>
                </c:pt>
                <c:pt idx="73">
                  <c:v>35.832856256209901</c:v>
                </c:pt>
                <c:pt idx="74">
                  <c:v>33.646475863327701</c:v>
                </c:pt>
                <c:pt idx="75">
                  <c:v>31.4498464279568</c:v>
                </c:pt>
                <c:pt idx="76">
                  <c:v>29.243637064702401</c:v>
                </c:pt>
                <c:pt idx="77">
                  <c:v>27.028519806308701</c:v>
                </c:pt>
                <c:pt idx="78">
                  <c:v>24.805169398950799</c:v>
                </c:pt>
                <c:pt idx="79">
                  <c:v>22.574263096700999</c:v>
                </c:pt>
                <c:pt idx="80">
                  <c:v>20.336480455229999</c:v>
                </c:pt>
                <c:pt idx="81">
                  <c:v>18.092503124808498</c:v>
                </c:pt>
                <c:pt idx="82">
                  <c:v>15.8430146426692</c:v>
                </c:pt>
                <c:pt idx="83">
                  <c:v>13.5887002247949</c:v>
                </c:pt>
                <c:pt idx="84">
                  <c:v>11.330246557195601</c:v>
                </c:pt>
                <c:pt idx="85">
                  <c:v>9.0683415867363095</c:v>
                </c:pt>
                <c:pt idx="86">
                  <c:v>6.8036743115827196</c:v>
                </c:pt>
                <c:pt idx="87">
                  <c:v>4.5369345713251397</c:v>
                </c:pt>
                <c:pt idx="88">
                  <c:v>2.2688128368468399</c:v>
                </c:pt>
                <c:pt idx="89">
                  <c:v>7.9602041944578004E-15</c:v>
                </c:pt>
                <c:pt idx="90">
                  <c:v>-2.2688128368468501</c:v>
                </c:pt>
                <c:pt idx="91">
                  <c:v>-4.5369345713250997</c:v>
                </c:pt>
                <c:pt idx="92">
                  <c:v>-6.8036743115826699</c:v>
                </c:pt>
                <c:pt idx="93">
                  <c:v>-9.06834158673629</c:v>
                </c:pt>
                <c:pt idx="94">
                  <c:v>-11.330246557195601</c:v>
                </c:pt>
                <c:pt idx="95">
                  <c:v>-13.5887002247949</c:v>
                </c:pt>
                <c:pt idx="96">
                  <c:v>-15.8430146426692</c:v>
                </c:pt>
                <c:pt idx="97">
                  <c:v>-18.092503124808498</c:v>
                </c:pt>
                <c:pt idx="98">
                  <c:v>-20.336480455229999</c:v>
                </c:pt>
                <c:pt idx="99">
                  <c:v>-22.5742630967009</c:v>
                </c:pt>
                <c:pt idx="100">
                  <c:v>-24.805169398950799</c:v>
                </c:pt>
                <c:pt idx="101">
                  <c:v>-27.028519806308701</c:v>
                </c:pt>
                <c:pt idx="102">
                  <c:v>-29.243637064702401</c:v>
                </c:pt>
                <c:pt idx="103">
                  <c:v>-31.4498464279568</c:v>
                </c:pt>
                <c:pt idx="104">
                  <c:v>-33.646475863327701</c:v>
                </c:pt>
                <c:pt idx="105">
                  <c:v>-35.832856256209901</c:v>
                </c:pt>
                <c:pt idx="106">
                  <c:v>-38.0083216139558</c:v>
                </c:pt>
                <c:pt idx="107">
                  <c:v>-40.172209268743202</c:v>
                </c:pt>
                <c:pt idx="108">
                  <c:v>-42.323860079430297</c:v>
                </c:pt>
                <c:pt idx="109">
                  <c:v>-44.462618632336898</c:v>
                </c:pt>
                <c:pt idx="110">
                  <c:v>-46.587833440889</c:v>
                </c:pt>
                <c:pt idx="111">
                  <c:v>-48.698857144068597</c:v>
                </c:pt>
                <c:pt idx="112">
                  <c:v>-50.7950467036056</c:v>
                </c:pt>
                <c:pt idx="113">
                  <c:v>-52.875763599853997</c:v>
                </c:pt>
                <c:pt idx="114">
                  <c:v>-54.940374026290897</c:v>
                </c:pt>
                <c:pt idx="115">
                  <c:v>-56.988249082580097</c:v>
                </c:pt>
                <c:pt idx="116">
                  <c:v>-59.018764966141099</c:v>
                </c:pt>
                <c:pt idx="117">
                  <c:v>-61.031303162165798</c:v>
                </c:pt>
                <c:pt idx="118">
                  <c:v>-63.025250632023798</c:v>
                </c:pt>
                <c:pt idx="119">
                  <c:v>-65</c:v>
                </c:pt>
                <c:pt idx="120">
                  <c:v>-66.954949738307107</c:v>
                </c:pt>
                <c:pt idx="121">
                  <c:v>-68.889504350316599</c:v>
                </c:pt>
                <c:pt idx="122">
                  <c:v>-70.8030745519535</c:v>
                </c:pt>
                <c:pt idx="123">
                  <c:v>-72.695077451197093</c:v>
                </c:pt>
                <c:pt idx="124">
                  <c:v>-74.564936725636002</c:v>
                </c:pt>
                <c:pt idx="125">
                  <c:v>-76.412082798021501</c:v>
                </c:pt>
                <c:pt idx="126">
                  <c:v>-78.235953009766305</c:v>
                </c:pt>
                <c:pt idx="127">
                  <c:v>-80.035991792335594</c:v>
                </c:pt>
                <c:pt idx="128">
                  <c:v>-81.811650836478805</c:v>
                </c:pt>
                <c:pt idx="129">
                  <c:v>-83.562389259250097</c:v>
                </c:pt>
                <c:pt idx="130">
                  <c:v>-85.287673768765998</c:v>
                </c:pt>
                <c:pt idx="131">
                  <c:v>-86.986978826651594</c:v>
                </c:pt>
                <c:pt idx="132">
                  <c:v>-88.659786808124807</c:v>
                </c:pt>
                <c:pt idx="133">
                  <c:v>-90.305588159669597</c:v>
                </c:pt>
                <c:pt idx="134">
                  <c:v>-91.923881554251196</c:v>
                </c:pt>
                <c:pt idx="135">
                  <c:v>-93.514174044024699</c:v>
                </c:pt>
                <c:pt idx="136">
                  <c:v>-95.075981210492202</c:v>
                </c:pt>
                <c:pt idx="137">
                  <c:v>-96.608827312061194</c:v>
                </c:pt>
                <c:pt idx="138">
                  <c:v>-98.112245428960406</c:v>
                </c:pt>
                <c:pt idx="139">
                  <c:v>-99.585777605467101</c:v>
                </c:pt>
                <c:pt idx="140">
                  <c:v>-101.028974989406</c:v>
                </c:pt>
                <c:pt idx="141">
                  <c:v>-102.441397968874</c:v>
                </c:pt>
                <c:pt idx="142">
                  <c:v>-103.82261630614801</c:v>
                </c:pt>
                <c:pt idx="143">
                  <c:v>-105.172209268743</c:v>
                </c:pt>
                <c:pt idx="144">
                  <c:v>-106.489765757569</c:v>
                </c:pt>
                <c:pt idx="145">
                  <c:v>-107.77488443215501</c:v>
                </c:pt>
                <c:pt idx="146">
                  <c:v>-109.02717383290501</c:v>
                </c:pt>
                <c:pt idx="147">
                  <c:v>-110.246252500335</c:v>
                </c:pt>
                <c:pt idx="148">
                  <c:v>-111.43174909127499</c:v>
                </c:pt>
                <c:pt idx="149">
                  <c:v>-112.58330249197699</c:v>
                </c:pt>
                <c:pt idx="150">
                  <c:v>-113.700561928121</c:v>
                </c:pt>
                <c:pt idx="151">
                  <c:v>-114.78318707166</c:v>
                </c:pt>
                <c:pt idx="152">
                  <c:v>-115.830848144488</c:v>
                </c:pt>
                <c:pt idx="153">
                  <c:v>-116.843226018892</c:v>
                </c:pt>
                <c:pt idx="154">
                  <c:v>-117.820012314764</c:v>
                </c:pt>
                <c:pt idx="155">
                  <c:v>-118.76090949353799</c:v>
                </c:pt>
                <c:pt idx="156">
                  <c:v>-119.665630948817</c:v>
                </c:pt>
                <c:pt idx="157">
                  <c:v>-120.533901093682</c:v>
                </c:pt>
                <c:pt idx="158">
                  <c:v>-121.365455444636</c:v>
                </c:pt>
                <c:pt idx="159">
                  <c:v>-122.160040702168</c:v>
                </c:pt>
                <c:pt idx="160">
                  <c:v>-122.917414827911</c:v>
                </c:pt>
                <c:pt idx="161">
                  <c:v>-123.63734711837</c:v>
                </c:pt>
                <c:pt idx="162">
                  <c:v>-124.319618275195</c:v>
                </c:pt>
                <c:pt idx="163">
                  <c:v>-124.964020471981</c:v>
                </c:pt>
                <c:pt idx="164">
                  <c:v>-125.570357417579</c:v>
                </c:pt>
                <c:pt idx="165">
                  <c:v>-126.13844441588</c:v>
                </c:pt>
                <c:pt idx="166">
                  <c:v>-126.668108422081</c:v>
                </c:pt>
                <c:pt idx="167">
                  <c:v>-127.159188095395</c:v>
                </c:pt>
                <c:pt idx="168">
                  <c:v>-127.611533848196</c:v>
                </c:pt>
                <c:pt idx="169">
                  <c:v>-128.02500789158699</c:v>
                </c:pt>
                <c:pt idx="170">
                  <c:v>-128.399484277368</c:v>
                </c:pt>
                <c:pt idx="171">
                  <c:v>-128.73484893640401</c:v>
                </c:pt>
                <c:pt idx="172">
                  <c:v>-129.03099971337201</c:v>
                </c:pt>
                <c:pt idx="173">
                  <c:v>-129.287846397876</c:v>
                </c:pt>
                <c:pt idx="174">
                  <c:v>-129.505310751927</c:v>
                </c:pt>
                <c:pt idx="175">
                  <c:v>-129.68332653377701</c:v>
                </c:pt>
                <c:pt idx="176">
                  <c:v>-129.821839518095</c:v>
                </c:pt>
                <c:pt idx="177">
                  <c:v>-129.92080751248201</c:v>
                </c:pt>
                <c:pt idx="178">
                  <c:v>-129.980200370331</c:v>
                </c:pt>
                <c:pt idx="179">
                  <c:v>-130</c:v>
                </c:pt>
                <c:pt idx="180">
                  <c:v>-129.97928715812401</c:v>
                </c:pt>
                <c:pt idx="181">
                  <c:v>-129.91351715588499</c:v>
                </c:pt>
                <c:pt idx="182">
                  <c:v>-129.79732063111601</c:v>
                </c:pt>
                <c:pt idx="183">
                  <c:v>-129.625492177843</c:v>
                </c:pt>
                <c:pt idx="184">
                  <c:v>-129.39306366394601</c:v>
                </c:pt>
                <c:pt idx="185">
                  <c:v>-129.095374438601</c:v>
                </c:pt>
                <c:pt idx="186">
                  <c:v>-128.72813746329101</c:v>
                </c:pt>
                <c:pt idx="187">
                  <c:v>-128.287500458251</c:v>
                </c:pt>
                <c:pt idx="188">
                  <c:v>-127.77010122726</c:v>
                </c:pt>
                <c:pt idx="189">
                  <c:v>-127.173116406559</c:v>
                </c:pt>
                <c:pt idx="190">
                  <c:v>-126.494302977291</c:v>
                </c:pt>
                <c:pt idx="191">
                  <c:v>-125.732031983738</c:v>
                </c:pt>
                <c:pt idx="192">
                  <c:v>-124.88531401036801</c:v>
                </c:pt>
                <c:pt idx="193">
                  <c:v>-123.95381608761799</c:v>
                </c:pt>
                <c:pt idx="194">
                  <c:v>-122.937869817832</c:v>
                </c:pt>
                <c:pt idx="195">
                  <c:v>-121.838470636921</c:v>
                </c:pt>
                <c:pt idx="196">
                  <c:v>-120.65726825250999</c:v>
                </c:pt>
                <c:pt idx="197">
                  <c:v>-119.396548423594</c:v>
                </c:pt>
                <c:pt idx="198">
                  <c:v>-118.05920636838501</c:v>
                </c:pt>
                <c:pt idx="199">
                  <c:v>-116.648712204213</c:v>
                </c:pt>
                <c:pt idx="200">
                  <c:v>-115.16906893447801</c:v>
                </c:pt>
                <c:pt idx="201">
                  <c:v>-113.624763601029</c:v>
                </c:pt>
                <c:pt idx="202">
                  <c:v>-112.020712314585</c:v>
                </c:pt>
                <c:pt idx="203">
                  <c:v>-110.362199959462</c:v>
                </c:pt>
                <c:pt idx="204">
                  <c:v>-108.65481544085</c:v>
                </c:pt>
                <c:pt idx="205">
                  <c:v>-106.904383402085</c:v>
                </c:pt>
                <c:pt idx="206">
                  <c:v>-105.116893385023</c:v>
                </c:pt>
                <c:pt idx="207">
                  <c:v>-103.298427438047</c:v>
                </c:pt>
                <c:pt idx="208">
                  <c:v>-101.455087193111</c:v>
                </c:pt>
                <c:pt idx="209">
                  <c:v>-99.5929214352104</c:v>
                </c:pt>
                <c:pt idx="210">
                  <c:v>-97.717855174921695</c:v>
                </c:pt>
                <c:pt idx="211">
                  <c:v>-95.835621207261099</c:v>
                </c:pt>
                <c:pt idx="212">
                  <c:v>-93.951695098674804</c:v>
                </c:pt>
                <c:pt idx="213">
                  <c:v>-92.071234488994094</c:v>
                </c:pt>
                <c:pt idx="214">
                  <c:v>-90.199023527625201</c:v>
                </c:pt>
                <c:pt idx="215">
                  <c:v>-88.339423184072203</c:v>
                </c:pt>
                <c:pt idx="216">
                  <c:v>-86.496328083330098</c:v>
                </c:pt>
                <c:pt idx="217">
                  <c:v>-84.673130418082906</c:v>
                </c:pt>
                <c:pt idx="218">
                  <c:v>-82.872691383473196</c:v>
                </c:pt>
                <c:pt idx="219">
                  <c:v>-81.0973204680717</c:v>
                </c:pt>
                <c:pt idx="220">
                  <c:v>-79.348762818232402</c:v>
                </c:pt>
                <c:pt idx="221">
                  <c:v>-77.628194774002296</c:v>
                </c:pt>
                <c:pt idx="222">
                  <c:v>-75.936227554933296</c:v>
                </c:pt>
                <c:pt idx="223">
                  <c:v>-74.272918955285604</c:v>
                </c:pt>
                <c:pt idx="224">
                  <c:v>-72.637792791964699</c:v>
                </c:pt>
                <c:pt idx="225">
                  <c:v>-71.029865736815907</c:v>
                </c:pt>
                <c:pt idx="226">
                  <c:v>-69.447681059232707</c:v>
                </c:pt>
                <c:pt idx="227">
                  <c:v>-67.889348706975497</c:v>
                </c:pt>
                <c:pt idx="228">
                  <c:v>-66.352591064052703</c:v>
                </c:pt>
                <c:pt idx="229">
                  <c:v>-64.834793645791905</c:v>
                </c:pt>
                <c:pt idx="230">
                  <c:v>-63.333059923934997</c:v>
                </c:pt>
                <c:pt idx="231">
                  <c:v>-61.844269419697298</c:v>
                </c:pt>
                <c:pt idx="232">
                  <c:v>-60.365138160996999</c:v>
                </c:pt>
                <c:pt idx="233">
                  <c:v>-58.892280572058901</c:v>
                </c:pt>
                <c:pt idx="234">
                  <c:v>-57.422271849687696</c:v>
                </c:pt>
                <c:pt idx="235">
                  <c:v>-55.951709880844497</c:v>
                </c:pt>
                <c:pt idx="236">
                  <c:v>-54.4772757706764</c:v>
                </c:pt>
                <c:pt idx="237">
                  <c:v>-52.995792078577402</c:v>
                </c:pt>
                <c:pt idx="238">
                  <c:v>-51.5042779017082</c:v>
                </c:pt>
                <c:pt idx="239">
                  <c:v>-50</c:v>
                </c:pt>
                <c:pt idx="240">
                  <c:v>-48.480962024633698</c:v>
                </c:pt>
                <c:pt idx="241">
                  <c:v>-46.947156278589098</c:v>
                </c:pt>
                <c:pt idx="242">
                  <c:v>-45.399049973954703</c:v>
                </c:pt>
                <c:pt idx="243">
                  <c:v>-43.837114678907803</c:v>
                </c:pt>
                <c:pt idx="244">
                  <c:v>-42.261826174070002</c:v>
                </c:pt>
                <c:pt idx="245">
                  <c:v>-40.673664307579998</c:v>
                </c:pt>
                <c:pt idx="246">
                  <c:v>-39.073112848927401</c:v>
                </c:pt>
                <c:pt idx="247">
                  <c:v>-37.460659341591203</c:v>
                </c:pt>
                <c:pt idx="248">
                  <c:v>-35.836794954530099</c:v>
                </c:pt>
                <c:pt idx="249">
                  <c:v>-34.202014332566897</c:v>
                </c:pt>
                <c:pt idx="250">
                  <c:v>-32.556815445715699</c:v>
                </c:pt>
                <c:pt idx="251">
                  <c:v>-30.901699437494798</c:v>
                </c:pt>
                <c:pt idx="252">
                  <c:v>-29.2371704722737</c:v>
                </c:pt>
                <c:pt idx="253">
                  <c:v>-27.563735581699898</c:v>
                </c:pt>
                <c:pt idx="254">
                  <c:v>-25.881904510252099</c:v>
                </c:pt>
                <c:pt idx="255">
                  <c:v>-24.192189559966799</c:v>
                </c:pt>
                <c:pt idx="256">
                  <c:v>-22.495105434386499</c:v>
                </c:pt>
                <c:pt idx="257">
                  <c:v>-20.791169081776001</c:v>
                </c:pt>
                <c:pt idx="258">
                  <c:v>-19.080899537654499</c:v>
                </c:pt>
                <c:pt idx="259">
                  <c:v>-17.364817766693001</c:v>
                </c:pt>
                <c:pt idx="260">
                  <c:v>-15.6434465040231</c:v>
                </c:pt>
                <c:pt idx="261">
                  <c:v>-13.917310096006499</c:v>
                </c:pt>
                <c:pt idx="262">
                  <c:v>-12.1869343405147</c:v>
                </c:pt>
                <c:pt idx="263">
                  <c:v>-10.4528463267653</c:v>
                </c:pt>
                <c:pt idx="264">
                  <c:v>-8.7155742747658191</c:v>
                </c:pt>
                <c:pt idx="265">
                  <c:v>-6.97564737441256</c:v>
                </c:pt>
                <c:pt idx="266">
                  <c:v>-5.2335956242944297</c:v>
                </c:pt>
                <c:pt idx="267">
                  <c:v>-3.48994967025016</c:v>
                </c:pt>
                <c:pt idx="268">
                  <c:v>-1.7452406437283501</c:v>
                </c:pt>
                <c:pt idx="269">
                  <c:v>-1.8369701987210301E-14</c:v>
                </c:pt>
                <c:pt idx="270">
                  <c:v>1.7452406437283099</c:v>
                </c:pt>
                <c:pt idx="271">
                  <c:v>3.4899496702501298</c:v>
                </c:pt>
                <c:pt idx="272">
                  <c:v>5.2335956242943897</c:v>
                </c:pt>
                <c:pt idx="273">
                  <c:v>6.97564737441252</c:v>
                </c:pt>
                <c:pt idx="274">
                  <c:v>8.7155742747657907</c:v>
                </c:pt>
                <c:pt idx="275">
                  <c:v>10.4528463267653</c:v>
                </c:pt>
                <c:pt idx="276">
                  <c:v>12.186934340514799</c:v>
                </c:pt>
                <c:pt idx="277">
                  <c:v>13.917310096006499</c:v>
                </c:pt>
                <c:pt idx="278">
                  <c:v>15.6434465040231</c:v>
                </c:pt>
                <c:pt idx="279">
                  <c:v>17.364817766693001</c:v>
                </c:pt>
                <c:pt idx="280">
                  <c:v>19.0808995376544</c:v>
                </c:pt>
                <c:pt idx="281">
                  <c:v>20.791169081775902</c:v>
                </c:pt>
                <c:pt idx="282">
                  <c:v>22.495105434386499</c:v>
                </c:pt>
                <c:pt idx="283">
                  <c:v>24.1921895599667</c:v>
                </c:pt>
                <c:pt idx="284">
                  <c:v>25.881904510252099</c:v>
                </c:pt>
                <c:pt idx="285">
                  <c:v>27.563735581699898</c:v>
                </c:pt>
                <c:pt idx="286">
                  <c:v>29.2371704722737</c:v>
                </c:pt>
                <c:pt idx="287">
                  <c:v>30.901699437494699</c:v>
                </c:pt>
                <c:pt idx="288">
                  <c:v>32.5568154457156</c:v>
                </c:pt>
                <c:pt idx="289">
                  <c:v>34.202014332566797</c:v>
                </c:pt>
                <c:pt idx="290">
                  <c:v>35.836794954529999</c:v>
                </c:pt>
                <c:pt idx="291">
                  <c:v>37.460659341591203</c:v>
                </c:pt>
                <c:pt idx="292">
                  <c:v>39.073112848927401</c:v>
                </c:pt>
                <c:pt idx="293">
                  <c:v>40.673664307580097</c:v>
                </c:pt>
                <c:pt idx="294">
                  <c:v>42.261826174070002</c:v>
                </c:pt>
                <c:pt idx="295">
                  <c:v>43.837114678907703</c:v>
                </c:pt>
                <c:pt idx="296">
                  <c:v>45.399049973954703</c:v>
                </c:pt>
                <c:pt idx="297">
                  <c:v>46.947156278588999</c:v>
                </c:pt>
                <c:pt idx="298">
                  <c:v>48.480962024633598</c:v>
                </c:pt>
                <c:pt idx="299">
                  <c:v>50</c:v>
                </c:pt>
                <c:pt idx="300">
                  <c:v>51.503807491005396</c:v>
                </c:pt>
                <c:pt idx="301">
                  <c:v>52.9919264233205</c:v>
                </c:pt>
                <c:pt idx="302">
                  <c:v>54.463903501502699</c:v>
                </c:pt>
                <c:pt idx="303">
                  <c:v>55.9192903470746</c:v>
                </c:pt>
                <c:pt idx="304">
                  <c:v>57.357643635104601</c:v>
                </c:pt>
                <c:pt idx="305">
                  <c:v>58.7785252292473</c:v>
                </c:pt>
                <c:pt idx="306">
                  <c:v>60.181502315204803</c:v>
                </c:pt>
                <c:pt idx="307">
                  <c:v>61.5661475325659</c:v>
                </c:pt>
                <c:pt idx="308">
                  <c:v>62.932039104983801</c:v>
                </c:pt>
                <c:pt idx="309">
                  <c:v>64.278760968653899</c:v>
                </c:pt>
                <c:pt idx="310">
                  <c:v>65.605902899050704</c:v>
                </c:pt>
                <c:pt idx="311">
                  <c:v>66.913060635885799</c:v>
                </c:pt>
                <c:pt idx="312">
                  <c:v>68.199836006249797</c:v>
                </c:pt>
                <c:pt idx="313">
                  <c:v>69.465837045899704</c:v>
                </c:pt>
                <c:pt idx="314">
                  <c:v>70.710678118654698</c:v>
                </c:pt>
                <c:pt idx="315">
                  <c:v>71.933980033865097</c:v>
                </c:pt>
                <c:pt idx="316">
                  <c:v>73.135370161917095</c:v>
                </c:pt>
                <c:pt idx="317">
                  <c:v>74.314482547739402</c:v>
                </c:pt>
                <c:pt idx="318">
                  <c:v>75.470958022277202</c:v>
                </c:pt>
                <c:pt idx="319">
                  <c:v>76.604444311897794</c:v>
                </c:pt>
                <c:pt idx="320">
                  <c:v>77.714596145697101</c:v>
                </c:pt>
                <c:pt idx="321">
                  <c:v>78.801075360672201</c:v>
                </c:pt>
                <c:pt idx="322">
                  <c:v>79.863551004729302</c:v>
                </c:pt>
                <c:pt idx="323">
                  <c:v>80.901699437494699</c:v>
                </c:pt>
                <c:pt idx="324">
                  <c:v>81.915204428899202</c:v>
                </c:pt>
                <c:pt idx="325">
                  <c:v>82.903757255504104</c:v>
                </c:pt>
                <c:pt idx="326">
                  <c:v>83.867056794542407</c:v>
                </c:pt>
                <c:pt idx="327">
                  <c:v>84.804809615642498</c:v>
                </c:pt>
                <c:pt idx="328">
                  <c:v>85.716730070211199</c:v>
                </c:pt>
                <c:pt idx="329">
                  <c:v>86.602540378443805</c:v>
                </c:pt>
                <c:pt idx="330">
                  <c:v>87.461970713939607</c:v>
                </c:pt>
                <c:pt idx="331">
                  <c:v>88.294759285892695</c:v>
                </c:pt>
                <c:pt idx="332">
                  <c:v>89.100652418836802</c:v>
                </c:pt>
                <c:pt idx="333">
                  <c:v>89.879404629916706</c:v>
                </c:pt>
                <c:pt idx="334">
                  <c:v>90.630778703665001</c:v>
                </c:pt>
                <c:pt idx="335">
                  <c:v>91.354545764260095</c:v>
                </c:pt>
                <c:pt idx="336">
                  <c:v>92.050485345243999</c:v>
                </c:pt>
                <c:pt idx="337">
                  <c:v>92.718385456678703</c:v>
                </c:pt>
                <c:pt idx="338">
                  <c:v>93.358042649720105</c:v>
                </c:pt>
                <c:pt idx="339">
                  <c:v>93.969262078590802</c:v>
                </c:pt>
                <c:pt idx="340">
                  <c:v>94.551857559931605</c:v>
                </c:pt>
                <c:pt idx="341">
                  <c:v>95.105651629515293</c:v>
                </c:pt>
                <c:pt idx="342">
                  <c:v>95.630475596303597</c:v>
                </c:pt>
                <c:pt idx="343">
                  <c:v>96.126169593831904</c:v>
                </c:pt>
                <c:pt idx="344">
                  <c:v>96.592582628906797</c:v>
                </c:pt>
                <c:pt idx="345">
                  <c:v>97.029572627599606</c:v>
                </c:pt>
                <c:pt idx="346">
                  <c:v>97.4370064785235</c:v>
                </c:pt>
                <c:pt idx="347">
                  <c:v>97.814760073380597</c:v>
                </c:pt>
                <c:pt idx="348">
                  <c:v>98.162718344766404</c:v>
                </c:pt>
                <c:pt idx="349">
                  <c:v>98.480775301220802</c:v>
                </c:pt>
                <c:pt idx="350">
                  <c:v>98.768834059513793</c:v>
                </c:pt>
                <c:pt idx="351">
                  <c:v>99.026806874157003</c:v>
                </c:pt>
                <c:pt idx="352">
                  <c:v>99.254615164132204</c:v>
                </c:pt>
                <c:pt idx="353">
                  <c:v>99.452189536827305</c:v>
                </c:pt>
                <c:pt idx="354">
                  <c:v>99.619469809174603</c:v>
                </c:pt>
                <c:pt idx="355">
                  <c:v>99.756405025982403</c:v>
                </c:pt>
                <c:pt idx="356">
                  <c:v>99.862953475457402</c:v>
                </c:pt>
                <c:pt idx="357">
                  <c:v>99.939082701909598</c:v>
                </c:pt>
                <c:pt idx="358">
                  <c:v>99.984769515639101</c:v>
                </c:pt>
                <c:pt idx="359">
                  <c:v>100</c:v>
                </c:pt>
              </c:numCache>
            </c:numRef>
          </c:val>
          <c:smooth val="0"/>
        </c:ser>
        <c:dLbls>
          <c:showLegendKey val="0"/>
          <c:showVal val="0"/>
          <c:showCatName val="0"/>
          <c:showSerName val="0"/>
          <c:showPercent val="0"/>
          <c:showBubbleSize val="0"/>
        </c:dLbls>
        <c:marker val="1"/>
        <c:smooth val="0"/>
        <c:axId val="134870912"/>
        <c:axId val="134872448"/>
      </c:lineChart>
      <c:catAx>
        <c:axId val="134870912"/>
        <c:scaling>
          <c:orientation val="minMax"/>
        </c:scaling>
        <c:delete val="0"/>
        <c:axPos val="b"/>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75"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4872448"/>
        <c:crosses val="autoZero"/>
        <c:auto val="1"/>
        <c:lblAlgn val="ctr"/>
        <c:lblOffset val="100"/>
        <c:noMultiLvlLbl val="0"/>
      </c:catAx>
      <c:valAx>
        <c:axId val="134872448"/>
        <c:scaling>
          <c:orientation val="minMax"/>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75"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4870912"/>
        <c:crosses val="autoZero"/>
        <c:crossBetween val="between"/>
      </c:valAx>
      <c:spPr>
        <a:solidFill>
          <a:srgbClr val="C0C0C0">
            <a:alpha val="100000"/>
          </a:srgbClr>
        </a:solidFill>
        <a:ln w="12700">
          <a:solidFill>
            <a:srgbClr val="808080">
              <a:alpha val="100000"/>
            </a:srgbClr>
          </a:solidFill>
          <a:prstDash val="solid"/>
        </a:ln>
      </c:spPr>
    </c:plotArea>
    <c:legend>
      <c:legendPos val="r"/>
      <c:layout>
        <c:manualLayout>
          <c:xMode val="edge"/>
          <c:yMode val="edge"/>
          <c:x val="0.90750007674479305"/>
          <c:y val="0.40650011711922701"/>
          <c:w val="8.6499999999999994E-2"/>
          <c:h val="0.184"/>
        </c:manualLayout>
      </c:layout>
      <c:overlay val="0"/>
      <c:spPr>
        <a:solidFill>
          <a:srgbClr val="FFFFFF"/>
        </a:solidFill>
        <a:ln>
          <a:solidFill>
            <a:srgbClr val="000000"/>
          </a:solidFill>
        </a:ln>
      </c:spPr>
      <c:txPr>
        <a:bodyPr rot="0" spcFirstLastPara="0" vertOverflow="ellipsis" vert="horz" wrap="square" anchor="ctr" anchorCtr="1"/>
        <a:lstStyle/>
        <a:p>
          <a:pPr>
            <a:defRPr lang="zh-CN" sz="98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TW"/>
        </a:p>
      </c:txPr>
    </c:legend>
    <c:plotVisOnly val="1"/>
    <c:dispBlanksAs val="gap"/>
    <c:showDLblsOverMax val="0"/>
  </c:chart>
  <c:spPr>
    <a:solidFill>
      <a:srgbClr val="FFFFFF"/>
    </a:solidFill>
    <a:ln w="3175" cap="flat" cmpd="sng" algn="ctr">
      <a:solidFill>
        <a:srgbClr val="000000">
          <a:alpha val="100000"/>
        </a:srgbClr>
      </a:solidFill>
      <a:prstDash val="solid"/>
      <a:round/>
    </a:ln>
    <a:effectLst>
      <a:outerShdw dist="35921" dir="2700000" algn="br" rotWithShape="0">
        <a:srgbClr val="000000"/>
      </a:outerShdw>
    </a:effectLst>
  </c:spPr>
  <c:txPr>
    <a:bodyPr rot="0" wrap="square" anchor="ctr" anchorCtr="1"/>
    <a:lstStyle/>
    <a:p>
      <a:pPr>
        <a:defRPr lang="zh-CN" sz="1075"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rgbClr val="808080">
                    <a:alpha val="100000"/>
                  </a:srgbClr>
                </a:solidFill>
                <a:latin typeface="宋体" panose="02010600030101010101" pitchFamily="7" charset="-122"/>
                <a:ea typeface="宋体" panose="02010600030101010101" pitchFamily="7" charset="-122"/>
                <a:cs typeface="宋体" panose="02010600030101010101" pitchFamily="7" charset="-122"/>
              </a:defRPr>
            </a:pPr>
            <a:r>
              <a:rPr lang="zh-TW" altLang="en-US"/>
              <a:t>凸轮轮廓曲线</a:t>
            </a:r>
            <a:endParaRPr lang="zh-TW" altLang="en-US" sz="1800" b="1" i="0" u="none" strike="noStrike" baseline="0">
              <a:solidFill>
                <a:srgbClr val="808080">
                  <a:alpha val="100000"/>
                </a:srgbClr>
              </a:solidFill>
              <a:latin typeface="宋体" panose="02010600030101010101" pitchFamily="7" charset="-122"/>
              <a:ea typeface="宋体" panose="02010600030101010101" pitchFamily="7" charset="-122"/>
              <a:cs typeface="宋体" panose="02010600030101010101" pitchFamily="7" charset="-122"/>
            </a:endParaRPr>
          </a:p>
        </c:rich>
      </c:tx>
      <c:overlay val="0"/>
    </c:title>
    <c:autoTitleDeleted val="0"/>
    <c:plotArea>
      <c:layout/>
      <c:scatterChart>
        <c:scatterStyle val="lineMarker"/>
        <c:varyColors val="0"/>
        <c:ser>
          <c:idx val="0"/>
          <c:order val="0"/>
          <c:spPr>
            <a:ln w="28575" cap="rnd" cmpd="sng" algn="ctr">
              <a:noFill/>
              <a:prstDash val="solid"/>
              <a:round/>
            </a:ln>
          </c:spPr>
          <c:marker>
            <c:symbol val="diamond"/>
            <c:size val="7"/>
          </c:marker>
          <c:xVal>
            <c:numRef>
              <c:f>凸轮的轮廓曲线设计!$G$3:$G$363</c:f>
              <c:numCache>
                <c:formatCode>General</c:formatCode>
                <c:ptCount val="361"/>
                <c:pt idx="0">
                  <c:v>0</c:v>
                </c:pt>
                <c:pt idx="1">
                  <c:v>0.82286002063019303</c:v>
                </c:pt>
                <c:pt idx="2">
                  <c:v>1.6496154503351299</c:v>
                </c:pt>
                <c:pt idx="3">
                  <c:v>2.4800125569106299</c:v>
                </c:pt>
                <c:pt idx="4">
                  <c:v>3.3137952365094199</c:v>
                </c:pt>
                <c:pt idx="5">
                  <c:v>4.1507050926144702</c:v>
                </c:pt>
                <c:pt idx="6">
                  <c:v>4.9904815160949303</c:v>
                </c:pt>
                <c:pt idx="7">
                  <c:v>5.8328617663198097</c:v>
                </c:pt>
                <c:pt idx="8">
                  <c:v>6.6775810533043201</c:v>
                </c:pt>
                <c:pt idx="9">
                  <c:v>7.5243726208630699</c:v>
                </c:pt>
                <c:pt idx="10">
                  <c:v>8.3729678307440505</c:v>
                </c:pt>
                <c:pt idx="11">
                  <c:v>9.2230962477169705</c:v>
                </c:pt>
                <c:pt idx="12">
                  <c:v>10.074485725589</c:v>
                </c:pt>
                <c:pt idx="13">
                  <c:v>10.9268624941206</c:v>
                </c:pt>
                <c:pt idx="14">
                  <c:v>11.779951246813701</c:v>
                </c:pt>
                <c:pt idx="15">
                  <c:v>12.633475229544199</c:v>
                </c:pt>
                <c:pt idx="16">
                  <c:v>13.4871563300104</c:v>
                </c:pt>
                <c:pt idx="17">
                  <c:v>14.3407151679683</c:v>
                </c:pt>
                <c:pt idx="18">
                  <c:v>15.1938711862252</c:v>
                </c:pt>
                <c:pt idx="19">
                  <c:v>16.0463427423608</c:v>
                </c:pt>
                <c:pt idx="20">
                  <c:v>16.897847201148</c:v>
                </c:pt>
                <c:pt idx="21">
                  <c:v>17.748101027641098</c:v>
                </c:pt>
                <c:pt idx="22">
                  <c:v>18.596819880902199</c:v>
                </c:pt>
                <c:pt idx="23">
                  <c:v>19.4437187083346</c:v>
                </c:pt>
                <c:pt idx="24">
                  <c:v>20.288511840592601</c:v>
                </c:pt>
                <c:pt idx="25">
                  <c:v>21.143591634887201</c:v>
                </c:pt>
                <c:pt idx="26">
                  <c:v>21.931708473857501</c:v>
                </c:pt>
                <c:pt idx="27">
                  <c:v>22.713144701969501</c:v>
                </c:pt>
                <c:pt idx="28">
                  <c:v>23.4876622861781</c:v>
                </c:pt>
                <c:pt idx="29">
                  <c:v>24.255025300924199</c:v>
                </c:pt>
                <c:pt idx="30">
                  <c:v>25.015000000000001</c:v>
                </c:pt>
                <c:pt idx="31">
                  <c:v>25.767354887749999</c:v>
                </c:pt>
                <c:pt idx="32">
                  <c:v>26.5118607895872</c:v>
                </c:pt>
                <c:pt idx="33">
                  <c:v>27.2482909218018</c:v>
                </c:pt>
                <c:pt idx="34">
                  <c:v>27.976420960641502</c:v>
                </c:pt>
                <c:pt idx="35">
                  <c:v>28.696029110642801</c:v>
                </c:pt>
                <c:pt idx="36">
                  <c:v>29.4068961721924</c:v>
                </c:pt>
                <c:pt idx="37">
                  <c:v>30.108805608297001</c:v>
                </c:pt>
                <c:pt idx="38">
                  <c:v>30.801543610542701</c:v>
                </c:pt>
                <c:pt idx="39">
                  <c:v>31.4848991642234</c:v>
                </c:pt>
                <c:pt idx="40">
                  <c:v>32.1586641126176</c:v>
                </c:pt>
                <c:pt idx="41">
                  <c:v>32.822633220395097</c:v>
                </c:pt>
                <c:pt idx="42">
                  <c:v>33.476604236133703</c:v>
                </c:pt>
                <c:pt idx="43">
                  <c:v>34.120377953926798</c:v>
                </c:pt>
                <c:pt idx="44">
                  <c:v>34.7537582740636</c:v>
                </c:pt>
                <c:pt idx="45">
                  <c:v>35.376552262762999</c:v>
                </c:pt>
                <c:pt idx="46">
                  <c:v>35.988570210942697</c:v>
                </c:pt>
                <c:pt idx="47">
                  <c:v>36.589625692007097</c:v>
                </c:pt>
                <c:pt idx="48">
                  <c:v>37.179535618633999</c:v>
                </c:pt>
                <c:pt idx="49">
                  <c:v>37.7581202985453</c:v>
                </c:pt>
                <c:pt idx="50">
                  <c:v>38.325203489242497</c:v>
                </c:pt>
                <c:pt idx="51">
                  <c:v>38.880612451692301</c:v>
                </c:pt>
                <c:pt idx="52">
                  <c:v>39.424178002944302</c:v>
                </c:pt>
                <c:pt idx="53">
                  <c:v>39.955734567666099</c:v>
                </c:pt>
                <c:pt idx="54">
                  <c:v>40.475120228578596</c:v>
                </c:pt>
                <c:pt idx="55">
                  <c:v>40.982176775778299</c:v>
                </c:pt>
                <c:pt idx="56">
                  <c:v>41.476749754928697</c:v>
                </c:pt>
                <c:pt idx="57">
                  <c:v>41.9586885143096</c:v>
                </c:pt>
                <c:pt idx="58">
                  <c:v>42.427846250705997</c:v>
                </c:pt>
                <c:pt idx="59">
                  <c:v>42.884080054126699</c:v>
                </c:pt>
                <c:pt idx="60">
                  <c:v>43.3272509513355</c:v>
                </c:pt>
                <c:pt idx="61">
                  <c:v>43.757223948183999</c:v>
                </c:pt>
                <c:pt idx="62">
                  <c:v>44.173868070732098</c:v>
                </c:pt>
                <c:pt idx="63">
                  <c:v>44.577056405143999</c:v>
                </c:pt>
                <c:pt idx="64">
                  <c:v>44.9666661363473</c:v>
                </c:pt>
                <c:pt idx="65">
                  <c:v>45.342578585443597</c:v>
                </c:pt>
                <c:pt idx="66">
                  <c:v>45.704679245859303</c:v>
                </c:pt>
                <c:pt idx="67">
                  <c:v>46.052857818225597</c:v>
                </c:pt>
                <c:pt idx="68">
                  <c:v>46.387008243976403</c:v>
                </c:pt>
                <c:pt idx="69">
                  <c:v>46.707028737655001</c:v>
                </c:pt>
                <c:pt idx="70">
                  <c:v>47.012821817918997</c:v>
                </c:pt>
                <c:pt idx="71">
                  <c:v>47.304294337233799</c:v>
                </c:pt>
                <c:pt idx="72">
                  <c:v>47.581357510246498</c:v>
                </c:pt>
                <c:pt idx="73">
                  <c:v>47.843926940830698</c:v>
                </c:pt>
                <c:pt idx="74">
                  <c:v>48.0919226477941</c:v>
                </c:pt>
                <c:pt idx="75">
                  <c:v>48.325269089242099</c:v>
                </c:pt>
                <c:pt idx="76">
                  <c:v>48.543895185588099</c:v>
                </c:pt>
                <c:pt idx="77">
                  <c:v>48.747734341205302</c:v>
                </c:pt>
                <c:pt idx="78">
                  <c:v>48.936724464712299</c:v>
                </c:pt>
                <c:pt idx="79">
                  <c:v>49.110807987886602</c:v>
                </c:pt>
                <c:pt idx="80">
                  <c:v>49.269931883200798</c:v>
                </c:pt>
                <c:pt idx="81">
                  <c:v>49.414047679974701</c:v>
                </c:pt>
                <c:pt idx="82">
                  <c:v>49.543111479140798</c:v>
                </c:pt>
                <c:pt idx="83">
                  <c:v>49.657083966615303</c:v>
                </c:pt>
                <c:pt idx="84">
                  <c:v>49.755930425274698</c:v>
                </c:pt>
                <c:pt idx="85">
                  <c:v>49.839620745529999</c:v>
                </c:pt>
                <c:pt idx="86">
                  <c:v>49.908129434499003</c:v>
                </c:pt>
                <c:pt idx="87">
                  <c:v>49.961435623771301</c:v>
                </c:pt>
                <c:pt idx="88">
                  <c:v>49.999523075765403</c:v>
                </c:pt>
                <c:pt idx="89">
                  <c:v>50.022380188674298</c:v>
                </c:pt>
                <c:pt idx="90">
                  <c:v>50.03</c:v>
                </c:pt>
                <c:pt idx="91">
                  <c:v>50.022380188674298</c:v>
                </c:pt>
                <c:pt idx="92">
                  <c:v>49.999523075765403</c:v>
                </c:pt>
                <c:pt idx="93">
                  <c:v>49.961435623771301</c:v>
                </c:pt>
                <c:pt idx="94">
                  <c:v>49.908129434499003</c:v>
                </c:pt>
                <c:pt idx="95">
                  <c:v>49.839620745529999</c:v>
                </c:pt>
                <c:pt idx="96">
                  <c:v>49.755930425274698</c:v>
                </c:pt>
                <c:pt idx="97">
                  <c:v>49.657083966615303</c:v>
                </c:pt>
                <c:pt idx="98">
                  <c:v>49.543111479140798</c:v>
                </c:pt>
                <c:pt idx="99">
                  <c:v>49.414047679974701</c:v>
                </c:pt>
                <c:pt idx="100">
                  <c:v>49.269931883200798</c:v>
                </c:pt>
                <c:pt idx="101">
                  <c:v>49.110807987886602</c:v>
                </c:pt>
                <c:pt idx="102">
                  <c:v>48.936724464712299</c:v>
                </c:pt>
                <c:pt idx="103">
                  <c:v>48.625152300796898</c:v>
                </c:pt>
                <c:pt idx="104">
                  <c:v>48.3288651327005</c:v>
                </c:pt>
                <c:pt idx="105">
                  <c:v>48.018665536639404</c:v>
                </c:pt>
                <c:pt idx="106">
                  <c:v>47.694704508278903</c:v>
                </c:pt>
                <c:pt idx="107">
                  <c:v>47.357136971505</c:v>
                </c:pt>
                <c:pt idx="108">
                  <c:v>47.006121714100303</c:v>
                </c:pt>
                <c:pt idx="109">
                  <c:v>46.641821322330003</c:v>
                </c:pt>
                <c:pt idx="110">
                  <c:v>46.2644021144608</c:v>
                </c:pt>
                <c:pt idx="111">
                  <c:v>45.874034073238498</c:v>
                </c:pt>
                <c:pt idx="112">
                  <c:v>45.470890777351201</c:v>
                </c:pt>
                <c:pt idx="113">
                  <c:v>45.055149331903003</c:v>
                </c:pt>
                <c:pt idx="114">
                  <c:v>44.626990297924202</c:v>
                </c:pt>
                <c:pt idx="115">
                  <c:v>44.186597620945903</c:v>
                </c:pt>
                <c:pt idx="116">
                  <c:v>43.734158558664198</c:v>
                </c:pt>
                <c:pt idx="117">
                  <c:v>43.269863607721902</c:v>
                </c:pt>
                <c:pt idx="118">
                  <c:v>42.793906429634902</c:v>
                </c:pt>
                <c:pt idx="119">
                  <c:v>42.3064837758902</c:v>
                </c:pt>
                <c:pt idx="120">
                  <c:v>41.807795412243998</c:v>
                </c:pt>
                <c:pt idx="121">
                  <c:v>41.2980440422469</c:v>
                </c:pt>
                <c:pt idx="122">
                  <c:v>40.7774352300248</c:v>
                </c:pt>
                <c:pt idx="123">
                  <c:v>40.246177322343598</c:v>
                </c:pt>
                <c:pt idx="124">
                  <c:v>39.704481369986098</c:v>
                </c:pt>
                <c:pt idx="125">
                  <c:v>39.1525610484696</c:v>
                </c:pt>
                <c:pt idx="126">
                  <c:v>38.590632578132997</c:v>
                </c:pt>
                <c:pt idx="127">
                  <c:v>38.018914643622303</c:v>
                </c:pt>
                <c:pt idx="128">
                  <c:v>37.437628312803497</c:v>
                </c:pt>
                <c:pt idx="129">
                  <c:v>36.846996955131303</c:v>
                </c:pt>
                <c:pt idx="130">
                  <c:v>36.247246159504598</c:v>
                </c:pt>
                <c:pt idx="131">
                  <c:v>35.638603651635798</c:v>
                </c:pt>
                <c:pt idx="132">
                  <c:v>35.021299210965303</c:v>
                </c:pt>
                <c:pt idx="133">
                  <c:v>34.3955645871496</c:v>
                </c:pt>
                <c:pt idx="134">
                  <c:v>33.830550809926798</c:v>
                </c:pt>
                <c:pt idx="135">
                  <c:v>33.255231919203297</c:v>
                </c:pt>
                <c:pt idx="136">
                  <c:v>32.669783162686599</c:v>
                </c:pt>
                <c:pt idx="137">
                  <c:v>32.074382873739303</c:v>
                </c:pt>
                <c:pt idx="138">
                  <c:v>31.469212417057101</c:v>
                </c:pt>
                <c:pt idx="139">
                  <c:v>30.8544561334236</c:v>
                </c:pt>
                <c:pt idx="140">
                  <c:v>30.230301283557999</c:v>
                </c:pt>
                <c:pt idx="141">
                  <c:v>29.596937991073901</c:v>
                </c:pt>
                <c:pt idx="142">
                  <c:v>28.954559184565699</c:v>
                </c:pt>
                <c:pt idx="143">
                  <c:v>28.303360538840799</c:v>
                </c:pt>
                <c:pt idx="144">
                  <c:v>27.643540415315002</c:v>
                </c:pt>
                <c:pt idx="145">
                  <c:v>26.975299801589699</c:v>
                </c:pt>
                <c:pt idx="146">
                  <c:v>26.2988422502292</c:v>
                </c:pt>
                <c:pt idx="147">
                  <c:v>25.6143738167567</c:v>
                </c:pt>
                <c:pt idx="148">
                  <c:v>24.922102996887599</c:v>
                </c:pt>
                <c:pt idx="149">
                  <c:v>24.2222406630199</c:v>
                </c:pt>
                <c:pt idx="150">
                  <c:v>23.515000000000001</c:v>
                </c:pt>
                <c:pt idx="151">
                  <c:v>22.800596440185199</c:v>
                </c:pt>
                <c:pt idx="152">
                  <c:v>22.079247597820501</c:v>
                </c:pt>
                <c:pt idx="153">
                  <c:v>21.3511732027509</c:v>
                </c:pt>
                <c:pt idx="154">
                  <c:v>20.616595033490299</c:v>
                </c:pt>
                <c:pt idx="155">
                  <c:v>19.875736849665099</c:v>
                </c:pt>
                <c:pt idx="156">
                  <c:v>19.1288243238549</c:v>
                </c:pt>
                <c:pt idx="157">
                  <c:v>18.376084972850599</c:v>
                </c:pt>
                <c:pt idx="158">
                  <c:v>17.6177480883504</c:v>
                </c:pt>
                <c:pt idx="159">
                  <c:v>16.854044667115499</c:v>
                </c:pt>
                <c:pt idx="160">
                  <c:v>16.0852073406062</c:v>
                </c:pt>
                <c:pt idx="161">
                  <c:v>15.3114703041201</c:v>
                </c:pt>
                <c:pt idx="162">
                  <c:v>14.533069245453801</c:v>
                </c:pt>
                <c:pt idx="163">
                  <c:v>13.7502412731103</c:v>
                </c:pt>
                <c:pt idx="164">
                  <c:v>12.963224844073499</c:v>
                </c:pt>
                <c:pt idx="165">
                  <c:v>12.1722596911716</c:v>
                </c:pt>
                <c:pt idx="166">
                  <c:v>11.3775867500524</c:v>
                </c:pt>
                <c:pt idx="167">
                  <c:v>10.579448085792</c:v>
                </c:pt>
                <c:pt idx="168">
                  <c:v>9.7780868191592205</c:v>
                </c:pt>
                <c:pt idx="169">
                  <c:v>8.9737470525589096</c:v>
                </c:pt>
                <c:pt idx="170">
                  <c:v>8.1666737956757292</c:v>
                </c:pt>
                <c:pt idx="171">
                  <c:v>7.3571128908420604</c:v>
                </c:pt>
                <c:pt idx="172">
                  <c:v>6.5453109381518901</c:v>
                </c:pt>
                <c:pt idx="173">
                  <c:v>5.7315152203440896</c:v>
                </c:pt>
                <c:pt idx="174">
                  <c:v>4.9159736274777597</c:v>
                </c:pt>
                <c:pt idx="175">
                  <c:v>4.0989345814223901</c:v>
                </c:pt>
                <c:pt idx="176">
                  <c:v>3.2806469601862198</c:v>
                </c:pt>
                <c:pt idx="177">
                  <c:v>2.4613600221056502</c:v>
                </c:pt>
                <c:pt idx="178">
                  <c:v>1.6413233299186101</c:v>
                </c:pt>
                <c:pt idx="179">
                  <c:v>0.82078667474543998</c:v>
                </c:pt>
                <c:pt idx="180">
                  <c:v>5.7595138963900002E-15</c:v>
                </c:pt>
                <c:pt idx="181">
                  <c:v>-0.82078667474542899</c:v>
                </c:pt>
                <c:pt idx="182">
                  <c:v>-1.6413233299186201</c:v>
                </c:pt>
                <c:pt idx="183">
                  <c:v>-2.46136002210564</c:v>
                </c:pt>
                <c:pt idx="184">
                  <c:v>-3.2806469601861901</c:v>
                </c:pt>
                <c:pt idx="185">
                  <c:v>-4.0989345814223501</c:v>
                </c:pt>
                <c:pt idx="186">
                  <c:v>-4.9159736274777197</c:v>
                </c:pt>
                <c:pt idx="187">
                  <c:v>-5.7315152203441002</c:v>
                </c:pt>
                <c:pt idx="188">
                  <c:v>-6.5453109381518804</c:v>
                </c:pt>
                <c:pt idx="189">
                  <c:v>-7.3571128908420498</c:v>
                </c:pt>
                <c:pt idx="190">
                  <c:v>-8.1666737956757398</c:v>
                </c:pt>
                <c:pt idx="191">
                  <c:v>-8.9737470525589007</c:v>
                </c:pt>
                <c:pt idx="192">
                  <c:v>-9.7780868191592099</c:v>
                </c:pt>
                <c:pt idx="193">
                  <c:v>-10.579448085792</c:v>
                </c:pt>
                <c:pt idx="194">
                  <c:v>-11.3775867500524</c:v>
                </c:pt>
                <c:pt idx="195">
                  <c:v>-12.172259691171501</c:v>
                </c:pt>
                <c:pt idx="196">
                  <c:v>-12.963224844073499</c:v>
                </c:pt>
                <c:pt idx="197">
                  <c:v>-13.7502412731103</c:v>
                </c:pt>
                <c:pt idx="198">
                  <c:v>-14.533069245453801</c:v>
                </c:pt>
                <c:pt idx="199">
                  <c:v>-15.3114703041201</c:v>
                </c:pt>
                <c:pt idx="200">
                  <c:v>-16.0852073406062</c:v>
                </c:pt>
                <c:pt idx="201">
                  <c:v>-16.854044667115499</c:v>
                </c:pt>
                <c:pt idx="202">
                  <c:v>-17.6177480883503</c:v>
                </c:pt>
                <c:pt idx="203">
                  <c:v>-18.376084972850499</c:v>
                </c:pt>
                <c:pt idx="204">
                  <c:v>-19.1288243238549</c:v>
                </c:pt>
                <c:pt idx="205">
                  <c:v>-19.875736849665099</c:v>
                </c:pt>
                <c:pt idx="206">
                  <c:v>-20.616595033490299</c:v>
                </c:pt>
                <c:pt idx="207">
                  <c:v>-21.3511732027509</c:v>
                </c:pt>
                <c:pt idx="208">
                  <c:v>-22.079247597820402</c:v>
                </c:pt>
                <c:pt idx="209">
                  <c:v>-22.800596440185199</c:v>
                </c:pt>
                <c:pt idx="210">
                  <c:v>-23.515000000000001</c:v>
                </c:pt>
                <c:pt idx="211">
                  <c:v>-24.2222406630198</c:v>
                </c:pt>
                <c:pt idx="212">
                  <c:v>-24.922102996887599</c:v>
                </c:pt>
                <c:pt idx="213">
                  <c:v>-25.6143738167567</c:v>
                </c:pt>
                <c:pt idx="214">
                  <c:v>-26.2988422502292</c:v>
                </c:pt>
                <c:pt idx="215">
                  <c:v>-26.975299801589699</c:v>
                </c:pt>
                <c:pt idx="216">
                  <c:v>-27.643540415315002</c:v>
                </c:pt>
                <c:pt idx="217">
                  <c:v>-28.303360538840799</c:v>
                </c:pt>
                <c:pt idx="218">
                  <c:v>-28.954559184565699</c:v>
                </c:pt>
                <c:pt idx="219">
                  <c:v>-29.596937991073901</c:v>
                </c:pt>
                <c:pt idx="220">
                  <c:v>-30.2303012835579</c:v>
                </c:pt>
                <c:pt idx="221">
                  <c:v>-30.8544561334236</c:v>
                </c:pt>
                <c:pt idx="222">
                  <c:v>-31.469212417057101</c:v>
                </c:pt>
                <c:pt idx="223">
                  <c:v>-32.074382873739303</c:v>
                </c:pt>
                <c:pt idx="224">
                  <c:v>-32.669783162686599</c:v>
                </c:pt>
                <c:pt idx="225">
                  <c:v>-33.255231919203297</c:v>
                </c:pt>
                <c:pt idx="226">
                  <c:v>-33.830550809926699</c:v>
                </c:pt>
                <c:pt idx="227">
                  <c:v>-34.3955645871496</c:v>
                </c:pt>
                <c:pt idx="228">
                  <c:v>-34.950101142201802</c:v>
                </c:pt>
                <c:pt idx="229">
                  <c:v>-35.493991557877003</c:v>
                </c:pt>
                <c:pt idx="230">
                  <c:v>-36.027070159885497</c:v>
                </c:pt>
                <c:pt idx="231">
                  <c:v>-36.549174567321401</c:v>
                </c:pt>
                <c:pt idx="232">
                  <c:v>-37.060145742124099</c:v>
                </c:pt>
                <c:pt idx="233">
                  <c:v>-37.559828037524198</c:v>
                </c:pt>
                <c:pt idx="234">
                  <c:v>-38.048069245453803</c:v>
                </c:pt>
                <c:pt idx="235">
                  <c:v>-38.524720642911298</c:v>
                </c:pt>
                <c:pt idx="236">
                  <c:v>-38.989637037263599</c:v>
                </c:pt>
                <c:pt idx="237">
                  <c:v>-39.442676810473301</c:v>
                </c:pt>
                <c:pt idx="238">
                  <c:v>-39.8837019622367</c:v>
                </c:pt>
                <c:pt idx="239">
                  <c:v>-40.312578152020301</c:v>
                </c:pt>
                <c:pt idx="240">
                  <c:v>-40.729174739982099</c:v>
                </c:pt>
                <c:pt idx="241">
                  <c:v>-41.133364826765799</c:v>
                </c:pt>
                <c:pt idx="242">
                  <c:v>-41.525025292155298</c:v>
                </c:pt>
                <c:pt idx="243">
                  <c:v>-41.904036832578903</c:v>
                </c:pt>
                <c:pt idx="244">
                  <c:v>-42.270283997449802</c:v>
                </c:pt>
                <c:pt idx="245">
                  <c:v>-42.623655224333604</c:v>
                </c:pt>
                <c:pt idx="246">
                  <c:v>-42.9640428729315</c:v>
                </c:pt>
                <c:pt idx="247">
                  <c:v>-43.291343257868299</c:v>
                </c:pt>
                <c:pt idx="248">
                  <c:v>-43.605456680275999</c:v>
                </c:pt>
                <c:pt idx="249">
                  <c:v>-43.906287458163398</c:v>
                </c:pt>
                <c:pt idx="250">
                  <c:v>-44.193743955561303</c:v>
                </c:pt>
                <c:pt idx="251">
                  <c:v>-44.467738610435902</c:v>
                </c:pt>
                <c:pt idx="252">
                  <c:v>-44.728187961361101</c:v>
                </c:pt>
                <c:pt idx="253">
                  <c:v>-44.975012672941602</c:v>
                </c:pt>
                <c:pt idx="254">
                  <c:v>-45.2081375599791</c:v>
                </c:pt>
                <c:pt idx="255">
                  <c:v>-45.427491610374901</c:v>
                </c:pt>
                <c:pt idx="256">
                  <c:v>-45.6330080067601</c:v>
                </c:pt>
                <c:pt idx="257">
                  <c:v>-45.824624146849601</c:v>
                </c:pt>
                <c:pt idx="258">
                  <c:v>-46.002281662510903</c:v>
                </c:pt>
                <c:pt idx="259">
                  <c:v>-46.165926437543597</c:v>
                </c:pt>
                <c:pt idx="260">
                  <c:v>-46.315508624164103</c:v>
                </c:pt>
                <c:pt idx="261">
                  <c:v>-46.450982658189297</c:v>
                </c:pt>
                <c:pt idx="262">
                  <c:v>-46.572307272916099</c:v>
                </c:pt>
                <c:pt idx="263">
                  <c:v>-46.679445511691398</c:v>
                </c:pt>
                <c:pt idx="264">
                  <c:v>-46.772364739169902</c:v>
                </c:pt>
                <c:pt idx="265">
                  <c:v>-46.851036651254802</c:v>
                </c:pt>
                <c:pt idx="266">
                  <c:v>-46.915437283719498</c:v>
                </c:pt>
                <c:pt idx="267">
                  <c:v>-46.965547019507603</c:v>
                </c:pt>
                <c:pt idx="268">
                  <c:v>-47.0013505947081</c:v>
                </c:pt>
                <c:pt idx="269">
                  <c:v>-47.022837103205099</c:v>
                </c:pt>
                <c:pt idx="270">
                  <c:v>-47.03</c:v>
                </c:pt>
                <c:pt idx="271">
                  <c:v>-47.022837103205099</c:v>
                </c:pt>
                <c:pt idx="272">
                  <c:v>-47.0013505947081</c:v>
                </c:pt>
                <c:pt idx="273">
                  <c:v>-46.965547019507603</c:v>
                </c:pt>
                <c:pt idx="274">
                  <c:v>-46.915437283719498</c:v>
                </c:pt>
                <c:pt idx="275">
                  <c:v>-46.851036651254802</c:v>
                </c:pt>
                <c:pt idx="276">
                  <c:v>-46.772364739169902</c:v>
                </c:pt>
                <c:pt idx="277">
                  <c:v>-46.679445511691398</c:v>
                </c:pt>
                <c:pt idx="278">
                  <c:v>-46.572307272916099</c:v>
                </c:pt>
                <c:pt idx="279">
                  <c:v>-46.450982658189297</c:v>
                </c:pt>
                <c:pt idx="280">
                  <c:v>-46.315508624164202</c:v>
                </c:pt>
                <c:pt idx="281">
                  <c:v>-46.165926437543597</c:v>
                </c:pt>
                <c:pt idx="282">
                  <c:v>-46.002281662510903</c:v>
                </c:pt>
                <c:pt idx="283">
                  <c:v>-45.824624146849601</c:v>
                </c:pt>
                <c:pt idx="284">
                  <c:v>-45.6330080067601</c:v>
                </c:pt>
                <c:pt idx="285">
                  <c:v>-45.427491610374901</c:v>
                </c:pt>
                <c:pt idx="286">
                  <c:v>-45.2081375599791</c:v>
                </c:pt>
                <c:pt idx="287">
                  <c:v>-44.975012672941602</c:v>
                </c:pt>
                <c:pt idx="288">
                  <c:v>-44.728187961361101</c:v>
                </c:pt>
                <c:pt idx="289">
                  <c:v>-44.467738610435902</c:v>
                </c:pt>
                <c:pt idx="290">
                  <c:v>-44.193743955561303</c:v>
                </c:pt>
                <c:pt idx="291">
                  <c:v>-43.906287458163398</c:v>
                </c:pt>
                <c:pt idx="292">
                  <c:v>-43.605456680275999</c:v>
                </c:pt>
                <c:pt idx="293">
                  <c:v>-43.291343257868299</c:v>
                </c:pt>
                <c:pt idx="294">
                  <c:v>-42.9640428729315</c:v>
                </c:pt>
                <c:pt idx="295">
                  <c:v>-42.623655224333604</c:v>
                </c:pt>
                <c:pt idx="296">
                  <c:v>-42.270283997449802</c:v>
                </c:pt>
                <c:pt idx="297">
                  <c:v>-41.904036832578903</c:v>
                </c:pt>
                <c:pt idx="298">
                  <c:v>-41.525025292155298</c:v>
                </c:pt>
                <c:pt idx="299">
                  <c:v>-41.133364826765799</c:v>
                </c:pt>
                <c:pt idx="300">
                  <c:v>-40.729174739982099</c:v>
                </c:pt>
                <c:pt idx="301">
                  <c:v>-40.312578152020301</c:v>
                </c:pt>
                <c:pt idx="302">
                  <c:v>-39.8837019622367</c:v>
                </c:pt>
                <c:pt idx="303">
                  <c:v>-39.442676810473301</c:v>
                </c:pt>
                <c:pt idx="304">
                  <c:v>-38.989637037263599</c:v>
                </c:pt>
                <c:pt idx="305">
                  <c:v>-38.524720642911298</c:v>
                </c:pt>
                <c:pt idx="306">
                  <c:v>-38.048069245453803</c:v>
                </c:pt>
                <c:pt idx="307">
                  <c:v>-37.559828037524198</c:v>
                </c:pt>
                <c:pt idx="308">
                  <c:v>-37.060145742124099</c:v>
                </c:pt>
                <c:pt idx="309">
                  <c:v>-36.549174567321302</c:v>
                </c:pt>
                <c:pt idx="310">
                  <c:v>-36.027070159885497</c:v>
                </c:pt>
                <c:pt idx="311">
                  <c:v>-35.493991557877003</c:v>
                </c:pt>
                <c:pt idx="312">
                  <c:v>-34.950101142201902</c:v>
                </c:pt>
                <c:pt idx="313">
                  <c:v>-34.3955645871496</c:v>
                </c:pt>
                <c:pt idx="314">
                  <c:v>-33.830550809926798</c:v>
                </c:pt>
                <c:pt idx="315">
                  <c:v>-33.255231919203297</c:v>
                </c:pt>
                <c:pt idx="316">
                  <c:v>-32.669783162686699</c:v>
                </c:pt>
                <c:pt idx="317">
                  <c:v>-32.074382873739303</c:v>
                </c:pt>
                <c:pt idx="318">
                  <c:v>-31.469212417057101</c:v>
                </c:pt>
                <c:pt idx="319">
                  <c:v>-30.8544561334236</c:v>
                </c:pt>
                <c:pt idx="320">
                  <c:v>-30.230301283557999</c:v>
                </c:pt>
                <c:pt idx="321">
                  <c:v>-29.596937991073901</c:v>
                </c:pt>
                <c:pt idx="322">
                  <c:v>-28.954559184565699</c:v>
                </c:pt>
                <c:pt idx="323">
                  <c:v>-28.303360538840799</c:v>
                </c:pt>
                <c:pt idx="324">
                  <c:v>-27.643540415315002</c:v>
                </c:pt>
                <c:pt idx="325">
                  <c:v>-26.975299801589699</c:v>
                </c:pt>
                <c:pt idx="326">
                  <c:v>-26.2988422502292</c:v>
                </c:pt>
                <c:pt idx="327">
                  <c:v>-25.6143738167567</c:v>
                </c:pt>
                <c:pt idx="328">
                  <c:v>-24.922102996887698</c:v>
                </c:pt>
                <c:pt idx="329">
                  <c:v>-24.2222406630199</c:v>
                </c:pt>
                <c:pt idx="330">
                  <c:v>-23.515000000000001</c:v>
                </c:pt>
                <c:pt idx="331">
                  <c:v>-22.800596440185199</c:v>
                </c:pt>
                <c:pt idx="332">
                  <c:v>-22.079247597820402</c:v>
                </c:pt>
                <c:pt idx="333">
                  <c:v>-21.3511732027509</c:v>
                </c:pt>
                <c:pt idx="334">
                  <c:v>-20.616595033490299</c:v>
                </c:pt>
                <c:pt idx="335">
                  <c:v>-19.875736849665099</c:v>
                </c:pt>
                <c:pt idx="336">
                  <c:v>-19.1288243238549</c:v>
                </c:pt>
                <c:pt idx="337">
                  <c:v>-18.376084972850599</c:v>
                </c:pt>
                <c:pt idx="338">
                  <c:v>-17.6177480883504</c:v>
                </c:pt>
                <c:pt idx="339">
                  <c:v>-16.854044667115499</c:v>
                </c:pt>
                <c:pt idx="340">
                  <c:v>-16.0852073406062</c:v>
                </c:pt>
                <c:pt idx="341">
                  <c:v>-15.3114703041201</c:v>
                </c:pt>
                <c:pt idx="342">
                  <c:v>-14.533069245453801</c:v>
                </c:pt>
                <c:pt idx="343">
                  <c:v>-13.7502412731103</c:v>
                </c:pt>
                <c:pt idx="344">
                  <c:v>-12.963224844073499</c:v>
                </c:pt>
                <c:pt idx="345">
                  <c:v>-12.172259691171501</c:v>
                </c:pt>
                <c:pt idx="346">
                  <c:v>-11.3775867500524</c:v>
                </c:pt>
                <c:pt idx="347">
                  <c:v>-10.579448085792</c:v>
                </c:pt>
                <c:pt idx="348">
                  <c:v>-9.7780868191592507</c:v>
                </c:pt>
                <c:pt idx="349">
                  <c:v>-8.9737470525589007</c:v>
                </c:pt>
                <c:pt idx="350">
                  <c:v>-8.1666737956757807</c:v>
                </c:pt>
                <c:pt idx="351">
                  <c:v>-7.3571128908420702</c:v>
                </c:pt>
                <c:pt idx="352">
                  <c:v>-6.5453109381518999</c:v>
                </c:pt>
                <c:pt idx="353">
                  <c:v>-5.7315152203441198</c:v>
                </c:pt>
                <c:pt idx="354">
                  <c:v>-4.9159736274777401</c:v>
                </c:pt>
                <c:pt idx="355">
                  <c:v>-4.0989345814223697</c:v>
                </c:pt>
                <c:pt idx="356">
                  <c:v>-3.2806469601861901</c:v>
                </c:pt>
                <c:pt idx="357">
                  <c:v>-2.4613600221056702</c:v>
                </c:pt>
                <c:pt idx="358">
                  <c:v>-1.6413233299186101</c:v>
                </c:pt>
                <c:pt idx="359">
                  <c:v>-0.82078667474548805</c:v>
                </c:pt>
                <c:pt idx="360">
                  <c:v>0</c:v>
                </c:pt>
              </c:numCache>
            </c:numRef>
          </c:xVal>
          <c:yVal>
            <c:numRef>
              <c:f>凸轮的轮廓曲线设计!$H$3:$H$363</c:f>
              <c:numCache>
                <c:formatCode>General</c:formatCode>
                <c:ptCount val="361"/>
                <c:pt idx="0">
                  <c:v>47.03</c:v>
                </c:pt>
                <c:pt idx="1">
                  <c:v>47.1416190093897</c:v>
                </c:pt>
                <c:pt idx="2">
                  <c:v>47.238805855207801</c:v>
                </c:pt>
                <c:pt idx="3">
                  <c:v>47.321458585694103</c:v>
                </c:pt>
                <c:pt idx="4">
                  <c:v>47.389479720403003</c:v>
                </c:pt>
                <c:pt idx="5">
                  <c:v>47.442776301921299</c:v>
                </c:pt>
                <c:pt idx="6">
                  <c:v>47.481259946188402</c:v>
                </c:pt>
                <c:pt idx="7">
                  <c:v>47.504846891396298</c:v>
                </c:pt>
                <c:pt idx="8">
                  <c:v>47.513458045447997</c:v>
                </c:pt>
                <c:pt idx="9">
                  <c:v>47.507019031953703</c:v>
                </c:pt>
                <c:pt idx="10">
                  <c:v>47.485460234742597</c:v>
                </c:pt>
                <c:pt idx="11">
                  <c:v>47.448716840872997</c:v>
                </c:pt>
                <c:pt idx="12">
                  <c:v>47.396728882117003</c:v>
                </c:pt>
                <c:pt idx="13">
                  <c:v>47.3294412749039</c:v>
                </c:pt>
                <c:pt idx="14">
                  <c:v>47.2468038587024</c:v>
                </c:pt>
                <c:pt idx="15">
                  <c:v>47.148771432822002</c:v>
                </c:pt>
                <c:pt idx="16">
                  <c:v>47.035303791618702</c:v>
                </c:pt>
                <c:pt idx="17">
                  <c:v>46.906365758084497</c:v>
                </c:pt>
                <c:pt idx="18">
                  <c:v>46.761927215806601</c:v>
                </c:pt>
                <c:pt idx="19">
                  <c:v>46.601963139278602</c:v>
                </c:pt>
                <c:pt idx="20">
                  <c:v>46.4264536225486</c:v>
                </c:pt>
                <c:pt idx="21">
                  <c:v>46.235383906188602</c:v>
                </c:pt>
                <c:pt idx="22">
                  <c:v>46.028744402571803</c:v>
                </c:pt>
                <c:pt idx="23">
                  <c:v>45.806530719441703</c:v>
                </c:pt>
                <c:pt idx="24">
                  <c:v>45.568743681762101</c:v>
                </c:pt>
                <c:pt idx="25">
                  <c:v>45.342578585443597</c:v>
                </c:pt>
                <c:pt idx="26">
                  <c:v>44.9666661363473</c:v>
                </c:pt>
                <c:pt idx="27">
                  <c:v>44.577056405143999</c:v>
                </c:pt>
                <c:pt idx="28">
                  <c:v>44.173868070732098</c:v>
                </c:pt>
                <c:pt idx="29">
                  <c:v>43.757223948183999</c:v>
                </c:pt>
                <c:pt idx="30">
                  <c:v>43.3272509513355</c:v>
                </c:pt>
                <c:pt idx="31">
                  <c:v>42.884080054126699</c:v>
                </c:pt>
                <c:pt idx="32">
                  <c:v>42.427846250705997</c:v>
                </c:pt>
                <c:pt idx="33">
                  <c:v>41.9586885143096</c:v>
                </c:pt>
                <c:pt idx="34">
                  <c:v>41.476749754928697</c:v>
                </c:pt>
                <c:pt idx="35">
                  <c:v>40.982176775778299</c:v>
                </c:pt>
                <c:pt idx="36">
                  <c:v>40.475120228578596</c:v>
                </c:pt>
                <c:pt idx="37">
                  <c:v>39.955734567666099</c:v>
                </c:pt>
                <c:pt idx="38">
                  <c:v>39.424178002944302</c:v>
                </c:pt>
                <c:pt idx="39">
                  <c:v>38.880612451692301</c:v>
                </c:pt>
                <c:pt idx="40">
                  <c:v>38.325203489242497</c:v>
                </c:pt>
                <c:pt idx="41">
                  <c:v>37.7581202985453</c:v>
                </c:pt>
                <c:pt idx="42">
                  <c:v>37.179535618633999</c:v>
                </c:pt>
                <c:pt idx="43">
                  <c:v>36.589625692007097</c:v>
                </c:pt>
                <c:pt idx="44">
                  <c:v>35.988570210942697</c:v>
                </c:pt>
                <c:pt idx="45">
                  <c:v>35.376552262762999</c:v>
                </c:pt>
                <c:pt idx="46">
                  <c:v>34.7537582740636</c:v>
                </c:pt>
                <c:pt idx="47">
                  <c:v>34.120377953926798</c:v>
                </c:pt>
                <c:pt idx="48">
                  <c:v>33.476604236133703</c:v>
                </c:pt>
                <c:pt idx="49">
                  <c:v>32.822633220395097</c:v>
                </c:pt>
                <c:pt idx="50">
                  <c:v>32.1586641126176</c:v>
                </c:pt>
                <c:pt idx="51">
                  <c:v>31.4848991642234</c:v>
                </c:pt>
                <c:pt idx="52">
                  <c:v>30.801543610542701</c:v>
                </c:pt>
                <c:pt idx="53">
                  <c:v>30.108805608297001</c:v>
                </c:pt>
                <c:pt idx="54">
                  <c:v>29.4068961721924</c:v>
                </c:pt>
                <c:pt idx="55">
                  <c:v>28.696029110642801</c:v>
                </c:pt>
                <c:pt idx="56">
                  <c:v>27.976420960641502</c:v>
                </c:pt>
                <c:pt idx="57">
                  <c:v>27.2482909218018</c:v>
                </c:pt>
                <c:pt idx="58">
                  <c:v>26.5118607895872</c:v>
                </c:pt>
                <c:pt idx="59">
                  <c:v>25.767354887749999</c:v>
                </c:pt>
                <c:pt idx="60">
                  <c:v>25.015000000000001</c:v>
                </c:pt>
                <c:pt idx="61">
                  <c:v>24.255025300924199</c:v>
                </c:pt>
                <c:pt idx="62">
                  <c:v>23.4876622861781</c:v>
                </c:pt>
                <c:pt idx="63">
                  <c:v>22.713144701969501</c:v>
                </c:pt>
                <c:pt idx="64">
                  <c:v>21.931708473857501</c:v>
                </c:pt>
                <c:pt idx="65">
                  <c:v>21.143591634887201</c:v>
                </c:pt>
                <c:pt idx="66">
                  <c:v>20.349034253082301</c:v>
                </c:pt>
                <c:pt idx="67">
                  <c:v>19.548278358318399</c:v>
                </c:pt>
                <c:pt idx="68">
                  <c:v>18.7415678685981</c:v>
                </c:pt>
                <c:pt idx="69">
                  <c:v>17.9291485157514</c:v>
                </c:pt>
                <c:pt idx="70">
                  <c:v>17.111267770583201</c:v>
                </c:pt>
                <c:pt idx="71">
                  <c:v>16.288174767491601</c:v>
                </c:pt>
                <c:pt idx="72">
                  <c:v>15.460120228578599</c:v>
                </c:pt>
                <c:pt idx="73">
                  <c:v>14.6273563872785</c:v>
                </c:pt>
                <c:pt idx="74">
                  <c:v>13.790136911524501</c:v>
                </c:pt>
                <c:pt idx="75">
                  <c:v>12.948716826479099</c:v>
                </c:pt>
                <c:pt idx="76">
                  <c:v>12.1033524368514</c:v>
                </c:pt>
                <c:pt idx="77">
                  <c:v>11.2543012488236</c:v>
                </c:pt>
                <c:pt idx="78">
                  <c:v>10.401821891612499</c:v>
                </c:pt>
                <c:pt idx="79">
                  <c:v>9.5461740386885392</c:v>
                </c:pt>
                <c:pt idx="80">
                  <c:v>8.6876183286765301</c:v>
                </c:pt>
                <c:pt idx="81">
                  <c:v>7.8264162859627504</c:v>
                </c:pt>
                <c:pt idx="82">
                  <c:v>6.9628302410320897</c:v>
                </c:pt>
                <c:pt idx="83">
                  <c:v>6.0971232505595303</c:v>
                </c:pt>
                <c:pt idx="84">
                  <c:v>5.2295590172806996</c:v>
                </c:pt>
                <c:pt idx="85">
                  <c:v>4.3604018096653396</c:v>
                </c:pt>
                <c:pt idx="86">
                  <c:v>3.4899163814185998</c:v>
                </c:pt>
                <c:pt idx="87">
                  <c:v>2.6183678908344898</c:v>
                </c:pt>
                <c:pt idx="88">
                  <c:v>1.7460218200261299</c:v>
                </c:pt>
                <c:pt idx="89">
                  <c:v>0.87314389405728698</c:v>
                </c:pt>
                <c:pt idx="90">
                  <c:v>3.0634539680671001E-15</c:v>
                </c:pt>
                <c:pt idx="91">
                  <c:v>-0.87314389405729198</c:v>
                </c:pt>
                <c:pt idx="92">
                  <c:v>-1.7460218200261099</c:v>
                </c:pt>
                <c:pt idx="93">
                  <c:v>-2.6183678908344699</c:v>
                </c:pt>
                <c:pt idx="94">
                  <c:v>-3.4899163814185901</c:v>
                </c:pt>
                <c:pt idx="95">
                  <c:v>-4.3604018096653396</c:v>
                </c:pt>
                <c:pt idx="96">
                  <c:v>-5.2295590172806996</c:v>
                </c:pt>
                <c:pt idx="97">
                  <c:v>-6.0971232505595196</c:v>
                </c:pt>
                <c:pt idx="98">
                  <c:v>-6.9628302410320702</c:v>
                </c:pt>
                <c:pt idx="99">
                  <c:v>-7.8264162859627602</c:v>
                </c:pt>
                <c:pt idx="100">
                  <c:v>-8.6876183286765194</c:v>
                </c:pt>
                <c:pt idx="101">
                  <c:v>-9.5461740386885392</c:v>
                </c:pt>
                <c:pt idx="102">
                  <c:v>-10.401821891612499</c:v>
                </c:pt>
                <c:pt idx="103">
                  <c:v>-11.226000954890001</c:v>
                </c:pt>
                <c:pt idx="104">
                  <c:v>-12.0497394232136</c:v>
                </c:pt>
                <c:pt idx="105">
                  <c:v>-12.866562652162701</c:v>
                </c:pt>
                <c:pt idx="106">
                  <c:v>-13.6762364428788</c:v>
                </c:pt>
                <c:pt idx="107">
                  <c:v>-14.4785297582293</c:v>
                </c:pt>
                <c:pt idx="108">
                  <c:v>-15.273214788432499</c:v>
                </c:pt>
                <c:pt idx="109">
                  <c:v>-16.0600670154009</c:v>
                </c:pt>
                <c:pt idx="110">
                  <c:v>-16.838865275786102</c:v>
                </c:pt>
                <c:pt idx="111">
                  <c:v>-17.609391822705501</c:v>
                </c:pt>
                <c:pt idx="112">
                  <c:v>-18.371432386135801</c:v>
                </c:pt>
                <c:pt idx="113">
                  <c:v>-19.124776231955799</c:v>
                </c:pt>
                <c:pt idx="114">
                  <c:v>-19.869216219621599</c:v>
                </c:pt>
                <c:pt idx="115">
                  <c:v>-20.6045488584605</c:v>
                </c:pt>
                <c:pt idx="116">
                  <c:v>-21.330574362567098</c:v>
                </c:pt>
                <c:pt idx="117">
                  <c:v>-22.0470967042871</c:v>
                </c:pt>
                <c:pt idx="118">
                  <c:v>-22.7539236662756</c:v>
                </c:pt>
                <c:pt idx="119">
                  <c:v>-23.450866892115599</c:v>
                </c:pt>
                <c:pt idx="120">
                  <c:v>-24.137741935483898</c:v>
                </c:pt>
                <c:pt idx="121">
                  <c:v>-24.8143683078519</c:v>
                </c:pt>
                <c:pt idx="122">
                  <c:v>-25.480569524710202</c:v>
                </c:pt>
                <c:pt idx="123">
                  <c:v>-26.136173150303399</c:v>
                </c:pt>
                <c:pt idx="124">
                  <c:v>-26.781010840867101</c:v>
                </c:pt>
                <c:pt idx="125">
                  <c:v>-27.414918386354199</c:v>
                </c:pt>
                <c:pt idx="126">
                  <c:v>-28.037735750642799</c:v>
                </c:pt>
                <c:pt idx="127">
                  <c:v>-28.649307110214</c:v>
                </c:pt>
                <c:pt idx="128">
                  <c:v>-29.249480891294301</c:v>
                </c:pt>
                <c:pt idx="129">
                  <c:v>-29.838109805450401</c:v>
                </c:pt>
                <c:pt idx="130">
                  <c:v>-30.4150508836324</c:v>
                </c:pt>
                <c:pt idx="131">
                  <c:v>-30.980165508655901</c:v>
                </c:pt>
                <c:pt idx="132">
                  <c:v>-31.5333194461179</c:v>
                </c:pt>
                <c:pt idx="133">
                  <c:v>-32.074382873739303</c:v>
                </c:pt>
                <c:pt idx="134">
                  <c:v>-32.669783162686599</c:v>
                </c:pt>
                <c:pt idx="135">
                  <c:v>-33.255231919203297</c:v>
                </c:pt>
                <c:pt idx="136">
                  <c:v>-33.830550809926798</c:v>
                </c:pt>
                <c:pt idx="137">
                  <c:v>-34.3955645871496</c:v>
                </c:pt>
                <c:pt idx="138">
                  <c:v>-34.950101142201802</c:v>
                </c:pt>
                <c:pt idx="139">
                  <c:v>-35.493991557877003</c:v>
                </c:pt>
                <c:pt idx="140">
                  <c:v>-36.027070159885497</c:v>
                </c:pt>
                <c:pt idx="141">
                  <c:v>-36.549174567321302</c:v>
                </c:pt>
                <c:pt idx="142">
                  <c:v>-37.060145742124099</c:v>
                </c:pt>
                <c:pt idx="143">
                  <c:v>-37.559828037524198</c:v>
                </c:pt>
                <c:pt idx="144">
                  <c:v>-38.048069245453803</c:v>
                </c:pt>
                <c:pt idx="145">
                  <c:v>-38.524720642911298</c:v>
                </c:pt>
                <c:pt idx="146">
                  <c:v>-38.989637037263599</c:v>
                </c:pt>
                <c:pt idx="147">
                  <c:v>-39.442676810473301</c:v>
                </c:pt>
                <c:pt idx="148">
                  <c:v>-39.8837019622367</c:v>
                </c:pt>
                <c:pt idx="149">
                  <c:v>-40.312578152020301</c:v>
                </c:pt>
                <c:pt idx="150">
                  <c:v>-40.729174739982199</c:v>
                </c:pt>
                <c:pt idx="151">
                  <c:v>-41.133364826765799</c:v>
                </c:pt>
                <c:pt idx="152">
                  <c:v>-41.525025292155298</c:v>
                </c:pt>
                <c:pt idx="153">
                  <c:v>-41.904036832578903</c:v>
                </c:pt>
                <c:pt idx="154">
                  <c:v>-42.270283997449802</c:v>
                </c:pt>
                <c:pt idx="155">
                  <c:v>-42.623655224333604</c:v>
                </c:pt>
                <c:pt idx="156">
                  <c:v>-42.9640428729315</c:v>
                </c:pt>
                <c:pt idx="157">
                  <c:v>-43.291343257868299</c:v>
                </c:pt>
                <c:pt idx="158">
                  <c:v>-43.605456680275999</c:v>
                </c:pt>
                <c:pt idx="159">
                  <c:v>-43.906287458163398</c:v>
                </c:pt>
                <c:pt idx="160">
                  <c:v>-44.193743955561303</c:v>
                </c:pt>
                <c:pt idx="161">
                  <c:v>-44.467738610435902</c:v>
                </c:pt>
                <c:pt idx="162">
                  <c:v>-44.728187961361101</c:v>
                </c:pt>
                <c:pt idx="163">
                  <c:v>-44.975012672941602</c:v>
                </c:pt>
                <c:pt idx="164">
                  <c:v>-45.2081375599791</c:v>
                </c:pt>
                <c:pt idx="165">
                  <c:v>-45.427491610374901</c:v>
                </c:pt>
                <c:pt idx="166">
                  <c:v>-45.6330080067601</c:v>
                </c:pt>
                <c:pt idx="167">
                  <c:v>-45.824624146849601</c:v>
                </c:pt>
                <c:pt idx="168">
                  <c:v>-46.002281662510903</c:v>
                </c:pt>
                <c:pt idx="169">
                  <c:v>-46.165926437543597</c:v>
                </c:pt>
                <c:pt idx="170">
                  <c:v>-46.315508624164103</c:v>
                </c:pt>
                <c:pt idx="171">
                  <c:v>-46.450982658189297</c:v>
                </c:pt>
                <c:pt idx="172">
                  <c:v>-46.572307272915999</c:v>
                </c:pt>
                <c:pt idx="173">
                  <c:v>-46.679445511691398</c:v>
                </c:pt>
                <c:pt idx="174">
                  <c:v>-46.772364739169902</c:v>
                </c:pt>
                <c:pt idx="175">
                  <c:v>-46.851036651254802</c:v>
                </c:pt>
                <c:pt idx="176">
                  <c:v>-46.915437283719498</c:v>
                </c:pt>
                <c:pt idx="177">
                  <c:v>-46.965547019507603</c:v>
                </c:pt>
                <c:pt idx="178">
                  <c:v>-47.0013505947081</c:v>
                </c:pt>
                <c:pt idx="179">
                  <c:v>-47.022837103205099</c:v>
                </c:pt>
                <c:pt idx="180">
                  <c:v>-47.03</c:v>
                </c:pt>
                <c:pt idx="181">
                  <c:v>-47.022837103205099</c:v>
                </c:pt>
                <c:pt idx="182">
                  <c:v>-47.0013505947081</c:v>
                </c:pt>
                <c:pt idx="183">
                  <c:v>-46.965547019507603</c:v>
                </c:pt>
                <c:pt idx="184">
                  <c:v>-46.915437283719498</c:v>
                </c:pt>
                <c:pt idx="185">
                  <c:v>-46.851036651254802</c:v>
                </c:pt>
                <c:pt idx="186">
                  <c:v>-46.772364739169902</c:v>
                </c:pt>
                <c:pt idx="187">
                  <c:v>-46.679445511691398</c:v>
                </c:pt>
                <c:pt idx="188">
                  <c:v>-46.572307272915999</c:v>
                </c:pt>
                <c:pt idx="189">
                  <c:v>-46.450982658189297</c:v>
                </c:pt>
                <c:pt idx="190">
                  <c:v>-46.315508624164103</c:v>
                </c:pt>
                <c:pt idx="191">
                  <c:v>-46.165926437543597</c:v>
                </c:pt>
                <c:pt idx="192">
                  <c:v>-46.002281662510903</c:v>
                </c:pt>
                <c:pt idx="193">
                  <c:v>-45.824624146849601</c:v>
                </c:pt>
                <c:pt idx="194">
                  <c:v>-45.6330080067601</c:v>
                </c:pt>
                <c:pt idx="195">
                  <c:v>-45.427491610374901</c:v>
                </c:pt>
                <c:pt idx="196">
                  <c:v>-45.2081375599791</c:v>
                </c:pt>
                <c:pt idx="197">
                  <c:v>-44.975012672941602</c:v>
                </c:pt>
                <c:pt idx="198">
                  <c:v>-44.728187961361101</c:v>
                </c:pt>
                <c:pt idx="199">
                  <c:v>-44.467738610435902</c:v>
                </c:pt>
                <c:pt idx="200">
                  <c:v>-44.193743955561303</c:v>
                </c:pt>
                <c:pt idx="201">
                  <c:v>-43.906287458163398</c:v>
                </c:pt>
                <c:pt idx="202">
                  <c:v>-43.605456680275999</c:v>
                </c:pt>
                <c:pt idx="203">
                  <c:v>-43.291343257868299</c:v>
                </c:pt>
                <c:pt idx="204">
                  <c:v>-42.9640428729315</c:v>
                </c:pt>
                <c:pt idx="205">
                  <c:v>-42.623655224333703</c:v>
                </c:pt>
                <c:pt idx="206">
                  <c:v>-42.270283997449802</c:v>
                </c:pt>
                <c:pt idx="207">
                  <c:v>-41.904036832579003</c:v>
                </c:pt>
                <c:pt idx="208">
                  <c:v>-41.525025292155298</c:v>
                </c:pt>
                <c:pt idx="209">
                  <c:v>-41.133364826765799</c:v>
                </c:pt>
                <c:pt idx="210">
                  <c:v>-40.729174739982099</c:v>
                </c:pt>
                <c:pt idx="211">
                  <c:v>-40.312578152020301</c:v>
                </c:pt>
                <c:pt idx="212">
                  <c:v>-39.8837019622367</c:v>
                </c:pt>
                <c:pt idx="213">
                  <c:v>-39.442676810473301</c:v>
                </c:pt>
                <c:pt idx="214">
                  <c:v>-38.989637037263599</c:v>
                </c:pt>
                <c:pt idx="215">
                  <c:v>-38.524720642911298</c:v>
                </c:pt>
                <c:pt idx="216">
                  <c:v>-38.048069245453803</c:v>
                </c:pt>
                <c:pt idx="217">
                  <c:v>-37.559828037524198</c:v>
                </c:pt>
                <c:pt idx="218">
                  <c:v>-37.060145742124099</c:v>
                </c:pt>
                <c:pt idx="219">
                  <c:v>-36.549174567321302</c:v>
                </c:pt>
                <c:pt idx="220">
                  <c:v>-36.027070159885497</c:v>
                </c:pt>
                <c:pt idx="221">
                  <c:v>-35.493991557877003</c:v>
                </c:pt>
                <c:pt idx="222">
                  <c:v>-34.950101142201902</c:v>
                </c:pt>
                <c:pt idx="223">
                  <c:v>-34.3955645871496</c:v>
                </c:pt>
                <c:pt idx="224">
                  <c:v>-33.830550809926798</c:v>
                </c:pt>
                <c:pt idx="225">
                  <c:v>-33.255231919203297</c:v>
                </c:pt>
                <c:pt idx="226">
                  <c:v>-32.669783162686699</c:v>
                </c:pt>
                <c:pt idx="227">
                  <c:v>-32.074382873739303</c:v>
                </c:pt>
                <c:pt idx="228">
                  <c:v>-31.469212417057101</c:v>
                </c:pt>
                <c:pt idx="229">
                  <c:v>-30.8544561334236</c:v>
                </c:pt>
                <c:pt idx="230">
                  <c:v>-30.230301283557999</c:v>
                </c:pt>
                <c:pt idx="231">
                  <c:v>-29.596937991073801</c:v>
                </c:pt>
                <c:pt idx="232">
                  <c:v>-28.954559184565699</c:v>
                </c:pt>
                <c:pt idx="233">
                  <c:v>-28.303360538840799</c:v>
                </c:pt>
                <c:pt idx="234">
                  <c:v>-27.643540415315002</c:v>
                </c:pt>
                <c:pt idx="235">
                  <c:v>-26.975299801589699</c:v>
                </c:pt>
                <c:pt idx="236">
                  <c:v>-26.2988422502292</c:v>
                </c:pt>
                <c:pt idx="237">
                  <c:v>-25.6143738167567</c:v>
                </c:pt>
                <c:pt idx="238">
                  <c:v>-24.922102996887599</c:v>
                </c:pt>
                <c:pt idx="239">
                  <c:v>-24.2222406630199</c:v>
                </c:pt>
                <c:pt idx="240">
                  <c:v>-23.515000000000001</c:v>
                </c:pt>
                <c:pt idx="241">
                  <c:v>-22.800596440185199</c:v>
                </c:pt>
                <c:pt idx="242">
                  <c:v>-22.079247597820402</c:v>
                </c:pt>
                <c:pt idx="243">
                  <c:v>-21.3511732027509</c:v>
                </c:pt>
                <c:pt idx="244">
                  <c:v>-20.616595033490299</c:v>
                </c:pt>
                <c:pt idx="245">
                  <c:v>-19.875736849665099</c:v>
                </c:pt>
                <c:pt idx="246">
                  <c:v>-19.1288243238549</c:v>
                </c:pt>
                <c:pt idx="247">
                  <c:v>-18.376084972850499</c:v>
                </c:pt>
                <c:pt idx="248">
                  <c:v>-17.6177480883504</c:v>
                </c:pt>
                <c:pt idx="249">
                  <c:v>-16.854044667115499</c:v>
                </c:pt>
                <c:pt idx="250">
                  <c:v>-16.0852073406062</c:v>
                </c:pt>
                <c:pt idx="251">
                  <c:v>-15.3114703041201</c:v>
                </c:pt>
                <c:pt idx="252">
                  <c:v>-14.533069245453801</c:v>
                </c:pt>
                <c:pt idx="253">
                  <c:v>-13.7502412731103</c:v>
                </c:pt>
                <c:pt idx="254">
                  <c:v>-12.963224844073499</c:v>
                </c:pt>
                <c:pt idx="255">
                  <c:v>-12.172259691171501</c:v>
                </c:pt>
                <c:pt idx="256">
                  <c:v>-11.3775867500524</c:v>
                </c:pt>
                <c:pt idx="257">
                  <c:v>-10.579448085792</c:v>
                </c:pt>
                <c:pt idx="258">
                  <c:v>-9.7780868191592401</c:v>
                </c:pt>
                <c:pt idx="259">
                  <c:v>-8.9737470525589291</c:v>
                </c:pt>
                <c:pt idx="260">
                  <c:v>-8.1666737956757292</c:v>
                </c:pt>
                <c:pt idx="261">
                  <c:v>-7.3571128908420702</c:v>
                </c:pt>
                <c:pt idx="262">
                  <c:v>-6.5453109381518502</c:v>
                </c:pt>
                <c:pt idx="263">
                  <c:v>-5.73151522034407</c:v>
                </c:pt>
                <c:pt idx="264">
                  <c:v>-4.9159736274777401</c:v>
                </c:pt>
                <c:pt idx="265">
                  <c:v>-4.0989345814223697</c:v>
                </c:pt>
                <c:pt idx="266">
                  <c:v>-3.28064696018623</c:v>
                </c:pt>
                <c:pt idx="267">
                  <c:v>-2.4613600221056702</c:v>
                </c:pt>
                <c:pt idx="268">
                  <c:v>-1.64132332991865</c:v>
                </c:pt>
                <c:pt idx="269">
                  <c:v>-0.82078667474544298</c:v>
                </c:pt>
                <c:pt idx="270">
                  <c:v>-8.6392708445850003E-15</c:v>
                </c:pt>
                <c:pt idx="271">
                  <c:v>0.82078667474542599</c:v>
                </c:pt>
                <c:pt idx="272">
                  <c:v>1.6413233299186401</c:v>
                </c:pt>
                <c:pt idx="273">
                  <c:v>2.4613600221056502</c:v>
                </c:pt>
                <c:pt idx="274">
                  <c:v>3.28064696018621</c:v>
                </c:pt>
                <c:pt idx="275">
                  <c:v>4.0989345814223501</c:v>
                </c:pt>
                <c:pt idx="276">
                  <c:v>4.9159736274777197</c:v>
                </c:pt>
                <c:pt idx="277">
                  <c:v>5.7315152203441002</c:v>
                </c:pt>
                <c:pt idx="278">
                  <c:v>6.5453109381518804</c:v>
                </c:pt>
                <c:pt idx="279">
                  <c:v>7.3571128908420498</c:v>
                </c:pt>
                <c:pt idx="280">
                  <c:v>8.1666737956757203</c:v>
                </c:pt>
                <c:pt idx="281">
                  <c:v>8.9737470525588794</c:v>
                </c:pt>
                <c:pt idx="282">
                  <c:v>9.7780868191591797</c:v>
                </c:pt>
                <c:pt idx="283">
                  <c:v>10.579448085792</c:v>
                </c:pt>
                <c:pt idx="284">
                  <c:v>11.3775867500524</c:v>
                </c:pt>
                <c:pt idx="285">
                  <c:v>12.1722596911716</c:v>
                </c:pt>
                <c:pt idx="286">
                  <c:v>12.963224844073499</c:v>
                </c:pt>
                <c:pt idx="287">
                  <c:v>13.7502412731103</c:v>
                </c:pt>
                <c:pt idx="288">
                  <c:v>14.533069245453801</c:v>
                </c:pt>
                <c:pt idx="289">
                  <c:v>15.3114703041201</c:v>
                </c:pt>
                <c:pt idx="290">
                  <c:v>16.0852073406062</c:v>
                </c:pt>
                <c:pt idx="291">
                  <c:v>16.854044667115399</c:v>
                </c:pt>
                <c:pt idx="292">
                  <c:v>17.6177480883503</c:v>
                </c:pt>
                <c:pt idx="293">
                  <c:v>18.376084972850499</c:v>
                </c:pt>
                <c:pt idx="294">
                  <c:v>19.1288243238549</c:v>
                </c:pt>
                <c:pt idx="295">
                  <c:v>19.875736849665099</c:v>
                </c:pt>
                <c:pt idx="296">
                  <c:v>20.616595033490299</c:v>
                </c:pt>
                <c:pt idx="297">
                  <c:v>21.3511732027509</c:v>
                </c:pt>
                <c:pt idx="298">
                  <c:v>22.079247597820402</c:v>
                </c:pt>
                <c:pt idx="299">
                  <c:v>22.800596440185199</c:v>
                </c:pt>
                <c:pt idx="300">
                  <c:v>23.515000000000001</c:v>
                </c:pt>
                <c:pt idx="301">
                  <c:v>24.2222406630198</c:v>
                </c:pt>
                <c:pt idx="302">
                  <c:v>24.922102996887599</c:v>
                </c:pt>
                <c:pt idx="303">
                  <c:v>25.6143738167567</c:v>
                </c:pt>
                <c:pt idx="304">
                  <c:v>26.2988422502292</c:v>
                </c:pt>
                <c:pt idx="305">
                  <c:v>26.975299801589699</c:v>
                </c:pt>
                <c:pt idx="306">
                  <c:v>27.643540415315002</c:v>
                </c:pt>
                <c:pt idx="307">
                  <c:v>28.303360538840799</c:v>
                </c:pt>
                <c:pt idx="308">
                  <c:v>28.954559184565699</c:v>
                </c:pt>
                <c:pt idx="309">
                  <c:v>29.596937991073901</c:v>
                </c:pt>
                <c:pt idx="310">
                  <c:v>30.2303012835579</c:v>
                </c:pt>
                <c:pt idx="311">
                  <c:v>30.854456133423501</c:v>
                </c:pt>
                <c:pt idx="312">
                  <c:v>31.469212417057101</c:v>
                </c:pt>
                <c:pt idx="313">
                  <c:v>32.074382873739303</c:v>
                </c:pt>
                <c:pt idx="314">
                  <c:v>32.669783162686599</c:v>
                </c:pt>
                <c:pt idx="315">
                  <c:v>33.255231919203297</c:v>
                </c:pt>
                <c:pt idx="316">
                  <c:v>33.830550809926699</c:v>
                </c:pt>
                <c:pt idx="317">
                  <c:v>34.3955645871496</c:v>
                </c:pt>
                <c:pt idx="318">
                  <c:v>34.950101142201902</c:v>
                </c:pt>
                <c:pt idx="319">
                  <c:v>35.493991557877003</c:v>
                </c:pt>
                <c:pt idx="320">
                  <c:v>36.027070159885497</c:v>
                </c:pt>
                <c:pt idx="321">
                  <c:v>36.549174567321302</c:v>
                </c:pt>
                <c:pt idx="322">
                  <c:v>37.060145742124099</c:v>
                </c:pt>
                <c:pt idx="323">
                  <c:v>37.559828037524198</c:v>
                </c:pt>
                <c:pt idx="324">
                  <c:v>38.048069245453803</c:v>
                </c:pt>
                <c:pt idx="325">
                  <c:v>38.524720642911298</c:v>
                </c:pt>
                <c:pt idx="326">
                  <c:v>38.989637037263599</c:v>
                </c:pt>
                <c:pt idx="327">
                  <c:v>39.442676810473301</c:v>
                </c:pt>
                <c:pt idx="328">
                  <c:v>39.8837019622367</c:v>
                </c:pt>
                <c:pt idx="329">
                  <c:v>40.312578152020301</c:v>
                </c:pt>
                <c:pt idx="330">
                  <c:v>40.729174739982099</c:v>
                </c:pt>
                <c:pt idx="331">
                  <c:v>41.133364826765799</c:v>
                </c:pt>
                <c:pt idx="332">
                  <c:v>41.525025292155298</c:v>
                </c:pt>
                <c:pt idx="333">
                  <c:v>41.904036832578903</c:v>
                </c:pt>
                <c:pt idx="334">
                  <c:v>42.270283997449802</c:v>
                </c:pt>
                <c:pt idx="335">
                  <c:v>42.623655224333604</c:v>
                </c:pt>
                <c:pt idx="336">
                  <c:v>42.9640428729315</c:v>
                </c:pt>
                <c:pt idx="337">
                  <c:v>43.291343257868199</c:v>
                </c:pt>
                <c:pt idx="338">
                  <c:v>43.605456680275999</c:v>
                </c:pt>
                <c:pt idx="339">
                  <c:v>43.906287458163398</c:v>
                </c:pt>
                <c:pt idx="340">
                  <c:v>44.193743955561303</c:v>
                </c:pt>
                <c:pt idx="341">
                  <c:v>44.467738610435902</c:v>
                </c:pt>
                <c:pt idx="342">
                  <c:v>44.728187961361101</c:v>
                </c:pt>
                <c:pt idx="343">
                  <c:v>44.975012672941602</c:v>
                </c:pt>
                <c:pt idx="344">
                  <c:v>45.2081375599791</c:v>
                </c:pt>
                <c:pt idx="345">
                  <c:v>45.427491610374901</c:v>
                </c:pt>
                <c:pt idx="346">
                  <c:v>45.6330080067601</c:v>
                </c:pt>
                <c:pt idx="347">
                  <c:v>45.824624146849601</c:v>
                </c:pt>
                <c:pt idx="348">
                  <c:v>46.002281662510903</c:v>
                </c:pt>
                <c:pt idx="349">
                  <c:v>46.165926437543597</c:v>
                </c:pt>
                <c:pt idx="350">
                  <c:v>46.315508624164103</c:v>
                </c:pt>
                <c:pt idx="351">
                  <c:v>46.450982658189297</c:v>
                </c:pt>
                <c:pt idx="352">
                  <c:v>46.572307272915999</c:v>
                </c:pt>
                <c:pt idx="353">
                  <c:v>46.679445511691398</c:v>
                </c:pt>
                <c:pt idx="354">
                  <c:v>46.772364739169902</c:v>
                </c:pt>
                <c:pt idx="355">
                  <c:v>46.851036651254802</c:v>
                </c:pt>
                <c:pt idx="356">
                  <c:v>46.915437283719498</c:v>
                </c:pt>
                <c:pt idx="357">
                  <c:v>46.965547019507603</c:v>
                </c:pt>
                <c:pt idx="358">
                  <c:v>47.0013505947081</c:v>
                </c:pt>
                <c:pt idx="359">
                  <c:v>47.022837103205099</c:v>
                </c:pt>
                <c:pt idx="360">
                  <c:v>47.03</c:v>
                </c:pt>
              </c:numCache>
            </c:numRef>
          </c:yVal>
          <c:smooth val="0"/>
        </c:ser>
        <c:dLbls>
          <c:showLegendKey val="0"/>
          <c:showVal val="0"/>
          <c:showCatName val="0"/>
          <c:showSerName val="0"/>
          <c:showPercent val="0"/>
          <c:showBubbleSize val="0"/>
        </c:dLbls>
        <c:axId val="134925696"/>
        <c:axId val="132973696"/>
      </c:scatterChart>
      <c:valAx>
        <c:axId val="134925696"/>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zh-CN" sz="10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2973696"/>
        <c:crosses val="autoZero"/>
        <c:crossBetween val="midCat"/>
      </c:valAx>
      <c:valAx>
        <c:axId val="132973696"/>
        <c:scaling>
          <c:orientation val="minMax"/>
        </c:scaling>
        <c:delete val="0"/>
        <c:axPos val="l"/>
        <c:majorGridlines/>
        <c:numFmt formatCode="General" sourceLinked="1"/>
        <c:majorTickMark val="none"/>
        <c:minorTickMark val="none"/>
        <c:tickLblPos val="nextTo"/>
        <c:txPr>
          <a:bodyPr rot="0" spcFirstLastPara="0" vertOverflow="ellipsis" vert="horz" wrap="square" anchor="ctr" anchorCtr="1"/>
          <a:lstStyle/>
          <a:p>
            <a:pPr>
              <a:defRPr lang="zh-CN" sz="10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4925696"/>
        <c:crosses val="autoZero"/>
        <c:crossBetween val="midCat"/>
      </c:valAx>
    </c:plotArea>
    <c:plotVisOnly val="1"/>
    <c:dispBlanksAs val="gap"/>
    <c:showDLblsOverMax val="0"/>
  </c:chart>
  <c:txPr>
    <a:bodyPr rot="0" wrap="square" anchor="ctr" anchorCtr="1"/>
    <a:lstStyle/>
    <a:p>
      <a:pPr>
        <a:defRPr lang="zh-CN" sz="10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2700" cap="rnd" cmpd="sng" algn="ctr">
              <a:solidFill>
                <a:srgbClr val="000080"/>
              </a:solidFill>
              <a:prstDash val="solid"/>
              <a:round/>
            </a:ln>
          </c:spPr>
          <c:marker>
            <c:symbol val="diamond"/>
            <c:size val="5"/>
            <c:spPr>
              <a:solidFill>
                <a:srgbClr val="000080"/>
              </a:solidFill>
              <a:ln w="6350" cap="flat" cmpd="sng" algn="ctr">
                <a:solidFill>
                  <a:srgbClr val="000080"/>
                </a:solidFill>
                <a:prstDash val="solid"/>
                <a:round/>
              </a:ln>
            </c:spPr>
          </c:marker>
          <c:xVal>
            <c:numLit>
              <c:formatCode>General</c:formatCode>
              <c:ptCount val="1"/>
              <c:pt idx="0">
                <c:v>0</c:v>
              </c:pt>
            </c:numLit>
          </c:xVal>
          <c:yVal>
            <c:numLit>
              <c:formatCode>General</c:formatCode>
              <c:ptCount val="1"/>
              <c:pt idx="0">
                <c:v>0</c:v>
              </c:pt>
            </c:numLit>
          </c:yVal>
          <c:smooth val="0"/>
        </c:ser>
        <c:dLbls>
          <c:showLegendKey val="0"/>
          <c:showVal val="0"/>
          <c:showCatName val="0"/>
          <c:showSerName val="0"/>
          <c:showPercent val="0"/>
          <c:showBubbleSize val="0"/>
        </c:dLbls>
        <c:axId val="135137920"/>
        <c:axId val="135140096"/>
      </c:scatterChart>
      <c:valAx>
        <c:axId val="135137920"/>
        <c:scaling>
          <c:orientation val="minMax"/>
          <c:max val="14"/>
        </c:scaling>
        <c:delete val="0"/>
        <c:axPos val="b"/>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5140096"/>
        <c:crosses val="autoZero"/>
        <c:crossBetween val="midCat"/>
        <c:majorUnit val="2"/>
        <c:minorUnit val="2"/>
      </c:valAx>
      <c:valAx>
        <c:axId val="135140096"/>
        <c:scaling>
          <c:orientation val="minMax"/>
          <c:max val="8"/>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5137920"/>
        <c:crosses val="autoZero"/>
        <c:crossBetween val="midCat"/>
        <c:majorUnit val="2"/>
        <c:minorUnit val="2"/>
      </c:valAx>
      <c:spPr>
        <a:solidFill>
          <a:srgbClr val="FFFFFF">
            <a:alpha val="100000"/>
          </a:srgbClr>
        </a:solidFill>
        <a:ln w="12700">
          <a:solidFill>
            <a:srgbClr val="808080">
              <a:alpha val="100000"/>
            </a:srgbClr>
          </a:solidFill>
          <a:prstDash val="solid"/>
        </a:ln>
      </c:spPr>
    </c:plotArea>
    <c:legend>
      <c:legendPos val="r"/>
      <c:overlay val="0"/>
      <c:spPr>
        <a:solidFill>
          <a:srgbClr val="FFFFFF"/>
        </a:solidFill>
        <a:ln>
          <a:solidFill>
            <a:srgbClr val="000000"/>
          </a:solidFill>
        </a:ln>
      </c:spPr>
      <c:txPr>
        <a:bodyPr rot="0" spcFirstLastPara="0" vertOverflow="ellipsis" vert="horz" wrap="square" anchor="ctr" anchorCtr="1"/>
        <a:lstStyle/>
        <a:p>
          <a:pPr>
            <a:defRPr lang="zh-CN" sz="16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TW"/>
        </a:p>
      </c:txPr>
    </c:legend>
    <c:plotVisOnly val="1"/>
    <c:dispBlanksAs val="gap"/>
    <c:showDLblsOverMax val="0"/>
  </c:chart>
  <c:spPr>
    <a:solidFill>
      <a:srgbClr val="FFFFFF"/>
    </a:solidFill>
    <a:ln w="3175" cap="flat" cmpd="sng" algn="ctr">
      <a:solidFill>
        <a:srgbClr val="000000">
          <a:alpha val="100000"/>
        </a:srgbClr>
      </a:solidFill>
      <a:prstDash val="solid"/>
      <a:round/>
    </a:ln>
  </c:spPr>
  <c:txPr>
    <a:bodyPr rot="0" wrap="square" anchor="ctr" anchorCtr="1"/>
    <a:lstStyle/>
    <a:p>
      <a:pPr>
        <a:defRPr lang="zh-CN" sz="2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2700" cap="rnd" cmpd="sng" algn="ctr">
              <a:solidFill>
                <a:srgbClr val="000080"/>
              </a:solidFill>
              <a:prstDash val="solid"/>
              <a:round/>
            </a:ln>
          </c:spPr>
          <c:marker>
            <c:symbol val="diamond"/>
            <c:size val="5"/>
            <c:spPr>
              <a:solidFill>
                <a:srgbClr val="000080"/>
              </a:solidFill>
              <a:ln w="6350" cap="flat" cmpd="sng" algn="ctr">
                <a:solidFill>
                  <a:srgbClr val="000080"/>
                </a:solidFill>
                <a:prstDash val="solid"/>
                <a:round/>
              </a:ln>
            </c:spPr>
          </c:marker>
          <c:xVal>
            <c:numLit>
              <c:formatCode>General</c:formatCode>
              <c:ptCount val="1"/>
              <c:pt idx="0">
                <c:v>0</c:v>
              </c:pt>
            </c:numLit>
          </c:xVal>
          <c:yVal>
            <c:numLit>
              <c:formatCode>General</c:formatCode>
              <c:ptCount val="1"/>
              <c:pt idx="0">
                <c:v>0</c:v>
              </c:pt>
            </c:numLit>
          </c:yVal>
          <c:smooth val="0"/>
        </c:ser>
        <c:ser>
          <c:idx val="1"/>
          <c:order val="1"/>
          <c:spPr>
            <a:ln w="12700" cap="rnd" cmpd="sng" algn="ctr">
              <a:solidFill>
                <a:srgbClr val="FF00FF"/>
              </a:solidFill>
              <a:prstDash val="solid"/>
              <a:round/>
            </a:ln>
          </c:spPr>
          <c:marker>
            <c:symbol val="square"/>
            <c:size val="5"/>
            <c:spPr>
              <a:solidFill>
                <a:srgbClr val="FF00FF"/>
              </a:solidFill>
              <a:ln w="6350" cap="flat" cmpd="sng" algn="ctr">
                <a:solidFill>
                  <a:srgbClr val="FF00FF"/>
                </a:solidFill>
                <a:prstDash val="solid"/>
                <a:round/>
              </a:ln>
            </c:spPr>
          </c:marker>
          <c:xVal>
            <c:numLit>
              <c:formatCode>General</c:formatCode>
              <c:ptCount val="1"/>
              <c:pt idx="0">
                <c:v>0</c:v>
              </c:pt>
            </c:numLit>
          </c:xVal>
          <c:yVal>
            <c:numLit>
              <c:formatCode>General</c:formatCode>
              <c:ptCount val="1"/>
              <c:pt idx="0">
                <c:v>0</c:v>
              </c:pt>
            </c:numLit>
          </c:yVal>
          <c:smooth val="0"/>
        </c:ser>
        <c:dLbls>
          <c:showLegendKey val="0"/>
          <c:showVal val="0"/>
          <c:showCatName val="0"/>
          <c:showSerName val="0"/>
          <c:showPercent val="0"/>
          <c:showBubbleSize val="0"/>
        </c:dLbls>
        <c:axId val="135166592"/>
        <c:axId val="135197440"/>
      </c:scatterChart>
      <c:valAx>
        <c:axId val="135166592"/>
        <c:scaling>
          <c:orientation val="minMax"/>
          <c:max val="14"/>
        </c:scaling>
        <c:delete val="0"/>
        <c:axPos val="b"/>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5197440"/>
        <c:crosses val="autoZero"/>
        <c:crossBetween val="midCat"/>
        <c:majorUnit val="2"/>
        <c:minorUnit val="2"/>
      </c:valAx>
      <c:valAx>
        <c:axId val="135197440"/>
        <c:scaling>
          <c:orientation val="minMax"/>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5166592"/>
        <c:crosses val="autoZero"/>
        <c:crossBetween val="midCat"/>
        <c:majorUnit val="2"/>
        <c:minorUnit val="2"/>
      </c:valAx>
      <c:spPr>
        <a:solidFill>
          <a:srgbClr val="FFFFFF">
            <a:alpha val="100000"/>
          </a:srgbClr>
        </a:solidFill>
        <a:ln w="12700">
          <a:solidFill>
            <a:srgbClr val="808080">
              <a:alpha val="100000"/>
            </a:srgbClr>
          </a:solidFill>
          <a:prstDash val="solid"/>
        </a:ln>
      </c:spPr>
    </c:plotArea>
    <c:legend>
      <c:legendPos val="r"/>
      <c:overlay val="0"/>
      <c:spPr>
        <a:solidFill>
          <a:srgbClr val="FFFFFF"/>
        </a:solidFill>
        <a:ln>
          <a:solidFill>
            <a:srgbClr val="000000"/>
          </a:solidFill>
        </a:ln>
      </c:spPr>
      <c:txPr>
        <a:bodyPr rot="0" spcFirstLastPara="0" vertOverflow="ellipsis" vert="horz" wrap="square" anchor="ctr" anchorCtr="1"/>
        <a:lstStyle/>
        <a:p>
          <a:pPr>
            <a:defRPr lang="zh-CN" sz="16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TW"/>
        </a:p>
      </c:txPr>
    </c:legend>
    <c:plotVisOnly val="1"/>
    <c:dispBlanksAs val="gap"/>
    <c:showDLblsOverMax val="0"/>
  </c:chart>
  <c:spPr>
    <a:solidFill>
      <a:srgbClr val="FFFFFF"/>
    </a:solidFill>
    <a:ln w="3175" cap="flat" cmpd="sng" algn="ctr">
      <a:solidFill>
        <a:srgbClr val="000000">
          <a:alpha val="100000"/>
        </a:srgbClr>
      </a:solidFill>
      <a:prstDash val="solid"/>
      <a:round/>
    </a:ln>
  </c:spPr>
  <c:txPr>
    <a:bodyPr rot="0" wrap="square" anchor="ctr" anchorCtr="1"/>
    <a:lstStyle/>
    <a:p>
      <a:pPr>
        <a:defRPr lang="zh-CN" sz="2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2700" cap="rnd" cmpd="sng" algn="ctr">
              <a:solidFill>
                <a:srgbClr val="000080"/>
              </a:solidFill>
              <a:prstDash val="solid"/>
              <a:round/>
            </a:ln>
          </c:spPr>
          <c:marker>
            <c:symbol val="diamond"/>
            <c:size val="5"/>
            <c:spPr>
              <a:solidFill>
                <a:srgbClr val="000080"/>
              </a:solidFill>
              <a:ln w="6350" cap="flat" cmpd="sng" algn="ctr">
                <a:solidFill>
                  <a:srgbClr val="000080"/>
                </a:solidFill>
                <a:prstDash val="solid"/>
                <a:round/>
              </a:ln>
            </c:spPr>
          </c:marker>
          <c:xVal>
            <c:numLit>
              <c:formatCode>General</c:formatCode>
              <c:ptCount val="1"/>
              <c:pt idx="0">
                <c:v>0</c:v>
              </c:pt>
            </c:numLit>
          </c:xVal>
          <c:yVal>
            <c:numLit>
              <c:formatCode>General</c:formatCode>
              <c:ptCount val="1"/>
              <c:pt idx="0">
                <c:v>0</c:v>
              </c:pt>
            </c:numLit>
          </c:yVal>
          <c:smooth val="0"/>
        </c:ser>
        <c:ser>
          <c:idx val="1"/>
          <c:order val="1"/>
          <c:spPr>
            <a:ln w="12700" cap="rnd" cmpd="sng" algn="ctr">
              <a:solidFill>
                <a:srgbClr val="FF00FF"/>
              </a:solidFill>
              <a:prstDash val="solid"/>
              <a:round/>
            </a:ln>
          </c:spPr>
          <c:marker>
            <c:symbol val="square"/>
            <c:size val="5"/>
            <c:spPr>
              <a:solidFill>
                <a:srgbClr val="FF00FF"/>
              </a:solidFill>
              <a:ln w="6350" cap="flat" cmpd="sng" algn="ctr">
                <a:solidFill>
                  <a:srgbClr val="FF00FF"/>
                </a:solidFill>
                <a:prstDash val="solid"/>
                <a:round/>
              </a:ln>
            </c:spPr>
          </c:marker>
          <c:xVal>
            <c:numLit>
              <c:formatCode>General</c:formatCode>
              <c:ptCount val="1"/>
              <c:pt idx="0">
                <c:v>0</c:v>
              </c:pt>
            </c:numLit>
          </c:xVal>
          <c:yVal>
            <c:numLit>
              <c:formatCode>General</c:formatCode>
              <c:ptCount val="1"/>
              <c:pt idx="0">
                <c:v>0</c:v>
              </c:pt>
            </c:numLit>
          </c:yVal>
          <c:smooth val="0"/>
        </c:ser>
        <c:dLbls>
          <c:showLegendKey val="0"/>
          <c:showVal val="0"/>
          <c:showCatName val="0"/>
          <c:showSerName val="0"/>
          <c:showPercent val="0"/>
          <c:showBubbleSize val="0"/>
        </c:dLbls>
        <c:axId val="135291648"/>
        <c:axId val="135293568"/>
      </c:scatterChart>
      <c:valAx>
        <c:axId val="135291648"/>
        <c:scaling>
          <c:orientation val="minMax"/>
          <c:max val="14"/>
        </c:scaling>
        <c:delete val="0"/>
        <c:axPos val="b"/>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5293568"/>
        <c:crosses val="autoZero"/>
        <c:crossBetween val="midCat"/>
        <c:minorUnit val="2"/>
      </c:valAx>
      <c:valAx>
        <c:axId val="135293568"/>
        <c:scaling>
          <c:orientation val="minMax"/>
        </c:scaling>
        <c:delete val="0"/>
        <c:axPos val="l"/>
        <c:majorGridlines>
          <c:spPr>
            <a:ln w="3175" cap="flat" cmpd="sng" algn="ctr">
              <a:solidFill>
                <a:srgbClr val="000000">
                  <a:alpha val="100000"/>
                </a:srgbClr>
              </a:solidFill>
              <a:prstDash val="solid"/>
              <a:round/>
            </a:ln>
          </c:spPr>
        </c:majorGridlines>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2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5291648"/>
        <c:crosses val="autoZero"/>
        <c:crossBetween val="midCat"/>
        <c:majorUnit val="2"/>
        <c:minorUnit val="2"/>
      </c:valAx>
      <c:spPr>
        <a:solidFill>
          <a:srgbClr val="FFFFFF">
            <a:alpha val="100000"/>
          </a:srgbClr>
        </a:solidFill>
        <a:ln w="12700">
          <a:solidFill>
            <a:srgbClr val="808080">
              <a:alpha val="100000"/>
            </a:srgbClr>
          </a:solidFill>
          <a:prstDash val="solid"/>
        </a:ln>
      </c:spPr>
    </c:plotArea>
    <c:legend>
      <c:legendPos val="r"/>
      <c:overlay val="0"/>
      <c:spPr>
        <a:solidFill>
          <a:srgbClr val="FFFFFF"/>
        </a:solidFill>
        <a:ln>
          <a:solidFill>
            <a:srgbClr val="000000"/>
          </a:solidFill>
        </a:ln>
      </c:spPr>
      <c:txPr>
        <a:bodyPr rot="0" spcFirstLastPara="0" vertOverflow="ellipsis" vert="horz" wrap="square" anchor="ctr" anchorCtr="1"/>
        <a:lstStyle/>
        <a:p>
          <a:pPr>
            <a:defRPr lang="zh-CN" sz="16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TW"/>
        </a:p>
      </c:txPr>
    </c:legend>
    <c:plotVisOnly val="1"/>
    <c:dispBlanksAs val="gap"/>
    <c:showDLblsOverMax val="0"/>
  </c:chart>
  <c:spPr>
    <a:solidFill>
      <a:srgbClr val="FFFFFF">
        <a:alpha val="100000"/>
      </a:srgbClr>
    </a:solidFill>
    <a:ln w="3175" cap="flat" cmpd="sng" algn="ctr">
      <a:solidFill>
        <a:srgbClr val="000000">
          <a:alpha val="100000"/>
        </a:srgbClr>
      </a:solidFill>
      <a:prstDash val="solid"/>
      <a:round/>
    </a:ln>
  </c:spPr>
  <c:txPr>
    <a:bodyPr rot="0" wrap="square" anchor="ctr" anchorCtr="1"/>
    <a:lstStyle/>
    <a:p>
      <a:pPr>
        <a:defRPr lang="zh-CN" sz="2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spPr>
            <a:ln w="12700" cap="rnd" cmpd="sng" algn="ctr">
              <a:solidFill>
                <a:srgbClr val="000080"/>
              </a:solidFill>
              <a:prstDash val="solid"/>
              <a:round/>
            </a:ln>
          </c:spPr>
          <c:marker>
            <c:symbol val="diamond"/>
            <c:size val="5"/>
            <c:spPr>
              <a:solidFill>
                <a:srgbClr val="000080"/>
              </a:solidFill>
              <a:ln w="6350" cap="flat" cmpd="sng" algn="ctr">
                <a:solidFill>
                  <a:srgbClr val="000080"/>
                </a:solidFill>
                <a:prstDash val="solid"/>
                <a:round/>
              </a:ln>
            </c:spPr>
          </c:marker>
          <c:xVal>
            <c:numRef>
              <c:f>弹簧刚度计算大全!$J$73:$J$78</c:f>
              <c:numCache>
                <c:formatCode>General</c:formatCode>
                <c:ptCount val="6"/>
                <c:pt idx="0">
                  <c:v>0</c:v>
                </c:pt>
                <c:pt idx="1">
                  <c:v>10</c:v>
                </c:pt>
                <c:pt idx="2">
                  <c:v>20</c:v>
                </c:pt>
                <c:pt idx="3">
                  <c:v>30</c:v>
                </c:pt>
                <c:pt idx="4">
                  <c:v>40</c:v>
                </c:pt>
                <c:pt idx="5">
                  <c:v>50</c:v>
                </c:pt>
              </c:numCache>
            </c:numRef>
          </c:xVal>
          <c:yVal>
            <c:numRef>
              <c:f>弹簧刚度计算大全!$N$73:$N$78</c:f>
              <c:numCache>
                <c:formatCode>0.00_ </c:formatCode>
                <c:ptCount val="6"/>
                <c:pt idx="0">
                  <c:v>0</c:v>
                </c:pt>
                <c:pt idx="1">
                  <c:v>4.1666666666666696</c:v>
                </c:pt>
                <c:pt idx="2">
                  <c:v>8.3666666666666707</c:v>
                </c:pt>
                <c:pt idx="3">
                  <c:v>12.633333333333301</c:v>
                </c:pt>
                <c:pt idx="4">
                  <c:v>16.899999999999999</c:v>
                </c:pt>
                <c:pt idx="5">
                  <c:v>21.1</c:v>
                </c:pt>
              </c:numCache>
            </c:numRef>
          </c:yVal>
          <c:smooth val="1"/>
        </c:ser>
        <c:dLbls>
          <c:showLegendKey val="0"/>
          <c:showVal val="0"/>
          <c:showCatName val="0"/>
          <c:showSerName val="0"/>
          <c:showPercent val="0"/>
          <c:showBubbleSize val="0"/>
        </c:dLbls>
        <c:axId val="135317376"/>
        <c:axId val="135323648"/>
      </c:scatterChart>
      <c:valAx>
        <c:axId val="135317376"/>
        <c:scaling>
          <c:orientation val="minMax"/>
        </c:scaling>
        <c:delete val="0"/>
        <c:axPos val="b"/>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5323648"/>
        <c:crosses val="autoZero"/>
        <c:crossBetween val="midCat"/>
      </c:valAx>
      <c:valAx>
        <c:axId val="135323648"/>
        <c:scaling>
          <c:orientation val="minMax"/>
        </c:scaling>
        <c:delete val="0"/>
        <c:axPos val="l"/>
        <c:majorGridlines>
          <c:spPr>
            <a:ln w="3175" cap="flat" cmpd="sng" algn="ctr">
              <a:solidFill>
                <a:srgbClr val="000000">
                  <a:alpha val="100000"/>
                </a:srgbClr>
              </a:solidFill>
              <a:prstDash val="solid"/>
              <a:round/>
            </a:ln>
          </c:spPr>
        </c:majorGridlines>
        <c:numFmt formatCode="0.00_ "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00" b="0" i="0" u="none" strike="noStrike" kern="1200"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crossAx val="135317376"/>
        <c:crosses val="autoZero"/>
        <c:crossBetween val="midCat"/>
      </c:valAx>
      <c:spPr>
        <a:solidFill>
          <a:srgbClr val="C0C0C0">
            <a:alpha val="100000"/>
          </a:srgbClr>
        </a:solidFill>
        <a:ln w="12700">
          <a:solidFill>
            <a:srgbClr val="808080">
              <a:alpha val="100000"/>
            </a:srgbClr>
          </a:solidFill>
          <a:prstDash val="solid"/>
        </a:ln>
      </c:spPr>
    </c:plotArea>
    <c:legend>
      <c:legendPos val="r"/>
      <c:layout>
        <c:manualLayout>
          <c:xMode val="edge"/>
          <c:yMode val="edge"/>
          <c:x val="0.76674983808842201"/>
          <c:y val="0.40700029163021301"/>
          <c:w val="0.22850000000000001"/>
          <c:h val="9.4E-2"/>
        </c:manualLayout>
      </c:layout>
      <c:overlay val="0"/>
      <c:spPr>
        <a:solidFill>
          <a:srgbClr val="FFFFFF"/>
        </a:solidFill>
        <a:ln>
          <a:solidFill>
            <a:srgbClr val="000000"/>
          </a:solidFill>
        </a:ln>
      </c:spPr>
      <c:txPr>
        <a:bodyPr rot="0" spcFirstLastPara="0" vertOverflow="ellipsis" vert="horz" wrap="square" anchor="ctr" anchorCtr="1"/>
        <a:lstStyle/>
        <a:p>
          <a:pPr>
            <a:defRPr lang="zh-CN" sz="6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TW"/>
        </a:p>
      </c:txPr>
    </c:legend>
    <c:plotVisOnly val="1"/>
    <c:dispBlanksAs val="gap"/>
    <c:showDLblsOverMax val="0"/>
  </c:chart>
  <c:spPr>
    <a:solidFill>
      <a:srgbClr val="FFFFFF"/>
    </a:solidFill>
    <a:ln w="3175" cap="flat" cmpd="sng" algn="ctr">
      <a:solidFill>
        <a:srgbClr val="000000">
          <a:alpha val="100000"/>
        </a:srgbClr>
      </a:solidFill>
      <a:prstDash val="solid"/>
      <a:round/>
    </a:ln>
  </c:spPr>
  <c:txPr>
    <a:bodyPr rot="0" wrap="square" anchor="ctr" anchorCtr="1"/>
    <a:lstStyle/>
    <a:p>
      <a:pPr>
        <a:defRPr lang="zh-CN" sz="800" b="0"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defRPr>
      </a:pPr>
      <a:endParaRPr lang="zh-TW"/>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png"/></Relationships>
</file>

<file path=xl/drawings/_rels/drawing9.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5" Type="http://schemas.openxmlformats.org/officeDocument/2006/relationships/image" Target="../media/image6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5.png"/><Relationship Id="rId3" Type="http://schemas.openxmlformats.org/officeDocument/2006/relationships/image" Target="../media/image90.png"/><Relationship Id="rId7" Type="http://schemas.openxmlformats.org/officeDocument/2006/relationships/image" Target="../media/image94.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04.png"/><Relationship Id="rId7" Type="http://schemas.openxmlformats.org/officeDocument/2006/relationships/image" Target="../media/image108.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105.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16.png"/><Relationship Id="rId3" Type="http://schemas.openxmlformats.org/officeDocument/2006/relationships/image" Target="../media/image111.png"/><Relationship Id="rId7" Type="http://schemas.openxmlformats.org/officeDocument/2006/relationships/image" Target="../media/image115.png"/><Relationship Id="rId2" Type="http://schemas.openxmlformats.org/officeDocument/2006/relationships/image" Target="../media/image110.png"/><Relationship Id="rId1" Type="http://schemas.openxmlformats.org/officeDocument/2006/relationships/image" Target="../media/image109.png"/><Relationship Id="rId6" Type="http://schemas.openxmlformats.org/officeDocument/2006/relationships/image" Target="../media/image114.png"/><Relationship Id="rId5" Type="http://schemas.openxmlformats.org/officeDocument/2006/relationships/image" Target="../media/image113.png"/><Relationship Id="rId10" Type="http://schemas.openxmlformats.org/officeDocument/2006/relationships/image" Target="../media/image118.png"/><Relationship Id="rId4" Type="http://schemas.openxmlformats.org/officeDocument/2006/relationships/image" Target="../media/image112.png"/><Relationship Id="rId9" Type="http://schemas.openxmlformats.org/officeDocument/2006/relationships/image" Target="../media/image117.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26.png"/><Relationship Id="rId3" Type="http://schemas.openxmlformats.org/officeDocument/2006/relationships/image" Target="../media/image121.png"/><Relationship Id="rId7" Type="http://schemas.openxmlformats.org/officeDocument/2006/relationships/image" Target="../media/image125.png"/><Relationship Id="rId2" Type="http://schemas.openxmlformats.org/officeDocument/2006/relationships/image" Target="../media/image120.png"/><Relationship Id="rId1" Type="http://schemas.openxmlformats.org/officeDocument/2006/relationships/image" Target="../media/image119.png"/><Relationship Id="rId6" Type="http://schemas.openxmlformats.org/officeDocument/2006/relationships/image" Target="../media/image124.png"/><Relationship Id="rId5" Type="http://schemas.openxmlformats.org/officeDocument/2006/relationships/image" Target="../media/image123.png"/><Relationship Id="rId10" Type="http://schemas.openxmlformats.org/officeDocument/2006/relationships/image" Target="../media/image128.png"/><Relationship Id="rId4" Type="http://schemas.openxmlformats.org/officeDocument/2006/relationships/image" Target="../media/image122.png"/><Relationship Id="rId9" Type="http://schemas.openxmlformats.org/officeDocument/2006/relationships/image" Target="../media/image12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31.png"/><Relationship Id="rId7" Type="http://schemas.openxmlformats.org/officeDocument/2006/relationships/image" Target="../media/image135.png"/><Relationship Id="rId2" Type="http://schemas.openxmlformats.org/officeDocument/2006/relationships/image" Target="../media/image130.png"/><Relationship Id="rId1" Type="http://schemas.openxmlformats.org/officeDocument/2006/relationships/image" Target="../media/image129.png"/><Relationship Id="rId6" Type="http://schemas.openxmlformats.org/officeDocument/2006/relationships/image" Target="../media/image134.png"/><Relationship Id="rId5" Type="http://schemas.openxmlformats.org/officeDocument/2006/relationships/image" Target="../media/image133.png"/><Relationship Id="rId4" Type="http://schemas.openxmlformats.org/officeDocument/2006/relationships/image" Target="../media/image13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5" Type="http://schemas.openxmlformats.org/officeDocument/2006/relationships/image" Target="../media/image140.png"/><Relationship Id="rId4" Type="http://schemas.openxmlformats.org/officeDocument/2006/relationships/image" Target="../media/image139.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 Id="rId9" Type="http://schemas.openxmlformats.org/officeDocument/2006/relationships/image" Target="../media/image150.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image" Target="../media/image151.png"/><Relationship Id="rId6" Type="http://schemas.openxmlformats.org/officeDocument/2006/relationships/image" Target="../media/image156.png"/><Relationship Id="rId5" Type="http://schemas.openxmlformats.org/officeDocument/2006/relationships/image" Target="../media/image155.png"/><Relationship Id="rId4" Type="http://schemas.openxmlformats.org/officeDocument/2006/relationships/image" Target="../media/image154.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64.png"/><Relationship Id="rId3" Type="http://schemas.openxmlformats.org/officeDocument/2006/relationships/image" Target="../media/image159.png"/><Relationship Id="rId7" Type="http://schemas.openxmlformats.org/officeDocument/2006/relationships/image" Target="../media/image163.png"/><Relationship Id="rId2" Type="http://schemas.openxmlformats.org/officeDocument/2006/relationships/image" Target="../media/image158.png"/><Relationship Id="rId1" Type="http://schemas.openxmlformats.org/officeDocument/2006/relationships/image" Target="../media/image157.png"/><Relationship Id="rId6" Type="http://schemas.openxmlformats.org/officeDocument/2006/relationships/image" Target="../media/image162.png"/><Relationship Id="rId5" Type="http://schemas.openxmlformats.org/officeDocument/2006/relationships/image" Target="../media/image161.png"/><Relationship Id="rId4" Type="http://schemas.openxmlformats.org/officeDocument/2006/relationships/image" Target="../media/image160.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72.png"/><Relationship Id="rId3" Type="http://schemas.openxmlformats.org/officeDocument/2006/relationships/image" Target="../media/image167.png"/><Relationship Id="rId7" Type="http://schemas.openxmlformats.org/officeDocument/2006/relationships/image" Target="../media/image171.png"/><Relationship Id="rId2" Type="http://schemas.openxmlformats.org/officeDocument/2006/relationships/image" Target="../media/image166.png"/><Relationship Id="rId1" Type="http://schemas.openxmlformats.org/officeDocument/2006/relationships/image" Target="../media/image165.png"/><Relationship Id="rId6" Type="http://schemas.openxmlformats.org/officeDocument/2006/relationships/image" Target="../media/image170.png"/><Relationship Id="rId5" Type="http://schemas.openxmlformats.org/officeDocument/2006/relationships/image" Target="../media/image16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77.png"/><Relationship Id="rId7" Type="http://schemas.openxmlformats.org/officeDocument/2006/relationships/image" Target="../media/image181.png"/><Relationship Id="rId2" Type="http://schemas.openxmlformats.org/officeDocument/2006/relationships/image" Target="../media/image176.png"/><Relationship Id="rId1" Type="http://schemas.openxmlformats.org/officeDocument/2006/relationships/image" Target="../media/image175.png"/><Relationship Id="rId6" Type="http://schemas.openxmlformats.org/officeDocument/2006/relationships/image" Target="../media/image180.png"/><Relationship Id="rId5" Type="http://schemas.openxmlformats.org/officeDocument/2006/relationships/image" Target="../media/image179.png"/><Relationship Id="rId4" Type="http://schemas.openxmlformats.org/officeDocument/2006/relationships/image" Target="../media/image178.png"/></Relationships>
</file>

<file path=xl/drawings/_rels/drawing3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5.xml.rels><?xml version="1.0" encoding="UTF-8" standalone="yes"?>
<Relationships xmlns="http://schemas.openxmlformats.org/package/2006/relationships"><Relationship Id="rId1" Type="http://schemas.openxmlformats.org/officeDocument/2006/relationships/image" Target="../media/image182.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5" Type="http://schemas.openxmlformats.org/officeDocument/2006/relationships/image" Target="../media/image187.png"/><Relationship Id="rId4" Type="http://schemas.openxmlformats.org/officeDocument/2006/relationships/image" Target="../media/image18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88.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5" Type="http://schemas.openxmlformats.org/officeDocument/2006/relationships/image" Target="../media/image187.png"/><Relationship Id="rId4" Type="http://schemas.openxmlformats.org/officeDocument/2006/relationships/image" Target="../media/image18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5" Type="http://schemas.openxmlformats.org/officeDocument/2006/relationships/image" Target="../media/image187.png"/><Relationship Id="rId4" Type="http://schemas.openxmlformats.org/officeDocument/2006/relationships/image" Target="../media/image186.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5" Type="http://schemas.openxmlformats.org/officeDocument/2006/relationships/image" Target="../media/image187.png"/><Relationship Id="rId4" Type="http://schemas.openxmlformats.org/officeDocument/2006/relationships/image" Target="../media/image186.png"/></Relationships>
</file>

<file path=xl/drawings/_rels/drawing41.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42.xml.rels><?xml version="1.0" encoding="UTF-8" standalone="yes"?>
<Relationships xmlns="http://schemas.openxmlformats.org/package/2006/relationships"><Relationship Id="rId3" Type="http://schemas.openxmlformats.org/officeDocument/2006/relationships/image" Target="../media/image191.png"/><Relationship Id="rId7" Type="http://schemas.openxmlformats.org/officeDocument/2006/relationships/image" Target="../media/image195.png"/><Relationship Id="rId2" Type="http://schemas.openxmlformats.org/officeDocument/2006/relationships/image" Target="../media/image190.png"/><Relationship Id="rId1" Type="http://schemas.openxmlformats.org/officeDocument/2006/relationships/image" Target="../media/image189.png"/><Relationship Id="rId6" Type="http://schemas.openxmlformats.org/officeDocument/2006/relationships/image" Target="../media/image194.png"/><Relationship Id="rId5" Type="http://schemas.openxmlformats.org/officeDocument/2006/relationships/image" Target="../media/image193.png"/><Relationship Id="rId4" Type="http://schemas.openxmlformats.org/officeDocument/2006/relationships/image" Target="../media/image192.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 Id="rId5" Type="http://schemas.openxmlformats.org/officeDocument/2006/relationships/image" Target="../media/image200.png"/><Relationship Id="rId4" Type="http://schemas.openxmlformats.org/officeDocument/2006/relationships/image" Target="../media/image199.png"/></Relationships>
</file>

<file path=xl/drawings/_rels/drawing44.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s>
</file>

<file path=xl/drawings/_rels/drawing45.xml.rels><?xml version="1.0" encoding="UTF-8" standalone="yes"?>
<Relationships xmlns="http://schemas.openxmlformats.org/package/2006/relationships"><Relationship Id="rId3" Type="http://schemas.openxmlformats.org/officeDocument/2006/relationships/image" Target="../media/image206.png"/><Relationship Id="rId2" Type="http://schemas.openxmlformats.org/officeDocument/2006/relationships/image" Target="../media/image205.png"/><Relationship Id="rId1" Type="http://schemas.openxmlformats.org/officeDocument/2006/relationships/image" Target="../media/image204.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07.png"/></Relationships>
</file>

<file path=xl/drawings/_rels/drawing47.xml.rels><?xml version="1.0" encoding="UTF-8" standalone="yes"?>
<Relationships xmlns="http://schemas.openxmlformats.org/package/2006/relationships"><Relationship Id="rId3" Type="http://schemas.openxmlformats.org/officeDocument/2006/relationships/image" Target="../media/image209.GIF"/><Relationship Id="rId2" Type="http://schemas.openxmlformats.org/officeDocument/2006/relationships/image" Target="NULL" TargetMode="External"/><Relationship Id="rId1" Type="http://schemas.openxmlformats.org/officeDocument/2006/relationships/image" Target="../media/image208.GIF"/></Relationships>
</file>

<file path=xl/drawings/_rels/drawing48.xml.rels><?xml version="1.0" encoding="UTF-8" standalone="yes"?>
<Relationships xmlns="http://schemas.openxmlformats.org/package/2006/relationships"><Relationship Id="rId3" Type="http://schemas.openxmlformats.org/officeDocument/2006/relationships/image" Target="../media/image210.GIF"/><Relationship Id="rId2" Type="http://schemas.openxmlformats.org/officeDocument/2006/relationships/image" Target="NULL" TargetMode="External"/><Relationship Id="rId1" Type="http://schemas.openxmlformats.org/officeDocument/2006/relationships/image" Target="../media/image208.GIF"/></Relationships>
</file>

<file path=xl/drawings/_rels/drawing49.xml.rels><?xml version="1.0" encoding="UTF-8" standalone="yes"?>
<Relationships xmlns="http://schemas.openxmlformats.org/package/2006/relationships"><Relationship Id="rId3" Type="http://schemas.openxmlformats.org/officeDocument/2006/relationships/image" Target="../media/image211.GIF"/><Relationship Id="rId2" Type="http://schemas.openxmlformats.org/officeDocument/2006/relationships/image" Target="NULL" TargetMode="External"/><Relationship Id="rId1" Type="http://schemas.openxmlformats.org/officeDocument/2006/relationships/image" Target="../media/image208.GIF"/></Relationships>
</file>

<file path=xl/drawings/_rels/drawing50.xml.rels><?xml version="1.0" encoding="UTF-8" standalone="yes"?>
<Relationships xmlns="http://schemas.openxmlformats.org/package/2006/relationships"><Relationship Id="rId1" Type="http://schemas.openxmlformats.org/officeDocument/2006/relationships/image" Target="../media/image212.png"/></Relationships>
</file>

<file path=xl/drawings/_rels/drawing51.xml.rels><?xml version="1.0" encoding="UTF-8" standalone="yes"?>
<Relationships xmlns="http://schemas.openxmlformats.org/package/2006/relationships"><Relationship Id="rId3" Type="http://schemas.openxmlformats.org/officeDocument/2006/relationships/image" Target="../media/image215.png"/><Relationship Id="rId7" Type="http://schemas.openxmlformats.org/officeDocument/2006/relationships/image" Target="../media/image219.png"/><Relationship Id="rId2" Type="http://schemas.openxmlformats.org/officeDocument/2006/relationships/image" Target="../media/image214.png"/><Relationship Id="rId1" Type="http://schemas.openxmlformats.org/officeDocument/2006/relationships/image" Target="../media/image213.png"/><Relationship Id="rId6" Type="http://schemas.openxmlformats.org/officeDocument/2006/relationships/image" Target="../media/image218.png"/><Relationship Id="rId5" Type="http://schemas.openxmlformats.org/officeDocument/2006/relationships/image" Target="../media/image217.png"/><Relationship Id="rId4" Type="http://schemas.openxmlformats.org/officeDocument/2006/relationships/image" Target="../media/image216.png"/></Relationships>
</file>

<file path=xl/drawings/_rels/drawing57.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289.png"/><Relationship Id="rId1" Type="http://schemas.openxmlformats.org/officeDocument/2006/relationships/image" Target="../media/image28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91.jpeg"/></Relationships>
</file>

<file path=xl/drawings/_rels/drawing59.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emf"/></Relationships>
</file>

<file path=xl/drawings/_rels/drawing60.xml.rels><?xml version="1.0" encoding="UTF-8" standalone="yes"?>
<Relationships xmlns="http://schemas.openxmlformats.org/package/2006/relationships"><Relationship Id="rId2" Type="http://schemas.openxmlformats.org/officeDocument/2006/relationships/image" Target="../media/image295.tiff"/><Relationship Id="rId1" Type="http://schemas.openxmlformats.org/officeDocument/2006/relationships/image" Target="../media/image294.GIF"/></Relationships>
</file>

<file path=xl/drawings/_rels/drawing61.xml.rels><?xml version="1.0" encoding="UTF-8" standalone="yes"?>
<Relationships xmlns="http://schemas.openxmlformats.org/package/2006/relationships"><Relationship Id="rId2" Type="http://schemas.openxmlformats.org/officeDocument/2006/relationships/image" Target="../media/image298.png"/><Relationship Id="rId1" Type="http://schemas.openxmlformats.org/officeDocument/2006/relationships/image" Target="../media/image297.png"/></Relationships>
</file>

<file path=xl/drawings/_rels/drawing62.xml.rels><?xml version="1.0" encoding="UTF-8" standalone="yes"?>
<Relationships xmlns="http://schemas.openxmlformats.org/package/2006/relationships"><Relationship Id="rId3" Type="http://schemas.openxmlformats.org/officeDocument/2006/relationships/image" Target="../media/image301.tiff"/><Relationship Id="rId2" Type="http://schemas.openxmlformats.org/officeDocument/2006/relationships/image" Target="../media/image300.png"/><Relationship Id="rId1" Type="http://schemas.openxmlformats.org/officeDocument/2006/relationships/image" Target="../media/image299.GIF"/></Relationships>
</file>

<file path=xl/drawings/_rels/drawing63.xml.rels><?xml version="1.0" encoding="UTF-8" standalone="yes"?>
<Relationships xmlns="http://schemas.openxmlformats.org/package/2006/relationships"><Relationship Id="rId1" Type="http://schemas.openxmlformats.org/officeDocument/2006/relationships/image" Target="../media/image306.png"/></Relationships>
</file>

<file path=xl/drawings/_rels/drawing64.xml.rels><?xml version="1.0" encoding="UTF-8" standalone="yes"?>
<Relationships xmlns="http://schemas.openxmlformats.org/package/2006/relationships"><Relationship Id="rId2" Type="http://schemas.openxmlformats.org/officeDocument/2006/relationships/image" Target="../media/image308.png"/><Relationship Id="rId1" Type="http://schemas.openxmlformats.org/officeDocument/2006/relationships/image" Target="../media/image307.png"/></Relationships>
</file>

<file path=xl/drawings/_rels/drawing66.xml.rels><?xml version="1.0" encoding="UTF-8" standalone="yes"?>
<Relationships xmlns="http://schemas.openxmlformats.org/package/2006/relationships"><Relationship Id="rId8" Type="http://schemas.openxmlformats.org/officeDocument/2006/relationships/image" Target="../media/image317.jpeg"/><Relationship Id="rId3" Type="http://schemas.openxmlformats.org/officeDocument/2006/relationships/image" Target="../media/image312.jpeg"/><Relationship Id="rId7" Type="http://schemas.openxmlformats.org/officeDocument/2006/relationships/image" Target="../media/image316.jpeg"/><Relationship Id="rId2" Type="http://schemas.openxmlformats.org/officeDocument/2006/relationships/image" Target="../media/image311.jpeg"/><Relationship Id="rId1" Type="http://schemas.openxmlformats.org/officeDocument/2006/relationships/image" Target="../media/image310.jpeg"/><Relationship Id="rId6" Type="http://schemas.openxmlformats.org/officeDocument/2006/relationships/image" Target="../media/image315.jpeg"/><Relationship Id="rId5" Type="http://schemas.openxmlformats.org/officeDocument/2006/relationships/image" Target="../media/image314.jpeg"/><Relationship Id="rId4" Type="http://schemas.openxmlformats.org/officeDocument/2006/relationships/image" Target="../media/image313.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318.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319.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320.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321.png"/></Relationships>
</file>

<file path=xl/drawings/_rels/drawing73.xml.rels><?xml version="1.0" encoding="UTF-8" standalone="yes"?>
<Relationships xmlns="http://schemas.openxmlformats.org/package/2006/relationships"><Relationship Id="rId3" Type="http://schemas.openxmlformats.org/officeDocument/2006/relationships/image" Target="../media/image330.emf"/><Relationship Id="rId2" Type="http://schemas.openxmlformats.org/officeDocument/2006/relationships/image" Target="../media/image329.emf"/><Relationship Id="rId1" Type="http://schemas.openxmlformats.org/officeDocument/2006/relationships/image" Target="../media/image328.emf"/><Relationship Id="rId4" Type="http://schemas.openxmlformats.org/officeDocument/2006/relationships/image" Target="../media/image331.emf"/></Relationships>
</file>

<file path=xl/drawings/_rels/drawing74.xml.rels><?xml version="1.0" encoding="UTF-8" standalone="yes"?>
<Relationships xmlns="http://schemas.openxmlformats.org/package/2006/relationships"><Relationship Id="rId3" Type="http://schemas.openxmlformats.org/officeDocument/2006/relationships/image" Target="../media/image341.png"/><Relationship Id="rId2" Type="http://schemas.openxmlformats.org/officeDocument/2006/relationships/image" Target="../media/image340.png"/><Relationship Id="rId1" Type="http://schemas.openxmlformats.org/officeDocument/2006/relationships/image" Target="../media/image339.png"/><Relationship Id="rId6" Type="http://schemas.openxmlformats.org/officeDocument/2006/relationships/image" Target="../media/image185.png"/><Relationship Id="rId5" Type="http://schemas.openxmlformats.org/officeDocument/2006/relationships/image" Target="../media/image343.png"/><Relationship Id="rId4" Type="http://schemas.openxmlformats.org/officeDocument/2006/relationships/image" Target="../media/image342.png"/></Relationships>
</file>

<file path=xl/drawings/_rels/drawing75.xml.rels><?xml version="1.0" encoding="UTF-8" standalone="yes"?>
<Relationships xmlns="http://schemas.openxmlformats.org/package/2006/relationships"><Relationship Id="rId3" Type="http://schemas.openxmlformats.org/officeDocument/2006/relationships/image" Target="../media/image355.emf"/><Relationship Id="rId2" Type="http://schemas.openxmlformats.org/officeDocument/2006/relationships/image" Target="../media/image354.png"/><Relationship Id="rId1" Type="http://schemas.openxmlformats.org/officeDocument/2006/relationships/image" Target="../media/image353.emf"/></Relationships>
</file>

<file path=xl/drawings/_rels/drawing76.xml.rels><?xml version="1.0" encoding="UTF-8" standalone="yes"?>
<Relationships xmlns="http://schemas.openxmlformats.org/package/2006/relationships"><Relationship Id="rId2" Type="http://schemas.openxmlformats.org/officeDocument/2006/relationships/image" Target="../media/image355.emf"/><Relationship Id="rId1" Type="http://schemas.openxmlformats.org/officeDocument/2006/relationships/image" Target="../media/image353.emf"/></Relationships>
</file>

<file path=xl/drawings/_rels/drawing77.xml.rels><?xml version="1.0" encoding="UTF-8" standalone="yes"?>
<Relationships xmlns="http://schemas.openxmlformats.org/package/2006/relationships"><Relationship Id="rId2" Type="http://schemas.openxmlformats.org/officeDocument/2006/relationships/image" Target="../media/image364.png"/><Relationship Id="rId1" Type="http://schemas.openxmlformats.org/officeDocument/2006/relationships/image" Target="../media/image36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354.png"/><Relationship Id="rId1" Type="http://schemas.openxmlformats.org/officeDocument/2006/relationships/image" Target="../media/image353.emf"/></Relationships>
</file>

<file path=xl/drawings/_rels/drawing80.xml.rels><?xml version="1.0" encoding="UTF-8" standalone="yes"?>
<Relationships xmlns="http://schemas.openxmlformats.org/package/2006/relationships"><Relationship Id="rId2" Type="http://schemas.openxmlformats.org/officeDocument/2006/relationships/image" Target="../media/image369.png"/><Relationship Id="rId1" Type="http://schemas.openxmlformats.org/officeDocument/2006/relationships/image" Target="../media/image368.png"/></Relationships>
</file>

<file path=xl/drawings/_rels/drawing81.xml.rels><?xml version="1.0" encoding="UTF-8" standalone="yes"?>
<Relationships xmlns="http://schemas.openxmlformats.org/package/2006/relationships"><Relationship Id="rId3" Type="http://schemas.openxmlformats.org/officeDocument/2006/relationships/image" Target="../media/image372.png"/><Relationship Id="rId2" Type="http://schemas.openxmlformats.org/officeDocument/2006/relationships/image" Target="../media/image371.png"/><Relationship Id="rId1" Type="http://schemas.openxmlformats.org/officeDocument/2006/relationships/image" Target="../media/image370.png"/></Relationships>
</file>

<file path=xl/drawings/_rels/drawing82.xml.rels><?xml version="1.0" encoding="UTF-8" standalone="yes"?>
<Relationships xmlns="http://schemas.openxmlformats.org/package/2006/relationships"><Relationship Id="rId1" Type="http://schemas.openxmlformats.org/officeDocument/2006/relationships/image" Target="../media/image373.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374.png"/></Relationships>
</file>

<file path=xl/drawings/_rels/drawing84.xml.rels><?xml version="1.0" encoding="UTF-8" standalone="yes"?>
<Relationships xmlns="http://schemas.openxmlformats.org/package/2006/relationships"><Relationship Id="rId2" Type="http://schemas.openxmlformats.org/officeDocument/2006/relationships/image" Target="../media/image376.GIF"/><Relationship Id="rId1" Type="http://schemas.openxmlformats.org/officeDocument/2006/relationships/image" Target="../media/image375.wmf"/></Relationships>
</file>

<file path=xl/drawings/_rels/drawing85.xml.rels><?xml version="1.0" encoding="UTF-8" standalone="yes"?>
<Relationships xmlns="http://schemas.openxmlformats.org/package/2006/relationships"><Relationship Id="rId1" Type="http://schemas.openxmlformats.org/officeDocument/2006/relationships/image" Target="../media/image377.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378.png"/></Relationships>
</file>

<file path=xl/drawings/_rels/drawing89.xml.rels><?xml version="1.0" encoding="UTF-8" standalone="yes"?>
<Relationships xmlns="http://schemas.openxmlformats.org/package/2006/relationships"><Relationship Id="rId1" Type="http://schemas.openxmlformats.org/officeDocument/2006/relationships/image" Target="../media/image291.jpe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4.emf"/><Relationship Id="rId3" Type="http://schemas.openxmlformats.org/officeDocument/2006/relationships/image" Target="../media/image9.emf"/><Relationship Id="rId7" Type="http://schemas.openxmlformats.org/officeDocument/2006/relationships/image" Target="../media/image13.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2.emf"/><Relationship Id="rId11" Type="http://schemas.openxmlformats.org/officeDocument/2006/relationships/image" Target="../media/image17.emf"/><Relationship Id="rId5" Type="http://schemas.openxmlformats.org/officeDocument/2006/relationships/image" Target="../media/image11.emf"/><Relationship Id="rId10" Type="http://schemas.openxmlformats.org/officeDocument/2006/relationships/image" Target="../media/image16.emf"/><Relationship Id="rId4" Type="http://schemas.openxmlformats.org/officeDocument/2006/relationships/image" Target="../media/image10.emf"/><Relationship Id="rId9" Type="http://schemas.openxmlformats.org/officeDocument/2006/relationships/image" Target="../media/image15.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25.emf"/><Relationship Id="rId3" Type="http://schemas.openxmlformats.org/officeDocument/2006/relationships/image" Target="../media/image20.emf"/><Relationship Id="rId7" Type="http://schemas.openxmlformats.org/officeDocument/2006/relationships/image" Target="../media/image24.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27.emf"/><Relationship Id="rId1" Type="http://schemas.openxmlformats.org/officeDocument/2006/relationships/image" Target="../media/image26.emf"/></Relationships>
</file>

<file path=xl/drawings/_rels/vmlDrawing8.vml.rels><?xml version="1.0" encoding="UTF-8" standalone="yes"?>
<Relationships xmlns="http://schemas.openxmlformats.org/package/2006/relationships"><Relationship Id="rId8" Type="http://schemas.openxmlformats.org/officeDocument/2006/relationships/image" Target="../media/image227.wmf"/><Relationship Id="rId13" Type="http://schemas.openxmlformats.org/officeDocument/2006/relationships/image" Target="../media/image232.emf"/><Relationship Id="rId3" Type="http://schemas.openxmlformats.org/officeDocument/2006/relationships/image" Target="../media/image222.wmf"/><Relationship Id="rId7" Type="http://schemas.openxmlformats.org/officeDocument/2006/relationships/image" Target="../media/image226.emf"/><Relationship Id="rId12" Type="http://schemas.openxmlformats.org/officeDocument/2006/relationships/image" Target="../media/image231.emf"/><Relationship Id="rId2" Type="http://schemas.openxmlformats.org/officeDocument/2006/relationships/image" Target="../media/image221.wmf"/><Relationship Id="rId1" Type="http://schemas.openxmlformats.org/officeDocument/2006/relationships/image" Target="../media/image220.wmf"/><Relationship Id="rId6" Type="http://schemas.openxmlformats.org/officeDocument/2006/relationships/image" Target="../media/image225.wmf"/><Relationship Id="rId11" Type="http://schemas.openxmlformats.org/officeDocument/2006/relationships/image" Target="../media/image230.emf"/><Relationship Id="rId5" Type="http://schemas.openxmlformats.org/officeDocument/2006/relationships/image" Target="../media/image224.wmf"/><Relationship Id="rId10" Type="http://schemas.openxmlformats.org/officeDocument/2006/relationships/image" Target="../media/image229.emf"/><Relationship Id="rId4" Type="http://schemas.openxmlformats.org/officeDocument/2006/relationships/image" Target="../media/image223.wmf"/><Relationship Id="rId9" Type="http://schemas.openxmlformats.org/officeDocument/2006/relationships/image" Target="../media/image228.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240.wmf"/><Relationship Id="rId3" Type="http://schemas.openxmlformats.org/officeDocument/2006/relationships/image" Target="../media/image235.wmf"/><Relationship Id="rId7" Type="http://schemas.openxmlformats.org/officeDocument/2006/relationships/image" Target="../media/image239.emf"/><Relationship Id="rId2" Type="http://schemas.openxmlformats.org/officeDocument/2006/relationships/image" Target="../media/image234.wmf"/><Relationship Id="rId1" Type="http://schemas.openxmlformats.org/officeDocument/2006/relationships/image" Target="../media/image233.wmf"/><Relationship Id="rId6" Type="http://schemas.openxmlformats.org/officeDocument/2006/relationships/image" Target="../media/image238.emf"/><Relationship Id="rId5" Type="http://schemas.openxmlformats.org/officeDocument/2006/relationships/image" Target="../media/image237.wmf"/><Relationship Id="rId10" Type="http://schemas.openxmlformats.org/officeDocument/2006/relationships/image" Target="../media/image242.wmf"/><Relationship Id="rId4" Type="http://schemas.openxmlformats.org/officeDocument/2006/relationships/image" Target="../media/image236.wmf"/><Relationship Id="rId9" Type="http://schemas.openxmlformats.org/officeDocument/2006/relationships/image" Target="../media/image241.w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250.wmf"/><Relationship Id="rId13" Type="http://schemas.openxmlformats.org/officeDocument/2006/relationships/image" Target="../media/image255.wmf"/><Relationship Id="rId18" Type="http://schemas.openxmlformats.org/officeDocument/2006/relationships/image" Target="../media/image260.emf"/><Relationship Id="rId3" Type="http://schemas.openxmlformats.org/officeDocument/2006/relationships/image" Target="../media/image245.wmf"/><Relationship Id="rId7" Type="http://schemas.openxmlformats.org/officeDocument/2006/relationships/image" Target="../media/image249.wmf"/><Relationship Id="rId12" Type="http://schemas.openxmlformats.org/officeDocument/2006/relationships/image" Target="../media/image254.wmf"/><Relationship Id="rId17" Type="http://schemas.openxmlformats.org/officeDocument/2006/relationships/image" Target="../media/image259.emf"/><Relationship Id="rId2" Type="http://schemas.openxmlformats.org/officeDocument/2006/relationships/image" Target="../media/image244.wmf"/><Relationship Id="rId16" Type="http://schemas.openxmlformats.org/officeDocument/2006/relationships/image" Target="../media/image258.emf"/><Relationship Id="rId1" Type="http://schemas.openxmlformats.org/officeDocument/2006/relationships/image" Target="../media/image243.wmf"/><Relationship Id="rId6" Type="http://schemas.openxmlformats.org/officeDocument/2006/relationships/image" Target="../media/image248.wmf"/><Relationship Id="rId11" Type="http://schemas.openxmlformats.org/officeDocument/2006/relationships/image" Target="../media/image253.wmf"/><Relationship Id="rId5" Type="http://schemas.openxmlformats.org/officeDocument/2006/relationships/image" Target="../media/image247.wmf"/><Relationship Id="rId15" Type="http://schemas.openxmlformats.org/officeDocument/2006/relationships/image" Target="../media/image257.emf"/><Relationship Id="rId10" Type="http://schemas.openxmlformats.org/officeDocument/2006/relationships/image" Target="../media/image252.wmf"/><Relationship Id="rId19" Type="http://schemas.openxmlformats.org/officeDocument/2006/relationships/image" Target="../media/image261.emf"/><Relationship Id="rId4" Type="http://schemas.openxmlformats.org/officeDocument/2006/relationships/image" Target="../media/image246.wmf"/><Relationship Id="rId9" Type="http://schemas.openxmlformats.org/officeDocument/2006/relationships/image" Target="../media/image251.wmf"/><Relationship Id="rId14" Type="http://schemas.openxmlformats.org/officeDocument/2006/relationships/image" Target="../media/image256.emf"/></Relationships>
</file>

<file path=xl/drawings/_rels/vmlDrawing11.vml.rels><?xml version="1.0" encoding="UTF-8" standalone="yes"?>
<Relationships xmlns="http://schemas.openxmlformats.org/package/2006/relationships"><Relationship Id="rId8" Type="http://schemas.openxmlformats.org/officeDocument/2006/relationships/image" Target="../media/image269.emf"/><Relationship Id="rId13" Type="http://schemas.openxmlformats.org/officeDocument/2006/relationships/image" Target="../media/image274.emf"/><Relationship Id="rId18" Type="http://schemas.openxmlformats.org/officeDocument/2006/relationships/image" Target="../media/image279.wmf"/><Relationship Id="rId26" Type="http://schemas.openxmlformats.org/officeDocument/2006/relationships/image" Target="../media/image287.wmf"/><Relationship Id="rId3" Type="http://schemas.openxmlformats.org/officeDocument/2006/relationships/image" Target="../media/image264.emf"/><Relationship Id="rId21" Type="http://schemas.openxmlformats.org/officeDocument/2006/relationships/image" Target="../media/image282.wmf"/><Relationship Id="rId7" Type="http://schemas.openxmlformats.org/officeDocument/2006/relationships/image" Target="../media/image268.wmf"/><Relationship Id="rId12" Type="http://schemas.openxmlformats.org/officeDocument/2006/relationships/image" Target="../media/image273.wmf"/><Relationship Id="rId17" Type="http://schemas.openxmlformats.org/officeDocument/2006/relationships/image" Target="../media/image278.wmf"/><Relationship Id="rId25" Type="http://schemas.openxmlformats.org/officeDocument/2006/relationships/image" Target="../media/image286.wmf"/><Relationship Id="rId2" Type="http://schemas.openxmlformats.org/officeDocument/2006/relationships/image" Target="../media/image263.emf"/><Relationship Id="rId16" Type="http://schemas.openxmlformats.org/officeDocument/2006/relationships/image" Target="../media/image277.wmf"/><Relationship Id="rId20" Type="http://schemas.openxmlformats.org/officeDocument/2006/relationships/image" Target="../media/image281.wmf"/><Relationship Id="rId1" Type="http://schemas.openxmlformats.org/officeDocument/2006/relationships/image" Target="../media/image262.emf"/><Relationship Id="rId6" Type="http://schemas.openxmlformats.org/officeDocument/2006/relationships/image" Target="../media/image267.wmf"/><Relationship Id="rId11" Type="http://schemas.openxmlformats.org/officeDocument/2006/relationships/image" Target="../media/image272.wmf"/><Relationship Id="rId24" Type="http://schemas.openxmlformats.org/officeDocument/2006/relationships/image" Target="../media/image285.wmf"/><Relationship Id="rId5" Type="http://schemas.openxmlformats.org/officeDocument/2006/relationships/image" Target="../media/image266.wmf"/><Relationship Id="rId15" Type="http://schemas.openxmlformats.org/officeDocument/2006/relationships/image" Target="../media/image276.wmf"/><Relationship Id="rId23" Type="http://schemas.openxmlformats.org/officeDocument/2006/relationships/image" Target="../media/image284.wmf"/><Relationship Id="rId10" Type="http://schemas.openxmlformats.org/officeDocument/2006/relationships/image" Target="../media/image271.wmf"/><Relationship Id="rId19" Type="http://schemas.openxmlformats.org/officeDocument/2006/relationships/image" Target="../media/image280.wmf"/><Relationship Id="rId4" Type="http://schemas.openxmlformats.org/officeDocument/2006/relationships/image" Target="../media/image265.wmf"/><Relationship Id="rId9" Type="http://schemas.openxmlformats.org/officeDocument/2006/relationships/image" Target="../media/image270.emf"/><Relationship Id="rId14" Type="http://schemas.openxmlformats.org/officeDocument/2006/relationships/image" Target="../media/image275.wmf"/><Relationship Id="rId22" Type="http://schemas.openxmlformats.org/officeDocument/2006/relationships/image" Target="../media/image283.w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96.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304.wmf"/><Relationship Id="rId2" Type="http://schemas.openxmlformats.org/officeDocument/2006/relationships/image" Target="../media/image303.wmf"/><Relationship Id="rId1" Type="http://schemas.openxmlformats.org/officeDocument/2006/relationships/image" Target="../media/image302.wmf"/><Relationship Id="rId4" Type="http://schemas.openxmlformats.org/officeDocument/2006/relationships/image" Target="../media/image305.w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309.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322.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325.emf"/><Relationship Id="rId2" Type="http://schemas.openxmlformats.org/officeDocument/2006/relationships/image" Target="../media/image324.emf"/><Relationship Id="rId1" Type="http://schemas.openxmlformats.org/officeDocument/2006/relationships/image" Target="../media/image323.emf"/><Relationship Id="rId5" Type="http://schemas.openxmlformats.org/officeDocument/2006/relationships/image" Target="../media/image327.emf"/><Relationship Id="rId4" Type="http://schemas.openxmlformats.org/officeDocument/2006/relationships/image" Target="../media/image326.emf"/></Relationships>
</file>

<file path=xl/drawings/_rels/vmlDrawing22.vml.rels><?xml version="1.0" encoding="UTF-8" standalone="yes"?>
<Relationships xmlns="http://schemas.openxmlformats.org/package/2006/relationships"><Relationship Id="rId3" Type="http://schemas.openxmlformats.org/officeDocument/2006/relationships/image" Target="../media/image334.emf"/><Relationship Id="rId7" Type="http://schemas.openxmlformats.org/officeDocument/2006/relationships/image" Target="../media/image338.emf"/><Relationship Id="rId2" Type="http://schemas.openxmlformats.org/officeDocument/2006/relationships/image" Target="../media/image333.emf"/><Relationship Id="rId1" Type="http://schemas.openxmlformats.org/officeDocument/2006/relationships/image" Target="../media/image332.emf"/><Relationship Id="rId6" Type="http://schemas.openxmlformats.org/officeDocument/2006/relationships/image" Target="../media/image337.emf"/><Relationship Id="rId5" Type="http://schemas.openxmlformats.org/officeDocument/2006/relationships/image" Target="../media/image336.emf"/><Relationship Id="rId4" Type="http://schemas.openxmlformats.org/officeDocument/2006/relationships/image" Target="../media/image335.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351.emf"/><Relationship Id="rId3" Type="http://schemas.openxmlformats.org/officeDocument/2006/relationships/image" Target="../media/image346.emf"/><Relationship Id="rId7" Type="http://schemas.openxmlformats.org/officeDocument/2006/relationships/image" Target="../media/image350.emf"/><Relationship Id="rId2" Type="http://schemas.openxmlformats.org/officeDocument/2006/relationships/image" Target="../media/image345.emf"/><Relationship Id="rId1" Type="http://schemas.openxmlformats.org/officeDocument/2006/relationships/image" Target="../media/image344.emf"/><Relationship Id="rId6" Type="http://schemas.openxmlformats.org/officeDocument/2006/relationships/image" Target="../media/image349.emf"/><Relationship Id="rId5" Type="http://schemas.openxmlformats.org/officeDocument/2006/relationships/image" Target="../media/image348.emf"/><Relationship Id="rId4" Type="http://schemas.openxmlformats.org/officeDocument/2006/relationships/image" Target="../media/image347.emf"/><Relationship Id="rId9" Type="http://schemas.openxmlformats.org/officeDocument/2006/relationships/image" Target="../media/image352.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346.emf"/><Relationship Id="rId2" Type="http://schemas.openxmlformats.org/officeDocument/2006/relationships/image" Target="../media/image345.emf"/><Relationship Id="rId1" Type="http://schemas.openxmlformats.org/officeDocument/2006/relationships/image" Target="../media/image344.emf"/><Relationship Id="rId6" Type="http://schemas.openxmlformats.org/officeDocument/2006/relationships/image" Target="../media/image350.emf"/><Relationship Id="rId5" Type="http://schemas.openxmlformats.org/officeDocument/2006/relationships/image" Target="../media/image348.emf"/><Relationship Id="rId4" Type="http://schemas.openxmlformats.org/officeDocument/2006/relationships/image" Target="../media/image347.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362.emf"/><Relationship Id="rId3" Type="http://schemas.openxmlformats.org/officeDocument/2006/relationships/image" Target="../media/image357.emf"/><Relationship Id="rId7" Type="http://schemas.openxmlformats.org/officeDocument/2006/relationships/image" Target="../media/image361.emf"/><Relationship Id="rId2" Type="http://schemas.openxmlformats.org/officeDocument/2006/relationships/image" Target="../media/image356.emf"/><Relationship Id="rId1" Type="http://schemas.openxmlformats.org/officeDocument/2006/relationships/image" Target="../media/image350.emf"/><Relationship Id="rId6" Type="http://schemas.openxmlformats.org/officeDocument/2006/relationships/image" Target="../media/image360.emf"/><Relationship Id="rId5" Type="http://schemas.openxmlformats.org/officeDocument/2006/relationships/image" Target="../media/image359.emf"/><Relationship Id="rId4" Type="http://schemas.openxmlformats.org/officeDocument/2006/relationships/image" Target="../media/image358.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366.emf"/><Relationship Id="rId1" Type="http://schemas.openxmlformats.org/officeDocument/2006/relationships/image" Target="../media/image365.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367.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303.wmf"/><Relationship Id="rId1" Type="http://schemas.openxmlformats.org/officeDocument/2006/relationships/image" Target="../media/image302.wmf"/></Relationships>
</file>

<file path=xl/drawings/drawing1.xml><?xml version="1.0" encoding="utf-8"?>
<xdr:wsDr xmlns:xdr="http://schemas.openxmlformats.org/drawingml/2006/spreadsheetDrawing" xmlns:a="http://schemas.openxmlformats.org/drawingml/2006/main">
  <xdr:twoCellAnchor editAs="oneCell">
    <xdr:from>
      <xdr:col>5</xdr:col>
      <xdr:colOff>123825</xdr:colOff>
      <xdr:row>10</xdr:row>
      <xdr:rowOff>133350</xdr:rowOff>
    </xdr:from>
    <xdr:to>
      <xdr:col>5</xdr:col>
      <xdr:colOff>1047750</xdr:colOff>
      <xdr:row>14</xdr:row>
      <xdr:rowOff>9525</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5015865" y="1784985"/>
          <a:ext cx="923925" cy="7543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91440</xdr:colOff>
      <xdr:row>61</xdr:row>
      <xdr:rowOff>106680</xdr:rowOff>
    </xdr:from>
    <xdr:to>
      <xdr:col>2</xdr:col>
      <xdr:colOff>579120</xdr:colOff>
      <xdr:row>61</xdr:row>
      <xdr:rowOff>106680</xdr:rowOff>
    </xdr:to>
    <xdr:sp macro="" textlink="">
      <xdr:nvSpPr>
        <xdr:cNvPr id="2" name="Line 13"/>
        <xdr:cNvSpPr>
          <a:spLocks noChangeShapeType="1"/>
        </xdr:cNvSpPr>
      </xdr:nvSpPr>
      <xdr:spPr>
        <a:xfrm>
          <a:off x="472440" y="12504420"/>
          <a:ext cx="762000" cy="0"/>
        </a:xfrm>
        <a:prstGeom prst="line">
          <a:avLst/>
        </a:prstGeom>
        <a:noFill/>
        <a:ln w="9525">
          <a:solidFill>
            <a:srgbClr val="FF0000"/>
          </a:solidFill>
          <a:round/>
          <a:tailEnd type="triangle" w="med" len="med"/>
        </a:ln>
      </xdr:spPr>
    </xdr:sp>
    <xdr:clientData/>
  </xdr:twoCellAnchor>
  <xdr:twoCellAnchor>
    <xdr:from>
      <xdr:col>2</xdr:col>
      <xdr:colOff>175260</xdr:colOff>
      <xdr:row>57</xdr:row>
      <xdr:rowOff>152400</xdr:rowOff>
    </xdr:from>
    <xdr:to>
      <xdr:col>4</xdr:col>
      <xdr:colOff>464820</xdr:colOff>
      <xdr:row>58</xdr:row>
      <xdr:rowOff>60960</xdr:rowOff>
    </xdr:to>
    <xdr:sp macro="" textlink="">
      <xdr:nvSpPr>
        <xdr:cNvPr id="3" name="Line 14"/>
        <xdr:cNvSpPr>
          <a:spLocks noChangeShapeType="1"/>
        </xdr:cNvSpPr>
      </xdr:nvSpPr>
      <xdr:spPr>
        <a:xfrm>
          <a:off x="830580" y="11757660"/>
          <a:ext cx="1630680" cy="106680"/>
        </a:xfrm>
        <a:prstGeom prst="line">
          <a:avLst/>
        </a:prstGeom>
        <a:noFill/>
        <a:ln w="9525">
          <a:solidFill>
            <a:srgbClr val="FF0000"/>
          </a:solidFill>
          <a:round/>
          <a:tailEnd type="triangle" w="med" len="med"/>
        </a:ln>
      </xdr:spPr>
    </xdr:sp>
    <xdr:clientData/>
  </xdr:twoCellAnchor>
  <xdr:twoCellAnchor>
    <xdr:from>
      <xdr:col>7</xdr:col>
      <xdr:colOff>449580</xdr:colOff>
      <xdr:row>57</xdr:row>
      <xdr:rowOff>60960</xdr:rowOff>
    </xdr:from>
    <xdr:to>
      <xdr:col>8</xdr:col>
      <xdr:colOff>655320</xdr:colOff>
      <xdr:row>57</xdr:row>
      <xdr:rowOff>129540</xdr:rowOff>
    </xdr:to>
    <xdr:sp macro="" textlink="">
      <xdr:nvSpPr>
        <xdr:cNvPr id="4" name="Line 15"/>
        <xdr:cNvSpPr>
          <a:spLocks noChangeShapeType="1"/>
        </xdr:cNvSpPr>
      </xdr:nvSpPr>
      <xdr:spPr>
        <a:xfrm flipH="1" flipV="1">
          <a:off x="4457700" y="11666220"/>
          <a:ext cx="876300" cy="68580"/>
        </a:xfrm>
        <a:prstGeom prst="line">
          <a:avLst/>
        </a:prstGeom>
        <a:noFill/>
        <a:ln w="9525">
          <a:solidFill>
            <a:srgbClr val="FF0000"/>
          </a:solidFill>
          <a:round/>
          <a:tailEnd type="triangle" w="med" len="med"/>
        </a:ln>
      </xdr:spPr>
    </xdr:sp>
    <xdr:clientData/>
  </xdr:twoCellAnchor>
  <xdr:twoCellAnchor>
    <xdr:from>
      <xdr:col>1</xdr:col>
      <xdr:colOff>160020</xdr:colOff>
      <xdr:row>54</xdr:row>
      <xdr:rowOff>114300</xdr:rowOff>
    </xdr:from>
    <xdr:to>
      <xdr:col>2</xdr:col>
      <xdr:colOff>579120</xdr:colOff>
      <xdr:row>54</xdr:row>
      <xdr:rowOff>114300</xdr:rowOff>
    </xdr:to>
    <xdr:sp macro="" textlink="">
      <xdr:nvSpPr>
        <xdr:cNvPr id="5" name="Line 16"/>
        <xdr:cNvSpPr>
          <a:spLocks noChangeShapeType="1"/>
        </xdr:cNvSpPr>
      </xdr:nvSpPr>
      <xdr:spPr>
        <a:xfrm>
          <a:off x="541020" y="11125200"/>
          <a:ext cx="693420" cy="0"/>
        </a:xfrm>
        <a:prstGeom prst="line">
          <a:avLst/>
        </a:prstGeom>
        <a:noFill/>
        <a:ln w="9525">
          <a:solidFill>
            <a:srgbClr val="FF0000"/>
          </a:solidFill>
          <a:round/>
          <a:tailEnd type="triangle" w="med" len="med"/>
        </a:ln>
      </xdr:spPr>
    </xdr:sp>
    <xdr:clientData/>
  </xdr:twoCellAnchor>
  <xdr:twoCellAnchor>
    <xdr:from>
      <xdr:col>2</xdr:col>
      <xdr:colOff>30480</xdr:colOff>
      <xdr:row>64</xdr:row>
      <xdr:rowOff>144780</xdr:rowOff>
    </xdr:from>
    <xdr:to>
      <xdr:col>4</xdr:col>
      <xdr:colOff>342900</xdr:colOff>
      <xdr:row>65</xdr:row>
      <xdr:rowOff>114300</xdr:rowOff>
    </xdr:to>
    <xdr:sp macro="" textlink="">
      <xdr:nvSpPr>
        <xdr:cNvPr id="6" name="Line 17"/>
        <xdr:cNvSpPr>
          <a:spLocks noChangeShapeType="1"/>
        </xdr:cNvSpPr>
      </xdr:nvSpPr>
      <xdr:spPr>
        <a:xfrm flipV="1">
          <a:off x="685800" y="13136880"/>
          <a:ext cx="1653540" cy="167640"/>
        </a:xfrm>
        <a:prstGeom prst="line">
          <a:avLst/>
        </a:prstGeom>
        <a:noFill/>
        <a:ln w="9525">
          <a:solidFill>
            <a:srgbClr val="FF0000"/>
          </a:solidFill>
          <a:round/>
          <a:tailEnd type="triangle" w="med" len="med"/>
        </a:ln>
      </xdr:spPr>
    </xdr:sp>
    <xdr:clientData/>
  </xdr:twoCellAnchor>
  <xdr:twoCellAnchor>
    <xdr:from>
      <xdr:col>6</xdr:col>
      <xdr:colOff>373380</xdr:colOff>
      <xdr:row>48</xdr:row>
      <xdr:rowOff>114300</xdr:rowOff>
    </xdr:from>
    <xdr:to>
      <xdr:col>9</xdr:col>
      <xdr:colOff>129540</xdr:colOff>
      <xdr:row>48</xdr:row>
      <xdr:rowOff>114300</xdr:rowOff>
    </xdr:to>
    <xdr:sp macro="" textlink="">
      <xdr:nvSpPr>
        <xdr:cNvPr id="7" name="Line 18"/>
        <xdr:cNvSpPr>
          <a:spLocks noChangeShapeType="1"/>
        </xdr:cNvSpPr>
      </xdr:nvSpPr>
      <xdr:spPr>
        <a:xfrm flipH="1">
          <a:off x="3710940" y="9936480"/>
          <a:ext cx="1767840" cy="0"/>
        </a:xfrm>
        <a:prstGeom prst="line">
          <a:avLst/>
        </a:prstGeom>
        <a:noFill/>
        <a:ln w="9525">
          <a:solidFill>
            <a:srgbClr val="FF0000"/>
          </a:solidFill>
          <a:round/>
          <a:tailEnd type="triangle" w="med" len="med"/>
        </a:ln>
      </xdr:spPr>
    </xdr:sp>
    <xdr:clientData/>
  </xdr:twoCellAnchor>
  <xdr:twoCellAnchor editAs="oneCell">
    <xdr:from>
      <xdr:col>4</xdr:col>
      <xdr:colOff>152400</xdr:colOff>
      <xdr:row>90</xdr:row>
      <xdr:rowOff>0</xdr:rowOff>
    </xdr:from>
    <xdr:to>
      <xdr:col>7</xdr:col>
      <xdr:colOff>7620</xdr:colOff>
      <xdr:row>95</xdr:row>
      <xdr:rowOff>136497</xdr:rowOff>
    </xdr:to>
    <xdr:pic>
      <xdr:nvPicPr>
        <xdr:cNvPr id="8" name="Picture 19" descr="002"/>
        <xdr:cNvPicPr>
          <a:picLocks noChangeAspect="1" noChangeArrowheads="1"/>
        </xdr:cNvPicPr>
      </xdr:nvPicPr>
      <xdr:blipFill>
        <a:blip xmlns:r="http://schemas.openxmlformats.org/officeDocument/2006/relationships" r:embed="rId1" cstate="print"/>
        <a:srcRect l="15720" t="12947" r="9698" b="35268"/>
        <a:stretch>
          <a:fillRect/>
        </a:stretch>
      </xdr:blipFill>
      <xdr:spPr>
        <a:xfrm>
          <a:off x="2148840" y="18204180"/>
          <a:ext cx="1866900" cy="1165860"/>
        </a:xfrm>
        <a:prstGeom prst="rect">
          <a:avLst/>
        </a:prstGeom>
        <a:noFill/>
        <a:ln w="9525">
          <a:noFill/>
          <a:miter lim="800000"/>
          <a:headEnd/>
          <a:tailEnd/>
        </a:ln>
      </xdr:spPr>
    </xdr:pic>
    <xdr:clientData/>
  </xdr:twoCellAnchor>
  <xdr:twoCellAnchor>
    <xdr:from>
      <xdr:col>6</xdr:col>
      <xdr:colOff>472440</xdr:colOff>
      <xdr:row>26</xdr:row>
      <xdr:rowOff>121920</xdr:rowOff>
    </xdr:from>
    <xdr:to>
      <xdr:col>9</xdr:col>
      <xdr:colOff>175260</xdr:colOff>
      <xdr:row>26</xdr:row>
      <xdr:rowOff>121920</xdr:rowOff>
    </xdr:to>
    <xdr:sp macro="" textlink="">
      <xdr:nvSpPr>
        <xdr:cNvPr id="9" name="Line 22"/>
        <xdr:cNvSpPr>
          <a:spLocks noChangeShapeType="1"/>
        </xdr:cNvSpPr>
      </xdr:nvSpPr>
      <xdr:spPr>
        <a:xfrm flipH="1">
          <a:off x="3810000" y="5585460"/>
          <a:ext cx="1714500" cy="0"/>
        </a:xfrm>
        <a:prstGeom prst="line">
          <a:avLst/>
        </a:prstGeom>
        <a:noFill/>
        <a:ln w="9525">
          <a:solidFill>
            <a:srgbClr val="FF0000"/>
          </a:solidFill>
          <a:round/>
          <a:tailEnd type="triangle" w="med" len="med"/>
        </a:ln>
      </xdr:spPr>
    </xdr:sp>
    <xdr:clientData/>
  </xdr:twoCellAnchor>
  <xdr:twoCellAnchor>
    <xdr:from>
      <xdr:col>2</xdr:col>
      <xdr:colOff>76200</xdr:colOff>
      <xdr:row>24</xdr:row>
      <xdr:rowOff>106680</xdr:rowOff>
    </xdr:from>
    <xdr:to>
      <xdr:col>3</xdr:col>
      <xdr:colOff>38100</xdr:colOff>
      <xdr:row>24</xdr:row>
      <xdr:rowOff>106680</xdr:rowOff>
    </xdr:to>
    <xdr:sp macro="" textlink="">
      <xdr:nvSpPr>
        <xdr:cNvPr id="10" name="Line 24"/>
        <xdr:cNvSpPr>
          <a:spLocks noChangeShapeType="1"/>
        </xdr:cNvSpPr>
      </xdr:nvSpPr>
      <xdr:spPr>
        <a:xfrm>
          <a:off x="731520" y="5173980"/>
          <a:ext cx="632460" cy="0"/>
        </a:xfrm>
        <a:prstGeom prst="line">
          <a:avLst/>
        </a:prstGeom>
        <a:noFill/>
        <a:ln w="9525">
          <a:solidFill>
            <a:srgbClr val="FF0000"/>
          </a:solidFill>
          <a:round/>
          <a:tailEnd type="triangle" w="med" len="med"/>
        </a:ln>
      </xdr:spPr>
    </xdr:sp>
    <xdr:clientData/>
  </xdr:twoCellAnchor>
  <xdr:twoCellAnchor>
    <xdr:from>
      <xdr:col>1</xdr:col>
      <xdr:colOff>167640</xdr:colOff>
      <xdr:row>29</xdr:row>
      <xdr:rowOff>106680</xdr:rowOff>
    </xdr:from>
    <xdr:to>
      <xdr:col>2</xdr:col>
      <xdr:colOff>472440</xdr:colOff>
      <xdr:row>29</xdr:row>
      <xdr:rowOff>106680</xdr:rowOff>
    </xdr:to>
    <xdr:sp macro="" textlink="">
      <xdr:nvSpPr>
        <xdr:cNvPr id="11" name="Line 25"/>
        <xdr:cNvSpPr>
          <a:spLocks noChangeShapeType="1"/>
        </xdr:cNvSpPr>
      </xdr:nvSpPr>
      <xdr:spPr>
        <a:xfrm>
          <a:off x="548640" y="6164580"/>
          <a:ext cx="579120" cy="0"/>
        </a:xfrm>
        <a:prstGeom prst="line">
          <a:avLst/>
        </a:prstGeom>
        <a:noFill/>
        <a:ln w="9525">
          <a:solidFill>
            <a:srgbClr val="FF0000"/>
          </a:solidFill>
          <a:round/>
          <a:tailEnd type="triangle" w="med" len="med"/>
        </a:ln>
      </xdr:spPr>
    </xdr:sp>
    <xdr:clientData/>
  </xdr:twoCellAnchor>
  <xdr:twoCellAnchor>
    <xdr:from>
      <xdr:col>2</xdr:col>
      <xdr:colOff>198120</xdr:colOff>
      <xdr:row>33</xdr:row>
      <xdr:rowOff>68580</xdr:rowOff>
    </xdr:from>
    <xdr:to>
      <xdr:col>3</xdr:col>
      <xdr:colOff>320040</xdr:colOff>
      <xdr:row>33</xdr:row>
      <xdr:rowOff>114300</xdr:rowOff>
    </xdr:to>
    <xdr:sp macro="" textlink="">
      <xdr:nvSpPr>
        <xdr:cNvPr id="12" name="Line 26"/>
        <xdr:cNvSpPr>
          <a:spLocks noChangeShapeType="1"/>
        </xdr:cNvSpPr>
      </xdr:nvSpPr>
      <xdr:spPr>
        <a:xfrm flipV="1">
          <a:off x="853440" y="6918960"/>
          <a:ext cx="792480" cy="45720"/>
        </a:xfrm>
        <a:prstGeom prst="line">
          <a:avLst/>
        </a:prstGeom>
        <a:noFill/>
        <a:ln w="9525">
          <a:solidFill>
            <a:srgbClr val="FF0000"/>
          </a:solidFill>
          <a:round/>
          <a:tailEnd type="triangle" w="med" len="med"/>
        </a:ln>
      </xdr:spPr>
    </xdr:sp>
    <xdr:clientData/>
  </xdr:twoCellAnchor>
  <xdr:twoCellAnchor>
    <xdr:from>
      <xdr:col>2</xdr:col>
      <xdr:colOff>251460</xdr:colOff>
      <xdr:row>35</xdr:row>
      <xdr:rowOff>30480</xdr:rowOff>
    </xdr:from>
    <xdr:to>
      <xdr:col>4</xdr:col>
      <xdr:colOff>579120</xdr:colOff>
      <xdr:row>35</xdr:row>
      <xdr:rowOff>83820</xdr:rowOff>
    </xdr:to>
    <xdr:sp macro="" textlink="">
      <xdr:nvSpPr>
        <xdr:cNvPr id="13" name="Line 27"/>
        <xdr:cNvSpPr>
          <a:spLocks noChangeShapeType="1"/>
        </xdr:cNvSpPr>
      </xdr:nvSpPr>
      <xdr:spPr>
        <a:xfrm flipV="1">
          <a:off x="906780" y="7277100"/>
          <a:ext cx="1668780" cy="53340"/>
        </a:xfrm>
        <a:prstGeom prst="line">
          <a:avLst/>
        </a:prstGeom>
        <a:noFill/>
        <a:ln w="9525">
          <a:solidFill>
            <a:srgbClr val="FF0000"/>
          </a:solidFill>
          <a:round/>
          <a:tailEnd type="triangle" w="med" len="med"/>
        </a:ln>
      </xdr:spPr>
    </xdr:sp>
    <xdr:clientData/>
  </xdr:twoCellAnchor>
  <xdr:twoCellAnchor>
    <xdr:from>
      <xdr:col>1</xdr:col>
      <xdr:colOff>45720</xdr:colOff>
      <xdr:row>37</xdr:row>
      <xdr:rowOff>106680</xdr:rowOff>
    </xdr:from>
    <xdr:to>
      <xdr:col>3</xdr:col>
      <xdr:colOff>30480</xdr:colOff>
      <xdr:row>37</xdr:row>
      <xdr:rowOff>106680</xdr:rowOff>
    </xdr:to>
    <xdr:sp macro="" textlink="">
      <xdr:nvSpPr>
        <xdr:cNvPr id="14" name="Line 28"/>
        <xdr:cNvSpPr>
          <a:spLocks noChangeShapeType="1"/>
        </xdr:cNvSpPr>
      </xdr:nvSpPr>
      <xdr:spPr>
        <a:xfrm>
          <a:off x="426720" y="7749540"/>
          <a:ext cx="929640" cy="0"/>
        </a:xfrm>
        <a:prstGeom prst="line">
          <a:avLst/>
        </a:prstGeom>
        <a:noFill/>
        <a:ln w="9525">
          <a:solidFill>
            <a:srgbClr val="FF0000"/>
          </a:solidFill>
          <a:round/>
          <a:tailEnd type="triangle" w="med" len="med"/>
        </a:ln>
      </xdr:spPr>
    </xdr:sp>
    <xdr:clientData/>
  </xdr:twoCellAnchor>
  <xdr:twoCellAnchor>
    <xdr:from>
      <xdr:col>4</xdr:col>
      <xdr:colOff>350520</xdr:colOff>
      <xdr:row>90</xdr:row>
      <xdr:rowOff>60960</xdr:rowOff>
    </xdr:from>
    <xdr:to>
      <xdr:col>5</xdr:col>
      <xdr:colOff>373380</xdr:colOff>
      <xdr:row>96</xdr:row>
      <xdr:rowOff>22860</xdr:rowOff>
    </xdr:to>
    <xdr:sp macro="" textlink="">
      <xdr:nvSpPr>
        <xdr:cNvPr id="15" name="Oval 30"/>
        <xdr:cNvSpPr>
          <a:spLocks noChangeArrowheads="1"/>
        </xdr:cNvSpPr>
      </xdr:nvSpPr>
      <xdr:spPr>
        <a:xfrm>
          <a:off x="2346960" y="18265140"/>
          <a:ext cx="693420" cy="1181100"/>
        </a:xfrm>
        <a:prstGeom prst="ellipse">
          <a:avLst/>
        </a:prstGeom>
        <a:noFill/>
        <a:ln w="9525">
          <a:solidFill>
            <a:srgbClr val="FF0000"/>
          </a:solidFill>
          <a:round/>
        </a:ln>
      </xdr:spPr>
    </xdr:sp>
    <xdr:clientData/>
  </xdr:twoCellAnchor>
  <xdr:twoCellAnchor>
    <xdr:from>
      <xdr:col>4</xdr:col>
      <xdr:colOff>198120</xdr:colOff>
      <xdr:row>91</xdr:row>
      <xdr:rowOff>0</xdr:rowOff>
    </xdr:from>
    <xdr:to>
      <xdr:col>4</xdr:col>
      <xdr:colOff>335280</xdr:colOff>
      <xdr:row>91</xdr:row>
      <xdr:rowOff>129540</xdr:rowOff>
    </xdr:to>
    <xdr:sp macro="" textlink="">
      <xdr:nvSpPr>
        <xdr:cNvPr id="16" name="Oval 31"/>
        <xdr:cNvSpPr>
          <a:spLocks noChangeArrowheads="1"/>
        </xdr:cNvSpPr>
      </xdr:nvSpPr>
      <xdr:spPr>
        <a:xfrm>
          <a:off x="2194560" y="18402300"/>
          <a:ext cx="137160" cy="129540"/>
        </a:xfrm>
        <a:prstGeom prst="ellipse">
          <a:avLst/>
        </a:prstGeom>
        <a:noFill/>
        <a:ln w="9525">
          <a:solidFill>
            <a:srgbClr val="FF0000"/>
          </a:solidFill>
          <a:round/>
        </a:ln>
      </xdr:spPr>
    </xdr:sp>
    <xdr:clientData/>
  </xdr:twoCellAnchor>
  <xdr:twoCellAnchor>
    <xdr:from>
      <xdr:col>4</xdr:col>
      <xdr:colOff>205740</xdr:colOff>
      <xdr:row>92</xdr:row>
      <xdr:rowOff>38100</xdr:rowOff>
    </xdr:from>
    <xdr:to>
      <xdr:col>4</xdr:col>
      <xdr:colOff>335280</xdr:colOff>
      <xdr:row>93</xdr:row>
      <xdr:rowOff>45720</xdr:rowOff>
    </xdr:to>
    <xdr:sp macro="" textlink="">
      <xdr:nvSpPr>
        <xdr:cNvPr id="17" name="Oval 32"/>
        <xdr:cNvSpPr>
          <a:spLocks noChangeArrowheads="1"/>
        </xdr:cNvSpPr>
      </xdr:nvSpPr>
      <xdr:spPr>
        <a:xfrm>
          <a:off x="2202180" y="18669000"/>
          <a:ext cx="129540" cy="205740"/>
        </a:xfrm>
        <a:prstGeom prst="ellipse">
          <a:avLst/>
        </a:prstGeom>
        <a:noFill/>
        <a:ln w="9525">
          <a:solidFill>
            <a:srgbClr val="FF0000"/>
          </a:solidFill>
          <a:round/>
        </a:ln>
      </xdr:spPr>
    </xdr:sp>
    <xdr:clientData/>
  </xdr:twoCellAnchor>
  <xdr:twoCellAnchor>
    <xdr:from>
      <xdr:col>4</xdr:col>
      <xdr:colOff>205740</xdr:colOff>
      <xdr:row>94</xdr:row>
      <xdr:rowOff>0</xdr:rowOff>
    </xdr:from>
    <xdr:to>
      <xdr:col>4</xdr:col>
      <xdr:colOff>327660</xdr:colOff>
      <xdr:row>94</xdr:row>
      <xdr:rowOff>114300</xdr:rowOff>
    </xdr:to>
    <xdr:sp macro="" textlink="">
      <xdr:nvSpPr>
        <xdr:cNvPr id="18" name="Oval 33"/>
        <xdr:cNvSpPr>
          <a:spLocks noChangeArrowheads="1"/>
        </xdr:cNvSpPr>
      </xdr:nvSpPr>
      <xdr:spPr>
        <a:xfrm>
          <a:off x="2202180" y="19027140"/>
          <a:ext cx="121920" cy="114300"/>
        </a:xfrm>
        <a:prstGeom prst="ellipse">
          <a:avLst/>
        </a:prstGeom>
        <a:noFill/>
        <a:ln w="9525">
          <a:solidFill>
            <a:srgbClr val="FF0000"/>
          </a:solidFill>
          <a:round/>
        </a:ln>
      </xdr:spPr>
    </xdr:sp>
    <xdr:clientData/>
  </xdr:twoCellAnchor>
  <xdr:twoCellAnchor>
    <xdr:from>
      <xdr:col>3</xdr:col>
      <xdr:colOff>464820</xdr:colOff>
      <xdr:row>91</xdr:row>
      <xdr:rowOff>114300</xdr:rowOff>
    </xdr:from>
    <xdr:to>
      <xdr:col>4</xdr:col>
      <xdr:colOff>121920</xdr:colOff>
      <xdr:row>91</xdr:row>
      <xdr:rowOff>190500</xdr:rowOff>
    </xdr:to>
    <xdr:sp macro="" textlink="">
      <xdr:nvSpPr>
        <xdr:cNvPr id="19" name="Line 34"/>
        <xdr:cNvSpPr>
          <a:spLocks noChangeShapeType="1"/>
        </xdr:cNvSpPr>
      </xdr:nvSpPr>
      <xdr:spPr>
        <a:xfrm>
          <a:off x="1790700" y="18516600"/>
          <a:ext cx="327660" cy="76200"/>
        </a:xfrm>
        <a:prstGeom prst="line">
          <a:avLst/>
        </a:prstGeom>
        <a:noFill/>
        <a:ln w="9525">
          <a:solidFill>
            <a:srgbClr val="FF0000"/>
          </a:solidFill>
          <a:round/>
          <a:tailEnd type="triangle" w="med" len="med"/>
        </a:ln>
      </xdr:spPr>
    </xdr:sp>
    <xdr:clientData/>
  </xdr:twoCellAnchor>
  <xdr:twoCellAnchor>
    <xdr:from>
      <xdr:col>2</xdr:col>
      <xdr:colOff>99060</xdr:colOff>
      <xdr:row>49</xdr:row>
      <xdr:rowOff>91440</xdr:rowOff>
    </xdr:from>
    <xdr:to>
      <xdr:col>3</xdr:col>
      <xdr:colOff>15240</xdr:colOff>
      <xdr:row>49</xdr:row>
      <xdr:rowOff>91440</xdr:rowOff>
    </xdr:to>
    <xdr:sp macro="" textlink="">
      <xdr:nvSpPr>
        <xdr:cNvPr id="20" name="Line 36"/>
        <xdr:cNvSpPr>
          <a:spLocks noChangeShapeType="1"/>
        </xdr:cNvSpPr>
      </xdr:nvSpPr>
      <xdr:spPr>
        <a:xfrm>
          <a:off x="754380" y="10111740"/>
          <a:ext cx="586740" cy="0"/>
        </a:xfrm>
        <a:prstGeom prst="line">
          <a:avLst/>
        </a:prstGeom>
        <a:noFill/>
        <a:ln w="9525">
          <a:solidFill>
            <a:srgbClr val="FF0000"/>
          </a:solidFill>
          <a:round/>
          <a:tailEnd type="triangle" w="med" len="med"/>
        </a:ln>
      </xdr:spPr>
    </xdr:sp>
    <xdr:clientData/>
  </xdr:twoCellAnchor>
  <mc:AlternateContent xmlns:mc="http://schemas.openxmlformats.org/markup-compatibility/2006">
    <mc:Choice xmlns:a14="http://schemas.microsoft.com/office/drawing/2010/main" Requires="a14">
      <xdr:twoCellAnchor editAs="oneCell">
        <xdr:from>
          <xdr:col>2</xdr:col>
          <xdr:colOff>304800</xdr:colOff>
          <xdr:row>47</xdr:row>
          <xdr:rowOff>47625</xdr:rowOff>
        </xdr:from>
        <xdr:to>
          <xdr:col>9</xdr:col>
          <xdr:colOff>19050</xdr:colOff>
          <xdr:row>69</xdr:row>
          <xdr:rowOff>104775</xdr:rowOff>
        </xdr:to>
        <xdr:sp macro="" textlink="">
          <xdr:nvSpPr>
            <xdr:cNvPr id="1287169" name="Object 2" hidden="1">
              <a:extLst>
                <a:ext uri="{63B3BB69-23CF-44E3-9099-C40C66FF867C}">
                  <a14:compatExt spid="_x0000_s12871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304800</xdr:colOff>
          <xdr:row>23</xdr:row>
          <xdr:rowOff>66675</xdr:rowOff>
        </xdr:from>
        <xdr:to>
          <xdr:col>9</xdr:col>
          <xdr:colOff>171450</xdr:colOff>
          <xdr:row>40</xdr:row>
          <xdr:rowOff>19050</xdr:rowOff>
        </xdr:to>
        <xdr:sp macro="" textlink="">
          <xdr:nvSpPr>
            <xdr:cNvPr id="1287170" name="Object 20" hidden="1">
              <a:extLst>
                <a:ext uri="{63B3BB69-23CF-44E3-9099-C40C66FF867C}">
                  <a14:compatExt spid="_x0000_s1287170"/>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381000</xdr:colOff>
          <xdr:row>44</xdr:row>
          <xdr:rowOff>76200</xdr:rowOff>
        </xdr:from>
        <xdr:to>
          <xdr:col>0</xdr:col>
          <xdr:colOff>1314450</xdr:colOff>
          <xdr:row>47</xdr:row>
          <xdr:rowOff>57150</xdr:rowOff>
        </xdr:to>
        <xdr:sp macro="" textlink="">
          <xdr:nvSpPr>
            <xdr:cNvPr id="1258497" name="Object 1" hidden="1">
              <a:extLst>
                <a:ext uri="{63B3BB69-23CF-44E3-9099-C40C66FF867C}">
                  <a14:compatExt spid="_x0000_s12584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104775</xdr:colOff>
          <xdr:row>20</xdr:row>
          <xdr:rowOff>38100</xdr:rowOff>
        </xdr:from>
        <xdr:to>
          <xdr:col>2</xdr:col>
          <xdr:colOff>1685925</xdr:colOff>
          <xdr:row>24</xdr:row>
          <xdr:rowOff>19050</xdr:rowOff>
        </xdr:to>
        <xdr:sp macro="" textlink="">
          <xdr:nvSpPr>
            <xdr:cNvPr id="1258498" name="Object 2" hidden="1">
              <a:extLst>
                <a:ext uri="{63B3BB69-23CF-44E3-9099-C40C66FF867C}">
                  <a14:compatExt spid="_x0000_s1258498"/>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54</xdr:row>
          <xdr:rowOff>95250</xdr:rowOff>
        </xdr:from>
        <xdr:to>
          <xdr:col>1</xdr:col>
          <xdr:colOff>742950</xdr:colOff>
          <xdr:row>57</xdr:row>
          <xdr:rowOff>152400</xdr:rowOff>
        </xdr:to>
        <xdr:sp macro="" textlink="">
          <xdr:nvSpPr>
            <xdr:cNvPr id="1257473" name="Object 1" hidden="1">
              <a:extLst>
                <a:ext uri="{63B3BB69-23CF-44E3-9099-C40C66FF867C}">
                  <a14:compatExt spid="_x0000_s12574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59</xdr:row>
          <xdr:rowOff>57150</xdr:rowOff>
        </xdr:from>
        <xdr:to>
          <xdr:col>1</xdr:col>
          <xdr:colOff>1123950</xdr:colOff>
          <xdr:row>62</xdr:row>
          <xdr:rowOff>114300</xdr:rowOff>
        </xdr:to>
        <xdr:sp macro="" textlink="">
          <xdr:nvSpPr>
            <xdr:cNvPr id="1257474" name="Object 2" hidden="1">
              <a:extLst>
                <a:ext uri="{63B3BB69-23CF-44E3-9099-C40C66FF867C}">
                  <a14:compatExt spid="_x0000_s12574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400050</xdr:colOff>
          <xdr:row>62</xdr:row>
          <xdr:rowOff>85725</xdr:rowOff>
        </xdr:from>
        <xdr:to>
          <xdr:col>5</xdr:col>
          <xdr:colOff>428625</xdr:colOff>
          <xdr:row>74</xdr:row>
          <xdr:rowOff>114300</xdr:rowOff>
        </xdr:to>
        <xdr:sp macro="" textlink="">
          <xdr:nvSpPr>
            <xdr:cNvPr id="1257475" name="Object 3" hidden="1">
              <a:extLst>
                <a:ext uri="{63B3BB69-23CF-44E3-9099-C40C66FF867C}">
                  <a14:compatExt spid="_x0000_s12574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87</xdr:row>
          <xdr:rowOff>19050</xdr:rowOff>
        </xdr:from>
        <xdr:to>
          <xdr:col>0</xdr:col>
          <xdr:colOff>1257300</xdr:colOff>
          <xdr:row>89</xdr:row>
          <xdr:rowOff>114300</xdr:rowOff>
        </xdr:to>
        <xdr:sp macro="" textlink="">
          <xdr:nvSpPr>
            <xdr:cNvPr id="1257476" name="Object 4" hidden="1">
              <a:extLst>
                <a:ext uri="{63B3BB69-23CF-44E3-9099-C40C66FF867C}">
                  <a14:compatExt spid="_x0000_s12574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95250</xdr:colOff>
          <xdr:row>77</xdr:row>
          <xdr:rowOff>57150</xdr:rowOff>
        </xdr:from>
        <xdr:to>
          <xdr:col>5</xdr:col>
          <xdr:colOff>19050</xdr:colOff>
          <xdr:row>86</xdr:row>
          <xdr:rowOff>19050</xdr:rowOff>
        </xdr:to>
        <xdr:sp macro="" textlink="">
          <xdr:nvSpPr>
            <xdr:cNvPr id="1257477" name="Object 5" hidden="1">
              <a:extLst>
                <a:ext uri="{63B3BB69-23CF-44E3-9099-C40C66FF867C}">
                  <a14:compatExt spid="_x0000_s12574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80</xdr:row>
          <xdr:rowOff>85725</xdr:rowOff>
        </xdr:from>
        <xdr:to>
          <xdr:col>0</xdr:col>
          <xdr:colOff>1276350</xdr:colOff>
          <xdr:row>82</xdr:row>
          <xdr:rowOff>171450</xdr:rowOff>
        </xdr:to>
        <xdr:sp macro="" textlink="">
          <xdr:nvSpPr>
            <xdr:cNvPr id="1257478" name="Object 6" hidden="1">
              <a:extLst>
                <a:ext uri="{63B3BB69-23CF-44E3-9099-C40C66FF867C}">
                  <a14:compatExt spid="_x0000_s12574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92</xdr:row>
          <xdr:rowOff>85725</xdr:rowOff>
        </xdr:from>
        <xdr:to>
          <xdr:col>1</xdr:col>
          <xdr:colOff>1276350</xdr:colOff>
          <xdr:row>95</xdr:row>
          <xdr:rowOff>57150</xdr:rowOff>
        </xdr:to>
        <xdr:sp macro="" textlink="">
          <xdr:nvSpPr>
            <xdr:cNvPr id="1257479" name="Object 7" hidden="1">
              <a:extLst>
                <a:ext uri="{63B3BB69-23CF-44E3-9099-C40C66FF867C}">
                  <a14:compatExt spid="_x0000_s12574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xdr:colOff>
          <xdr:row>96</xdr:row>
          <xdr:rowOff>57150</xdr:rowOff>
        </xdr:from>
        <xdr:to>
          <xdr:col>2</xdr:col>
          <xdr:colOff>1123950</xdr:colOff>
          <xdr:row>99</xdr:row>
          <xdr:rowOff>95250</xdr:rowOff>
        </xdr:to>
        <xdr:sp macro="" textlink="">
          <xdr:nvSpPr>
            <xdr:cNvPr id="1257480" name="Object 8" hidden="1">
              <a:extLst>
                <a:ext uri="{63B3BB69-23CF-44E3-9099-C40C66FF867C}">
                  <a14:compatExt spid="_x0000_s12574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1190625</xdr:colOff>
          <xdr:row>100</xdr:row>
          <xdr:rowOff>133350</xdr:rowOff>
        </xdr:from>
        <xdr:to>
          <xdr:col>2</xdr:col>
          <xdr:colOff>1428750</xdr:colOff>
          <xdr:row>103</xdr:row>
          <xdr:rowOff>171450</xdr:rowOff>
        </xdr:to>
        <xdr:sp macro="" textlink="">
          <xdr:nvSpPr>
            <xdr:cNvPr id="1257481" name="Object 9" hidden="1">
              <a:extLst>
                <a:ext uri="{63B3BB69-23CF-44E3-9099-C40C66FF867C}">
                  <a14:compatExt spid="_x0000_s12574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xdr:colOff>
          <xdr:row>108</xdr:row>
          <xdr:rowOff>57150</xdr:rowOff>
        </xdr:from>
        <xdr:to>
          <xdr:col>3</xdr:col>
          <xdr:colOff>171450</xdr:colOff>
          <xdr:row>111</xdr:row>
          <xdr:rowOff>85725</xdr:rowOff>
        </xdr:to>
        <xdr:sp macro="" textlink="">
          <xdr:nvSpPr>
            <xdr:cNvPr id="1257482" name="Object 10" hidden="1">
              <a:extLst>
                <a:ext uri="{63B3BB69-23CF-44E3-9099-C40C66FF867C}">
                  <a14:compatExt spid="_x0000_s12574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xdr:colOff>
          <xdr:row>114</xdr:row>
          <xdr:rowOff>19050</xdr:rowOff>
        </xdr:from>
        <xdr:to>
          <xdr:col>2</xdr:col>
          <xdr:colOff>1238250</xdr:colOff>
          <xdr:row>117</xdr:row>
          <xdr:rowOff>19050</xdr:rowOff>
        </xdr:to>
        <xdr:sp macro="" textlink="">
          <xdr:nvSpPr>
            <xdr:cNvPr id="1257483" name="Object 11" hidden="1">
              <a:extLst>
                <a:ext uri="{63B3BB69-23CF-44E3-9099-C40C66FF867C}">
                  <a14:compatExt spid="_x0000_s1257483"/>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266700</xdr:colOff>
          <xdr:row>3</xdr:row>
          <xdr:rowOff>133350</xdr:rowOff>
        </xdr:from>
        <xdr:to>
          <xdr:col>7</xdr:col>
          <xdr:colOff>590550</xdr:colOff>
          <xdr:row>7</xdr:row>
          <xdr:rowOff>171450</xdr:rowOff>
        </xdr:to>
        <xdr:sp macro="" textlink="">
          <xdr:nvSpPr>
            <xdr:cNvPr id="1256449" name="Object 1" hidden="1">
              <a:extLst>
                <a:ext uri="{63B3BB69-23CF-44E3-9099-C40C66FF867C}">
                  <a14:compatExt spid="_x0000_s12564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200025</xdr:colOff>
          <xdr:row>1</xdr:row>
          <xdr:rowOff>0</xdr:rowOff>
        </xdr:from>
        <xdr:to>
          <xdr:col>7</xdr:col>
          <xdr:colOff>552450</xdr:colOff>
          <xdr:row>2</xdr:row>
          <xdr:rowOff>152400</xdr:rowOff>
        </xdr:to>
        <xdr:sp macro="" textlink="">
          <xdr:nvSpPr>
            <xdr:cNvPr id="1256450" name="Object 2" hidden="1">
              <a:extLst>
                <a:ext uri="{63B3BB69-23CF-44E3-9099-C40C66FF867C}">
                  <a14:compatExt spid="_x0000_s12564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114300</xdr:colOff>
          <xdr:row>40</xdr:row>
          <xdr:rowOff>57150</xdr:rowOff>
        </xdr:from>
        <xdr:to>
          <xdr:col>1</xdr:col>
          <xdr:colOff>381000</xdr:colOff>
          <xdr:row>45</xdr:row>
          <xdr:rowOff>152400</xdr:rowOff>
        </xdr:to>
        <xdr:sp macro="" textlink="">
          <xdr:nvSpPr>
            <xdr:cNvPr id="1256451" name="Object 3" hidden="1">
              <a:extLst>
                <a:ext uri="{63B3BB69-23CF-44E3-9099-C40C66FF867C}">
                  <a14:compatExt spid="_x0000_s12564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48</xdr:row>
          <xdr:rowOff>19050</xdr:rowOff>
        </xdr:from>
        <xdr:to>
          <xdr:col>1</xdr:col>
          <xdr:colOff>514350</xdr:colOff>
          <xdr:row>50</xdr:row>
          <xdr:rowOff>57150</xdr:rowOff>
        </xdr:to>
        <xdr:sp macro="" textlink="">
          <xdr:nvSpPr>
            <xdr:cNvPr id="1256452" name="Object 4" hidden="1">
              <a:extLst>
                <a:ext uri="{63B3BB69-23CF-44E3-9099-C40C66FF867C}">
                  <a14:compatExt spid="_x0000_s12564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76200</xdr:colOff>
          <xdr:row>52</xdr:row>
          <xdr:rowOff>114300</xdr:rowOff>
        </xdr:from>
        <xdr:to>
          <xdr:col>0</xdr:col>
          <xdr:colOff>1066800</xdr:colOff>
          <xdr:row>57</xdr:row>
          <xdr:rowOff>123825</xdr:rowOff>
        </xdr:to>
        <xdr:sp macro="" textlink="">
          <xdr:nvSpPr>
            <xdr:cNvPr id="1256453" name="Object 5" hidden="1">
              <a:extLst>
                <a:ext uri="{63B3BB69-23CF-44E3-9099-C40C66FF867C}">
                  <a14:compatExt spid="_x0000_s12564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285750</xdr:colOff>
          <xdr:row>52</xdr:row>
          <xdr:rowOff>95250</xdr:rowOff>
        </xdr:from>
        <xdr:to>
          <xdr:col>2</xdr:col>
          <xdr:colOff>1276350</xdr:colOff>
          <xdr:row>56</xdr:row>
          <xdr:rowOff>19050</xdr:rowOff>
        </xdr:to>
        <xdr:sp macro="" textlink="">
          <xdr:nvSpPr>
            <xdr:cNvPr id="1256454" name="Object 6" hidden="1">
              <a:extLst>
                <a:ext uri="{63B3BB69-23CF-44E3-9099-C40C66FF867C}">
                  <a14:compatExt spid="_x0000_s12564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58</xdr:row>
          <xdr:rowOff>171450</xdr:rowOff>
        </xdr:from>
        <xdr:to>
          <xdr:col>2</xdr:col>
          <xdr:colOff>1524000</xdr:colOff>
          <xdr:row>61</xdr:row>
          <xdr:rowOff>161925</xdr:rowOff>
        </xdr:to>
        <xdr:sp macro="" textlink="">
          <xdr:nvSpPr>
            <xdr:cNvPr id="1256455" name="Object 7" hidden="1">
              <a:extLst>
                <a:ext uri="{63B3BB69-23CF-44E3-9099-C40C66FF867C}">
                  <a14:compatExt spid="_x0000_s12564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59</xdr:row>
          <xdr:rowOff>152400</xdr:rowOff>
        </xdr:from>
        <xdr:to>
          <xdr:col>0</xdr:col>
          <xdr:colOff>1390650</xdr:colOff>
          <xdr:row>61</xdr:row>
          <xdr:rowOff>9525</xdr:rowOff>
        </xdr:to>
        <xdr:sp macro="" textlink="">
          <xdr:nvSpPr>
            <xdr:cNvPr id="1256456" name="Object 8" hidden="1">
              <a:extLst>
                <a:ext uri="{63B3BB69-23CF-44E3-9099-C40C66FF867C}">
                  <a14:compatExt spid="_x0000_s1256456"/>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26</xdr:row>
          <xdr:rowOff>95250</xdr:rowOff>
        </xdr:from>
        <xdr:to>
          <xdr:col>1</xdr:col>
          <xdr:colOff>285750</xdr:colOff>
          <xdr:row>29</xdr:row>
          <xdr:rowOff>95250</xdr:rowOff>
        </xdr:to>
        <xdr:sp macro="" textlink="">
          <xdr:nvSpPr>
            <xdr:cNvPr id="1255425" name="Object 1" hidden="1">
              <a:extLst>
                <a:ext uri="{63B3BB69-23CF-44E3-9099-C40C66FF867C}">
                  <a14:compatExt spid="_x0000_s12554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33</xdr:row>
          <xdr:rowOff>152400</xdr:rowOff>
        </xdr:from>
        <xdr:to>
          <xdr:col>0</xdr:col>
          <xdr:colOff>1123950</xdr:colOff>
          <xdr:row>35</xdr:row>
          <xdr:rowOff>161925</xdr:rowOff>
        </xdr:to>
        <xdr:sp macro="" textlink="">
          <xdr:nvSpPr>
            <xdr:cNvPr id="1255426" name="Object 2" hidden="1">
              <a:extLst>
                <a:ext uri="{63B3BB69-23CF-44E3-9099-C40C66FF867C}">
                  <a14:compatExt spid="_x0000_s1255426"/>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5</xdr:col>
      <xdr:colOff>27940</xdr:colOff>
      <xdr:row>13</xdr:row>
      <xdr:rowOff>104775</xdr:rowOff>
    </xdr:from>
    <xdr:to>
      <xdr:col>11</xdr:col>
      <xdr:colOff>27940</xdr:colOff>
      <xdr:row>29</xdr:row>
      <xdr:rowOff>60960</xdr:rowOff>
    </xdr:to>
    <xdr:pic>
      <xdr:nvPicPr>
        <xdr:cNvPr id="2" name="Picture 1" descr="D0190103"/>
        <xdr:cNvPicPr>
          <a:picLocks noChangeAspect="1"/>
        </xdr:cNvPicPr>
      </xdr:nvPicPr>
      <xdr:blipFill>
        <a:blip xmlns:r="http://schemas.openxmlformats.org/officeDocument/2006/relationships" r:embed="rId1" cstate="print"/>
        <a:stretch>
          <a:fillRect/>
        </a:stretch>
      </xdr:blipFill>
      <xdr:spPr>
        <a:xfrm>
          <a:off x="5948680" y="2840355"/>
          <a:ext cx="4023360" cy="3126105"/>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28576</xdr:colOff>
      <xdr:row>13</xdr:row>
      <xdr:rowOff>38101</xdr:rowOff>
    </xdr:from>
    <xdr:to>
      <xdr:col>4</xdr:col>
      <xdr:colOff>1</xdr:colOff>
      <xdr:row>21</xdr:row>
      <xdr:rowOff>95251</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53615" y="2560320"/>
          <a:ext cx="1769745" cy="1710690"/>
        </a:xfrm>
        <a:prstGeom prst="rect">
          <a:avLst/>
        </a:prstGeom>
      </xdr:spPr>
    </xdr:pic>
    <xdr:clientData/>
  </xdr:twoCellAnchor>
  <xdr:twoCellAnchor editAs="oneCell">
    <xdr:from>
      <xdr:col>5</xdr:col>
      <xdr:colOff>95250</xdr:colOff>
      <xdr:row>11</xdr:row>
      <xdr:rowOff>57150</xdr:rowOff>
    </xdr:from>
    <xdr:to>
      <xdr:col>5</xdr:col>
      <xdr:colOff>657225</xdr:colOff>
      <xdr:row>12</xdr:row>
      <xdr:rowOff>180975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977890" y="2183130"/>
          <a:ext cx="561975" cy="321945"/>
        </a:xfrm>
        <a:prstGeom prst="rect">
          <a:avLst/>
        </a:prstGeom>
      </xdr:spPr>
    </xdr:pic>
    <xdr:clientData/>
  </xdr:twoCellAnchor>
  <xdr:twoCellAnchor editAs="oneCell">
    <xdr:from>
      <xdr:col>5</xdr:col>
      <xdr:colOff>85725</xdr:colOff>
      <xdr:row>13</xdr:row>
      <xdr:rowOff>47625</xdr:rowOff>
    </xdr:from>
    <xdr:to>
      <xdr:col>5</xdr:col>
      <xdr:colOff>657225</xdr:colOff>
      <xdr:row>14</xdr:row>
      <xdr:rowOff>171450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968365" y="2569845"/>
          <a:ext cx="571500" cy="321945"/>
        </a:xfrm>
        <a:prstGeom prst="rect">
          <a:avLst/>
        </a:prstGeom>
      </xdr:spPr>
    </xdr:pic>
    <xdr:clientData/>
  </xdr:twoCellAnchor>
  <xdr:twoCellAnchor editAs="oneCell">
    <xdr:from>
      <xdr:col>5</xdr:col>
      <xdr:colOff>66675</xdr:colOff>
      <xdr:row>15</xdr:row>
      <xdr:rowOff>76200</xdr:rowOff>
    </xdr:from>
    <xdr:to>
      <xdr:col>5</xdr:col>
      <xdr:colOff>704850</xdr:colOff>
      <xdr:row>16</xdr:row>
      <xdr:rowOff>200025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949315" y="2994660"/>
          <a:ext cx="638175" cy="333375"/>
        </a:xfrm>
        <a:prstGeom prst="rect">
          <a:avLst/>
        </a:prstGeom>
      </xdr:spPr>
    </xdr:pic>
    <xdr:clientData/>
  </xdr:twoCellAnchor>
  <xdr:twoCellAnchor editAs="oneCell">
    <xdr:from>
      <xdr:col>5</xdr:col>
      <xdr:colOff>76200</xdr:colOff>
      <xdr:row>17</xdr:row>
      <xdr:rowOff>57150</xdr:rowOff>
    </xdr:from>
    <xdr:to>
      <xdr:col>5</xdr:col>
      <xdr:colOff>714375</xdr:colOff>
      <xdr:row>18</xdr:row>
      <xdr:rowOff>180975</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958840" y="3394710"/>
          <a:ext cx="638175" cy="333375"/>
        </a:xfrm>
        <a:prstGeom prst="rect">
          <a:avLst/>
        </a:prstGeom>
      </xdr:spPr>
    </xdr:pic>
    <xdr:clientData/>
  </xdr:twoCellAnchor>
  <xdr:twoCellAnchor editAs="oneCell">
    <xdr:from>
      <xdr:col>5</xdr:col>
      <xdr:colOff>57150</xdr:colOff>
      <xdr:row>19</xdr:row>
      <xdr:rowOff>133350</xdr:rowOff>
    </xdr:from>
    <xdr:to>
      <xdr:col>5</xdr:col>
      <xdr:colOff>447675</xdr:colOff>
      <xdr:row>20</xdr:row>
      <xdr:rowOff>95250</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939790" y="3890010"/>
          <a:ext cx="390525" cy="171450"/>
        </a:xfrm>
        <a:prstGeom prst="rect">
          <a:avLst/>
        </a:prstGeom>
      </xdr:spPr>
    </xdr:pic>
    <xdr:clientData/>
  </xdr:twoCellAnchor>
  <xdr:twoCellAnchor editAs="oneCell">
    <xdr:from>
      <xdr:col>5</xdr:col>
      <xdr:colOff>47625</xdr:colOff>
      <xdr:row>21</xdr:row>
      <xdr:rowOff>104775</xdr:rowOff>
    </xdr:from>
    <xdr:to>
      <xdr:col>5</xdr:col>
      <xdr:colOff>428625</xdr:colOff>
      <xdr:row>22</xdr:row>
      <xdr:rowOff>85725</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930265" y="4280535"/>
          <a:ext cx="381000" cy="190500"/>
        </a:xfrm>
        <a:prstGeom prst="rect">
          <a:avLst/>
        </a:prstGeom>
      </xdr:spPr>
    </xdr:pic>
    <xdr:clientData/>
  </xdr:twoCellAnchor>
  <xdr:twoCellAnchor editAs="oneCell">
    <xdr:from>
      <xdr:col>5</xdr:col>
      <xdr:colOff>57150</xdr:colOff>
      <xdr:row>23</xdr:row>
      <xdr:rowOff>57150</xdr:rowOff>
    </xdr:from>
    <xdr:to>
      <xdr:col>5</xdr:col>
      <xdr:colOff>419100</xdr:colOff>
      <xdr:row>24</xdr:row>
      <xdr:rowOff>171450</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939790" y="4652010"/>
          <a:ext cx="361950" cy="323850"/>
        </a:xfrm>
        <a:prstGeom prst="rect">
          <a:avLst/>
        </a:prstGeom>
      </xdr:spPr>
    </xdr:pic>
    <xdr:clientData/>
  </xdr:twoCellAnchor>
  <xdr:twoCellAnchor editAs="oneCell">
    <xdr:from>
      <xdr:col>5</xdr:col>
      <xdr:colOff>76200</xdr:colOff>
      <xdr:row>25</xdr:row>
      <xdr:rowOff>76200</xdr:rowOff>
    </xdr:from>
    <xdr:to>
      <xdr:col>5</xdr:col>
      <xdr:colOff>438150</xdr:colOff>
      <xdr:row>26</xdr:row>
      <xdr:rowOff>161925</xdr:rowOff>
    </xdr:to>
    <xdr:pic>
      <xdr:nvPicPr>
        <xdr:cNvPr id="10" name="图片 9" descr="未标题-1.png"/>
        <xdr:cNvPicPr>
          <a:picLocks noChangeAspect="1"/>
        </xdr:cNvPicPr>
      </xdr:nvPicPr>
      <xdr:blipFill>
        <a:blip xmlns:r="http://schemas.openxmlformats.org/officeDocument/2006/relationships" r:embed="rId9" cstate="print"/>
        <a:stretch>
          <a:fillRect/>
        </a:stretch>
      </xdr:blipFill>
      <xdr:spPr>
        <a:xfrm>
          <a:off x="5958840" y="5090160"/>
          <a:ext cx="361950" cy="283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66675</xdr:colOff>
      <xdr:row>10</xdr:row>
      <xdr:rowOff>85726</xdr:rowOff>
    </xdr:from>
    <xdr:to>
      <xdr:col>4</xdr:col>
      <xdr:colOff>0</xdr:colOff>
      <xdr:row>20</xdr:row>
      <xdr:rowOff>161291</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91715" y="2013585"/>
          <a:ext cx="1663065" cy="2146300"/>
        </a:xfrm>
        <a:prstGeom prst="rect">
          <a:avLst/>
        </a:prstGeom>
      </xdr:spPr>
    </xdr:pic>
    <xdr:clientData/>
  </xdr:twoCellAnchor>
  <xdr:twoCellAnchor editAs="oneCell">
    <xdr:from>
      <xdr:col>5</xdr:col>
      <xdr:colOff>142875</xdr:colOff>
      <xdr:row>9</xdr:row>
      <xdr:rowOff>133350</xdr:rowOff>
    </xdr:from>
    <xdr:to>
      <xdr:col>5</xdr:col>
      <xdr:colOff>542925</xdr:colOff>
      <xdr:row>10</xdr:row>
      <xdr:rowOff>66675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6017895" y="1813560"/>
          <a:ext cx="400050" cy="180975"/>
        </a:xfrm>
        <a:prstGeom prst="rect">
          <a:avLst/>
        </a:prstGeom>
      </xdr:spPr>
    </xdr:pic>
    <xdr:clientData/>
  </xdr:twoCellAnchor>
  <xdr:twoCellAnchor editAs="oneCell">
    <xdr:from>
      <xdr:col>5</xdr:col>
      <xdr:colOff>104775</xdr:colOff>
      <xdr:row>11</xdr:row>
      <xdr:rowOff>38100</xdr:rowOff>
    </xdr:from>
    <xdr:to>
      <xdr:col>5</xdr:col>
      <xdr:colOff>485775</xdr:colOff>
      <xdr:row>12</xdr:row>
      <xdr:rowOff>161925</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979795" y="2164080"/>
          <a:ext cx="381000" cy="321945"/>
        </a:xfrm>
        <a:prstGeom prst="rect">
          <a:avLst/>
        </a:prstGeom>
      </xdr:spPr>
    </xdr:pic>
    <xdr:clientData/>
  </xdr:twoCellAnchor>
  <xdr:twoCellAnchor editAs="oneCell">
    <xdr:from>
      <xdr:col>5</xdr:col>
      <xdr:colOff>76200</xdr:colOff>
      <xdr:row>13</xdr:row>
      <xdr:rowOff>57150</xdr:rowOff>
    </xdr:from>
    <xdr:to>
      <xdr:col>5</xdr:col>
      <xdr:colOff>561975</xdr:colOff>
      <xdr:row>14</xdr:row>
      <xdr:rowOff>190500</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951220" y="2579370"/>
          <a:ext cx="485775" cy="342900"/>
        </a:xfrm>
        <a:prstGeom prst="rect">
          <a:avLst/>
        </a:prstGeom>
      </xdr:spPr>
    </xdr:pic>
    <xdr:clientData/>
  </xdr:twoCellAnchor>
  <xdr:twoCellAnchor editAs="oneCell">
    <xdr:from>
      <xdr:col>5</xdr:col>
      <xdr:colOff>66675</xdr:colOff>
      <xdr:row>15</xdr:row>
      <xdr:rowOff>133350</xdr:rowOff>
    </xdr:from>
    <xdr:to>
      <xdr:col>6</xdr:col>
      <xdr:colOff>0</xdr:colOff>
      <xdr:row>16</xdr:row>
      <xdr:rowOff>104775</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941695" y="3074670"/>
          <a:ext cx="908685" cy="180975"/>
        </a:xfrm>
        <a:prstGeom prst="rect">
          <a:avLst/>
        </a:prstGeom>
      </xdr:spPr>
    </xdr:pic>
    <xdr:clientData/>
  </xdr:twoCellAnchor>
  <xdr:twoCellAnchor editAs="oneCell">
    <xdr:from>
      <xdr:col>5</xdr:col>
      <xdr:colOff>85725</xdr:colOff>
      <xdr:row>17</xdr:row>
      <xdr:rowOff>66675</xdr:rowOff>
    </xdr:from>
    <xdr:to>
      <xdr:col>5</xdr:col>
      <xdr:colOff>476250</xdr:colOff>
      <xdr:row>18</xdr:row>
      <xdr:rowOff>152400</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960745" y="3427095"/>
          <a:ext cx="390525" cy="295275"/>
        </a:xfrm>
        <a:prstGeom prst="rect">
          <a:avLst/>
        </a:prstGeom>
      </xdr:spPr>
    </xdr:pic>
    <xdr:clientData/>
  </xdr:twoCellAnchor>
  <xdr:twoCellAnchor editAs="oneCell">
    <xdr:from>
      <xdr:col>5</xdr:col>
      <xdr:colOff>66675</xdr:colOff>
      <xdr:row>19</xdr:row>
      <xdr:rowOff>133350</xdr:rowOff>
    </xdr:from>
    <xdr:to>
      <xdr:col>5</xdr:col>
      <xdr:colOff>895350</xdr:colOff>
      <xdr:row>20</xdr:row>
      <xdr:rowOff>95250</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941695" y="3912870"/>
          <a:ext cx="828675" cy="171450"/>
        </a:xfrm>
        <a:prstGeom prst="rect">
          <a:avLst/>
        </a:prstGeom>
      </xdr:spPr>
    </xdr:pic>
    <xdr:clientData/>
  </xdr:twoCellAnchor>
  <xdr:twoCellAnchor editAs="oneCell">
    <xdr:from>
      <xdr:col>5</xdr:col>
      <xdr:colOff>28575</xdr:colOff>
      <xdr:row>21</xdr:row>
      <xdr:rowOff>85725</xdr:rowOff>
    </xdr:from>
    <xdr:to>
      <xdr:col>5</xdr:col>
      <xdr:colOff>495300</xdr:colOff>
      <xdr:row>22</xdr:row>
      <xdr:rowOff>198120</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903595" y="4284345"/>
          <a:ext cx="466725" cy="3105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716280</xdr:colOff>
      <xdr:row>9</xdr:row>
      <xdr:rowOff>219075</xdr:rowOff>
    </xdr:from>
    <xdr:to>
      <xdr:col>4</xdr:col>
      <xdr:colOff>15875</xdr:colOff>
      <xdr:row>18</xdr:row>
      <xdr:rowOff>142875</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25040" y="1899285"/>
          <a:ext cx="1654175" cy="1800225"/>
        </a:xfrm>
        <a:prstGeom prst="rect">
          <a:avLst/>
        </a:prstGeom>
      </xdr:spPr>
    </xdr:pic>
    <xdr:clientData/>
  </xdr:twoCellAnchor>
  <xdr:twoCellAnchor editAs="oneCell">
    <xdr:from>
      <xdr:col>5</xdr:col>
      <xdr:colOff>85725</xdr:colOff>
      <xdr:row>9</xdr:row>
      <xdr:rowOff>85725</xdr:rowOff>
    </xdr:from>
    <xdr:to>
      <xdr:col>5</xdr:col>
      <xdr:colOff>590550</xdr:colOff>
      <xdr:row>10</xdr:row>
      <xdr:rowOff>123825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808345" y="1765935"/>
          <a:ext cx="504825" cy="285750"/>
        </a:xfrm>
        <a:prstGeom prst="rect">
          <a:avLst/>
        </a:prstGeom>
      </xdr:spPr>
    </xdr:pic>
    <xdr:clientData/>
  </xdr:twoCellAnchor>
  <xdr:twoCellAnchor editAs="oneCell">
    <xdr:from>
      <xdr:col>5</xdr:col>
      <xdr:colOff>38100</xdr:colOff>
      <xdr:row>11</xdr:row>
      <xdr:rowOff>85725</xdr:rowOff>
    </xdr:from>
    <xdr:to>
      <xdr:col>5</xdr:col>
      <xdr:colOff>914400</xdr:colOff>
      <xdr:row>12</xdr:row>
      <xdr:rowOff>161925</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760720" y="2211705"/>
          <a:ext cx="876300" cy="274320"/>
        </a:xfrm>
        <a:prstGeom prst="rect">
          <a:avLst/>
        </a:prstGeom>
      </xdr:spPr>
    </xdr:pic>
    <xdr:clientData/>
  </xdr:twoCellAnchor>
  <xdr:twoCellAnchor editAs="oneCell">
    <xdr:from>
      <xdr:col>5</xdr:col>
      <xdr:colOff>66675</xdr:colOff>
      <xdr:row>13</xdr:row>
      <xdr:rowOff>28575</xdr:rowOff>
    </xdr:from>
    <xdr:to>
      <xdr:col>5</xdr:col>
      <xdr:colOff>571500</xdr:colOff>
      <xdr:row>14</xdr:row>
      <xdr:rowOff>161925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789295" y="2550795"/>
          <a:ext cx="504825" cy="331470"/>
        </a:xfrm>
        <a:prstGeom prst="rect">
          <a:avLst/>
        </a:prstGeom>
      </xdr:spPr>
    </xdr:pic>
    <xdr:clientData/>
  </xdr:twoCellAnchor>
  <xdr:twoCellAnchor editAs="oneCell">
    <xdr:from>
      <xdr:col>5</xdr:col>
      <xdr:colOff>57150</xdr:colOff>
      <xdr:row>15</xdr:row>
      <xdr:rowOff>95250</xdr:rowOff>
    </xdr:from>
    <xdr:to>
      <xdr:col>5</xdr:col>
      <xdr:colOff>676275</xdr:colOff>
      <xdr:row>16</xdr:row>
      <xdr:rowOff>171450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779770" y="3013710"/>
          <a:ext cx="619125" cy="285750"/>
        </a:xfrm>
        <a:prstGeom prst="rect">
          <a:avLst/>
        </a:prstGeom>
      </xdr:spPr>
    </xdr:pic>
    <xdr:clientData/>
  </xdr:twoCellAnchor>
  <xdr:twoCellAnchor editAs="oneCell">
    <xdr:from>
      <xdr:col>5</xdr:col>
      <xdr:colOff>76200</xdr:colOff>
      <xdr:row>17</xdr:row>
      <xdr:rowOff>57150</xdr:rowOff>
    </xdr:from>
    <xdr:to>
      <xdr:col>5</xdr:col>
      <xdr:colOff>466725</xdr:colOff>
      <xdr:row>18</xdr:row>
      <xdr:rowOff>171450</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798820" y="3394710"/>
          <a:ext cx="390525" cy="323850"/>
        </a:xfrm>
        <a:prstGeom prst="rect">
          <a:avLst/>
        </a:prstGeom>
      </xdr:spPr>
    </xdr:pic>
    <xdr:clientData/>
  </xdr:twoCellAnchor>
  <xdr:twoCellAnchor editAs="oneCell">
    <xdr:from>
      <xdr:col>5</xdr:col>
      <xdr:colOff>76200</xdr:colOff>
      <xdr:row>19</xdr:row>
      <xdr:rowOff>57150</xdr:rowOff>
    </xdr:from>
    <xdr:to>
      <xdr:col>5</xdr:col>
      <xdr:colOff>381000</xdr:colOff>
      <xdr:row>20</xdr:row>
      <xdr:rowOff>171450</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798820" y="3813810"/>
          <a:ext cx="304800" cy="3238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38100</xdr:colOff>
      <xdr:row>10</xdr:row>
      <xdr:rowOff>133350</xdr:rowOff>
    </xdr:from>
    <xdr:to>
      <xdr:col>4</xdr:col>
      <xdr:colOff>0</xdr:colOff>
      <xdr:row>20</xdr:row>
      <xdr:rowOff>66675</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63140" y="2061210"/>
          <a:ext cx="1775460" cy="2047875"/>
        </a:xfrm>
        <a:prstGeom prst="rect">
          <a:avLst/>
        </a:prstGeom>
      </xdr:spPr>
    </xdr:pic>
    <xdr:clientData/>
  </xdr:twoCellAnchor>
  <xdr:twoCellAnchor editAs="oneCell">
    <xdr:from>
      <xdr:col>5</xdr:col>
      <xdr:colOff>85725</xdr:colOff>
      <xdr:row>9</xdr:row>
      <xdr:rowOff>66675</xdr:rowOff>
    </xdr:from>
    <xdr:to>
      <xdr:col>5</xdr:col>
      <xdr:colOff>1190625</xdr:colOff>
      <xdr:row>10</xdr:row>
      <xdr:rowOff>114300</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983605" y="1746885"/>
          <a:ext cx="1104900" cy="295275"/>
        </a:xfrm>
        <a:prstGeom prst="rect">
          <a:avLst/>
        </a:prstGeom>
      </xdr:spPr>
    </xdr:pic>
    <xdr:clientData/>
  </xdr:twoCellAnchor>
  <xdr:twoCellAnchor editAs="oneCell">
    <xdr:from>
      <xdr:col>5</xdr:col>
      <xdr:colOff>57150</xdr:colOff>
      <xdr:row>11</xdr:row>
      <xdr:rowOff>28575</xdr:rowOff>
    </xdr:from>
    <xdr:to>
      <xdr:col>6</xdr:col>
      <xdr:colOff>0</xdr:colOff>
      <xdr:row>12</xdr:row>
      <xdr:rowOff>161925</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955030" y="2154555"/>
          <a:ext cx="1535430" cy="331470"/>
        </a:xfrm>
        <a:prstGeom prst="rect">
          <a:avLst/>
        </a:prstGeom>
      </xdr:spPr>
    </xdr:pic>
    <xdr:clientData/>
  </xdr:twoCellAnchor>
  <xdr:twoCellAnchor editAs="oneCell">
    <xdr:from>
      <xdr:col>5</xdr:col>
      <xdr:colOff>66675</xdr:colOff>
      <xdr:row>13</xdr:row>
      <xdr:rowOff>95250</xdr:rowOff>
    </xdr:from>
    <xdr:to>
      <xdr:col>5</xdr:col>
      <xdr:colOff>933450</xdr:colOff>
      <xdr:row>14</xdr:row>
      <xdr:rowOff>57150</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964555" y="2617470"/>
          <a:ext cx="866775" cy="169545"/>
        </a:xfrm>
        <a:prstGeom prst="rect">
          <a:avLst/>
        </a:prstGeom>
      </xdr:spPr>
    </xdr:pic>
    <xdr:clientData/>
  </xdr:twoCellAnchor>
  <xdr:twoCellAnchor editAs="oneCell">
    <xdr:from>
      <xdr:col>5</xdr:col>
      <xdr:colOff>66675</xdr:colOff>
      <xdr:row>15</xdr:row>
      <xdr:rowOff>38100</xdr:rowOff>
    </xdr:from>
    <xdr:to>
      <xdr:col>6</xdr:col>
      <xdr:colOff>0</xdr:colOff>
      <xdr:row>16</xdr:row>
      <xdr:rowOff>171450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964555" y="2956560"/>
          <a:ext cx="1525905" cy="342900"/>
        </a:xfrm>
        <a:prstGeom prst="rect">
          <a:avLst/>
        </a:prstGeom>
      </xdr:spPr>
    </xdr:pic>
    <xdr:clientData/>
  </xdr:twoCellAnchor>
  <xdr:twoCellAnchor editAs="oneCell">
    <xdr:from>
      <xdr:col>5</xdr:col>
      <xdr:colOff>66675</xdr:colOff>
      <xdr:row>17</xdr:row>
      <xdr:rowOff>38100</xdr:rowOff>
    </xdr:from>
    <xdr:to>
      <xdr:col>6</xdr:col>
      <xdr:colOff>0</xdr:colOff>
      <xdr:row>18</xdr:row>
      <xdr:rowOff>190500</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964555" y="3375660"/>
          <a:ext cx="1525905" cy="361950"/>
        </a:xfrm>
        <a:prstGeom prst="rect">
          <a:avLst/>
        </a:prstGeom>
      </xdr:spPr>
    </xdr:pic>
    <xdr:clientData/>
  </xdr:twoCellAnchor>
  <xdr:twoCellAnchor editAs="oneCell">
    <xdr:from>
      <xdr:col>5</xdr:col>
      <xdr:colOff>38100</xdr:colOff>
      <xdr:row>19</xdr:row>
      <xdr:rowOff>9525</xdr:rowOff>
    </xdr:from>
    <xdr:to>
      <xdr:col>5</xdr:col>
      <xdr:colOff>523875</xdr:colOff>
      <xdr:row>21</xdr:row>
      <xdr:rowOff>28575</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935980" y="3766185"/>
          <a:ext cx="485775" cy="495300"/>
        </a:xfrm>
        <a:prstGeom prst="rect">
          <a:avLst/>
        </a:prstGeom>
      </xdr:spPr>
    </xdr:pic>
    <xdr:clientData/>
  </xdr:twoCellAnchor>
  <xdr:twoCellAnchor editAs="oneCell">
    <xdr:from>
      <xdr:col>5</xdr:col>
      <xdr:colOff>47625</xdr:colOff>
      <xdr:row>21</xdr:row>
      <xdr:rowOff>19050</xdr:rowOff>
    </xdr:from>
    <xdr:to>
      <xdr:col>5</xdr:col>
      <xdr:colOff>542925</xdr:colOff>
      <xdr:row>23</xdr:row>
      <xdr:rowOff>9525</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945505" y="4251960"/>
          <a:ext cx="495300" cy="4953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57151</xdr:colOff>
      <xdr:row>13</xdr:row>
      <xdr:rowOff>0</xdr:rowOff>
    </xdr:from>
    <xdr:to>
      <xdr:col>4</xdr:col>
      <xdr:colOff>1</xdr:colOff>
      <xdr:row>23</xdr:row>
      <xdr:rowOff>52705</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82190" y="2522220"/>
          <a:ext cx="1672590" cy="2134870"/>
        </a:xfrm>
        <a:prstGeom prst="rect">
          <a:avLst/>
        </a:prstGeom>
      </xdr:spPr>
    </xdr:pic>
    <xdr:clientData/>
  </xdr:twoCellAnchor>
  <xdr:twoCellAnchor editAs="oneCell">
    <xdr:from>
      <xdr:col>5</xdr:col>
      <xdr:colOff>66675</xdr:colOff>
      <xdr:row>9</xdr:row>
      <xdr:rowOff>57150</xdr:rowOff>
    </xdr:from>
    <xdr:to>
      <xdr:col>5</xdr:col>
      <xdr:colOff>609600</xdr:colOff>
      <xdr:row>10</xdr:row>
      <xdr:rowOff>152400</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766435" y="1737360"/>
          <a:ext cx="542925" cy="342900"/>
        </a:xfrm>
        <a:prstGeom prst="rect">
          <a:avLst/>
        </a:prstGeom>
      </xdr:spPr>
    </xdr:pic>
    <xdr:clientData/>
  </xdr:twoCellAnchor>
  <xdr:twoCellAnchor editAs="oneCell">
    <xdr:from>
      <xdr:col>5</xdr:col>
      <xdr:colOff>66675</xdr:colOff>
      <xdr:row>11</xdr:row>
      <xdr:rowOff>95250</xdr:rowOff>
    </xdr:from>
    <xdr:to>
      <xdr:col>5</xdr:col>
      <xdr:colOff>571500</xdr:colOff>
      <xdr:row>12</xdr:row>
      <xdr:rowOff>171450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766435" y="2221230"/>
          <a:ext cx="504825" cy="283845"/>
        </a:xfrm>
        <a:prstGeom prst="rect">
          <a:avLst/>
        </a:prstGeom>
      </xdr:spPr>
    </xdr:pic>
    <xdr:clientData/>
  </xdr:twoCellAnchor>
  <xdr:twoCellAnchor editAs="oneCell">
    <xdr:from>
      <xdr:col>5</xdr:col>
      <xdr:colOff>57150</xdr:colOff>
      <xdr:row>13</xdr:row>
      <xdr:rowOff>85725</xdr:rowOff>
    </xdr:from>
    <xdr:to>
      <xdr:col>5</xdr:col>
      <xdr:colOff>742950</xdr:colOff>
      <xdr:row>14</xdr:row>
      <xdr:rowOff>171450</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756910" y="2607945"/>
          <a:ext cx="685800" cy="283845"/>
        </a:xfrm>
        <a:prstGeom prst="rect">
          <a:avLst/>
        </a:prstGeom>
      </xdr:spPr>
    </xdr:pic>
    <xdr:clientData/>
  </xdr:twoCellAnchor>
  <xdr:twoCellAnchor editAs="oneCell">
    <xdr:from>
      <xdr:col>5</xdr:col>
      <xdr:colOff>66675</xdr:colOff>
      <xdr:row>15</xdr:row>
      <xdr:rowOff>38100</xdr:rowOff>
    </xdr:from>
    <xdr:to>
      <xdr:col>5</xdr:col>
      <xdr:colOff>1428750</xdr:colOff>
      <xdr:row>16</xdr:row>
      <xdr:rowOff>171450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766435" y="2956560"/>
          <a:ext cx="1362075" cy="342900"/>
        </a:xfrm>
        <a:prstGeom prst="rect">
          <a:avLst/>
        </a:prstGeom>
      </xdr:spPr>
    </xdr:pic>
    <xdr:clientData/>
  </xdr:twoCellAnchor>
  <xdr:twoCellAnchor editAs="oneCell">
    <xdr:from>
      <xdr:col>5</xdr:col>
      <xdr:colOff>57150</xdr:colOff>
      <xdr:row>17</xdr:row>
      <xdr:rowOff>28575</xdr:rowOff>
    </xdr:from>
    <xdr:to>
      <xdr:col>6</xdr:col>
      <xdr:colOff>0</xdr:colOff>
      <xdr:row>18</xdr:row>
      <xdr:rowOff>161925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756910" y="3366135"/>
          <a:ext cx="2274570" cy="342900"/>
        </a:xfrm>
        <a:prstGeom prst="rect">
          <a:avLst/>
        </a:prstGeom>
      </xdr:spPr>
    </xdr:pic>
    <xdr:clientData/>
  </xdr:twoCellAnchor>
  <xdr:twoCellAnchor editAs="oneCell">
    <xdr:from>
      <xdr:col>5</xdr:col>
      <xdr:colOff>47625</xdr:colOff>
      <xdr:row>19</xdr:row>
      <xdr:rowOff>47625</xdr:rowOff>
    </xdr:from>
    <xdr:to>
      <xdr:col>5</xdr:col>
      <xdr:colOff>1362075</xdr:colOff>
      <xdr:row>20</xdr:row>
      <xdr:rowOff>180975</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747385" y="3804285"/>
          <a:ext cx="1314450" cy="342900"/>
        </a:xfrm>
        <a:prstGeom prst="rect">
          <a:avLst/>
        </a:prstGeom>
      </xdr:spPr>
    </xdr:pic>
    <xdr:clientData/>
  </xdr:twoCellAnchor>
  <xdr:twoCellAnchor editAs="oneCell">
    <xdr:from>
      <xdr:col>5</xdr:col>
      <xdr:colOff>47625</xdr:colOff>
      <xdr:row>21</xdr:row>
      <xdr:rowOff>38100</xdr:rowOff>
    </xdr:from>
    <xdr:to>
      <xdr:col>5</xdr:col>
      <xdr:colOff>561975</xdr:colOff>
      <xdr:row>22</xdr:row>
      <xdr:rowOff>152400</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747385" y="4213860"/>
          <a:ext cx="514350" cy="323850"/>
        </a:xfrm>
        <a:prstGeom prst="rect">
          <a:avLst/>
        </a:prstGeom>
      </xdr:spPr>
    </xdr:pic>
    <xdr:clientData/>
  </xdr:twoCellAnchor>
  <xdr:twoCellAnchor editAs="oneCell">
    <xdr:from>
      <xdr:col>5</xdr:col>
      <xdr:colOff>57150</xdr:colOff>
      <xdr:row>22</xdr:row>
      <xdr:rowOff>200025</xdr:rowOff>
    </xdr:from>
    <xdr:to>
      <xdr:col>6</xdr:col>
      <xdr:colOff>0</xdr:colOff>
      <xdr:row>25</xdr:row>
      <xdr:rowOff>19050</xdr:rowOff>
    </xdr:to>
    <xdr:pic>
      <xdr:nvPicPr>
        <xdr:cNvPr id="10" name="图片 9" descr="未标题-1.png"/>
        <xdr:cNvPicPr>
          <a:picLocks noChangeAspect="1"/>
        </xdr:cNvPicPr>
      </xdr:nvPicPr>
      <xdr:blipFill>
        <a:blip xmlns:r="http://schemas.openxmlformats.org/officeDocument/2006/relationships" r:embed="rId9" cstate="print"/>
        <a:stretch>
          <a:fillRect/>
        </a:stretch>
      </xdr:blipFill>
      <xdr:spPr>
        <a:xfrm>
          <a:off x="5756910" y="4585335"/>
          <a:ext cx="2274570" cy="561975"/>
        </a:xfrm>
        <a:prstGeom prst="rect">
          <a:avLst/>
        </a:prstGeom>
      </xdr:spPr>
    </xdr:pic>
    <xdr:clientData/>
  </xdr:twoCellAnchor>
  <xdr:twoCellAnchor editAs="oneCell">
    <xdr:from>
      <xdr:col>5</xdr:col>
      <xdr:colOff>19050</xdr:colOff>
      <xdr:row>25</xdr:row>
      <xdr:rowOff>38100</xdr:rowOff>
    </xdr:from>
    <xdr:to>
      <xdr:col>5</xdr:col>
      <xdr:colOff>1400175</xdr:colOff>
      <xdr:row>27</xdr:row>
      <xdr:rowOff>0</xdr:rowOff>
    </xdr:to>
    <xdr:pic>
      <xdr:nvPicPr>
        <xdr:cNvPr id="11" name="图片 10" descr="未标题-1.png"/>
        <xdr:cNvPicPr>
          <a:picLocks noChangeAspect="1"/>
        </xdr:cNvPicPr>
      </xdr:nvPicPr>
      <xdr:blipFill>
        <a:blip xmlns:r="http://schemas.openxmlformats.org/officeDocument/2006/relationships" r:embed="rId10" cstate="print"/>
        <a:stretch>
          <a:fillRect/>
        </a:stretch>
      </xdr:blipFill>
      <xdr:spPr>
        <a:xfrm>
          <a:off x="5718810" y="5166360"/>
          <a:ext cx="1381125" cy="4953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28575</xdr:colOff>
      <xdr:row>13</xdr:row>
      <xdr:rowOff>104776</xdr:rowOff>
    </xdr:from>
    <xdr:to>
      <xdr:col>4</xdr:col>
      <xdr:colOff>0</xdr:colOff>
      <xdr:row>18</xdr:row>
      <xdr:rowOff>190501</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53615" y="2626995"/>
          <a:ext cx="1701165" cy="1097280"/>
        </a:xfrm>
        <a:prstGeom prst="rect">
          <a:avLst/>
        </a:prstGeom>
      </xdr:spPr>
    </xdr:pic>
    <xdr:clientData/>
  </xdr:twoCellAnchor>
  <xdr:twoCellAnchor editAs="oneCell">
    <xdr:from>
      <xdr:col>5</xdr:col>
      <xdr:colOff>85725</xdr:colOff>
      <xdr:row>9</xdr:row>
      <xdr:rowOff>57150</xdr:rowOff>
    </xdr:from>
    <xdr:to>
      <xdr:col>5</xdr:col>
      <xdr:colOff>504825</xdr:colOff>
      <xdr:row>10</xdr:row>
      <xdr:rowOff>133350</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899785" y="1737360"/>
          <a:ext cx="419100" cy="323850"/>
        </a:xfrm>
        <a:prstGeom prst="rect">
          <a:avLst/>
        </a:prstGeom>
      </xdr:spPr>
    </xdr:pic>
    <xdr:clientData/>
  </xdr:twoCellAnchor>
  <xdr:twoCellAnchor editAs="oneCell">
    <xdr:from>
      <xdr:col>5</xdr:col>
      <xdr:colOff>57150</xdr:colOff>
      <xdr:row>11</xdr:row>
      <xdr:rowOff>47625</xdr:rowOff>
    </xdr:from>
    <xdr:to>
      <xdr:col>5</xdr:col>
      <xdr:colOff>609600</xdr:colOff>
      <xdr:row>12</xdr:row>
      <xdr:rowOff>171450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871210" y="2173605"/>
          <a:ext cx="552450" cy="321945"/>
        </a:xfrm>
        <a:prstGeom prst="rect">
          <a:avLst/>
        </a:prstGeom>
      </xdr:spPr>
    </xdr:pic>
    <xdr:clientData/>
  </xdr:twoCellAnchor>
  <xdr:twoCellAnchor editAs="oneCell">
    <xdr:from>
      <xdr:col>5</xdr:col>
      <xdr:colOff>57150</xdr:colOff>
      <xdr:row>13</xdr:row>
      <xdr:rowOff>38100</xdr:rowOff>
    </xdr:from>
    <xdr:to>
      <xdr:col>5</xdr:col>
      <xdr:colOff>561975</xdr:colOff>
      <xdr:row>14</xdr:row>
      <xdr:rowOff>161925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871210" y="2560320"/>
          <a:ext cx="504825" cy="331470"/>
        </a:xfrm>
        <a:prstGeom prst="rect">
          <a:avLst/>
        </a:prstGeom>
      </xdr:spPr>
    </xdr:pic>
    <xdr:clientData/>
  </xdr:twoCellAnchor>
  <xdr:twoCellAnchor editAs="oneCell">
    <xdr:from>
      <xdr:col>5</xdr:col>
      <xdr:colOff>47625</xdr:colOff>
      <xdr:row>15</xdr:row>
      <xdr:rowOff>66675</xdr:rowOff>
    </xdr:from>
    <xdr:to>
      <xdr:col>5</xdr:col>
      <xdr:colOff>600075</xdr:colOff>
      <xdr:row>16</xdr:row>
      <xdr:rowOff>190500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861685" y="2985135"/>
          <a:ext cx="552450" cy="321945"/>
        </a:xfrm>
        <a:prstGeom prst="rect">
          <a:avLst/>
        </a:prstGeom>
      </xdr:spPr>
    </xdr:pic>
    <xdr:clientData/>
  </xdr:twoCellAnchor>
  <xdr:twoCellAnchor editAs="oneCell">
    <xdr:from>
      <xdr:col>5</xdr:col>
      <xdr:colOff>57150</xdr:colOff>
      <xdr:row>17</xdr:row>
      <xdr:rowOff>28575</xdr:rowOff>
    </xdr:from>
    <xdr:to>
      <xdr:col>5</xdr:col>
      <xdr:colOff>685800</xdr:colOff>
      <xdr:row>18</xdr:row>
      <xdr:rowOff>152400</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71210" y="3343275"/>
          <a:ext cx="628650" cy="333375"/>
        </a:xfrm>
        <a:prstGeom prst="rect">
          <a:avLst/>
        </a:prstGeom>
      </xdr:spPr>
    </xdr:pic>
    <xdr:clientData/>
  </xdr:twoCellAnchor>
  <xdr:twoCellAnchor editAs="oneCell">
    <xdr:from>
      <xdr:col>5</xdr:col>
      <xdr:colOff>66675</xdr:colOff>
      <xdr:row>19</xdr:row>
      <xdr:rowOff>47625</xdr:rowOff>
    </xdr:from>
    <xdr:to>
      <xdr:col>5</xdr:col>
      <xdr:colOff>695325</xdr:colOff>
      <xdr:row>20</xdr:row>
      <xdr:rowOff>171450</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880735" y="3781425"/>
          <a:ext cx="628650" cy="333375"/>
        </a:xfrm>
        <a:prstGeom prst="rect">
          <a:avLst/>
        </a:prstGeom>
      </xdr:spPr>
    </xdr:pic>
    <xdr:clientData/>
  </xdr:twoCellAnchor>
  <xdr:twoCellAnchor editAs="oneCell">
    <xdr:from>
      <xdr:col>5</xdr:col>
      <xdr:colOff>66675</xdr:colOff>
      <xdr:row>21</xdr:row>
      <xdr:rowOff>66675</xdr:rowOff>
    </xdr:from>
    <xdr:to>
      <xdr:col>5</xdr:col>
      <xdr:colOff>533400</xdr:colOff>
      <xdr:row>22</xdr:row>
      <xdr:rowOff>180975</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880735" y="4219575"/>
          <a:ext cx="466725" cy="323850"/>
        </a:xfrm>
        <a:prstGeom prst="rect">
          <a:avLst/>
        </a:prstGeom>
      </xdr:spPr>
    </xdr:pic>
    <xdr:clientData/>
  </xdr:twoCellAnchor>
  <xdr:twoCellAnchor editAs="oneCell">
    <xdr:from>
      <xdr:col>5</xdr:col>
      <xdr:colOff>38100</xdr:colOff>
      <xdr:row>23</xdr:row>
      <xdr:rowOff>123825</xdr:rowOff>
    </xdr:from>
    <xdr:to>
      <xdr:col>5</xdr:col>
      <xdr:colOff>723900</xdr:colOff>
      <xdr:row>24</xdr:row>
      <xdr:rowOff>85725</xdr:rowOff>
    </xdr:to>
    <xdr:pic>
      <xdr:nvPicPr>
        <xdr:cNvPr id="10" name="图片 9" descr="未标题-1.png"/>
        <xdr:cNvPicPr>
          <a:picLocks noChangeAspect="1"/>
        </xdr:cNvPicPr>
      </xdr:nvPicPr>
      <xdr:blipFill>
        <a:blip xmlns:r="http://schemas.openxmlformats.org/officeDocument/2006/relationships" r:embed="rId9" cstate="print"/>
        <a:stretch>
          <a:fillRect/>
        </a:stretch>
      </xdr:blipFill>
      <xdr:spPr>
        <a:xfrm>
          <a:off x="5852160" y="4695825"/>
          <a:ext cx="685800" cy="171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57150</xdr:colOff>
      <xdr:row>10</xdr:row>
      <xdr:rowOff>85725</xdr:rowOff>
    </xdr:from>
    <xdr:to>
      <xdr:col>4</xdr:col>
      <xdr:colOff>0</xdr:colOff>
      <xdr:row>19</xdr:row>
      <xdr:rowOff>76200</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82190" y="2013585"/>
          <a:ext cx="1672590" cy="1851660"/>
        </a:xfrm>
        <a:prstGeom prst="rect">
          <a:avLst/>
        </a:prstGeom>
      </xdr:spPr>
    </xdr:pic>
    <xdr:clientData/>
  </xdr:twoCellAnchor>
  <xdr:twoCellAnchor editAs="oneCell">
    <xdr:from>
      <xdr:col>5</xdr:col>
      <xdr:colOff>76200</xdr:colOff>
      <xdr:row>9</xdr:row>
      <xdr:rowOff>142875</xdr:rowOff>
    </xdr:from>
    <xdr:to>
      <xdr:col>5</xdr:col>
      <xdr:colOff>819150</xdr:colOff>
      <xdr:row>10</xdr:row>
      <xdr:rowOff>76200</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890260" y="1823085"/>
          <a:ext cx="742950" cy="180975"/>
        </a:xfrm>
        <a:prstGeom prst="rect">
          <a:avLst/>
        </a:prstGeom>
      </xdr:spPr>
    </xdr:pic>
    <xdr:clientData/>
  </xdr:twoCellAnchor>
  <xdr:twoCellAnchor editAs="oneCell">
    <xdr:from>
      <xdr:col>5</xdr:col>
      <xdr:colOff>47625</xdr:colOff>
      <xdr:row>11</xdr:row>
      <xdr:rowOff>123825</xdr:rowOff>
    </xdr:from>
    <xdr:to>
      <xdr:col>5</xdr:col>
      <xdr:colOff>885825</xdr:colOff>
      <xdr:row>12</xdr:row>
      <xdr:rowOff>85725</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861685" y="2249805"/>
          <a:ext cx="838200" cy="169545"/>
        </a:xfrm>
        <a:prstGeom prst="rect">
          <a:avLst/>
        </a:prstGeom>
      </xdr:spPr>
    </xdr:pic>
    <xdr:clientData/>
  </xdr:twoCellAnchor>
  <xdr:twoCellAnchor editAs="oneCell">
    <xdr:from>
      <xdr:col>5</xdr:col>
      <xdr:colOff>38100</xdr:colOff>
      <xdr:row>13</xdr:row>
      <xdr:rowOff>133350</xdr:rowOff>
    </xdr:from>
    <xdr:to>
      <xdr:col>5</xdr:col>
      <xdr:colOff>866775</xdr:colOff>
      <xdr:row>14</xdr:row>
      <xdr:rowOff>104775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852160" y="2655570"/>
          <a:ext cx="828675" cy="180975"/>
        </a:xfrm>
        <a:prstGeom prst="rect">
          <a:avLst/>
        </a:prstGeom>
      </xdr:spPr>
    </xdr:pic>
    <xdr:clientData/>
  </xdr:twoCellAnchor>
  <xdr:twoCellAnchor editAs="oneCell">
    <xdr:from>
      <xdr:col>5</xdr:col>
      <xdr:colOff>28575</xdr:colOff>
      <xdr:row>15</xdr:row>
      <xdr:rowOff>152400</xdr:rowOff>
    </xdr:from>
    <xdr:to>
      <xdr:col>6</xdr:col>
      <xdr:colOff>0</xdr:colOff>
      <xdr:row>16</xdr:row>
      <xdr:rowOff>133350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842635" y="3093720"/>
          <a:ext cx="904875" cy="190500"/>
        </a:xfrm>
        <a:prstGeom prst="rect">
          <a:avLst/>
        </a:prstGeom>
      </xdr:spPr>
    </xdr:pic>
    <xdr:clientData/>
  </xdr:twoCellAnchor>
  <xdr:twoCellAnchor editAs="oneCell">
    <xdr:from>
      <xdr:col>5</xdr:col>
      <xdr:colOff>47625</xdr:colOff>
      <xdr:row>17</xdr:row>
      <xdr:rowOff>123825</xdr:rowOff>
    </xdr:from>
    <xdr:to>
      <xdr:col>5</xdr:col>
      <xdr:colOff>771525</xdr:colOff>
      <xdr:row>18</xdr:row>
      <xdr:rowOff>85725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61685" y="3484245"/>
          <a:ext cx="723900" cy="171450"/>
        </a:xfrm>
        <a:prstGeom prst="rect">
          <a:avLst/>
        </a:prstGeom>
      </xdr:spPr>
    </xdr:pic>
    <xdr:clientData/>
  </xdr:twoCellAnchor>
  <xdr:twoCellAnchor editAs="oneCell">
    <xdr:from>
      <xdr:col>5</xdr:col>
      <xdr:colOff>66675</xdr:colOff>
      <xdr:row>19</xdr:row>
      <xdr:rowOff>133350</xdr:rowOff>
    </xdr:from>
    <xdr:to>
      <xdr:col>5</xdr:col>
      <xdr:colOff>466725</xdr:colOff>
      <xdr:row>20</xdr:row>
      <xdr:rowOff>114300</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880735" y="3912870"/>
          <a:ext cx="400050" cy="190500"/>
        </a:xfrm>
        <a:prstGeom prst="rect">
          <a:avLst/>
        </a:prstGeom>
      </xdr:spPr>
    </xdr:pic>
    <xdr:clientData/>
  </xdr:twoCellAnchor>
  <xdr:twoCellAnchor editAs="oneCell">
    <xdr:from>
      <xdr:col>5</xdr:col>
      <xdr:colOff>57150</xdr:colOff>
      <xdr:row>21</xdr:row>
      <xdr:rowOff>123825</xdr:rowOff>
    </xdr:from>
    <xdr:to>
      <xdr:col>5</xdr:col>
      <xdr:colOff>828675</xdr:colOff>
      <xdr:row>22</xdr:row>
      <xdr:rowOff>85725</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871210" y="4322445"/>
          <a:ext cx="771525" cy="171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38100</xdr:colOff>
      <xdr:row>10</xdr:row>
      <xdr:rowOff>114300</xdr:rowOff>
    </xdr:from>
    <xdr:to>
      <xdr:col>4</xdr:col>
      <xdr:colOff>0</xdr:colOff>
      <xdr:row>20</xdr:row>
      <xdr:rowOff>148590</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63140" y="2042160"/>
          <a:ext cx="1691640" cy="2105025"/>
        </a:xfrm>
        <a:prstGeom prst="rect">
          <a:avLst/>
        </a:prstGeom>
      </xdr:spPr>
    </xdr:pic>
    <xdr:clientData/>
  </xdr:twoCellAnchor>
  <xdr:twoCellAnchor editAs="oneCell">
    <xdr:from>
      <xdr:col>5</xdr:col>
      <xdr:colOff>133350</xdr:colOff>
      <xdr:row>9</xdr:row>
      <xdr:rowOff>114300</xdr:rowOff>
    </xdr:from>
    <xdr:to>
      <xdr:col>5</xdr:col>
      <xdr:colOff>828675</xdr:colOff>
      <xdr:row>10</xdr:row>
      <xdr:rowOff>47625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947410" y="1794510"/>
          <a:ext cx="695325" cy="180975"/>
        </a:xfrm>
        <a:prstGeom prst="rect">
          <a:avLst/>
        </a:prstGeom>
      </xdr:spPr>
    </xdr:pic>
    <xdr:clientData/>
  </xdr:twoCellAnchor>
  <xdr:twoCellAnchor editAs="oneCell">
    <xdr:from>
      <xdr:col>5</xdr:col>
      <xdr:colOff>114300</xdr:colOff>
      <xdr:row>11</xdr:row>
      <xdr:rowOff>57150</xdr:rowOff>
    </xdr:from>
    <xdr:to>
      <xdr:col>5</xdr:col>
      <xdr:colOff>876300</xdr:colOff>
      <xdr:row>12</xdr:row>
      <xdr:rowOff>171450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928360" y="2183130"/>
          <a:ext cx="762000" cy="321945"/>
        </a:xfrm>
        <a:prstGeom prst="rect">
          <a:avLst/>
        </a:prstGeom>
      </xdr:spPr>
    </xdr:pic>
    <xdr:clientData/>
  </xdr:twoCellAnchor>
  <xdr:twoCellAnchor editAs="oneCell">
    <xdr:from>
      <xdr:col>5</xdr:col>
      <xdr:colOff>47625</xdr:colOff>
      <xdr:row>13</xdr:row>
      <xdr:rowOff>47625</xdr:rowOff>
    </xdr:from>
    <xdr:to>
      <xdr:col>5</xdr:col>
      <xdr:colOff>819150</xdr:colOff>
      <xdr:row>14</xdr:row>
      <xdr:rowOff>180975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861685" y="2569845"/>
          <a:ext cx="771525" cy="342900"/>
        </a:xfrm>
        <a:prstGeom prst="rect">
          <a:avLst/>
        </a:prstGeom>
      </xdr:spPr>
    </xdr:pic>
    <xdr:clientData/>
  </xdr:twoCellAnchor>
  <xdr:twoCellAnchor editAs="oneCell">
    <xdr:from>
      <xdr:col>5</xdr:col>
      <xdr:colOff>19050</xdr:colOff>
      <xdr:row>15</xdr:row>
      <xdr:rowOff>47625</xdr:rowOff>
    </xdr:from>
    <xdr:to>
      <xdr:col>6</xdr:col>
      <xdr:colOff>0</xdr:colOff>
      <xdr:row>16</xdr:row>
      <xdr:rowOff>180975</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833110" y="2988945"/>
          <a:ext cx="1108710" cy="342900"/>
        </a:xfrm>
        <a:prstGeom prst="rect">
          <a:avLst/>
        </a:prstGeom>
      </xdr:spPr>
    </xdr:pic>
    <xdr:clientData/>
  </xdr:twoCellAnchor>
  <xdr:twoCellAnchor editAs="oneCell">
    <xdr:from>
      <xdr:col>5</xdr:col>
      <xdr:colOff>47625</xdr:colOff>
      <xdr:row>17</xdr:row>
      <xdr:rowOff>57150</xdr:rowOff>
    </xdr:from>
    <xdr:to>
      <xdr:col>5</xdr:col>
      <xdr:colOff>438150</xdr:colOff>
      <xdr:row>18</xdr:row>
      <xdr:rowOff>142875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61685" y="3417570"/>
          <a:ext cx="390525" cy="295275"/>
        </a:xfrm>
        <a:prstGeom prst="rect">
          <a:avLst/>
        </a:prstGeom>
      </xdr:spPr>
    </xdr:pic>
    <xdr:clientData/>
  </xdr:twoCellAnchor>
  <xdr:twoCellAnchor editAs="oneCell">
    <xdr:from>
      <xdr:col>5</xdr:col>
      <xdr:colOff>47625</xdr:colOff>
      <xdr:row>19</xdr:row>
      <xdr:rowOff>123825</xdr:rowOff>
    </xdr:from>
    <xdr:to>
      <xdr:col>5</xdr:col>
      <xdr:colOff>876300</xdr:colOff>
      <xdr:row>20</xdr:row>
      <xdr:rowOff>85725</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861685" y="3903345"/>
          <a:ext cx="828675" cy="171450"/>
        </a:xfrm>
        <a:prstGeom prst="rect">
          <a:avLst/>
        </a:prstGeom>
      </xdr:spPr>
    </xdr:pic>
    <xdr:clientData/>
  </xdr:twoCellAnchor>
  <xdr:twoCellAnchor editAs="oneCell">
    <xdr:from>
      <xdr:col>5</xdr:col>
      <xdr:colOff>85725</xdr:colOff>
      <xdr:row>21</xdr:row>
      <xdr:rowOff>104775</xdr:rowOff>
    </xdr:from>
    <xdr:to>
      <xdr:col>6</xdr:col>
      <xdr:colOff>0</xdr:colOff>
      <xdr:row>22</xdr:row>
      <xdr:rowOff>114300</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899785" y="4303395"/>
          <a:ext cx="1042035" cy="20764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716280</xdr:colOff>
      <xdr:row>9</xdr:row>
      <xdr:rowOff>57150</xdr:rowOff>
    </xdr:from>
    <xdr:to>
      <xdr:col>4</xdr:col>
      <xdr:colOff>9525</xdr:colOff>
      <xdr:row>18</xdr:row>
      <xdr:rowOff>114300</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25040" y="1737360"/>
          <a:ext cx="1739265" cy="1956435"/>
        </a:xfrm>
        <a:prstGeom prst="rect">
          <a:avLst/>
        </a:prstGeom>
      </xdr:spPr>
    </xdr:pic>
    <xdr:clientData/>
  </xdr:twoCellAnchor>
  <xdr:twoCellAnchor editAs="oneCell">
    <xdr:from>
      <xdr:col>5</xdr:col>
      <xdr:colOff>66675</xdr:colOff>
      <xdr:row>9</xdr:row>
      <xdr:rowOff>57150</xdr:rowOff>
    </xdr:from>
    <xdr:to>
      <xdr:col>5</xdr:col>
      <xdr:colOff>838200</xdr:colOff>
      <xdr:row>10</xdr:row>
      <xdr:rowOff>142875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880735" y="1737360"/>
          <a:ext cx="771525" cy="333375"/>
        </a:xfrm>
        <a:prstGeom prst="rect">
          <a:avLst/>
        </a:prstGeom>
      </xdr:spPr>
    </xdr:pic>
    <xdr:clientData/>
  </xdr:twoCellAnchor>
  <xdr:twoCellAnchor editAs="oneCell">
    <xdr:from>
      <xdr:col>5</xdr:col>
      <xdr:colOff>38100</xdr:colOff>
      <xdr:row>11</xdr:row>
      <xdr:rowOff>28575</xdr:rowOff>
    </xdr:from>
    <xdr:to>
      <xdr:col>6</xdr:col>
      <xdr:colOff>0</xdr:colOff>
      <xdr:row>12</xdr:row>
      <xdr:rowOff>211455</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852160" y="2154555"/>
          <a:ext cx="1074420" cy="369570"/>
        </a:xfrm>
        <a:prstGeom prst="rect">
          <a:avLst/>
        </a:prstGeom>
      </xdr:spPr>
    </xdr:pic>
    <xdr:clientData/>
  </xdr:twoCellAnchor>
  <xdr:twoCellAnchor editAs="oneCell">
    <xdr:from>
      <xdr:col>5</xdr:col>
      <xdr:colOff>19050</xdr:colOff>
      <xdr:row>13</xdr:row>
      <xdr:rowOff>19050</xdr:rowOff>
    </xdr:from>
    <xdr:to>
      <xdr:col>6</xdr:col>
      <xdr:colOff>0</xdr:colOff>
      <xdr:row>14</xdr:row>
      <xdr:rowOff>190500</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833110" y="2541270"/>
          <a:ext cx="1093470" cy="381000"/>
        </a:xfrm>
        <a:prstGeom prst="rect">
          <a:avLst/>
        </a:prstGeom>
      </xdr:spPr>
    </xdr:pic>
    <xdr:clientData/>
  </xdr:twoCellAnchor>
  <xdr:twoCellAnchor editAs="oneCell">
    <xdr:from>
      <xdr:col>5</xdr:col>
      <xdr:colOff>57150</xdr:colOff>
      <xdr:row>15</xdr:row>
      <xdr:rowOff>76200</xdr:rowOff>
    </xdr:from>
    <xdr:to>
      <xdr:col>5</xdr:col>
      <xdr:colOff>390525</xdr:colOff>
      <xdr:row>16</xdr:row>
      <xdr:rowOff>161925</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871210" y="3017520"/>
          <a:ext cx="333375" cy="295275"/>
        </a:xfrm>
        <a:prstGeom prst="rect">
          <a:avLst/>
        </a:prstGeom>
      </xdr:spPr>
    </xdr:pic>
    <xdr:clientData/>
  </xdr:twoCellAnchor>
  <xdr:twoCellAnchor editAs="oneCell">
    <xdr:from>
      <xdr:col>5</xdr:col>
      <xdr:colOff>38100</xdr:colOff>
      <xdr:row>17</xdr:row>
      <xdr:rowOff>9525</xdr:rowOff>
    </xdr:from>
    <xdr:to>
      <xdr:col>6</xdr:col>
      <xdr:colOff>0</xdr:colOff>
      <xdr:row>18</xdr:row>
      <xdr:rowOff>295275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52160" y="3369945"/>
          <a:ext cx="1074420" cy="4953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38101</xdr:colOff>
      <xdr:row>10</xdr:row>
      <xdr:rowOff>95249</xdr:rowOff>
    </xdr:from>
    <xdr:to>
      <xdr:col>4</xdr:col>
      <xdr:colOff>1</xdr:colOff>
      <xdr:row>19</xdr:row>
      <xdr:rowOff>7619</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63140" y="2022475"/>
          <a:ext cx="1691640" cy="1760220"/>
        </a:xfrm>
        <a:prstGeom prst="rect">
          <a:avLst/>
        </a:prstGeom>
      </xdr:spPr>
    </xdr:pic>
    <xdr:clientData/>
  </xdr:twoCellAnchor>
  <xdr:twoCellAnchor editAs="oneCell">
    <xdr:from>
      <xdr:col>5</xdr:col>
      <xdr:colOff>76200</xdr:colOff>
      <xdr:row>9</xdr:row>
      <xdr:rowOff>104775</xdr:rowOff>
    </xdr:from>
    <xdr:to>
      <xdr:col>5</xdr:col>
      <xdr:colOff>1000125</xdr:colOff>
      <xdr:row>10</xdr:row>
      <xdr:rowOff>142875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890260" y="1784985"/>
          <a:ext cx="923925" cy="285750"/>
        </a:xfrm>
        <a:prstGeom prst="rect">
          <a:avLst/>
        </a:prstGeom>
      </xdr:spPr>
    </xdr:pic>
    <xdr:clientData/>
  </xdr:twoCellAnchor>
  <xdr:twoCellAnchor editAs="oneCell">
    <xdr:from>
      <xdr:col>5</xdr:col>
      <xdr:colOff>66675</xdr:colOff>
      <xdr:row>11</xdr:row>
      <xdr:rowOff>85725</xdr:rowOff>
    </xdr:from>
    <xdr:to>
      <xdr:col>6</xdr:col>
      <xdr:colOff>0</xdr:colOff>
      <xdr:row>12</xdr:row>
      <xdr:rowOff>152400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880735" y="2211705"/>
          <a:ext cx="1190625" cy="274320"/>
        </a:xfrm>
        <a:prstGeom prst="rect">
          <a:avLst/>
        </a:prstGeom>
      </xdr:spPr>
    </xdr:pic>
    <xdr:clientData/>
  </xdr:twoCellAnchor>
  <xdr:twoCellAnchor editAs="oneCell">
    <xdr:from>
      <xdr:col>5</xdr:col>
      <xdr:colOff>57150</xdr:colOff>
      <xdr:row>13</xdr:row>
      <xdr:rowOff>85725</xdr:rowOff>
    </xdr:from>
    <xdr:to>
      <xdr:col>5</xdr:col>
      <xdr:colOff>1085850</xdr:colOff>
      <xdr:row>14</xdr:row>
      <xdr:rowOff>161925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871210" y="2607945"/>
          <a:ext cx="1028700" cy="274320"/>
        </a:xfrm>
        <a:prstGeom prst="rect">
          <a:avLst/>
        </a:prstGeom>
      </xdr:spPr>
    </xdr:pic>
    <xdr:clientData/>
  </xdr:twoCellAnchor>
  <xdr:twoCellAnchor editAs="oneCell">
    <xdr:from>
      <xdr:col>5</xdr:col>
      <xdr:colOff>57150</xdr:colOff>
      <xdr:row>15</xdr:row>
      <xdr:rowOff>57150</xdr:rowOff>
    </xdr:from>
    <xdr:to>
      <xdr:col>5</xdr:col>
      <xdr:colOff>1000125</xdr:colOff>
      <xdr:row>16</xdr:row>
      <xdr:rowOff>190500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871210" y="2975610"/>
          <a:ext cx="942975" cy="342900"/>
        </a:xfrm>
        <a:prstGeom prst="rect">
          <a:avLst/>
        </a:prstGeom>
      </xdr:spPr>
    </xdr:pic>
    <xdr:clientData/>
  </xdr:twoCellAnchor>
  <xdr:twoCellAnchor editAs="oneCell">
    <xdr:from>
      <xdr:col>5</xdr:col>
      <xdr:colOff>66675</xdr:colOff>
      <xdr:row>17</xdr:row>
      <xdr:rowOff>47625</xdr:rowOff>
    </xdr:from>
    <xdr:to>
      <xdr:col>5</xdr:col>
      <xdr:colOff>466725</xdr:colOff>
      <xdr:row>18</xdr:row>
      <xdr:rowOff>152400</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80735" y="3385185"/>
          <a:ext cx="400050" cy="314325"/>
        </a:xfrm>
        <a:prstGeom prst="rect">
          <a:avLst/>
        </a:prstGeom>
      </xdr:spPr>
    </xdr:pic>
    <xdr:clientData/>
  </xdr:twoCellAnchor>
  <xdr:twoCellAnchor editAs="oneCell">
    <xdr:from>
      <xdr:col>5</xdr:col>
      <xdr:colOff>47625</xdr:colOff>
      <xdr:row>19</xdr:row>
      <xdr:rowOff>47625</xdr:rowOff>
    </xdr:from>
    <xdr:to>
      <xdr:col>5</xdr:col>
      <xdr:colOff>914400</xdr:colOff>
      <xdr:row>20</xdr:row>
      <xdr:rowOff>152400</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861685" y="3804285"/>
          <a:ext cx="866775" cy="3143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47626</xdr:colOff>
      <xdr:row>13</xdr:row>
      <xdr:rowOff>104775</xdr:rowOff>
    </xdr:from>
    <xdr:to>
      <xdr:col>4</xdr:col>
      <xdr:colOff>1</xdr:colOff>
      <xdr:row>21</xdr:row>
      <xdr:rowOff>47625</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72665" y="2626995"/>
          <a:ext cx="1750695" cy="1605915"/>
        </a:xfrm>
        <a:prstGeom prst="rect">
          <a:avLst/>
        </a:prstGeom>
      </xdr:spPr>
    </xdr:pic>
    <xdr:clientData/>
  </xdr:twoCellAnchor>
  <xdr:twoCellAnchor editAs="oneCell">
    <xdr:from>
      <xdr:col>5</xdr:col>
      <xdr:colOff>19050</xdr:colOff>
      <xdr:row>9</xdr:row>
      <xdr:rowOff>161925</xdr:rowOff>
    </xdr:from>
    <xdr:to>
      <xdr:col>5</xdr:col>
      <xdr:colOff>1028700</xdr:colOff>
      <xdr:row>10</xdr:row>
      <xdr:rowOff>85725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901690" y="1842135"/>
          <a:ext cx="1009650" cy="171450"/>
        </a:xfrm>
        <a:prstGeom prst="rect">
          <a:avLst/>
        </a:prstGeom>
      </xdr:spPr>
    </xdr:pic>
    <xdr:clientData/>
  </xdr:twoCellAnchor>
  <xdr:twoCellAnchor editAs="oneCell">
    <xdr:from>
      <xdr:col>5</xdr:col>
      <xdr:colOff>19050</xdr:colOff>
      <xdr:row>11</xdr:row>
      <xdr:rowOff>85725</xdr:rowOff>
    </xdr:from>
    <xdr:to>
      <xdr:col>6</xdr:col>
      <xdr:colOff>0</xdr:colOff>
      <xdr:row>12</xdr:row>
      <xdr:rowOff>161925</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901690" y="2211705"/>
          <a:ext cx="1078230" cy="274320"/>
        </a:xfrm>
        <a:prstGeom prst="rect">
          <a:avLst/>
        </a:prstGeom>
      </xdr:spPr>
    </xdr:pic>
    <xdr:clientData/>
  </xdr:twoCellAnchor>
  <xdr:twoCellAnchor editAs="oneCell">
    <xdr:from>
      <xdr:col>5</xdr:col>
      <xdr:colOff>19050</xdr:colOff>
      <xdr:row>13</xdr:row>
      <xdr:rowOff>66675</xdr:rowOff>
    </xdr:from>
    <xdr:to>
      <xdr:col>6</xdr:col>
      <xdr:colOff>0</xdr:colOff>
      <xdr:row>14</xdr:row>
      <xdr:rowOff>133350</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901690" y="2588895"/>
          <a:ext cx="1078230" cy="274320"/>
        </a:xfrm>
        <a:prstGeom prst="rect">
          <a:avLst/>
        </a:prstGeom>
      </xdr:spPr>
    </xdr:pic>
    <xdr:clientData/>
  </xdr:twoCellAnchor>
  <xdr:twoCellAnchor editAs="oneCell">
    <xdr:from>
      <xdr:col>5</xdr:col>
      <xdr:colOff>19050</xdr:colOff>
      <xdr:row>15</xdr:row>
      <xdr:rowOff>47625</xdr:rowOff>
    </xdr:from>
    <xdr:to>
      <xdr:col>6</xdr:col>
      <xdr:colOff>0</xdr:colOff>
      <xdr:row>16</xdr:row>
      <xdr:rowOff>180975</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901690" y="2966085"/>
          <a:ext cx="1078230" cy="342900"/>
        </a:xfrm>
        <a:prstGeom prst="rect">
          <a:avLst/>
        </a:prstGeom>
      </xdr:spPr>
    </xdr:pic>
    <xdr:clientData/>
  </xdr:twoCellAnchor>
  <xdr:twoCellAnchor editAs="oneCell">
    <xdr:from>
      <xdr:col>5</xdr:col>
      <xdr:colOff>9525</xdr:colOff>
      <xdr:row>17</xdr:row>
      <xdr:rowOff>47625</xdr:rowOff>
    </xdr:from>
    <xdr:to>
      <xdr:col>6</xdr:col>
      <xdr:colOff>0</xdr:colOff>
      <xdr:row>18</xdr:row>
      <xdr:rowOff>180975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92165" y="3385185"/>
          <a:ext cx="1087755" cy="342900"/>
        </a:xfrm>
        <a:prstGeom prst="rect">
          <a:avLst/>
        </a:prstGeom>
      </xdr:spPr>
    </xdr:pic>
    <xdr:clientData/>
  </xdr:twoCellAnchor>
  <xdr:twoCellAnchor editAs="oneCell">
    <xdr:from>
      <xdr:col>5</xdr:col>
      <xdr:colOff>57150</xdr:colOff>
      <xdr:row>19</xdr:row>
      <xdr:rowOff>133350</xdr:rowOff>
    </xdr:from>
    <xdr:to>
      <xdr:col>5</xdr:col>
      <xdr:colOff>447675</xdr:colOff>
      <xdr:row>20</xdr:row>
      <xdr:rowOff>95250</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939790" y="3890010"/>
          <a:ext cx="390525" cy="171450"/>
        </a:xfrm>
        <a:prstGeom prst="rect">
          <a:avLst/>
        </a:prstGeom>
      </xdr:spPr>
    </xdr:pic>
    <xdr:clientData/>
  </xdr:twoCellAnchor>
  <xdr:twoCellAnchor editAs="oneCell">
    <xdr:from>
      <xdr:col>5</xdr:col>
      <xdr:colOff>66675</xdr:colOff>
      <xdr:row>21</xdr:row>
      <xdr:rowOff>114300</xdr:rowOff>
    </xdr:from>
    <xdr:to>
      <xdr:col>5</xdr:col>
      <xdr:colOff>447675</xdr:colOff>
      <xdr:row>22</xdr:row>
      <xdr:rowOff>95250</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949315" y="4290060"/>
          <a:ext cx="381000" cy="190500"/>
        </a:xfrm>
        <a:prstGeom prst="rect">
          <a:avLst/>
        </a:prstGeom>
      </xdr:spPr>
    </xdr:pic>
    <xdr:clientData/>
  </xdr:twoCellAnchor>
  <xdr:twoCellAnchor editAs="oneCell">
    <xdr:from>
      <xdr:col>5</xdr:col>
      <xdr:colOff>76200</xdr:colOff>
      <xdr:row>23</xdr:row>
      <xdr:rowOff>19050</xdr:rowOff>
    </xdr:from>
    <xdr:to>
      <xdr:col>5</xdr:col>
      <xdr:colOff>561975</xdr:colOff>
      <xdr:row>24</xdr:row>
      <xdr:rowOff>304800</xdr:rowOff>
    </xdr:to>
    <xdr:pic>
      <xdr:nvPicPr>
        <xdr:cNvPr id="10" name="图片 9" descr="未标题-1.png"/>
        <xdr:cNvPicPr>
          <a:picLocks noChangeAspect="1"/>
        </xdr:cNvPicPr>
      </xdr:nvPicPr>
      <xdr:blipFill>
        <a:blip xmlns:r="http://schemas.openxmlformats.org/officeDocument/2006/relationships" r:embed="rId9" cstate="print"/>
        <a:stretch>
          <a:fillRect/>
        </a:stretch>
      </xdr:blipFill>
      <xdr:spPr>
        <a:xfrm>
          <a:off x="5958840" y="4613910"/>
          <a:ext cx="485775" cy="495300"/>
        </a:xfrm>
        <a:prstGeom prst="rect">
          <a:avLst/>
        </a:prstGeom>
      </xdr:spPr>
    </xdr:pic>
    <xdr:clientData/>
  </xdr:twoCellAnchor>
  <xdr:twoCellAnchor editAs="oneCell">
    <xdr:from>
      <xdr:col>5</xdr:col>
      <xdr:colOff>76200</xdr:colOff>
      <xdr:row>24</xdr:row>
      <xdr:rowOff>314325</xdr:rowOff>
    </xdr:from>
    <xdr:to>
      <xdr:col>5</xdr:col>
      <xdr:colOff>571500</xdr:colOff>
      <xdr:row>27</xdr:row>
      <xdr:rowOff>19050</xdr:rowOff>
    </xdr:to>
    <xdr:pic>
      <xdr:nvPicPr>
        <xdr:cNvPr id="11" name="图片 10" descr="未标题-1.png"/>
        <xdr:cNvPicPr>
          <a:picLocks noChangeAspect="1"/>
        </xdr:cNvPicPr>
      </xdr:nvPicPr>
      <xdr:blipFill>
        <a:blip xmlns:r="http://schemas.openxmlformats.org/officeDocument/2006/relationships" r:embed="rId10" cstate="print"/>
        <a:stretch>
          <a:fillRect/>
        </a:stretch>
      </xdr:blipFill>
      <xdr:spPr>
        <a:xfrm>
          <a:off x="5958840" y="5118735"/>
          <a:ext cx="495300" cy="4838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76199</xdr:colOff>
      <xdr:row>12</xdr:row>
      <xdr:rowOff>104775</xdr:rowOff>
    </xdr:from>
    <xdr:to>
      <xdr:col>4</xdr:col>
      <xdr:colOff>634</xdr:colOff>
      <xdr:row>22</xdr:row>
      <xdr:rowOff>142875</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300605" y="2428875"/>
          <a:ext cx="1654175" cy="2108835"/>
        </a:xfrm>
        <a:prstGeom prst="rect">
          <a:avLst/>
        </a:prstGeom>
      </xdr:spPr>
    </xdr:pic>
    <xdr:clientData/>
  </xdr:twoCellAnchor>
  <xdr:twoCellAnchor editAs="oneCell">
    <xdr:from>
      <xdr:col>5</xdr:col>
      <xdr:colOff>85725</xdr:colOff>
      <xdr:row>9</xdr:row>
      <xdr:rowOff>133350</xdr:rowOff>
    </xdr:from>
    <xdr:to>
      <xdr:col>5</xdr:col>
      <xdr:colOff>495300</xdr:colOff>
      <xdr:row>10</xdr:row>
      <xdr:rowOff>57150</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899785" y="1813560"/>
          <a:ext cx="409575" cy="171450"/>
        </a:xfrm>
        <a:prstGeom prst="rect">
          <a:avLst/>
        </a:prstGeom>
      </xdr:spPr>
    </xdr:pic>
    <xdr:clientData/>
  </xdr:twoCellAnchor>
  <xdr:twoCellAnchor editAs="oneCell">
    <xdr:from>
      <xdr:col>5</xdr:col>
      <xdr:colOff>57150</xdr:colOff>
      <xdr:row>11</xdr:row>
      <xdr:rowOff>28575</xdr:rowOff>
    </xdr:from>
    <xdr:to>
      <xdr:col>5</xdr:col>
      <xdr:colOff>552450</xdr:colOff>
      <xdr:row>12</xdr:row>
      <xdr:rowOff>152400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871210" y="2154555"/>
          <a:ext cx="495300" cy="321945"/>
        </a:xfrm>
        <a:prstGeom prst="rect">
          <a:avLst/>
        </a:prstGeom>
      </xdr:spPr>
    </xdr:pic>
    <xdr:clientData/>
  </xdr:twoCellAnchor>
  <xdr:twoCellAnchor editAs="oneCell">
    <xdr:from>
      <xdr:col>5</xdr:col>
      <xdr:colOff>57150</xdr:colOff>
      <xdr:row>13</xdr:row>
      <xdr:rowOff>57150</xdr:rowOff>
    </xdr:from>
    <xdr:to>
      <xdr:col>5</xdr:col>
      <xdr:colOff>552450</xdr:colOff>
      <xdr:row>14</xdr:row>
      <xdr:rowOff>171450</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871210" y="2579370"/>
          <a:ext cx="495300" cy="321945"/>
        </a:xfrm>
        <a:prstGeom prst="rect">
          <a:avLst/>
        </a:prstGeom>
      </xdr:spPr>
    </xdr:pic>
    <xdr:clientData/>
  </xdr:twoCellAnchor>
  <xdr:twoCellAnchor editAs="oneCell">
    <xdr:from>
      <xdr:col>5</xdr:col>
      <xdr:colOff>57150</xdr:colOff>
      <xdr:row>15</xdr:row>
      <xdr:rowOff>38100</xdr:rowOff>
    </xdr:from>
    <xdr:to>
      <xdr:col>5</xdr:col>
      <xdr:colOff>619125</xdr:colOff>
      <xdr:row>16</xdr:row>
      <xdr:rowOff>171450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871210" y="2956560"/>
          <a:ext cx="561975" cy="342900"/>
        </a:xfrm>
        <a:prstGeom prst="rect">
          <a:avLst/>
        </a:prstGeom>
      </xdr:spPr>
    </xdr:pic>
    <xdr:clientData/>
  </xdr:twoCellAnchor>
  <xdr:twoCellAnchor editAs="oneCell">
    <xdr:from>
      <xdr:col>5</xdr:col>
      <xdr:colOff>47625</xdr:colOff>
      <xdr:row>17</xdr:row>
      <xdr:rowOff>47625</xdr:rowOff>
    </xdr:from>
    <xdr:to>
      <xdr:col>5</xdr:col>
      <xdr:colOff>609600</xdr:colOff>
      <xdr:row>18</xdr:row>
      <xdr:rowOff>180975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61685" y="3385185"/>
          <a:ext cx="561975" cy="342900"/>
        </a:xfrm>
        <a:prstGeom prst="rect">
          <a:avLst/>
        </a:prstGeom>
      </xdr:spPr>
    </xdr:pic>
    <xdr:clientData/>
  </xdr:twoCellAnchor>
  <xdr:twoCellAnchor editAs="oneCell">
    <xdr:from>
      <xdr:col>5</xdr:col>
      <xdr:colOff>57150</xdr:colOff>
      <xdr:row>19</xdr:row>
      <xdr:rowOff>9525</xdr:rowOff>
    </xdr:from>
    <xdr:to>
      <xdr:col>5</xdr:col>
      <xdr:colOff>447675</xdr:colOff>
      <xdr:row>20</xdr:row>
      <xdr:rowOff>123825</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871210" y="3766185"/>
          <a:ext cx="390525" cy="323850"/>
        </a:xfrm>
        <a:prstGeom prst="rect">
          <a:avLst/>
        </a:prstGeom>
      </xdr:spPr>
    </xdr:pic>
    <xdr:clientData/>
  </xdr:twoCellAnchor>
  <xdr:twoCellAnchor editAs="oneCell">
    <xdr:from>
      <xdr:col>5</xdr:col>
      <xdr:colOff>57150</xdr:colOff>
      <xdr:row>21</xdr:row>
      <xdr:rowOff>76200</xdr:rowOff>
    </xdr:from>
    <xdr:to>
      <xdr:col>5</xdr:col>
      <xdr:colOff>447675</xdr:colOff>
      <xdr:row>22</xdr:row>
      <xdr:rowOff>161925</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871210" y="4251960"/>
          <a:ext cx="390525" cy="295275"/>
        </a:xfrm>
        <a:prstGeom prst="rect">
          <a:avLst/>
        </a:prstGeom>
      </xdr:spPr>
    </xdr:pic>
    <xdr:clientData/>
  </xdr:twoCellAnchor>
  <xdr:twoCellAnchor editAs="oneCell">
    <xdr:from>
      <xdr:col>5</xdr:col>
      <xdr:colOff>47625</xdr:colOff>
      <xdr:row>23</xdr:row>
      <xdr:rowOff>133350</xdr:rowOff>
    </xdr:from>
    <xdr:to>
      <xdr:col>6</xdr:col>
      <xdr:colOff>0</xdr:colOff>
      <xdr:row>24</xdr:row>
      <xdr:rowOff>95250</xdr:rowOff>
    </xdr:to>
    <xdr:pic>
      <xdr:nvPicPr>
        <xdr:cNvPr id="10" name="图片 9" descr="未标题-1.png"/>
        <xdr:cNvPicPr>
          <a:picLocks noChangeAspect="1"/>
        </xdr:cNvPicPr>
      </xdr:nvPicPr>
      <xdr:blipFill>
        <a:blip xmlns:r="http://schemas.openxmlformats.org/officeDocument/2006/relationships" r:embed="rId9" cstate="print"/>
        <a:stretch>
          <a:fillRect/>
        </a:stretch>
      </xdr:blipFill>
      <xdr:spPr>
        <a:xfrm>
          <a:off x="5861685" y="4728210"/>
          <a:ext cx="683895" cy="171450"/>
        </a:xfrm>
        <a:prstGeom prst="rect">
          <a:avLst/>
        </a:prstGeom>
      </xdr:spPr>
    </xdr:pic>
    <xdr:clientData/>
  </xdr:twoCellAnchor>
  <xdr:twoCellAnchor editAs="oneCell">
    <xdr:from>
      <xdr:col>5</xdr:col>
      <xdr:colOff>57150</xdr:colOff>
      <xdr:row>25</xdr:row>
      <xdr:rowOff>142875</xdr:rowOff>
    </xdr:from>
    <xdr:to>
      <xdr:col>6</xdr:col>
      <xdr:colOff>0</xdr:colOff>
      <xdr:row>26</xdr:row>
      <xdr:rowOff>123825</xdr:rowOff>
    </xdr:to>
    <xdr:pic>
      <xdr:nvPicPr>
        <xdr:cNvPr id="11" name="图片 10" descr="未标题-1.png"/>
        <xdr:cNvPicPr>
          <a:picLocks noChangeAspect="1"/>
        </xdr:cNvPicPr>
      </xdr:nvPicPr>
      <xdr:blipFill>
        <a:blip xmlns:r="http://schemas.openxmlformats.org/officeDocument/2006/relationships" r:embed="rId10" cstate="print"/>
        <a:stretch>
          <a:fillRect/>
        </a:stretch>
      </xdr:blipFill>
      <xdr:spPr>
        <a:xfrm>
          <a:off x="5871210" y="5156835"/>
          <a:ext cx="674370" cy="17907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76200</xdr:colOff>
      <xdr:row>10</xdr:row>
      <xdr:rowOff>123826</xdr:rowOff>
    </xdr:from>
    <xdr:to>
      <xdr:col>4</xdr:col>
      <xdr:colOff>0</xdr:colOff>
      <xdr:row>18</xdr:row>
      <xdr:rowOff>114301</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301240" y="2051685"/>
          <a:ext cx="1653540" cy="1628775"/>
        </a:xfrm>
        <a:prstGeom prst="rect">
          <a:avLst/>
        </a:prstGeom>
      </xdr:spPr>
    </xdr:pic>
    <xdr:clientData/>
  </xdr:twoCellAnchor>
  <xdr:twoCellAnchor editAs="oneCell">
    <xdr:from>
      <xdr:col>5</xdr:col>
      <xdr:colOff>76200</xdr:colOff>
      <xdr:row>9</xdr:row>
      <xdr:rowOff>76200</xdr:rowOff>
    </xdr:from>
    <xdr:to>
      <xdr:col>5</xdr:col>
      <xdr:colOff>1314450</xdr:colOff>
      <xdr:row>10</xdr:row>
      <xdr:rowOff>152400</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890260" y="1756410"/>
          <a:ext cx="1238250" cy="323850"/>
        </a:xfrm>
        <a:prstGeom prst="rect">
          <a:avLst/>
        </a:prstGeom>
      </xdr:spPr>
    </xdr:pic>
    <xdr:clientData/>
  </xdr:twoCellAnchor>
  <xdr:twoCellAnchor editAs="oneCell">
    <xdr:from>
      <xdr:col>5</xdr:col>
      <xdr:colOff>85725</xdr:colOff>
      <xdr:row>11</xdr:row>
      <xdr:rowOff>38100</xdr:rowOff>
    </xdr:from>
    <xdr:to>
      <xdr:col>5</xdr:col>
      <xdr:colOff>1809750</xdr:colOff>
      <xdr:row>12</xdr:row>
      <xdr:rowOff>171450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899785" y="2164080"/>
          <a:ext cx="1724025" cy="331470"/>
        </a:xfrm>
        <a:prstGeom prst="rect">
          <a:avLst/>
        </a:prstGeom>
      </xdr:spPr>
    </xdr:pic>
    <xdr:clientData/>
  </xdr:twoCellAnchor>
  <xdr:twoCellAnchor editAs="oneCell">
    <xdr:from>
      <xdr:col>5</xdr:col>
      <xdr:colOff>66675</xdr:colOff>
      <xdr:row>13</xdr:row>
      <xdr:rowOff>38100</xdr:rowOff>
    </xdr:from>
    <xdr:to>
      <xdr:col>6</xdr:col>
      <xdr:colOff>0</xdr:colOff>
      <xdr:row>14</xdr:row>
      <xdr:rowOff>161925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880735" y="2560320"/>
          <a:ext cx="1792605" cy="331470"/>
        </a:xfrm>
        <a:prstGeom prst="rect">
          <a:avLst/>
        </a:prstGeom>
      </xdr:spPr>
    </xdr:pic>
    <xdr:clientData/>
  </xdr:twoCellAnchor>
  <xdr:twoCellAnchor editAs="oneCell">
    <xdr:from>
      <xdr:col>5</xdr:col>
      <xdr:colOff>76200</xdr:colOff>
      <xdr:row>15</xdr:row>
      <xdr:rowOff>28575</xdr:rowOff>
    </xdr:from>
    <xdr:to>
      <xdr:col>5</xdr:col>
      <xdr:colOff>485775</xdr:colOff>
      <xdr:row>16</xdr:row>
      <xdr:rowOff>133350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890260" y="2947035"/>
          <a:ext cx="409575" cy="314325"/>
        </a:xfrm>
        <a:prstGeom prst="rect">
          <a:avLst/>
        </a:prstGeom>
      </xdr:spPr>
    </xdr:pic>
    <xdr:clientData/>
  </xdr:twoCellAnchor>
  <xdr:twoCellAnchor editAs="oneCell">
    <xdr:from>
      <xdr:col>5</xdr:col>
      <xdr:colOff>0</xdr:colOff>
      <xdr:row>19</xdr:row>
      <xdr:rowOff>0</xdr:rowOff>
    </xdr:from>
    <xdr:to>
      <xdr:col>6</xdr:col>
      <xdr:colOff>0</xdr:colOff>
      <xdr:row>21</xdr:row>
      <xdr:rowOff>9525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14060" y="3756660"/>
          <a:ext cx="1859280" cy="495300"/>
        </a:xfrm>
        <a:prstGeom prst="rect">
          <a:avLst/>
        </a:prstGeom>
      </xdr:spPr>
    </xdr:pic>
    <xdr:clientData/>
  </xdr:twoCellAnchor>
  <xdr:twoCellAnchor editAs="oneCell">
    <xdr:from>
      <xdr:col>5</xdr:col>
      <xdr:colOff>19050</xdr:colOff>
      <xdr:row>17</xdr:row>
      <xdr:rowOff>57150</xdr:rowOff>
    </xdr:from>
    <xdr:to>
      <xdr:col>5</xdr:col>
      <xdr:colOff>409575</xdr:colOff>
      <xdr:row>18</xdr:row>
      <xdr:rowOff>171450</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833110" y="3394710"/>
          <a:ext cx="390525" cy="3238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152400</xdr:colOff>
      <xdr:row>9</xdr:row>
      <xdr:rowOff>9525</xdr:rowOff>
    </xdr:from>
    <xdr:to>
      <xdr:col>3</xdr:col>
      <xdr:colOff>1351915</xdr:colOff>
      <xdr:row>18</xdr:row>
      <xdr:rowOff>283845</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377440" y="1689735"/>
          <a:ext cx="1199515" cy="2173605"/>
        </a:xfrm>
        <a:prstGeom prst="rect">
          <a:avLst/>
        </a:prstGeom>
      </xdr:spPr>
    </xdr:pic>
    <xdr:clientData/>
  </xdr:twoCellAnchor>
  <xdr:twoCellAnchor editAs="oneCell">
    <xdr:from>
      <xdr:col>5</xdr:col>
      <xdr:colOff>161925</xdr:colOff>
      <xdr:row>9</xdr:row>
      <xdr:rowOff>133350</xdr:rowOff>
    </xdr:from>
    <xdr:to>
      <xdr:col>5</xdr:col>
      <xdr:colOff>914400</xdr:colOff>
      <xdr:row>10</xdr:row>
      <xdr:rowOff>57150</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716905" y="1813560"/>
          <a:ext cx="752475" cy="171450"/>
        </a:xfrm>
        <a:prstGeom prst="rect">
          <a:avLst/>
        </a:prstGeom>
      </xdr:spPr>
    </xdr:pic>
    <xdr:clientData/>
  </xdr:twoCellAnchor>
  <xdr:twoCellAnchor editAs="oneCell">
    <xdr:from>
      <xdr:col>5</xdr:col>
      <xdr:colOff>95250</xdr:colOff>
      <xdr:row>13</xdr:row>
      <xdr:rowOff>57150</xdr:rowOff>
    </xdr:from>
    <xdr:to>
      <xdr:col>6</xdr:col>
      <xdr:colOff>0</xdr:colOff>
      <xdr:row>14</xdr:row>
      <xdr:rowOff>190500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650230" y="2579370"/>
          <a:ext cx="923925" cy="342900"/>
        </a:xfrm>
        <a:prstGeom prst="rect">
          <a:avLst/>
        </a:prstGeom>
      </xdr:spPr>
    </xdr:pic>
    <xdr:clientData/>
  </xdr:twoCellAnchor>
  <xdr:twoCellAnchor editAs="oneCell">
    <xdr:from>
      <xdr:col>5</xdr:col>
      <xdr:colOff>95250</xdr:colOff>
      <xdr:row>15</xdr:row>
      <xdr:rowOff>57150</xdr:rowOff>
    </xdr:from>
    <xdr:to>
      <xdr:col>5</xdr:col>
      <xdr:colOff>504825</xdr:colOff>
      <xdr:row>16</xdr:row>
      <xdr:rowOff>161925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650230" y="2998470"/>
          <a:ext cx="409575" cy="314325"/>
        </a:xfrm>
        <a:prstGeom prst="rect">
          <a:avLst/>
        </a:prstGeom>
      </xdr:spPr>
    </xdr:pic>
    <xdr:clientData/>
  </xdr:twoCellAnchor>
  <xdr:twoCellAnchor editAs="oneCell">
    <xdr:from>
      <xdr:col>5</xdr:col>
      <xdr:colOff>85725</xdr:colOff>
      <xdr:row>17</xdr:row>
      <xdr:rowOff>19050</xdr:rowOff>
    </xdr:from>
    <xdr:to>
      <xdr:col>5</xdr:col>
      <xdr:colOff>571500</xdr:colOff>
      <xdr:row>19</xdr:row>
      <xdr:rowOff>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640705" y="3379470"/>
          <a:ext cx="485775" cy="495300"/>
        </a:xfrm>
        <a:prstGeom prst="rect">
          <a:avLst/>
        </a:prstGeom>
      </xdr:spPr>
    </xdr:pic>
    <xdr:clientData/>
  </xdr:twoCellAnchor>
  <xdr:twoCellAnchor editAs="oneCell">
    <xdr:from>
      <xdr:col>5</xdr:col>
      <xdr:colOff>133350</xdr:colOff>
      <xdr:row>11</xdr:row>
      <xdr:rowOff>57150</xdr:rowOff>
    </xdr:from>
    <xdr:to>
      <xdr:col>5</xdr:col>
      <xdr:colOff>971550</xdr:colOff>
      <xdr:row>12</xdr:row>
      <xdr:rowOff>180975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688330" y="2183130"/>
          <a:ext cx="838200" cy="32194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66675</xdr:colOff>
      <xdr:row>12</xdr:row>
      <xdr:rowOff>38100</xdr:rowOff>
    </xdr:from>
    <xdr:to>
      <xdr:col>4</xdr:col>
      <xdr:colOff>0</xdr:colOff>
      <xdr:row>21</xdr:row>
      <xdr:rowOff>38100</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91715" y="2362200"/>
          <a:ext cx="1663065" cy="1861185"/>
        </a:xfrm>
        <a:prstGeom prst="rect">
          <a:avLst/>
        </a:prstGeom>
      </xdr:spPr>
    </xdr:pic>
    <xdr:clientData/>
  </xdr:twoCellAnchor>
  <xdr:twoCellAnchor editAs="oneCell">
    <xdr:from>
      <xdr:col>5</xdr:col>
      <xdr:colOff>57150</xdr:colOff>
      <xdr:row>9</xdr:row>
      <xdr:rowOff>104775</xdr:rowOff>
    </xdr:from>
    <xdr:to>
      <xdr:col>5</xdr:col>
      <xdr:colOff>923925</xdr:colOff>
      <xdr:row>10</xdr:row>
      <xdr:rowOff>142875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871210" y="1784985"/>
          <a:ext cx="866775" cy="285750"/>
        </a:xfrm>
        <a:prstGeom prst="rect">
          <a:avLst/>
        </a:prstGeom>
      </xdr:spPr>
    </xdr:pic>
    <xdr:clientData/>
  </xdr:twoCellAnchor>
  <xdr:twoCellAnchor editAs="oneCell">
    <xdr:from>
      <xdr:col>5</xdr:col>
      <xdr:colOff>47625</xdr:colOff>
      <xdr:row>11</xdr:row>
      <xdr:rowOff>19050</xdr:rowOff>
    </xdr:from>
    <xdr:to>
      <xdr:col>5</xdr:col>
      <xdr:colOff>1343025</xdr:colOff>
      <xdr:row>12</xdr:row>
      <xdr:rowOff>152400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861685" y="2145030"/>
          <a:ext cx="1295400" cy="331470"/>
        </a:xfrm>
        <a:prstGeom prst="rect">
          <a:avLst/>
        </a:prstGeom>
      </xdr:spPr>
    </xdr:pic>
    <xdr:clientData/>
  </xdr:twoCellAnchor>
  <xdr:twoCellAnchor editAs="oneCell">
    <xdr:from>
      <xdr:col>5</xdr:col>
      <xdr:colOff>57150</xdr:colOff>
      <xdr:row>13</xdr:row>
      <xdr:rowOff>28575</xdr:rowOff>
    </xdr:from>
    <xdr:to>
      <xdr:col>6</xdr:col>
      <xdr:colOff>0</xdr:colOff>
      <xdr:row>14</xdr:row>
      <xdr:rowOff>200025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871210" y="2550795"/>
          <a:ext cx="1360170" cy="367665"/>
        </a:xfrm>
        <a:prstGeom prst="rect">
          <a:avLst/>
        </a:prstGeom>
      </xdr:spPr>
    </xdr:pic>
    <xdr:clientData/>
  </xdr:twoCellAnchor>
  <xdr:twoCellAnchor editAs="oneCell">
    <xdr:from>
      <xdr:col>5</xdr:col>
      <xdr:colOff>47625</xdr:colOff>
      <xdr:row>15</xdr:row>
      <xdr:rowOff>38100</xdr:rowOff>
    </xdr:from>
    <xdr:to>
      <xdr:col>5</xdr:col>
      <xdr:colOff>1409700</xdr:colOff>
      <xdr:row>16</xdr:row>
      <xdr:rowOff>171450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861685" y="2956560"/>
          <a:ext cx="1362075" cy="342900"/>
        </a:xfrm>
        <a:prstGeom prst="rect">
          <a:avLst/>
        </a:prstGeom>
      </xdr:spPr>
    </xdr:pic>
    <xdr:clientData/>
  </xdr:twoCellAnchor>
  <xdr:twoCellAnchor editAs="oneCell">
    <xdr:from>
      <xdr:col>5</xdr:col>
      <xdr:colOff>38100</xdr:colOff>
      <xdr:row>17</xdr:row>
      <xdr:rowOff>19050</xdr:rowOff>
    </xdr:from>
    <xdr:to>
      <xdr:col>6</xdr:col>
      <xdr:colOff>0</xdr:colOff>
      <xdr:row>18</xdr:row>
      <xdr:rowOff>200025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52160" y="3356610"/>
          <a:ext cx="1379220" cy="390525"/>
        </a:xfrm>
        <a:prstGeom prst="rect">
          <a:avLst/>
        </a:prstGeom>
      </xdr:spPr>
    </xdr:pic>
    <xdr:clientData/>
  </xdr:twoCellAnchor>
  <xdr:twoCellAnchor editAs="oneCell">
    <xdr:from>
      <xdr:col>5</xdr:col>
      <xdr:colOff>47625</xdr:colOff>
      <xdr:row>19</xdr:row>
      <xdr:rowOff>57150</xdr:rowOff>
    </xdr:from>
    <xdr:to>
      <xdr:col>5</xdr:col>
      <xdr:colOff>438150</xdr:colOff>
      <xdr:row>20</xdr:row>
      <xdr:rowOff>171450</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861685" y="3813810"/>
          <a:ext cx="390525" cy="323850"/>
        </a:xfrm>
        <a:prstGeom prst="rect">
          <a:avLst/>
        </a:prstGeom>
      </xdr:spPr>
    </xdr:pic>
    <xdr:clientData/>
  </xdr:twoCellAnchor>
  <xdr:twoCellAnchor editAs="oneCell">
    <xdr:from>
      <xdr:col>5</xdr:col>
      <xdr:colOff>28575</xdr:colOff>
      <xdr:row>21</xdr:row>
      <xdr:rowOff>57150</xdr:rowOff>
    </xdr:from>
    <xdr:to>
      <xdr:col>5</xdr:col>
      <xdr:colOff>419100</xdr:colOff>
      <xdr:row>22</xdr:row>
      <xdr:rowOff>171450</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842635" y="4232910"/>
          <a:ext cx="390525" cy="323850"/>
        </a:xfrm>
        <a:prstGeom prst="rect">
          <a:avLst/>
        </a:prstGeom>
      </xdr:spPr>
    </xdr:pic>
    <xdr:clientData/>
  </xdr:twoCellAnchor>
  <xdr:twoCellAnchor editAs="oneCell">
    <xdr:from>
      <xdr:col>5</xdr:col>
      <xdr:colOff>47625</xdr:colOff>
      <xdr:row>23</xdr:row>
      <xdr:rowOff>0</xdr:rowOff>
    </xdr:from>
    <xdr:to>
      <xdr:col>5</xdr:col>
      <xdr:colOff>523875</xdr:colOff>
      <xdr:row>25</xdr:row>
      <xdr:rowOff>28575</xdr:rowOff>
    </xdr:to>
    <xdr:pic>
      <xdr:nvPicPr>
        <xdr:cNvPr id="10" name="图片 9" descr="未标题-1.png"/>
        <xdr:cNvPicPr>
          <a:picLocks noChangeAspect="1"/>
        </xdr:cNvPicPr>
      </xdr:nvPicPr>
      <xdr:blipFill>
        <a:blip xmlns:r="http://schemas.openxmlformats.org/officeDocument/2006/relationships" r:embed="rId9" cstate="print"/>
        <a:stretch>
          <a:fillRect/>
        </a:stretch>
      </xdr:blipFill>
      <xdr:spPr>
        <a:xfrm>
          <a:off x="5861685" y="4594860"/>
          <a:ext cx="476250" cy="48387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716280</xdr:colOff>
      <xdr:row>10</xdr:row>
      <xdr:rowOff>76201</xdr:rowOff>
    </xdr:from>
    <xdr:to>
      <xdr:col>4</xdr:col>
      <xdr:colOff>11430</xdr:colOff>
      <xdr:row>17</xdr:row>
      <xdr:rowOff>47626</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25040" y="2004060"/>
          <a:ext cx="1741170" cy="1413510"/>
        </a:xfrm>
        <a:prstGeom prst="rect">
          <a:avLst/>
        </a:prstGeom>
      </xdr:spPr>
    </xdr:pic>
    <xdr:clientData/>
  </xdr:twoCellAnchor>
  <xdr:twoCellAnchor editAs="oneCell">
    <xdr:from>
      <xdr:col>5</xdr:col>
      <xdr:colOff>285750</xdr:colOff>
      <xdr:row>9</xdr:row>
      <xdr:rowOff>76200</xdr:rowOff>
    </xdr:from>
    <xdr:to>
      <xdr:col>5</xdr:col>
      <xdr:colOff>781050</xdr:colOff>
      <xdr:row>10</xdr:row>
      <xdr:rowOff>95250</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6099810" y="1756410"/>
          <a:ext cx="495300" cy="266700"/>
        </a:xfrm>
        <a:prstGeom prst="rect">
          <a:avLst/>
        </a:prstGeom>
      </xdr:spPr>
    </xdr:pic>
    <xdr:clientData/>
  </xdr:twoCellAnchor>
  <xdr:twoCellAnchor editAs="oneCell">
    <xdr:from>
      <xdr:col>5</xdr:col>
      <xdr:colOff>285750</xdr:colOff>
      <xdr:row>11</xdr:row>
      <xdr:rowOff>47625</xdr:rowOff>
    </xdr:from>
    <xdr:to>
      <xdr:col>5</xdr:col>
      <xdr:colOff>828675</xdr:colOff>
      <xdr:row>12</xdr:row>
      <xdr:rowOff>161925</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6099810" y="2173605"/>
          <a:ext cx="542925" cy="312420"/>
        </a:xfrm>
        <a:prstGeom prst="rect">
          <a:avLst/>
        </a:prstGeom>
      </xdr:spPr>
    </xdr:pic>
    <xdr:clientData/>
  </xdr:twoCellAnchor>
  <xdr:twoCellAnchor editAs="oneCell">
    <xdr:from>
      <xdr:col>5</xdr:col>
      <xdr:colOff>238125</xdr:colOff>
      <xdr:row>13</xdr:row>
      <xdr:rowOff>66675</xdr:rowOff>
    </xdr:from>
    <xdr:to>
      <xdr:col>5</xdr:col>
      <xdr:colOff>857250</xdr:colOff>
      <xdr:row>14</xdr:row>
      <xdr:rowOff>180975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6052185" y="2588895"/>
          <a:ext cx="619125" cy="323850"/>
        </a:xfrm>
        <a:prstGeom prst="rect">
          <a:avLst/>
        </a:prstGeom>
      </xdr:spPr>
    </xdr:pic>
    <xdr:clientData/>
  </xdr:twoCellAnchor>
  <xdr:twoCellAnchor editAs="oneCell">
    <xdr:from>
      <xdr:col>5</xdr:col>
      <xdr:colOff>257175</xdr:colOff>
      <xdr:row>15</xdr:row>
      <xdr:rowOff>76200</xdr:rowOff>
    </xdr:from>
    <xdr:to>
      <xdr:col>5</xdr:col>
      <xdr:colOff>647700</xdr:colOff>
      <xdr:row>16</xdr:row>
      <xdr:rowOff>161925</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6071235" y="3017520"/>
          <a:ext cx="390525" cy="295275"/>
        </a:xfrm>
        <a:prstGeom prst="rect">
          <a:avLst/>
        </a:prstGeom>
      </xdr:spPr>
    </xdr:pic>
    <xdr:clientData/>
  </xdr:twoCellAnchor>
  <xdr:twoCellAnchor editAs="oneCell">
    <xdr:from>
      <xdr:col>5</xdr:col>
      <xdr:colOff>295275</xdr:colOff>
      <xdr:row>17</xdr:row>
      <xdr:rowOff>66675</xdr:rowOff>
    </xdr:from>
    <xdr:to>
      <xdr:col>5</xdr:col>
      <xdr:colOff>685800</xdr:colOff>
      <xdr:row>18</xdr:row>
      <xdr:rowOff>180975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6109335" y="3427095"/>
          <a:ext cx="390525" cy="31242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9525</xdr:colOff>
      <xdr:row>11</xdr:row>
      <xdr:rowOff>114300</xdr:rowOff>
    </xdr:from>
    <xdr:to>
      <xdr:col>4</xdr:col>
      <xdr:colOff>9525</xdr:colOff>
      <xdr:row>19</xdr:row>
      <xdr:rowOff>165100</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143125" y="2240280"/>
          <a:ext cx="1668780" cy="1700530"/>
        </a:xfrm>
        <a:prstGeom prst="rect">
          <a:avLst/>
        </a:prstGeom>
      </xdr:spPr>
    </xdr:pic>
    <xdr:clientData/>
  </xdr:twoCellAnchor>
  <xdr:twoCellAnchor editAs="oneCell">
    <xdr:from>
      <xdr:col>5</xdr:col>
      <xdr:colOff>104775</xdr:colOff>
      <xdr:row>9</xdr:row>
      <xdr:rowOff>66675</xdr:rowOff>
    </xdr:from>
    <xdr:to>
      <xdr:col>5</xdr:col>
      <xdr:colOff>1009650</xdr:colOff>
      <xdr:row>10</xdr:row>
      <xdr:rowOff>161925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644515" y="1746885"/>
          <a:ext cx="904875" cy="342900"/>
        </a:xfrm>
        <a:prstGeom prst="rect">
          <a:avLst/>
        </a:prstGeom>
      </xdr:spPr>
    </xdr:pic>
    <xdr:clientData/>
  </xdr:twoCellAnchor>
  <xdr:twoCellAnchor editAs="oneCell">
    <xdr:from>
      <xdr:col>5</xdr:col>
      <xdr:colOff>76200</xdr:colOff>
      <xdr:row>11</xdr:row>
      <xdr:rowOff>47625</xdr:rowOff>
    </xdr:from>
    <xdr:to>
      <xdr:col>6</xdr:col>
      <xdr:colOff>0</xdr:colOff>
      <xdr:row>12</xdr:row>
      <xdr:rowOff>171450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615940" y="2173605"/>
          <a:ext cx="2377440" cy="331470"/>
        </a:xfrm>
        <a:prstGeom prst="rect">
          <a:avLst/>
        </a:prstGeom>
      </xdr:spPr>
    </xdr:pic>
    <xdr:clientData/>
  </xdr:twoCellAnchor>
  <xdr:twoCellAnchor editAs="oneCell">
    <xdr:from>
      <xdr:col>5</xdr:col>
      <xdr:colOff>95250</xdr:colOff>
      <xdr:row>13</xdr:row>
      <xdr:rowOff>38100</xdr:rowOff>
    </xdr:from>
    <xdr:to>
      <xdr:col>5</xdr:col>
      <xdr:colOff>1019175</xdr:colOff>
      <xdr:row>14</xdr:row>
      <xdr:rowOff>171450</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634990" y="2560320"/>
          <a:ext cx="923925" cy="331470"/>
        </a:xfrm>
        <a:prstGeom prst="rect">
          <a:avLst/>
        </a:prstGeom>
      </xdr:spPr>
    </xdr:pic>
    <xdr:clientData/>
  </xdr:twoCellAnchor>
  <xdr:twoCellAnchor editAs="oneCell">
    <xdr:from>
      <xdr:col>5</xdr:col>
      <xdr:colOff>47625</xdr:colOff>
      <xdr:row>15</xdr:row>
      <xdr:rowOff>9525</xdr:rowOff>
    </xdr:from>
    <xdr:to>
      <xdr:col>5</xdr:col>
      <xdr:colOff>1181100</xdr:colOff>
      <xdr:row>17</xdr:row>
      <xdr:rowOff>9525</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587365" y="2927985"/>
          <a:ext cx="1133475" cy="419100"/>
        </a:xfrm>
        <a:prstGeom prst="rect">
          <a:avLst/>
        </a:prstGeom>
      </xdr:spPr>
    </xdr:pic>
    <xdr:clientData/>
  </xdr:twoCellAnchor>
  <xdr:twoCellAnchor editAs="oneCell">
    <xdr:from>
      <xdr:col>5</xdr:col>
      <xdr:colOff>57150</xdr:colOff>
      <xdr:row>17</xdr:row>
      <xdr:rowOff>57150</xdr:rowOff>
    </xdr:from>
    <xdr:to>
      <xdr:col>5</xdr:col>
      <xdr:colOff>1314450</xdr:colOff>
      <xdr:row>19</xdr:row>
      <xdr:rowOff>0</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596890" y="3394710"/>
          <a:ext cx="1257300" cy="361950"/>
        </a:xfrm>
        <a:prstGeom prst="rect">
          <a:avLst/>
        </a:prstGeom>
      </xdr:spPr>
    </xdr:pic>
    <xdr:clientData/>
  </xdr:twoCellAnchor>
  <xdr:twoCellAnchor editAs="oneCell">
    <xdr:from>
      <xdr:col>5</xdr:col>
      <xdr:colOff>47625</xdr:colOff>
      <xdr:row>19</xdr:row>
      <xdr:rowOff>19050</xdr:rowOff>
    </xdr:from>
    <xdr:to>
      <xdr:col>5</xdr:col>
      <xdr:colOff>533400</xdr:colOff>
      <xdr:row>21</xdr:row>
      <xdr:rowOff>9525</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587365" y="3775710"/>
          <a:ext cx="485775" cy="495300"/>
        </a:xfrm>
        <a:prstGeom prst="rect">
          <a:avLst/>
        </a:prstGeom>
      </xdr:spPr>
    </xdr:pic>
    <xdr:clientData/>
  </xdr:twoCellAnchor>
  <xdr:twoCellAnchor editAs="oneCell">
    <xdr:from>
      <xdr:col>5</xdr:col>
      <xdr:colOff>76200</xdr:colOff>
      <xdr:row>21</xdr:row>
      <xdr:rowOff>57150</xdr:rowOff>
    </xdr:from>
    <xdr:to>
      <xdr:col>5</xdr:col>
      <xdr:colOff>1000125</xdr:colOff>
      <xdr:row>22</xdr:row>
      <xdr:rowOff>161925</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615940" y="4318635"/>
          <a:ext cx="923925" cy="30289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716280</xdr:colOff>
      <xdr:row>12</xdr:row>
      <xdr:rowOff>142875</xdr:rowOff>
    </xdr:from>
    <xdr:to>
      <xdr:col>4</xdr:col>
      <xdr:colOff>0</xdr:colOff>
      <xdr:row>19</xdr:row>
      <xdr:rowOff>152400</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225040" y="2466975"/>
          <a:ext cx="1729740" cy="1451610"/>
        </a:xfrm>
        <a:prstGeom prst="rect">
          <a:avLst/>
        </a:prstGeom>
      </xdr:spPr>
    </xdr:pic>
    <xdr:clientData/>
  </xdr:twoCellAnchor>
  <xdr:twoCellAnchor editAs="oneCell">
    <xdr:from>
      <xdr:col>5</xdr:col>
      <xdr:colOff>104775</xdr:colOff>
      <xdr:row>9</xdr:row>
      <xdr:rowOff>104775</xdr:rowOff>
    </xdr:from>
    <xdr:to>
      <xdr:col>5</xdr:col>
      <xdr:colOff>609600</xdr:colOff>
      <xdr:row>10</xdr:row>
      <xdr:rowOff>142875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918835" y="1784985"/>
          <a:ext cx="504825" cy="285750"/>
        </a:xfrm>
        <a:prstGeom prst="rect">
          <a:avLst/>
        </a:prstGeom>
      </xdr:spPr>
    </xdr:pic>
    <xdr:clientData/>
  </xdr:twoCellAnchor>
  <xdr:twoCellAnchor editAs="oneCell">
    <xdr:from>
      <xdr:col>5</xdr:col>
      <xdr:colOff>47625</xdr:colOff>
      <xdr:row>11</xdr:row>
      <xdr:rowOff>123825</xdr:rowOff>
    </xdr:from>
    <xdr:to>
      <xdr:col>5</xdr:col>
      <xdr:colOff>876300</xdr:colOff>
      <xdr:row>12</xdr:row>
      <xdr:rowOff>95250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861685" y="2249805"/>
          <a:ext cx="828675" cy="169545"/>
        </a:xfrm>
        <a:prstGeom prst="rect">
          <a:avLst/>
        </a:prstGeom>
      </xdr:spPr>
    </xdr:pic>
    <xdr:clientData/>
  </xdr:twoCellAnchor>
  <xdr:twoCellAnchor editAs="oneCell">
    <xdr:from>
      <xdr:col>5</xdr:col>
      <xdr:colOff>47625</xdr:colOff>
      <xdr:row>13</xdr:row>
      <xdr:rowOff>66675</xdr:rowOff>
    </xdr:from>
    <xdr:to>
      <xdr:col>5</xdr:col>
      <xdr:colOff>723900</xdr:colOff>
      <xdr:row>14</xdr:row>
      <xdr:rowOff>142875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861685" y="2588895"/>
          <a:ext cx="676275" cy="274320"/>
        </a:xfrm>
        <a:prstGeom prst="rect">
          <a:avLst/>
        </a:prstGeom>
      </xdr:spPr>
    </xdr:pic>
    <xdr:clientData/>
  </xdr:twoCellAnchor>
  <xdr:twoCellAnchor editAs="oneCell">
    <xdr:from>
      <xdr:col>5</xdr:col>
      <xdr:colOff>76200</xdr:colOff>
      <xdr:row>15</xdr:row>
      <xdr:rowOff>133350</xdr:rowOff>
    </xdr:from>
    <xdr:to>
      <xdr:col>5</xdr:col>
      <xdr:colOff>895350</xdr:colOff>
      <xdr:row>16</xdr:row>
      <xdr:rowOff>104775</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890260" y="3051810"/>
          <a:ext cx="819150" cy="180975"/>
        </a:xfrm>
        <a:prstGeom prst="rect">
          <a:avLst/>
        </a:prstGeom>
      </xdr:spPr>
    </xdr:pic>
    <xdr:clientData/>
  </xdr:twoCellAnchor>
  <xdr:twoCellAnchor editAs="oneCell">
    <xdr:from>
      <xdr:col>5</xdr:col>
      <xdr:colOff>76200</xdr:colOff>
      <xdr:row>17</xdr:row>
      <xdr:rowOff>76200</xdr:rowOff>
    </xdr:from>
    <xdr:to>
      <xdr:col>5</xdr:col>
      <xdr:colOff>742950</xdr:colOff>
      <xdr:row>18</xdr:row>
      <xdr:rowOff>152400</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5890260" y="3413760"/>
          <a:ext cx="666750" cy="285750"/>
        </a:xfrm>
        <a:prstGeom prst="rect">
          <a:avLst/>
        </a:prstGeom>
      </xdr:spPr>
    </xdr:pic>
    <xdr:clientData/>
  </xdr:twoCellAnchor>
  <xdr:twoCellAnchor editAs="oneCell">
    <xdr:from>
      <xdr:col>5</xdr:col>
      <xdr:colOff>85725</xdr:colOff>
      <xdr:row>19</xdr:row>
      <xdr:rowOff>123825</xdr:rowOff>
    </xdr:from>
    <xdr:to>
      <xdr:col>5</xdr:col>
      <xdr:colOff>876300</xdr:colOff>
      <xdr:row>20</xdr:row>
      <xdr:rowOff>85725</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899785" y="3880485"/>
          <a:ext cx="790575" cy="171450"/>
        </a:xfrm>
        <a:prstGeom prst="rect">
          <a:avLst/>
        </a:prstGeom>
      </xdr:spPr>
    </xdr:pic>
    <xdr:clientData/>
  </xdr:twoCellAnchor>
  <xdr:twoCellAnchor editAs="oneCell">
    <xdr:from>
      <xdr:col>5</xdr:col>
      <xdr:colOff>95250</xdr:colOff>
      <xdr:row>21</xdr:row>
      <xdr:rowOff>104775</xdr:rowOff>
    </xdr:from>
    <xdr:to>
      <xdr:col>5</xdr:col>
      <xdr:colOff>876300</xdr:colOff>
      <xdr:row>22</xdr:row>
      <xdr:rowOff>66675</xdr:rowOff>
    </xdr:to>
    <xdr:pic>
      <xdr:nvPicPr>
        <xdr:cNvPr id="9" name="图片 8" descr="未标题-1.png"/>
        <xdr:cNvPicPr>
          <a:picLocks noChangeAspect="1"/>
        </xdr:cNvPicPr>
      </xdr:nvPicPr>
      <xdr:blipFill>
        <a:blip xmlns:r="http://schemas.openxmlformats.org/officeDocument/2006/relationships" r:embed="rId8" cstate="print"/>
        <a:stretch>
          <a:fillRect/>
        </a:stretch>
      </xdr:blipFill>
      <xdr:spPr>
        <a:xfrm>
          <a:off x="5909310" y="4280535"/>
          <a:ext cx="781050" cy="171450"/>
        </a:xfrm>
        <a:prstGeom prst="rect">
          <a:avLst/>
        </a:prstGeom>
      </xdr:spPr>
    </xdr:pic>
    <xdr:clientData/>
  </xdr:twoCellAnchor>
  <xdr:twoCellAnchor editAs="oneCell">
    <xdr:from>
      <xdr:col>5</xdr:col>
      <xdr:colOff>85725</xdr:colOff>
      <xdr:row>23</xdr:row>
      <xdr:rowOff>123825</xdr:rowOff>
    </xdr:from>
    <xdr:to>
      <xdr:col>5</xdr:col>
      <xdr:colOff>847725</xdr:colOff>
      <xdr:row>24</xdr:row>
      <xdr:rowOff>85725</xdr:rowOff>
    </xdr:to>
    <xdr:pic>
      <xdr:nvPicPr>
        <xdr:cNvPr id="10" name="图片 9" descr="未标题-1.png"/>
        <xdr:cNvPicPr>
          <a:picLocks noChangeAspect="1"/>
        </xdr:cNvPicPr>
      </xdr:nvPicPr>
      <xdr:blipFill>
        <a:blip xmlns:r="http://schemas.openxmlformats.org/officeDocument/2006/relationships" r:embed="rId9" cstate="print"/>
        <a:stretch>
          <a:fillRect/>
        </a:stretch>
      </xdr:blipFill>
      <xdr:spPr>
        <a:xfrm>
          <a:off x="5899785" y="4718685"/>
          <a:ext cx="762000" cy="171450"/>
        </a:xfrm>
        <a:prstGeom prst="rect">
          <a:avLst/>
        </a:prstGeom>
      </xdr:spPr>
    </xdr:pic>
    <xdr:clientData/>
  </xdr:twoCellAnchor>
  <xdr:twoCellAnchor editAs="oneCell">
    <xdr:from>
      <xdr:col>5</xdr:col>
      <xdr:colOff>85725</xdr:colOff>
      <xdr:row>25</xdr:row>
      <xdr:rowOff>66675</xdr:rowOff>
    </xdr:from>
    <xdr:to>
      <xdr:col>5</xdr:col>
      <xdr:colOff>447675</xdr:colOff>
      <xdr:row>26</xdr:row>
      <xdr:rowOff>180975</xdr:rowOff>
    </xdr:to>
    <xdr:pic>
      <xdr:nvPicPr>
        <xdr:cNvPr id="11" name="图片 10" descr="未标题-1.png"/>
        <xdr:cNvPicPr>
          <a:picLocks noChangeAspect="1"/>
        </xdr:cNvPicPr>
      </xdr:nvPicPr>
      <xdr:blipFill>
        <a:blip xmlns:r="http://schemas.openxmlformats.org/officeDocument/2006/relationships" r:embed="rId10" cstate="print"/>
        <a:stretch>
          <a:fillRect/>
        </a:stretch>
      </xdr:blipFill>
      <xdr:spPr>
        <a:xfrm>
          <a:off x="5899785" y="5080635"/>
          <a:ext cx="361950" cy="31242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19050</xdr:colOff>
      <xdr:row>12</xdr:row>
      <xdr:rowOff>38100</xdr:rowOff>
    </xdr:from>
    <xdr:to>
      <xdr:col>3</xdr:col>
      <xdr:colOff>695325</xdr:colOff>
      <xdr:row>12</xdr:row>
      <xdr:rowOff>371475</xdr:rowOff>
    </xdr:to>
    <xdr:pic>
      <xdr:nvPicPr>
        <xdr:cNvPr id="2" name="图片 1" descr="未标题-1.png"/>
        <xdr:cNvPicPr>
          <a:picLocks noChangeAspect="1"/>
        </xdr:cNvPicPr>
      </xdr:nvPicPr>
      <xdr:blipFill>
        <a:blip xmlns:r="http://schemas.openxmlformats.org/officeDocument/2006/relationships" r:embed="rId1" cstate="print"/>
        <a:stretch>
          <a:fillRect/>
        </a:stretch>
      </xdr:blipFill>
      <xdr:spPr>
        <a:xfrm>
          <a:off x="2602230" y="2177415"/>
          <a:ext cx="676275" cy="333375"/>
        </a:xfrm>
        <a:prstGeom prst="rect">
          <a:avLst/>
        </a:prstGeom>
      </xdr:spPr>
    </xdr:pic>
    <xdr:clientData/>
  </xdr:twoCellAnchor>
  <xdr:twoCellAnchor editAs="oneCell">
    <xdr:from>
      <xdr:col>5</xdr:col>
      <xdr:colOff>428625</xdr:colOff>
      <xdr:row>10</xdr:row>
      <xdr:rowOff>66675</xdr:rowOff>
    </xdr:from>
    <xdr:to>
      <xdr:col>5</xdr:col>
      <xdr:colOff>1066800</xdr:colOff>
      <xdr:row>11</xdr:row>
      <xdr:rowOff>180975</xdr:rowOff>
    </xdr:to>
    <xdr:pic>
      <xdr:nvPicPr>
        <xdr:cNvPr id="3" name="图片 2" descr="未标题-1.png"/>
        <xdr:cNvPicPr>
          <a:picLocks noChangeAspect="1"/>
        </xdr:cNvPicPr>
      </xdr:nvPicPr>
      <xdr:blipFill>
        <a:blip xmlns:r="http://schemas.openxmlformats.org/officeDocument/2006/relationships" r:embed="rId2" cstate="print"/>
        <a:stretch>
          <a:fillRect/>
        </a:stretch>
      </xdr:blipFill>
      <xdr:spPr>
        <a:xfrm>
          <a:off x="5389245" y="1718310"/>
          <a:ext cx="638175" cy="358140"/>
        </a:xfrm>
        <a:prstGeom prst="rect">
          <a:avLst/>
        </a:prstGeom>
      </xdr:spPr>
    </xdr:pic>
    <xdr:clientData/>
  </xdr:twoCellAnchor>
  <xdr:twoCellAnchor editAs="oneCell">
    <xdr:from>
      <xdr:col>5</xdr:col>
      <xdr:colOff>438150</xdr:colOff>
      <xdr:row>12</xdr:row>
      <xdr:rowOff>38100</xdr:rowOff>
    </xdr:from>
    <xdr:to>
      <xdr:col>5</xdr:col>
      <xdr:colOff>1104900</xdr:colOff>
      <xdr:row>12</xdr:row>
      <xdr:rowOff>400050</xdr:rowOff>
    </xdr:to>
    <xdr:pic>
      <xdr:nvPicPr>
        <xdr:cNvPr id="4" name="图片 3" descr="未标题-1.png"/>
        <xdr:cNvPicPr>
          <a:picLocks noChangeAspect="1"/>
        </xdr:cNvPicPr>
      </xdr:nvPicPr>
      <xdr:blipFill>
        <a:blip xmlns:r="http://schemas.openxmlformats.org/officeDocument/2006/relationships" r:embed="rId3" cstate="print"/>
        <a:stretch>
          <a:fillRect/>
        </a:stretch>
      </xdr:blipFill>
      <xdr:spPr>
        <a:xfrm>
          <a:off x="5398770" y="2177415"/>
          <a:ext cx="666750" cy="361950"/>
        </a:xfrm>
        <a:prstGeom prst="rect">
          <a:avLst/>
        </a:prstGeom>
      </xdr:spPr>
    </xdr:pic>
    <xdr:clientData/>
  </xdr:twoCellAnchor>
  <xdr:twoCellAnchor editAs="oneCell">
    <xdr:from>
      <xdr:col>5</xdr:col>
      <xdr:colOff>266700</xdr:colOff>
      <xdr:row>15</xdr:row>
      <xdr:rowOff>104775</xdr:rowOff>
    </xdr:from>
    <xdr:to>
      <xdr:col>5</xdr:col>
      <xdr:colOff>1162050</xdr:colOff>
      <xdr:row>17</xdr:row>
      <xdr:rowOff>180975</xdr:rowOff>
    </xdr:to>
    <xdr:pic>
      <xdr:nvPicPr>
        <xdr:cNvPr id="5" name="图片 4" descr="未标题-1.png"/>
        <xdr:cNvPicPr>
          <a:picLocks noChangeAspect="1"/>
        </xdr:cNvPicPr>
      </xdr:nvPicPr>
      <xdr:blipFill>
        <a:blip xmlns:r="http://schemas.openxmlformats.org/officeDocument/2006/relationships" r:embed="rId4" cstate="print"/>
        <a:stretch>
          <a:fillRect/>
        </a:stretch>
      </xdr:blipFill>
      <xdr:spPr>
        <a:xfrm>
          <a:off x="5227320" y="2958465"/>
          <a:ext cx="895350" cy="491490"/>
        </a:xfrm>
        <a:prstGeom prst="rect">
          <a:avLst/>
        </a:prstGeom>
      </xdr:spPr>
    </xdr:pic>
    <xdr:clientData/>
  </xdr:twoCellAnchor>
  <xdr:twoCellAnchor editAs="oneCell">
    <xdr:from>
      <xdr:col>5</xdr:col>
      <xdr:colOff>161925</xdr:colOff>
      <xdr:row>22</xdr:row>
      <xdr:rowOff>205740</xdr:rowOff>
    </xdr:from>
    <xdr:to>
      <xdr:col>6</xdr:col>
      <xdr:colOff>0</xdr:colOff>
      <xdr:row>25</xdr:row>
      <xdr:rowOff>95250</xdr:rowOff>
    </xdr:to>
    <xdr:pic>
      <xdr:nvPicPr>
        <xdr:cNvPr id="6" name="图片 5" descr="未标题-1.png"/>
        <xdr:cNvPicPr>
          <a:picLocks noChangeAspect="1"/>
        </xdr:cNvPicPr>
      </xdr:nvPicPr>
      <xdr:blipFill>
        <a:blip xmlns:r="http://schemas.openxmlformats.org/officeDocument/2006/relationships" r:embed="rId5" cstate="print"/>
        <a:stretch>
          <a:fillRect/>
        </a:stretch>
      </xdr:blipFill>
      <xdr:spPr>
        <a:xfrm>
          <a:off x="5122545" y="4467225"/>
          <a:ext cx="1148715" cy="510540"/>
        </a:xfrm>
        <a:prstGeom prst="rect">
          <a:avLst/>
        </a:prstGeom>
      </xdr:spPr>
    </xdr:pic>
    <xdr:clientData/>
  </xdr:twoCellAnchor>
  <xdr:twoCellAnchor editAs="oneCell">
    <xdr:from>
      <xdr:col>5</xdr:col>
      <xdr:colOff>0</xdr:colOff>
      <xdr:row>30</xdr:row>
      <xdr:rowOff>38100</xdr:rowOff>
    </xdr:from>
    <xdr:to>
      <xdr:col>6</xdr:col>
      <xdr:colOff>0</xdr:colOff>
      <xdr:row>32</xdr:row>
      <xdr:rowOff>47625</xdr:rowOff>
    </xdr:to>
    <xdr:pic>
      <xdr:nvPicPr>
        <xdr:cNvPr id="7" name="图片 6" descr="未标题-1.png"/>
        <xdr:cNvPicPr>
          <a:picLocks noChangeAspect="1"/>
        </xdr:cNvPicPr>
      </xdr:nvPicPr>
      <xdr:blipFill>
        <a:blip xmlns:r="http://schemas.openxmlformats.org/officeDocument/2006/relationships" r:embed="rId6" cstate="print"/>
        <a:stretch>
          <a:fillRect/>
        </a:stretch>
      </xdr:blipFill>
      <xdr:spPr>
        <a:xfrm>
          <a:off x="4960620" y="5833110"/>
          <a:ext cx="1310640" cy="497205"/>
        </a:xfrm>
        <a:prstGeom prst="rect">
          <a:avLst/>
        </a:prstGeom>
      </xdr:spPr>
    </xdr:pic>
    <xdr:clientData/>
  </xdr:twoCellAnchor>
  <xdr:twoCellAnchor editAs="oneCell">
    <xdr:from>
      <xdr:col>5</xdr:col>
      <xdr:colOff>133350</xdr:colOff>
      <xdr:row>34</xdr:row>
      <xdr:rowOff>95250</xdr:rowOff>
    </xdr:from>
    <xdr:to>
      <xdr:col>5</xdr:col>
      <xdr:colOff>866775</xdr:colOff>
      <xdr:row>36</xdr:row>
      <xdr:rowOff>180975</xdr:rowOff>
    </xdr:to>
    <xdr:pic>
      <xdr:nvPicPr>
        <xdr:cNvPr id="8" name="图片 7" descr="未标题-1.png"/>
        <xdr:cNvPicPr>
          <a:picLocks noChangeAspect="1"/>
        </xdr:cNvPicPr>
      </xdr:nvPicPr>
      <xdr:blipFill>
        <a:blip xmlns:r="http://schemas.openxmlformats.org/officeDocument/2006/relationships" r:embed="rId7" cstate="print"/>
        <a:stretch>
          <a:fillRect/>
        </a:stretch>
      </xdr:blipFill>
      <xdr:spPr>
        <a:xfrm>
          <a:off x="5093970" y="6657975"/>
          <a:ext cx="733425" cy="5048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2</xdr:col>
      <xdr:colOff>175260</xdr:colOff>
      <xdr:row>12</xdr:row>
      <xdr:rowOff>190500</xdr:rowOff>
    </xdr:from>
    <xdr:to>
      <xdr:col>6</xdr:col>
      <xdr:colOff>266700</xdr:colOff>
      <xdr:row>21</xdr:row>
      <xdr:rowOff>68580</xdr:rowOff>
    </xdr:to>
    <xdr:sp macro="" textlink="">
      <xdr:nvSpPr>
        <xdr:cNvPr id="1106285" name="Oval 1"/>
        <xdr:cNvSpPr/>
      </xdr:nvSpPr>
      <xdr:spPr>
        <a:xfrm>
          <a:off x="922020" y="2800350"/>
          <a:ext cx="1584960" cy="1729740"/>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2</xdr:col>
      <xdr:colOff>198120</xdr:colOff>
      <xdr:row>17</xdr:row>
      <xdr:rowOff>37465</xdr:rowOff>
    </xdr:from>
    <xdr:to>
      <xdr:col>6</xdr:col>
      <xdr:colOff>243840</xdr:colOff>
      <xdr:row>17</xdr:row>
      <xdr:rowOff>37465</xdr:rowOff>
    </xdr:to>
    <xdr:sp macro="" textlink="">
      <xdr:nvSpPr>
        <xdr:cNvPr id="1106286" name="Line 2"/>
        <xdr:cNvSpPr/>
      </xdr:nvSpPr>
      <xdr:spPr>
        <a:xfrm>
          <a:off x="944880" y="3676015"/>
          <a:ext cx="1539240" cy="0"/>
        </a:xfrm>
        <a:prstGeom prst="line">
          <a:avLst/>
        </a:prstGeom>
        <a:ln w="9525" cap="flat" cmpd="sng">
          <a:solidFill>
            <a:srgbClr val="000000"/>
          </a:solidFill>
          <a:prstDash val="solid"/>
          <a:round/>
          <a:headEnd type="arrow" w="sm" len="sm"/>
          <a:tailEnd type="arrow" w="sm" len="sm"/>
        </a:ln>
      </xdr:spPr>
    </xdr:sp>
    <xdr:clientData/>
  </xdr:twoCellAnchor>
  <xdr:twoCellAnchor>
    <xdr:from>
      <xdr:col>2</xdr:col>
      <xdr:colOff>76200</xdr:colOff>
      <xdr:row>12</xdr:row>
      <xdr:rowOff>76200</xdr:rowOff>
    </xdr:from>
    <xdr:to>
      <xdr:col>6</xdr:col>
      <xdr:colOff>365760</xdr:colOff>
      <xdr:row>21</xdr:row>
      <xdr:rowOff>183515</xdr:rowOff>
    </xdr:to>
    <xdr:sp macro="" textlink="">
      <xdr:nvSpPr>
        <xdr:cNvPr id="1106287" name="Oval 3"/>
        <xdr:cNvSpPr/>
      </xdr:nvSpPr>
      <xdr:spPr>
        <a:xfrm>
          <a:off x="822960" y="2686050"/>
          <a:ext cx="1783080" cy="1958975"/>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1</xdr:col>
      <xdr:colOff>358140</xdr:colOff>
      <xdr:row>11</xdr:row>
      <xdr:rowOff>160020</xdr:rowOff>
    </xdr:from>
    <xdr:to>
      <xdr:col>7</xdr:col>
      <xdr:colOff>121920</xdr:colOff>
      <xdr:row>22</xdr:row>
      <xdr:rowOff>99060</xdr:rowOff>
    </xdr:to>
    <xdr:sp macro="" textlink="">
      <xdr:nvSpPr>
        <xdr:cNvPr id="1106288" name="Oval 4"/>
        <xdr:cNvSpPr/>
      </xdr:nvSpPr>
      <xdr:spPr>
        <a:xfrm>
          <a:off x="731520" y="2564130"/>
          <a:ext cx="2004060" cy="2202180"/>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1</xdr:col>
      <xdr:colOff>236220</xdr:colOff>
      <xdr:row>11</xdr:row>
      <xdr:rowOff>53340</xdr:rowOff>
    </xdr:from>
    <xdr:to>
      <xdr:col>7</xdr:col>
      <xdr:colOff>243840</xdr:colOff>
      <xdr:row>22</xdr:row>
      <xdr:rowOff>198755</xdr:rowOff>
    </xdr:to>
    <xdr:sp macro="" textlink="">
      <xdr:nvSpPr>
        <xdr:cNvPr id="1106289" name="Oval 5"/>
        <xdr:cNvSpPr/>
      </xdr:nvSpPr>
      <xdr:spPr>
        <a:xfrm>
          <a:off x="609600" y="2457450"/>
          <a:ext cx="2247900" cy="2408555"/>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1</xdr:col>
      <xdr:colOff>121920</xdr:colOff>
      <xdr:row>10</xdr:row>
      <xdr:rowOff>144780</xdr:rowOff>
    </xdr:from>
    <xdr:to>
      <xdr:col>7</xdr:col>
      <xdr:colOff>358140</xdr:colOff>
      <xdr:row>23</xdr:row>
      <xdr:rowOff>114300</xdr:rowOff>
    </xdr:to>
    <xdr:sp macro="" textlink="">
      <xdr:nvSpPr>
        <xdr:cNvPr id="1106290" name="Oval 6"/>
        <xdr:cNvSpPr/>
      </xdr:nvSpPr>
      <xdr:spPr>
        <a:xfrm>
          <a:off x="495300" y="2343150"/>
          <a:ext cx="2476500" cy="2644140"/>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1</xdr:col>
      <xdr:colOff>0</xdr:colOff>
      <xdr:row>10</xdr:row>
      <xdr:rowOff>6985</xdr:rowOff>
    </xdr:from>
    <xdr:to>
      <xdr:col>8</xdr:col>
      <xdr:colOff>99060</xdr:colOff>
      <xdr:row>24</xdr:row>
      <xdr:rowOff>45720</xdr:rowOff>
    </xdr:to>
    <xdr:sp macro="" textlink="">
      <xdr:nvSpPr>
        <xdr:cNvPr id="1106291" name="Oval 7"/>
        <xdr:cNvSpPr/>
      </xdr:nvSpPr>
      <xdr:spPr>
        <a:xfrm>
          <a:off x="373380" y="2205355"/>
          <a:ext cx="2712720" cy="2919095"/>
        </a:xfrm>
        <a:prstGeom prst="ellipse">
          <a:avLst/>
        </a:prstGeom>
        <a:noFill/>
        <a:ln w="38100" cap="flat" cmpd="dbl">
          <a:solidFill>
            <a:srgbClr val="000000"/>
          </a:solidFill>
          <a:prstDash val="solid"/>
          <a:round/>
          <a:headEnd type="none" w="med" len="med"/>
          <a:tailEnd type="none" w="med" len="med"/>
        </a:ln>
      </xdr:spPr>
    </xdr:sp>
    <xdr:clientData/>
  </xdr:twoCellAnchor>
  <xdr:twoCellAnchor>
    <xdr:from>
      <xdr:col>5</xdr:col>
      <xdr:colOff>68580</xdr:colOff>
      <xdr:row>10</xdr:row>
      <xdr:rowOff>30480</xdr:rowOff>
    </xdr:from>
    <xdr:to>
      <xdr:col>13</xdr:col>
      <xdr:colOff>7620</xdr:colOff>
      <xdr:row>10</xdr:row>
      <xdr:rowOff>30480</xdr:rowOff>
    </xdr:to>
    <xdr:sp macro="" textlink="">
      <xdr:nvSpPr>
        <xdr:cNvPr id="1106292" name="Line 8"/>
        <xdr:cNvSpPr/>
      </xdr:nvSpPr>
      <xdr:spPr>
        <a:xfrm>
          <a:off x="1935480" y="2228850"/>
          <a:ext cx="2994660" cy="0"/>
        </a:xfrm>
        <a:prstGeom prst="line">
          <a:avLst/>
        </a:prstGeom>
        <a:ln w="38100" cap="flat" cmpd="dbl">
          <a:solidFill>
            <a:srgbClr val="000000"/>
          </a:solidFill>
          <a:prstDash val="solid"/>
          <a:round/>
          <a:headEnd type="none" w="med" len="med"/>
          <a:tailEnd type="none" w="med" len="med"/>
        </a:ln>
      </xdr:spPr>
    </xdr:sp>
    <xdr:clientData/>
  </xdr:twoCellAnchor>
  <xdr:twoCellAnchor>
    <xdr:from>
      <xdr:col>8</xdr:col>
      <xdr:colOff>220980</xdr:colOff>
      <xdr:row>10</xdr:row>
      <xdr:rowOff>30480</xdr:rowOff>
    </xdr:from>
    <xdr:to>
      <xdr:col>8</xdr:col>
      <xdr:colOff>220980</xdr:colOff>
      <xdr:row>11</xdr:row>
      <xdr:rowOff>106680</xdr:rowOff>
    </xdr:to>
    <xdr:sp macro="" textlink="">
      <xdr:nvSpPr>
        <xdr:cNvPr id="1106293" name="Line 10"/>
        <xdr:cNvSpPr/>
      </xdr:nvSpPr>
      <xdr:spPr>
        <a:xfrm>
          <a:off x="3208020" y="2228850"/>
          <a:ext cx="0" cy="2819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12</xdr:col>
      <xdr:colOff>83820</xdr:colOff>
      <xdr:row>10</xdr:row>
      <xdr:rowOff>30480</xdr:rowOff>
    </xdr:from>
    <xdr:to>
      <xdr:col>12</xdr:col>
      <xdr:colOff>83820</xdr:colOff>
      <xdr:row>11</xdr:row>
      <xdr:rowOff>137160</xdr:rowOff>
    </xdr:to>
    <xdr:sp macro="" textlink="">
      <xdr:nvSpPr>
        <xdr:cNvPr id="1106294" name="Line 12"/>
        <xdr:cNvSpPr/>
      </xdr:nvSpPr>
      <xdr:spPr>
        <a:xfrm>
          <a:off x="4632960" y="2228850"/>
          <a:ext cx="0" cy="312420"/>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220980</xdr:colOff>
      <xdr:row>10</xdr:row>
      <xdr:rowOff>168275</xdr:rowOff>
    </xdr:from>
    <xdr:to>
      <xdr:col>12</xdr:col>
      <xdr:colOff>83820</xdr:colOff>
      <xdr:row>10</xdr:row>
      <xdr:rowOff>168275</xdr:rowOff>
    </xdr:to>
    <xdr:sp macro="" textlink="">
      <xdr:nvSpPr>
        <xdr:cNvPr id="1106295" name="Line 13"/>
        <xdr:cNvSpPr/>
      </xdr:nvSpPr>
      <xdr:spPr>
        <a:xfrm>
          <a:off x="3208020" y="2366645"/>
          <a:ext cx="1424940" cy="0"/>
        </a:xfrm>
        <a:prstGeom prst="line">
          <a:avLst/>
        </a:prstGeom>
        <a:ln w="9525" cap="flat" cmpd="sng">
          <a:solidFill>
            <a:srgbClr val="000000"/>
          </a:solidFill>
          <a:prstDash val="solid"/>
          <a:round/>
          <a:headEnd type="arrow" w="sm" len="sm"/>
          <a:tailEnd type="arrow" w="sm" len="sm"/>
        </a:ln>
      </xdr:spPr>
    </xdr:sp>
    <xdr:clientData/>
  </xdr:twoCellAnchor>
  <xdr:twoCellAnchor>
    <xdr:from>
      <xdr:col>12</xdr:col>
      <xdr:colOff>220980</xdr:colOff>
      <xdr:row>8</xdr:row>
      <xdr:rowOff>198755</xdr:rowOff>
    </xdr:from>
    <xdr:to>
      <xdr:col>12</xdr:col>
      <xdr:colOff>220980</xdr:colOff>
      <xdr:row>10</xdr:row>
      <xdr:rowOff>22225</xdr:rowOff>
    </xdr:to>
    <xdr:sp macro="" textlink="">
      <xdr:nvSpPr>
        <xdr:cNvPr id="1106296" name="Line 14"/>
        <xdr:cNvSpPr/>
      </xdr:nvSpPr>
      <xdr:spPr>
        <a:xfrm flipH="1" flipV="1">
          <a:off x="4770120" y="1985645"/>
          <a:ext cx="0" cy="234950"/>
        </a:xfrm>
        <a:prstGeom prst="line">
          <a:avLst/>
        </a:prstGeom>
        <a:ln w="9525" cap="flat" cmpd="sng">
          <a:solidFill>
            <a:srgbClr val="000000"/>
          </a:solidFill>
          <a:prstDash val="solid"/>
          <a:round/>
          <a:headEnd type="arrow" w="sm" len="sm"/>
          <a:tailEnd type="none" w="med" len="med"/>
        </a:ln>
      </xdr:spPr>
    </xdr:sp>
    <xdr:clientData/>
  </xdr:twoCellAnchor>
  <xdr:twoCellAnchor>
    <xdr:from>
      <xdr:col>12</xdr:col>
      <xdr:colOff>220980</xdr:colOff>
      <xdr:row>10</xdr:row>
      <xdr:rowOff>45720</xdr:rowOff>
    </xdr:from>
    <xdr:to>
      <xdr:col>12</xdr:col>
      <xdr:colOff>220980</xdr:colOff>
      <xdr:row>13</xdr:row>
      <xdr:rowOff>83820</xdr:rowOff>
    </xdr:to>
    <xdr:sp macro="" textlink="">
      <xdr:nvSpPr>
        <xdr:cNvPr id="1106297" name="Line 15"/>
        <xdr:cNvSpPr/>
      </xdr:nvSpPr>
      <xdr:spPr>
        <a:xfrm>
          <a:off x="4770120" y="2244090"/>
          <a:ext cx="0" cy="655320"/>
        </a:xfrm>
        <a:prstGeom prst="line">
          <a:avLst/>
        </a:prstGeom>
        <a:ln w="9525" cap="flat" cmpd="sng">
          <a:solidFill>
            <a:srgbClr val="000000"/>
          </a:solidFill>
          <a:prstDash val="solid"/>
          <a:round/>
          <a:headEnd type="arrow" w="sm" len="sm"/>
          <a:tailEnd type="none" w="med" len="med"/>
        </a:ln>
      </xdr:spPr>
    </xdr:sp>
    <xdr:clientData/>
  </xdr:twoCellAnchor>
  <xdr:twoCellAnchor>
    <xdr:from>
      <xdr:col>1</xdr:col>
      <xdr:colOff>0</xdr:colOff>
      <xdr:row>26</xdr:row>
      <xdr:rowOff>68580</xdr:rowOff>
    </xdr:from>
    <xdr:to>
      <xdr:col>8</xdr:col>
      <xdr:colOff>106680</xdr:colOff>
      <xdr:row>26</xdr:row>
      <xdr:rowOff>68580</xdr:rowOff>
    </xdr:to>
    <xdr:sp macro="" textlink="">
      <xdr:nvSpPr>
        <xdr:cNvPr id="1106298" name="Line 16"/>
        <xdr:cNvSpPr/>
      </xdr:nvSpPr>
      <xdr:spPr>
        <a:xfrm>
          <a:off x="373380" y="5558790"/>
          <a:ext cx="2720340" cy="0"/>
        </a:xfrm>
        <a:prstGeom prst="line">
          <a:avLst/>
        </a:prstGeom>
        <a:ln w="9525" cap="flat" cmpd="sng">
          <a:solidFill>
            <a:srgbClr val="000000"/>
          </a:solidFill>
          <a:prstDash val="solid"/>
          <a:round/>
          <a:headEnd type="arrow" w="sm" len="sm"/>
          <a:tailEnd type="arrow" w="sm" len="sm"/>
        </a:ln>
      </xdr:spPr>
    </xdr:sp>
    <xdr:clientData/>
  </xdr:twoCellAnchor>
  <xdr:twoCellAnchor>
    <xdr:from>
      <xdr:col>1</xdr:col>
      <xdr:colOff>0</xdr:colOff>
      <xdr:row>18</xdr:row>
      <xdr:rowOff>30480</xdr:rowOff>
    </xdr:from>
    <xdr:to>
      <xdr:col>1</xdr:col>
      <xdr:colOff>0</xdr:colOff>
      <xdr:row>27</xdr:row>
      <xdr:rowOff>0</xdr:rowOff>
    </xdr:to>
    <xdr:sp macro="" textlink="">
      <xdr:nvSpPr>
        <xdr:cNvPr id="1106299" name="Line 17"/>
        <xdr:cNvSpPr/>
      </xdr:nvSpPr>
      <xdr:spPr>
        <a:xfrm>
          <a:off x="373380" y="3874770"/>
          <a:ext cx="0" cy="182118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106680</xdr:colOff>
      <xdr:row>17</xdr:row>
      <xdr:rowOff>190500</xdr:rowOff>
    </xdr:from>
    <xdr:to>
      <xdr:col>8</xdr:col>
      <xdr:colOff>106680</xdr:colOff>
      <xdr:row>27</xdr:row>
      <xdr:rowOff>0</xdr:rowOff>
    </xdr:to>
    <xdr:sp macro="" textlink="">
      <xdr:nvSpPr>
        <xdr:cNvPr id="1106300" name="Line 18"/>
        <xdr:cNvSpPr/>
      </xdr:nvSpPr>
      <xdr:spPr>
        <a:xfrm>
          <a:off x="3093720" y="3829050"/>
          <a:ext cx="0" cy="186690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7620</xdr:colOff>
      <xdr:row>13</xdr:row>
      <xdr:rowOff>99060</xdr:rowOff>
    </xdr:from>
    <xdr:to>
      <xdr:col>12</xdr:col>
      <xdr:colOff>220980</xdr:colOff>
      <xdr:row>13</xdr:row>
      <xdr:rowOff>99060</xdr:rowOff>
    </xdr:to>
    <xdr:sp macro="" textlink="">
      <xdr:nvSpPr>
        <xdr:cNvPr id="1106301" name="Line 19"/>
        <xdr:cNvSpPr/>
      </xdr:nvSpPr>
      <xdr:spPr>
        <a:xfrm flipH="1">
          <a:off x="4556760" y="2914650"/>
          <a:ext cx="2133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327660</xdr:colOff>
      <xdr:row>7</xdr:row>
      <xdr:rowOff>6985</xdr:rowOff>
    </xdr:from>
    <xdr:to>
      <xdr:col>14</xdr:col>
      <xdr:colOff>144780</xdr:colOff>
      <xdr:row>7</xdr:row>
      <xdr:rowOff>6985</xdr:rowOff>
    </xdr:to>
    <xdr:sp macro="" textlink="">
      <xdr:nvSpPr>
        <xdr:cNvPr id="1106302" name="Line 22"/>
        <xdr:cNvSpPr/>
      </xdr:nvSpPr>
      <xdr:spPr>
        <a:xfrm>
          <a:off x="1821180" y="1588135"/>
          <a:ext cx="3619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220980</xdr:colOff>
      <xdr:row>8</xdr:row>
      <xdr:rowOff>45720</xdr:rowOff>
    </xdr:from>
    <xdr:to>
      <xdr:col>9</xdr:col>
      <xdr:colOff>243840</xdr:colOff>
      <xdr:row>10</xdr:row>
      <xdr:rowOff>30480</xdr:rowOff>
    </xdr:to>
    <xdr:sp macro="" textlink="">
      <xdr:nvSpPr>
        <xdr:cNvPr id="1106303" name="Line 24"/>
        <xdr:cNvSpPr/>
      </xdr:nvSpPr>
      <xdr:spPr>
        <a:xfrm flipV="1">
          <a:off x="3208020" y="1832610"/>
          <a:ext cx="396240" cy="396240"/>
        </a:xfrm>
        <a:prstGeom prst="line">
          <a:avLst/>
        </a:prstGeom>
        <a:ln w="15875" cap="flat" cmpd="sng">
          <a:solidFill>
            <a:srgbClr val="000000"/>
          </a:solidFill>
          <a:prstDash val="lgDashDot"/>
          <a:round/>
          <a:headEnd type="none" w="med" len="med"/>
          <a:tailEnd type="oval" w="sm" len="sm"/>
        </a:ln>
      </xdr:spPr>
    </xdr:sp>
    <xdr:clientData/>
  </xdr:twoCellAnchor>
  <xdr:twoCellAnchor>
    <xdr:from>
      <xdr:col>12</xdr:col>
      <xdr:colOff>83820</xdr:colOff>
      <xdr:row>8</xdr:row>
      <xdr:rowOff>53340</xdr:rowOff>
    </xdr:from>
    <xdr:to>
      <xdr:col>13</xdr:col>
      <xdr:colOff>45720</xdr:colOff>
      <xdr:row>10</xdr:row>
      <xdr:rowOff>30480</xdr:rowOff>
    </xdr:to>
    <xdr:sp macro="" textlink="">
      <xdr:nvSpPr>
        <xdr:cNvPr id="1106304" name="Line 25"/>
        <xdr:cNvSpPr/>
      </xdr:nvSpPr>
      <xdr:spPr>
        <a:xfrm flipV="1">
          <a:off x="4632960" y="1840230"/>
          <a:ext cx="335280" cy="388620"/>
        </a:xfrm>
        <a:prstGeom prst="line">
          <a:avLst/>
        </a:prstGeom>
        <a:ln w="15875" cap="flat" cmpd="sng">
          <a:solidFill>
            <a:srgbClr val="000000"/>
          </a:solidFill>
          <a:prstDash val="lgDashDot"/>
          <a:round/>
          <a:headEnd type="none" w="med" len="med"/>
          <a:tailEnd type="oval" w="sm" len="sm"/>
        </a:ln>
      </xdr:spPr>
    </xdr:sp>
    <xdr:clientData/>
  </xdr:twoCellAnchor>
  <xdr:twoCellAnchor>
    <xdr:from>
      <xdr:col>1</xdr:col>
      <xdr:colOff>0</xdr:colOff>
      <xdr:row>7</xdr:row>
      <xdr:rowOff>6985</xdr:rowOff>
    </xdr:from>
    <xdr:to>
      <xdr:col>4</xdr:col>
      <xdr:colOff>342900</xdr:colOff>
      <xdr:row>17</xdr:row>
      <xdr:rowOff>45720</xdr:rowOff>
    </xdr:to>
    <xdr:sp macro="" textlink="">
      <xdr:nvSpPr>
        <xdr:cNvPr id="1106305" name="Arc 26"/>
        <xdr:cNvSpPr/>
      </xdr:nvSpPr>
      <xdr:spPr>
        <a:xfrm flipH="1">
          <a:off x="373380" y="1588135"/>
          <a:ext cx="1463040" cy="2096135"/>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13</xdr:col>
      <xdr:colOff>0</xdr:colOff>
      <xdr:row>10</xdr:row>
      <xdr:rowOff>22225</xdr:rowOff>
    </xdr:from>
    <xdr:to>
      <xdr:col>13</xdr:col>
      <xdr:colOff>0</xdr:colOff>
      <xdr:row>11</xdr:row>
      <xdr:rowOff>183515</xdr:rowOff>
    </xdr:to>
    <xdr:sp macro="" textlink="">
      <xdr:nvSpPr>
        <xdr:cNvPr id="1106306" name="Line 27"/>
        <xdr:cNvSpPr/>
      </xdr:nvSpPr>
      <xdr:spPr>
        <a:xfrm>
          <a:off x="4922520" y="2220595"/>
          <a:ext cx="0" cy="36703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144780</xdr:colOff>
      <xdr:row>7</xdr:row>
      <xdr:rowOff>6985</xdr:rowOff>
    </xdr:from>
    <xdr:to>
      <xdr:col>14</xdr:col>
      <xdr:colOff>144780</xdr:colOff>
      <xdr:row>8</xdr:row>
      <xdr:rowOff>168275</xdr:rowOff>
    </xdr:to>
    <xdr:sp macro="" textlink="">
      <xdr:nvSpPr>
        <xdr:cNvPr id="1106307" name="Line 28"/>
        <xdr:cNvSpPr/>
      </xdr:nvSpPr>
      <xdr:spPr>
        <a:xfrm>
          <a:off x="5440680" y="1588135"/>
          <a:ext cx="0" cy="36703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0</xdr:colOff>
      <xdr:row>8</xdr:row>
      <xdr:rowOff>106680</xdr:rowOff>
    </xdr:from>
    <xdr:to>
      <xdr:col>14</xdr:col>
      <xdr:colOff>137160</xdr:colOff>
      <xdr:row>11</xdr:row>
      <xdr:rowOff>137160</xdr:rowOff>
    </xdr:to>
    <xdr:sp macro="" textlink="">
      <xdr:nvSpPr>
        <xdr:cNvPr id="1106308" name="Line 29"/>
        <xdr:cNvSpPr/>
      </xdr:nvSpPr>
      <xdr:spPr>
        <a:xfrm flipV="1">
          <a:off x="4922520" y="1893570"/>
          <a:ext cx="510540" cy="647700"/>
        </a:xfrm>
        <a:prstGeom prst="line">
          <a:avLst/>
        </a:prstGeom>
        <a:ln w="9525" cap="flat" cmpd="sng">
          <a:solidFill>
            <a:srgbClr val="000000"/>
          </a:solidFill>
          <a:prstDash val="solid"/>
          <a:round/>
          <a:headEnd type="arrow" w="sm" len="sm"/>
          <a:tailEnd type="arrow" w="sm" len="sm"/>
        </a:ln>
      </xdr:spPr>
    </xdr:sp>
    <xdr:clientData/>
  </xdr:twoCellAnchor>
  <xdr:twoCellAnchor>
    <xdr:from>
      <xdr:col>13</xdr:col>
      <xdr:colOff>297180</xdr:colOff>
      <xdr:row>9</xdr:row>
      <xdr:rowOff>160020</xdr:rowOff>
    </xdr:from>
    <xdr:to>
      <xdr:col>13</xdr:col>
      <xdr:colOff>297180</xdr:colOff>
      <xdr:row>15</xdr:row>
      <xdr:rowOff>114300</xdr:rowOff>
    </xdr:to>
    <xdr:sp macro="" textlink="">
      <xdr:nvSpPr>
        <xdr:cNvPr id="1106309" name="Line 30"/>
        <xdr:cNvSpPr/>
      </xdr:nvSpPr>
      <xdr:spPr>
        <a:xfrm flipH="1">
          <a:off x="5219700" y="2152650"/>
          <a:ext cx="0" cy="1188720"/>
        </a:xfrm>
        <a:prstGeom prst="line">
          <a:avLst/>
        </a:prstGeom>
        <a:ln w="9525" cap="flat" cmpd="sng">
          <a:solidFill>
            <a:srgbClr val="000000"/>
          </a:solidFill>
          <a:prstDash val="solid"/>
          <a:round/>
          <a:headEnd type="oval" w="sm" len="sm"/>
          <a:tailEnd type="none" w="med" len="med"/>
        </a:ln>
      </xdr:spPr>
    </xdr:sp>
    <xdr:clientData/>
  </xdr:twoCellAnchor>
  <xdr:twoCellAnchor>
    <xdr:from>
      <xdr:col>12</xdr:col>
      <xdr:colOff>0</xdr:colOff>
      <xdr:row>15</xdr:row>
      <xdr:rowOff>114300</xdr:rowOff>
    </xdr:from>
    <xdr:to>
      <xdr:col>13</xdr:col>
      <xdr:colOff>289560</xdr:colOff>
      <xdr:row>15</xdr:row>
      <xdr:rowOff>114300</xdr:rowOff>
    </xdr:to>
    <xdr:sp macro="" textlink="">
      <xdr:nvSpPr>
        <xdr:cNvPr id="1106310" name="Line 31"/>
        <xdr:cNvSpPr/>
      </xdr:nvSpPr>
      <xdr:spPr>
        <a:xfrm flipH="1">
          <a:off x="4549140" y="3341370"/>
          <a:ext cx="6629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0</xdr:colOff>
      <xdr:row>7</xdr:row>
      <xdr:rowOff>6985</xdr:rowOff>
    </xdr:from>
    <xdr:to>
      <xdr:col>14</xdr:col>
      <xdr:colOff>137160</xdr:colOff>
      <xdr:row>10</xdr:row>
      <xdr:rowOff>6985</xdr:rowOff>
    </xdr:to>
    <xdr:sp macro="" textlink="">
      <xdr:nvSpPr>
        <xdr:cNvPr id="1106311" name="Line 42"/>
        <xdr:cNvSpPr/>
      </xdr:nvSpPr>
      <xdr:spPr>
        <a:xfrm flipH="1">
          <a:off x="4922520" y="1588135"/>
          <a:ext cx="510540" cy="61722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0</xdr:colOff>
      <xdr:row>7</xdr:row>
      <xdr:rowOff>37465</xdr:rowOff>
    </xdr:from>
    <xdr:to>
      <xdr:col>14</xdr:col>
      <xdr:colOff>144780</xdr:colOff>
      <xdr:row>10</xdr:row>
      <xdr:rowOff>45720</xdr:rowOff>
    </xdr:to>
    <xdr:sp macro="" textlink="">
      <xdr:nvSpPr>
        <xdr:cNvPr id="1106312" name="Line 43"/>
        <xdr:cNvSpPr/>
      </xdr:nvSpPr>
      <xdr:spPr>
        <a:xfrm flipV="1">
          <a:off x="4922520" y="1618615"/>
          <a:ext cx="518160" cy="625475"/>
        </a:xfrm>
        <a:prstGeom prst="line">
          <a:avLst/>
        </a:prstGeom>
        <a:ln w="9525" cap="flat" cmpd="sng">
          <a:solidFill>
            <a:srgbClr val="000000"/>
          </a:solidFill>
          <a:prstDash val="solid"/>
          <a:round/>
          <a:headEnd type="none" w="med" len="med"/>
          <a:tailEnd type="none" w="med" len="med"/>
        </a:ln>
      </xdr:spPr>
    </xdr:sp>
    <xdr:clientData/>
  </xdr:twoCellAnchor>
</xdr:wsDr>
</file>

<file path=xl/drawings/drawing28.xml><?xml version="1.0" encoding="utf-8"?>
<xdr:wsDr xmlns:xdr="http://schemas.openxmlformats.org/drawingml/2006/spreadsheetDrawing" xmlns:a="http://schemas.openxmlformats.org/drawingml/2006/main">
  <xdr:twoCellAnchor>
    <xdr:from>
      <xdr:col>9</xdr:col>
      <xdr:colOff>175260</xdr:colOff>
      <xdr:row>6</xdr:row>
      <xdr:rowOff>45720</xdr:rowOff>
    </xdr:from>
    <xdr:to>
      <xdr:col>12</xdr:col>
      <xdr:colOff>137160</xdr:colOff>
      <xdr:row>10</xdr:row>
      <xdr:rowOff>122555</xdr:rowOff>
    </xdr:to>
    <xdr:sp macro="" textlink="">
      <xdr:nvSpPr>
        <xdr:cNvPr id="1105443" name="Oval 1"/>
        <xdr:cNvSpPr/>
      </xdr:nvSpPr>
      <xdr:spPr>
        <a:xfrm>
          <a:off x="4282440" y="1739265"/>
          <a:ext cx="929640" cy="890270"/>
        </a:xfrm>
        <a:prstGeom prst="ellipse">
          <a:avLst/>
        </a:prstGeom>
        <a:noFill/>
        <a:ln w="25400" cap="flat" cmpd="sng">
          <a:solidFill>
            <a:srgbClr val="000000"/>
          </a:solidFill>
          <a:prstDash val="solid"/>
          <a:round/>
          <a:headEnd type="none" w="med" len="med"/>
          <a:tailEnd type="none" w="med" len="med"/>
        </a:ln>
      </xdr:spPr>
    </xdr:sp>
    <xdr:clientData/>
  </xdr:twoCellAnchor>
  <xdr:twoCellAnchor>
    <xdr:from>
      <xdr:col>13</xdr:col>
      <xdr:colOff>114300</xdr:colOff>
      <xdr:row>6</xdr:row>
      <xdr:rowOff>45720</xdr:rowOff>
    </xdr:from>
    <xdr:to>
      <xdr:col>16</xdr:col>
      <xdr:colOff>198120</xdr:colOff>
      <xdr:row>10</xdr:row>
      <xdr:rowOff>0</xdr:rowOff>
    </xdr:to>
    <xdr:sp macro="" textlink="">
      <xdr:nvSpPr>
        <xdr:cNvPr id="1105444" name="Rectangle 2"/>
        <xdr:cNvSpPr/>
      </xdr:nvSpPr>
      <xdr:spPr>
        <a:xfrm>
          <a:off x="5585460" y="1739265"/>
          <a:ext cx="975360" cy="767715"/>
        </a:xfrm>
        <a:prstGeom prst="rect">
          <a:avLst/>
        </a:prstGeom>
        <a:noFill/>
        <a:ln w="25400" cap="flat" cmpd="sng">
          <a:solidFill>
            <a:srgbClr val="000000"/>
          </a:solidFill>
          <a:prstDash val="solid"/>
          <a:miter/>
          <a:headEnd type="none" w="med" len="med"/>
          <a:tailEnd type="none" w="med" len="med"/>
        </a:ln>
      </xdr:spPr>
    </xdr:sp>
    <xdr:clientData/>
  </xdr:twoCellAnchor>
  <xdr:twoCellAnchor>
    <xdr:from>
      <xdr:col>17</xdr:col>
      <xdr:colOff>144780</xdr:colOff>
      <xdr:row>6</xdr:row>
      <xdr:rowOff>45720</xdr:rowOff>
    </xdr:from>
    <xdr:to>
      <xdr:col>20</xdr:col>
      <xdr:colOff>198120</xdr:colOff>
      <xdr:row>9</xdr:row>
      <xdr:rowOff>45720</xdr:rowOff>
    </xdr:to>
    <xdr:sp macro="" textlink="">
      <xdr:nvSpPr>
        <xdr:cNvPr id="1105445" name="AutoShape 3"/>
        <xdr:cNvSpPr/>
      </xdr:nvSpPr>
      <xdr:spPr>
        <a:xfrm>
          <a:off x="6804660" y="1739265"/>
          <a:ext cx="944880" cy="615315"/>
        </a:xfrm>
        <a:prstGeom prst="roundRect">
          <a:avLst>
            <a:gd name="adj" fmla="val 16667"/>
          </a:avLst>
        </a:prstGeom>
        <a:noFill/>
        <a:ln w="25400" cap="flat" cmpd="sng">
          <a:solidFill>
            <a:srgbClr val="000000"/>
          </a:solidFill>
          <a:prstDash val="solid"/>
          <a:round/>
          <a:headEnd type="none" w="med" len="med"/>
          <a:tailEnd type="none" w="med" len="med"/>
        </a:ln>
      </xdr:spPr>
    </xdr:sp>
    <xdr:clientData/>
  </xdr:twoCellAnchor>
  <xdr:twoCellAnchor>
    <xdr:from>
      <xdr:col>10</xdr:col>
      <xdr:colOff>128905</xdr:colOff>
      <xdr:row>7</xdr:row>
      <xdr:rowOff>156210</xdr:rowOff>
    </xdr:from>
    <xdr:to>
      <xdr:col>12</xdr:col>
      <xdr:colOff>26718</xdr:colOff>
      <xdr:row>9</xdr:row>
      <xdr:rowOff>59103</xdr:rowOff>
    </xdr:to>
    <xdr:sp macro="" textlink="">
      <xdr:nvSpPr>
        <xdr:cNvPr id="2" name="Rectangle 15"/>
        <xdr:cNvSpPr/>
      </xdr:nvSpPr>
      <xdr:spPr>
        <a:xfrm>
          <a:off x="4609465" y="2059305"/>
          <a:ext cx="492125" cy="30861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圆形</a:t>
          </a:r>
        </a:p>
      </xdr:txBody>
    </xdr:sp>
    <xdr:clientData/>
  </xdr:twoCellAnchor>
  <xdr:twoCellAnchor>
    <xdr:from>
      <xdr:col>14</xdr:col>
      <xdr:colOff>60325</xdr:colOff>
      <xdr:row>7</xdr:row>
      <xdr:rowOff>97155</xdr:rowOff>
    </xdr:from>
    <xdr:to>
      <xdr:col>16</xdr:col>
      <xdr:colOff>163864</xdr:colOff>
      <xdr:row>9</xdr:row>
      <xdr:rowOff>48</xdr:rowOff>
    </xdr:to>
    <xdr:sp macro="" textlink="">
      <xdr:nvSpPr>
        <xdr:cNvPr id="3" name="Rectangle 18"/>
        <xdr:cNvSpPr/>
      </xdr:nvSpPr>
      <xdr:spPr>
        <a:xfrm>
          <a:off x="5828665" y="2000250"/>
          <a:ext cx="697865" cy="30861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四边形</a:t>
          </a:r>
        </a:p>
      </xdr:txBody>
    </xdr:sp>
    <xdr:clientData/>
  </xdr:twoCellAnchor>
  <xdr:twoCellAnchor>
    <xdr:from>
      <xdr:col>17</xdr:col>
      <xdr:colOff>283210</xdr:colOff>
      <xdr:row>7</xdr:row>
      <xdr:rowOff>47625</xdr:rowOff>
    </xdr:from>
    <xdr:to>
      <xdr:col>20</xdr:col>
      <xdr:colOff>120015</xdr:colOff>
      <xdr:row>8</xdr:row>
      <xdr:rowOff>154305</xdr:rowOff>
    </xdr:to>
    <xdr:sp macro="" textlink="">
      <xdr:nvSpPr>
        <xdr:cNvPr id="4" name="Rectangle 19"/>
        <xdr:cNvSpPr/>
      </xdr:nvSpPr>
      <xdr:spPr>
        <a:xfrm>
          <a:off x="6943090" y="1950720"/>
          <a:ext cx="728345" cy="31432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四边圆角</a:t>
          </a:r>
        </a:p>
      </xdr:txBody>
    </xdr:sp>
    <xdr:clientData/>
  </xdr:twoCellAnchor>
  <xdr:twoCellAnchor>
    <xdr:from>
      <xdr:col>21</xdr:col>
      <xdr:colOff>274320</xdr:colOff>
      <xdr:row>6</xdr:row>
      <xdr:rowOff>60325</xdr:rowOff>
    </xdr:from>
    <xdr:to>
      <xdr:col>24</xdr:col>
      <xdr:colOff>251460</xdr:colOff>
      <xdr:row>9</xdr:row>
      <xdr:rowOff>38100</xdr:rowOff>
    </xdr:to>
    <xdr:sp macro="" textlink="">
      <xdr:nvSpPr>
        <xdr:cNvPr id="1105449" name="Oval 20"/>
        <xdr:cNvSpPr/>
      </xdr:nvSpPr>
      <xdr:spPr>
        <a:xfrm>
          <a:off x="8122920" y="1753870"/>
          <a:ext cx="868680" cy="593090"/>
        </a:xfrm>
        <a:prstGeom prst="ellipse">
          <a:avLst/>
        </a:prstGeom>
        <a:noFill/>
        <a:ln w="25400" cap="flat" cmpd="sng">
          <a:solidFill>
            <a:srgbClr val="000000"/>
          </a:solidFill>
          <a:prstDash val="solid"/>
          <a:round/>
          <a:headEnd type="none" w="med" len="med"/>
          <a:tailEnd type="none" w="med" len="med"/>
        </a:ln>
      </xdr:spPr>
    </xdr:sp>
    <xdr:clientData/>
  </xdr:twoCellAnchor>
  <xdr:twoCellAnchor>
    <xdr:from>
      <xdr:col>25</xdr:col>
      <xdr:colOff>182880</xdr:colOff>
      <xdr:row>5</xdr:row>
      <xdr:rowOff>144780</xdr:rowOff>
    </xdr:from>
    <xdr:to>
      <xdr:col>28</xdr:col>
      <xdr:colOff>228600</xdr:colOff>
      <xdr:row>8</xdr:row>
      <xdr:rowOff>38100</xdr:rowOff>
    </xdr:to>
    <xdr:sp macro="" textlink="">
      <xdr:nvSpPr>
        <xdr:cNvPr id="1105450" name="AutoShape 21"/>
        <xdr:cNvSpPr/>
      </xdr:nvSpPr>
      <xdr:spPr>
        <a:xfrm flipV="1">
          <a:off x="9220200" y="1640205"/>
          <a:ext cx="1028700" cy="508635"/>
        </a:xfrm>
        <a:custGeom>
          <a:avLst/>
          <a:gdLst/>
          <a:ahLst/>
          <a:cxnLst>
            <a:cxn ang="0">
              <a:pos x="0" y="0"/>
            </a:cxn>
            <a:cxn ang="0">
              <a:pos x="6872" y="21600"/>
            </a:cxn>
            <a:cxn ang="0">
              <a:pos x="14728" y="21600"/>
            </a:cxn>
            <a:cxn ang="0">
              <a:pos x="21600" y="0"/>
            </a:cxn>
          </a:cxnLst>
          <a:rect l="0" t="0" r="0" b="0"/>
          <a:pathLst>
            <a:path w="21600" h="21600">
              <a:moveTo>
                <a:pt x="0" y="0"/>
              </a:moveTo>
              <a:lnTo>
                <a:pt x="6872" y="21600"/>
              </a:lnTo>
              <a:lnTo>
                <a:pt x="14728" y="21600"/>
              </a:lnTo>
              <a:lnTo>
                <a:pt x="21600" y="0"/>
              </a:lnTo>
              <a:close/>
            </a:path>
          </a:pathLst>
        </a:custGeom>
        <a:noFill/>
        <a:ln w="25400" cap="flat" cmpd="sng">
          <a:solidFill>
            <a:srgbClr val="000000"/>
          </a:solidFill>
          <a:prstDash val="solid"/>
          <a:miter/>
          <a:headEnd type="none" w="med" len="med"/>
          <a:tailEnd type="none" w="med" len="med"/>
        </a:ln>
      </xdr:spPr>
    </xdr:sp>
    <xdr:clientData/>
  </xdr:twoCellAnchor>
  <xdr:twoCellAnchor>
    <xdr:from>
      <xdr:col>22</xdr:col>
      <xdr:colOff>197485</xdr:colOff>
      <xdr:row>7</xdr:row>
      <xdr:rowOff>156210</xdr:rowOff>
    </xdr:from>
    <xdr:to>
      <xdr:col>25</xdr:col>
      <xdr:colOff>17145</xdr:colOff>
      <xdr:row>9</xdr:row>
      <xdr:rowOff>49530</xdr:rowOff>
    </xdr:to>
    <xdr:sp macro="" textlink="">
      <xdr:nvSpPr>
        <xdr:cNvPr id="5" name="Rectangle 22"/>
        <xdr:cNvSpPr/>
      </xdr:nvSpPr>
      <xdr:spPr>
        <a:xfrm>
          <a:off x="8343265" y="2059305"/>
          <a:ext cx="711200" cy="29908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椭圆形</a:t>
          </a:r>
        </a:p>
      </xdr:txBody>
    </xdr:sp>
    <xdr:clientData/>
  </xdr:twoCellAnchor>
  <xdr:twoCellAnchor>
    <xdr:from>
      <xdr:col>26</xdr:col>
      <xdr:colOff>128905</xdr:colOff>
      <xdr:row>5</xdr:row>
      <xdr:rowOff>198120</xdr:rowOff>
    </xdr:from>
    <xdr:to>
      <xdr:col>28</xdr:col>
      <xdr:colOff>60325</xdr:colOff>
      <xdr:row>8</xdr:row>
      <xdr:rowOff>47625</xdr:rowOff>
    </xdr:to>
    <xdr:sp macro="" textlink="">
      <xdr:nvSpPr>
        <xdr:cNvPr id="6" name="Rectangle 23"/>
        <xdr:cNvSpPr/>
      </xdr:nvSpPr>
      <xdr:spPr>
        <a:xfrm>
          <a:off x="9463405" y="1693545"/>
          <a:ext cx="617220" cy="46482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1200" b="1">
              <a:solidFill>
                <a:srgbClr val="000000"/>
              </a:solidFill>
              <a:latin typeface="Times New Roman" panose="02020603050405020304" charset="0"/>
              <a:ea typeface="Times New Roman" panose="02020603050405020304" charset="0"/>
              <a:cs typeface="Times New Roman" panose="02020603050405020304" charset="0"/>
              <a:sym typeface="Times New Roman" panose="02020603050405020304" charset="0"/>
            </a:rPr>
            <a:t>  </a:t>
          </a:r>
          <a:r>
            <a:rPr lang="zh-CN" altLang="en-US" sz="1000" b="1">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梯形</a:t>
          </a:r>
        </a:p>
        <a:p>
          <a:pPr algn="l" rtl="0"/>
          <a:r>
            <a:rPr lang="zh-CN" altLang="en-US" sz="1000" b="1">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三角形</a:t>
          </a:r>
        </a:p>
      </xdr:txBody>
    </xdr:sp>
    <xdr:clientData/>
  </xdr:twoCellAnchor>
  <xdr:twoCellAnchor>
    <xdr:from>
      <xdr:col>23</xdr:col>
      <xdr:colOff>99060</xdr:colOff>
      <xdr:row>5</xdr:row>
      <xdr:rowOff>68580</xdr:rowOff>
    </xdr:from>
    <xdr:to>
      <xdr:col>23</xdr:col>
      <xdr:colOff>99060</xdr:colOff>
      <xdr:row>7</xdr:row>
      <xdr:rowOff>160020</xdr:rowOff>
    </xdr:to>
    <xdr:sp macro="" textlink="">
      <xdr:nvSpPr>
        <xdr:cNvPr id="1105453" name="Line 24"/>
        <xdr:cNvSpPr/>
      </xdr:nvSpPr>
      <xdr:spPr>
        <a:xfrm flipV="1">
          <a:off x="8542020" y="1564005"/>
          <a:ext cx="0" cy="49911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243840</xdr:colOff>
      <xdr:row>5</xdr:row>
      <xdr:rowOff>53340</xdr:rowOff>
    </xdr:from>
    <xdr:to>
      <xdr:col>24</xdr:col>
      <xdr:colOff>243840</xdr:colOff>
      <xdr:row>7</xdr:row>
      <xdr:rowOff>83820</xdr:rowOff>
    </xdr:to>
    <xdr:sp macro="" textlink="">
      <xdr:nvSpPr>
        <xdr:cNvPr id="1105454" name="Line 25"/>
        <xdr:cNvSpPr/>
      </xdr:nvSpPr>
      <xdr:spPr>
        <a:xfrm flipV="1">
          <a:off x="8983980" y="1548765"/>
          <a:ext cx="0" cy="43815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91440</xdr:colOff>
      <xdr:row>5</xdr:row>
      <xdr:rowOff>160020</xdr:rowOff>
    </xdr:from>
    <xdr:to>
      <xdr:col>24</xdr:col>
      <xdr:colOff>251460</xdr:colOff>
      <xdr:row>5</xdr:row>
      <xdr:rowOff>160020</xdr:rowOff>
    </xdr:to>
    <xdr:sp macro="" textlink="">
      <xdr:nvSpPr>
        <xdr:cNvPr id="1105455" name="Line 26"/>
        <xdr:cNvSpPr/>
      </xdr:nvSpPr>
      <xdr:spPr>
        <a:xfrm>
          <a:off x="8534400" y="1655445"/>
          <a:ext cx="457200" cy="0"/>
        </a:xfrm>
        <a:prstGeom prst="line">
          <a:avLst/>
        </a:prstGeom>
        <a:ln w="9525" cap="flat" cmpd="sng">
          <a:solidFill>
            <a:srgbClr val="000000"/>
          </a:solidFill>
          <a:prstDash val="solid"/>
          <a:round/>
          <a:headEnd type="arrow" w="sm" len="sm"/>
          <a:tailEnd type="arrow" w="sm" len="sm"/>
        </a:ln>
      </xdr:spPr>
    </xdr:sp>
    <xdr:clientData/>
  </xdr:twoCellAnchor>
  <xdr:twoCellAnchor>
    <xdr:from>
      <xdr:col>23</xdr:col>
      <xdr:colOff>231775</xdr:colOff>
      <xdr:row>5</xdr:row>
      <xdr:rowOff>9525</xdr:rowOff>
    </xdr:from>
    <xdr:to>
      <xdr:col>24</xdr:col>
      <xdr:colOff>205740</xdr:colOff>
      <xdr:row>5</xdr:row>
      <xdr:rowOff>152400</xdr:rowOff>
    </xdr:to>
    <xdr:sp macro="" textlink="">
      <xdr:nvSpPr>
        <xdr:cNvPr id="7" name="Rectangle 27"/>
        <xdr:cNvSpPr/>
      </xdr:nvSpPr>
      <xdr:spPr>
        <a:xfrm>
          <a:off x="8674735" y="1504950"/>
          <a:ext cx="271145" cy="14287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长轴</a:t>
          </a:r>
        </a:p>
      </xdr:txBody>
    </xdr:sp>
    <xdr:clientData/>
  </xdr:twoCellAnchor>
  <xdr:twoCellAnchor>
    <xdr:from>
      <xdr:col>21</xdr:col>
      <xdr:colOff>129540</xdr:colOff>
      <xdr:row>7</xdr:row>
      <xdr:rowOff>144780</xdr:rowOff>
    </xdr:from>
    <xdr:to>
      <xdr:col>23</xdr:col>
      <xdr:colOff>281940</xdr:colOff>
      <xdr:row>7</xdr:row>
      <xdr:rowOff>144780</xdr:rowOff>
    </xdr:to>
    <xdr:sp macro="" textlink="">
      <xdr:nvSpPr>
        <xdr:cNvPr id="1105457" name="Line 28"/>
        <xdr:cNvSpPr/>
      </xdr:nvSpPr>
      <xdr:spPr>
        <a:xfrm flipH="1">
          <a:off x="7978140" y="2047875"/>
          <a:ext cx="7467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144780</xdr:colOff>
      <xdr:row>9</xdr:row>
      <xdr:rowOff>45720</xdr:rowOff>
    </xdr:from>
    <xdr:to>
      <xdr:col>23</xdr:col>
      <xdr:colOff>30480</xdr:colOff>
      <xdr:row>9</xdr:row>
      <xdr:rowOff>45720</xdr:rowOff>
    </xdr:to>
    <xdr:sp macro="" textlink="">
      <xdr:nvSpPr>
        <xdr:cNvPr id="1105458" name="Line 29"/>
        <xdr:cNvSpPr/>
      </xdr:nvSpPr>
      <xdr:spPr>
        <a:xfrm flipH="1">
          <a:off x="7993380" y="2354580"/>
          <a:ext cx="4800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213360</xdr:colOff>
      <xdr:row>7</xdr:row>
      <xdr:rowOff>144780</xdr:rowOff>
    </xdr:from>
    <xdr:to>
      <xdr:col>21</xdr:col>
      <xdr:colOff>213360</xdr:colOff>
      <xdr:row>9</xdr:row>
      <xdr:rowOff>38100</xdr:rowOff>
    </xdr:to>
    <xdr:sp macro="" textlink="">
      <xdr:nvSpPr>
        <xdr:cNvPr id="1105459" name="Line 30"/>
        <xdr:cNvSpPr/>
      </xdr:nvSpPr>
      <xdr:spPr>
        <a:xfrm>
          <a:off x="8061960" y="2047875"/>
          <a:ext cx="0" cy="299085"/>
        </a:xfrm>
        <a:prstGeom prst="line">
          <a:avLst/>
        </a:prstGeom>
        <a:ln w="9525" cap="flat" cmpd="sng">
          <a:solidFill>
            <a:srgbClr val="000000"/>
          </a:solidFill>
          <a:prstDash val="solid"/>
          <a:round/>
          <a:headEnd type="arrow" w="sm" len="sm"/>
          <a:tailEnd type="arrow" w="sm" len="sm"/>
        </a:ln>
      </xdr:spPr>
    </xdr:sp>
    <xdr:clientData/>
  </xdr:twoCellAnchor>
  <xdr:twoCellAnchor>
    <xdr:from>
      <xdr:col>21</xdr:col>
      <xdr:colOff>26035</xdr:colOff>
      <xdr:row>8</xdr:row>
      <xdr:rowOff>0</xdr:rowOff>
    </xdr:from>
    <xdr:to>
      <xdr:col>21</xdr:col>
      <xdr:colOff>172992</xdr:colOff>
      <xdr:row>9</xdr:row>
      <xdr:rowOff>163906</xdr:rowOff>
    </xdr:to>
    <xdr:sp macro="" textlink="">
      <xdr:nvSpPr>
        <xdr:cNvPr id="8" name="Rectangle 31"/>
        <xdr:cNvSpPr/>
      </xdr:nvSpPr>
      <xdr:spPr>
        <a:xfrm>
          <a:off x="7874635" y="2110740"/>
          <a:ext cx="146685" cy="361950"/>
        </a:xfrm>
        <a:prstGeom prst="rect">
          <a:avLst/>
        </a:prstGeom>
        <a:noFill/>
        <a:ln w="9525">
          <a:noFill/>
        </a:ln>
      </xdr:spPr>
      <xdr:txBody>
        <a:bodyPr vertOverflow="clip" vert="vert270"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r" rtl="0"/>
          <a:r>
            <a:rPr lang="zh-CN" altLang="en-US" sz="8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短轴</a:t>
          </a:r>
        </a:p>
      </xdr:txBody>
    </xdr:sp>
    <xdr:clientData/>
  </xdr:twoCellAnchor>
  <xdr:twoCellAnchor>
    <xdr:from>
      <xdr:col>17</xdr:col>
      <xdr:colOff>144780</xdr:colOff>
      <xdr:row>5</xdr:row>
      <xdr:rowOff>68580</xdr:rowOff>
    </xdr:from>
    <xdr:to>
      <xdr:col>17</xdr:col>
      <xdr:colOff>144780</xdr:colOff>
      <xdr:row>6</xdr:row>
      <xdr:rowOff>114300</xdr:rowOff>
    </xdr:to>
    <xdr:sp macro="" textlink="">
      <xdr:nvSpPr>
        <xdr:cNvPr id="1105461" name="Line 32"/>
        <xdr:cNvSpPr/>
      </xdr:nvSpPr>
      <xdr:spPr>
        <a:xfrm flipV="1">
          <a:off x="6804660" y="1564005"/>
          <a:ext cx="0" cy="243840"/>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198120</xdr:colOff>
      <xdr:row>5</xdr:row>
      <xdr:rowOff>38100</xdr:rowOff>
    </xdr:from>
    <xdr:to>
      <xdr:col>20</xdr:col>
      <xdr:colOff>198120</xdr:colOff>
      <xdr:row>6</xdr:row>
      <xdr:rowOff>121920</xdr:rowOff>
    </xdr:to>
    <xdr:sp macro="" textlink="">
      <xdr:nvSpPr>
        <xdr:cNvPr id="1105462" name="Line 33"/>
        <xdr:cNvSpPr/>
      </xdr:nvSpPr>
      <xdr:spPr>
        <a:xfrm flipV="1">
          <a:off x="7749540" y="1533525"/>
          <a:ext cx="0" cy="281940"/>
        </a:xfrm>
        <a:prstGeom prst="line">
          <a:avLst/>
        </a:prstGeom>
        <a:ln w="9525" cap="flat" cmpd="sng">
          <a:solidFill>
            <a:srgbClr val="000000"/>
          </a:solidFill>
          <a:prstDash val="solid"/>
          <a:round/>
          <a:headEnd type="none" w="med" len="med"/>
          <a:tailEnd type="none" w="med" len="med"/>
        </a:ln>
      </xdr:spPr>
    </xdr:sp>
    <xdr:clientData/>
  </xdr:twoCellAnchor>
  <xdr:twoCellAnchor>
    <xdr:from>
      <xdr:col>17</xdr:col>
      <xdr:colOff>144780</xdr:colOff>
      <xdr:row>5</xdr:row>
      <xdr:rowOff>114300</xdr:rowOff>
    </xdr:from>
    <xdr:to>
      <xdr:col>20</xdr:col>
      <xdr:colOff>198120</xdr:colOff>
      <xdr:row>5</xdr:row>
      <xdr:rowOff>114300</xdr:rowOff>
    </xdr:to>
    <xdr:sp macro="" textlink="">
      <xdr:nvSpPr>
        <xdr:cNvPr id="1105463" name="Line 34"/>
        <xdr:cNvSpPr/>
      </xdr:nvSpPr>
      <xdr:spPr>
        <a:xfrm>
          <a:off x="6804660" y="1609725"/>
          <a:ext cx="944880" cy="0"/>
        </a:xfrm>
        <a:prstGeom prst="line">
          <a:avLst/>
        </a:prstGeom>
        <a:ln w="9525" cap="flat" cmpd="sng">
          <a:solidFill>
            <a:srgbClr val="000000"/>
          </a:solidFill>
          <a:prstDash val="solid"/>
          <a:round/>
          <a:headEnd type="arrow" w="sm" len="sm"/>
          <a:tailEnd type="arrow" w="sm" len="sm"/>
        </a:ln>
      </xdr:spPr>
    </xdr:sp>
    <xdr:clientData/>
  </xdr:twoCellAnchor>
  <xdr:twoCellAnchor>
    <xdr:from>
      <xdr:col>18</xdr:col>
      <xdr:colOff>163830</xdr:colOff>
      <xdr:row>4</xdr:row>
      <xdr:rowOff>161925</xdr:rowOff>
    </xdr:from>
    <xdr:to>
      <xdr:col>19</xdr:col>
      <xdr:colOff>231927</xdr:colOff>
      <xdr:row>5</xdr:row>
      <xdr:rowOff>114300</xdr:rowOff>
    </xdr:to>
    <xdr:sp macro="" textlink="">
      <xdr:nvSpPr>
        <xdr:cNvPr id="9" name="Rectangle 35"/>
        <xdr:cNvSpPr/>
      </xdr:nvSpPr>
      <xdr:spPr>
        <a:xfrm>
          <a:off x="7120890" y="1449705"/>
          <a:ext cx="365125" cy="16002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宽度</a:t>
          </a:r>
        </a:p>
      </xdr:txBody>
    </xdr:sp>
    <xdr:clientData/>
  </xdr:twoCellAnchor>
  <xdr:twoCellAnchor>
    <xdr:from>
      <xdr:col>13</xdr:col>
      <xdr:colOff>114300</xdr:colOff>
      <xdr:row>5</xdr:row>
      <xdr:rowOff>45720</xdr:rowOff>
    </xdr:from>
    <xdr:to>
      <xdr:col>13</xdr:col>
      <xdr:colOff>114300</xdr:colOff>
      <xdr:row>6</xdr:row>
      <xdr:rowOff>38735</xdr:rowOff>
    </xdr:to>
    <xdr:sp macro="" textlink="">
      <xdr:nvSpPr>
        <xdr:cNvPr id="1105465" name="Line 36"/>
        <xdr:cNvSpPr/>
      </xdr:nvSpPr>
      <xdr:spPr>
        <a:xfrm flipV="1">
          <a:off x="5585460" y="1541145"/>
          <a:ext cx="0" cy="191135"/>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198120</xdr:colOff>
      <xdr:row>5</xdr:row>
      <xdr:rowOff>53340</xdr:rowOff>
    </xdr:from>
    <xdr:to>
      <xdr:col>16</xdr:col>
      <xdr:colOff>198120</xdr:colOff>
      <xdr:row>6</xdr:row>
      <xdr:rowOff>38735</xdr:rowOff>
    </xdr:to>
    <xdr:sp macro="" textlink="">
      <xdr:nvSpPr>
        <xdr:cNvPr id="1105466" name="Line 37"/>
        <xdr:cNvSpPr/>
      </xdr:nvSpPr>
      <xdr:spPr>
        <a:xfrm flipV="1">
          <a:off x="6560820" y="1548765"/>
          <a:ext cx="0" cy="183515"/>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114300</xdr:colOff>
      <xdr:row>5</xdr:row>
      <xdr:rowOff>114300</xdr:rowOff>
    </xdr:from>
    <xdr:to>
      <xdr:col>16</xdr:col>
      <xdr:colOff>198120</xdr:colOff>
      <xdr:row>5</xdr:row>
      <xdr:rowOff>114300</xdr:rowOff>
    </xdr:to>
    <xdr:sp macro="" textlink="">
      <xdr:nvSpPr>
        <xdr:cNvPr id="1105467" name="Line 38"/>
        <xdr:cNvSpPr/>
      </xdr:nvSpPr>
      <xdr:spPr>
        <a:xfrm>
          <a:off x="5585460" y="1609725"/>
          <a:ext cx="975360" cy="0"/>
        </a:xfrm>
        <a:prstGeom prst="line">
          <a:avLst/>
        </a:prstGeom>
        <a:ln w="9525" cap="flat" cmpd="sng">
          <a:solidFill>
            <a:srgbClr val="000000"/>
          </a:solidFill>
          <a:prstDash val="solid"/>
          <a:round/>
          <a:headEnd type="arrow" w="sm" len="sm"/>
          <a:tailEnd type="arrow" w="sm" len="sm"/>
        </a:ln>
      </xdr:spPr>
    </xdr:sp>
    <xdr:clientData/>
  </xdr:twoCellAnchor>
  <xdr:twoCellAnchor>
    <xdr:from>
      <xdr:col>14</xdr:col>
      <xdr:colOff>172720</xdr:colOff>
      <xdr:row>4</xdr:row>
      <xdr:rowOff>152400</xdr:rowOff>
    </xdr:from>
    <xdr:to>
      <xdr:col>15</xdr:col>
      <xdr:colOff>274370</xdr:colOff>
      <xdr:row>5</xdr:row>
      <xdr:rowOff>143510</xdr:rowOff>
    </xdr:to>
    <xdr:sp macro="" textlink="">
      <xdr:nvSpPr>
        <xdr:cNvPr id="10" name="Rectangle 39"/>
        <xdr:cNvSpPr/>
      </xdr:nvSpPr>
      <xdr:spPr>
        <a:xfrm>
          <a:off x="5941060" y="1440180"/>
          <a:ext cx="398780" cy="19875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宽度</a:t>
          </a:r>
        </a:p>
      </xdr:txBody>
    </xdr:sp>
    <xdr:clientData/>
  </xdr:twoCellAnchor>
  <xdr:twoCellAnchor>
    <xdr:from>
      <xdr:col>9</xdr:col>
      <xdr:colOff>175260</xdr:colOff>
      <xdr:row>5</xdr:row>
      <xdr:rowOff>75565</xdr:rowOff>
    </xdr:from>
    <xdr:to>
      <xdr:col>9</xdr:col>
      <xdr:colOff>175260</xdr:colOff>
      <xdr:row>8</xdr:row>
      <xdr:rowOff>122555</xdr:rowOff>
    </xdr:to>
    <xdr:sp macro="" textlink="">
      <xdr:nvSpPr>
        <xdr:cNvPr id="1105469" name="Line 41"/>
        <xdr:cNvSpPr/>
      </xdr:nvSpPr>
      <xdr:spPr>
        <a:xfrm flipV="1">
          <a:off x="4282440" y="1570990"/>
          <a:ext cx="0" cy="662305"/>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144780</xdr:colOff>
      <xdr:row>5</xdr:row>
      <xdr:rowOff>53340</xdr:rowOff>
    </xdr:from>
    <xdr:to>
      <xdr:col>12</xdr:col>
      <xdr:colOff>144780</xdr:colOff>
      <xdr:row>8</xdr:row>
      <xdr:rowOff>91440</xdr:rowOff>
    </xdr:to>
    <xdr:sp macro="" textlink="">
      <xdr:nvSpPr>
        <xdr:cNvPr id="1105470" name="Line 42"/>
        <xdr:cNvSpPr/>
      </xdr:nvSpPr>
      <xdr:spPr>
        <a:xfrm flipV="1">
          <a:off x="5219700" y="1548765"/>
          <a:ext cx="0" cy="653415"/>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175260</xdr:colOff>
      <xdr:row>5</xdr:row>
      <xdr:rowOff>144780</xdr:rowOff>
    </xdr:from>
    <xdr:to>
      <xdr:col>12</xdr:col>
      <xdr:colOff>137160</xdr:colOff>
      <xdr:row>5</xdr:row>
      <xdr:rowOff>144780</xdr:rowOff>
    </xdr:to>
    <xdr:sp macro="" textlink="">
      <xdr:nvSpPr>
        <xdr:cNvPr id="1105471" name="Line 43"/>
        <xdr:cNvSpPr/>
      </xdr:nvSpPr>
      <xdr:spPr>
        <a:xfrm>
          <a:off x="4282440" y="1640205"/>
          <a:ext cx="929640" cy="0"/>
        </a:xfrm>
        <a:prstGeom prst="line">
          <a:avLst/>
        </a:prstGeom>
        <a:ln w="9525" cap="flat" cmpd="sng">
          <a:solidFill>
            <a:srgbClr val="000000"/>
          </a:solidFill>
          <a:prstDash val="solid"/>
          <a:round/>
          <a:headEnd type="arrow" w="sm" len="sm"/>
          <a:tailEnd type="arrow" w="sm" len="sm"/>
        </a:ln>
      </xdr:spPr>
    </xdr:sp>
    <xdr:clientData/>
  </xdr:twoCellAnchor>
  <xdr:twoCellAnchor>
    <xdr:from>
      <xdr:col>10</xdr:col>
      <xdr:colOff>180975</xdr:colOff>
      <xdr:row>4</xdr:row>
      <xdr:rowOff>190500</xdr:rowOff>
    </xdr:from>
    <xdr:to>
      <xdr:col>11</xdr:col>
      <xdr:colOff>274358</xdr:colOff>
      <xdr:row>5</xdr:row>
      <xdr:rowOff>161925</xdr:rowOff>
    </xdr:to>
    <xdr:sp macro="" textlink="">
      <xdr:nvSpPr>
        <xdr:cNvPr id="11" name="Rectangle 44"/>
        <xdr:cNvSpPr/>
      </xdr:nvSpPr>
      <xdr:spPr>
        <a:xfrm>
          <a:off x="4661535" y="1478280"/>
          <a:ext cx="390525" cy="179070"/>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直径</a:t>
          </a:r>
        </a:p>
      </xdr:txBody>
    </xdr:sp>
    <xdr:clientData/>
  </xdr:twoCellAnchor>
  <xdr:twoCellAnchor>
    <xdr:from>
      <xdr:col>25</xdr:col>
      <xdr:colOff>182880</xdr:colOff>
      <xdr:row>8</xdr:row>
      <xdr:rowOff>38100</xdr:rowOff>
    </xdr:from>
    <xdr:to>
      <xdr:col>25</xdr:col>
      <xdr:colOff>182880</xdr:colOff>
      <xdr:row>9</xdr:row>
      <xdr:rowOff>75565</xdr:rowOff>
    </xdr:to>
    <xdr:sp macro="" textlink="">
      <xdr:nvSpPr>
        <xdr:cNvPr id="1105473" name="Line 45"/>
        <xdr:cNvSpPr/>
      </xdr:nvSpPr>
      <xdr:spPr>
        <a:xfrm>
          <a:off x="9220200" y="2148840"/>
          <a:ext cx="0" cy="235585"/>
        </a:xfrm>
        <a:prstGeom prst="line">
          <a:avLst/>
        </a:prstGeom>
        <a:ln w="9525" cap="flat" cmpd="sng">
          <a:solidFill>
            <a:srgbClr val="000000"/>
          </a:solidFill>
          <a:prstDash val="solid"/>
          <a:round/>
          <a:headEnd type="none" w="med" len="med"/>
          <a:tailEnd type="none" w="med" len="med"/>
        </a:ln>
      </xdr:spPr>
    </xdr:sp>
    <xdr:clientData/>
  </xdr:twoCellAnchor>
  <xdr:twoCellAnchor>
    <xdr:from>
      <xdr:col>28</xdr:col>
      <xdr:colOff>236220</xdr:colOff>
      <xdr:row>8</xdr:row>
      <xdr:rowOff>15240</xdr:rowOff>
    </xdr:from>
    <xdr:to>
      <xdr:col>28</xdr:col>
      <xdr:colOff>236220</xdr:colOff>
      <xdr:row>9</xdr:row>
      <xdr:rowOff>60960</xdr:rowOff>
    </xdr:to>
    <xdr:sp macro="" textlink="">
      <xdr:nvSpPr>
        <xdr:cNvPr id="1105474" name="Line 46"/>
        <xdr:cNvSpPr/>
      </xdr:nvSpPr>
      <xdr:spPr>
        <a:xfrm>
          <a:off x="10256520" y="2125980"/>
          <a:ext cx="0" cy="24384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198120</xdr:colOff>
      <xdr:row>9</xdr:row>
      <xdr:rowOff>0</xdr:rowOff>
    </xdr:from>
    <xdr:to>
      <xdr:col>28</xdr:col>
      <xdr:colOff>236220</xdr:colOff>
      <xdr:row>9</xdr:row>
      <xdr:rowOff>0</xdr:rowOff>
    </xdr:to>
    <xdr:sp macro="" textlink="">
      <xdr:nvSpPr>
        <xdr:cNvPr id="1105475" name="Line 47"/>
        <xdr:cNvSpPr/>
      </xdr:nvSpPr>
      <xdr:spPr>
        <a:xfrm flipV="1">
          <a:off x="9235440" y="2308860"/>
          <a:ext cx="1021080" cy="0"/>
        </a:xfrm>
        <a:prstGeom prst="line">
          <a:avLst/>
        </a:prstGeom>
        <a:ln w="9525" cap="flat" cmpd="sng">
          <a:solidFill>
            <a:srgbClr val="000000"/>
          </a:solidFill>
          <a:prstDash val="solid"/>
          <a:round/>
          <a:headEnd type="arrow" w="sm" len="sm"/>
          <a:tailEnd type="arrow" w="sm" len="sm"/>
        </a:ln>
      </xdr:spPr>
    </xdr:sp>
    <xdr:clientData/>
  </xdr:twoCellAnchor>
  <xdr:twoCellAnchor>
    <xdr:from>
      <xdr:col>26</xdr:col>
      <xdr:colOff>232410</xdr:colOff>
      <xdr:row>8</xdr:row>
      <xdr:rowOff>49530</xdr:rowOff>
    </xdr:from>
    <xdr:to>
      <xdr:col>28</xdr:col>
      <xdr:colOff>68649</xdr:colOff>
      <xdr:row>9</xdr:row>
      <xdr:rowOff>38920</xdr:rowOff>
    </xdr:to>
    <xdr:sp macro="" textlink="">
      <xdr:nvSpPr>
        <xdr:cNvPr id="12" name="Rectangle 48"/>
        <xdr:cNvSpPr/>
      </xdr:nvSpPr>
      <xdr:spPr>
        <a:xfrm>
          <a:off x="9566910" y="2160270"/>
          <a:ext cx="521970" cy="18732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长边</a:t>
          </a:r>
        </a:p>
      </xdr:txBody>
    </xdr:sp>
    <xdr:clientData/>
  </xdr:twoCellAnchor>
  <xdr:twoCellAnchor>
    <xdr:from>
      <xdr:col>26</xdr:col>
      <xdr:colOff>198120</xdr:colOff>
      <xdr:row>4</xdr:row>
      <xdr:rowOff>144780</xdr:rowOff>
    </xdr:from>
    <xdr:to>
      <xdr:col>26</xdr:col>
      <xdr:colOff>198120</xdr:colOff>
      <xdr:row>5</xdr:row>
      <xdr:rowOff>137160</xdr:rowOff>
    </xdr:to>
    <xdr:sp macro="" textlink="">
      <xdr:nvSpPr>
        <xdr:cNvPr id="1105477" name="Line 49"/>
        <xdr:cNvSpPr/>
      </xdr:nvSpPr>
      <xdr:spPr>
        <a:xfrm flipV="1">
          <a:off x="9532620" y="1432560"/>
          <a:ext cx="0" cy="200025"/>
        </a:xfrm>
        <a:prstGeom prst="line">
          <a:avLst/>
        </a:prstGeom>
        <a:ln w="9525" cap="flat" cmpd="sng">
          <a:solidFill>
            <a:srgbClr val="000000"/>
          </a:solidFill>
          <a:prstDash val="solid"/>
          <a:round/>
          <a:headEnd type="none" w="med" len="med"/>
          <a:tailEnd type="none" w="med" len="med"/>
        </a:ln>
      </xdr:spPr>
    </xdr:sp>
    <xdr:clientData/>
  </xdr:twoCellAnchor>
  <xdr:twoCellAnchor>
    <xdr:from>
      <xdr:col>27</xdr:col>
      <xdr:colOff>228600</xdr:colOff>
      <xdr:row>4</xdr:row>
      <xdr:rowOff>144780</xdr:rowOff>
    </xdr:from>
    <xdr:to>
      <xdr:col>27</xdr:col>
      <xdr:colOff>228600</xdr:colOff>
      <xdr:row>5</xdr:row>
      <xdr:rowOff>137160</xdr:rowOff>
    </xdr:to>
    <xdr:sp macro="" textlink="">
      <xdr:nvSpPr>
        <xdr:cNvPr id="1105478" name="Line 50"/>
        <xdr:cNvSpPr/>
      </xdr:nvSpPr>
      <xdr:spPr>
        <a:xfrm flipV="1">
          <a:off x="9860280" y="1432560"/>
          <a:ext cx="0" cy="200025"/>
        </a:xfrm>
        <a:prstGeom prst="line">
          <a:avLst/>
        </a:prstGeom>
        <a:ln w="9525" cap="flat" cmpd="sng">
          <a:solidFill>
            <a:srgbClr val="000000"/>
          </a:solidFill>
          <a:prstDash val="solid"/>
          <a:round/>
          <a:headEnd type="none" w="med" len="med"/>
          <a:tailEnd type="none" w="med" len="med"/>
        </a:ln>
      </xdr:spPr>
    </xdr:sp>
    <xdr:clientData/>
  </xdr:twoCellAnchor>
  <xdr:twoCellAnchor>
    <xdr:from>
      <xdr:col>26</xdr:col>
      <xdr:colOff>182880</xdr:colOff>
      <xdr:row>4</xdr:row>
      <xdr:rowOff>198120</xdr:rowOff>
    </xdr:from>
    <xdr:to>
      <xdr:col>27</xdr:col>
      <xdr:colOff>220980</xdr:colOff>
      <xdr:row>5</xdr:row>
      <xdr:rowOff>0</xdr:rowOff>
    </xdr:to>
    <xdr:sp macro="" textlink="">
      <xdr:nvSpPr>
        <xdr:cNvPr id="1105479" name="Line 51"/>
        <xdr:cNvSpPr/>
      </xdr:nvSpPr>
      <xdr:spPr>
        <a:xfrm flipV="1">
          <a:off x="9517380" y="1485900"/>
          <a:ext cx="335280" cy="9525"/>
        </a:xfrm>
        <a:prstGeom prst="line">
          <a:avLst/>
        </a:prstGeom>
        <a:ln w="9525" cap="flat" cmpd="sng">
          <a:solidFill>
            <a:srgbClr val="000000"/>
          </a:solidFill>
          <a:prstDash val="solid"/>
          <a:round/>
          <a:headEnd type="arrow" w="sm" len="sm"/>
          <a:tailEnd type="arrow" w="sm" len="sm"/>
        </a:ln>
      </xdr:spPr>
    </xdr:sp>
    <xdr:clientData/>
  </xdr:twoCellAnchor>
  <xdr:twoCellAnchor>
    <xdr:from>
      <xdr:col>26</xdr:col>
      <xdr:colOff>241300</xdr:colOff>
      <xdr:row>4</xdr:row>
      <xdr:rowOff>47625</xdr:rowOff>
    </xdr:from>
    <xdr:to>
      <xdr:col>28</xdr:col>
      <xdr:colOff>17240</xdr:colOff>
      <xdr:row>4</xdr:row>
      <xdr:rowOff>198120</xdr:rowOff>
    </xdr:to>
    <xdr:sp macro="" textlink="">
      <xdr:nvSpPr>
        <xdr:cNvPr id="13" name="Rectangle 52"/>
        <xdr:cNvSpPr/>
      </xdr:nvSpPr>
      <xdr:spPr>
        <a:xfrm>
          <a:off x="9575800" y="1335405"/>
          <a:ext cx="461645" cy="15049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短边</a:t>
          </a:r>
        </a:p>
      </xdr:txBody>
    </xdr:sp>
    <xdr:clientData/>
  </xdr:twoCellAnchor>
  <xdr:twoCellAnchor>
    <xdr:from>
      <xdr:col>25</xdr:col>
      <xdr:colOff>85725</xdr:colOff>
      <xdr:row>6</xdr:row>
      <xdr:rowOff>66040</xdr:rowOff>
    </xdr:from>
    <xdr:to>
      <xdr:col>25</xdr:col>
      <xdr:colOff>205740</xdr:colOff>
      <xdr:row>7</xdr:row>
      <xdr:rowOff>47625</xdr:rowOff>
    </xdr:to>
    <xdr:sp macro="" textlink="">
      <xdr:nvSpPr>
        <xdr:cNvPr id="14" name="Rectangle 55"/>
        <xdr:cNvSpPr/>
      </xdr:nvSpPr>
      <xdr:spPr>
        <a:xfrm>
          <a:off x="9123045" y="1759585"/>
          <a:ext cx="120015" cy="191135"/>
        </a:xfrm>
        <a:prstGeom prst="rect">
          <a:avLst/>
        </a:prstGeom>
        <a:noFill/>
        <a:ln w="9525">
          <a:noFill/>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r>
            <a:rPr lang="zh-CN" altLang="en-US" sz="8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rPr>
            <a:t>高</a:t>
          </a:r>
        </a:p>
      </xdr:txBody>
    </xdr:sp>
    <xdr:clientData/>
  </xdr:twoCellAnchor>
  <xdr:twoCellAnchor>
    <xdr:from>
      <xdr:col>25</xdr:col>
      <xdr:colOff>30480</xdr:colOff>
      <xdr:row>8</xdr:row>
      <xdr:rowOff>45720</xdr:rowOff>
    </xdr:from>
    <xdr:to>
      <xdr:col>25</xdr:col>
      <xdr:colOff>175260</xdr:colOff>
      <xdr:row>8</xdr:row>
      <xdr:rowOff>45720</xdr:rowOff>
    </xdr:to>
    <xdr:sp macro="" textlink="">
      <xdr:nvSpPr>
        <xdr:cNvPr id="1105482" name="Line 60"/>
        <xdr:cNvSpPr/>
      </xdr:nvSpPr>
      <xdr:spPr>
        <a:xfrm flipH="1">
          <a:off x="9067800" y="2156460"/>
          <a:ext cx="14478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45720</xdr:colOff>
      <xdr:row>5</xdr:row>
      <xdr:rowOff>144780</xdr:rowOff>
    </xdr:from>
    <xdr:to>
      <xdr:col>26</xdr:col>
      <xdr:colOff>167640</xdr:colOff>
      <xdr:row>5</xdr:row>
      <xdr:rowOff>144780</xdr:rowOff>
    </xdr:to>
    <xdr:sp macro="" textlink="">
      <xdr:nvSpPr>
        <xdr:cNvPr id="1105483" name="Line 61"/>
        <xdr:cNvSpPr/>
      </xdr:nvSpPr>
      <xdr:spPr>
        <a:xfrm flipH="1">
          <a:off x="9083040" y="1640205"/>
          <a:ext cx="4191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83820</xdr:colOff>
      <xdr:row>5</xdr:row>
      <xdr:rowOff>144780</xdr:rowOff>
    </xdr:from>
    <xdr:to>
      <xdr:col>25</xdr:col>
      <xdr:colOff>83820</xdr:colOff>
      <xdr:row>8</xdr:row>
      <xdr:rowOff>45720</xdr:rowOff>
    </xdr:to>
    <xdr:sp macro="" textlink="">
      <xdr:nvSpPr>
        <xdr:cNvPr id="1105484" name="Line 62"/>
        <xdr:cNvSpPr/>
      </xdr:nvSpPr>
      <xdr:spPr>
        <a:xfrm flipV="1">
          <a:off x="9121140" y="1640205"/>
          <a:ext cx="0" cy="516255"/>
        </a:xfrm>
        <a:prstGeom prst="line">
          <a:avLst/>
        </a:prstGeom>
        <a:ln w="9525" cap="flat" cmpd="sng">
          <a:solidFill>
            <a:srgbClr val="000000"/>
          </a:solidFill>
          <a:prstDash val="solid"/>
          <a:round/>
          <a:headEnd type="arrow" w="sm" len="sm"/>
          <a:tailEnd type="arrow" w="sm" len="sm"/>
        </a:ln>
      </xdr:spPr>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434340</xdr:colOff>
      <xdr:row>4</xdr:row>
      <xdr:rowOff>83820</xdr:rowOff>
    </xdr:from>
    <xdr:to>
      <xdr:col>1</xdr:col>
      <xdr:colOff>434340</xdr:colOff>
      <xdr:row>7</xdr:row>
      <xdr:rowOff>106680</xdr:rowOff>
    </xdr:to>
    <xdr:sp macro="" textlink="">
      <xdr:nvSpPr>
        <xdr:cNvPr id="1246540" name="Line 4"/>
        <xdr:cNvSpPr/>
      </xdr:nvSpPr>
      <xdr:spPr>
        <a:xfrm>
          <a:off x="601980" y="1133475"/>
          <a:ext cx="0" cy="61722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434340</xdr:colOff>
      <xdr:row>7</xdr:row>
      <xdr:rowOff>99060</xdr:rowOff>
    </xdr:from>
    <xdr:to>
      <xdr:col>2</xdr:col>
      <xdr:colOff>190500</xdr:colOff>
      <xdr:row>7</xdr:row>
      <xdr:rowOff>99060</xdr:rowOff>
    </xdr:to>
    <xdr:sp macro="" textlink="">
      <xdr:nvSpPr>
        <xdr:cNvPr id="1246541" name="Line 5"/>
        <xdr:cNvSpPr/>
      </xdr:nvSpPr>
      <xdr:spPr>
        <a:xfrm>
          <a:off x="601980" y="1743075"/>
          <a:ext cx="2590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175260</xdr:colOff>
      <xdr:row>7</xdr:row>
      <xdr:rowOff>99060</xdr:rowOff>
    </xdr:from>
    <xdr:to>
      <xdr:col>2</xdr:col>
      <xdr:colOff>236220</xdr:colOff>
      <xdr:row>7</xdr:row>
      <xdr:rowOff>182880</xdr:rowOff>
    </xdr:to>
    <xdr:sp macro="" textlink="">
      <xdr:nvSpPr>
        <xdr:cNvPr id="1246542" name="Line 6"/>
        <xdr:cNvSpPr/>
      </xdr:nvSpPr>
      <xdr:spPr>
        <a:xfrm>
          <a:off x="845820" y="1743075"/>
          <a:ext cx="60960" cy="8382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228600</xdr:colOff>
      <xdr:row>7</xdr:row>
      <xdr:rowOff>99060</xdr:rowOff>
    </xdr:from>
    <xdr:to>
      <xdr:col>2</xdr:col>
      <xdr:colOff>281305</xdr:colOff>
      <xdr:row>7</xdr:row>
      <xdr:rowOff>182880</xdr:rowOff>
    </xdr:to>
    <xdr:sp macro="" textlink="">
      <xdr:nvSpPr>
        <xdr:cNvPr id="1246543" name="Line 7"/>
        <xdr:cNvSpPr/>
      </xdr:nvSpPr>
      <xdr:spPr>
        <a:xfrm flipV="1">
          <a:off x="899160" y="1743075"/>
          <a:ext cx="52705" cy="8382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281940</xdr:colOff>
      <xdr:row>7</xdr:row>
      <xdr:rowOff>99060</xdr:rowOff>
    </xdr:from>
    <xdr:to>
      <xdr:col>2</xdr:col>
      <xdr:colOff>579120</xdr:colOff>
      <xdr:row>7</xdr:row>
      <xdr:rowOff>99060</xdr:rowOff>
    </xdr:to>
    <xdr:sp macro="" textlink="">
      <xdr:nvSpPr>
        <xdr:cNvPr id="1246544" name="Line 8"/>
        <xdr:cNvSpPr/>
      </xdr:nvSpPr>
      <xdr:spPr>
        <a:xfrm>
          <a:off x="952500" y="1743075"/>
          <a:ext cx="2971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571500</xdr:colOff>
      <xdr:row>7</xdr:row>
      <xdr:rowOff>99060</xdr:rowOff>
    </xdr:from>
    <xdr:to>
      <xdr:col>2</xdr:col>
      <xdr:colOff>632460</xdr:colOff>
      <xdr:row>7</xdr:row>
      <xdr:rowOff>182880</xdr:rowOff>
    </xdr:to>
    <xdr:sp macro="" textlink="">
      <xdr:nvSpPr>
        <xdr:cNvPr id="1246545" name="Line 9"/>
        <xdr:cNvSpPr/>
      </xdr:nvSpPr>
      <xdr:spPr>
        <a:xfrm>
          <a:off x="1242060" y="1743075"/>
          <a:ext cx="60960" cy="8382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624840</xdr:colOff>
      <xdr:row>7</xdr:row>
      <xdr:rowOff>99060</xdr:rowOff>
    </xdr:from>
    <xdr:to>
      <xdr:col>3</xdr:col>
      <xdr:colOff>22860</xdr:colOff>
      <xdr:row>7</xdr:row>
      <xdr:rowOff>182880</xdr:rowOff>
    </xdr:to>
    <xdr:sp macro="" textlink="">
      <xdr:nvSpPr>
        <xdr:cNvPr id="1246546" name="Line 10"/>
        <xdr:cNvSpPr/>
      </xdr:nvSpPr>
      <xdr:spPr>
        <a:xfrm flipV="1">
          <a:off x="1295400" y="1743075"/>
          <a:ext cx="45720" cy="83820"/>
        </a:xfrm>
        <a:prstGeom prst="line">
          <a:avLst/>
        </a:prstGeom>
        <a:ln w="15875" cap="flat" cmpd="sng">
          <a:solidFill>
            <a:srgbClr val="000000"/>
          </a:solidFill>
          <a:prstDash val="solid"/>
          <a:round/>
          <a:headEnd type="none" w="med" len="med"/>
          <a:tailEnd type="none" w="med" len="med"/>
        </a:ln>
      </xdr:spPr>
    </xdr:sp>
    <xdr:clientData/>
  </xdr:twoCellAnchor>
  <xdr:twoCellAnchor>
    <xdr:from>
      <xdr:col>3</xdr:col>
      <xdr:colOff>22860</xdr:colOff>
      <xdr:row>7</xdr:row>
      <xdr:rowOff>99060</xdr:rowOff>
    </xdr:from>
    <xdr:to>
      <xdr:col>3</xdr:col>
      <xdr:colOff>281940</xdr:colOff>
      <xdr:row>7</xdr:row>
      <xdr:rowOff>99060</xdr:rowOff>
    </xdr:to>
    <xdr:sp macro="" textlink="">
      <xdr:nvSpPr>
        <xdr:cNvPr id="1246547" name="Line 11"/>
        <xdr:cNvSpPr/>
      </xdr:nvSpPr>
      <xdr:spPr>
        <a:xfrm>
          <a:off x="1341120" y="1743075"/>
          <a:ext cx="2590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3</xdr:col>
      <xdr:colOff>274320</xdr:colOff>
      <xdr:row>4</xdr:row>
      <xdr:rowOff>106680</xdr:rowOff>
    </xdr:from>
    <xdr:to>
      <xdr:col>3</xdr:col>
      <xdr:colOff>274320</xdr:colOff>
      <xdr:row>7</xdr:row>
      <xdr:rowOff>99060</xdr:rowOff>
    </xdr:to>
    <xdr:sp macro="" textlink="">
      <xdr:nvSpPr>
        <xdr:cNvPr id="1246548" name="Line 12"/>
        <xdr:cNvSpPr/>
      </xdr:nvSpPr>
      <xdr:spPr>
        <a:xfrm flipV="1">
          <a:off x="1592580" y="1156335"/>
          <a:ext cx="0" cy="5867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213360</xdr:colOff>
      <xdr:row>8</xdr:row>
      <xdr:rowOff>182880</xdr:rowOff>
    </xdr:from>
    <xdr:to>
      <xdr:col>3</xdr:col>
      <xdr:colOff>487680</xdr:colOff>
      <xdr:row>8</xdr:row>
      <xdr:rowOff>182880</xdr:rowOff>
    </xdr:to>
    <xdr:sp macro="" textlink="">
      <xdr:nvSpPr>
        <xdr:cNvPr id="1246549" name="Line 14"/>
        <xdr:cNvSpPr/>
      </xdr:nvSpPr>
      <xdr:spPr>
        <a:xfrm>
          <a:off x="381000" y="2025015"/>
          <a:ext cx="14249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213360</xdr:colOff>
      <xdr:row>7</xdr:row>
      <xdr:rowOff>137160</xdr:rowOff>
    </xdr:from>
    <xdr:to>
      <xdr:col>1</xdr:col>
      <xdr:colOff>213360</xdr:colOff>
      <xdr:row>8</xdr:row>
      <xdr:rowOff>182880</xdr:rowOff>
    </xdr:to>
    <xdr:sp macro="" textlink="">
      <xdr:nvSpPr>
        <xdr:cNvPr id="1246550" name="Line 15"/>
        <xdr:cNvSpPr/>
      </xdr:nvSpPr>
      <xdr:spPr>
        <a:xfrm flipV="1">
          <a:off x="381000" y="1781175"/>
          <a:ext cx="0" cy="24384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495300</xdr:colOff>
      <xdr:row>7</xdr:row>
      <xdr:rowOff>137160</xdr:rowOff>
    </xdr:from>
    <xdr:to>
      <xdr:col>3</xdr:col>
      <xdr:colOff>495300</xdr:colOff>
      <xdr:row>8</xdr:row>
      <xdr:rowOff>182880</xdr:rowOff>
    </xdr:to>
    <xdr:sp macro="" textlink="">
      <xdr:nvSpPr>
        <xdr:cNvPr id="1246551" name="Line 17"/>
        <xdr:cNvSpPr/>
      </xdr:nvSpPr>
      <xdr:spPr>
        <a:xfrm flipV="1">
          <a:off x="1813560" y="1781175"/>
          <a:ext cx="0" cy="24384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213360</xdr:colOff>
      <xdr:row>7</xdr:row>
      <xdr:rowOff>137160</xdr:rowOff>
    </xdr:from>
    <xdr:to>
      <xdr:col>2</xdr:col>
      <xdr:colOff>190500</xdr:colOff>
      <xdr:row>7</xdr:row>
      <xdr:rowOff>137160</xdr:rowOff>
    </xdr:to>
    <xdr:sp macro="" textlink="">
      <xdr:nvSpPr>
        <xdr:cNvPr id="1246552" name="Line 18"/>
        <xdr:cNvSpPr/>
      </xdr:nvSpPr>
      <xdr:spPr>
        <a:xfrm>
          <a:off x="381000" y="1781175"/>
          <a:ext cx="4800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274320</xdr:colOff>
      <xdr:row>7</xdr:row>
      <xdr:rowOff>137160</xdr:rowOff>
    </xdr:from>
    <xdr:to>
      <xdr:col>2</xdr:col>
      <xdr:colOff>586740</xdr:colOff>
      <xdr:row>7</xdr:row>
      <xdr:rowOff>137160</xdr:rowOff>
    </xdr:to>
    <xdr:sp macro="" textlink="">
      <xdr:nvSpPr>
        <xdr:cNvPr id="1246553" name="Line 19"/>
        <xdr:cNvSpPr/>
      </xdr:nvSpPr>
      <xdr:spPr>
        <a:xfrm>
          <a:off x="944880" y="1781175"/>
          <a:ext cx="31242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7620</xdr:colOff>
      <xdr:row>7</xdr:row>
      <xdr:rowOff>137160</xdr:rowOff>
    </xdr:from>
    <xdr:to>
      <xdr:col>3</xdr:col>
      <xdr:colOff>495300</xdr:colOff>
      <xdr:row>7</xdr:row>
      <xdr:rowOff>137160</xdr:rowOff>
    </xdr:to>
    <xdr:sp macro="" textlink="">
      <xdr:nvSpPr>
        <xdr:cNvPr id="1246554" name="Line 20"/>
        <xdr:cNvSpPr/>
      </xdr:nvSpPr>
      <xdr:spPr>
        <a:xfrm>
          <a:off x="1325880" y="1781175"/>
          <a:ext cx="48768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441960</xdr:colOff>
      <xdr:row>4</xdr:row>
      <xdr:rowOff>68580</xdr:rowOff>
    </xdr:from>
    <xdr:to>
      <xdr:col>3</xdr:col>
      <xdr:colOff>274320</xdr:colOff>
      <xdr:row>4</xdr:row>
      <xdr:rowOff>182880</xdr:rowOff>
    </xdr:to>
    <xdr:sp macro="" textlink="">
      <xdr:nvSpPr>
        <xdr:cNvPr id="1246555" name="FreeForm 21"/>
        <xdr:cNvSpPr/>
      </xdr:nvSpPr>
      <xdr:spPr>
        <a:xfrm>
          <a:off x="609600" y="1118235"/>
          <a:ext cx="982980" cy="114300"/>
        </a:xfrm>
        <a:custGeom>
          <a:avLst/>
          <a:gdLst/>
          <a:ahLst/>
          <a:cxnLst>
            <a:cxn ang="0">
              <a:pos x="0" y="2"/>
            </a:cxn>
            <a:cxn ang="0">
              <a:pos x="26" y="0"/>
            </a:cxn>
            <a:cxn ang="0">
              <a:pos x="39" y="3"/>
            </a:cxn>
            <a:cxn ang="0">
              <a:pos x="58" y="11"/>
            </a:cxn>
            <a:cxn ang="0">
              <a:pos x="71" y="12"/>
            </a:cxn>
            <a:cxn ang="0">
              <a:pos x="87" y="9"/>
            </a:cxn>
            <a:cxn ang="0">
              <a:pos x="102" y="4"/>
            </a:cxn>
            <a:cxn ang="0">
              <a:pos x="115" y="4"/>
            </a:cxn>
          </a:cxnLst>
          <a:rect l="0" t="0" r="0" b="0"/>
          <a:pathLst>
            <a:path w="115" h="12">
              <a:moveTo>
                <a:pt x="0" y="2"/>
              </a:moveTo>
              <a:cubicBezTo>
                <a:pt x="10" y="1"/>
                <a:pt x="20" y="0"/>
                <a:pt x="26" y="0"/>
              </a:cubicBezTo>
              <a:cubicBezTo>
                <a:pt x="32" y="0"/>
                <a:pt x="34" y="1"/>
                <a:pt x="39" y="3"/>
              </a:cubicBezTo>
              <a:cubicBezTo>
                <a:pt x="44" y="5"/>
                <a:pt x="53" y="10"/>
                <a:pt x="58" y="11"/>
              </a:cubicBezTo>
              <a:cubicBezTo>
                <a:pt x="63" y="12"/>
                <a:pt x="66" y="12"/>
                <a:pt x="71" y="12"/>
              </a:cubicBezTo>
              <a:cubicBezTo>
                <a:pt x="76" y="12"/>
                <a:pt x="82" y="10"/>
                <a:pt x="87" y="9"/>
              </a:cubicBezTo>
              <a:cubicBezTo>
                <a:pt x="92" y="8"/>
                <a:pt x="97" y="5"/>
                <a:pt x="102" y="4"/>
              </a:cubicBezTo>
              <a:cubicBezTo>
                <a:pt x="107" y="3"/>
                <a:pt x="113" y="4"/>
                <a:pt x="115" y="4"/>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2</xdr:col>
      <xdr:colOff>190500</xdr:colOff>
      <xdr:row>7</xdr:row>
      <xdr:rowOff>137160</xdr:rowOff>
    </xdr:from>
    <xdr:to>
      <xdr:col>2</xdr:col>
      <xdr:colOff>243205</xdr:colOff>
      <xdr:row>8</xdr:row>
      <xdr:rowOff>0</xdr:rowOff>
    </xdr:to>
    <xdr:sp macro="" textlink="">
      <xdr:nvSpPr>
        <xdr:cNvPr id="1246556" name="Line 22"/>
        <xdr:cNvSpPr/>
      </xdr:nvSpPr>
      <xdr:spPr>
        <a:xfrm>
          <a:off x="861060" y="1781175"/>
          <a:ext cx="52705" cy="6096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236220</xdr:colOff>
      <xdr:row>7</xdr:row>
      <xdr:rowOff>137160</xdr:rowOff>
    </xdr:from>
    <xdr:to>
      <xdr:col>2</xdr:col>
      <xdr:colOff>266065</xdr:colOff>
      <xdr:row>7</xdr:row>
      <xdr:rowOff>190500</xdr:rowOff>
    </xdr:to>
    <xdr:sp macro="" textlink="">
      <xdr:nvSpPr>
        <xdr:cNvPr id="1246557" name="Line 23"/>
        <xdr:cNvSpPr/>
      </xdr:nvSpPr>
      <xdr:spPr>
        <a:xfrm flipV="1">
          <a:off x="906780" y="1781175"/>
          <a:ext cx="29845" cy="5334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586740</xdr:colOff>
      <xdr:row>7</xdr:row>
      <xdr:rowOff>137160</xdr:rowOff>
    </xdr:from>
    <xdr:to>
      <xdr:col>2</xdr:col>
      <xdr:colOff>632460</xdr:colOff>
      <xdr:row>7</xdr:row>
      <xdr:rowOff>190500</xdr:rowOff>
    </xdr:to>
    <xdr:sp macro="" textlink="">
      <xdr:nvSpPr>
        <xdr:cNvPr id="1246558" name="Line 24"/>
        <xdr:cNvSpPr/>
      </xdr:nvSpPr>
      <xdr:spPr>
        <a:xfrm>
          <a:off x="1257300" y="1781175"/>
          <a:ext cx="45720" cy="5334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632460</xdr:colOff>
      <xdr:row>7</xdr:row>
      <xdr:rowOff>137160</xdr:rowOff>
    </xdr:from>
    <xdr:to>
      <xdr:col>3</xdr:col>
      <xdr:colOff>15240</xdr:colOff>
      <xdr:row>7</xdr:row>
      <xdr:rowOff>190500</xdr:rowOff>
    </xdr:to>
    <xdr:sp macro="" textlink="">
      <xdr:nvSpPr>
        <xdr:cNvPr id="1246559" name="Line 26"/>
        <xdr:cNvSpPr/>
      </xdr:nvSpPr>
      <xdr:spPr>
        <a:xfrm flipV="1">
          <a:off x="1303020" y="1781175"/>
          <a:ext cx="30480" cy="5334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17145</xdr:colOff>
      <xdr:row>8</xdr:row>
      <xdr:rowOff>190500</xdr:rowOff>
    </xdr:from>
    <xdr:to>
      <xdr:col>4</xdr:col>
      <xdr:colOff>8255</xdr:colOff>
      <xdr:row>10</xdr:row>
      <xdr:rowOff>47625</xdr:rowOff>
    </xdr:to>
    <xdr:sp macro="" textlink="">
      <xdr:nvSpPr>
        <xdr:cNvPr id="2" name="Rectangle 29"/>
        <xdr:cNvSpPr/>
      </xdr:nvSpPr>
      <xdr:spPr>
        <a:xfrm>
          <a:off x="184785" y="2032635"/>
          <a:ext cx="1789430" cy="253365"/>
        </a:xfrm>
        <a:prstGeom prst="rect">
          <a:avLst/>
        </a:prstGeom>
        <a:noFill/>
        <a:ln w="15875" cap="flat" cmpd="sng">
          <a:solidFill>
            <a:srgbClr val="000000"/>
          </a:solidFill>
          <a:prstDash val="solid"/>
          <a:miter/>
          <a:headEnd type="none" w="med" len="med"/>
          <a:tailEnd type="none" w="med" len="med"/>
        </a:ln>
      </xdr:spPr>
      <xdr:txBody>
        <a:bodyPr vertOverflow="clip" vert="horz" wrap="square" lIns="27432" tIns="18288" rIns="27432"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endParaRPr lang="zh-CN" altLang="en-US" sz="12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endParaRPr>
        </a:p>
        <a:p>
          <a:pPr algn="ctr" rtl="0"/>
          <a:endParaRPr lang="zh-CN" altLang="en-US" sz="1200">
            <a:solidFill>
              <a:srgbClr val="000000"/>
            </a:solidFill>
            <a:latin typeface="PMingLiU" panose="02020500000000000000" charset="-120"/>
            <a:ea typeface="PMingLiU" panose="02020500000000000000" charset="-120"/>
            <a:cs typeface="PMingLiU" panose="02020500000000000000" charset="-120"/>
            <a:sym typeface="PMingLiU" panose="02020500000000000000" charset="-120"/>
          </a:endParaRPr>
        </a:p>
      </xdr:txBody>
    </xdr:sp>
    <xdr:clientData/>
  </xdr:twoCellAnchor>
  <xdr:twoCellAnchor>
    <xdr:from>
      <xdr:col>11</xdr:col>
      <xdr:colOff>327660</xdr:colOff>
      <xdr:row>7</xdr:row>
      <xdr:rowOff>106680</xdr:rowOff>
    </xdr:from>
    <xdr:to>
      <xdr:col>16</xdr:col>
      <xdr:colOff>76200</xdr:colOff>
      <xdr:row>7</xdr:row>
      <xdr:rowOff>106680</xdr:rowOff>
    </xdr:to>
    <xdr:sp macro="" textlink="">
      <xdr:nvSpPr>
        <xdr:cNvPr id="1246561" name="Line 30"/>
        <xdr:cNvSpPr/>
      </xdr:nvSpPr>
      <xdr:spPr>
        <a:xfrm>
          <a:off x="4968240" y="1750695"/>
          <a:ext cx="17754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327660</xdr:colOff>
      <xdr:row>4</xdr:row>
      <xdr:rowOff>53340</xdr:rowOff>
    </xdr:from>
    <xdr:to>
      <xdr:col>11</xdr:col>
      <xdr:colOff>327660</xdr:colOff>
      <xdr:row>7</xdr:row>
      <xdr:rowOff>114300</xdr:rowOff>
    </xdr:to>
    <xdr:sp macro="" textlink="">
      <xdr:nvSpPr>
        <xdr:cNvPr id="1246562" name="Line 31"/>
        <xdr:cNvSpPr/>
      </xdr:nvSpPr>
      <xdr:spPr>
        <a:xfrm>
          <a:off x="4968240" y="1102995"/>
          <a:ext cx="0" cy="655320"/>
        </a:xfrm>
        <a:prstGeom prst="line">
          <a:avLst/>
        </a:prstGeom>
        <a:ln w="15875" cap="flat" cmpd="sng">
          <a:solidFill>
            <a:srgbClr val="000000"/>
          </a:solidFill>
          <a:prstDash val="solid"/>
          <a:round/>
          <a:headEnd type="none" w="med" len="med"/>
          <a:tailEnd type="none" w="med" len="med"/>
        </a:ln>
      </xdr:spPr>
    </xdr:sp>
    <xdr:clientData/>
  </xdr:twoCellAnchor>
  <xdr:twoCellAnchor>
    <xdr:from>
      <xdr:col>16</xdr:col>
      <xdr:colOff>76200</xdr:colOff>
      <xdr:row>4</xdr:row>
      <xdr:rowOff>106680</xdr:rowOff>
    </xdr:from>
    <xdr:to>
      <xdr:col>16</xdr:col>
      <xdr:colOff>76200</xdr:colOff>
      <xdr:row>7</xdr:row>
      <xdr:rowOff>114300</xdr:rowOff>
    </xdr:to>
    <xdr:sp macro="" textlink="">
      <xdr:nvSpPr>
        <xdr:cNvPr id="1246563" name="Line 32"/>
        <xdr:cNvSpPr/>
      </xdr:nvSpPr>
      <xdr:spPr>
        <a:xfrm flipV="1">
          <a:off x="6743700" y="1156335"/>
          <a:ext cx="0" cy="60198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327660</xdr:colOff>
      <xdr:row>8</xdr:row>
      <xdr:rowOff>152400</xdr:rowOff>
    </xdr:from>
    <xdr:to>
      <xdr:col>11</xdr:col>
      <xdr:colOff>327660</xdr:colOff>
      <xdr:row>10</xdr:row>
      <xdr:rowOff>83820</xdr:rowOff>
    </xdr:to>
    <xdr:sp macro="" textlink="">
      <xdr:nvSpPr>
        <xdr:cNvPr id="1246564" name="Line 33"/>
        <xdr:cNvSpPr/>
      </xdr:nvSpPr>
      <xdr:spPr>
        <a:xfrm>
          <a:off x="4968240" y="1994535"/>
          <a:ext cx="0" cy="32766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327660</xdr:colOff>
      <xdr:row>10</xdr:row>
      <xdr:rowOff>75565</xdr:rowOff>
    </xdr:from>
    <xdr:to>
      <xdr:col>16</xdr:col>
      <xdr:colOff>83820</xdr:colOff>
      <xdr:row>10</xdr:row>
      <xdr:rowOff>75565</xdr:rowOff>
    </xdr:to>
    <xdr:sp macro="" textlink="">
      <xdr:nvSpPr>
        <xdr:cNvPr id="1246565" name="Line 34"/>
        <xdr:cNvSpPr/>
      </xdr:nvSpPr>
      <xdr:spPr>
        <a:xfrm>
          <a:off x="4968240" y="2313940"/>
          <a:ext cx="17830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16</xdr:col>
      <xdr:colOff>76200</xdr:colOff>
      <xdr:row>8</xdr:row>
      <xdr:rowOff>160020</xdr:rowOff>
    </xdr:from>
    <xdr:to>
      <xdr:col>16</xdr:col>
      <xdr:colOff>76200</xdr:colOff>
      <xdr:row>10</xdr:row>
      <xdr:rowOff>83820</xdr:rowOff>
    </xdr:to>
    <xdr:sp macro="" textlink="">
      <xdr:nvSpPr>
        <xdr:cNvPr id="1246566" name="Line 35"/>
        <xdr:cNvSpPr/>
      </xdr:nvSpPr>
      <xdr:spPr>
        <a:xfrm flipV="1">
          <a:off x="6743700" y="2002155"/>
          <a:ext cx="0" cy="3200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327660</xdr:colOff>
      <xdr:row>8</xdr:row>
      <xdr:rowOff>160020</xdr:rowOff>
    </xdr:from>
    <xdr:to>
      <xdr:col>12</xdr:col>
      <xdr:colOff>327660</xdr:colOff>
      <xdr:row>8</xdr:row>
      <xdr:rowOff>160020</xdr:rowOff>
    </xdr:to>
    <xdr:sp macro="" textlink="">
      <xdr:nvSpPr>
        <xdr:cNvPr id="1246567" name="Line 38"/>
        <xdr:cNvSpPr/>
      </xdr:nvSpPr>
      <xdr:spPr>
        <a:xfrm>
          <a:off x="4968240" y="2002155"/>
          <a:ext cx="4648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12</xdr:col>
      <xdr:colOff>320040</xdr:colOff>
      <xdr:row>8</xdr:row>
      <xdr:rowOff>83820</xdr:rowOff>
    </xdr:from>
    <xdr:to>
      <xdr:col>12</xdr:col>
      <xdr:colOff>320040</xdr:colOff>
      <xdr:row>8</xdr:row>
      <xdr:rowOff>159385</xdr:rowOff>
    </xdr:to>
    <xdr:sp macro="" textlink="">
      <xdr:nvSpPr>
        <xdr:cNvPr id="1246568" name="Line 39"/>
        <xdr:cNvSpPr/>
      </xdr:nvSpPr>
      <xdr:spPr>
        <a:xfrm flipV="1">
          <a:off x="5425440" y="1925955"/>
          <a:ext cx="0" cy="75565"/>
        </a:xfrm>
        <a:prstGeom prst="line">
          <a:avLst/>
        </a:prstGeom>
        <a:ln w="15875" cap="flat" cmpd="sng">
          <a:solidFill>
            <a:srgbClr val="000000"/>
          </a:solidFill>
          <a:prstDash val="solid"/>
          <a:round/>
          <a:headEnd type="none" w="med" len="med"/>
          <a:tailEnd type="none" w="med" len="med"/>
        </a:ln>
      </xdr:spPr>
    </xdr:sp>
    <xdr:clientData/>
  </xdr:twoCellAnchor>
  <xdr:twoCellAnchor>
    <xdr:from>
      <xdr:col>12</xdr:col>
      <xdr:colOff>327660</xdr:colOff>
      <xdr:row>8</xdr:row>
      <xdr:rowOff>75565</xdr:rowOff>
    </xdr:from>
    <xdr:to>
      <xdr:col>13</xdr:col>
      <xdr:colOff>68580</xdr:colOff>
      <xdr:row>8</xdr:row>
      <xdr:rowOff>75565</xdr:rowOff>
    </xdr:to>
    <xdr:sp macro="" textlink="">
      <xdr:nvSpPr>
        <xdr:cNvPr id="1246569" name="Line 40"/>
        <xdr:cNvSpPr/>
      </xdr:nvSpPr>
      <xdr:spPr>
        <a:xfrm>
          <a:off x="5433060" y="1917700"/>
          <a:ext cx="2895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60960</xdr:colOff>
      <xdr:row>8</xdr:row>
      <xdr:rowOff>75565</xdr:rowOff>
    </xdr:from>
    <xdr:to>
      <xdr:col>13</xdr:col>
      <xdr:colOff>60960</xdr:colOff>
      <xdr:row>8</xdr:row>
      <xdr:rowOff>167005</xdr:rowOff>
    </xdr:to>
    <xdr:sp macro="" textlink="">
      <xdr:nvSpPr>
        <xdr:cNvPr id="1246570" name="Line 41"/>
        <xdr:cNvSpPr/>
      </xdr:nvSpPr>
      <xdr:spPr>
        <a:xfrm>
          <a:off x="5715000" y="1917700"/>
          <a:ext cx="0" cy="914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342900</xdr:colOff>
      <xdr:row>8</xdr:row>
      <xdr:rowOff>160020</xdr:rowOff>
    </xdr:from>
    <xdr:to>
      <xdr:col>13</xdr:col>
      <xdr:colOff>533400</xdr:colOff>
      <xdr:row>8</xdr:row>
      <xdr:rowOff>160020</xdr:rowOff>
    </xdr:to>
    <xdr:sp macro="" textlink="">
      <xdr:nvSpPr>
        <xdr:cNvPr id="1246571" name="Line 42"/>
        <xdr:cNvSpPr/>
      </xdr:nvSpPr>
      <xdr:spPr>
        <a:xfrm>
          <a:off x="5996940" y="2002155"/>
          <a:ext cx="1905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533400</xdr:colOff>
      <xdr:row>8</xdr:row>
      <xdr:rowOff>75565</xdr:rowOff>
    </xdr:from>
    <xdr:to>
      <xdr:col>13</xdr:col>
      <xdr:colOff>533400</xdr:colOff>
      <xdr:row>8</xdr:row>
      <xdr:rowOff>167005</xdr:rowOff>
    </xdr:to>
    <xdr:sp macro="" textlink="">
      <xdr:nvSpPr>
        <xdr:cNvPr id="1246572" name="Line 43"/>
        <xdr:cNvSpPr/>
      </xdr:nvSpPr>
      <xdr:spPr>
        <a:xfrm flipV="1">
          <a:off x="6187440" y="1917700"/>
          <a:ext cx="0" cy="914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525780</xdr:colOff>
      <xdr:row>8</xdr:row>
      <xdr:rowOff>75565</xdr:rowOff>
    </xdr:from>
    <xdr:to>
      <xdr:col>14</xdr:col>
      <xdr:colOff>190500</xdr:colOff>
      <xdr:row>8</xdr:row>
      <xdr:rowOff>75565</xdr:rowOff>
    </xdr:to>
    <xdr:sp macro="" textlink="">
      <xdr:nvSpPr>
        <xdr:cNvPr id="1246573" name="Line 44"/>
        <xdr:cNvSpPr/>
      </xdr:nvSpPr>
      <xdr:spPr>
        <a:xfrm>
          <a:off x="6179820" y="1917700"/>
          <a:ext cx="28194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14</xdr:col>
      <xdr:colOff>190500</xdr:colOff>
      <xdr:row>8</xdr:row>
      <xdr:rowOff>75565</xdr:rowOff>
    </xdr:from>
    <xdr:to>
      <xdr:col>14</xdr:col>
      <xdr:colOff>190500</xdr:colOff>
      <xdr:row>8</xdr:row>
      <xdr:rowOff>167005</xdr:rowOff>
    </xdr:to>
    <xdr:sp macro="" textlink="">
      <xdr:nvSpPr>
        <xdr:cNvPr id="1246574" name="Line 45"/>
        <xdr:cNvSpPr/>
      </xdr:nvSpPr>
      <xdr:spPr>
        <a:xfrm>
          <a:off x="6461760" y="1917700"/>
          <a:ext cx="0" cy="914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14</xdr:col>
      <xdr:colOff>198120</xdr:colOff>
      <xdr:row>8</xdr:row>
      <xdr:rowOff>160020</xdr:rowOff>
    </xdr:from>
    <xdr:to>
      <xdr:col>16</xdr:col>
      <xdr:colOff>83820</xdr:colOff>
      <xdr:row>8</xdr:row>
      <xdr:rowOff>160020</xdr:rowOff>
    </xdr:to>
    <xdr:sp macro="" textlink="">
      <xdr:nvSpPr>
        <xdr:cNvPr id="1246575" name="Line 46"/>
        <xdr:cNvSpPr/>
      </xdr:nvSpPr>
      <xdr:spPr>
        <a:xfrm>
          <a:off x="6469380" y="2002155"/>
          <a:ext cx="28194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213360</xdr:colOff>
      <xdr:row>8</xdr:row>
      <xdr:rowOff>83820</xdr:rowOff>
    </xdr:from>
    <xdr:to>
      <xdr:col>13</xdr:col>
      <xdr:colOff>213360</xdr:colOff>
      <xdr:row>8</xdr:row>
      <xdr:rowOff>167005</xdr:rowOff>
    </xdr:to>
    <xdr:sp macro="" textlink="">
      <xdr:nvSpPr>
        <xdr:cNvPr id="1246576" name="Line 49"/>
        <xdr:cNvSpPr/>
      </xdr:nvSpPr>
      <xdr:spPr>
        <a:xfrm flipV="1">
          <a:off x="5867400" y="1925955"/>
          <a:ext cx="0" cy="83185"/>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205740</xdr:colOff>
      <xdr:row>8</xdr:row>
      <xdr:rowOff>75565</xdr:rowOff>
    </xdr:from>
    <xdr:to>
      <xdr:col>13</xdr:col>
      <xdr:colOff>349885</xdr:colOff>
      <xdr:row>8</xdr:row>
      <xdr:rowOff>75565</xdr:rowOff>
    </xdr:to>
    <xdr:sp macro="" textlink="">
      <xdr:nvSpPr>
        <xdr:cNvPr id="1246577" name="Line 50"/>
        <xdr:cNvSpPr/>
      </xdr:nvSpPr>
      <xdr:spPr>
        <a:xfrm>
          <a:off x="5859780" y="1917700"/>
          <a:ext cx="14414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342900</xdr:colOff>
      <xdr:row>8</xdr:row>
      <xdr:rowOff>75565</xdr:rowOff>
    </xdr:from>
    <xdr:to>
      <xdr:col>13</xdr:col>
      <xdr:colOff>342900</xdr:colOff>
      <xdr:row>8</xdr:row>
      <xdr:rowOff>167005</xdr:rowOff>
    </xdr:to>
    <xdr:sp macro="" textlink="">
      <xdr:nvSpPr>
        <xdr:cNvPr id="1246578" name="Line 51"/>
        <xdr:cNvSpPr/>
      </xdr:nvSpPr>
      <xdr:spPr>
        <a:xfrm>
          <a:off x="5996940" y="1917700"/>
          <a:ext cx="0" cy="914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13</xdr:col>
      <xdr:colOff>53340</xdr:colOff>
      <xdr:row>8</xdr:row>
      <xdr:rowOff>160020</xdr:rowOff>
    </xdr:from>
    <xdr:to>
      <xdr:col>13</xdr:col>
      <xdr:colOff>212725</xdr:colOff>
      <xdr:row>8</xdr:row>
      <xdr:rowOff>160020</xdr:rowOff>
    </xdr:to>
    <xdr:sp macro="" textlink="">
      <xdr:nvSpPr>
        <xdr:cNvPr id="1246579" name="Line 52"/>
        <xdr:cNvSpPr/>
      </xdr:nvSpPr>
      <xdr:spPr>
        <a:xfrm>
          <a:off x="5707380" y="2002155"/>
          <a:ext cx="159385"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12</xdr:col>
      <xdr:colOff>68580</xdr:colOff>
      <xdr:row>7</xdr:row>
      <xdr:rowOff>114300</xdr:rowOff>
    </xdr:from>
    <xdr:to>
      <xdr:col>15</xdr:col>
      <xdr:colOff>15240</xdr:colOff>
      <xdr:row>7</xdr:row>
      <xdr:rowOff>114300</xdr:rowOff>
    </xdr:to>
    <xdr:sp macro="" textlink="">
      <xdr:nvSpPr>
        <xdr:cNvPr id="1246580" name="Line 54"/>
        <xdr:cNvSpPr/>
      </xdr:nvSpPr>
      <xdr:spPr>
        <a:xfrm>
          <a:off x="5173980" y="1758315"/>
          <a:ext cx="14325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53340</xdr:colOff>
      <xdr:row>8</xdr:row>
      <xdr:rowOff>152400</xdr:rowOff>
    </xdr:from>
    <xdr:to>
      <xdr:col>12</xdr:col>
      <xdr:colOff>304800</xdr:colOff>
      <xdr:row>8</xdr:row>
      <xdr:rowOff>152400</xdr:rowOff>
    </xdr:to>
    <xdr:sp macro="" textlink="">
      <xdr:nvSpPr>
        <xdr:cNvPr id="1246581" name="Line 55"/>
        <xdr:cNvSpPr/>
      </xdr:nvSpPr>
      <xdr:spPr>
        <a:xfrm>
          <a:off x="5158740" y="1994535"/>
          <a:ext cx="2514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312420</xdr:colOff>
      <xdr:row>8</xdr:row>
      <xdr:rowOff>68580</xdr:rowOff>
    </xdr:from>
    <xdr:to>
      <xdr:col>12</xdr:col>
      <xdr:colOff>312420</xdr:colOff>
      <xdr:row>8</xdr:row>
      <xdr:rowOff>152400</xdr:rowOff>
    </xdr:to>
    <xdr:sp macro="" textlink="">
      <xdr:nvSpPr>
        <xdr:cNvPr id="1246582" name="Line 56"/>
        <xdr:cNvSpPr/>
      </xdr:nvSpPr>
      <xdr:spPr>
        <a:xfrm flipV="1">
          <a:off x="5417820"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312420</xdr:colOff>
      <xdr:row>8</xdr:row>
      <xdr:rowOff>68580</xdr:rowOff>
    </xdr:from>
    <xdr:to>
      <xdr:col>13</xdr:col>
      <xdr:colOff>68580</xdr:colOff>
      <xdr:row>8</xdr:row>
      <xdr:rowOff>68580</xdr:rowOff>
    </xdr:to>
    <xdr:sp macro="" textlink="">
      <xdr:nvSpPr>
        <xdr:cNvPr id="1246583" name="Line 57"/>
        <xdr:cNvSpPr/>
      </xdr:nvSpPr>
      <xdr:spPr>
        <a:xfrm>
          <a:off x="5417820" y="1910715"/>
          <a:ext cx="3048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68580</xdr:colOff>
      <xdr:row>8</xdr:row>
      <xdr:rowOff>68580</xdr:rowOff>
    </xdr:from>
    <xdr:to>
      <xdr:col>13</xdr:col>
      <xdr:colOff>68580</xdr:colOff>
      <xdr:row>8</xdr:row>
      <xdr:rowOff>152400</xdr:rowOff>
    </xdr:to>
    <xdr:sp macro="" textlink="">
      <xdr:nvSpPr>
        <xdr:cNvPr id="1246584" name="Line 58"/>
        <xdr:cNvSpPr/>
      </xdr:nvSpPr>
      <xdr:spPr>
        <a:xfrm>
          <a:off x="5722620"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68580</xdr:colOff>
      <xdr:row>8</xdr:row>
      <xdr:rowOff>152400</xdr:rowOff>
    </xdr:from>
    <xdr:to>
      <xdr:col>13</xdr:col>
      <xdr:colOff>206375</xdr:colOff>
      <xdr:row>8</xdr:row>
      <xdr:rowOff>152400</xdr:rowOff>
    </xdr:to>
    <xdr:sp macro="" textlink="">
      <xdr:nvSpPr>
        <xdr:cNvPr id="1246585" name="Line 59"/>
        <xdr:cNvSpPr/>
      </xdr:nvSpPr>
      <xdr:spPr>
        <a:xfrm>
          <a:off x="5722620" y="1994535"/>
          <a:ext cx="137795"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205740</xdr:colOff>
      <xdr:row>8</xdr:row>
      <xdr:rowOff>68580</xdr:rowOff>
    </xdr:from>
    <xdr:to>
      <xdr:col>13</xdr:col>
      <xdr:colOff>205740</xdr:colOff>
      <xdr:row>8</xdr:row>
      <xdr:rowOff>152400</xdr:rowOff>
    </xdr:to>
    <xdr:sp macro="" textlink="">
      <xdr:nvSpPr>
        <xdr:cNvPr id="1246586" name="Line 60"/>
        <xdr:cNvSpPr/>
      </xdr:nvSpPr>
      <xdr:spPr>
        <a:xfrm flipV="1">
          <a:off x="5859780"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205740</xdr:colOff>
      <xdr:row>8</xdr:row>
      <xdr:rowOff>68580</xdr:rowOff>
    </xdr:from>
    <xdr:to>
      <xdr:col>13</xdr:col>
      <xdr:colOff>342900</xdr:colOff>
      <xdr:row>8</xdr:row>
      <xdr:rowOff>68580</xdr:rowOff>
    </xdr:to>
    <xdr:sp macro="" textlink="">
      <xdr:nvSpPr>
        <xdr:cNvPr id="1246587" name="Line 61"/>
        <xdr:cNvSpPr/>
      </xdr:nvSpPr>
      <xdr:spPr>
        <a:xfrm>
          <a:off x="5859780" y="1910715"/>
          <a:ext cx="1371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350520</xdr:colOff>
      <xdr:row>8</xdr:row>
      <xdr:rowOff>68580</xdr:rowOff>
    </xdr:from>
    <xdr:to>
      <xdr:col>13</xdr:col>
      <xdr:colOff>350520</xdr:colOff>
      <xdr:row>8</xdr:row>
      <xdr:rowOff>152400</xdr:rowOff>
    </xdr:to>
    <xdr:sp macro="" textlink="">
      <xdr:nvSpPr>
        <xdr:cNvPr id="1246588" name="Line 62"/>
        <xdr:cNvSpPr/>
      </xdr:nvSpPr>
      <xdr:spPr>
        <a:xfrm>
          <a:off x="6004560"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342900</xdr:colOff>
      <xdr:row>8</xdr:row>
      <xdr:rowOff>152400</xdr:rowOff>
    </xdr:from>
    <xdr:to>
      <xdr:col>13</xdr:col>
      <xdr:colOff>510540</xdr:colOff>
      <xdr:row>8</xdr:row>
      <xdr:rowOff>152400</xdr:rowOff>
    </xdr:to>
    <xdr:sp macro="" textlink="">
      <xdr:nvSpPr>
        <xdr:cNvPr id="1246589" name="Line 63"/>
        <xdr:cNvSpPr/>
      </xdr:nvSpPr>
      <xdr:spPr>
        <a:xfrm>
          <a:off x="5996940" y="1994535"/>
          <a:ext cx="1676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525780</xdr:colOff>
      <xdr:row>8</xdr:row>
      <xdr:rowOff>68580</xdr:rowOff>
    </xdr:from>
    <xdr:to>
      <xdr:col>13</xdr:col>
      <xdr:colOff>525780</xdr:colOff>
      <xdr:row>8</xdr:row>
      <xdr:rowOff>152400</xdr:rowOff>
    </xdr:to>
    <xdr:sp macro="" textlink="">
      <xdr:nvSpPr>
        <xdr:cNvPr id="1246590" name="Line 64"/>
        <xdr:cNvSpPr/>
      </xdr:nvSpPr>
      <xdr:spPr>
        <a:xfrm flipV="1">
          <a:off x="6179820"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525780</xdr:colOff>
      <xdr:row>8</xdr:row>
      <xdr:rowOff>68580</xdr:rowOff>
    </xdr:from>
    <xdr:to>
      <xdr:col>14</xdr:col>
      <xdr:colOff>198120</xdr:colOff>
      <xdr:row>8</xdr:row>
      <xdr:rowOff>68580</xdr:rowOff>
    </xdr:to>
    <xdr:sp macro="" textlink="">
      <xdr:nvSpPr>
        <xdr:cNvPr id="1246591" name="Line 65"/>
        <xdr:cNvSpPr/>
      </xdr:nvSpPr>
      <xdr:spPr>
        <a:xfrm>
          <a:off x="6179820" y="1910715"/>
          <a:ext cx="2895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198120</xdr:colOff>
      <xdr:row>8</xdr:row>
      <xdr:rowOff>68580</xdr:rowOff>
    </xdr:from>
    <xdr:to>
      <xdr:col>14</xdr:col>
      <xdr:colOff>198120</xdr:colOff>
      <xdr:row>8</xdr:row>
      <xdr:rowOff>152400</xdr:rowOff>
    </xdr:to>
    <xdr:sp macro="" textlink="">
      <xdr:nvSpPr>
        <xdr:cNvPr id="1246592" name="Line 66"/>
        <xdr:cNvSpPr/>
      </xdr:nvSpPr>
      <xdr:spPr>
        <a:xfrm>
          <a:off x="6469380" y="1910715"/>
          <a:ext cx="0" cy="8382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198120</xdr:colOff>
      <xdr:row>8</xdr:row>
      <xdr:rowOff>152400</xdr:rowOff>
    </xdr:from>
    <xdr:to>
      <xdr:col>15</xdr:col>
      <xdr:colOff>22860</xdr:colOff>
      <xdr:row>8</xdr:row>
      <xdr:rowOff>152400</xdr:rowOff>
    </xdr:to>
    <xdr:sp macro="" textlink="">
      <xdr:nvSpPr>
        <xdr:cNvPr id="1246593" name="Line 67"/>
        <xdr:cNvSpPr/>
      </xdr:nvSpPr>
      <xdr:spPr>
        <a:xfrm>
          <a:off x="6469380" y="1994535"/>
          <a:ext cx="14478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320040</xdr:colOff>
      <xdr:row>4</xdr:row>
      <xdr:rowOff>0</xdr:rowOff>
    </xdr:from>
    <xdr:to>
      <xdr:col>16</xdr:col>
      <xdr:colOff>76200</xdr:colOff>
      <xdr:row>4</xdr:row>
      <xdr:rowOff>167640</xdr:rowOff>
    </xdr:to>
    <xdr:sp macro="" textlink="">
      <xdr:nvSpPr>
        <xdr:cNvPr id="1246594" name="FreeForm 69"/>
        <xdr:cNvSpPr/>
      </xdr:nvSpPr>
      <xdr:spPr>
        <a:xfrm>
          <a:off x="4960620" y="1049655"/>
          <a:ext cx="1783080" cy="167640"/>
        </a:xfrm>
        <a:custGeom>
          <a:avLst/>
          <a:gdLst/>
          <a:ahLst/>
          <a:cxnLst>
            <a:cxn ang="0">
              <a:pos x="4" y="7"/>
            </a:cxn>
            <a:cxn ang="0">
              <a:pos x="7" y="6"/>
            </a:cxn>
            <a:cxn ang="0">
              <a:pos x="49" y="2"/>
            </a:cxn>
            <a:cxn ang="0">
              <a:pos x="66" y="17"/>
            </a:cxn>
            <a:cxn ang="0">
              <a:pos x="89" y="17"/>
            </a:cxn>
            <a:cxn ang="0">
              <a:pos x="102" y="12"/>
            </a:cxn>
            <a:cxn ang="0">
              <a:pos x="115" y="9"/>
            </a:cxn>
            <a:cxn ang="0">
              <a:pos x="132" y="6"/>
            </a:cxn>
            <a:cxn ang="0">
              <a:pos x="142" y="11"/>
            </a:cxn>
            <a:cxn ang="0">
              <a:pos x="155" y="11"/>
            </a:cxn>
            <a:cxn ang="0">
              <a:pos x="168" y="7"/>
            </a:cxn>
            <a:cxn ang="0">
              <a:pos x="181" y="8"/>
            </a:cxn>
            <a:cxn ang="0">
              <a:pos x="186" y="12"/>
            </a:cxn>
          </a:cxnLst>
          <a:rect l="0" t="0" r="0" b="0"/>
          <a:pathLst>
            <a:path w="186" h="19">
              <a:moveTo>
                <a:pt x="4" y="7"/>
              </a:moveTo>
              <a:cubicBezTo>
                <a:pt x="2" y="7"/>
                <a:pt x="0" y="7"/>
                <a:pt x="7" y="6"/>
              </a:cubicBezTo>
              <a:cubicBezTo>
                <a:pt x="14" y="5"/>
                <a:pt x="39" y="0"/>
                <a:pt x="49" y="2"/>
              </a:cubicBezTo>
              <a:cubicBezTo>
                <a:pt x="59" y="4"/>
                <a:pt x="59" y="15"/>
                <a:pt x="66" y="17"/>
              </a:cubicBezTo>
              <a:cubicBezTo>
                <a:pt x="73" y="19"/>
                <a:pt x="83" y="18"/>
                <a:pt x="89" y="17"/>
              </a:cubicBezTo>
              <a:cubicBezTo>
                <a:pt x="95" y="16"/>
                <a:pt x="98" y="13"/>
                <a:pt x="102" y="12"/>
              </a:cubicBezTo>
              <a:cubicBezTo>
                <a:pt x="106" y="11"/>
                <a:pt x="110" y="10"/>
                <a:pt x="115" y="9"/>
              </a:cubicBezTo>
              <a:cubicBezTo>
                <a:pt x="120" y="8"/>
                <a:pt x="128" y="6"/>
                <a:pt x="132" y="6"/>
              </a:cubicBezTo>
              <a:cubicBezTo>
                <a:pt x="136" y="6"/>
                <a:pt x="138" y="10"/>
                <a:pt x="142" y="11"/>
              </a:cubicBezTo>
              <a:cubicBezTo>
                <a:pt x="146" y="12"/>
                <a:pt x="151" y="12"/>
                <a:pt x="155" y="11"/>
              </a:cubicBezTo>
              <a:cubicBezTo>
                <a:pt x="159" y="10"/>
                <a:pt x="164" y="8"/>
                <a:pt x="168" y="7"/>
              </a:cubicBezTo>
              <a:cubicBezTo>
                <a:pt x="172" y="6"/>
                <a:pt x="178" y="7"/>
                <a:pt x="181" y="8"/>
              </a:cubicBezTo>
              <a:cubicBezTo>
                <a:pt x="184" y="9"/>
                <a:pt x="185" y="12"/>
                <a:pt x="186" y="12"/>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5</xdr:col>
      <xdr:colOff>137160</xdr:colOff>
      <xdr:row>4</xdr:row>
      <xdr:rowOff>190500</xdr:rowOff>
    </xdr:from>
    <xdr:to>
      <xdr:col>5</xdr:col>
      <xdr:colOff>137160</xdr:colOff>
      <xdr:row>7</xdr:row>
      <xdr:rowOff>137160</xdr:rowOff>
    </xdr:to>
    <xdr:sp macro="" textlink="">
      <xdr:nvSpPr>
        <xdr:cNvPr id="1246595" name="Line 71"/>
        <xdr:cNvSpPr/>
      </xdr:nvSpPr>
      <xdr:spPr>
        <a:xfrm>
          <a:off x="2750820" y="1240155"/>
          <a:ext cx="0" cy="54102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274320</xdr:colOff>
      <xdr:row>4</xdr:row>
      <xdr:rowOff>198120</xdr:rowOff>
    </xdr:from>
    <xdr:to>
      <xdr:col>9</xdr:col>
      <xdr:colOff>274320</xdr:colOff>
      <xdr:row>7</xdr:row>
      <xdr:rowOff>152400</xdr:rowOff>
    </xdr:to>
    <xdr:sp macro="" textlink="">
      <xdr:nvSpPr>
        <xdr:cNvPr id="1246596" name="Line 72"/>
        <xdr:cNvSpPr/>
      </xdr:nvSpPr>
      <xdr:spPr>
        <a:xfrm flipH="1">
          <a:off x="4091940" y="1247775"/>
          <a:ext cx="0" cy="54864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129540</xdr:colOff>
      <xdr:row>7</xdr:row>
      <xdr:rowOff>144780</xdr:rowOff>
    </xdr:from>
    <xdr:to>
      <xdr:col>5</xdr:col>
      <xdr:colOff>289560</xdr:colOff>
      <xdr:row>7</xdr:row>
      <xdr:rowOff>144780</xdr:rowOff>
    </xdr:to>
    <xdr:sp macro="" textlink="">
      <xdr:nvSpPr>
        <xdr:cNvPr id="1246597" name="Line 73"/>
        <xdr:cNvSpPr/>
      </xdr:nvSpPr>
      <xdr:spPr>
        <a:xfrm>
          <a:off x="2743200" y="1788795"/>
          <a:ext cx="1600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281940</xdr:colOff>
      <xdr:row>7</xdr:row>
      <xdr:rowOff>144780</xdr:rowOff>
    </xdr:from>
    <xdr:to>
      <xdr:col>6</xdr:col>
      <xdr:colOff>15240</xdr:colOff>
      <xdr:row>8</xdr:row>
      <xdr:rowOff>68580</xdr:rowOff>
    </xdr:to>
    <xdr:sp macro="" textlink="">
      <xdr:nvSpPr>
        <xdr:cNvPr id="1246598" name="Line 75"/>
        <xdr:cNvSpPr/>
      </xdr:nvSpPr>
      <xdr:spPr>
        <a:xfrm>
          <a:off x="2895600" y="1788795"/>
          <a:ext cx="83820" cy="12192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15240</xdr:colOff>
      <xdr:row>8</xdr:row>
      <xdr:rowOff>68580</xdr:rowOff>
    </xdr:from>
    <xdr:to>
      <xdr:col>6</xdr:col>
      <xdr:colOff>251460</xdr:colOff>
      <xdr:row>8</xdr:row>
      <xdr:rowOff>68580</xdr:rowOff>
    </xdr:to>
    <xdr:sp macro="" textlink="">
      <xdr:nvSpPr>
        <xdr:cNvPr id="1246599" name="Line 76"/>
        <xdr:cNvSpPr/>
      </xdr:nvSpPr>
      <xdr:spPr>
        <a:xfrm flipV="1">
          <a:off x="2979420" y="1910715"/>
          <a:ext cx="2362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251460</xdr:colOff>
      <xdr:row>7</xdr:row>
      <xdr:rowOff>144780</xdr:rowOff>
    </xdr:from>
    <xdr:to>
      <xdr:col>6</xdr:col>
      <xdr:colOff>335280</xdr:colOff>
      <xdr:row>8</xdr:row>
      <xdr:rowOff>68580</xdr:rowOff>
    </xdr:to>
    <xdr:sp macro="" textlink="">
      <xdr:nvSpPr>
        <xdr:cNvPr id="1246600" name="Line 78"/>
        <xdr:cNvSpPr/>
      </xdr:nvSpPr>
      <xdr:spPr>
        <a:xfrm flipV="1">
          <a:off x="3215640" y="1788795"/>
          <a:ext cx="83820" cy="12192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327660</xdr:colOff>
      <xdr:row>7</xdr:row>
      <xdr:rowOff>144780</xdr:rowOff>
    </xdr:from>
    <xdr:to>
      <xdr:col>8</xdr:col>
      <xdr:colOff>152400</xdr:colOff>
      <xdr:row>7</xdr:row>
      <xdr:rowOff>144780</xdr:rowOff>
    </xdr:to>
    <xdr:sp macro="" textlink="">
      <xdr:nvSpPr>
        <xdr:cNvPr id="1246601" name="Line 79"/>
        <xdr:cNvSpPr/>
      </xdr:nvSpPr>
      <xdr:spPr>
        <a:xfrm>
          <a:off x="3291840" y="1788795"/>
          <a:ext cx="2667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144780</xdr:colOff>
      <xdr:row>7</xdr:row>
      <xdr:rowOff>137160</xdr:rowOff>
    </xdr:from>
    <xdr:to>
      <xdr:col>8</xdr:col>
      <xdr:colOff>220980</xdr:colOff>
      <xdr:row>8</xdr:row>
      <xdr:rowOff>53340</xdr:rowOff>
    </xdr:to>
    <xdr:sp macro="" textlink="">
      <xdr:nvSpPr>
        <xdr:cNvPr id="1246602" name="Line 80"/>
        <xdr:cNvSpPr/>
      </xdr:nvSpPr>
      <xdr:spPr>
        <a:xfrm>
          <a:off x="3550920" y="1781175"/>
          <a:ext cx="76200" cy="114300"/>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213360</xdr:colOff>
      <xdr:row>8</xdr:row>
      <xdr:rowOff>53340</xdr:rowOff>
    </xdr:from>
    <xdr:to>
      <xdr:col>9</xdr:col>
      <xdr:colOff>53340</xdr:colOff>
      <xdr:row>8</xdr:row>
      <xdr:rowOff>53340</xdr:rowOff>
    </xdr:to>
    <xdr:sp macro="" textlink="">
      <xdr:nvSpPr>
        <xdr:cNvPr id="1246603" name="Line 81"/>
        <xdr:cNvSpPr/>
      </xdr:nvSpPr>
      <xdr:spPr>
        <a:xfrm>
          <a:off x="3619500" y="1895475"/>
          <a:ext cx="2514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45720</xdr:colOff>
      <xdr:row>7</xdr:row>
      <xdr:rowOff>144780</xdr:rowOff>
    </xdr:from>
    <xdr:to>
      <xdr:col>9</xdr:col>
      <xdr:colOff>121920</xdr:colOff>
      <xdr:row>8</xdr:row>
      <xdr:rowOff>53340</xdr:rowOff>
    </xdr:to>
    <xdr:sp macro="" textlink="">
      <xdr:nvSpPr>
        <xdr:cNvPr id="1246604" name="Line 82"/>
        <xdr:cNvSpPr/>
      </xdr:nvSpPr>
      <xdr:spPr>
        <a:xfrm flipV="1">
          <a:off x="3863340" y="1788795"/>
          <a:ext cx="76200" cy="10668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121920</xdr:colOff>
      <xdr:row>7</xdr:row>
      <xdr:rowOff>144780</xdr:rowOff>
    </xdr:from>
    <xdr:to>
      <xdr:col>9</xdr:col>
      <xdr:colOff>281940</xdr:colOff>
      <xdr:row>7</xdr:row>
      <xdr:rowOff>144780</xdr:rowOff>
    </xdr:to>
    <xdr:sp macro="" textlink="">
      <xdr:nvSpPr>
        <xdr:cNvPr id="1246605" name="Line 83"/>
        <xdr:cNvSpPr/>
      </xdr:nvSpPr>
      <xdr:spPr>
        <a:xfrm>
          <a:off x="3939540" y="1788795"/>
          <a:ext cx="1600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251460</xdr:colOff>
      <xdr:row>8</xdr:row>
      <xdr:rowOff>45720</xdr:rowOff>
    </xdr:from>
    <xdr:to>
      <xdr:col>5</xdr:col>
      <xdr:colOff>335280</xdr:colOff>
      <xdr:row>8</xdr:row>
      <xdr:rowOff>167640</xdr:rowOff>
    </xdr:to>
    <xdr:sp macro="" textlink="">
      <xdr:nvSpPr>
        <xdr:cNvPr id="1246606" name="Line 84"/>
        <xdr:cNvSpPr/>
      </xdr:nvSpPr>
      <xdr:spPr>
        <a:xfrm>
          <a:off x="2865120" y="1887855"/>
          <a:ext cx="83820" cy="12192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335280</xdr:colOff>
      <xdr:row>8</xdr:row>
      <xdr:rowOff>167640</xdr:rowOff>
    </xdr:from>
    <xdr:to>
      <xdr:col>6</xdr:col>
      <xdr:colOff>289560</xdr:colOff>
      <xdr:row>8</xdr:row>
      <xdr:rowOff>167640</xdr:rowOff>
    </xdr:to>
    <xdr:sp macro="" textlink="">
      <xdr:nvSpPr>
        <xdr:cNvPr id="1246607" name="Line 85"/>
        <xdr:cNvSpPr/>
      </xdr:nvSpPr>
      <xdr:spPr>
        <a:xfrm flipV="1">
          <a:off x="2948940" y="2009775"/>
          <a:ext cx="3048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281940</xdr:colOff>
      <xdr:row>8</xdr:row>
      <xdr:rowOff>38100</xdr:rowOff>
    </xdr:from>
    <xdr:to>
      <xdr:col>7</xdr:col>
      <xdr:colOff>22860</xdr:colOff>
      <xdr:row>8</xdr:row>
      <xdr:rowOff>182880</xdr:rowOff>
    </xdr:to>
    <xdr:sp macro="" textlink="">
      <xdr:nvSpPr>
        <xdr:cNvPr id="1246608" name="Line 86"/>
        <xdr:cNvSpPr/>
      </xdr:nvSpPr>
      <xdr:spPr>
        <a:xfrm flipV="1">
          <a:off x="3246120" y="1880235"/>
          <a:ext cx="91440" cy="144780"/>
        </a:xfrm>
        <a:prstGeom prst="line">
          <a:avLst/>
        </a:prstGeom>
        <a:ln w="15875" cap="flat" cmpd="sng">
          <a:solidFill>
            <a:srgbClr val="000000"/>
          </a:solidFill>
          <a:prstDash val="solid"/>
          <a:round/>
          <a:headEnd type="none" w="med" len="med"/>
          <a:tailEnd type="none" w="med" len="med"/>
        </a:ln>
      </xdr:spPr>
    </xdr:sp>
    <xdr:clientData/>
  </xdr:twoCellAnchor>
  <xdr:twoCellAnchor>
    <xdr:from>
      <xdr:col>7</xdr:col>
      <xdr:colOff>15240</xdr:colOff>
      <xdr:row>8</xdr:row>
      <xdr:rowOff>38100</xdr:rowOff>
    </xdr:from>
    <xdr:to>
      <xdr:col>8</xdr:col>
      <xdr:colOff>106680</xdr:colOff>
      <xdr:row>8</xdr:row>
      <xdr:rowOff>38100</xdr:rowOff>
    </xdr:to>
    <xdr:sp macro="" textlink="">
      <xdr:nvSpPr>
        <xdr:cNvPr id="1246609" name="Line 87"/>
        <xdr:cNvSpPr/>
      </xdr:nvSpPr>
      <xdr:spPr>
        <a:xfrm>
          <a:off x="3329940" y="1880235"/>
          <a:ext cx="1828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91440</xdr:colOff>
      <xdr:row>8</xdr:row>
      <xdr:rowOff>38100</xdr:rowOff>
    </xdr:from>
    <xdr:to>
      <xdr:col>8</xdr:col>
      <xdr:colOff>168275</xdr:colOff>
      <xdr:row>8</xdr:row>
      <xdr:rowOff>174625</xdr:rowOff>
    </xdr:to>
    <xdr:sp macro="" textlink="">
      <xdr:nvSpPr>
        <xdr:cNvPr id="1246610" name="Line 88"/>
        <xdr:cNvSpPr/>
      </xdr:nvSpPr>
      <xdr:spPr>
        <a:xfrm>
          <a:off x="3497580" y="1880235"/>
          <a:ext cx="76835" cy="136525"/>
        </a:xfrm>
        <a:prstGeom prst="line">
          <a:avLst/>
        </a:prstGeom>
        <a:ln w="15875" cap="flat" cmpd="sng">
          <a:solidFill>
            <a:srgbClr val="000000"/>
          </a:solidFill>
          <a:prstDash val="solid"/>
          <a:round/>
          <a:headEnd type="none" w="med" len="med"/>
          <a:tailEnd type="none" w="med" len="med"/>
        </a:ln>
      </xdr:spPr>
    </xdr:sp>
    <xdr:clientData/>
  </xdr:twoCellAnchor>
  <xdr:twoCellAnchor>
    <xdr:from>
      <xdr:col>8</xdr:col>
      <xdr:colOff>160020</xdr:colOff>
      <xdr:row>8</xdr:row>
      <xdr:rowOff>160020</xdr:rowOff>
    </xdr:from>
    <xdr:to>
      <xdr:col>9</xdr:col>
      <xdr:colOff>83820</xdr:colOff>
      <xdr:row>8</xdr:row>
      <xdr:rowOff>160020</xdr:rowOff>
    </xdr:to>
    <xdr:sp macro="" textlink="">
      <xdr:nvSpPr>
        <xdr:cNvPr id="1246611" name="Line 89"/>
        <xdr:cNvSpPr/>
      </xdr:nvSpPr>
      <xdr:spPr>
        <a:xfrm>
          <a:off x="3566160" y="2002155"/>
          <a:ext cx="3352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76200</xdr:colOff>
      <xdr:row>8</xdr:row>
      <xdr:rowOff>30480</xdr:rowOff>
    </xdr:from>
    <xdr:to>
      <xdr:col>9</xdr:col>
      <xdr:colOff>168275</xdr:colOff>
      <xdr:row>8</xdr:row>
      <xdr:rowOff>174625</xdr:rowOff>
    </xdr:to>
    <xdr:sp macro="" textlink="">
      <xdr:nvSpPr>
        <xdr:cNvPr id="1246612" name="Line 90"/>
        <xdr:cNvSpPr/>
      </xdr:nvSpPr>
      <xdr:spPr>
        <a:xfrm flipV="1">
          <a:off x="3893820" y="1872615"/>
          <a:ext cx="92075" cy="144145"/>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175260</xdr:colOff>
      <xdr:row>8</xdr:row>
      <xdr:rowOff>30480</xdr:rowOff>
    </xdr:from>
    <xdr:to>
      <xdr:col>9</xdr:col>
      <xdr:colOff>289560</xdr:colOff>
      <xdr:row>8</xdr:row>
      <xdr:rowOff>30480</xdr:rowOff>
    </xdr:to>
    <xdr:sp macro="" textlink="">
      <xdr:nvSpPr>
        <xdr:cNvPr id="1246613" name="Line 91"/>
        <xdr:cNvSpPr/>
      </xdr:nvSpPr>
      <xdr:spPr>
        <a:xfrm>
          <a:off x="3992880" y="1872615"/>
          <a:ext cx="1143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137160</xdr:colOff>
      <xdr:row>8</xdr:row>
      <xdr:rowOff>45720</xdr:rowOff>
    </xdr:from>
    <xdr:to>
      <xdr:col>5</xdr:col>
      <xdr:colOff>251460</xdr:colOff>
      <xdr:row>8</xdr:row>
      <xdr:rowOff>45720</xdr:rowOff>
    </xdr:to>
    <xdr:sp macro="" textlink="">
      <xdr:nvSpPr>
        <xdr:cNvPr id="1246614" name="Line 92"/>
        <xdr:cNvSpPr/>
      </xdr:nvSpPr>
      <xdr:spPr>
        <a:xfrm>
          <a:off x="2750820" y="1887855"/>
          <a:ext cx="1143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129540</xdr:colOff>
      <xdr:row>8</xdr:row>
      <xdr:rowOff>38100</xdr:rowOff>
    </xdr:from>
    <xdr:to>
      <xdr:col>5</xdr:col>
      <xdr:colOff>129540</xdr:colOff>
      <xdr:row>10</xdr:row>
      <xdr:rowOff>75565</xdr:rowOff>
    </xdr:to>
    <xdr:sp macro="" textlink="">
      <xdr:nvSpPr>
        <xdr:cNvPr id="1246615" name="Line 93"/>
        <xdr:cNvSpPr/>
      </xdr:nvSpPr>
      <xdr:spPr>
        <a:xfrm>
          <a:off x="2743200" y="1880235"/>
          <a:ext cx="0" cy="433705"/>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274320</xdr:colOff>
      <xdr:row>8</xdr:row>
      <xdr:rowOff>23495</xdr:rowOff>
    </xdr:from>
    <xdr:to>
      <xdr:col>9</xdr:col>
      <xdr:colOff>274320</xdr:colOff>
      <xdr:row>10</xdr:row>
      <xdr:rowOff>75565</xdr:rowOff>
    </xdr:to>
    <xdr:sp macro="" textlink="">
      <xdr:nvSpPr>
        <xdr:cNvPr id="1246616" name="Line 94"/>
        <xdr:cNvSpPr/>
      </xdr:nvSpPr>
      <xdr:spPr>
        <a:xfrm>
          <a:off x="4091940" y="1865630"/>
          <a:ext cx="0" cy="44831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121920</xdr:colOff>
      <xdr:row>10</xdr:row>
      <xdr:rowOff>68580</xdr:rowOff>
    </xdr:from>
    <xdr:to>
      <xdr:col>9</xdr:col>
      <xdr:colOff>274320</xdr:colOff>
      <xdr:row>10</xdr:row>
      <xdr:rowOff>68580</xdr:rowOff>
    </xdr:to>
    <xdr:sp macro="" textlink="">
      <xdr:nvSpPr>
        <xdr:cNvPr id="1246617" name="Line 95"/>
        <xdr:cNvSpPr/>
      </xdr:nvSpPr>
      <xdr:spPr>
        <a:xfrm>
          <a:off x="2735580" y="2306955"/>
          <a:ext cx="13563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5</xdr:col>
      <xdr:colOff>205740</xdr:colOff>
      <xdr:row>7</xdr:row>
      <xdr:rowOff>144780</xdr:rowOff>
    </xdr:from>
    <xdr:to>
      <xdr:col>5</xdr:col>
      <xdr:colOff>205740</xdr:colOff>
      <xdr:row>8</xdr:row>
      <xdr:rowOff>38100</xdr:rowOff>
    </xdr:to>
    <xdr:sp macro="" textlink="">
      <xdr:nvSpPr>
        <xdr:cNvPr id="1246618" name="Line 96"/>
        <xdr:cNvSpPr/>
      </xdr:nvSpPr>
      <xdr:spPr>
        <a:xfrm>
          <a:off x="2819400" y="1788795"/>
          <a:ext cx="0" cy="9144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220980</xdr:colOff>
      <xdr:row>7</xdr:row>
      <xdr:rowOff>144780</xdr:rowOff>
    </xdr:from>
    <xdr:to>
      <xdr:col>9</xdr:col>
      <xdr:colOff>220980</xdr:colOff>
      <xdr:row>8</xdr:row>
      <xdr:rowOff>23495</xdr:rowOff>
    </xdr:to>
    <xdr:sp macro="" textlink="">
      <xdr:nvSpPr>
        <xdr:cNvPr id="1246619" name="Line 97"/>
        <xdr:cNvSpPr/>
      </xdr:nvSpPr>
      <xdr:spPr>
        <a:xfrm>
          <a:off x="4038600" y="1788795"/>
          <a:ext cx="0" cy="76835"/>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129540</xdr:colOff>
      <xdr:row>4</xdr:row>
      <xdr:rowOff>122555</xdr:rowOff>
    </xdr:from>
    <xdr:to>
      <xdr:col>9</xdr:col>
      <xdr:colOff>281940</xdr:colOff>
      <xdr:row>5</xdr:row>
      <xdr:rowOff>83820</xdr:rowOff>
    </xdr:to>
    <xdr:sp macro="" textlink="">
      <xdr:nvSpPr>
        <xdr:cNvPr id="1246620" name="FreeForm 98"/>
        <xdr:cNvSpPr/>
      </xdr:nvSpPr>
      <xdr:spPr>
        <a:xfrm>
          <a:off x="2743200" y="1172210"/>
          <a:ext cx="1356360" cy="159385"/>
        </a:xfrm>
        <a:custGeom>
          <a:avLst/>
          <a:gdLst/>
          <a:ahLst/>
          <a:cxnLst>
            <a:cxn ang="0">
              <a:pos x="0" y="8"/>
            </a:cxn>
            <a:cxn ang="0">
              <a:pos x="6" y="7"/>
            </a:cxn>
            <a:cxn ang="0">
              <a:pos x="26" y="2"/>
            </a:cxn>
            <a:cxn ang="0">
              <a:pos x="55" y="16"/>
            </a:cxn>
            <a:cxn ang="0">
              <a:pos x="80" y="17"/>
            </a:cxn>
            <a:cxn ang="0">
              <a:pos x="99" y="9"/>
            </a:cxn>
            <a:cxn ang="0">
              <a:pos x="117" y="6"/>
            </a:cxn>
            <a:cxn ang="0">
              <a:pos x="136" y="13"/>
            </a:cxn>
            <a:cxn ang="0">
              <a:pos x="157" y="8"/>
            </a:cxn>
          </a:cxnLst>
          <a:rect l="0" t="0" r="0" b="0"/>
          <a:pathLst>
            <a:path w="157" h="18">
              <a:moveTo>
                <a:pt x="0" y="8"/>
              </a:moveTo>
              <a:cubicBezTo>
                <a:pt x="1" y="8"/>
                <a:pt x="2" y="8"/>
                <a:pt x="6" y="7"/>
              </a:cubicBezTo>
              <a:cubicBezTo>
                <a:pt x="10" y="6"/>
                <a:pt x="18" y="0"/>
                <a:pt x="26" y="2"/>
              </a:cubicBezTo>
              <a:cubicBezTo>
                <a:pt x="34" y="4"/>
                <a:pt x="46" y="14"/>
                <a:pt x="55" y="16"/>
              </a:cubicBezTo>
              <a:cubicBezTo>
                <a:pt x="64" y="18"/>
                <a:pt x="73" y="18"/>
                <a:pt x="80" y="17"/>
              </a:cubicBezTo>
              <a:cubicBezTo>
                <a:pt x="87" y="16"/>
                <a:pt x="93" y="11"/>
                <a:pt x="99" y="9"/>
              </a:cubicBezTo>
              <a:cubicBezTo>
                <a:pt x="105" y="7"/>
                <a:pt x="111" y="5"/>
                <a:pt x="117" y="6"/>
              </a:cubicBezTo>
              <a:cubicBezTo>
                <a:pt x="123" y="7"/>
                <a:pt x="129" y="13"/>
                <a:pt x="136" y="13"/>
              </a:cubicBezTo>
              <a:cubicBezTo>
                <a:pt x="143" y="13"/>
                <a:pt x="154" y="9"/>
                <a:pt x="157" y="8"/>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14</xdr:col>
      <xdr:colOff>236220</xdr:colOff>
      <xdr:row>7</xdr:row>
      <xdr:rowOff>114300</xdr:rowOff>
    </xdr:from>
    <xdr:to>
      <xdr:col>15</xdr:col>
      <xdr:colOff>45720</xdr:colOff>
      <xdr:row>8</xdr:row>
      <xdr:rowOff>152400</xdr:rowOff>
    </xdr:to>
    <xdr:sp macro="" textlink="">
      <xdr:nvSpPr>
        <xdr:cNvPr id="1246621" name="Arc 100"/>
        <xdr:cNvSpPr/>
      </xdr:nvSpPr>
      <xdr:spPr>
        <a:xfrm flipV="1">
          <a:off x="6507480" y="1758315"/>
          <a:ext cx="129540" cy="236220"/>
        </a:xfrm>
        <a:custGeom>
          <a:avLst/>
          <a:gdLst/>
          <a:ahLst/>
          <a:cxnLst>
            <a:cxn ang="0">
              <a:pos x="19828" y="0"/>
            </a:cxn>
            <a:cxn ang="0">
              <a:pos x="21599" y="8566"/>
            </a:cxn>
            <a:cxn ang="0">
              <a:pos x="17128" y="21727"/>
            </a:cxn>
            <a:cxn ang="0">
              <a:pos x="19828" y="0"/>
            </a:cxn>
            <a:cxn ang="0">
              <a:pos x="21599" y="8566"/>
            </a:cxn>
            <a:cxn ang="0">
              <a:pos x="17128" y="21727"/>
            </a:cxn>
            <a:cxn ang="0">
              <a:pos x="0" y="8566"/>
            </a:cxn>
          </a:cxnLst>
          <a:rect l="0" t="0" r="0" b="0"/>
          <a:pathLst>
            <a:path w="21600" h="21727" fill="none">
              <a:moveTo>
                <a:pt x="19828" y="0"/>
              </a:moveTo>
              <a:cubicBezTo>
                <a:pt x="20969" y="2623"/>
                <a:pt x="21599" y="5521"/>
                <a:pt x="21599" y="8566"/>
              </a:cubicBezTo>
              <a:cubicBezTo>
                <a:pt x="21599" y="13520"/>
                <a:pt x="19932" y="18084"/>
                <a:pt x="17128" y="21727"/>
              </a:cubicBezTo>
            </a:path>
            <a:path w="21600" h="21727" stroke="0">
              <a:moveTo>
                <a:pt x="19828" y="0"/>
              </a:moveTo>
              <a:cubicBezTo>
                <a:pt x="20969" y="2623"/>
                <a:pt x="21599" y="5521"/>
                <a:pt x="21599" y="8566"/>
              </a:cubicBezTo>
              <a:cubicBezTo>
                <a:pt x="21599" y="13520"/>
                <a:pt x="19932" y="18084"/>
                <a:pt x="17128" y="21727"/>
              </a:cubicBezTo>
              <a:lnTo>
                <a:pt x="0" y="8566"/>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12</xdr:col>
      <xdr:colOff>45720</xdr:colOff>
      <xdr:row>7</xdr:row>
      <xdr:rowOff>114300</xdr:rowOff>
    </xdr:from>
    <xdr:to>
      <xdr:col>12</xdr:col>
      <xdr:colOff>152400</xdr:colOff>
      <xdr:row>8</xdr:row>
      <xdr:rowOff>160020</xdr:rowOff>
    </xdr:to>
    <xdr:sp macro="" textlink="">
      <xdr:nvSpPr>
        <xdr:cNvPr id="1246622" name="Arc 101"/>
        <xdr:cNvSpPr/>
      </xdr:nvSpPr>
      <xdr:spPr>
        <a:xfrm flipH="1">
          <a:off x="5151120" y="1758315"/>
          <a:ext cx="106680" cy="243840"/>
        </a:xfrm>
        <a:custGeom>
          <a:avLst/>
          <a:gdLst/>
          <a:ahLst/>
          <a:cxnLst>
            <a:cxn ang="0">
              <a:pos x="16035" y="0"/>
            </a:cxn>
            <a:cxn ang="0">
              <a:pos x="21600" y="14471"/>
            </a:cxn>
            <a:cxn ang="0">
              <a:pos x="20148" y="22272"/>
            </a:cxn>
            <a:cxn ang="0">
              <a:pos x="16035" y="0"/>
            </a:cxn>
            <a:cxn ang="0">
              <a:pos x="21600" y="14471"/>
            </a:cxn>
            <a:cxn ang="0">
              <a:pos x="20148" y="22272"/>
            </a:cxn>
            <a:cxn ang="0">
              <a:pos x="0" y="14471"/>
            </a:cxn>
          </a:cxnLst>
          <a:rect l="0" t="0" r="0" b="0"/>
          <a:pathLst>
            <a:path w="21600" h="22267" fill="none">
              <a:moveTo>
                <a:pt x="16035" y="0"/>
              </a:moveTo>
              <a:cubicBezTo>
                <a:pt x="19494" y="3829"/>
                <a:pt x="21600" y="8904"/>
                <a:pt x="21600" y="14471"/>
              </a:cubicBezTo>
              <a:cubicBezTo>
                <a:pt x="21600" y="17223"/>
                <a:pt x="21085" y="19855"/>
                <a:pt x="20148" y="22272"/>
              </a:cubicBezTo>
            </a:path>
            <a:path w="21600" h="22267" stroke="0">
              <a:moveTo>
                <a:pt x="16035" y="0"/>
              </a:moveTo>
              <a:cubicBezTo>
                <a:pt x="19494" y="3829"/>
                <a:pt x="21600" y="8904"/>
                <a:pt x="21600" y="14471"/>
              </a:cubicBezTo>
              <a:cubicBezTo>
                <a:pt x="21600" y="17223"/>
                <a:pt x="21085" y="19855"/>
                <a:pt x="20148" y="22272"/>
              </a:cubicBezTo>
              <a:lnTo>
                <a:pt x="0" y="14471"/>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17</xdr:col>
      <xdr:colOff>45720</xdr:colOff>
      <xdr:row>8</xdr:row>
      <xdr:rowOff>152400</xdr:rowOff>
    </xdr:from>
    <xdr:to>
      <xdr:col>20</xdr:col>
      <xdr:colOff>68580</xdr:colOff>
      <xdr:row>10</xdr:row>
      <xdr:rowOff>122555</xdr:rowOff>
    </xdr:to>
    <xdr:sp macro="" textlink="">
      <xdr:nvSpPr>
        <xdr:cNvPr id="1246623" name="Rectangle 109"/>
        <xdr:cNvSpPr/>
      </xdr:nvSpPr>
      <xdr:spPr>
        <a:xfrm>
          <a:off x="7216140" y="1994535"/>
          <a:ext cx="1531620" cy="366395"/>
        </a:xfrm>
        <a:prstGeom prst="rect">
          <a:avLst/>
        </a:prstGeom>
        <a:noFill/>
        <a:ln w="15875" cap="flat" cmpd="sng">
          <a:solidFill>
            <a:srgbClr val="000000"/>
          </a:solidFill>
          <a:prstDash val="solid"/>
          <a:miter/>
          <a:headEnd type="none" w="med" len="med"/>
          <a:tailEnd type="none" w="med" len="med"/>
        </a:ln>
      </xdr:spPr>
    </xdr:sp>
    <xdr:clientData/>
  </xdr:twoCellAnchor>
  <xdr:twoCellAnchor>
    <xdr:from>
      <xdr:col>19</xdr:col>
      <xdr:colOff>99060</xdr:colOff>
      <xdr:row>6</xdr:row>
      <xdr:rowOff>122555</xdr:rowOff>
    </xdr:from>
    <xdr:to>
      <xdr:col>20</xdr:col>
      <xdr:colOff>68580</xdr:colOff>
      <xdr:row>8</xdr:row>
      <xdr:rowOff>144780</xdr:rowOff>
    </xdr:to>
    <xdr:sp macro="" textlink="">
      <xdr:nvSpPr>
        <xdr:cNvPr id="1246624" name="Rectangle 111"/>
        <xdr:cNvSpPr/>
      </xdr:nvSpPr>
      <xdr:spPr>
        <a:xfrm>
          <a:off x="8275320" y="1568450"/>
          <a:ext cx="472440" cy="418465"/>
        </a:xfrm>
        <a:prstGeom prst="rect">
          <a:avLst/>
        </a:prstGeom>
        <a:noFill/>
        <a:ln w="15875" cap="flat" cmpd="sng">
          <a:solidFill>
            <a:srgbClr val="000000"/>
          </a:solidFill>
          <a:prstDash val="solid"/>
          <a:miter/>
          <a:headEnd type="none" w="med" len="med"/>
          <a:tailEnd type="none" w="med" len="med"/>
        </a:ln>
      </xdr:spPr>
    </xdr:sp>
    <xdr:clientData/>
  </xdr:twoCellAnchor>
  <xdr:twoCellAnchor>
    <xdr:from>
      <xdr:col>17</xdr:col>
      <xdr:colOff>45720</xdr:colOff>
      <xdr:row>6</xdr:row>
      <xdr:rowOff>122555</xdr:rowOff>
    </xdr:from>
    <xdr:to>
      <xdr:col>18</xdr:col>
      <xdr:colOff>7620</xdr:colOff>
      <xdr:row>8</xdr:row>
      <xdr:rowOff>144780</xdr:rowOff>
    </xdr:to>
    <xdr:sp macro="" textlink="">
      <xdr:nvSpPr>
        <xdr:cNvPr id="1246625" name="Rectangle 113"/>
        <xdr:cNvSpPr/>
      </xdr:nvSpPr>
      <xdr:spPr>
        <a:xfrm>
          <a:off x="7216140" y="1568450"/>
          <a:ext cx="464820" cy="418465"/>
        </a:xfrm>
        <a:prstGeom prst="rect">
          <a:avLst/>
        </a:prstGeom>
        <a:noFill/>
        <a:ln w="15875" cap="flat" cmpd="sng">
          <a:solidFill>
            <a:srgbClr val="000000"/>
          </a:solidFill>
          <a:prstDash val="solid"/>
          <a:miter/>
          <a:headEnd type="none" w="med" len="med"/>
          <a:tailEnd type="none" w="med" len="med"/>
        </a:ln>
      </xdr:spPr>
    </xdr:sp>
    <xdr:clientData/>
  </xdr:twoCellAnchor>
  <xdr:twoCellAnchor>
    <xdr:from>
      <xdr:col>18</xdr:col>
      <xdr:colOff>15240</xdr:colOff>
      <xdr:row>3</xdr:row>
      <xdr:rowOff>328295</xdr:rowOff>
    </xdr:from>
    <xdr:to>
      <xdr:col>18</xdr:col>
      <xdr:colOff>15240</xdr:colOff>
      <xdr:row>7</xdr:row>
      <xdr:rowOff>7620</xdr:rowOff>
    </xdr:to>
    <xdr:sp macro="" textlink="">
      <xdr:nvSpPr>
        <xdr:cNvPr id="1246626" name="Line 114"/>
        <xdr:cNvSpPr/>
      </xdr:nvSpPr>
      <xdr:spPr>
        <a:xfrm flipV="1">
          <a:off x="7688580" y="1044575"/>
          <a:ext cx="0" cy="607060"/>
        </a:xfrm>
        <a:prstGeom prst="line">
          <a:avLst/>
        </a:prstGeom>
        <a:ln w="15875" cap="flat" cmpd="sng">
          <a:solidFill>
            <a:srgbClr val="000000"/>
          </a:solidFill>
          <a:prstDash val="solid"/>
          <a:round/>
          <a:headEnd type="none" w="med" len="med"/>
          <a:tailEnd type="none" w="med" len="med"/>
        </a:ln>
      </xdr:spPr>
    </xdr:sp>
    <xdr:clientData/>
  </xdr:twoCellAnchor>
  <xdr:twoCellAnchor>
    <xdr:from>
      <xdr:col>19</xdr:col>
      <xdr:colOff>91440</xdr:colOff>
      <xdr:row>3</xdr:row>
      <xdr:rowOff>297180</xdr:rowOff>
    </xdr:from>
    <xdr:to>
      <xdr:col>19</xdr:col>
      <xdr:colOff>91440</xdr:colOff>
      <xdr:row>7</xdr:row>
      <xdr:rowOff>0</xdr:rowOff>
    </xdr:to>
    <xdr:sp macro="" textlink="">
      <xdr:nvSpPr>
        <xdr:cNvPr id="1246627" name="Line 115"/>
        <xdr:cNvSpPr/>
      </xdr:nvSpPr>
      <xdr:spPr>
        <a:xfrm flipV="1">
          <a:off x="8267700" y="1013460"/>
          <a:ext cx="0" cy="630555"/>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15240</xdr:colOff>
      <xdr:row>8</xdr:row>
      <xdr:rowOff>144780</xdr:rowOff>
    </xdr:from>
    <xdr:to>
      <xdr:col>19</xdr:col>
      <xdr:colOff>91440</xdr:colOff>
      <xdr:row>8</xdr:row>
      <xdr:rowOff>144780</xdr:rowOff>
    </xdr:to>
    <xdr:sp macro="" textlink="">
      <xdr:nvSpPr>
        <xdr:cNvPr id="1246628" name="Line 116"/>
        <xdr:cNvSpPr/>
      </xdr:nvSpPr>
      <xdr:spPr>
        <a:xfrm>
          <a:off x="7688580" y="1986915"/>
          <a:ext cx="5791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15240</xdr:colOff>
      <xdr:row>7</xdr:row>
      <xdr:rowOff>167640</xdr:rowOff>
    </xdr:from>
    <xdr:to>
      <xdr:col>18</xdr:col>
      <xdr:colOff>15240</xdr:colOff>
      <xdr:row>8</xdr:row>
      <xdr:rowOff>152400</xdr:rowOff>
    </xdr:to>
    <xdr:sp macro="" textlink="">
      <xdr:nvSpPr>
        <xdr:cNvPr id="1246629" name="Line 117"/>
        <xdr:cNvSpPr/>
      </xdr:nvSpPr>
      <xdr:spPr>
        <a:xfrm flipV="1">
          <a:off x="7688580" y="1811655"/>
          <a:ext cx="0" cy="182880"/>
        </a:xfrm>
        <a:prstGeom prst="line">
          <a:avLst/>
        </a:prstGeom>
        <a:ln w="15875" cap="flat" cmpd="sng">
          <a:solidFill>
            <a:srgbClr val="000000"/>
          </a:solidFill>
          <a:prstDash val="solid"/>
          <a:round/>
          <a:headEnd type="none" w="med" len="med"/>
          <a:tailEnd type="none" w="med" len="med"/>
        </a:ln>
      </xdr:spPr>
    </xdr:sp>
    <xdr:clientData/>
  </xdr:twoCellAnchor>
  <xdr:twoCellAnchor>
    <xdr:from>
      <xdr:col>19</xdr:col>
      <xdr:colOff>91440</xdr:colOff>
      <xdr:row>7</xdr:row>
      <xdr:rowOff>167640</xdr:rowOff>
    </xdr:from>
    <xdr:to>
      <xdr:col>19</xdr:col>
      <xdr:colOff>91440</xdr:colOff>
      <xdr:row>8</xdr:row>
      <xdr:rowOff>152400</xdr:rowOff>
    </xdr:to>
    <xdr:sp macro="" textlink="">
      <xdr:nvSpPr>
        <xdr:cNvPr id="1246630" name="Line 118"/>
        <xdr:cNvSpPr/>
      </xdr:nvSpPr>
      <xdr:spPr>
        <a:xfrm flipV="1">
          <a:off x="8267700" y="1811655"/>
          <a:ext cx="0" cy="18288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15240</xdr:colOff>
      <xdr:row>7</xdr:row>
      <xdr:rowOff>167640</xdr:rowOff>
    </xdr:from>
    <xdr:to>
      <xdr:col>18</xdr:col>
      <xdr:colOff>91440</xdr:colOff>
      <xdr:row>7</xdr:row>
      <xdr:rowOff>167640</xdr:rowOff>
    </xdr:to>
    <xdr:sp macro="" textlink="">
      <xdr:nvSpPr>
        <xdr:cNvPr id="1246631" name="Line 120"/>
        <xdr:cNvSpPr/>
      </xdr:nvSpPr>
      <xdr:spPr>
        <a:xfrm>
          <a:off x="7688580" y="1811655"/>
          <a:ext cx="762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83820</xdr:colOff>
      <xdr:row>7</xdr:row>
      <xdr:rowOff>122555</xdr:rowOff>
    </xdr:from>
    <xdr:to>
      <xdr:col>18</xdr:col>
      <xdr:colOff>144780</xdr:colOff>
      <xdr:row>7</xdr:row>
      <xdr:rowOff>167640</xdr:rowOff>
    </xdr:to>
    <xdr:sp macro="" textlink="">
      <xdr:nvSpPr>
        <xdr:cNvPr id="1246632" name="Line 121"/>
        <xdr:cNvSpPr/>
      </xdr:nvSpPr>
      <xdr:spPr>
        <a:xfrm flipV="1">
          <a:off x="7757160" y="1766570"/>
          <a:ext cx="60960" cy="45085"/>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137160</xdr:colOff>
      <xdr:row>7</xdr:row>
      <xdr:rowOff>122555</xdr:rowOff>
    </xdr:from>
    <xdr:to>
      <xdr:col>18</xdr:col>
      <xdr:colOff>220980</xdr:colOff>
      <xdr:row>7</xdr:row>
      <xdr:rowOff>122555</xdr:rowOff>
    </xdr:to>
    <xdr:sp macro="" textlink="">
      <xdr:nvSpPr>
        <xdr:cNvPr id="1246633" name="Line 122"/>
        <xdr:cNvSpPr/>
      </xdr:nvSpPr>
      <xdr:spPr>
        <a:xfrm>
          <a:off x="7810500" y="1766570"/>
          <a:ext cx="838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220980</xdr:colOff>
      <xdr:row>7</xdr:row>
      <xdr:rowOff>122555</xdr:rowOff>
    </xdr:from>
    <xdr:to>
      <xdr:col>18</xdr:col>
      <xdr:colOff>281940</xdr:colOff>
      <xdr:row>7</xdr:row>
      <xdr:rowOff>167640</xdr:rowOff>
    </xdr:to>
    <xdr:sp macro="" textlink="">
      <xdr:nvSpPr>
        <xdr:cNvPr id="1246634" name="Line 123"/>
        <xdr:cNvSpPr/>
      </xdr:nvSpPr>
      <xdr:spPr>
        <a:xfrm>
          <a:off x="7894320" y="1766570"/>
          <a:ext cx="60960" cy="45085"/>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274320</xdr:colOff>
      <xdr:row>7</xdr:row>
      <xdr:rowOff>167640</xdr:rowOff>
    </xdr:from>
    <xdr:to>
      <xdr:col>18</xdr:col>
      <xdr:colOff>411480</xdr:colOff>
      <xdr:row>7</xdr:row>
      <xdr:rowOff>167640</xdr:rowOff>
    </xdr:to>
    <xdr:sp macro="" textlink="">
      <xdr:nvSpPr>
        <xdr:cNvPr id="1246635" name="Line 124"/>
        <xdr:cNvSpPr/>
      </xdr:nvSpPr>
      <xdr:spPr>
        <a:xfrm>
          <a:off x="7947660" y="1811655"/>
          <a:ext cx="1371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403860</xdr:colOff>
      <xdr:row>7</xdr:row>
      <xdr:rowOff>122555</xdr:rowOff>
    </xdr:from>
    <xdr:to>
      <xdr:col>18</xdr:col>
      <xdr:colOff>449580</xdr:colOff>
      <xdr:row>7</xdr:row>
      <xdr:rowOff>175895</xdr:rowOff>
    </xdr:to>
    <xdr:sp macro="" textlink="">
      <xdr:nvSpPr>
        <xdr:cNvPr id="1246636" name="Line 125"/>
        <xdr:cNvSpPr/>
      </xdr:nvSpPr>
      <xdr:spPr>
        <a:xfrm flipV="1">
          <a:off x="8077200" y="1766570"/>
          <a:ext cx="45720" cy="533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441960</xdr:colOff>
      <xdr:row>7</xdr:row>
      <xdr:rowOff>122555</xdr:rowOff>
    </xdr:from>
    <xdr:to>
      <xdr:col>19</xdr:col>
      <xdr:colOff>0</xdr:colOff>
      <xdr:row>7</xdr:row>
      <xdr:rowOff>122555</xdr:rowOff>
    </xdr:to>
    <xdr:sp macro="" textlink="">
      <xdr:nvSpPr>
        <xdr:cNvPr id="1246637" name="Line 127"/>
        <xdr:cNvSpPr/>
      </xdr:nvSpPr>
      <xdr:spPr>
        <a:xfrm>
          <a:off x="8115300" y="1766570"/>
          <a:ext cx="609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502920</xdr:colOff>
      <xdr:row>7</xdr:row>
      <xdr:rowOff>122555</xdr:rowOff>
    </xdr:from>
    <xdr:to>
      <xdr:col>19</xdr:col>
      <xdr:colOff>15240</xdr:colOff>
      <xdr:row>7</xdr:row>
      <xdr:rowOff>182880</xdr:rowOff>
    </xdr:to>
    <xdr:sp macro="" textlink="">
      <xdr:nvSpPr>
        <xdr:cNvPr id="1246638" name="Line 128"/>
        <xdr:cNvSpPr/>
      </xdr:nvSpPr>
      <xdr:spPr>
        <a:xfrm>
          <a:off x="8176260" y="1766570"/>
          <a:ext cx="15240" cy="60325"/>
        </a:xfrm>
        <a:prstGeom prst="line">
          <a:avLst/>
        </a:prstGeom>
        <a:ln w="15875" cap="flat" cmpd="sng">
          <a:solidFill>
            <a:srgbClr val="000000"/>
          </a:solidFill>
          <a:prstDash val="solid"/>
          <a:round/>
          <a:headEnd type="none" w="med" len="med"/>
          <a:tailEnd type="none" w="med" len="med"/>
        </a:ln>
      </xdr:spPr>
    </xdr:sp>
    <xdr:clientData/>
  </xdr:twoCellAnchor>
  <xdr:twoCellAnchor>
    <xdr:from>
      <xdr:col>19</xdr:col>
      <xdr:colOff>7620</xdr:colOff>
      <xdr:row>7</xdr:row>
      <xdr:rowOff>167640</xdr:rowOff>
    </xdr:from>
    <xdr:to>
      <xdr:col>19</xdr:col>
      <xdr:colOff>99060</xdr:colOff>
      <xdr:row>7</xdr:row>
      <xdr:rowOff>167640</xdr:rowOff>
    </xdr:to>
    <xdr:sp macro="" textlink="">
      <xdr:nvSpPr>
        <xdr:cNvPr id="1246639" name="Line 129"/>
        <xdr:cNvSpPr/>
      </xdr:nvSpPr>
      <xdr:spPr>
        <a:xfrm>
          <a:off x="8183880" y="1811655"/>
          <a:ext cx="9144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15240</xdr:colOff>
      <xdr:row>7</xdr:row>
      <xdr:rowOff>7620</xdr:rowOff>
    </xdr:from>
    <xdr:to>
      <xdr:col>18</xdr:col>
      <xdr:colOff>83820</xdr:colOff>
      <xdr:row>7</xdr:row>
      <xdr:rowOff>7620</xdr:rowOff>
    </xdr:to>
    <xdr:sp macro="" textlink="">
      <xdr:nvSpPr>
        <xdr:cNvPr id="1246640" name="Line 132"/>
        <xdr:cNvSpPr/>
      </xdr:nvSpPr>
      <xdr:spPr>
        <a:xfrm>
          <a:off x="7688580" y="1651635"/>
          <a:ext cx="685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76200</xdr:colOff>
      <xdr:row>7</xdr:row>
      <xdr:rowOff>0</xdr:rowOff>
    </xdr:from>
    <xdr:to>
      <xdr:col>18</xdr:col>
      <xdr:colOff>137160</xdr:colOff>
      <xdr:row>7</xdr:row>
      <xdr:rowOff>45720</xdr:rowOff>
    </xdr:to>
    <xdr:sp macro="" textlink="">
      <xdr:nvSpPr>
        <xdr:cNvPr id="1246641" name="Line 133"/>
        <xdr:cNvSpPr/>
      </xdr:nvSpPr>
      <xdr:spPr>
        <a:xfrm>
          <a:off x="7749540" y="1644015"/>
          <a:ext cx="60960" cy="4572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137160</xdr:colOff>
      <xdr:row>7</xdr:row>
      <xdr:rowOff>45720</xdr:rowOff>
    </xdr:from>
    <xdr:to>
      <xdr:col>18</xdr:col>
      <xdr:colOff>220980</xdr:colOff>
      <xdr:row>7</xdr:row>
      <xdr:rowOff>45720</xdr:rowOff>
    </xdr:to>
    <xdr:sp macro="" textlink="">
      <xdr:nvSpPr>
        <xdr:cNvPr id="1246642" name="Line 134"/>
        <xdr:cNvSpPr/>
      </xdr:nvSpPr>
      <xdr:spPr>
        <a:xfrm>
          <a:off x="7810500" y="1689735"/>
          <a:ext cx="838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213360</xdr:colOff>
      <xdr:row>7</xdr:row>
      <xdr:rowOff>0</xdr:rowOff>
    </xdr:from>
    <xdr:to>
      <xdr:col>18</xdr:col>
      <xdr:colOff>266700</xdr:colOff>
      <xdr:row>7</xdr:row>
      <xdr:rowOff>53340</xdr:rowOff>
    </xdr:to>
    <xdr:sp macro="" textlink="">
      <xdr:nvSpPr>
        <xdr:cNvPr id="1246643" name="Line 135"/>
        <xdr:cNvSpPr/>
      </xdr:nvSpPr>
      <xdr:spPr>
        <a:xfrm flipV="1">
          <a:off x="7886700" y="1644015"/>
          <a:ext cx="53340" cy="533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266700</xdr:colOff>
      <xdr:row>7</xdr:row>
      <xdr:rowOff>0</xdr:rowOff>
    </xdr:from>
    <xdr:to>
      <xdr:col>18</xdr:col>
      <xdr:colOff>403860</xdr:colOff>
      <xdr:row>7</xdr:row>
      <xdr:rowOff>0</xdr:rowOff>
    </xdr:to>
    <xdr:sp macro="" textlink="">
      <xdr:nvSpPr>
        <xdr:cNvPr id="1246644" name="Line 136"/>
        <xdr:cNvSpPr/>
      </xdr:nvSpPr>
      <xdr:spPr>
        <a:xfrm>
          <a:off x="7940040" y="1644015"/>
          <a:ext cx="1371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403860</xdr:colOff>
      <xdr:row>7</xdr:row>
      <xdr:rowOff>0</xdr:rowOff>
    </xdr:from>
    <xdr:to>
      <xdr:col>18</xdr:col>
      <xdr:colOff>434340</xdr:colOff>
      <xdr:row>7</xdr:row>
      <xdr:rowOff>38100</xdr:rowOff>
    </xdr:to>
    <xdr:sp macro="" textlink="">
      <xdr:nvSpPr>
        <xdr:cNvPr id="1246645" name="Line 137"/>
        <xdr:cNvSpPr/>
      </xdr:nvSpPr>
      <xdr:spPr>
        <a:xfrm>
          <a:off x="8077200" y="1644015"/>
          <a:ext cx="30480" cy="3810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434340</xdr:colOff>
      <xdr:row>7</xdr:row>
      <xdr:rowOff>38100</xdr:rowOff>
    </xdr:from>
    <xdr:to>
      <xdr:col>19</xdr:col>
      <xdr:colOff>0</xdr:colOff>
      <xdr:row>7</xdr:row>
      <xdr:rowOff>38100</xdr:rowOff>
    </xdr:to>
    <xdr:sp macro="" textlink="">
      <xdr:nvSpPr>
        <xdr:cNvPr id="1246646" name="Line 138"/>
        <xdr:cNvSpPr/>
      </xdr:nvSpPr>
      <xdr:spPr>
        <a:xfrm>
          <a:off x="8107680" y="1682115"/>
          <a:ext cx="685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502920</xdr:colOff>
      <xdr:row>7</xdr:row>
      <xdr:rowOff>0</xdr:rowOff>
    </xdr:from>
    <xdr:to>
      <xdr:col>19</xdr:col>
      <xdr:colOff>15240</xdr:colOff>
      <xdr:row>7</xdr:row>
      <xdr:rowOff>38100</xdr:rowOff>
    </xdr:to>
    <xdr:sp macro="" textlink="">
      <xdr:nvSpPr>
        <xdr:cNvPr id="1246647" name="Line 139"/>
        <xdr:cNvSpPr/>
      </xdr:nvSpPr>
      <xdr:spPr>
        <a:xfrm flipV="1">
          <a:off x="8176260" y="1644015"/>
          <a:ext cx="15240" cy="38100"/>
        </a:xfrm>
        <a:prstGeom prst="line">
          <a:avLst/>
        </a:prstGeom>
        <a:ln w="15875" cap="flat" cmpd="sng">
          <a:solidFill>
            <a:srgbClr val="000000"/>
          </a:solidFill>
          <a:prstDash val="solid"/>
          <a:round/>
          <a:headEnd type="none" w="med" len="med"/>
          <a:tailEnd type="none" w="med" len="med"/>
        </a:ln>
      </xdr:spPr>
    </xdr:sp>
    <xdr:clientData/>
  </xdr:twoCellAnchor>
  <xdr:twoCellAnchor>
    <xdr:from>
      <xdr:col>19</xdr:col>
      <xdr:colOff>15240</xdr:colOff>
      <xdr:row>7</xdr:row>
      <xdr:rowOff>0</xdr:rowOff>
    </xdr:from>
    <xdr:to>
      <xdr:col>19</xdr:col>
      <xdr:colOff>99060</xdr:colOff>
      <xdr:row>7</xdr:row>
      <xdr:rowOff>0</xdr:rowOff>
    </xdr:to>
    <xdr:sp macro="" textlink="">
      <xdr:nvSpPr>
        <xdr:cNvPr id="1246648" name="Line 140"/>
        <xdr:cNvSpPr/>
      </xdr:nvSpPr>
      <xdr:spPr>
        <a:xfrm>
          <a:off x="8191500" y="1644015"/>
          <a:ext cx="838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18</xdr:col>
      <xdr:colOff>53340</xdr:colOff>
      <xdr:row>7</xdr:row>
      <xdr:rowOff>45720</xdr:rowOff>
    </xdr:from>
    <xdr:to>
      <xdr:col>18</xdr:col>
      <xdr:colOff>53340</xdr:colOff>
      <xdr:row>7</xdr:row>
      <xdr:rowOff>45720</xdr:rowOff>
    </xdr:to>
    <xdr:sp macro="" textlink="">
      <xdr:nvSpPr>
        <xdr:cNvPr id="1246649" name="Line 142"/>
        <xdr:cNvSpPr/>
      </xdr:nvSpPr>
      <xdr:spPr>
        <a:xfrm>
          <a:off x="7726680" y="1689735"/>
          <a:ext cx="0" cy="0"/>
        </a:xfrm>
        <a:prstGeom prst="line">
          <a:avLst/>
        </a:prstGeom>
        <a:ln w="0" cap="flat" cmpd="sng">
          <a:solidFill>
            <a:srgbClr val="000000"/>
          </a:solidFill>
          <a:prstDash val="solid"/>
          <a:round/>
          <a:headEnd type="none" w="med" len="med"/>
          <a:tailEnd type="oval" w="sm" len="sm"/>
        </a:ln>
      </xdr:spPr>
    </xdr:sp>
    <xdr:clientData/>
  </xdr:twoCellAnchor>
  <xdr:twoCellAnchor>
    <xdr:from>
      <xdr:col>32</xdr:col>
      <xdr:colOff>510540</xdr:colOff>
      <xdr:row>16</xdr:row>
      <xdr:rowOff>236220</xdr:rowOff>
    </xdr:from>
    <xdr:to>
      <xdr:col>32</xdr:col>
      <xdr:colOff>510540</xdr:colOff>
      <xdr:row>16</xdr:row>
      <xdr:rowOff>236220</xdr:rowOff>
    </xdr:to>
    <xdr:sp macro="" textlink="">
      <xdr:nvSpPr>
        <xdr:cNvPr id="1246650" name="Line 143"/>
        <xdr:cNvSpPr/>
      </xdr:nvSpPr>
      <xdr:spPr>
        <a:xfrm>
          <a:off x="15217140" y="34956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259080</xdr:colOff>
      <xdr:row>7</xdr:row>
      <xdr:rowOff>99060</xdr:rowOff>
    </xdr:from>
    <xdr:to>
      <xdr:col>18</xdr:col>
      <xdr:colOff>259080</xdr:colOff>
      <xdr:row>7</xdr:row>
      <xdr:rowOff>99060</xdr:rowOff>
    </xdr:to>
    <xdr:sp macro="" textlink="">
      <xdr:nvSpPr>
        <xdr:cNvPr id="1246651" name="Line 144"/>
        <xdr:cNvSpPr/>
      </xdr:nvSpPr>
      <xdr:spPr>
        <a:xfrm>
          <a:off x="7932420" y="17430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198120</xdr:colOff>
      <xdr:row>8</xdr:row>
      <xdr:rowOff>83820</xdr:rowOff>
    </xdr:from>
    <xdr:to>
      <xdr:col>12</xdr:col>
      <xdr:colOff>198120</xdr:colOff>
      <xdr:row>8</xdr:row>
      <xdr:rowOff>83820</xdr:rowOff>
    </xdr:to>
    <xdr:sp macro="" textlink="">
      <xdr:nvSpPr>
        <xdr:cNvPr id="1246652" name="Line 145"/>
        <xdr:cNvSpPr/>
      </xdr:nvSpPr>
      <xdr:spPr>
        <a:xfrm>
          <a:off x="5303520" y="19259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19</xdr:col>
      <xdr:colOff>45720</xdr:colOff>
      <xdr:row>7</xdr:row>
      <xdr:rowOff>45720</xdr:rowOff>
    </xdr:from>
    <xdr:to>
      <xdr:col>19</xdr:col>
      <xdr:colOff>45720</xdr:colOff>
      <xdr:row>7</xdr:row>
      <xdr:rowOff>45720</xdr:rowOff>
    </xdr:to>
    <xdr:sp macro="" textlink="">
      <xdr:nvSpPr>
        <xdr:cNvPr id="1246653" name="Line 146"/>
        <xdr:cNvSpPr/>
      </xdr:nvSpPr>
      <xdr:spPr>
        <a:xfrm>
          <a:off x="8221980" y="16897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281940</xdr:colOff>
      <xdr:row>7</xdr:row>
      <xdr:rowOff>182880</xdr:rowOff>
    </xdr:from>
    <xdr:to>
      <xdr:col>1</xdr:col>
      <xdr:colOff>281940</xdr:colOff>
      <xdr:row>7</xdr:row>
      <xdr:rowOff>182880</xdr:rowOff>
    </xdr:to>
    <xdr:sp macro="" textlink="">
      <xdr:nvSpPr>
        <xdr:cNvPr id="1246654" name="Line 147"/>
        <xdr:cNvSpPr/>
      </xdr:nvSpPr>
      <xdr:spPr>
        <a:xfrm>
          <a:off x="449580"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487680</xdr:colOff>
      <xdr:row>7</xdr:row>
      <xdr:rowOff>75565</xdr:rowOff>
    </xdr:from>
    <xdr:to>
      <xdr:col>18</xdr:col>
      <xdr:colOff>487680</xdr:colOff>
      <xdr:row>7</xdr:row>
      <xdr:rowOff>75565</xdr:rowOff>
    </xdr:to>
    <xdr:sp macro="" textlink="">
      <xdr:nvSpPr>
        <xdr:cNvPr id="1246655" name="Line 148"/>
        <xdr:cNvSpPr/>
      </xdr:nvSpPr>
      <xdr:spPr>
        <a:xfrm>
          <a:off x="8161020" y="171958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114300</xdr:colOff>
      <xdr:row>7</xdr:row>
      <xdr:rowOff>99060</xdr:rowOff>
    </xdr:from>
    <xdr:to>
      <xdr:col>18</xdr:col>
      <xdr:colOff>114300</xdr:colOff>
      <xdr:row>7</xdr:row>
      <xdr:rowOff>99060</xdr:rowOff>
    </xdr:to>
    <xdr:sp macro="" textlink="">
      <xdr:nvSpPr>
        <xdr:cNvPr id="1246656" name="Line 149"/>
        <xdr:cNvSpPr/>
      </xdr:nvSpPr>
      <xdr:spPr>
        <a:xfrm>
          <a:off x="7787640" y="17430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53340</xdr:colOff>
      <xdr:row>7</xdr:row>
      <xdr:rowOff>114300</xdr:rowOff>
    </xdr:from>
    <xdr:to>
      <xdr:col>18</xdr:col>
      <xdr:colOff>53340</xdr:colOff>
      <xdr:row>7</xdr:row>
      <xdr:rowOff>114300</xdr:rowOff>
    </xdr:to>
    <xdr:sp macro="" textlink="">
      <xdr:nvSpPr>
        <xdr:cNvPr id="1246657" name="Line 150"/>
        <xdr:cNvSpPr/>
      </xdr:nvSpPr>
      <xdr:spPr>
        <a:xfrm>
          <a:off x="7726680" y="17583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167640</xdr:colOff>
      <xdr:row>7</xdr:row>
      <xdr:rowOff>83820</xdr:rowOff>
    </xdr:from>
    <xdr:to>
      <xdr:col>18</xdr:col>
      <xdr:colOff>167640</xdr:colOff>
      <xdr:row>7</xdr:row>
      <xdr:rowOff>83820</xdr:rowOff>
    </xdr:to>
    <xdr:sp macro="" textlink="">
      <xdr:nvSpPr>
        <xdr:cNvPr id="1246658" name="Line 151"/>
        <xdr:cNvSpPr/>
      </xdr:nvSpPr>
      <xdr:spPr>
        <a:xfrm>
          <a:off x="7840980" y="17278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19</xdr:col>
      <xdr:colOff>15240</xdr:colOff>
      <xdr:row>7</xdr:row>
      <xdr:rowOff>114300</xdr:rowOff>
    </xdr:from>
    <xdr:to>
      <xdr:col>19</xdr:col>
      <xdr:colOff>45720</xdr:colOff>
      <xdr:row>7</xdr:row>
      <xdr:rowOff>122555</xdr:rowOff>
    </xdr:to>
    <xdr:sp macro="" textlink="">
      <xdr:nvSpPr>
        <xdr:cNvPr id="1246659" name="Line 152"/>
        <xdr:cNvSpPr/>
      </xdr:nvSpPr>
      <xdr:spPr>
        <a:xfrm>
          <a:off x="8191500" y="1758315"/>
          <a:ext cx="30480" cy="8255"/>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365760</xdr:colOff>
      <xdr:row>8</xdr:row>
      <xdr:rowOff>53340</xdr:rowOff>
    </xdr:from>
    <xdr:to>
      <xdr:col>1</xdr:col>
      <xdr:colOff>365760</xdr:colOff>
      <xdr:row>8</xdr:row>
      <xdr:rowOff>53340</xdr:rowOff>
    </xdr:to>
    <xdr:sp macro="" textlink="">
      <xdr:nvSpPr>
        <xdr:cNvPr id="1246660" name="Line 153"/>
        <xdr:cNvSpPr/>
      </xdr:nvSpPr>
      <xdr:spPr>
        <a:xfrm>
          <a:off x="533400" y="18954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175260</xdr:colOff>
      <xdr:row>8</xdr:row>
      <xdr:rowOff>68580</xdr:rowOff>
    </xdr:from>
    <xdr:to>
      <xdr:col>2</xdr:col>
      <xdr:colOff>175260</xdr:colOff>
      <xdr:row>8</xdr:row>
      <xdr:rowOff>68580</xdr:rowOff>
    </xdr:to>
    <xdr:sp macro="" textlink="">
      <xdr:nvSpPr>
        <xdr:cNvPr id="1246661" name="Line 154"/>
        <xdr:cNvSpPr/>
      </xdr:nvSpPr>
      <xdr:spPr>
        <a:xfrm>
          <a:off x="845820" y="19107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403860</xdr:colOff>
      <xdr:row>8</xdr:row>
      <xdr:rowOff>68580</xdr:rowOff>
    </xdr:from>
    <xdr:to>
      <xdr:col>2</xdr:col>
      <xdr:colOff>403860</xdr:colOff>
      <xdr:row>8</xdr:row>
      <xdr:rowOff>68580</xdr:rowOff>
    </xdr:to>
    <xdr:sp macro="" textlink="">
      <xdr:nvSpPr>
        <xdr:cNvPr id="1246662" name="Line 155"/>
        <xdr:cNvSpPr/>
      </xdr:nvSpPr>
      <xdr:spPr>
        <a:xfrm>
          <a:off x="1074420" y="19107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15240</xdr:colOff>
      <xdr:row>8</xdr:row>
      <xdr:rowOff>53340</xdr:rowOff>
    </xdr:from>
    <xdr:to>
      <xdr:col>3</xdr:col>
      <xdr:colOff>15240</xdr:colOff>
      <xdr:row>8</xdr:row>
      <xdr:rowOff>53340</xdr:rowOff>
    </xdr:to>
    <xdr:sp macro="" textlink="">
      <xdr:nvSpPr>
        <xdr:cNvPr id="1246663" name="Line 156"/>
        <xdr:cNvSpPr/>
      </xdr:nvSpPr>
      <xdr:spPr>
        <a:xfrm>
          <a:off x="1333500" y="18954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83820</xdr:colOff>
      <xdr:row>7</xdr:row>
      <xdr:rowOff>190500</xdr:rowOff>
    </xdr:from>
    <xdr:to>
      <xdr:col>2</xdr:col>
      <xdr:colOff>83820</xdr:colOff>
      <xdr:row>7</xdr:row>
      <xdr:rowOff>190500</xdr:rowOff>
    </xdr:to>
    <xdr:sp macro="" textlink="">
      <xdr:nvSpPr>
        <xdr:cNvPr id="1246664" name="Line 157"/>
        <xdr:cNvSpPr/>
      </xdr:nvSpPr>
      <xdr:spPr>
        <a:xfrm>
          <a:off x="75438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426720</xdr:colOff>
      <xdr:row>7</xdr:row>
      <xdr:rowOff>182880</xdr:rowOff>
    </xdr:from>
    <xdr:to>
      <xdr:col>1</xdr:col>
      <xdr:colOff>426720</xdr:colOff>
      <xdr:row>7</xdr:row>
      <xdr:rowOff>182880</xdr:rowOff>
    </xdr:to>
    <xdr:sp macro="" textlink="">
      <xdr:nvSpPr>
        <xdr:cNvPr id="1246665" name="Line 158"/>
        <xdr:cNvSpPr/>
      </xdr:nvSpPr>
      <xdr:spPr>
        <a:xfrm>
          <a:off x="594360"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60960</xdr:colOff>
      <xdr:row>8</xdr:row>
      <xdr:rowOff>122555</xdr:rowOff>
    </xdr:from>
    <xdr:to>
      <xdr:col>2</xdr:col>
      <xdr:colOff>60960</xdr:colOff>
      <xdr:row>8</xdr:row>
      <xdr:rowOff>122555</xdr:rowOff>
    </xdr:to>
    <xdr:sp macro="" textlink="">
      <xdr:nvSpPr>
        <xdr:cNvPr id="1246666" name="Line 159"/>
        <xdr:cNvSpPr/>
      </xdr:nvSpPr>
      <xdr:spPr>
        <a:xfrm>
          <a:off x="731520"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175260</xdr:colOff>
      <xdr:row>8</xdr:row>
      <xdr:rowOff>45720</xdr:rowOff>
    </xdr:from>
    <xdr:to>
      <xdr:col>3</xdr:col>
      <xdr:colOff>175260</xdr:colOff>
      <xdr:row>8</xdr:row>
      <xdr:rowOff>45720</xdr:rowOff>
    </xdr:to>
    <xdr:sp macro="" textlink="">
      <xdr:nvSpPr>
        <xdr:cNvPr id="1246667" name="Line 160"/>
        <xdr:cNvSpPr/>
      </xdr:nvSpPr>
      <xdr:spPr>
        <a:xfrm>
          <a:off x="1493520" y="18878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365760</xdr:colOff>
      <xdr:row>7</xdr:row>
      <xdr:rowOff>182880</xdr:rowOff>
    </xdr:from>
    <xdr:to>
      <xdr:col>2</xdr:col>
      <xdr:colOff>365760</xdr:colOff>
      <xdr:row>7</xdr:row>
      <xdr:rowOff>182880</xdr:rowOff>
    </xdr:to>
    <xdr:sp macro="" textlink="">
      <xdr:nvSpPr>
        <xdr:cNvPr id="1246668" name="Line 161"/>
        <xdr:cNvSpPr/>
      </xdr:nvSpPr>
      <xdr:spPr>
        <a:xfrm>
          <a:off x="1036320"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297180</xdr:colOff>
      <xdr:row>8</xdr:row>
      <xdr:rowOff>83820</xdr:rowOff>
    </xdr:from>
    <xdr:to>
      <xdr:col>2</xdr:col>
      <xdr:colOff>297180</xdr:colOff>
      <xdr:row>8</xdr:row>
      <xdr:rowOff>83820</xdr:rowOff>
    </xdr:to>
    <xdr:sp macro="" textlink="">
      <xdr:nvSpPr>
        <xdr:cNvPr id="1246669" name="Line 162"/>
        <xdr:cNvSpPr/>
      </xdr:nvSpPr>
      <xdr:spPr>
        <a:xfrm>
          <a:off x="967740" y="19259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586740</xdr:colOff>
      <xdr:row>8</xdr:row>
      <xdr:rowOff>106680</xdr:rowOff>
    </xdr:from>
    <xdr:to>
      <xdr:col>2</xdr:col>
      <xdr:colOff>586740</xdr:colOff>
      <xdr:row>8</xdr:row>
      <xdr:rowOff>106680</xdr:rowOff>
    </xdr:to>
    <xdr:sp macro="" textlink="">
      <xdr:nvSpPr>
        <xdr:cNvPr id="1246670" name="Line 163"/>
        <xdr:cNvSpPr/>
      </xdr:nvSpPr>
      <xdr:spPr>
        <a:xfrm>
          <a:off x="1257300" y="19488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510540</xdr:colOff>
      <xdr:row>8</xdr:row>
      <xdr:rowOff>0</xdr:rowOff>
    </xdr:from>
    <xdr:to>
      <xdr:col>2</xdr:col>
      <xdr:colOff>510540</xdr:colOff>
      <xdr:row>8</xdr:row>
      <xdr:rowOff>0</xdr:rowOff>
    </xdr:to>
    <xdr:sp macro="" textlink="">
      <xdr:nvSpPr>
        <xdr:cNvPr id="1246671" name="Line 164"/>
        <xdr:cNvSpPr/>
      </xdr:nvSpPr>
      <xdr:spPr>
        <a:xfrm>
          <a:off x="1181100" y="18421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91440</xdr:colOff>
      <xdr:row>7</xdr:row>
      <xdr:rowOff>190500</xdr:rowOff>
    </xdr:from>
    <xdr:to>
      <xdr:col>3</xdr:col>
      <xdr:colOff>91440</xdr:colOff>
      <xdr:row>7</xdr:row>
      <xdr:rowOff>190500</xdr:rowOff>
    </xdr:to>
    <xdr:sp macro="" textlink="">
      <xdr:nvSpPr>
        <xdr:cNvPr id="1246672" name="Line 165"/>
        <xdr:cNvSpPr/>
      </xdr:nvSpPr>
      <xdr:spPr>
        <a:xfrm>
          <a:off x="140970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365760</xdr:colOff>
      <xdr:row>7</xdr:row>
      <xdr:rowOff>198120</xdr:rowOff>
    </xdr:from>
    <xdr:to>
      <xdr:col>3</xdr:col>
      <xdr:colOff>365760</xdr:colOff>
      <xdr:row>8</xdr:row>
      <xdr:rowOff>0</xdr:rowOff>
    </xdr:to>
    <xdr:sp macro="" textlink="">
      <xdr:nvSpPr>
        <xdr:cNvPr id="1246673" name="Line 166"/>
        <xdr:cNvSpPr/>
      </xdr:nvSpPr>
      <xdr:spPr>
        <a:xfrm>
          <a:off x="1684020" y="18421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495300</xdr:colOff>
      <xdr:row>8</xdr:row>
      <xdr:rowOff>122555</xdr:rowOff>
    </xdr:from>
    <xdr:to>
      <xdr:col>2</xdr:col>
      <xdr:colOff>495300</xdr:colOff>
      <xdr:row>8</xdr:row>
      <xdr:rowOff>122555</xdr:rowOff>
    </xdr:to>
    <xdr:sp macro="" textlink="">
      <xdr:nvSpPr>
        <xdr:cNvPr id="1246674" name="Line 167"/>
        <xdr:cNvSpPr/>
      </xdr:nvSpPr>
      <xdr:spPr>
        <a:xfrm>
          <a:off x="1165860"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99060</xdr:colOff>
      <xdr:row>8</xdr:row>
      <xdr:rowOff>99060</xdr:rowOff>
    </xdr:from>
    <xdr:to>
      <xdr:col>3</xdr:col>
      <xdr:colOff>99060</xdr:colOff>
      <xdr:row>8</xdr:row>
      <xdr:rowOff>99060</xdr:rowOff>
    </xdr:to>
    <xdr:sp macro="" textlink="">
      <xdr:nvSpPr>
        <xdr:cNvPr id="1246675" name="Line 168"/>
        <xdr:cNvSpPr/>
      </xdr:nvSpPr>
      <xdr:spPr>
        <a:xfrm>
          <a:off x="1417320" y="19411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419100</xdr:colOff>
      <xdr:row>8</xdr:row>
      <xdr:rowOff>122555</xdr:rowOff>
    </xdr:from>
    <xdr:to>
      <xdr:col>3</xdr:col>
      <xdr:colOff>419100</xdr:colOff>
      <xdr:row>8</xdr:row>
      <xdr:rowOff>122555</xdr:rowOff>
    </xdr:to>
    <xdr:sp macro="" textlink="">
      <xdr:nvSpPr>
        <xdr:cNvPr id="1246676" name="Line 169"/>
        <xdr:cNvSpPr/>
      </xdr:nvSpPr>
      <xdr:spPr>
        <a:xfrm>
          <a:off x="1737360"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220980</xdr:colOff>
      <xdr:row>7</xdr:row>
      <xdr:rowOff>190500</xdr:rowOff>
    </xdr:from>
    <xdr:to>
      <xdr:col>3</xdr:col>
      <xdr:colOff>220980</xdr:colOff>
      <xdr:row>7</xdr:row>
      <xdr:rowOff>190500</xdr:rowOff>
    </xdr:to>
    <xdr:sp macro="" textlink="">
      <xdr:nvSpPr>
        <xdr:cNvPr id="1246677" name="Line 170"/>
        <xdr:cNvSpPr/>
      </xdr:nvSpPr>
      <xdr:spPr>
        <a:xfrm>
          <a:off x="153924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236220</xdr:colOff>
      <xdr:row>8</xdr:row>
      <xdr:rowOff>114300</xdr:rowOff>
    </xdr:from>
    <xdr:to>
      <xdr:col>3</xdr:col>
      <xdr:colOff>236220</xdr:colOff>
      <xdr:row>8</xdr:row>
      <xdr:rowOff>122555</xdr:rowOff>
    </xdr:to>
    <xdr:sp macro="" textlink="">
      <xdr:nvSpPr>
        <xdr:cNvPr id="1246678" name="Line 171"/>
        <xdr:cNvSpPr/>
      </xdr:nvSpPr>
      <xdr:spPr>
        <a:xfrm flipV="1">
          <a:off x="1554480" y="1956435"/>
          <a:ext cx="0" cy="8255"/>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419100</xdr:colOff>
      <xdr:row>8</xdr:row>
      <xdr:rowOff>122555</xdr:rowOff>
    </xdr:from>
    <xdr:to>
      <xdr:col>1</xdr:col>
      <xdr:colOff>419100</xdr:colOff>
      <xdr:row>8</xdr:row>
      <xdr:rowOff>122555</xdr:rowOff>
    </xdr:to>
    <xdr:sp macro="" textlink="">
      <xdr:nvSpPr>
        <xdr:cNvPr id="1246679" name="Line 172"/>
        <xdr:cNvSpPr/>
      </xdr:nvSpPr>
      <xdr:spPr>
        <a:xfrm>
          <a:off x="586740"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xdr:col>
      <xdr:colOff>274320</xdr:colOff>
      <xdr:row>8</xdr:row>
      <xdr:rowOff>83820</xdr:rowOff>
    </xdr:from>
    <xdr:to>
      <xdr:col>1</xdr:col>
      <xdr:colOff>274320</xdr:colOff>
      <xdr:row>8</xdr:row>
      <xdr:rowOff>83820</xdr:rowOff>
    </xdr:to>
    <xdr:sp macro="" textlink="">
      <xdr:nvSpPr>
        <xdr:cNvPr id="1246680" name="Line 173"/>
        <xdr:cNvSpPr/>
      </xdr:nvSpPr>
      <xdr:spPr>
        <a:xfrm>
          <a:off x="441960" y="19259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2</xdr:col>
      <xdr:colOff>7620</xdr:colOff>
      <xdr:row>8</xdr:row>
      <xdr:rowOff>53340</xdr:rowOff>
    </xdr:from>
    <xdr:to>
      <xdr:col>2</xdr:col>
      <xdr:colOff>7620</xdr:colOff>
      <xdr:row>8</xdr:row>
      <xdr:rowOff>53340</xdr:rowOff>
    </xdr:to>
    <xdr:sp macro="" textlink="">
      <xdr:nvSpPr>
        <xdr:cNvPr id="1246681" name="Line 174"/>
        <xdr:cNvSpPr/>
      </xdr:nvSpPr>
      <xdr:spPr>
        <a:xfrm>
          <a:off x="678180" y="18954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342900</xdr:colOff>
      <xdr:row>8</xdr:row>
      <xdr:rowOff>7620</xdr:rowOff>
    </xdr:from>
    <xdr:to>
      <xdr:col>12</xdr:col>
      <xdr:colOff>342900</xdr:colOff>
      <xdr:row>8</xdr:row>
      <xdr:rowOff>7620</xdr:rowOff>
    </xdr:to>
    <xdr:sp macro="" textlink="">
      <xdr:nvSpPr>
        <xdr:cNvPr id="1246682" name="Line 175"/>
        <xdr:cNvSpPr/>
      </xdr:nvSpPr>
      <xdr:spPr>
        <a:xfrm>
          <a:off x="5448300" y="18497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137160</xdr:colOff>
      <xdr:row>8</xdr:row>
      <xdr:rowOff>75565</xdr:rowOff>
    </xdr:from>
    <xdr:to>
      <xdr:col>13</xdr:col>
      <xdr:colOff>137160</xdr:colOff>
      <xdr:row>8</xdr:row>
      <xdr:rowOff>75565</xdr:rowOff>
    </xdr:to>
    <xdr:sp macro="" textlink="">
      <xdr:nvSpPr>
        <xdr:cNvPr id="1246683" name="Line 176"/>
        <xdr:cNvSpPr/>
      </xdr:nvSpPr>
      <xdr:spPr>
        <a:xfrm>
          <a:off x="5791200" y="191770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320040</xdr:colOff>
      <xdr:row>7</xdr:row>
      <xdr:rowOff>167640</xdr:rowOff>
    </xdr:from>
    <xdr:to>
      <xdr:col>13</xdr:col>
      <xdr:colOff>320040</xdr:colOff>
      <xdr:row>7</xdr:row>
      <xdr:rowOff>167640</xdr:rowOff>
    </xdr:to>
    <xdr:sp macro="" textlink="">
      <xdr:nvSpPr>
        <xdr:cNvPr id="1246684" name="Line 177"/>
        <xdr:cNvSpPr/>
      </xdr:nvSpPr>
      <xdr:spPr>
        <a:xfrm>
          <a:off x="5974080" y="18116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556260</xdr:colOff>
      <xdr:row>7</xdr:row>
      <xdr:rowOff>190500</xdr:rowOff>
    </xdr:from>
    <xdr:to>
      <xdr:col>13</xdr:col>
      <xdr:colOff>556260</xdr:colOff>
      <xdr:row>7</xdr:row>
      <xdr:rowOff>190500</xdr:rowOff>
    </xdr:to>
    <xdr:sp macro="" textlink="">
      <xdr:nvSpPr>
        <xdr:cNvPr id="1246685" name="Line 178"/>
        <xdr:cNvSpPr/>
      </xdr:nvSpPr>
      <xdr:spPr>
        <a:xfrm>
          <a:off x="621030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114300</xdr:colOff>
      <xdr:row>8</xdr:row>
      <xdr:rowOff>75565</xdr:rowOff>
    </xdr:from>
    <xdr:to>
      <xdr:col>12</xdr:col>
      <xdr:colOff>114300</xdr:colOff>
      <xdr:row>8</xdr:row>
      <xdr:rowOff>75565</xdr:rowOff>
    </xdr:to>
    <xdr:sp macro="" textlink="">
      <xdr:nvSpPr>
        <xdr:cNvPr id="1246686" name="Line 179"/>
        <xdr:cNvSpPr/>
      </xdr:nvSpPr>
      <xdr:spPr>
        <a:xfrm>
          <a:off x="5219700" y="191770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434340</xdr:colOff>
      <xdr:row>7</xdr:row>
      <xdr:rowOff>190500</xdr:rowOff>
    </xdr:from>
    <xdr:to>
      <xdr:col>13</xdr:col>
      <xdr:colOff>434340</xdr:colOff>
      <xdr:row>7</xdr:row>
      <xdr:rowOff>190500</xdr:rowOff>
    </xdr:to>
    <xdr:sp macro="" textlink="">
      <xdr:nvSpPr>
        <xdr:cNvPr id="1246687" name="Line 180"/>
        <xdr:cNvSpPr/>
      </xdr:nvSpPr>
      <xdr:spPr>
        <a:xfrm>
          <a:off x="608838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259080</xdr:colOff>
      <xdr:row>7</xdr:row>
      <xdr:rowOff>160020</xdr:rowOff>
    </xdr:from>
    <xdr:to>
      <xdr:col>12</xdr:col>
      <xdr:colOff>266700</xdr:colOff>
      <xdr:row>7</xdr:row>
      <xdr:rowOff>160020</xdr:rowOff>
    </xdr:to>
    <xdr:sp macro="" textlink="">
      <xdr:nvSpPr>
        <xdr:cNvPr id="1246688" name="Line 181"/>
        <xdr:cNvSpPr/>
      </xdr:nvSpPr>
      <xdr:spPr>
        <a:xfrm flipH="1">
          <a:off x="5364480" y="1804035"/>
          <a:ext cx="762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38100</xdr:colOff>
      <xdr:row>7</xdr:row>
      <xdr:rowOff>182880</xdr:rowOff>
    </xdr:from>
    <xdr:to>
      <xdr:col>13</xdr:col>
      <xdr:colOff>38100</xdr:colOff>
      <xdr:row>7</xdr:row>
      <xdr:rowOff>182880</xdr:rowOff>
    </xdr:to>
    <xdr:sp macro="" textlink="">
      <xdr:nvSpPr>
        <xdr:cNvPr id="1246689" name="Line 182"/>
        <xdr:cNvSpPr/>
      </xdr:nvSpPr>
      <xdr:spPr>
        <a:xfrm>
          <a:off x="5692140"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15240</xdr:colOff>
      <xdr:row>8</xdr:row>
      <xdr:rowOff>30480</xdr:rowOff>
    </xdr:from>
    <xdr:to>
      <xdr:col>14</xdr:col>
      <xdr:colOff>15240</xdr:colOff>
      <xdr:row>8</xdr:row>
      <xdr:rowOff>30480</xdr:rowOff>
    </xdr:to>
    <xdr:sp macro="" textlink="">
      <xdr:nvSpPr>
        <xdr:cNvPr id="1246690" name="Line 183"/>
        <xdr:cNvSpPr/>
      </xdr:nvSpPr>
      <xdr:spPr>
        <a:xfrm>
          <a:off x="6286500" y="18726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251460</xdr:colOff>
      <xdr:row>7</xdr:row>
      <xdr:rowOff>182880</xdr:rowOff>
    </xdr:from>
    <xdr:to>
      <xdr:col>14</xdr:col>
      <xdr:colOff>251460</xdr:colOff>
      <xdr:row>7</xdr:row>
      <xdr:rowOff>182880</xdr:rowOff>
    </xdr:to>
    <xdr:sp macro="" textlink="">
      <xdr:nvSpPr>
        <xdr:cNvPr id="1246691" name="Line 184"/>
        <xdr:cNvSpPr/>
      </xdr:nvSpPr>
      <xdr:spPr>
        <a:xfrm>
          <a:off x="6522720" y="18268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274320</xdr:colOff>
      <xdr:row>8</xdr:row>
      <xdr:rowOff>99060</xdr:rowOff>
    </xdr:from>
    <xdr:to>
      <xdr:col>14</xdr:col>
      <xdr:colOff>274320</xdr:colOff>
      <xdr:row>8</xdr:row>
      <xdr:rowOff>99060</xdr:rowOff>
    </xdr:to>
    <xdr:sp macro="" textlink="">
      <xdr:nvSpPr>
        <xdr:cNvPr id="1246692" name="Line 185"/>
        <xdr:cNvSpPr/>
      </xdr:nvSpPr>
      <xdr:spPr>
        <a:xfrm>
          <a:off x="6545580" y="19411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144780</xdr:colOff>
      <xdr:row>7</xdr:row>
      <xdr:rowOff>167640</xdr:rowOff>
    </xdr:from>
    <xdr:to>
      <xdr:col>12</xdr:col>
      <xdr:colOff>144780</xdr:colOff>
      <xdr:row>7</xdr:row>
      <xdr:rowOff>167640</xdr:rowOff>
    </xdr:to>
    <xdr:sp macro="" textlink="">
      <xdr:nvSpPr>
        <xdr:cNvPr id="1246693" name="Line 186"/>
        <xdr:cNvSpPr/>
      </xdr:nvSpPr>
      <xdr:spPr>
        <a:xfrm>
          <a:off x="5250180" y="18116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388620</xdr:colOff>
      <xdr:row>8</xdr:row>
      <xdr:rowOff>45720</xdr:rowOff>
    </xdr:from>
    <xdr:to>
      <xdr:col>13</xdr:col>
      <xdr:colOff>388620</xdr:colOff>
      <xdr:row>8</xdr:row>
      <xdr:rowOff>45720</xdr:rowOff>
    </xdr:to>
    <xdr:sp macro="" textlink="">
      <xdr:nvSpPr>
        <xdr:cNvPr id="1246694" name="Line 187"/>
        <xdr:cNvSpPr/>
      </xdr:nvSpPr>
      <xdr:spPr>
        <a:xfrm>
          <a:off x="6042660" y="18878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220980</xdr:colOff>
      <xdr:row>8</xdr:row>
      <xdr:rowOff>7620</xdr:rowOff>
    </xdr:from>
    <xdr:to>
      <xdr:col>13</xdr:col>
      <xdr:colOff>220980</xdr:colOff>
      <xdr:row>8</xdr:row>
      <xdr:rowOff>7620</xdr:rowOff>
    </xdr:to>
    <xdr:sp macro="" textlink="">
      <xdr:nvSpPr>
        <xdr:cNvPr id="1246695" name="Line 188"/>
        <xdr:cNvSpPr/>
      </xdr:nvSpPr>
      <xdr:spPr>
        <a:xfrm>
          <a:off x="5875020" y="18497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152400</xdr:colOff>
      <xdr:row>8</xdr:row>
      <xdr:rowOff>0</xdr:rowOff>
    </xdr:from>
    <xdr:to>
      <xdr:col>14</xdr:col>
      <xdr:colOff>160020</xdr:colOff>
      <xdr:row>8</xdr:row>
      <xdr:rowOff>0</xdr:rowOff>
    </xdr:to>
    <xdr:sp macro="" textlink="">
      <xdr:nvSpPr>
        <xdr:cNvPr id="1246696" name="Line 189"/>
        <xdr:cNvSpPr/>
      </xdr:nvSpPr>
      <xdr:spPr>
        <a:xfrm flipH="1">
          <a:off x="6423660" y="1842135"/>
          <a:ext cx="762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137160</xdr:colOff>
      <xdr:row>7</xdr:row>
      <xdr:rowOff>160020</xdr:rowOff>
    </xdr:from>
    <xdr:to>
      <xdr:col>13</xdr:col>
      <xdr:colOff>137160</xdr:colOff>
      <xdr:row>7</xdr:row>
      <xdr:rowOff>160020</xdr:rowOff>
    </xdr:to>
    <xdr:sp macro="" textlink="">
      <xdr:nvSpPr>
        <xdr:cNvPr id="1246697" name="Line 190"/>
        <xdr:cNvSpPr/>
      </xdr:nvSpPr>
      <xdr:spPr>
        <a:xfrm>
          <a:off x="5791200" y="18040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13</xdr:col>
      <xdr:colOff>449580</xdr:colOff>
      <xdr:row>8</xdr:row>
      <xdr:rowOff>99060</xdr:rowOff>
    </xdr:from>
    <xdr:to>
      <xdr:col>13</xdr:col>
      <xdr:colOff>449580</xdr:colOff>
      <xdr:row>8</xdr:row>
      <xdr:rowOff>99060</xdr:rowOff>
    </xdr:to>
    <xdr:sp macro="" textlink="">
      <xdr:nvSpPr>
        <xdr:cNvPr id="1246698" name="Line 191"/>
        <xdr:cNvSpPr/>
      </xdr:nvSpPr>
      <xdr:spPr>
        <a:xfrm>
          <a:off x="6103620" y="19411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14</xdr:col>
      <xdr:colOff>60960</xdr:colOff>
      <xdr:row>7</xdr:row>
      <xdr:rowOff>160020</xdr:rowOff>
    </xdr:from>
    <xdr:to>
      <xdr:col>14</xdr:col>
      <xdr:colOff>60960</xdr:colOff>
      <xdr:row>7</xdr:row>
      <xdr:rowOff>160020</xdr:rowOff>
    </xdr:to>
    <xdr:sp macro="" textlink="">
      <xdr:nvSpPr>
        <xdr:cNvPr id="1246699" name="Line 192"/>
        <xdr:cNvSpPr/>
      </xdr:nvSpPr>
      <xdr:spPr>
        <a:xfrm>
          <a:off x="6332220" y="18040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304800</xdr:colOff>
      <xdr:row>7</xdr:row>
      <xdr:rowOff>53340</xdr:rowOff>
    </xdr:from>
    <xdr:to>
      <xdr:col>18</xdr:col>
      <xdr:colOff>304800</xdr:colOff>
      <xdr:row>7</xdr:row>
      <xdr:rowOff>53340</xdr:rowOff>
    </xdr:to>
    <xdr:sp macro="" textlink="">
      <xdr:nvSpPr>
        <xdr:cNvPr id="1246700" name="Line 193"/>
        <xdr:cNvSpPr/>
      </xdr:nvSpPr>
      <xdr:spPr>
        <a:xfrm>
          <a:off x="7978140" y="16973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381000</xdr:colOff>
      <xdr:row>7</xdr:row>
      <xdr:rowOff>75565</xdr:rowOff>
    </xdr:from>
    <xdr:to>
      <xdr:col>18</xdr:col>
      <xdr:colOff>381000</xdr:colOff>
      <xdr:row>7</xdr:row>
      <xdr:rowOff>75565</xdr:rowOff>
    </xdr:to>
    <xdr:sp macro="" textlink="">
      <xdr:nvSpPr>
        <xdr:cNvPr id="1246701" name="Line 194"/>
        <xdr:cNvSpPr/>
      </xdr:nvSpPr>
      <xdr:spPr>
        <a:xfrm>
          <a:off x="8054340" y="171958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335280</xdr:colOff>
      <xdr:row>7</xdr:row>
      <xdr:rowOff>122555</xdr:rowOff>
    </xdr:from>
    <xdr:to>
      <xdr:col>18</xdr:col>
      <xdr:colOff>335280</xdr:colOff>
      <xdr:row>7</xdr:row>
      <xdr:rowOff>122555</xdr:rowOff>
    </xdr:to>
    <xdr:sp macro="" textlink="">
      <xdr:nvSpPr>
        <xdr:cNvPr id="1246702" name="Line 195"/>
        <xdr:cNvSpPr/>
      </xdr:nvSpPr>
      <xdr:spPr>
        <a:xfrm>
          <a:off x="8008620" y="176657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5</xdr:col>
      <xdr:colOff>251460</xdr:colOff>
      <xdr:row>7</xdr:row>
      <xdr:rowOff>190500</xdr:rowOff>
    </xdr:from>
    <xdr:to>
      <xdr:col>5</xdr:col>
      <xdr:colOff>251460</xdr:colOff>
      <xdr:row>7</xdr:row>
      <xdr:rowOff>190500</xdr:rowOff>
    </xdr:to>
    <xdr:sp macro="" textlink="">
      <xdr:nvSpPr>
        <xdr:cNvPr id="1246703" name="Line 196"/>
        <xdr:cNvSpPr/>
      </xdr:nvSpPr>
      <xdr:spPr>
        <a:xfrm>
          <a:off x="286512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5</xdr:col>
      <xdr:colOff>297180</xdr:colOff>
      <xdr:row>8</xdr:row>
      <xdr:rowOff>45720</xdr:rowOff>
    </xdr:from>
    <xdr:to>
      <xdr:col>5</xdr:col>
      <xdr:colOff>297180</xdr:colOff>
      <xdr:row>8</xdr:row>
      <xdr:rowOff>45720</xdr:rowOff>
    </xdr:to>
    <xdr:sp macro="" textlink="">
      <xdr:nvSpPr>
        <xdr:cNvPr id="1246704" name="Line 197"/>
        <xdr:cNvSpPr/>
      </xdr:nvSpPr>
      <xdr:spPr>
        <a:xfrm>
          <a:off x="2910840" y="18878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6</xdr:col>
      <xdr:colOff>22860</xdr:colOff>
      <xdr:row>8</xdr:row>
      <xdr:rowOff>114300</xdr:rowOff>
    </xdr:from>
    <xdr:to>
      <xdr:col>6</xdr:col>
      <xdr:colOff>22860</xdr:colOff>
      <xdr:row>8</xdr:row>
      <xdr:rowOff>114300</xdr:rowOff>
    </xdr:to>
    <xdr:sp macro="" textlink="">
      <xdr:nvSpPr>
        <xdr:cNvPr id="1246705" name="Line 198"/>
        <xdr:cNvSpPr/>
      </xdr:nvSpPr>
      <xdr:spPr>
        <a:xfrm>
          <a:off x="2987040" y="19564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6</xdr:col>
      <xdr:colOff>228600</xdr:colOff>
      <xdr:row>8</xdr:row>
      <xdr:rowOff>114300</xdr:rowOff>
    </xdr:from>
    <xdr:to>
      <xdr:col>6</xdr:col>
      <xdr:colOff>228600</xdr:colOff>
      <xdr:row>8</xdr:row>
      <xdr:rowOff>114300</xdr:rowOff>
    </xdr:to>
    <xdr:sp macro="" textlink="">
      <xdr:nvSpPr>
        <xdr:cNvPr id="1246706" name="Line 199"/>
        <xdr:cNvSpPr/>
      </xdr:nvSpPr>
      <xdr:spPr>
        <a:xfrm>
          <a:off x="3192780" y="195643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6</xdr:col>
      <xdr:colOff>121920</xdr:colOff>
      <xdr:row>8</xdr:row>
      <xdr:rowOff>122555</xdr:rowOff>
    </xdr:from>
    <xdr:to>
      <xdr:col>6</xdr:col>
      <xdr:colOff>121920</xdr:colOff>
      <xdr:row>8</xdr:row>
      <xdr:rowOff>122555</xdr:rowOff>
    </xdr:to>
    <xdr:sp macro="" textlink="">
      <xdr:nvSpPr>
        <xdr:cNvPr id="1246707" name="Line 200"/>
        <xdr:cNvSpPr/>
      </xdr:nvSpPr>
      <xdr:spPr>
        <a:xfrm>
          <a:off x="3086100" y="1964690"/>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205740</xdr:colOff>
      <xdr:row>8</xdr:row>
      <xdr:rowOff>106680</xdr:rowOff>
    </xdr:from>
    <xdr:to>
      <xdr:col>8</xdr:col>
      <xdr:colOff>205740</xdr:colOff>
      <xdr:row>8</xdr:row>
      <xdr:rowOff>106680</xdr:rowOff>
    </xdr:to>
    <xdr:sp macro="" textlink="">
      <xdr:nvSpPr>
        <xdr:cNvPr id="1246708" name="Line 201"/>
        <xdr:cNvSpPr/>
      </xdr:nvSpPr>
      <xdr:spPr>
        <a:xfrm>
          <a:off x="3611880" y="19488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9</xdr:col>
      <xdr:colOff>60960</xdr:colOff>
      <xdr:row>8</xdr:row>
      <xdr:rowOff>99060</xdr:rowOff>
    </xdr:from>
    <xdr:to>
      <xdr:col>9</xdr:col>
      <xdr:colOff>60960</xdr:colOff>
      <xdr:row>8</xdr:row>
      <xdr:rowOff>99060</xdr:rowOff>
    </xdr:to>
    <xdr:sp macro="" textlink="">
      <xdr:nvSpPr>
        <xdr:cNvPr id="1246709" name="Line 202"/>
        <xdr:cNvSpPr/>
      </xdr:nvSpPr>
      <xdr:spPr>
        <a:xfrm>
          <a:off x="3878580" y="194119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9</xdr:col>
      <xdr:colOff>160020</xdr:colOff>
      <xdr:row>7</xdr:row>
      <xdr:rowOff>190500</xdr:rowOff>
    </xdr:from>
    <xdr:to>
      <xdr:col>9</xdr:col>
      <xdr:colOff>160020</xdr:colOff>
      <xdr:row>7</xdr:row>
      <xdr:rowOff>190500</xdr:rowOff>
    </xdr:to>
    <xdr:sp macro="" textlink="">
      <xdr:nvSpPr>
        <xdr:cNvPr id="1246710" name="Line 203"/>
        <xdr:cNvSpPr/>
      </xdr:nvSpPr>
      <xdr:spPr>
        <a:xfrm>
          <a:off x="397764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30480</xdr:colOff>
      <xdr:row>7</xdr:row>
      <xdr:rowOff>190500</xdr:rowOff>
    </xdr:from>
    <xdr:to>
      <xdr:col>8</xdr:col>
      <xdr:colOff>30480</xdr:colOff>
      <xdr:row>7</xdr:row>
      <xdr:rowOff>190500</xdr:rowOff>
    </xdr:to>
    <xdr:sp macro="" textlink="">
      <xdr:nvSpPr>
        <xdr:cNvPr id="1246711" name="Line 204"/>
        <xdr:cNvSpPr/>
      </xdr:nvSpPr>
      <xdr:spPr>
        <a:xfrm>
          <a:off x="343662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129540</xdr:colOff>
      <xdr:row>8</xdr:row>
      <xdr:rowOff>7620</xdr:rowOff>
    </xdr:from>
    <xdr:to>
      <xdr:col>8</xdr:col>
      <xdr:colOff>129540</xdr:colOff>
      <xdr:row>8</xdr:row>
      <xdr:rowOff>7620</xdr:rowOff>
    </xdr:to>
    <xdr:sp macro="" textlink="">
      <xdr:nvSpPr>
        <xdr:cNvPr id="1246712" name="Line 205"/>
        <xdr:cNvSpPr/>
      </xdr:nvSpPr>
      <xdr:spPr>
        <a:xfrm>
          <a:off x="3535680" y="18497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6</xdr:col>
      <xdr:colOff>304800</xdr:colOff>
      <xdr:row>8</xdr:row>
      <xdr:rowOff>53340</xdr:rowOff>
    </xdr:from>
    <xdr:to>
      <xdr:col>6</xdr:col>
      <xdr:colOff>304800</xdr:colOff>
      <xdr:row>8</xdr:row>
      <xdr:rowOff>53340</xdr:rowOff>
    </xdr:to>
    <xdr:sp macro="" textlink="">
      <xdr:nvSpPr>
        <xdr:cNvPr id="1246713" name="Line 206"/>
        <xdr:cNvSpPr/>
      </xdr:nvSpPr>
      <xdr:spPr>
        <a:xfrm>
          <a:off x="3268980" y="189547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297180</xdr:colOff>
      <xdr:row>8</xdr:row>
      <xdr:rowOff>106680</xdr:rowOff>
    </xdr:from>
    <xdr:to>
      <xdr:col>8</xdr:col>
      <xdr:colOff>297180</xdr:colOff>
      <xdr:row>8</xdr:row>
      <xdr:rowOff>106680</xdr:rowOff>
    </xdr:to>
    <xdr:sp macro="" textlink="">
      <xdr:nvSpPr>
        <xdr:cNvPr id="1246714" name="Line 207"/>
        <xdr:cNvSpPr/>
      </xdr:nvSpPr>
      <xdr:spPr>
        <a:xfrm>
          <a:off x="3703320" y="19488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8</xdr:col>
      <xdr:colOff>381000</xdr:colOff>
      <xdr:row>8</xdr:row>
      <xdr:rowOff>106680</xdr:rowOff>
    </xdr:from>
    <xdr:to>
      <xdr:col>8</xdr:col>
      <xdr:colOff>381000</xdr:colOff>
      <xdr:row>8</xdr:row>
      <xdr:rowOff>106680</xdr:rowOff>
    </xdr:to>
    <xdr:sp macro="" textlink="">
      <xdr:nvSpPr>
        <xdr:cNvPr id="1246715" name="Line 208"/>
        <xdr:cNvSpPr/>
      </xdr:nvSpPr>
      <xdr:spPr>
        <a:xfrm>
          <a:off x="3787140" y="19488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7</xdr:col>
      <xdr:colOff>15240</xdr:colOff>
      <xdr:row>7</xdr:row>
      <xdr:rowOff>190500</xdr:rowOff>
    </xdr:from>
    <xdr:to>
      <xdr:col>7</xdr:col>
      <xdr:colOff>15240</xdr:colOff>
      <xdr:row>7</xdr:row>
      <xdr:rowOff>190500</xdr:rowOff>
    </xdr:to>
    <xdr:sp macro="" textlink="">
      <xdr:nvSpPr>
        <xdr:cNvPr id="1246716" name="Line 209"/>
        <xdr:cNvSpPr/>
      </xdr:nvSpPr>
      <xdr:spPr>
        <a:xfrm>
          <a:off x="3329940" y="18345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18</xdr:col>
      <xdr:colOff>22860</xdr:colOff>
      <xdr:row>3</xdr:row>
      <xdr:rowOff>243205</xdr:rowOff>
    </xdr:from>
    <xdr:to>
      <xdr:col>19</xdr:col>
      <xdr:colOff>99060</xdr:colOff>
      <xdr:row>4</xdr:row>
      <xdr:rowOff>30480</xdr:rowOff>
    </xdr:to>
    <xdr:sp macro="" textlink="">
      <xdr:nvSpPr>
        <xdr:cNvPr id="1246717" name="FreeForm 210"/>
        <xdr:cNvSpPr/>
      </xdr:nvSpPr>
      <xdr:spPr>
        <a:xfrm>
          <a:off x="7696200" y="959485"/>
          <a:ext cx="579120" cy="120650"/>
        </a:xfrm>
        <a:custGeom>
          <a:avLst/>
          <a:gdLst/>
          <a:ahLst/>
          <a:cxnLst>
            <a:cxn ang="0">
              <a:pos x="0" y="8"/>
            </a:cxn>
            <a:cxn ang="0">
              <a:pos x="17" y="0"/>
            </a:cxn>
            <a:cxn ang="0">
              <a:pos x="35" y="11"/>
            </a:cxn>
            <a:cxn ang="0">
              <a:pos x="54" y="9"/>
            </a:cxn>
            <a:cxn ang="0">
              <a:pos x="69" y="4"/>
            </a:cxn>
            <a:cxn ang="0">
              <a:pos x="73" y="6"/>
            </a:cxn>
          </a:cxnLst>
          <a:rect l="0" t="0" r="0" b="0"/>
          <a:pathLst>
            <a:path w="73" h="12">
              <a:moveTo>
                <a:pt x="0" y="8"/>
              </a:moveTo>
              <a:cubicBezTo>
                <a:pt x="5" y="4"/>
                <a:pt x="11" y="0"/>
                <a:pt x="17" y="0"/>
              </a:cubicBezTo>
              <a:cubicBezTo>
                <a:pt x="23" y="0"/>
                <a:pt x="29" y="10"/>
                <a:pt x="35" y="11"/>
              </a:cubicBezTo>
              <a:cubicBezTo>
                <a:pt x="41" y="12"/>
                <a:pt x="48" y="10"/>
                <a:pt x="54" y="9"/>
              </a:cubicBezTo>
              <a:cubicBezTo>
                <a:pt x="60" y="8"/>
                <a:pt x="66" y="4"/>
                <a:pt x="69" y="4"/>
              </a:cubicBezTo>
              <a:cubicBezTo>
                <a:pt x="72" y="4"/>
                <a:pt x="72" y="5"/>
                <a:pt x="73" y="6"/>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12</xdr:col>
      <xdr:colOff>396240</xdr:colOff>
      <xdr:row>7</xdr:row>
      <xdr:rowOff>160020</xdr:rowOff>
    </xdr:from>
    <xdr:to>
      <xdr:col>12</xdr:col>
      <xdr:colOff>403860</xdr:colOff>
      <xdr:row>7</xdr:row>
      <xdr:rowOff>160020</xdr:rowOff>
    </xdr:to>
    <xdr:sp macro="" textlink="">
      <xdr:nvSpPr>
        <xdr:cNvPr id="1246718" name="Line 211"/>
        <xdr:cNvSpPr/>
      </xdr:nvSpPr>
      <xdr:spPr>
        <a:xfrm flipH="1">
          <a:off x="5501640" y="1804035"/>
          <a:ext cx="7620" cy="0"/>
        </a:xfrm>
        <a:prstGeom prst="line">
          <a:avLst/>
        </a:prstGeom>
        <a:ln w="3175" cap="flat" cmpd="sng">
          <a:solidFill>
            <a:srgbClr val="000000"/>
          </a:solidFill>
          <a:prstDash val="solid"/>
          <a:round/>
          <a:headEnd type="none" w="med" len="med"/>
          <a:tailEnd type="oval" w="sm" len="sm"/>
        </a:ln>
      </xdr:spPr>
    </xdr:sp>
    <xdr:clientData/>
  </xdr:twoCellAnchor>
  <xdr:twoCellAnchor>
    <xdr:from>
      <xdr:col>12</xdr:col>
      <xdr:colOff>480060</xdr:colOff>
      <xdr:row>7</xdr:row>
      <xdr:rowOff>198120</xdr:rowOff>
    </xdr:from>
    <xdr:to>
      <xdr:col>12</xdr:col>
      <xdr:colOff>487680</xdr:colOff>
      <xdr:row>8</xdr:row>
      <xdr:rowOff>0</xdr:rowOff>
    </xdr:to>
    <xdr:sp macro="" textlink="">
      <xdr:nvSpPr>
        <xdr:cNvPr id="1246719" name="Line 212"/>
        <xdr:cNvSpPr/>
      </xdr:nvSpPr>
      <xdr:spPr>
        <a:xfrm flipH="1">
          <a:off x="5585460" y="1842135"/>
          <a:ext cx="7620" cy="0"/>
        </a:xfrm>
        <a:prstGeom prst="line">
          <a:avLst/>
        </a:prstGeom>
        <a:ln w="3175" cap="flat" cmpd="sng">
          <a:solidFill>
            <a:srgbClr val="000000"/>
          </a:solidFill>
          <a:prstDash val="solid"/>
          <a:round/>
          <a:headEnd type="none" w="med" len="med"/>
          <a:tailEnd type="oval" w="sm" len="sm"/>
        </a:ln>
      </xdr:spPr>
    </xdr:sp>
    <xdr:clientData/>
  </xdr:twoCellAnchor>
  <xdr:twoCellAnchor>
    <xdr:from>
      <xdr:col>9</xdr:col>
      <xdr:colOff>114300</xdr:colOff>
      <xdr:row>8</xdr:row>
      <xdr:rowOff>30480</xdr:rowOff>
    </xdr:from>
    <xdr:to>
      <xdr:col>9</xdr:col>
      <xdr:colOff>114300</xdr:colOff>
      <xdr:row>8</xdr:row>
      <xdr:rowOff>30480</xdr:rowOff>
    </xdr:to>
    <xdr:sp macro="" textlink="">
      <xdr:nvSpPr>
        <xdr:cNvPr id="1246720" name="Line 213"/>
        <xdr:cNvSpPr/>
      </xdr:nvSpPr>
      <xdr:spPr>
        <a:xfrm>
          <a:off x="3931920" y="187261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434340</xdr:colOff>
      <xdr:row>8</xdr:row>
      <xdr:rowOff>7620</xdr:rowOff>
    </xdr:from>
    <xdr:to>
      <xdr:col>3</xdr:col>
      <xdr:colOff>434340</xdr:colOff>
      <xdr:row>8</xdr:row>
      <xdr:rowOff>7620</xdr:rowOff>
    </xdr:to>
    <xdr:sp macro="" textlink="">
      <xdr:nvSpPr>
        <xdr:cNvPr id="1246721" name="Line 214"/>
        <xdr:cNvSpPr/>
      </xdr:nvSpPr>
      <xdr:spPr>
        <a:xfrm>
          <a:off x="1752600" y="1849755"/>
          <a:ext cx="0" cy="0"/>
        </a:xfrm>
        <a:prstGeom prst="line">
          <a:avLst/>
        </a:prstGeom>
        <a:ln w="3175" cap="flat" cmpd="sng">
          <a:solidFill>
            <a:srgbClr val="000000"/>
          </a:solidFill>
          <a:prstDash val="solid"/>
          <a:round/>
          <a:headEnd type="none" w="med" len="med"/>
          <a:tailEnd type="oval" w="sm" len="sm"/>
        </a:ln>
      </xdr:spPr>
    </xdr:sp>
    <xdr:clientData/>
  </xdr:twoCellAnchor>
  <xdr:twoCellAnchor>
    <xdr:from>
      <xdr:col>3</xdr:col>
      <xdr:colOff>327660</xdr:colOff>
      <xdr:row>8</xdr:row>
      <xdr:rowOff>68580</xdr:rowOff>
    </xdr:from>
    <xdr:to>
      <xdr:col>3</xdr:col>
      <xdr:colOff>327660</xdr:colOff>
      <xdr:row>8</xdr:row>
      <xdr:rowOff>68580</xdr:rowOff>
    </xdr:to>
    <xdr:sp macro="" textlink="">
      <xdr:nvSpPr>
        <xdr:cNvPr id="1246722" name="Line 215"/>
        <xdr:cNvSpPr/>
      </xdr:nvSpPr>
      <xdr:spPr>
        <a:xfrm>
          <a:off x="1645920" y="1910715"/>
          <a:ext cx="0" cy="0"/>
        </a:xfrm>
        <a:prstGeom prst="line">
          <a:avLst/>
        </a:prstGeom>
        <a:ln w="3175" cap="flat" cmpd="sng">
          <a:solidFill>
            <a:srgbClr val="000000"/>
          </a:solidFill>
          <a:prstDash val="solid"/>
          <a:round/>
          <a:headEnd type="none" w="med" len="med"/>
          <a:tailEnd type="oval" w="sm" len="sm"/>
        </a:ln>
      </xdr:spPr>
    </xdr:sp>
    <xdr:clientData/>
  </xdr:twoCellAnchor>
</xdr:wsDr>
</file>

<file path=xl/drawings/drawing30.xml><?xml version="1.0" encoding="utf-8"?>
<xdr:wsDr xmlns:xdr="http://schemas.openxmlformats.org/drawingml/2006/spreadsheetDrawing" xmlns:a="http://schemas.openxmlformats.org/drawingml/2006/main">
  <xdr:twoCellAnchor>
    <xdr:from>
      <xdr:col>3</xdr:col>
      <xdr:colOff>251460</xdr:colOff>
      <xdr:row>8</xdr:row>
      <xdr:rowOff>106680</xdr:rowOff>
    </xdr:from>
    <xdr:to>
      <xdr:col>5</xdr:col>
      <xdr:colOff>213360</xdr:colOff>
      <xdr:row>8</xdr:row>
      <xdr:rowOff>106680</xdr:rowOff>
    </xdr:to>
    <xdr:sp macro="" textlink="">
      <xdr:nvSpPr>
        <xdr:cNvPr id="1244398" name="Line 2"/>
        <xdr:cNvSpPr/>
      </xdr:nvSpPr>
      <xdr:spPr>
        <a:xfrm rot="2700000">
          <a:off x="2209165" y="1973580"/>
          <a:ext cx="635" cy="701040"/>
        </a:xfrm>
        <a:prstGeom prst="line">
          <a:avLst/>
        </a:prstGeom>
        <a:ln w="76200" cap="flat" cmpd="sng">
          <a:solidFill>
            <a:srgbClr val="000000"/>
          </a:solidFill>
          <a:prstDash val="solid"/>
          <a:round/>
          <a:headEnd type="none" w="med" len="med"/>
          <a:tailEnd type="none" w="med" len="med"/>
        </a:ln>
      </xdr:spPr>
    </xdr:sp>
    <xdr:clientData/>
  </xdr:twoCellAnchor>
  <xdr:twoCellAnchor>
    <xdr:from>
      <xdr:col>2</xdr:col>
      <xdr:colOff>480060</xdr:colOff>
      <xdr:row>6</xdr:row>
      <xdr:rowOff>221615</xdr:rowOff>
    </xdr:from>
    <xdr:to>
      <xdr:col>2</xdr:col>
      <xdr:colOff>480060</xdr:colOff>
      <xdr:row>9</xdr:row>
      <xdr:rowOff>236220</xdr:rowOff>
    </xdr:to>
    <xdr:sp macro="" textlink="">
      <xdr:nvSpPr>
        <xdr:cNvPr id="1244399" name="Line 3"/>
        <xdr:cNvSpPr/>
      </xdr:nvSpPr>
      <xdr:spPr>
        <a:xfrm rot="-2700000">
          <a:off x="1546860" y="1928495"/>
          <a:ext cx="0" cy="780415"/>
        </a:xfrm>
        <a:prstGeom prst="line">
          <a:avLst/>
        </a:prstGeom>
        <a:ln w="76200" cap="flat" cmpd="sng">
          <a:solidFill>
            <a:srgbClr val="000000"/>
          </a:solidFill>
          <a:prstDash val="solid"/>
          <a:round/>
          <a:headEnd type="none" w="med" len="med"/>
          <a:tailEnd type="none" w="med" len="med"/>
        </a:ln>
      </xdr:spPr>
    </xdr:sp>
    <xdr:clientData/>
  </xdr:twoCellAnchor>
  <xdr:twoCellAnchor>
    <xdr:from>
      <xdr:col>3</xdr:col>
      <xdr:colOff>205740</xdr:colOff>
      <xdr:row>9</xdr:row>
      <xdr:rowOff>45720</xdr:rowOff>
    </xdr:from>
    <xdr:to>
      <xdr:col>3</xdr:col>
      <xdr:colOff>335280</xdr:colOff>
      <xdr:row>9</xdr:row>
      <xdr:rowOff>190500</xdr:rowOff>
    </xdr:to>
    <xdr:sp macro="" textlink="">
      <xdr:nvSpPr>
        <xdr:cNvPr id="1244400" name="Arc 5"/>
        <xdr:cNvSpPr/>
      </xdr:nvSpPr>
      <xdr:spPr>
        <a:xfrm rot="-8100000" flipH="1">
          <a:off x="1813560" y="2518410"/>
          <a:ext cx="129540" cy="14478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3</xdr:col>
      <xdr:colOff>266700</xdr:colOff>
      <xdr:row>8</xdr:row>
      <xdr:rowOff>236220</xdr:rowOff>
    </xdr:from>
    <xdr:to>
      <xdr:col>3</xdr:col>
      <xdr:colOff>266700</xdr:colOff>
      <xdr:row>9</xdr:row>
      <xdr:rowOff>137795</xdr:rowOff>
    </xdr:to>
    <xdr:sp macro="" textlink="">
      <xdr:nvSpPr>
        <xdr:cNvPr id="1244401" name="Line 6"/>
        <xdr:cNvSpPr/>
      </xdr:nvSpPr>
      <xdr:spPr>
        <a:xfrm>
          <a:off x="1874520" y="2453640"/>
          <a:ext cx="0" cy="156845"/>
        </a:xfrm>
        <a:prstGeom prst="line">
          <a:avLst/>
        </a:prstGeom>
        <a:ln w="9525" cap="flat" cmpd="sng">
          <a:solidFill>
            <a:srgbClr val="000000"/>
          </a:solidFill>
          <a:prstDash val="solid"/>
          <a:round/>
          <a:headEnd type="oval" w="sm" len="sm"/>
          <a:tailEnd type="arrow" w="sm" len="sm"/>
        </a:ln>
      </xdr:spPr>
    </xdr:sp>
    <xdr:clientData/>
  </xdr:twoCellAnchor>
  <xdr:twoCellAnchor>
    <xdr:from>
      <xdr:col>2</xdr:col>
      <xdr:colOff>487680</xdr:colOff>
      <xdr:row>6</xdr:row>
      <xdr:rowOff>15240</xdr:rowOff>
    </xdr:from>
    <xdr:to>
      <xdr:col>2</xdr:col>
      <xdr:colOff>487680</xdr:colOff>
      <xdr:row>8</xdr:row>
      <xdr:rowOff>52705</xdr:rowOff>
    </xdr:to>
    <xdr:sp macro="" textlink="">
      <xdr:nvSpPr>
        <xdr:cNvPr id="1244402" name="Line 7"/>
        <xdr:cNvSpPr/>
      </xdr:nvSpPr>
      <xdr:spPr>
        <a:xfrm flipV="1">
          <a:off x="1554480" y="1722120"/>
          <a:ext cx="0" cy="548005"/>
        </a:xfrm>
        <a:prstGeom prst="line">
          <a:avLst/>
        </a:prstGeom>
        <a:ln w="15875" cap="flat" cmpd="sng">
          <a:solidFill>
            <a:srgbClr val="000000"/>
          </a:solidFill>
          <a:prstDash val="solid"/>
          <a:round/>
          <a:headEnd type="none" w="med" len="med"/>
          <a:tailEnd type="none" w="med" len="med"/>
        </a:ln>
      </xdr:spPr>
    </xdr:sp>
    <xdr:clientData/>
  </xdr:twoCellAnchor>
  <xdr:twoCellAnchor>
    <xdr:from>
      <xdr:col>4</xdr:col>
      <xdr:colOff>68580</xdr:colOff>
      <xdr:row>6</xdr:row>
      <xdr:rowOff>15240</xdr:rowOff>
    </xdr:from>
    <xdr:to>
      <xdr:col>4</xdr:col>
      <xdr:colOff>68580</xdr:colOff>
      <xdr:row>8</xdr:row>
      <xdr:rowOff>52705</xdr:rowOff>
    </xdr:to>
    <xdr:sp macro="" textlink="">
      <xdr:nvSpPr>
        <xdr:cNvPr id="1244403" name="Line 9"/>
        <xdr:cNvSpPr/>
      </xdr:nvSpPr>
      <xdr:spPr>
        <a:xfrm flipV="1">
          <a:off x="2217420" y="1722120"/>
          <a:ext cx="0" cy="548005"/>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487680</xdr:colOff>
      <xdr:row>5</xdr:row>
      <xdr:rowOff>182245</xdr:rowOff>
    </xdr:from>
    <xdr:to>
      <xdr:col>4</xdr:col>
      <xdr:colOff>68580</xdr:colOff>
      <xdr:row>6</xdr:row>
      <xdr:rowOff>98425</xdr:rowOff>
    </xdr:to>
    <xdr:sp macro="" textlink="">
      <xdr:nvSpPr>
        <xdr:cNvPr id="1244404" name="FreeForm 10"/>
        <xdr:cNvSpPr/>
      </xdr:nvSpPr>
      <xdr:spPr>
        <a:xfrm>
          <a:off x="1554480" y="1633855"/>
          <a:ext cx="662940" cy="171450"/>
        </a:xfrm>
        <a:custGeom>
          <a:avLst/>
          <a:gdLst/>
          <a:ahLst/>
          <a:cxnLst>
            <a:cxn ang="0">
              <a:pos x="0" y="10"/>
            </a:cxn>
            <a:cxn ang="0">
              <a:pos x="25" y="1"/>
            </a:cxn>
            <a:cxn ang="0">
              <a:pos x="43" y="6"/>
            </a:cxn>
            <a:cxn ang="0">
              <a:pos x="57" y="17"/>
            </a:cxn>
            <a:cxn ang="0">
              <a:pos x="69" y="7"/>
            </a:cxn>
            <a:cxn ang="0">
              <a:pos x="77" y="11"/>
            </a:cxn>
          </a:cxnLst>
          <a:rect l="0" t="0" r="0" b="0"/>
          <a:pathLst>
            <a:path w="77" h="17">
              <a:moveTo>
                <a:pt x="0" y="10"/>
              </a:moveTo>
              <a:cubicBezTo>
                <a:pt x="9" y="6"/>
                <a:pt x="18" y="2"/>
                <a:pt x="25" y="1"/>
              </a:cubicBezTo>
              <a:cubicBezTo>
                <a:pt x="32" y="0"/>
                <a:pt x="38" y="3"/>
                <a:pt x="43" y="6"/>
              </a:cubicBezTo>
              <a:cubicBezTo>
                <a:pt x="48" y="9"/>
                <a:pt x="53" y="17"/>
                <a:pt x="57" y="17"/>
              </a:cubicBezTo>
              <a:cubicBezTo>
                <a:pt x="61" y="17"/>
                <a:pt x="66" y="8"/>
                <a:pt x="69" y="7"/>
              </a:cubicBezTo>
              <a:cubicBezTo>
                <a:pt x="72" y="6"/>
                <a:pt x="74" y="8"/>
                <a:pt x="77" y="11"/>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2</xdr:col>
      <xdr:colOff>464820</xdr:colOff>
      <xdr:row>6</xdr:row>
      <xdr:rowOff>45720</xdr:rowOff>
    </xdr:from>
    <xdr:to>
      <xdr:col>3</xdr:col>
      <xdr:colOff>190500</xdr:colOff>
      <xdr:row>6</xdr:row>
      <xdr:rowOff>45720</xdr:rowOff>
    </xdr:to>
    <xdr:sp macro="" textlink="">
      <xdr:nvSpPr>
        <xdr:cNvPr id="1244405" name="Line 11"/>
        <xdr:cNvSpPr/>
      </xdr:nvSpPr>
      <xdr:spPr>
        <a:xfrm rot="2700000">
          <a:off x="1664335" y="1619250"/>
          <a:ext cx="635" cy="26670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190500</xdr:colOff>
      <xdr:row>6</xdr:row>
      <xdr:rowOff>152400</xdr:rowOff>
    </xdr:from>
    <xdr:to>
      <xdr:col>3</xdr:col>
      <xdr:colOff>426720</xdr:colOff>
      <xdr:row>6</xdr:row>
      <xdr:rowOff>152400</xdr:rowOff>
    </xdr:to>
    <xdr:sp macro="" textlink="">
      <xdr:nvSpPr>
        <xdr:cNvPr id="1244406" name="Line 13"/>
        <xdr:cNvSpPr/>
      </xdr:nvSpPr>
      <xdr:spPr>
        <a:xfrm rot="2700000">
          <a:off x="1915795" y="1741170"/>
          <a:ext cx="635" cy="23622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0</xdr:colOff>
      <xdr:row>6</xdr:row>
      <xdr:rowOff>106680</xdr:rowOff>
    </xdr:from>
    <xdr:to>
      <xdr:col>3</xdr:col>
      <xdr:colOff>350520</xdr:colOff>
      <xdr:row>6</xdr:row>
      <xdr:rowOff>106680</xdr:rowOff>
    </xdr:to>
    <xdr:sp macro="" textlink="">
      <xdr:nvSpPr>
        <xdr:cNvPr id="1244407" name="Line 14"/>
        <xdr:cNvSpPr/>
      </xdr:nvSpPr>
      <xdr:spPr>
        <a:xfrm rot="2700000">
          <a:off x="1782445" y="1638300"/>
          <a:ext cx="635" cy="35052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388620</xdr:colOff>
      <xdr:row>6</xdr:row>
      <xdr:rowOff>152400</xdr:rowOff>
    </xdr:from>
    <xdr:to>
      <xdr:col>4</xdr:col>
      <xdr:colOff>106680</xdr:colOff>
      <xdr:row>6</xdr:row>
      <xdr:rowOff>152400</xdr:rowOff>
    </xdr:to>
    <xdr:sp macro="" textlink="">
      <xdr:nvSpPr>
        <xdr:cNvPr id="1244408" name="Line 15"/>
        <xdr:cNvSpPr/>
      </xdr:nvSpPr>
      <xdr:spPr>
        <a:xfrm rot="2700000">
          <a:off x="2125345" y="1729740"/>
          <a:ext cx="635" cy="25908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525780</xdr:colOff>
      <xdr:row>7</xdr:row>
      <xdr:rowOff>98425</xdr:rowOff>
    </xdr:from>
    <xdr:to>
      <xdr:col>4</xdr:col>
      <xdr:colOff>76200</xdr:colOff>
      <xdr:row>7</xdr:row>
      <xdr:rowOff>98425</xdr:rowOff>
    </xdr:to>
    <xdr:sp macro="" textlink="">
      <xdr:nvSpPr>
        <xdr:cNvPr id="1244409" name="Line 16"/>
        <xdr:cNvSpPr/>
      </xdr:nvSpPr>
      <xdr:spPr>
        <a:xfrm rot="2700000">
          <a:off x="2178685" y="2014855"/>
          <a:ext cx="635" cy="9144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419100</xdr:colOff>
      <xdr:row>8</xdr:row>
      <xdr:rowOff>121920</xdr:rowOff>
    </xdr:from>
    <xdr:to>
      <xdr:col>2</xdr:col>
      <xdr:colOff>487680</xdr:colOff>
      <xdr:row>8</xdr:row>
      <xdr:rowOff>205105</xdr:rowOff>
    </xdr:to>
    <xdr:sp macro="" textlink="">
      <xdr:nvSpPr>
        <xdr:cNvPr id="1244410" name="Arc 20"/>
        <xdr:cNvSpPr/>
      </xdr:nvSpPr>
      <xdr:spPr>
        <a:xfrm>
          <a:off x="1485900" y="2339340"/>
          <a:ext cx="68580" cy="83185"/>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4</xdr:col>
      <xdr:colOff>53340</xdr:colOff>
      <xdr:row>8</xdr:row>
      <xdr:rowOff>121920</xdr:rowOff>
    </xdr:from>
    <xdr:to>
      <xdr:col>4</xdr:col>
      <xdr:colOff>129540</xdr:colOff>
      <xdr:row>8</xdr:row>
      <xdr:rowOff>197485</xdr:rowOff>
    </xdr:to>
    <xdr:sp macro="" textlink="">
      <xdr:nvSpPr>
        <xdr:cNvPr id="1244411" name="Arc 21"/>
        <xdr:cNvSpPr/>
      </xdr:nvSpPr>
      <xdr:spPr>
        <a:xfrm rot="-5400000">
          <a:off x="2202180" y="2338705"/>
          <a:ext cx="75565" cy="7620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1</xdr:col>
      <xdr:colOff>266700</xdr:colOff>
      <xdr:row>11</xdr:row>
      <xdr:rowOff>8255</xdr:rowOff>
    </xdr:from>
    <xdr:to>
      <xdr:col>6</xdr:col>
      <xdr:colOff>251460</xdr:colOff>
      <xdr:row>11</xdr:row>
      <xdr:rowOff>8255</xdr:rowOff>
    </xdr:to>
    <xdr:sp macro="" textlink="">
      <xdr:nvSpPr>
        <xdr:cNvPr id="1244412" name="Line 22"/>
        <xdr:cNvSpPr/>
      </xdr:nvSpPr>
      <xdr:spPr>
        <a:xfrm>
          <a:off x="792480" y="2991485"/>
          <a:ext cx="21945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487680</xdr:colOff>
      <xdr:row>8</xdr:row>
      <xdr:rowOff>213360</xdr:rowOff>
    </xdr:from>
    <xdr:to>
      <xdr:col>2</xdr:col>
      <xdr:colOff>487680</xdr:colOff>
      <xdr:row>11</xdr:row>
      <xdr:rowOff>8255</xdr:rowOff>
    </xdr:to>
    <xdr:sp macro="" textlink="">
      <xdr:nvSpPr>
        <xdr:cNvPr id="1244413" name="Line 23"/>
        <xdr:cNvSpPr/>
      </xdr:nvSpPr>
      <xdr:spPr>
        <a:xfrm>
          <a:off x="1554480" y="2430780"/>
          <a:ext cx="0" cy="560705"/>
        </a:xfrm>
        <a:prstGeom prst="line">
          <a:avLst/>
        </a:prstGeom>
        <a:ln w="15875" cap="flat" cmpd="sng">
          <a:solidFill>
            <a:srgbClr val="000000"/>
          </a:solidFill>
          <a:prstDash val="solid"/>
          <a:round/>
          <a:headEnd type="none" w="med" len="med"/>
          <a:tailEnd type="none" w="med" len="med"/>
        </a:ln>
      </xdr:spPr>
    </xdr:sp>
    <xdr:clientData/>
  </xdr:twoCellAnchor>
  <xdr:twoCellAnchor>
    <xdr:from>
      <xdr:col>4</xdr:col>
      <xdr:colOff>53340</xdr:colOff>
      <xdr:row>8</xdr:row>
      <xdr:rowOff>198120</xdr:rowOff>
    </xdr:from>
    <xdr:to>
      <xdr:col>4</xdr:col>
      <xdr:colOff>53340</xdr:colOff>
      <xdr:row>11</xdr:row>
      <xdr:rowOff>0</xdr:rowOff>
    </xdr:to>
    <xdr:sp macro="" textlink="">
      <xdr:nvSpPr>
        <xdr:cNvPr id="1244414" name="Line 24"/>
        <xdr:cNvSpPr/>
      </xdr:nvSpPr>
      <xdr:spPr>
        <a:xfrm>
          <a:off x="2202180" y="2415540"/>
          <a:ext cx="0" cy="567690"/>
        </a:xfrm>
        <a:prstGeom prst="line">
          <a:avLst/>
        </a:prstGeom>
        <a:ln w="15875" cap="flat" cmpd="sng">
          <a:solidFill>
            <a:srgbClr val="000000"/>
          </a:solidFill>
          <a:prstDash val="solid"/>
          <a:round/>
          <a:headEnd type="none" w="med" len="med"/>
          <a:tailEnd type="none" w="med" len="med"/>
        </a:ln>
      </xdr:spPr>
    </xdr:sp>
    <xdr:clientData/>
  </xdr:twoCellAnchor>
  <xdr:twoCellAnchor>
    <xdr:from>
      <xdr:col>4</xdr:col>
      <xdr:colOff>129540</xdr:colOff>
      <xdr:row>8</xdr:row>
      <xdr:rowOff>121920</xdr:rowOff>
    </xdr:from>
    <xdr:to>
      <xdr:col>6</xdr:col>
      <xdr:colOff>190500</xdr:colOff>
      <xdr:row>8</xdr:row>
      <xdr:rowOff>121920</xdr:rowOff>
    </xdr:to>
    <xdr:sp macro="" textlink="">
      <xdr:nvSpPr>
        <xdr:cNvPr id="1244415" name="Line 25"/>
        <xdr:cNvSpPr/>
      </xdr:nvSpPr>
      <xdr:spPr>
        <a:xfrm>
          <a:off x="2278380" y="2339340"/>
          <a:ext cx="6477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243840</xdr:colOff>
      <xdr:row>8</xdr:row>
      <xdr:rowOff>121920</xdr:rowOff>
    </xdr:from>
    <xdr:to>
      <xdr:col>2</xdr:col>
      <xdr:colOff>419100</xdr:colOff>
      <xdr:row>8</xdr:row>
      <xdr:rowOff>121920</xdr:rowOff>
    </xdr:to>
    <xdr:sp macro="" textlink="">
      <xdr:nvSpPr>
        <xdr:cNvPr id="1244416" name="Line 26"/>
        <xdr:cNvSpPr/>
      </xdr:nvSpPr>
      <xdr:spPr>
        <a:xfrm flipH="1">
          <a:off x="769620" y="2339340"/>
          <a:ext cx="71628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121920</xdr:colOff>
      <xdr:row>8</xdr:row>
      <xdr:rowOff>159385</xdr:rowOff>
    </xdr:from>
    <xdr:to>
      <xdr:col>6</xdr:col>
      <xdr:colOff>197485</xdr:colOff>
      <xdr:row>8</xdr:row>
      <xdr:rowOff>159385</xdr:rowOff>
    </xdr:to>
    <xdr:sp macro="" textlink="">
      <xdr:nvSpPr>
        <xdr:cNvPr id="1244417" name="Line 27"/>
        <xdr:cNvSpPr/>
      </xdr:nvSpPr>
      <xdr:spPr>
        <a:xfrm rot="-2700000" flipH="1">
          <a:off x="2894965" y="2338705"/>
          <a:ext cx="0" cy="7556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289560</xdr:colOff>
      <xdr:row>8</xdr:row>
      <xdr:rowOff>213360</xdr:rowOff>
    </xdr:from>
    <xdr:to>
      <xdr:col>2</xdr:col>
      <xdr:colOff>510540</xdr:colOff>
      <xdr:row>8</xdr:row>
      <xdr:rowOff>221615</xdr:rowOff>
    </xdr:to>
    <xdr:sp macro="" textlink="">
      <xdr:nvSpPr>
        <xdr:cNvPr id="1244418" name="Line 29"/>
        <xdr:cNvSpPr/>
      </xdr:nvSpPr>
      <xdr:spPr>
        <a:xfrm rot="-2700000" flipH="1">
          <a:off x="1462405" y="2324100"/>
          <a:ext cx="8255" cy="220980"/>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525780</xdr:colOff>
      <xdr:row>9</xdr:row>
      <xdr:rowOff>114935</xdr:rowOff>
    </xdr:from>
    <xdr:to>
      <xdr:col>3</xdr:col>
      <xdr:colOff>22860</xdr:colOff>
      <xdr:row>9</xdr:row>
      <xdr:rowOff>114935</xdr:rowOff>
    </xdr:to>
    <xdr:sp macro="" textlink="">
      <xdr:nvSpPr>
        <xdr:cNvPr id="1244419" name="Line 30"/>
        <xdr:cNvSpPr/>
      </xdr:nvSpPr>
      <xdr:spPr>
        <a:xfrm rot="-2700000" flipH="1">
          <a:off x="1340485" y="2298065"/>
          <a:ext cx="635" cy="579120"/>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175260</xdr:colOff>
      <xdr:row>10</xdr:row>
      <xdr:rowOff>52705</xdr:rowOff>
    </xdr:from>
    <xdr:to>
      <xdr:col>2</xdr:col>
      <xdr:colOff>114300</xdr:colOff>
      <xdr:row>10</xdr:row>
      <xdr:rowOff>52705</xdr:rowOff>
    </xdr:to>
    <xdr:sp macro="" textlink="">
      <xdr:nvSpPr>
        <xdr:cNvPr id="1244420" name="Line 31"/>
        <xdr:cNvSpPr/>
      </xdr:nvSpPr>
      <xdr:spPr>
        <a:xfrm rot="-2700000" flipH="1">
          <a:off x="940435" y="2540635"/>
          <a:ext cx="635" cy="480060"/>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198120</xdr:colOff>
      <xdr:row>9</xdr:row>
      <xdr:rowOff>190500</xdr:rowOff>
    </xdr:from>
    <xdr:to>
      <xdr:col>2</xdr:col>
      <xdr:colOff>434340</xdr:colOff>
      <xdr:row>9</xdr:row>
      <xdr:rowOff>190500</xdr:rowOff>
    </xdr:to>
    <xdr:sp macro="" textlink="">
      <xdr:nvSpPr>
        <xdr:cNvPr id="1244421" name="Line 32"/>
        <xdr:cNvSpPr/>
      </xdr:nvSpPr>
      <xdr:spPr>
        <a:xfrm rot="-2700000" flipH="1">
          <a:off x="1111885" y="2274570"/>
          <a:ext cx="635" cy="777240"/>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38100</xdr:colOff>
      <xdr:row>9</xdr:row>
      <xdr:rowOff>114935</xdr:rowOff>
    </xdr:from>
    <xdr:to>
      <xdr:col>5</xdr:col>
      <xdr:colOff>22860</xdr:colOff>
      <xdr:row>9</xdr:row>
      <xdr:rowOff>114935</xdr:rowOff>
    </xdr:to>
    <xdr:sp macro="" textlink="">
      <xdr:nvSpPr>
        <xdr:cNvPr id="1244422" name="Line 33"/>
        <xdr:cNvSpPr/>
      </xdr:nvSpPr>
      <xdr:spPr>
        <a:xfrm rot="-2700000" flipH="1">
          <a:off x="2277745" y="2496185"/>
          <a:ext cx="635" cy="182880"/>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38100</xdr:colOff>
      <xdr:row>10</xdr:row>
      <xdr:rowOff>175260</xdr:rowOff>
    </xdr:from>
    <xdr:to>
      <xdr:col>5</xdr:col>
      <xdr:colOff>45720</xdr:colOff>
      <xdr:row>10</xdr:row>
      <xdr:rowOff>175260</xdr:rowOff>
    </xdr:to>
    <xdr:sp macro="" textlink="">
      <xdr:nvSpPr>
        <xdr:cNvPr id="1244423" name="Line 34"/>
        <xdr:cNvSpPr/>
      </xdr:nvSpPr>
      <xdr:spPr>
        <a:xfrm rot="-2700000" flipH="1">
          <a:off x="2289175" y="2800350"/>
          <a:ext cx="635" cy="205740"/>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259080</xdr:colOff>
      <xdr:row>10</xdr:row>
      <xdr:rowOff>221615</xdr:rowOff>
    </xdr:from>
    <xdr:to>
      <xdr:col>1</xdr:col>
      <xdr:colOff>327660</xdr:colOff>
      <xdr:row>10</xdr:row>
      <xdr:rowOff>221615</xdr:rowOff>
    </xdr:to>
    <xdr:sp macro="" textlink="">
      <xdr:nvSpPr>
        <xdr:cNvPr id="1244424" name="Line 35"/>
        <xdr:cNvSpPr/>
      </xdr:nvSpPr>
      <xdr:spPr>
        <a:xfrm rot="-2700000" flipH="1">
          <a:off x="818515" y="2915285"/>
          <a:ext cx="635" cy="6858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22860</xdr:colOff>
      <xdr:row>8</xdr:row>
      <xdr:rowOff>83820</xdr:rowOff>
    </xdr:from>
    <xdr:to>
      <xdr:col>3</xdr:col>
      <xdr:colOff>259080</xdr:colOff>
      <xdr:row>8</xdr:row>
      <xdr:rowOff>91440</xdr:rowOff>
    </xdr:to>
    <xdr:sp macro="" textlink="">
      <xdr:nvSpPr>
        <xdr:cNvPr id="1244425" name="Line 40"/>
        <xdr:cNvSpPr/>
      </xdr:nvSpPr>
      <xdr:spPr>
        <a:xfrm rot="2700000">
          <a:off x="1744980" y="2186940"/>
          <a:ext cx="7620" cy="23622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350520</xdr:colOff>
      <xdr:row>8</xdr:row>
      <xdr:rowOff>52705</xdr:rowOff>
    </xdr:from>
    <xdr:to>
      <xdr:col>3</xdr:col>
      <xdr:colOff>472440</xdr:colOff>
      <xdr:row>8</xdr:row>
      <xdr:rowOff>60960</xdr:rowOff>
    </xdr:to>
    <xdr:sp macro="" textlink="">
      <xdr:nvSpPr>
        <xdr:cNvPr id="1244426" name="Line 41"/>
        <xdr:cNvSpPr/>
      </xdr:nvSpPr>
      <xdr:spPr>
        <a:xfrm rot="2700000">
          <a:off x="2014855" y="2212975"/>
          <a:ext cx="8255" cy="12192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480060</xdr:colOff>
      <xdr:row>8</xdr:row>
      <xdr:rowOff>31115</xdr:rowOff>
    </xdr:from>
    <xdr:to>
      <xdr:col>3</xdr:col>
      <xdr:colOff>15240</xdr:colOff>
      <xdr:row>8</xdr:row>
      <xdr:rowOff>31115</xdr:rowOff>
    </xdr:to>
    <xdr:sp macro="" textlink="">
      <xdr:nvSpPr>
        <xdr:cNvPr id="1244427" name="Line 42"/>
        <xdr:cNvSpPr/>
      </xdr:nvSpPr>
      <xdr:spPr>
        <a:xfrm rot="2700000">
          <a:off x="1584325" y="2210435"/>
          <a:ext cx="635" cy="7620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480060</xdr:colOff>
      <xdr:row>7</xdr:row>
      <xdr:rowOff>83820</xdr:rowOff>
    </xdr:from>
    <xdr:to>
      <xdr:col>3</xdr:col>
      <xdr:colOff>0</xdr:colOff>
      <xdr:row>7</xdr:row>
      <xdr:rowOff>83820</xdr:rowOff>
    </xdr:to>
    <xdr:sp macro="" textlink="">
      <xdr:nvSpPr>
        <xdr:cNvPr id="1244428" name="Line 43"/>
        <xdr:cNvSpPr/>
      </xdr:nvSpPr>
      <xdr:spPr>
        <a:xfrm rot="2700000">
          <a:off x="1576705" y="2015490"/>
          <a:ext cx="635" cy="60960"/>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76200</xdr:colOff>
      <xdr:row>8</xdr:row>
      <xdr:rowOff>152400</xdr:rowOff>
    </xdr:from>
    <xdr:to>
      <xdr:col>5</xdr:col>
      <xdr:colOff>0</xdr:colOff>
      <xdr:row>9</xdr:row>
      <xdr:rowOff>0</xdr:rowOff>
    </xdr:to>
    <xdr:sp macro="" textlink="">
      <xdr:nvSpPr>
        <xdr:cNvPr id="1244429" name="Line 44"/>
        <xdr:cNvSpPr/>
      </xdr:nvSpPr>
      <xdr:spPr>
        <a:xfrm>
          <a:off x="2225040" y="2369820"/>
          <a:ext cx="121920" cy="102870"/>
        </a:xfrm>
        <a:prstGeom prst="line">
          <a:avLst/>
        </a:prstGeom>
        <a:ln w="9525" cap="flat" cmpd="sng">
          <a:solidFill>
            <a:srgbClr val="000000"/>
          </a:solidFill>
          <a:prstDash val="solid"/>
          <a:round/>
          <a:headEnd type="arrow" w="sm" len="sm"/>
          <a:tailEnd type="oval" w="sm" len="sm"/>
        </a:ln>
      </xdr:spPr>
    </xdr:sp>
    <xdr:clientData/>
  </xdr:twoCellAnchor>
  <xdr:twoCellAnchor>
    <xdr:from>
      <xdr:col>5</xdr:col>
      <xdr:colOff>22860</xdr:colOff>
      <xdr:row>8</xdr:row>
      <xdr:rowOff>190500</xdr:rowOff>
    </xdr:from>
    <xdr:to>
      <xdr:col>5</xdr:col>
      <xdr:colOff>167640</xdr:colOff>
      <xdr:row>8</xdr:row>
      <xdr:rowOff>190500</xdr:rowOff>
    </xdr:to>
    <xdr:sp macro="" textlink="">
      <xdr:nvSpPr>
        <xdr:cNvPr id="1244430" name="Line 45"/>
        <xdr:cNvSpPr/>
      </xdr:nvSpPr>
      <xdr:spPr>
        <a:xfrm rot="-2700000" flipH="1">
          <a:off x="2441575" y="2335530"/>
          <a:ext cx="635" cy="144780"/>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7620</xdr:colOff>
      <xdr:row>10</xdr:row>
      <xdr:rowOff>114935</xdr:rowOff>
    </xdr:from>
    <xdr:to>
      <xdr:col>5</xdr:col>
      <xdr:colOff>320040</xdr:colOff>
      <xdr:row>10</xdr:row>
      <xdr:rowOff>114935</xdr:rowOff>
    </xdr:to>
    <xdr:sp macro="" textlink="">
      <xdr:nvSpPr>
        <xdr:cNvPr id="1244431" name="Line 46"/>
        <xdr:cNvSpPr/>
      </xdr:nvSpPr>
      <xdr:spPr>
        <a:xfrm rot="-2700000" flipH="1">
          <a:off x="2510155" y="2686685"/>
          <a:ext cx="635" cy="312420"/>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274320</xdr:colOff>
      <xdr:row>10</xdr:row>
      <xdr:rowOff>121920</xdr:rowOff>
    </xdr:from>
    <xdr:to>
      <xdr:col>6</xdr:col>
      <xdr:colOff>205740</xdr:colOff>
      <xdr:row>10</xdr:row>
      <xdr:rowOff>121920</xdr:rowOff>
    </xdr:to>
    <xdr:sp macro="" textlink="">
      <xdr:nvSpPr>
        <xdr:cNvPr id="1244432" name="Line 47"/>
        <xdr:cNvSpPr/>
      </xdr:nvSpPr>
      <xdr:spPr>
        <a:xfrm rot="-2700000" flipH="1">
          <a:off x="2780665" y="2689860"/>
          <a:ext cx="635" cy="320040"/>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236220</xdr:colOff>
      <xdr:row>9</xdr:row>
      <xdr:rowOff>68580</xdr:rowOff>
    </xdr:from>
    <xdr:to>
      <xdr:col>6</xdr:col>
      <xdr:colOff>312420</xdr:colOff>
      <xdr:row>9</xdr:row>
      <xdr:rowOff>75565</xdr:rowOff>
    </xdr:to>
    <xdr:sp macro="" textlink="">
      <xdr:nvSpPr>
        <xdr:cNvPr id="1244433" name="Line 49"/>
        <xdr:cNvSpPr/>
      </xdr:nvSpPr>
      <xdr:spPr>
        <a:xfrm rot="-2700000" flipH="1">
          <a:off x="2811780" y="2312035"/>
          <a:ext cx="6985" cy="46482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487680</xdr:colOff>
      <xdr:row>11</xdr:row>
      <xdr:rowOff>8255</xdr:rowOff>
    </xdr:from>
    <xdr:to>
      <xdr:col>2</xdr:col>
      <xdr:colOff>487680</xdr:colOff>
      <xdr:row>12</xdr:row>
      <xdr:rowOff>198120</xdr:rowOff>
    </xdr:to>
    <xdr:sp macro="" textlink="">
      <xdr:nvSpPr>
        <xdr:cNvPr id="1244434" name="Line 52"/>
        <xdr:cNvSpPr/>
      </xdr:nvSpPr>
      <xdr:spPr>
        <a:xfrm>
          <a:off x="1554480" y="2991485"/>
          <a:ext cx="0" cy="445135"/>
        </a:xfrm>
        <a:prstGeom prst="line">
          <a:avLst/>
        </a:prstGeom>
        <a:ln w="6350" cap="flat" cmpd="sng">
          <a:solidFill>
            <a:srgbClr val="000000"/>
          </a:solidFill>
          <a:prstDash val="solid"/>
          <a:round/>
          <a:headEnd type="none" w="med" len="med"/>
          <a:tailEnd type="none" w="med" len="med"/>
        </a:ln>
      </xdr:spPr>
    </xdr:sp>
    <xdr:clientData/>
  </xdr:twoCellAnchor>
  <xdr:twoCellAnchor>
    <xdr:from>
      <xdr:col>4</xdr:col>
      <xdr:colOff>53340</xdr:colOff>
      <xdr:row>11</xdr:row>
      <xdr:rowOff>8255</xdr:rowOff>
    </xdr:from>
    <xdr:to>
      <xdr:col>4</xdr:col>
      <xdr:colOff>53340</xdr:colOff>
      <xdr:row>12</xdr:row>
      <xdr:rowOff>213360</xdr:rowOff>
    </xdr:to>
    <xdr:sp macro="" textlink="">
      <xdr:nvSpPr>
        <xdr:cNvPr id="1244435" name="Line 53"/>
        <xdr:cNvSpPr/>
      </xdr:nvSpPr>
      <xdr:spPr>
        <a:xfrm>
          <a:off x="2202180" y="2991485"/>
          <a:ext cx="0" cy="460375"/>
        </a:xfrm>
        <a:prstGeom prst="line">
          <a:avLst/>
        </a:prstGeom>
        <a:ln w="6350" cap="flat" cmpd="sng">
          <a:solidFill>
            <a:srgbClr val="000000"/>
          </a:solidFill>
          <a:prstDash val="solid"/>
          <a:round/>
          <a:headEnd type="none" w="med" len="med"/>
          <a:tailEnd type="none" w="med" len="med"/>
        </a:ln>
      </xdr:spPr>
    </xdr:sp>
    <xdr:clientData/>
  </xdr:twoCellAnchor>
  <xdr:twoCellAnchor>
    <xdr:from>
      <xdr:col>2</xdr:col>
      <xdr:colOff>320040</xdr:colOff>
      <xdr:row>12</xdr:row>
      <xdr:rowOff>121920</xdr:rowOff>
    </xdr:from>
    <xdr:to>
      <xdr:col>2</xdr:col>
      <xdr:colOff>495300</xdr:colOff>
      <xdr:row>12</xdr:row>
      <xdr:rowOff>121920</xdr:rowOff>
    </xdr:to>
    <xdr:sp macro="" textlink="">
      <xdr:nvSpPr>
        <xdr:cNvPr id="1244436" name="Line 54"/>
        <xdr:cNvSpPr/>
      </xdr:nvSpPr>
      <xdr:spPr>
        <a:xfrm flipH="1">
          <a:off x="1386840" y="3360420"/>
          <a:ext cx="175260" cy="0"/>
        </a:xfrm>
        <a:prstGeom prst="line">
          <a:avLst/>
        </a:prstGeom>
        <a:ln w="9525" cap="flat" cmpd="sng">
          <a:solidFill>
            <a:srgbClr val="000000"/>
          </a:solidFill>
          <a:prstDash val="solid"/>
          <a:round/>
          <a:headEnd type="arrow" w="sm" len="sm"/>
          <a:tailEnd type="none" w="med" len="med"/>
        </a:ln>
      </xdr:spPr>
    </xdr:sp>
    <xdr:clientData/>
  </xdr:twoCellAnchor>
  <xdr:twoCellAnchor>
    <xdr:from>
      <xdr:col>2</xdr:col>
      <xdr:colOff>487680</xdr:colOff>
      <xdr:row>12</xdr:row>
      <xdr:rowOff>121920</xdr:rowOff>
    </xdr:from>
    <xdr:to>
      <xdr:col>3</xdr:col>
      <xdr:colOff>0</xdr:colOff>
      <xdr:row>12</xdr:row>
      <xdr:rowOff>121920</xdr:rowOff>
    </xdr:to>
    <xdr:sp macro="" textlink="">
      <xdr:nvSpPr>
        <xdr:cNvPr id="1244437" name="Line 56"/>
        <xdr:cNvSpPr/>
      </xdr:nvSpPr>
      <xdr:spPr>
        <a:xfrm>
          <a:off x="1554480" y="3360420"/>
          <a:ext cx="533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0</xdr:colOff>
      <xdr:row>12</xdr:row>
      <xdr:rowOff>121920</xdr:rowOff>
    </xdr:from>
    <xdr:to>
      <xdr:col>4</xdr:col>
      <xdr:colOff>53340</xdr:colOff>
      <xdr:row>12</xdr:row>
      <xdr:rowOff>121920</xdr:rowOff>
    </xdr:to>
    <xdr:sp macro="" textlink="">
      <xdr:nvSpPr>
        <xdr:cNvPr id="1244438" name="Line 57"/>
        <xdr:cNvSpPr/>
      </xdr:nvSpPr>
      <xdr:spPr>
        <a:xfrm>
          <a:off x="2148840" y="3360420"/>
          <a:ext cx="533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53340</xdr:colOff>
      <xdr:row>12</xdr:row>
      <xdr:rowOff>121920</xdr:rowOff>
    </xdr:from>
    <xdr:to>
      <xdr:col>5</xdr:col>
      <xdr:colOff>53340</xdr:colOff>
      <xdr:row>12</xdr:row>
      <xdr:rowOff>121920</xdr:rowOff>
    </xdr:to>
    <xdr:sp macro="" textlink="">
      <xdr:nvSpPr>
        <xdr:cNvPr id="1244439" name="Line 58"/>
        <xdr:cNvSpPr/>
      </xdr:nvSpPr>
      <xdr:spPr>
        <a:xfrm>
          <a:off x="2202180" y="3360420"/>
          <a:ext cx="198120" cy="0"/>
        </a:xfrm>
        <a:prstGeom prst="line">
          <a:avLst/>
        </a:prstGeom>
        <a:ln w="9525" cap="flat" cmpd="sng">
          <a:solidFill>
            <a:srgbClr val="000000"/>
          </a:solidFill>
          <a:prstDash val="solid"/>
          <a:round/>
          <a:headEnd type="arrow" w="sm" len="sm"/>
          <a:tailEnd type="none" w="med" len="med"/>
        </a:ln>
      </xdr:spPr>
    </xdr:sp>
    <xdr:clientData/>
  </xdr:twoCellAnchor>
  <xdr:twoCellAnchor>
    <xdr:from>
      <xdr:col>3</xdr:col>
      <xdr:colOff>266700</xdr:colOff>
      <xdr:row>19</xdr:row>
      <xdr:rowOff>0</xdr:rowOff>
    </xdr:from>
    <xdr:to>
      <xdr:col>3</xdr:col>
      <xdr:colOff>266700</xdr:colOff>
      <xdr:row>19</xdr:row>
      <xdr:rowOff>144780</xdr:rowOff>
    </xdr:to>
    <xdr:sp macro="" textlink="">
      <xdr:nvSpPr>
        <xdr:cNvPr id="1244440" name="Line 61"/>
        <xdr:cNvSpPr/>
      </xdr:nvSpPr>
      <xdr:spPr>
        <a:xfrm>
          <a:off x="1874520" y="5025390"/>
          <a:ext cx="0" cy="144780"/>
        </a:xfrm>
        <a:prstGeom prst="line">
          <a:avLst/>
        </a:prstGeom>
        <a:ln w="9525" cap="flat" cmpd="sng">
          <a:solidFill>
            <a:srgbClr val="000000"/>
          </a:solidFill>
          <a:prstDash val="solid"/>
          <a:round/>
          <a:headEnd type="oval" w="sm" len="sm"/>
          <a:tailEnd type="arrow" w="sm" len="sm"/>
        </a:ln>
      </xdr:spPr>
    </xdr:sp>
    <xdr:clientData/>
  </xdr:twoCellAnchor>
  <xdr:twoCellAnchor>
    <xdr:from>
      <xdr:col>2</xdr:col>
      <xdr:colOff>480060</xdr:colOff>
      <xdr:row>16</xdr:row>
      <xdr:rowOff>228600</xdr:rowOff>
    </xdr:from>
    <xdr:to>
      <xdr:col>2</xdr:col>
      <xdr:colOff>480060</xdr:colOff>
      <xdr:row>20</xdr:row>
      <xdr:rowOff>0</xdr:rowOff>
    </xdr:to>
    <xdr:sp macro="" textlink="">
      <xdr:nvSpPr>
        <xdr:cNvPr id="1244441" name="Line 62"/>
        <xdr:cNvSpPr/>
      </xdr:nvSpPr>
      <xdr:spPr>
        <a:xfrm rot="-2700000">
          <a:off x="1546860" y="4488180"/>
          <a:ext cx="0" cy="792480"/>
        </a:xfrm>
        <a:prstGeom prst="line">
          <a:avLst/>
        </a:prstGeom>
        <a:ln w="76200" cap="flat" cmpd="sng">
          <a:solidFill>
            <a:srgbClr val="000000"/>
          </a:solidFill>
          <a:prstDash val="solid"/>
          <a:round/>
          <a:headEnd type="none" w="med" len="med"/>
          <a:tailEnd type="none" w="med" len="med"/>
        </a:ln>
      </xdr:spPr>
    </xdr:sp>
    <xdr:clientData/>
  </xdr:twoCellAnchor>
  <xdr:twoCellAnchor>
    <xdr:from>
      <xdr:col>3</xdr:col>
      <xdr:colOff>259080</xdr:colOff>
      <xdr:row>18</xdr:row>
      <xdr:rowOff>114935</xdr:rowOff>
    </xdr:from>
    <xdr:to>
      <xdr:col>5</xdr:col>
      <xdr:colOff>228600</xdr:colOff>
      <xdr:row>18</xdr:row>
      <xdr:rowOff>114935</xdr:rowOff>
    </xdr:to>
    <xdr:sp macro="" textlink="">
      <xdr:nvSpPr>
        <xdr:cNvPr id="1244442" name="Line 63"/>
        <xdr:cNvSpPr/>
      </xdr:nvSpPr>
      <xdr:spPr>
        <a:xfrm rot="2700000">
          <a:off x="2220595" y="4530725"/>
          <a:ext cx="635" cy="708660"/>
        </a:xfrm>
        <a:prstGeom prst="line">
          <a:avLst/>
        </a:prstGeom>
        <a:ln w="76200" cap="flat" cmpd="sng">
          <a:solidFill>
            <a:srgbClr val="000000"/>
          </a:solidFill>
          <a:prstDash val="solid"/>
          <a:round/>
          <a:headEnd type="none" w="med" len="med"/>
          <a:tailEnd type="none" w="med" len="med"/>
        </a:ln>
      </xdr:spPr>
    </xdr:sp>
    <xdr:clientData/>
  </xdr:twoCellAnchor>
  <xdr:twoCellAnchor>
    <xdr:from>
      <xdr:col>3</xdr:col>
      <xdr:colOff>205740</xdr:colOff>
      <xdr:row>19</xdr:row>
      <xdr:rowOff>68580</xdr:rowOff>
    </xdr:from>
    <xdr:to>
      <xdr:col>3</xdr:col>
      <xdr:colOff>335280</xdr:colOff>
      <xdr:row>19</xdr:row>
      <xdr:rowOff>213360</xdr:rowOff>
    </xdr:to>
    <xdr:sp macro="" textlink="">
      <xdr:nvSpPr>
        <xdr:cNvPr id="1244443" name="Arc 64"/>
        <xdr:cNvSpPr/>
      </xdr:nvSpPr>
      <xdr:spPr>
        <a:xfrm rot="-8100000" flipH="1">
          <a:off x="1813560" y="5093970"/>
          <a:ext cx="129540" cy="14478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2</xdr:col>
      <xdr:colOff>487680</xdr:colOff>
      <xdr:row>15</xdr:row>
      <xdr:rowOff>106680</xdr:rowOff>
    </xdr:from>
    <xdr:to>
      <xdr:col>4</xdr:col>
      <xdr:colOff>60960</xdr:colOff>
      <xdr:row>16</xdr:row>
      <xdr:rowOff>8255</xdr:rowOff>
    </xdr:to>
    <xdr:sp macro="" textlink="">
      <xdr:nvSpPr>
        <xdr:cNvPr id="1244444" name="FreeForm 65"/>
        <xdr:cNvSpPr/>
      </xdr:nvSpPr>
      <xdr:spPr>
        <a:xfrm>
          <a:off x="1554480" y="4110990"/>
          <a:ext cx="655320" cy="156845"/>
        </a:xfrm>
        <a:custGeom>
          <a:avLst/>
          <a:gdLst/>
          <a:ahLst/>
          <a:cxnLst>
            <a:cxn ang="0">
              <a:pos x="0" y="10"/>
            </a:cxn>
            <a:cxn ang="0">
              <a:pos x="25" y="1"/>
            </a:cxn>
            <a:cxn ang="0">
              <a:pos x="43" y="6"/>
            </a:cxn>
            <a:cxn ang="0">
              <a:pos x="57" y="17"/>
            </a:cxn>
            <a:cxn ang="0">
              <a:pos x="69" y="7"/>
            </a:cxn>
            <a:cxn ang="0">
              <a:pos x="77" y="11"/>
            </a:cxn>
          </a:cxnLst>
          <a:rect l="0" t="0" r="0" b="0"/>
          <a:pathLst>
            <a:path w="77" h="17">
              <a:moveTo>
                <a:pt x="0" y="10"/>
              </a:moveTo>
              <a:cubicBezTo>
                <a:pt x="9" y="6"/>
                <a:pt x="18" y="2"/>
                <a:pt x="25" y="1"/>
              </a:cubicBezTo>
              <a:cubicBezTo>
                <a:pt x="32" y="0"/>
                <a:pt x="38" y="3"/>
                <a:pt x="43" y="6"/>
              </a:cubicBezTo>
              <a:cubicBezTo>
                <a:pt x="48" y="9"/>
                <a:pt x="53" y="17"/>
                <a:pt x="57" y="17"/>
              </a:cubicBezTo>
              <a:cubicBezTo>
                <a:pt x="61" y="17"/>
                <a:pt x="66" y="8"/>
                <a:pt x="69" y="7"/>
              </a:cubicBezTo>
              <a:cubicBezTo>
                <a:pt x="72" y="6"/>
                <a:pt x="74" y="8"/>
                <a:pt x="77" y="11"/>
              </a:cubicBezTo>
            </a:path>
          </a:pathLst>
        </a:custGeom>
        <a:noFill/>
        <a:ln w="15875" cap="flat" cmpd="sng">
          <a:solidFill>
            <a:srgbClr val="000000"/>
          </a:solidFill>
          <a:prstDash val="solid"/>
          <a:round/>
          <a:headEnd type="none" w="med" len="med"/>
          <a:tailEnd type="none" w="med" len="med"/>
        </a:ln>
      </xdr:spPr>
    </xdr:sp>
    <xdr:clientData/>
  </xdr:twoCellAnchor>
  <xdr:twoCellAnchor>
    <xdr:from>
      <xdr:col>2</xdr:col>
      <xdr:colOff>487680</xdr:colOff>
      <xdr:row>15</xdr:row>
      <xdr:rowOff>198120</xdr:rowOff>
    </xdr:from>
    <xdr:to>
      <xdr:col>2</xdr:col>
      <xdr:colOff>487680</xdr:colOff>
      <xdr:row>18</xdr:row>
      <xdr:rowOff>75565</xdr:rowOff>
    </xdr:to>
    <xdr:sp macro="" textlink="">
      <xdr:nvSpPr>
        <xdr:cNvPr id="1244445" name="Line 66"/>
        <xdr:cNvSpPr/>
      </xdr:nvSpPr>
      <xdr:spPr>
        <a:xfrm flipH="1" flipV="1">
          <a:off x="1554480" y="4202430"/>
          <a:ext cx="0" cy="643255"/>
        </a:xfrm>
        <a:prstGeom prst="line">
          <a:avLst/>
        </a:prstGeom>
        <a:ln w="15875" cap="flat" cmpd="sng">
          <a:solidFill>
            <a:srgbClr val="000000"/>
          </a:solidFill>
          <a:prstDash val="solid"/>
          <a:round/>
          <a:headEnd type="none" w="med" len="med"/>
          <a:tailEnd type="none" w="med" len="med"/>
        </a:ln>
      </xdr:spPr>
    </xdr:sp>
    <xdr:clientData/>
  </xdr:twoCellAnchor>
  <xdr:twoCellAnchor>
    <xdr:from>
      <xdr:col>4</xdr:col>
      <xdr:colOff>60960</xdr:colOff>
      <xdr:row>15</xdr:row>
      <xdr:rowOff>190500</xdr:rowOff>
    </xdr:from>
    <xdr:to>
      <xdr:col>4</xdr:col>
      <xdr:colOff>60960</xdr:colOff>
      <xdr:row>18</xdr:row>
      <xdr:rowOff>83820</xdr:rowOff>
    </xdr:to>
    <xdr:sp macro="" textlink="">
      <xdr:nvSpPr>
        <xdr:cNvPr id="1244446" name="Line 67"/>
        <xdr:cNvSpPr/>
      </xdr:nvSpPr>
      <xdr:spPr>
        <a:xfrm flipV="1">
          <a:off x="2209800" y="4194810"/>
          <a:ext cx="0" cy="65913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381000</xdr:colOff>
      <xdr:row>18</xdr:row>
      <xdr:rowOff>121920</xdr:rowOff>
    </xdr:from>
    <xdr:to>
      <xdr:col>2</xdr:col>
      <xdr:colOff>487680</xdr:colOff>
      <xdr:row>19</xdr:row>
      <xdr:rowOff>31115</xdr:rowOff>
    </xdr:to>
    <xdr:sp macro="" textlink="">
      <xdr:nvSpPr>
        <xdr:cNvPr id="1244447" name="Arc 68"/>
        <xdr:cNvSpPr/>
      </xdr:nvSpPr>
      <xdr:spPr>
        <a:xfrm>
          <a:off x="1447800" y="4892040"/>
          <a:ext cx="106680" cy="164465"/>
        </a:xfrm>
        <a:custGeom>
          <a:avLst/>
          <a:gdLst/>
          <a:ahLst/>
          <a:cxnLst>
            <a:cxn ang="0">
              <a:pos x="0" y="0"/>
            </a:cxn>
            <a:cxn ang="0">
              <a:pos x="17261" y="8612"/>
            </a:cxn>
            <a:cxn ang="0">
              <a:pos x="0" y="0"/>
            </a:cxn>
            <a:cxn ang="0">
              <a:pos x="17261" y="8612"/>
            </a:cxn>
            <a:cxn ang="0">
              <a:pos x="0" y="21600"/>
            </a:cxn>
          </a:cxnLst>
          <a:rect l="0" t="0" r="0" b="0"/>
          <a:pathLst>
            <a:path w="17260" h="21600" fill="none">
              <a:moveTo>
                <a:pt x="0" y="0"/>
              </a:moveTo>
              <a:cubicBezTo>
                <a:pt x="7054" y="0"/>
                <a:pt x="13319" y="3382"/>
                <a:pt x="17261" y="8612"/>
              </a:cubicBezTo>
            </a:path>
            <a:path w="17260" h="21600" stroke="0">
              <a:moveTo>
                <a:pt x="0" y="0"/>
              </a:moveTo>
              <a:cubicBezTo>
                <a:pt x="7054" y="0"/>
                <a:pt x="13319" y="3382"/>
                <a:pt x="17261" y="8612"/>
              </a:cubicBezTo>
              <a:lnTo>
                <a:pt x="0" y="21600"/>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4</xdr:col>
      <xdr:colOff>76200</xdr:colOff>
      <xdr:row>18</xdr:row>
      <xdr:rowOff>121920</xdr:rowOff>
    </xdr:from>
    <xdr:to>
      <xdr:col>4</xdr:col>
      <xdr:colOff>190500</xdr:colOff>
      <xdr:row>18</xdr:row>
      <xdr:rowOff>197485</xdr:rowOff>
    </xdr:to>
    <xdr:sp macro="" textlink="">
      <xdr:nvSpPr>
        <xdr:cNvPr id="1244448" name="Arc 69"/>
        <xdr:cNvSpPr/>
      </xdr:nvSpPr>
      <xdr:spPr>
        <a:xfrm rot="-5400000">
          <a:off x="2244090" y="4872355"/>
          <a:ext cx="75565" cy="114300"/>
        </a:xfrm>
        <a:custGeom>
          <a:avLst/>
          <a:gdLst/>
          <a:ahLst/>
          <a:cxnLst>
            <a:cxn ang="0">
              <a:pos x="10617" y="0"/>
            </a:cxn>
            <a:cxn ang="0">
              <a:pos x="21600" y="18810"/>
            </a:cxn>
            <a:cxn ang="0">
              <a:pos x="10617" y="0"/>
            </a:cxn>
            <a:cxn ang="0">
              <a:pos x="21600" y="18810"/>
            </a:cxn>
            <a:cxn ang="0">
              <a:pos x="0" y="18810"/>
            </a:cxn>
          </a:cxnLst>
          <a:rect l="0" t="0" r="0" b="0"/>
          <a:pathLst>
            <a:path w="21600" h="18810" fill="none">
              <a:moveTo>
                <a:pt x="10617" y="0"/>
              </a:moveTo>
              <a:cubicBezTo>
                <a:pt x="17176" y="3706"/>
                <a:pt x="21600" y="10741"/>
                <a:pt x="21600" y="18810"/>
              </a:cubicBezTo>
            </a:path>
            <a:path w="21600" h="18810" stroke="0">
              <a:moveTo>
                <a:pt x="10617" y="0"/>
              </a:moveTo>
              <a:cubicBezTo>
                <a:pt x="17176" y="3706"/>
                <a:pt x="21600" y="10741"/>
                <a:pt x="21600" y="18810"/>
              </a:cubicBezTo>
              <a:lnTo>
                <a:pt x="0" y="18810"/>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4</xdr:col>
      <xdr:colOff>182880</xdr:colOff>
      <xdr:row>18</xdr:row>
      <xdr:rowOff>121920</xdr:rowOff>
    </xdr:from>
    <xdr:to>
      <xdr:col>6</xdr:col>
      <xdr:colOff>182880</xdr:colOff>
      <xdr:row>18</xdr:row>
      <xdr:rowOff>121920</xdr:rowOff>
    </xdr:to>
    <xdr:sp macro="" textlink="">
      <xdr:nvSpPr>
        <xdr:cNvPr id="1244449" name="Line 71"/>
        <xdr:cNvSpPr/>
      </xdr:nvSpPr>
      <xdr:spPr>
        <a:xfrm>
          <a:off x="2331720" y="4892040"/>
          <a:ext cx="58674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160020</xdr:colOff>
      <xdr:row>18</xdr:row>
      <xdr:rowOff>121920</xdr:rowOff>
    </xdr:from>
    <xdr:to>
      <xdr:col>2</xdr:col>
      <xdr:colOff>388620</xdr:colOff>
      <xdr:row>18</xdr:row>
      <xdr:rowOff>121920</xdr:rowOff>
    </xdr:to>
    <xdr:sp macro="" textlink="">
      <xdr:nvSpPr>
        <xdr:cNvPr id="1244450" name="Line 72"/>
        <xdr:cNvSpPr/>
      </xdr:nvSpPr>
      <xdr:spPr>
        <a:xfrm flipH="1">
          <a:off x="685800" y="4892040"/>
          <a:ext cx="7696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160020</xdr:colOff>
      <xdr:row>18</xdr:row>
      <xdr:rowOff>121920</xdr:rowOff>
    </xdr:from>
    <xdr:to>
      <xdr:col>1</xdr:col>
      <xdr:colOff>160020</xdr:colOff>
      <xdr:row>21</xdr:row>
      <xdr:rowOff>137795</xdr:rowOff>
    </xdr:to>
    <xdr:sp macro="" textlink="">
      <xdr:nvSpPr>
        <xdr:cNvPr id="1244451" name="Line 73"/>
        <xdr:cNvSpPr/>
      </xdr:nvSpPr>
      <xdr:spPr>
        <a:xfrm>
          <a:off x="685800" y="4892040"/>
          <a:ext cx="0" cy="781685"/>
        </a:xfrm>
        <a:prstGeom prst="line">
          <a:avLst/>
        </a:prstGeom>
        <a:ln w="15875" cap="flat" cmpd="sng">
          <a:solidFill>
            <a:srgbClr val="000000"/>
          </a:solidFill>
          <a:prstDash val="solid"/>
          <a:round/>
          <a:headEnd type="none" w="med" len="med"/>
          <a:tailEnd type="none" w="med" len="med"/>
        </a:ln>
      </xdr:spPr>
    </xdr:sp>
    <xdr:clientData/>
  </xdr:twoCellAnchor>
  <xdr:twoCellAnchor>
    <xdr:from>
      <xdr:col>1</xdr:col>
      <xdr:colOff>0</xdr:colOff>
      <xdr:row>21</xdr:row>
      <xdr:rowOff>137795</xdr:rowOff>
    </xdr:from>
    <xdr:to>
      <xdr:col>6</xdr:col>
      <xdr:colOff>381000</xdr:colOff>
      <xdr:row>21</xdr:row>
      <xdr:rowOff>137795</xdr:rowOff>
    </xdr:to>
    <xdr:sp macro="" textlink="">
      <xdr:nvSpPr>
        <xdr:cNvPr id="1244452" name="Line 74"/>
        <xdr:cNvSpPr/>
      </xdr:nvSpPr>
      <xdr:spPr>
        <a:xfrm flipV="1">
          <a:off x="525780" y="5673725"/>
          <a:ext cx="259080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6</xdr:col>
      <xdr:colOff>182880</xdr:colOff>
      <xdr:row>18</xdr:row>
      <xdr:rowOff>121920</xdr:rowOff>
    </xdr:from>
    <xdr:to>
      <xdr:col>6</xdr:col>
      <xdr:colOff>182880</xdr:colOff>
      <xdr:row>21</xdr:row>
      <xdr:rowOff>144780</xdr:rowOff>
    </xdr:to>
    <xdr:sp macro="" textlink="">
      <xdr:nvSpPr>
        <xdr:cNvPr id="1244453" name="Line 75"/>
        <xdr:cNvSpPr/>
      </xdr:nvSpPr>
      <xdr:spPr>
        <a:xfrm>
          <a:off x="2918460" y="4892040"/>
          <a:ext cx="0" cy="788670"/>
        </a:xfrm>
        <a:prstGeom prst="line">
          <a:avLst/>
        </a:prstGeom>
        <a:ln w="15875" cap="flat" cmpd="sng">
          <a:solidFill>
            <a:srgbClr val="000000"/>
          </a:solidFill>
          <a:prstDash val="solid"/>
          <a:round/>
          <a:headEnd type="none" w="med" len="med"/>
          <a:tailEnd type="none" w="med" len="med"/>
        </a:ln>
      </xdr:spPr>
    </xdr:sp>
    <xdr:clientData/>
  </xdr:twoCellAnchor>
  <xdr:twoCellAnchor>
    <xdr:from>
      <xdr:col>2</xdr:col>
      <xdr:colOff>365760</xdr:colOff>
      <xdr:row>18</xdr:row>
      <xdr:rowOff>144780</xdr:rowOff>
    </xdr:from>
    <xdr:to>
      <xdr:col>2</xdr:col>
      <xdr:colOff>365760</xdr:colOff>
      <xdr:row>22</xdr:row>
      <xdr:rowOff>213360</xdr:rowOff>
    </xdr:to>
    <xdr:sp macro="" textlink="">
      <xdr:nvSpPr>
        <xdr:cNvPr id="1244454" name="Line 76"/>
        <xdr:cNvSpPr/>
      </xdr:nvSpPr>
      <xdr:spPr>
        <a:xfrm>
          <a:off x="1432560" y="4914900"/>
          <a:ext cx="0" cy="1089660"/>
        </a:xfrm>
        <a:prstGeom prst="line">
          <a:avLst/>
        </a:prstGeom>
        <a:ln w="6350" cap="flat" cmpd="sng">
          <a:solidFill>
            <a:srgbClr val="000000"/>
          </a:solidFill>
          <a:prstDash val="solid"/>
          <a:round/>
          <a:headEnd type="none" w="med" len="med"/>
          <a:tailEnd type="none" w="med" len="med"/>
        </a:ln>
      </xdr:spPr>
    </xdr:sp>
    <xdr:clientData/>
  </xdr:twoCellAnchor>
  <xdr:twoCellAnchor>
    <xdr:from>
      <xdr:col>4</xdr:col>
      <xdr:colOff>175260</xdr:colOff>
      <xdr:row>18</xdr:row>
      <xdr:rowOff>144780</xdr:rowOff>
    </xdr:from>
    <xdr:to>
      <xdr:col>4</xdr:col>
      <xdr:colOff>175260</xdr:colOff>
      <xdr:row>22</xdr:row>
      <xdr:rowOff>213360</xdr:rowOff>
    </xdr:to>
    <xdr:sp macro="" textlink="">
      <xdr:nvSpPr>
        <xdr:cNvPr id="1244455" name="Line 78"/>
        <xdr:cNvSpPr/>
      </xdr:nvSpPr>
      <xdr:spPr>
        <a:xfrm>
          <a:off x="2324100" y="4914900"/>
          <a:ext cx="0" cy="1089660"/>
        </a:xfrm>
        <a:prstGeom prst="line">
          <a:avLst/>
        </a:prstGeom>
        <a:ln w="6350" cap="flat" cmpd="sng">
          <a:solidFill>
            <a:srgbClr val="000000"/>
          </a:solidFill>
          <a:prstDash val="solid"/>
          <a:round/>
          <a:headEnd type="none" w="med" len="med"/>
          <a:tailEnd type="none" w="med" len="med"/>
        </a:ln>
      </xdr:spPr>
    </xdr:sp>
    <xdr:clientData/>
  </xdr:twoCellAnchor>
  <xdr:twoCellAnchor>
    <xdr:from>
      <xdr:col>2</xdr:col>
      <xdr:colOff>365760</xdr:colOff>
      <xdr:row>22</xdr:row>
      <xdr:rowOff>121920</xdr:rowOff>
    </xdr:from>
    <xdr:to>
      <xdr:col>3</xdr:col>
      <xdr:colOff>0</xdr:colOff>
      <xdr:row>22</xdr:row>
      <xdr:rowOff>121920</xdr:rowOff>
    </xdr:to>
    <xdr:sp macro="" textlink="">
      <xdr:nvSpPr>
        <xdr:cNvPr id="1244456" name="Line 81"/>
        <xdr:cNvSpPr/>
      </xdr:nvSpPr>
      <xdr:spPr>
        <a:xfrm flipH="1">
          <a:off x="1432560" y="5913120"/>
          <a:ext cx="17526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3</xdr:col>
      <xdr:colOff>533400</xdr:colOff>
      <xdr:row>22</xdr:row>
      <xdr:rowOff>121920</xdr:rowOff>
    </xdr:from>
    <xdr:to>
      <xdr:col>4</xdr:col>
      <xdr:colOff>175260</xdr:colOff>
      <xdr:row>22</xdr:row>
      <xdr:rowOff>121920</xdr:rowOff>
    </xdr:to>
    <xdr:sp macro="" textlink="">
      <xdr:nvSpPr>
        <xdr:cNvPr id="1244457" name="Line 82"/>
        <xdr:cNvSpPr/>
      </xdr:nvSpPr>
      <xdr:spPr>
        <a:xfrm flipH="1">
          <a:off x="2141220" y="5913120"/>
          <a:ext cx="182880" cy="0"/>
        </a:xfrm>
        <a:prstGeom prst="line">
          <a:avLst/>
        </a:prstGeom>
        <a:ln w="9525" cap="flat" cmpd="sng">
          <a:solidFill>
            <a:srgbClr val="000000"/>
          </a:solidFill>
          <a:prstDash val="solid"/>
          <a:round/>
          <a:headEnd type="arrow" w="sm" len="sm"/>
          <a:tailEnd type="none" w="med" len="med"/>
        </a:ln>
      </xdr:spPr>
    </xdr:sp>
    <xdr:clientData/>
  </xdr:twoCellAnchor>
  <xdr:twoCellAnchor>
    <xdr:from>
      <xdr:col>1</xdr:col>
      <xdr:colOff>175260</xdr:colOff>
      <xdr:row>18</xdr:row>
      <xdr:rowOff>144780</xdr:rowOff>
    </xdr:from>
    <xdr:to>
      <xdr:col>2</xdr:col>
      <xdr:colOff>419100</xdr:colOff>
      <xdr:row>21</xdr:row>
      <xdr:rowOff>137795</xdr:rowOff>
    </xdr:to>
    <xdr:sp macro="" textlink="">
      <xdr:nvSpPr>
        <xdr:cNvPr id="1244458" name="Line 83"/>
        <xdr:cNvSpPr/>
      </xdr:nvSpPr>
      <xdr:spPr>
        <a:xfrm flipH="1">
          <a:off x="701040" y="4914900"/>
          <a:ext cx="784860" cy="758825"/>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175260</xdr:colOff>
      <xdr:row>18</xdr:row>
      <xdr:rowOff>137795</xdr:rowOff>
    </xdr:from>
    <xdr:to>
      <xdr:col>2</xdr:col>
      <xdr:colOff>121920</xdr:colOff>
      <xdr:row>20</xdr:row>
      <xdr:rowOff>83820</xdr:rowOff>
    </xdr:to>
    <xdr:sp macro="" textlink="">
      <xdr:nvSpPr>
        <xdr:cNvPr id="1244459" name="Line 84"/>
        <xdr:cNvSpPr/>
      </xdr:nvSpPr>
      <xdr:spPr>
        <a:xfrm flipH="1">
          <a:off x="701040" y="4907915"/>
          <a:ext cx="487680" cy="456565"/>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525780</xdr:colOff>
      <xdr:row>19</xdr:row>
      <xdr:rowOff>8255</xdr:rowOff>
    </xdr:from>
    <xdr:to>
      <xdr:col>3</xdr:col>
      <xdr:colOff>60960</xdr:colOff>
      <xdr:row>21</xdr:row>
      <xdr:rowOff>137795</xdr:rowOff>
    </xdr:to>
    <xdr:sp macro="" textlink="">
      <xdr:nvSpPr>
        <xdr:cNvPr id="1244460" name="Line 85"/>
        <xdr:cNvSpPr/>
      </xdr:nvSpPr>
      <xdr:spPr>
        <a:xfrm flipH="1">
          <a:off x="1051560" y="5033645"/>
          <a:ext cx="617220" cy="64008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289560</xdr:colOff>
      <xdr:row>19</xdr:row>
      <xdr:rowOff>159385</xdr:rowOff>
    </xdr:from>
    <xdr:to>
      <xdr:col>3</xdr:col>
      <xdr:colOff>205740</xdr:colOff>
      <xdr:row>21</xdr:row>
      <xdr:rowOff>137795</xdr:rowOff>
    </xdr:to>
    <xdr:sp macro="" textlink="">
      <xdr:nvSpPr>
        <xdr:cNvPr id="1244461" name="Line 86"/>
        <xdr:cNvSpPr/>
      </xdr:nvSpPr>
      <xdr:spPr>
        <a:xfrm flipH="1">
          <a:off x="1356360" y="5184775"/>
          <a:ext cx="457200" cy="48895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53340</xdr:colOff>
      <xdr:row>19</xdr:row>
      <xdr:rowOff>38100</xdr:rowOff>
    </xdr:from>
    <xdr:to>
      <xdr:col>4</xdr:col>
      <xdr:colOff>91440</xdr:colOff>
      <xdr:row>21</xdr:row>
      <xdr:rowOff>137795</xdr:rowOff>
    </xdr:to>
    <xdr:sp macro="" textlink="">
      <xdr:nvSpPr>
        <xdr:cNvPr id="1244462" name="Line 87"/>
        <xdr:cNvSpPr/>
      </xdr:nvSpPr>
      <xdr:spPr>
        <a:xfrm flipH="1">
          <a:off x="1661160" y="5063490"/>
          <a:ext cx="579120" cy="610235"/>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259080</xdr:colOff>
      <xdr:row>20</xdr:row>
      <xdr:rowOff>52705</xdr:rowOff>
    </xdr:from>
    <xdr:to>
      <xdr:col>6</xdr:col>
      <xdr:colOff>175260</xdr:colOff>
      <xdr:row>21</xdr:row>
      <xdr:rowOff>121920</xdr:rowOff>
    </xdr:to>
    <xdr:sp macro="" textlink="">
      <xdr:nvSpPr>
        <xdr:cNvPr id="1244463" name="Line 88"/>
        <xdr:cNvSpPr/>
      </xdr:nvSpPr>
      <xdr:spPr>
        <a:xfrm flipH="1">
          <a:off x="2606040" y="5333365"/>
          <a:ext cx="304800" cy="324485"/>
        </a:xfrm>
        <a:prstGeom prst="line">
          <a:avLst/>
        </a:prstGeom>
        <a:ln w="31750" cap="flat" cmpd="dbl">
          <a:solidFill>
            <a:srgbClr val="000000"/>
          </a:solidFill>
          <a:prstDash val="solid"/>
          <a:round/>
          <a:headEnd type="none" w="med" len="med"/>
          <a:tailEnd type="none" w="med" len="med"/>
        </a:ln>
      </xdr:spPr>
    </xdr:sp>
    <xdr:clientData/>
  </xdr:twoCellAnchor>
  <xdr:twoCellAnchor>
    <xdr:from>
      <xdr:col>1</xdr:col>
      <xdr:colOff>175260</xdr:colOff>
      <xdr:row>18</xdr:row>
      <xdr:rowOff>137795</xdr:rowOff>
    </xdr:from>
    <xdr:to>
      <xdr:col>1</xdr:col>
      <xdr:colOff>342900</xdr:colOff>
      <xdr:row>19</xdr:row>
      <xdr:rowOff>38100</xdr:rowOff>
    </xdr:to>
    <xdr:sp macro="" textlink="">
      <xdr:nvSpPr>
        <xdr:cNvPr id="1244464" name="Line 91"/>
        <xdr:cNvSpPr/>
      </xdr:nvSpPr>
      <xdr:spPr>
        <a:xfrm flipH="1">
          <a:off x="701040" y="4907915"/>
          <a:ext cx="167640" cy="155575"/>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175260</xdr:colOff>
      <xdr:row>20</xdr:row>
      <xdr:rowOff>8255</xdr:rowOff>
    </xdr:from>
    <xdr:to>
      <xdr:col>5</xdr:col>
      <xdr:colOff>320040</xdr:colOff>
      <xdr:row>21</xdr:row>
      <xdr:rowOff>137795</xdr:rowOff>
    </xdr:to>
    <xdr:sp macro="" textlink="">
      <xdr:nvSpPr>
        <xdr:cNvPr id="1244465" name="Line 93"/>
        <xdr:cNvSpPr/>
      </xdr:nvSpPr>
      <xdr:spPr>
        <a:xfrm flipH="1">
          <a:off x="2324100" y="5288915"/>
          <a:ext cx="342900" cy="384810"/>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457200</xdr:colOff>
      <xdr:row>15</xdr:row>
      <xdr:rowOff>236220</xdr:rowOff>
    </xdr:from>
    <xdr:to>
      <xdr:col>4</xdr:col>
      <xdr:colOff>60960</xdr:colOff>
      <xdr:row>16</xdr:row>
      <xdr:rowOff>137795</xdr:rowOff>
    </xdr:to>
    <xdr:sp macro="" textlink="">
      <xdr:nvSpPr>
        <xdr:cNvPr id="1244466" name="Line 94"/>
        <xdr:cNvSpPr/>
      </xdr:nvSpPr>
      <xdr:spPr>
        <a:xfrm>
          <a:off x="2065020" y="4240530"/>
          <a:ext cx="144780" cy="15684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91440</xdr:colOff>
      <xdr:row>15</xdr:row>
      <xdr:rowOff>137795</xdr:rowOff>
    </xdr:from>
    <xdr:to>
      <xdr:col>3</xdr:col>
      <xdr:colOff>464820</xdr:colOff>
      <xdr:row>16</xdr:row>
      <xdr:rowOff>236220</xdr:rowOff>
    </xdr:to>
    <xdr:sp macro="" textlink="">
      <xdr:nvSpPr>
        <xdr:cNvPr id="1244467" name="Line 95"/>
        <xdr:cNvSpPr/>
      </xdr:nvSpPr>
      <xdr:spPr>
        <a:xfrm>
          <a:off x="1699260" y="4142105"/>
          <a:ext cx="373380" cy="35369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487680</xdr:colOff>
      <xdr:row>15</xdr:row>
      <xdr:rowOff>228600</xdr:rowOff>
    </xdr:from>
    <xdr:to>
      <xdr:col>3</xdr:col>
      <xdr:colOff>205740</xdr:colOff>
      <xdr:row>16</xdr:row>
      <xdr:rowOff>236220</xdr:rowOff>
    </xdr:to>
    <xdr:sp macro="" textlink="">
      <xdr:nvSpPr>
        <xdr:cNvPr id="1244468" name="Line 96"/>
        <xdr:cNvSpPr/>
      </xdr:nvSpPr>
      <xdr:spPr>
        <a:xfrm>
          <a:off x="1554480" y="4232910"/>
          <a:ext cx="259080" cy="26289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487680</xdr:colOff>
      <xdr:row>16</xdr:row>
      <xdr:rowOff>221615</xdr:rowOff>
    </xdr:from>
    <xdr:to>
      <xdr:col>3</xdr:col>
      <xdr:colOff>0</xdr:colOff>
      <xdr:row>17</xdr:row>
      <xdr:rowOff>15240</xdr:rowOff>
    </xdr:to>
    <xdr:sp macro="" textlink="">
      <xdr:nvSpPr>
        <xdr:cNvPr id="1244469" name="Line 97"/>
        <xdr:cNvSpPr/>
      </xdr:nvSpPr>
      <xdr:spPr>
        <a:xfrm>
          <a:off x="1554480" y="4481195"/>
          <a:ext cx="53340" cy="48895"/>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487680</xdr:colOff>
      <xdr:row>17</xdr:row>
      <xdr:rowOff>159385</xdr:rowOff>
    </xdr:from>
    <xdr:to>
      <xdr:col>3</xdr:col>
      <xdr:colOff>0</xdr:colOff>
      <xdr:row>17</xdr:row>
      <xdr:rowOff>228600</xdr:rowOff>
    </xdr:to>
    <xdr:sp macro="" textlink="">
      <xdr:nvSpPr>
        <xdr:cNvPr id="1244470" name="Line 98"/>
        <xdr:cNvSpPr/>
      </xdr:nvSpPr>
      <xdr:spPr>
        <a:xfrm>
          <a:off x="1554480" y="4674235"/>
          <a:ext cx="53340" cy="6921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38100</xdr:colOff>
      <xdr:row>18</xdr:row>
      <xdr:rowOff>8255</xdr:rowOff>
    </xdr:from>
    <xdr:to>
      <xdr:col>3</xdr:col>
      <xdr:colOff>152400</xdr:colOff>
      <xdr:row>18</xdr:row>
      <xdr:rowOff>129540</xdr:rowOff>
    </xdr:to>
    <xdr:sp macro="" textlink="">
      <xdr:nvSpPr>
        <xdr:cNvPr id="1244471" name="Line 99"/>
        <xdr:cNvSpPr/>
      </xdr:nvSpPr>
      <xdr:spPr>
        <a:xfrm>
          <a:off x="1645920" y="4778375"/>
          <a:ext cx="114300" cy="12128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419100</xdr:colOff>
      <xdr:row>18</xdr:row>
      <xdr:rowOff>0</xdr:rowOff>
    </xdr:from>
    <xdr:to>
      <xdr:col>4</xdr:col>
      <xdr:colOff>7620</xdr:colOff>
      <xdr:row>18</xdr:row>
      <xdr:rowOff>137795</xdr:rowOff>
    </xdr:to>
    <xdr:sp macro="" textlink="">
      <xdr:nvSpPr>
        <xdr:cNvPr id="1244472" name="Line 100"/>
        <xdr:cNvSpPr/>
      </xdr:nvSpPr>
      <xdr:spPr>
        <a:xfrm>
          <a:off x="2026920" y="4770120"/>
          <a:ext cx="129540" cy="137795"/>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0</xdr:colOff>
      <xdr:row>17</xdr:row>
      <xdr:rowOff>52705</xdr:rowOff>
    </xdr:from>
    <xdr:to>
      <xdr:col>4</xdr:col>
      <xdr:colOff>60960</xdr:colOff>
      <xdr:row>17</xdr:row>
      <xdr:rowOff>105410</xdr:rowOff>
    </xdr:to>
    <xdr:sp macro="" textlink="">
      <xdr:nvSpPr>
        <xdr:cNvPr id="1244473" name="Line 101"/>
        <xdr:cNvSpPr/>
      </xdr:nvSpPr>
      <xdr:spPr>
        <a:xfrm>
          <a:off x="2148840" y="4567555"/>
          <a:ext cx="60960" cy="52705"/>
        </a:xfrm>
        <a:prstGeom prst="line">
          <a:avLst/>
        </a:prstGeom>
        <a:ln w="31750" cap="flat" cmpd="dbl">
          <a:solidFill>
            <a:srgbClr val="000000"/>
          </a:solidFill>
          <a:prstDash val="solid"/>
          <a:round/>
          <a:headEnd type="none" w="med" len="med"/>
          <a:tailEnd type="none" w="med" len="med"/>
        </a:ln>
      </xdr:spPr>
    </xdr:sp>
    <xdr:clientData/>
  </xdr:twoCellAnchor>
  <xdr:twoCellAnchor>
    <xdr:from>
      <xdr:col>3</xdr:col>
      <xdr:colOff>365760</xdr:colOff>
      <xdr:row>18</xdr:row>
      <xdr:rowOff>182245</xdr:rowOff>
    </xdr:from>
    <xdr:to>
      <xdr:col>3</xdr:col>
      <xdr:colOff>434340</xdr:colOff>
      <xdr:row>19</xdr:row>
      <xdr:rowOff>0</xdr:rowOff>
    </xdr:to>
    <xdr:sp macro="" textlink="">
      <xdr:nvSpPr>
        <xdr:cNvPr id="1244474" name="Line 102"/>
        <xdr:cNvSpPr/>
      </xdr:nvSpPr>
      <xdr:spPr>
        <a:xfrm>
          <a:off x="1973580" y="4952365"/>
          <a:ext cx="68580" cy="73025"/>
        </a:xfrm>
        <a:prstGeom prst="line">
          <a:avLst/>
        </a:prstGeom>
        <a:ln w="31750" cap="flat" cmpd="dbl">
          <a:solidFill>
            <a:srgbClr val="000000"/>
          </a:solidFill>
          <a:prstDash val="solid"/>
          <a:round/>
          <a:headEnd type="none" w="med" len="med"/>
          <a:tailEnd type="none" w="med" len="med"/>
        </a:ln>
      </xdr:spPr>
    </xdr:sp>
    <xdr:clientData/>
  </xdr:twoCellAnchor>
  <xdr:twoCellAnchor>
    <xdr:from>
      <xdr:col>9</xdr:col>
      <xdr:colOff>121920</xdr:colOff>
      <xdr:row>4</xdr:row>
      <xdr:rowOff>152400</xdr:rowOff>
    </xdr:from>
    <xdr:to>
      <xdr:col>9</xdr:col>
      <xdr:colOff>129540</xdr:colOff>
      <xdr:row>8</xdr:row>
      <xdr:rowOff>182245</xdr:rowOff>
    </xdr:to>
    <xdr:sp macro="" textlink="">
      <xdr:nvSpPr>
        <xdr:cNvPr id="1244475" name="Line 105"/>
        <xdr:cNvSpPr/>
      </xdr:nvSpPr>
      <xdr:spPr>
        <a:xfrm rot="1800000">
          <a:off x="4465320" y="1348740"/>
          <a:ext cx="7620" cy="1050925"/>
        </a:xfrm>
        <a:prstGeom prst="line">
          <a:avLst/>
        </a:prstGeom>
        <a:ln w="76200" cap="flat" cmpd="sng">
          <a:solidFill>
            <a:srgbClr val="000000"/>
          </a:solidFill>
          <a:prstDash val="solid"/>
          <a:round/>
          <a:headEnd type="none" w="med" len="med"/>
          <a:tailEnd type="none" w="med" len="med"/>
        </a:ln>
      </xdr:spPr>
    </xdr:sp>
    <xdr:clientData/>
  </xdr:twoCellAnchor>
  <xdr:twoCellAnchor>
    <xdr:from>
      <xdr:col>7</xdr:col>
      <xdr:colOff>0</xdr:colOff>
      <xdr:row>7</xdr:row>
      <xdr:rowOff>213360</xdr:rowOff>
    </xdr:from>
    <xdr:to>
      <xdr:col>8</xdr:col>
      <xdr:colOff>190500</xdr:colOff>
      <xdr:row>7</xdr:row>
      <xdr:rowOff>213360</xdr:rowOff>
    </xdr:to>
    <xdr:sp macro="" textlink="">
      <xdr:nvSpPr>
        <xdr:cNvPr id="1244476" name="Line 107"/>
        <xdr:cNvSpPr/>
      </xdr:nvSpPr>
      <xdr:spPr>
        <a:xfrm rot="-3600000">
          <a:off x="3626485" y="1809750"/>
          <a:ext cx="635" cy="731520"/>
        </a:xfrm>
        <a:prstGeom prst="line">
          <a:avLst/>
        </a:prstGeom>
        <a:ln w="76200" cap="flat" cmpd="sng">
          <a:solidFill>
            <a:srgbClr val="000000"/>
          </a:solidFill>
          <a:prstDash val="solid"/>
          <a:round/>
          <a:headEnd type="none" w="med" len="med"/>
          <a:tailEnd type="none" w="med" len="med"/>
        </a:ln>
      </xdr:spPr>
    </xdr:sp>
    <xdr:clientData/>
  </xdr:twoCellAnchor>
  <xdr:twoCellAnchor>
    <xdr:from>
      <xdr:col>8</xdr:col>
      <xdr:colOff>137160</xdr:colOff>
      <xdr:row>8</xdr:row>
      <xdr:rowOff>83820</xdr:rowOff>
    </xdr:from>
    <xdr:to>
      <xdr:col>8</xdr:col>
      <xdr:colOff>434340</xdr:colOff>
      <xdr:row>8</xdr:row>
      <xdr:rowOff>190500</xdr:rowOff>
    </xdr:to>
    <xdr:sp macro="" textlink="">
      <xdr:nvSpPr>
        <xdr:cNvPr id="1244477" name="Arc 108"/>
        <xdr:cNvSpPr/>
      </xdr:nvSpPr>
      <xdr:spPr>
        <a:xfrm flipV="1">
          <a:off x="3939540" y="2301240"/>
          <a:ext cx="297180" cy="106680"/>
        </a:xfrm>
        <a:custGeom>
          <a:avLst/>
          <a:gdLst/>
          <a:ahLst/>
          <a:cxnLst>
            <a:cxn ang="0">
              <a:pos x="0" y="5900"/>
            </a:cxn>
            <a:cxn ang="0">
              <a:pos x="14835" y="0"/>
            </a:cxn>
            <a:cxn ang="0">
              <a:pos x="36035" y="17439"/>
            </a:cxn>
            <a:cxn ang="0">
              <a:pos x="0" y="5900"/>
            </a:cxn>
            <a:cxn ang="0">
              <a:pos x="14835" y="0"/>
            </a:cxn>
            <a:cxn ang="0">
              <a:pos x="36035" y="17439"/>
            </a:cxn>
            <a:cxn ang="0">
              <a:pos x="14835" y="21600"/>
            </a:cxn>
          </a:cxnLst>
          <a:rect l="0" t="0" r="0" b="0"/>
          <a:pathLst>
            <a:path w="36033" h="21600" fill="none">
              <a:moveTo>
                <a:pt x="0" y="5900"/>
              </a:moveTo>
              <a:cubicBezTo>
                <a:pt x="3869" y="2243"/>
                <a:pt x="9090" y="0"/>
                <a:pt x="14835" y="0"/>
              </a:cubicBezTo>
              <a:cubicBezTo>
                <a:pt x="25343" y="0"/>
                <a:pt x="34099" y="7504"/>
                <a:pt x="36035" y="17439"/>
              </a:cubicBezTo>
            </a:path>
            <a:path w="36033" h="21600" stroke="0">
              <a:moveTo>
                <a:pt x="0" y="5900"/>
              </a:moveTo>
              <a:cubicBezTo>
                <a:pt x="3869" y="2243"/>
                <a:pt x="9090" y="0"/>
                <a:pt x="14835" y="0"/>
              </a:cubicBezTo>
              <a:cubicBezTo>
                <a:pt x="25343" y="0"/>
                <a:pt x="34099" y="7504"/>
                <a:pt x="36035" y="17439"/>
              </a:cubicBezTo>
              <a:lnTo>
                <a:pt x="14835"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12</xdr:col>
      <xdr:colOff>220980</xdr:colOff>
      <xdr:row>4</xdr:row>
      <xdr:rowOff>175260</xdr:rowOff>
    </xdr:from>
    <xdr:to>
      <xdr:col>12</xdr:col>
      <xdr:colOff>220980</xdr:colOff>
      <xdr:row>8</xdr:row>
      <xdr:rowOff>236220</xdr:rowOff>
    </xdr:to>
    <xdr:sp macro="" textlink="">
      <xdr:nvSpPr>
        <xdr:cNvPr id="1244478" name="Line 109"/>
        <xdr:cNvSpPr/>
      </xdr:nvSpPr>
      <xdr:spPr>
        <a:xfrm rot="1800000" flipH="1">
          <a:off x="6187440" y="1371600"/>
          <a:ext cx="0" cy="1082040"/>
        </a:xfrm>
        <a:prstGeom prst="line">
          <a:avLst/>
        </a:prstGeom>
        <a:ln w="15875" cap="flat" cmpd="sng">
          <a:solidFill>
            <a:srgbClr val="000000"/>
          </a:solidFill>
          <a:prstDash val="solid"/>
          <a:round/>
          <a:headEnd type="none" w="med" len="med"/>
          <a:tailEnd type="none" w="med" len="med"/>
        </a:ln>
      </xdr:spPr>
    </xdr:sp>
    <xdr:clientData/>
  </xdr:twoCellAnchor>
  <xdr:twoCellAnchor>
    <xdr:from>
      <xdr:col>11</xdr:col>
      <xdr:colOff>426720</xdr:colOff>
      <xdr:row>8</xdr:row>
      <xdr:rowOff>114935</xdr:rowOff>
    </xdr:from>
    <xdr:to>
      <xdr:col>11</xdr:col>
      <xdr:colOff>518160</xdr:colOff>
      <xdr:row>8</xdr:row>
      <xdr:rowOff>221615</xdr:rowOff>
    </xdr:to>
    <xdr:sp macro="" textlink="">
      <xdr:nvSpPr>
        <xdr:cNvPr id="1244479" name="Arc 110"/>
        <xdr:cNvSpPr/>
      </xdr:nvSpPr>
      <xdr:spPr>
        <a:xfrm flipV="1">
          <a:off x="5852160" y="2332355"/>
          <a:ext cx="91440" cy="106680"/>
        </a:xfrm>
        <a:custGeom>
          <a:avLst/>
          <a:gdLst/>
          <a:ahLst/>
          <a:cxnLst>
            <a:cxn ang="0">
              <a:pos x="3178" y="0"/>
            </a:cxn>
            <a:cxn ang="0">
              <a:pos x="19324" y="11702"/>
            </a:cxn>
            <a:cxn ang="0">
              <a:pos x="3178" y="0"/>
            </a:cxn>
            <a:cxn ang="0">
              <a:pos x="19324" y="11702"/>
            </a:cxn>
            <a:cxn ang="0">
              <a:pos x="0" y="21365"/>
            </a:cxn>
          </a:cxnLst>
          <a:rect l="0" t="0" r="0" b="0"/>
          <a:pathLst>
            <a:path w="19321" h="21365" fill="none">
              <a:moveTo>
                <a:pt x="3178" y="0"/>
              </a:moveTo>
              <a:cubicBezTo>
                <a:pt x="10270" y="1046"/>
                <a:pt x="16233" y="5532"/>
                <a:pt x="19324" y="11702"/>
              </a:cubicBezTo>
            </a:path>
            <a:path w="19321" h="21365" stroke="0">
              <a:moveTo>
                <a:pt x="3178" y="0"/>
              </a:moveTo>
              <a:cubicBezTo>
                <a:pt x="10270" y="1046"/>
                <a:pt x="16233" y="5532"/>
                <a:pt x="19324" y="11702"/>
              </a:cubicBezTo>
              <a:lnTo>
                <a:pt x="0" y="21365"/>
              </a:lnTo>
              <a:close/>
            </a:path>
          </a:pathLst>
        </a:custGeom>
        <a:noFill/>
        <a:ln w="15875" cap="flat" cmpd="sng">
          <a:solidFill>
            <a:srgbClr val="000000"/>
          </a:solidFill>
          <a:prstDash val="solid"/>
          <a:round/>
          <a:headEnd type="none" w="med" len="med"/>
          <a:tailEnd type="none" w="med" len="med"/>
        </a:ln>
      </xdr:spPr>
    </xdr:sp>
    <xdr:clientData/>
  </xdr:twoCellAnchor>
  <xdr:twoCellAnchor>
    <xdr:from>
      <xdr:col>8</xdr:col>
      <xdr:colOff>320040</xdr:colOff>
      <xdr:row>8</xdr:row>
      <xdr:rowOff>221615</xdr:rowOff>
    </xdr:from>
    <xdr:to>
      <xdr:col>11</xdr:col>
      <xdr:colOff>457200</xdr:colOff>
      <xdr:row>8</xdr:row>
      <xdr:rowOff>221615</xdr:rowOff>
    </xdr:to>
    <xdr:sp macro="" textlink="">
      <xdr:nvSpPr>
        <xdr:cNvPr id="1244480" name="Line 111"/>
        <xdr:cNvSpPr/>
      </xdr:nvSpPr>
      <xdr:spPr>
        <a:xfrm>
          <a:off x="4122420" y="2439035"/>
          <a:ext cx="176022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320040</xdr:colOff>
      <xdr:row>4</xdr:row>
      <xdr:rowOff>228600</xdr:rowOff>
    </xdr:from>
    <xdr:to>
      <xdr:col>12</xdr:col>
      <xdr:colOff>472440</xdr:colOff>
      <xdr:row>4</xdr:row>
      <xdr:rowOff>228600</xdr:rowOff>
    </xdr:to>
    <xdr:sp macro="" textlink="">
      <xdr:nvSpPr>
        <xdr:cNvPr id="1244481" name="Line 112"/>
        <xdr:cNvSpPr/>
      </xdr:nvSpPr>
      <xdr:spPr>
        <a:xfrm>
          <a:off x="4663440" y="1424940"/>
          <a:ext cx="1775460" cy="0"/>
        </a:xfrm>
        <a:prstGeom prst="line">
          <a:avLst/>
        </a:prstGeom>
        <a:ln w="50800" cap="flat" cmpd="sng">
          <a:solidFill>
            <a:srgbClr val="000000"/>
          </a:solidFill>
          <a:prstDash val="solid"/>
          <a:round/>
          <a:headEnd type="none" w="med" len="med"/>
          <a:tailEnd type="none" w="med" len="med"/>
        </a:ln>
      </xdr:spPr>
    </xdr:sp>
    <xdr:clientData/>
  </xdr:twoCellAnchor>
  <xdr:twoCellAnchor>
    <xdr:from>
      <xdr:col>7</xdr:col>
      <xdr:colOff>68580</xdr:colOff>
      <xdr:row>7</xdr:row>
      <xdr:rowOff>0</xdr:rowOff>
    </xdr:from>
    <xdr:to>
      <xdr:col>9</xdr:col>
      <xdr:colOff>76200</xdr:colOff>
      <xdr:row>7</xdr:row>
      <xdr:rowOff>0</xdr:rowOff>
    </xdr:to>
    <xdr:sp macro="" textlink="">
      <xdr:nvSpPr>
        <xdr:cNvPr id="1244482" name="Line 113"/>
        <xdr:cNvSpPr/>
      </xdr:nvSpPr>
      <xdr:spPr>
        <a:xfrm>
          <a:off x="3329940" y="1962150"/>
          <a:ext cx="1089660" cy="0"/>
        </a:xfrm>
        <a:prstGeom prst="line">
          <a:avLst/>
        </a:prstGeom>
        <a:ln w="15875" cap="flat" cmpd="sng">
          <a:solidFill>
            <a:srgbClr val="000000"/>
          </a:solidFill>
          <a:prstDash val="solid"/>
          <a:round/>
          <a:headEnd type="none" w="med" len="med"/>
          <a:tailEnd type="none" w="med" len="med"/>
        </a:ln>
      </xdr:spPr>
    </xdr:sp>
    <xdr:clientData/>
  </xdr:twoCellAnchor>
  <xdr:twoCellAnchor>
    <xdr:from>
      <xdr:col>9</xdr:col>
      <xdr:colOff>91440</xdr:colOff>
      <xdr:row>5</xdr:row>
      <xdr:rowOff>83820</xdr:rowOff>
    </xdr:from>
    <xdr:to>
      <xdr:col>9</xdr:col>
      <xdr:colOff>213360</xdr:colOff>
      <xdr:row>5</xdr:row>
      <xdr:rowOff>159385</xdr:rowOff>
    </xdr:to>
    <xdr:sp macro="" textlink="">
      <xdr:nvSpPr>
        <xdr:cNvPr id="1244483" name="Line 114"/>
        <xdr:cNvSpPr/>
      </xdr:nvSpPr>
      <xdr:spPr>
        <a:xfrm>
          <a:off x="4434840" y="1535430"/>
          <a:ext cx="121920" cy="75565"/>
        </a:xfrm>
        <a:prstGeom prst="line">
          <a:avLst/>
        </a:prstGeom>
        <a:ln w="9525" cap="flat" cmpd="sng">
          <a:solidFill>
            <a:srgbClr val="000000"/>
          </a:solidFill>
          <a:prstDash val="solid"/>
          <a:round/>
          <a:headEnd type="none" w="med" len="med"/>
          <a:tailEnd type="arrow" w="sm" len="sm"/>
        </a:ln>
      </xdr:spPr>
    </xdr:sp>
    <xdr:clientData/>
  </xdr:twoCellAnchor>
  <xdr:twoCellAnchor>
    <xdr:from>
      <xdr:col>9</xdr:col>
      <xdr:colOff>281940</xdr:colOff>
      <xdr:row>5</xdr:row>
      <xdr:rowOff>198120</xdr:rowOff>
    </xdr:from>
    <xdr:to>
      <xdr:col>9</xdr:col>
      <xdr:colOff>411480</xdr:colOff>
      <xdr:row>6</xdr:row>
      <xdr:rowOff>8255</xdr:rowOff>
    </xdr:to>
    <xdr:sp macro="" textlink="">
      <xdr:nvSpPr>
        <xdr:cNvPr id="1244484" name="Line 115"/>
        <xdr:cNvSpPr/>
      </xdr:nvSpPr>
      <xdr:spPr>
        <a:xfrm>
          <a:off x="4625340" y="1649730"/>
          <a:ext cx="129540" cy="65405"/>
        </a:xfrm>
        <a:prstGeom prst="line">
          <a:avLst/>
        </a:prstGeom>
        <a:ln w="9525" cap="flat" cmpd="sng">
          <a:solidFill>
            <a:srgbClr val="000000"/>
          </a:solidFill>
          <a:prstDash val="solid"/>
          <a:round/>
          <a:headEnd type="arrow" w="sm" len="sm"/>
          <a:tailEnd type="none" w="med" len="med"/>
        </a:ln>
      </xdr:spPr>
    </xdr:sp>
    <xdr:clientData/>
  </xdr:twoCellAnchor>
  <xdr:twoCellAnchor>
    <xdr:from>
      <xdr:col>11</xdr:col>
      <xdr:colOff>480060</xdr:colOff>
      <xdr:row>8</xdr:row>
      <xdr:rowOff>228600</xdr:rowOff>
    </xdr:from>
    <xdr:to>
      <xdr:col>11</xdr:col>
      <xdr:colOff>480060</xdr:colOff>
      <xdr:row>10</xdr:row>
      <xdr:rowOff>198120</xdr:rowOff>
    </xdr:to>
    <xdr:sp macro="" textlink="">
      <xdr:nvSpPr>
        <xdr:cNvPr id="1244485" name="Line 116"/>
        <xdr:cNvSpPr/>
      </xdr:nvSpPr>
      <xdr:spPr>
        <a:xfrm>
          <a:off x="5905500" y="2446020"/>
          <a:ext cx="0" cy="48006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320040</xdr:colOff>
      <xdr:row>8</xdr:row>
      <xdr:rowOff>228600</xdr:rowOff>
    </xdr:from>
    <xdr:to>
      <xdr:col>8</xdr:col>
      <xdr:colOff>320040</xdr:colOff>
      <xdr:row>10</xdr:row>
      <xdr:rowOff>213360</xdr:rowOff>
    </xdr:to>
    <xdr:sp macro="" textlink="">
      <xdr:nvSpPr>
        <xdr:cNvPr id="1244486" name="Line 117"/>
        <xdr:cNvSpPr/>
      </xdr:nvSpPr>
      <xdr:spPr>
        <a:xfrm>
          <a:off x="4122420" y="2446020"/>
          <a:ext cx="0" cy="49530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7620</xdr:colOff>
      <xdr:row>10</xdr:row>
      <xdr:rowOff>121920</xdr:rowOff>
    </xdr:from>
    <xdr:to>
      <xdr:col>11</xdr:col>
      <xdr:colOff>472440</xdr:colOff>
      <xdr:row>10</xdr:row>
      <xdr:rowOff>121920</xdr:rowOff>
    </xdr:to>
    <xdr:sp macro="" textlink="">
      <xdr:nvSpPr>
        <xdr:cNvPr id="1244487" name="Line 118"/>
        <xdr:cNvSpPr/>
      </xdr:nvSpPr>
      <xdr:spPr>
        <a:xfrm>
          <a:off x="5433060" y="2849880"/>
          <a:ext cx="46482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8</xdr:col>
      <xdr:colOff>320040</xdr:colOff>
      <xdr:row>10</xdr:row>
      <xdr:rowOff>137795</xdr:rowOff>
    </xdr:from>
    <xdr:to>
      <xdr:col>9</xdr:col>
      <xdr:colOff>220980</xdr:colOff>
      <xdr:row>10</xdr:row>
      <xdr:rowOff>137795</xdr:rowOff>
    </xdr:to>
    <xdr:sp macro="" textlink="">
      <xdr:nvSpPr>
        <xdr:cNvPr id="1244488" name="Line 119"/>
        <xdr:cNvSpPr/>
      </xdr:nvSpPr>
      <xdr:spPr>
        <a:xfrm flipH="1">
          <a:off x="4122420" y="2865755"/>
          <a:ext cx="44196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11</xdr:col>
      <xdr:colOff>388620</xdr:colOff>
      <xdr:row>7</xdr:row>
      <xdr:rowOff>38100</xdr:rowOff>
    </xdr:from>
    <xdr:to>
      <xdr:col>13</xdr:col>
      <xdr:colOff>7620</xdr:colOff>
      <xdr:row>7</xdr:row>
      <xdr:rowOff>38100</xdr:rowOff>
    </xdr:to>
    <xdr:sp macro="" textlink="">
      <xdr:nvSpPr>
        <xdr:cNvPr id="1244489" name="Line 120"/>
        <xdr:cNvSpPr/>
      </xdr:nvSpPr>
      <xdr:spPr>
        <a:xfrm>
          <a:off x="5814060" y="2000250"/>
          <a:ext cx="754380" cy="0"/>
        </a:xfrm>
        <a:prstGeom prst="line">
          <a:avLst/>
        </a:prstGeom>
        <a:ln w="9525" cap="flat" cmpd="sng">
          <a:solidFill>
            <a:srgbClr val="000000"/>
          </a:solidFill>
          <a:prstDash val="solid"/>
          <a:round/>
          <a:headEnd type="oval" w="med" len="med"/>
          <a:tailEnd type="triangle" w="lg" len="lg"/>
        </a:ln>
      </xdr:spPr>
    </xdr:sp>
    <xdr:clientData/>
  </xdr:twoCellAnchor>
  <xdr:twoCellAnchor>
    <xdr:from>
      <xdr:col>3</xdr:col>
      <xdr:colOff>381000</xdr:colOff>
      <xdr:row>19</xdr:row>
      <xdr:rowOff>236220</xdr:rowOff>
    </xdr:from>
    <xdr:to>
      <xdr:col>5</xdr:col>
      <xdr:colOff>7620</xdr:colOff>
      <xdr:row>21</xdr:row>
      <xdr:rowOff>137795</xdr:rowOff>
    </xdr:to>
    <xdr:sp macro="" textlink="">
      <xdr:nvSpPr>
        <xdr:cNvPr id="1244490" name="Line 121"/>
        <xdr:cNvSpPr/>
      </xdr:nvSpPr>
      <xdr:spPr>
        <a:xfrm flipH="1">
          <a:off x="1988820" y="5261610"/>
          <a:ext cx="365760" cy="412115"/>
        </a:xfrm>
        <a:prstGeom prst="line">
          <a:avLst/>
        </a:prstGeom>
        <a:ln w="31750" cap="flat" cmpd="dbl">
          <a:solidFill>
            <a:srgbClr val="000000"/>
          </a:solidFill>
          <a:prstDash val="solid"/>
          <a:round/>
          <a:headEnd type="none" w="med" len="med"/>
          <a:tailEnd type="none" w="med" len="med"/>
        </a:ln>
      </xdr:spPr>
    </xdr:sp>
    <xdr:clientData/>
  </xdr:twoCellAnchor>
  <xdr:twoCellAnchor>
    <xdr:from>
      <xdr:col>5</xdr:col>
      <xdr:colOff>243840</xdr:colOff>
      <xdr:row>18</xdr:row>
      <xdr:rowOff>137795</xdr:rowOff>
    </xdr:from>
    <xdr:to>
      <xdr:col>5</xdr:col>
      <xdr:colOff>350520</xdr:colOff>
      <xdr:row>19</xdr:row>
      <xdr:rowOff>0</xdr:rowOff>
    </xdr:to>
    <xdr:sp macro="" textlink="">
      <xdr:nvSpPr>
        <xdr:cNvPr id="1244491" name="Line 122"/>
        <xdr:cNvSpPr/>
      </xdr:nvSpPr>
      <xdr:spPr>
        <a:xfrm flipH="1">
          <a:off x="2590800" y="4907915"/>
          <a:ext cx="106680" cy="117475"/>
        </a:xfrm>
        <a:prstGeom prst="line">
          <a:avLst/>
        </a:prstGeom>
        <a:ln w="31750" cap="flat" cmpd="dbl">
          <a:solidFill>
            <a:srgbClr val="000000"/>
          </a:solidFill>
          <a:prstDash val="solid"/>
          <a:round/>
          <a:headEnd type="none" w="med" len="med"/>
          <a:tailEnd type="none" w="med" len="med"/>
        </a:ln>
      </xdr:spPr>
    </xdr:sp>
    <xdr:clientData/>
  </xdr:twoCellAnchor>
  <xdr:twoCellAnchor>
    <xdr:from>
      <xdr:col>4</xdr:col>
      <xdr:colOff>76200</xdr:colOff>
      <xdr:row>18</xdr:row>
      <xdr:rowOff>159385</xdr:rowOff>
    </xdr:from>
    <xdr:to>
      <xdr:col>4</xdr:col>
      <xdr:colOff>190500</xdr:colOff>
      <xdr:row>19</xdr:row>
      <xdr:rowOff>0</xdr:rowOff>
    </xdr:to>
    <xdr:sp macro="" textlink="">
      <xdr:nvSpPr>
        <xdr:cNvPr id="1244492" name="Line 123"/>
        <xdr:cNvSpPr/>
      </xdr:nvSpPr>
      <xdr:spPr>
        <a:xfrm>
          <a:off x="2225040" y="4929505"/>
          <a:ext cx="114300" cy="95885"/>
        </a:xfrm>
        <a:prstGeom prst="line">
          <a:avLst/>
        </a:prstGeom>
        <a:ln w="9525" cap="flat" cmpd="sng">
          <a:solidFill>
            <a:srgbClr val="000000"/>
          </a:solidFill>
          <a:prstDash val="solid"/>
          <a:round/>
          <a:headEnd type="arrow" w="sm" len="sm"/>
          <a:tailEnd type="oval" w="sm" len="sm"/>
        </a:ln>
      </xdr:spPr>
    </xdr:sp>
    <xdr:clientData/>
  </xdr:twoCellAnchor>
  <xdr:twoCellAnchor>
    <xdr:from>
      <xdr:col>6</xdr:col>
      <xdr:colOff>0</xdr:colOff>
      <xdr:row>19</xdr:row>
      <xdr:rowOff>0</xdr:rowOff>
    </xdr:from>
    <xdr:to>
      <xdr:col>6</xdr:col>
      <xdr:colOff>175260</xdr:colOff>
      <xdr:row>19</xdr:row>
      <xdr:rowOff>175260</xdr:rowOff>
    </xdr:to>
    <xdr:sp macro="" textlink="">
      <xdr:nvSpPr>
        <xdr:cNvPr id="1244493" name="Line 124"/>
        <xdr:cNvSpPr/>
      </xdr:nvSpPr>
      <xdr:spPr>
        <a:xfrm flipH="1">
          <a:off x="2735580" y="5025390"/>
          <a:ext cx="175260" cy="175260"/>
        </a:xfrm>
        <a:prstGeom prst="line">
          <a:avLst/>
        </a:prstGeom>
        <a:ln w="31750" cap="flat" cmpd="dbl">
          <a:solidFill>
            <a:srgbClr val="000000"/>
          </a:solidFill>
          <a:prstDash val="solid"/>
          <a:round/>
          <a:headEnd type="none" w="med" len="med"/>
          <a:tailEnd type="none" w="med" len="med"/>
        </a:ln>
      </xdr:spPr>
    </xdr:sp>
    <xdr:clientData/>
  </xdr:twoCellAnchor>
  <xdr:twoCellAnchor>
    <xdr:from>
      <xdr:col>6</xdr:col>
      <xdr:colOff>129540</xdr:colOff>
      <xdr:row>21</xdr:row>
      <xdr:rowOff>75565</xdr:rowOff>
    </xdr:from>
    <xdr:to>
      <xdr:col>6</xdr:col>
      <xdr:colOff>182880</xdr:colOff>
      <xdr:row>21</xdr:row>
      <xdr:rowOff>121920</xdr:rowOff>
    </xdr:to>
    <xdr:sp macro="" textlink="">
      <xdr:nvSpPr>
        <xdr:cNvPr id="1244494" name="Line 125"/>
        <xdr:cNvSpPr/>
      </xdr:nvSpPr>
      <xdr:spPr>
        <a:xfrm flipH="1">
          <a:off x="2865120" y="5611495"/>
          <a:ext cx="53340" cy="46355"/>
        </a:xfrm>
        <a:prstGeom prst="line">
          <a:avLst/>
        </a:prstGeom>
        <a:ln w="31750" cap="flat" cmpd="dbl">
          <a:solidFill>
            <a:srgbClr val="000000"/>
          </a:solidFill>
          <a:prstDash val="solid"/>
          <a:round/>
          <a:headEnd type="none" w="med" len="med"/>
          <a:tailEnd type="none" w="med" len="med"/>
        </a:ln>
      </xdr:spPr>
    </xdr:sp>
    <xdr:clientData/>
  </xdr:twoCellAnchor>
</xdr:wsDr>
</file>

<file path=xl/drawings/drawing31.xml><?xml version="1.0" encoding="utf-8"?>
<xdr:wsDr xmlns:xdr="http://schemas.openxmlformats.org/drawingml/2006/spreadsheetDrawing" xmlns:a="http://schemas.openxmlformats.org/drawingml/2006/main">
  <xdr:twoCellAnchor>
    <xdr:from>
      <xdr:col>2</xdr:col>
      <xdr:colOff>350520</xdr:colOff>
      <xdr:row>6</xdr:row>
      <xdr:rowOff>83820</xdr:rowOff>
    </xdr:from>
    <xdr:to>
      <xdr:col>3</xdr:col>
      <xdr:colOff>0</xdr:colOff>
      <xdr:row>6</xdr:row>
      <xdr:rowOff>83820</xdr:rowOff>
    </xdr:to>
    <xdr:sp macro="" textlink="">
      <xdr:nvSpPr>
        <xdr:cNvPr id="1242808" name="Line 32"/>
        <xdr:cNvSpPr/>
      </xdr:nvSpPr>
      <xdr:spPr>
        <a:xfrm rot="2700000">
          <a:off x="883920" y="1790700"/>
          <a:ext cx="0" cy="0"/>
        </a:xfrm>
        <a:prstGeom prst="line">
          <a:avLst/>
        </a:prstGeom>
        <a:ln w="31750" cap="flat" cmpd="dbl">
          <a:solidFill>
            <a:srgbClr val="000000"/>
          </a:solidFill>
          <a:prstDash val="solid"/>
          <a:round/>
          <a:headEnd type="none" w="med" len="med"/>
          <a:tailEnd type="none" w="med" len="med"/>
        </a:ln>
      </xdr:spPr>
    </xdr:sp>
    <xdr:clientData/>
  </xdr:twoCellAnchor>
  <xdr:twoCellAnchor>
    <xdr:from>
      <xdr:col>2</xdr:col>
      <xdr:colOff>350520</xdr:colOff>
      <xdr:row>11</xdr:row>
      <xdr:rowOff>121920</xdr:rowOff>
    </xdr:from>
    <xdr:to>
      <xdr:col>3</xdr:col>
      <xdr:colOff>0</xdr:colOff>
      <xdr:row>11</xdr:row>
      <xdr:rowOff>121920</xdr:rowOff>
    </xdr:to>
    <xdr:sp macro="" textlink="">
      <xdr:nvSpPr>
        <xdr:cNvPr id="1242809" name="Line 41"/>
        <xdr:cNvSpPr/>
      </xdr:nvSpPr>
      <xdr:spPr>
        <a:xfrm>
          <a:off x="883920" y="3097530"/>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121920</xdr:colOff>
      <xdr:row>7</xdr:row>
      <xdr:rowOff>175260</xdr:rowOff>
    </xdr:from>
    <xdr:to>
      <xdr:col>3</xdr:col>
      <xdr:colOff>76200</xdr:colOff>
      <xdr:row>7</xdr:row>
      <xdr:rowOff>175260</xdr:rowOff>
    </xdr:to>
    <xdr:sp macro="" textlink="">
      <xdr:nvSpPr>
        <xdr:cNvPr id="1242810" name="Line 99"/>
        <xdr:cNvSpPr/>
      </xdr:nvSpPr>
      <xdr:spPr>
        <a:xfrm>
          <a:off x="403860" y="2137410"/>
          <a:ext cx="556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167640</xdr:colOff>
      <xdr:row>8</xdr:row>
      <xdr:rowOff>38100</xdr:rowOff>
    </xdr:from>
    <xdr:to>
      <xdr:col>3</xdr:col>
      <xdr:colOff>167640</xdr:colOff>
      <xdr:row>10</xdr:row>
      <xdr:rowOff>84455</xdr:rowOff>
    </xdr:to>
    <xdr:sp macro="" textlink="">
      <xdr:nvSpPr>
        <xdr:cNvPr id="1242811" name="Line 100"/>
        <xdr:cNvSpPr/>
      </xdr:nvSpPr>
      <xdr:spPr>
        <a:xfrm>
          <a:off x="1051560" y="2255520"/>
          <a:ext cx="0" cy="556895"/>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15240</xdr:colOff>
      <xdr:row>10</xdr:row>
      <xdr:rowOff>84455</xdr:rowOff>
    </xdr:from>
    <xdr:to>
      <xdr:col>5</xdr:col>
      <xdr:colOff>114300</xdr:colOff>
      <xdr:row>10</xdr:row>
      <xdr:rowOff>84455</xdr:rowOff>
    </xdr:to>
    <xdr:sp macro="" textlink="">
      <xdr:nvSpPr>
        <xdr:cNvPr id="1242812" name="Line 101"/>
        <xdr:cNvSpPr/>
      </xdr:nvSpPr>
      <xdr:spPr>
        <a:xfrm>
          <a:off x="297180" y="2812415"/>
          <a:ext cx="126492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60960</xdr:colOff>
      <xdr:row>7</xdr:row>
      <xdr:rowOff>175260</xdr:rowOff>
    </xdr:from>
    <xdr:to>
      <xdr:col>3</xdr:col>
      <xdr:colOff>167640</xdr:colOff>
      <xdr:row>8</xdr:row>
      <xdr:rowOff>52705</xdr:rowOff>
    </xdr:to>
    <xdr:sp macro="" textlink="">
      <xdr:nvSpPr>
        <xdr:cNvPr id="1242813" name="Arc 102"/>
        <xdr:cNvSpPr/>
      </xdr:nvSpPr>
      <xdr:spPr>
        <a:xfrm>
          <a:off x="944880" y="2137410"/>
          <a:ext cx="106680" cy="132715"/>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xdr:col>
      <xdr:colOff>83820</xdr:colOff>
      <xdr:row>7</xdr:row>
      <xdr:rowOff>175260</xdr:rowOff>
    </xdr:from>
    <xdr:to>
      <xdr:col>1</xdr:col>
      <xdr:colOff>167640</xdr:colOff>
      <xdr:row>10</xdr:row>
      <xdr:rowOff>84455</xdr:rowOff>
    </xdr:to>
    <xdr:sp macro="" textlink="">
      <xdr:nvSpPr>
        <xdr:cNvPr id="1242814" name="FreeForm 103"/>
        <xdr:cNvSpPr/>
      </xdr:nvSpPr>
      <xdr:spPr>
        <a:xfrm>
          <a:off x="365760" y="2137410"/>
          <a:ext cx="83820" cy="67500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3</xdr:col>
      <xdr:colOff>182880</xdr:colOff>
      <xdr:row>9</xdr:row>
      <xdr:rowOff>31115</xdr:rowOff>
    </xdr:from>
    <xdr:to>
      <xdr:col>7</xdr:col>
      <xdr:colOff>99060</xdr:colOff>
      <xdr:row>10</xdr:row>
      <xdr:rowOff>0</xdr:rowOff>
    </xdr:to>
    <xdr:sp macro="" textlink="">
      <xdr:nvSpPr>
        <xdr:cNvPr id="1242815" name="Rectangle 104"/>
        <xdr:cNvSpPr/>
      </xdr:nvSpPr>
      <xdr:spPr>
        <a:xfrm>
          <a:off x="1066800" y="2503805"/>
          <a:ext cx="1196340" cy="224155"/>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5</xdr:col>
      <xdr:colOff>129540</xdr:colOff>
      <xdr:row>10</xdr:row>
      <xdr:rowOff>0</xdr:rowOff>
    </xdr:from>
    <xdr:to>
      <xdr:col>5</xdr:col>
      <xdr:colOff>297180</xdr:colOff>
      <xdr:row>11</xdr:row>
      <xdr:rowOff>221615</xdr:rowOff>
    </xdr:to>
    <xdr:sp macro="" textlink="">
      <xdr:nvSpPr>
        <xdr:cNvPr id="1242816" name="Rectangle 105"/>
        <xdr:cNvSpPr/>
      </xdr:nvSpPr>
      <xdr:spPr>
        <a:xfrm>
          <a:off x="1577340" y="2727960"/>
          <a:ext cx="167640" cy="469265"/>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5</xdr:col>
      <xdr:colOff>114300</xdr:colOff>
      <xdr:row>10</xdr:row>
      <xdr:rowOff>84455</xdr:rowOff>
    </xdr:from>
    <xdr:to>
      <xdr:col>5</xdr:col>
      <xdr:colOff>114300</xdr:colOff>
      <xdr:row>11</xdr:row>
      <xdr:rowOff>198120</xdr:rowOff>
    </xdr:to>
    <xdr:sp macro="" textlink="">
      <xdr:nvSpPr>
        <xdr:cNvPr id="1242817" name="Line 106"/>
        <xdr:cNvSpPr/>
      </xdr:nvSpPr>
      <xdr:spPr>
        <a:xfrm>
          <a:off x="1562100" y="2812415"/>
          <a:ext cx="0" cy="361315"/>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312420</xdr:colOff>
      <xdr:row>10</xdr:row>
      <xdr:rowOff>84455</xdr:rowOff>
    </xdr:from>
    <xdr:to>
      <xdr:col>9</xdr:col>
      <xdr:colOff>274320</xdr:colOff>
      <xdr:row>10</xdr:row>
      <xdr:rowOff>84455</xdr:rowOff>
    </xdr:to>
    <xdr:sp macro="" textlink="">
      <xdr:nvSpPr>
        <xdr:cNvPr id="1242818" name="Line 107"/>
        <xdr:cNvSpPr/>
      </xdr:nvSpPr>
      <xdr:spPr>
        <a:xfrm>
          <a:off x="1760220" y="2812415"/>
          <a:ext cx="12420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312420</xdr:colOff>
      <xdr:row>10</xdr:row>
      <xdr:rowOff>84455</xdr:rowOff>
    </xdr:from>
    <xdr:to>
      <xdr:col>5</xdr:col>
      <xdr:colOff>312420</xdr:colOff>
      <xdr:row>11</xdr:row>
      <xdr:rowOff>198120</xdr:rowOff>
    </xdr:to>
    <xdr:sp macro="" textlink="">
      <xdr:nvSpPr>
        <xdr:cNvPr id="1242819" name="Line 108"/>
        <xdr:cNvSpPr/>
      </xdr:nvSpPr>
      <xdr:spPr>
        <a:xfrm flipH="1">
          <a:off x="1760220" y="2812415"/>
          <a:ext cx="0" cy="361315"/>
        </a:xfrm>
        <a:prstGeom prst="line">
          <a:avLst/>
        </a:prstGeom>
        <a:ln w="9525" cap="flat" cmpd="sng">
          <a:solidFill>
            <a:srgbClr val="000000"/>
          </a:solidFill>
          <a:prstDash val="solid"/>
          <a:round/>
          <a:headEnd type="none" w="med" len="med"/>
          <a:tailEnd type="none" w="med" len="med"/>
        </a:ln>
      </xdr:spPr>
    </xdr:sp>
    <xdr:clientData/>
  </xdr:twoCellAnchor>
  <xdr:twoCellAnchor>
    <xdr:from>
      <xdr:col>7</xdr:col>
      <xdr:colOff>114300</xdr:colOff>
      <xdr:row>8</xdr:row>
      <xdr:rowOff>52705</xdr:rowOff>
    </xdr:from>
    <xdr:to>
      <xdr:col>7</xdr:col>
      <xdr:colOff>114300</xdr:colOff>
      <xdr:row>10</xdr:row>
      <xdr:rowOff>84455</xdr:rowOff>
    </xdr:to>
    <xdr:sp macro="" textlink="">
      <xdr:nvSpPr>
        <xdr:cNvPr id="1242820" name="Line 109"/>
        <xdr:cNvSpPr/>
      </xdr:nvSpPr>
      <xdr:spPr>
        <a:xfrm>
          <a:off x="2278380" y="2270125"/>
          <a:ext cx="0" cy="54229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121920</xdr:colOff>
      <xdr:row>7</xdr:row>
      <xdr:rowOff>175260</xdr:rowOff>
    </xdr:from>
    <xdr:to>
      <xdr:col>9</xdr:col>
      <xdr:colOff>198120</xdr:colOff>
      <xdr:row>10</xdr:row>
      <xdr:rowOff>84455</xdr:rowOff>
    </xdr:to>
    <xdr:sp macro="" textlink="">
      <xdr:nvSpPr>
        <xdr:cNvPr id="1242821" name="FreeForm 110"/>
        <xdr:cNvSpPr/>
      </xdr:nvSpPr>
      <xdr:spPr>
        <a:xfrm>
          <a:off x="2849880" y="2137410"/>
          <a:ext cx="76200" cy="67500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7</xdr:col>
      <xdr:colOff>205740</xdr:colOff>
      <xdr:row>7</xdr:row>
      <xdr:rowOff>175260</xdr:rowOff>
    </xdr:from>
    <xdr:to>
      <xdr:col>9</xdr:col>
      <xdr:colOff>160020</xdr:colOff>
      <xdr:row>7</xdr:row>
      <xdr:rowOff>175260</xdr:rowOff>
    </xdr:to>
    <xdr:sp macro="" textlink="">
      <xdr:nvSpPr>
        <xdr:cNvPr id="1242822" name="Line 111"/>
        <xdr:cNvSpPr/>
      </xdr:nvSpPr>
      <xdr:spPr>
        <a:xfrm>
          <a:off x="2369820" y="2137410"/>
          <a:ext cx="5181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7</xdr:col>
      <xdr:colOff>114300</xdr:colOff>
      <xdr:row>7</xdr:row>
      <xdr:rowOff>175260</xdr:rowOff>
    </xdr:from>
    <xdr:to>
      <xdr:col>7</xdr:col>
      <xdr:colOff>220980</xdr:colOff>
      <xdr:row>8</xdr:row>
      <xdr:rowOff>52705</xdr:rowOff>
    </xdr:to>
    <xdr:sp macro="" textlink="">
      <xdr:nvSpPr>
        <xdr:cNvPr id="1242823" name="Arc 112"/>
        <xdr:cNvSpPr/>
      </xdr:nvSpPr>
      <xdr:spPr>
        <a:xfrm rot="-5400000">
          <a:off x="2265045" y="2150110"/>
          <a:ext cx="132715" cy="10668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9</xdr:col>
      <xdr:colOff>228600</xdr:colOff>
      <xdr:row>10</xdr:row>
      <xdr:rowOff>84455</xdr:rowOff>
    </xdr:from>
    <xdr:to>
      <xdr:col>10</xdr:col>
      <xdr:colOff>7620</xdr:colOff>
      <xdr:row>11</xdr:row>
      <xdr:rowOff>198120</xdr:rowOff>
    </xdr:to>
    <xdr:sp macro="" textlink="">
      <xdr:nvSpPr>
        <xdr:cNvPr id="1242824" name="FreeForm 113"/>
        <xdr:cNvSpPr/>
      </xdr:nvSpPr>
      <xdr:spPr>
        <a:xfrm rot="10800000">
          <a:off x="2956560" y="2812415"/>
          <a:ext cx="60960" cy="36131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xdr:col>
      <xdr:colOff>15240</xdr:colOff>
      <xdr:row>10</xdr:row>
      <xdr:rowOff>84455</xdr:rowOff>
    </xdr:from>
    <xdr:to>
      <xdr:col>1</xdr:col>
      <xdr:colOff>45720</xdr:colOff>
      <xdr:row>11</xdr:row>
      <xdr:rowOff>190500</xdr:rowOff>
    </xdr:to>
    <xdr:sp macro="" textlink="">
      <xdr:nvSpPr>
        <xdr:cNvPr id="1242825" name="FreeForm 114"/>
        <xdr:cNvSpPr/>
      </xdr:nvSpPr>
      <xdr:spPr>
        <a:xfrm rot="10800000">
          <a:off x="297180" y="2812415"/>
          <a:ext cx="30480" cy="35369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4</xdr:col>
      <xdr:colOff>30480</xdr:colOff>
      <xdr:row>8</xdr:row>
      <xdr:rowOff>236220</xdr:rowOff>
    </xdr:from>
    <xdr:to>
      <xdr:col>6</xdr:col>
      <xdr:colOff>259080</xdr:colOff>
      <xdr:row>8</xdr:row>
      <xdr:rowOff>236220</xdr:rowOff>
    </xdr:to>
    <xdr:sp macro="" textlink="">
      <xdr:nvSpPr>
        <xdr:cNvPr id="1242826" name="Line 115"/>
        <xdr:cNvSpPr/>
      </xdr:nvSpPr>
      <xdr:spPr>
        <a:xfrm>
          <a:off x="1196340" y="2453640"/>
          <a:ext cx="944880"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6</xdr:col>
      <xdr:colOff>259080</xdr:colOff>
      <xdr:row>8</xdr:row>
      <xdr:rowOff>121920</xdr:rowOff>
    </xdr:from>
    <xdr:to>
      <xdr:col>7</xdr:col>
      <xdr:colOff>68580</xdr:colOff>
      <xdr:row>8</xdr:row>
      <xdr:rowOff>236220</xdr:rowOff>
    </xdr:to>
    <xdr:sp macro="" textlink="">
      <xdr:nvSpPr>
        <xdr:cNvPr id="1242827" name="Arc 116"/>
        <xdr:cNvSpPr/>
      </xdr:nvSpPr>
      <xdr:spPr>
        <a:xfrm rot="-10800000" flipH="1">
          <a:off x="2141220" y="2339340"/>
          <a:ext cx="91440" cy="11430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3</xdr:col>
      <xdr:colOff>213360</xdr:colOff>
      <xdr:row>8</xdr:row>
      <xdr:rowOff>137795</xdr:rowOff>
    </xdr:from>
    <xdr:to>
      <xdr:col>4</xdr:col>
      <xdr:colOff>30480</xdr:colOff>
      <xdr:row>8</xdr:row>
      <xdr:rowOff>236220</xdr:rowOff>
    </xdr:to>
    <xdr:sp macro="" textlink="">
      <xdr:nvSpPr>
        <xdr:cNvPr id="1242828" name="Arc 118"/>
        <xdr:cNvSpPr/>
      </xdr:nvSpPr>
      <xdr:spPr>
        <a:xfrm rot="-5400000" flipH="1">
          <a:off x="1097280" y="2354580"/>
          <a:ext cx="98425" cy="9906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3</xdr:col>
      <xdr:colOff>213360</xdr:colOff>
      <xdr:row>6</xdr:row>
      <xdr:rowOff>213360</xdr:rowOff>
    </xdr:from>
    <xdr:to>
      <xdr:col>3</xdr:col>
      <xdr:colOff>213360</xdr:colOff>
      <xdr:row>8</xdr:row>
      <xdr:rowOff>137795</xdr:rowOff>
    </xdr:to>
    <xdr:sp macro="" textlink="">
      <xdr:nvSpPr>
        <xdr:cNvPr id="1242829" name="Line 119"/>
        <xdr:cNvSpPr/>
      </xdr:nvSpPr>
      <xdr:spPr>
        <a:xfrm>
          <a:off x="1097280" y="1920240"/>
          <a:ext cx="0" cy="434975"/>
        </a:xfrm>
        <a:prstGeom prst="line">
          <a:avLst/>
        </a:prstGeom>
        <a:ln w="76200" cap="flat" cmpd="sng">
          <a:solidFill>
            <a:srgbClr val="000000"/>
          </a:solidFill>
          <a:prstDash val="solid"/>
          <a:round/>
          <a:headEnd type="none" w="med" len="med"/>
          <a:tailEnd type="none" w="med" len="med"/>
        </a:ln>
      </xdr:spPr>
    </xdr:sp>
    <xdr:clientData/>
  </xdr:twoCellAnchor>
  <xdr:twoCellAnchor>
    <xdr:from>
      <xdr:col>7</xdr:col>
      <xdr:colOff>68580</xdr:colOff>
      <xdr:row>6</xdr:row>
      <xdr:rowOff>213360</xdr:rowOff>
    </xdr:from>
    <xdr:to>
      <xdr:col>7</xdr:col>
      <xdr:colOff>68580</xdr:colOff>
      <xdr:row>8</xdr:row>
      <xdr:rowOff>137795</xdr:rowOff>
    </xdr:to>
    <xdr:sp macro="" textlink="">
      <xdr:nvSpPr>
        <xdr:cNvPr id="1242830" name="Line 120"/>
        <xdr:cNvSpPr/>
      </xdr:nvSpPr>
      <xdr:spPr>
        <a:xfrm>
          <a:off x="2232660" y="1920240"/>
          <a:ext cx="0" cy="434975"/>
        </a:xfrm>
        <a:prstGeom prst="line">
          <a:avLst/>
        </a:prstGeom>
        <a:ln w="76200" cap="flat" cmpd="sng">
          <a:solidFill>
            <a:srgbClr val="000000"/>
          </a:solidFill>
          <a:prstDash val="solid"/>
          <a:round/>
          <a:headEnd type="none" w="med" len="med"/>
          <a:tailEnd type="none" w="med" len="med"/>
        </a:ln>
      </xdr:spPr>
    </xdr:sp>
    <xdr:clientData/>
  </xdr:twoCellAnchor>
  <xdr:twoCellAnchor>
    <xdr:from>
      <xdr:col>3</xdr:col>
      <xdr:colOff>251460</xdr:colOff>
      <xdr:row>5</xdr:row>
      <xdr:rowOff>114935</xdr:rowOff>
    </xdr:from>
    <xdr:to>
      <xdr:col>3</xdr:col>
      <xdr:colOff>251460</xdr:colOff>
      <xdr:row>6</xdr:row>
      <xdr:rowOff>213360</xdr:rowOff>
    </xdr:to>
    <xdr:sp macro="" textlink="">
      <xdr:nvSpPr>
        <xdr:cNvPr id="1242831" name="Line 122"/>
        <xdr:cNvSpPr/>
      </xdr:nvSpPr>
      <xdr:spPr>
        <a:xfrm flipH="1">
          <a:off x="1135380" y="1566545"/>
          <a:ext cx="0" cy="353695"/>
        </a:xfrm>
        <a:prstGeom prst="line">
          <a:avLst/>
        </a:prstGeom>
        <a:ln w="9525" cap="flat" cmpd="sng">
          <a:solidFill>
            <a:srgbClr val="000000"/>
          </a:solidFill>
          <a:prstDash val="solid"/>
          <a:round/>
          <a:headEnd type="none" w="med" len="med"/>
          <a:tailEnd type="none" w="med" len="med"/>
        </a:ln>
      </xdr:spPr>
    </xdr:sp>
    <xdr:clientData/>
  </xdr:twoCellAnchor>
  <xdr:twoCellAnchor>
    <xdr:from>
      <xdr:col>7</xdr:col>
      <xdr:colOff>30480</xdr:colOff>
      <xdr:row>5</xdr:row>
      <xdr:rowOff>114935</xdr:rowOff>
    </xdr:from>
    <xdr:to>
      <xdr:col>7</xdr:col>
      <xdr:colOff>30480</xdr:colOff>
      <xdr:row>6</xdr:row>
      <xdr:rowOff>213360</xdr:rowOff>
    </xdr:to>
    <xdr:sp macro="" textlink="">
      <xdr:nvSpPr>
        <xdr:cNvPr id="1242832" name="Line 123"/>
        <xdr:cNvSpPr/>
      </xdr:nvSpPr>
      <xdr:spPr>
        <a:xfrm flipH="1">
          <a:off x="2194560" y="1566545"/>
          <a:ext cx="0" cy="353695"/>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251460</xdr:colOff>
      <xdr:row>5</xdr:row>
      <xdr:rowOff>38100</xdr:rowOff>
    </xdr:from>
    <xdr:to>
      <xdr:col>7</xdr:col>
      <xdr:colOff>30480</xdr:colOff>
      <xdr:row>5</xdr:row>
      <xdr:rowOff>152400</xdr:rowOff>
    </xdr:to>
    <xdr:sp macro="" textlink="">
      <xdr:nvSpPr>
        <xdr:cNvPr id="1242833" name="FreeForm 124"/>
        <xdr:cNvSpPr/>
      </xdr:nvSpPr>
      <xdr:spPr>
        <a:xfrm>
          <a:off x="1135380" y="1489710"/>
          <a:ext cx="1059180" cy="114300"/>
        </a:xfrm>
        <a:custGeom>
          <a:avLst/>
          <a:gdLst/>
          <a:ahLst/>
          <a:cxnLst>
            <a:cxn ang="0">
              <a:pos x="0" y="8"/>
            </a:cxn>
            <a:cxn ang="0">
              <a:pos x="24" y="0"/>
            </a:cxn>
            <a:cxn ang="0">
              <a:pos x="49" y="8"/>
            </a:cxn>
            <a:cxn ang="0">
              <a:pos x="64" y="4"/>
            </a:cxn>
            <a:cxn ang="0">
              <a:pos x="86" y="11"/>
            </a:cxn>
            <a:cxn ang="0">
              <a:pos x="107" y="8"/>
            </a:cxn>
          </a:cxnLst>
          <a:rect l="0" t="0" r="0" b="0"/>
          <a:pathLst>
            <a:path w="107" h="12">
              <a:moveTo>
                <a:pt x="0" y="8"/>
              </a:moveTo>
              <a:cubicBezTo>
                <a:pt x="8" y="4"/>
                <a:pt x="16" y="0"/>
                <a:pt x="24" y="0"/>
              </a:cubicBezTo>
              <a:cubicBezTo>
                <a:pt x="32" y="0"/>
                <a:pt x="42" y="7"/>
                <a:pt x="49" y="8"/>
              </a:cubicBezTo>
              <a:cubicBezTo>
                <a:pt x="56" y="9"/>
                <a:pt x="58" y="4"/>
                <a:pt x="64" y="4"/>
              </a:cubicBezTo>
              <a:cubicBezTo>
                <a:pt x="70" y="4"/>
                <a:pt x="79" y="10"/>
                <a:pt x="86" y="11"/>
              </a:cubicBezTo>
              <a:cubicBezTo>
                <a:pt x="93" y="12"/>
                <a:pt x="104" y="9"/>
                <a:pt x="107" y="8"/>
              </a:cubicBezTo>
            </a:path>
          </a:pathLst>
        </a:custGeom>
        <a:noFill/>
        <a:ln w="9525" cap="flat" cmpd="sng">
          <a:solidFill>
            <a:srgbClr val="000000"/>
          </a:solidFill>
          <a:prstDash val="solid"/>
          <a:round/>
          <a:headEnd type="none" w="med" len="med"/>
          <a:tailEnd type="none" w="med" len="med"/>
        </a:ln>
      </xdr:spPr>
    </xdr:sp>
    <xdr:clientData/>
  </xdr:twoCellAnchor>
  <xdr:twoCellAnchor>
    <xdr:from>
      <xdr:col>5</xdr:col>
      <xdr:colOff>205740</xdr:colOff>
      <xdr:row>5</xdr:row>
      <xdr:rowOff>31115</xdr:rowOff>
    </xdr:from>
    <xdr:to>
      <xdr:col>5</xdr:col>
      <xdr:colOff>205740</xdr:colOff>
      <xdr:row>6</xdr:row>
      <xdr:rowOff>228600</xdr:rowOff>
    </xdr:to>
    <xdr:sp macro="" textlink="">
      <xdr:nvSpPr>
        <xdr:cNvPr id="1242834" name="Line 126"/>
        <xdr:cNvSpPr/>
      </xdr:nvSpPr>
      <xdr:spPr>
        <a:xfrm>
          <a:off x="1653540" y="1482725"/>
          <a:ext cx="0" cy="452755"/>
        </a:xfrm>
        <a:prstGeom prst="line">
          <a:avLst/>
        </a:prstGeom>
        <a:ln w="57150" cap="flat" cmpd="sng">
          <a:solidFill>
            <a:srgbClr val="000000"/>
          </a:solidFill>
          <a:prstDash val="solid"/>
          <a:round/>
          <a:headEnd type="none" w="med" len="med"/>
          <a:tailEnd type="triangle" w="med" len="med"/>
        </a:ln>
      </xdr:spPr>
    </xdr:sp>
    <xdr:clientData/>
  </xdr:twoCellAnchor>
  <xdr:twoCellAnchor>
    <xdr:from>
      <xdr:col>5</xdr:col>
      <xdr:colOff>213360</xdr:colOff>
      <xdr:row>11</xdr:row>
      <xdr:rowOff>38100</xdr:rowOff>
    </xdr:from>
    <xdr:to>
      <xdr:col>5</xdr:col>
      <xdr:colOff>213360</xdr:colOff>
      <xdr:row>12</xdr:row>
      <xdr:rowOff>0</xdr:rowOff>
    </xdr:to>
    <xdr:sp macro="" textlink="">
      <xdr:nvSpPr>
        <xdr:cNvPr id="1242835" name="Line 127"/>
        <xdr:cNvSpPr/>
      </xdr:nvSpPr>
      <xdr:spPr>
        <a:xfrm flipV="1">
          <a:off x="1661160" y="3013710"/>
          <a:ext cx="0" cy="217170"/>
        </a:xfrm>
        <a:prstGeom prst="line">
          <a:avLst/>
        </a:prstGeom>
        <a:ln w="38100" cap="flat" cmpd="sng">
          <a:solidFill>
            <a:srgbClr val="000000"/>
          </a:solidFill>
          <a:prstDash val="solid"/>
          <a:round/>
          <a:headEnd type="none" w="med" len="med"/>
          <a:tailEnd type="triangle" w="sm" len="sm"/>
        </a:ln>
      </xdr:spPr>
    </xdr:sp>
    <xdr:clientData/>
  </xdr:twoCellAnchor>
  <xdr:twoCellAnchor>
    <xdr:from>
      <xdr:col>16</xdr:col>
      <xdr:colOff>114300</xdr:colOff>
      <xdr:row>10</xdr:row>
      <xdr:rowOff>76200</xdr:rowOff>
    </xdr:from>
    <xdr:to>
      <xdr:col>16</xdr:col>
      <xdr:colOff>281940</xdr:colOff>
      <xdr:row>11</xdr:row>
      <xdr:rowOff>213360</xdr:rowOff>
    </xdr:to>
    <xdr:sp macro="" textlink="">
      <xdr:nvSpPr>
        <xdr:cNvPr id="1242836" name="Rectangle 130"/>
        <xdr:cNvSpPr/>
      </xdr:nvSpPr>
      <xdr:spPr>
        <a:xfrm>
          <a:off x="4853940" y="2804160"/>
          <a:ext cx="167640" cy="384810"/>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14</xdr:col>
      <xdr:colOff>167640</xdr:colOff>
      <xdr:row>9</xdr:row>
      <xdr:rowOff>45720</xdr:rowOff>
    </xdr:from>
    <xdr:to>
      <xdr:col>18</xdr:col>
      <xdr:colOff>91440</xdr:colOff>
      <xdr:row>10</xdr:row>
      <xdr:rowOff>76200</xdr:rowOff>
    </xdr:to>
    <xdr:sp macro="" textlink="">
      <xdr:nvSpPr>
        <xdr:cNvPr id="1242837" name="Rectangle 131"/>
        <xdr:cNvSpPr/>
      </xdr:nvSpPr>
      <xdr:spPr>
        <a:xfrm>
          <a:off x="4343400" y="2518410"/>
          <a:ext cx="1203960" cy="285750"/>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12</xdr:col>
      <xdr:colOff>7620</xdr:colOff>
      <xdr:row>10</xdr:row>
      <xdr:rowOff>84455</xdr:rowOff>
    </xdr:from>
    <xdr:to>
      <xdr:col>16</xdr:col>
      <xdr:colOff>83820</xdr:colOff>
      <xdr:row>10</xdr:row>
      <xdr:rowOff>84455</xdr:rowOff>
    </xdr:to>
    <xdr:sp macro="" textlink="">
      <xdr:nvSpPr>
        <xdr:cNvPr id="1242838" name="Line 132"/>
        <xdr:cNvSpPr/>
      </xdr:nvSpPr>
      <xdr:spPr>
        <a:xfrm>
          <a:off x="3581400" y="2812415"/>
          <a:ext cx="12420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304800</xdr:colOff>
      <xdr:row>10</xdr:row>
      <xdr:rowOff>84455</xdr:rowOff>
    </xdr:from>
    <xdr:to>
      <xdr:col>20</xdr:col>
      <xdr:colOff>266700</xdr:colOff>
      <xdr:row>10</xdr:row>
      <xdr:rowOff>84455</xdr:rowOff>
    </xdr:to>
    <xdr:sp macro="" textlink="">
      <xdr:nvSpPr>
        <xdr:cNvPr id="1242839" name="Line 133"/>
        <xdr:cNvSpPr/>
      </xdr:nvSpPr>
      <xdr:spPr>
        <a:xfrm>
          <a:off x="5044440" y="2812415"/>
          <a:ext cx="12344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83820</xdr:colOff>
      <xdr:row>10</xdr:row>
      <xdr:rowOff>84455</xdr:rowOff>
    </xdr:from>
    <xdr:to>
      <xdr:col>16</xdr:col>
      <xdr:colOff>83820</xdr:colOff>
      <xdr:row>11</xdr:row>
      <xdr:rowOff>198120</xdr:rowOff>
    </xdr:to>
    <xdr:sp macro="" textlink="">
      <xdr:nvSpPr>
        <xdr:cNvPr id="1242840" name="Line 135"/>
        <xdr:cNvSpPr/>
      </xdr:nvSpPr>
      <xdr:spPr>
        <a:xfrm>
          <a:off x="4823460" y="2812415"/>
          <a:ext cx="0" cy="361315"/>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160020</xdr:colOff>
      <xdr:row>8</xdr:row>
      <xdr:rowOff>68580</xdr:rowOff>
    </xdr:from>
    <xdr:to>
      <xdr:col>14</xdr:col>
      <xdr:colOff>160020</xdr:colOff>
      <xdr:row>10</xdr:row>
      <xdr:rowOff>84455</xdr:rowOff>
    </xdr:to>
    <xdr:sp macro="" textlink="">
      <xdr:nvSpPr>
        <xdr:cNvPr id="1242841" name="Line 137"/>
        <xdr:cNvSpPr/>
      </xdr:nvSpPr>
      <xdr:spPr>
        <a:xfrm>
          <a:off x="4335780" y="2286000"/>
          <a:ext cx="0" cy="526415"/>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304800</xdr:colOff>
      <xdr:row>10</xdr:row>
      <xdr:rowOff>76200</xdr:rowOff>
    </xdr:from>
    <xdr:to>
      <xdr:col>16</xdr:col>
      <xdr:colOff>304800</xdr:colOff>
      <xdr:row>11</xdr:row>
      <xdr:rowOff>190500</xdr:rowOff>
    </xdr:to>
    <xdr:sp macro="" textlink="">
      <xdr:nvSpPr>
        <xdr:cNvPr id="1242842" name="Line 138"/>
        <xdr:cNvSpPr/>
      </xdr:nvSpPr>
      <xdr:spPr>
        <a:xfrm>
          <a:off x="5044440" y="2804160"/>
          <a:ext cx="0" cy="361950"/>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99060</xdr:colOff>
      <xdr:row>8</xdr:row>
      <xdr:rowOff>83820</xdr:rowOff>
    </xdr:from>
    <xdr:to>
      <xdr:col>18</xdr:col>
      <xdr:colOff>99060</xdr:colOff>
      <xdr:row>10</xdr:row>
      <xdr:rowOff>76200</xdr:rowOff>
    </xdr:to>
    <xdr:sp macro="" textlink="">
      <xdr:nvSpPr>
        <xdr:cNvPr id="1242843" name="Line 139"/>
        <xdr:cNvSpPr/>
      </xdr:nvSpPr>
      <xdr:spPr>
        <a:xfrm>
          <a:off x="5554980" y="2301240"/>
          <a:ext cx="0" cy="502920"/>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99060</xdr:colOff>
      <xdr:row>7</xdr:row>
      <xdr:rowOff>159385</xdr:rowOff>
    </xdr:from>
    <xdr:to>
      <xdr:col>18</xdr:col>
      <xdr:colOff>251460</xdr:colOff>
      <xdr:row>8</xdr:row>
      <xdr:rowOff>83820</xdr:rowOff>
    </xdr:to>
    <xdr:sp macro="" textlink="">
      <xdr:nvSpPr>
        <xdr:cNvPr id="1242844" name="Arc 140"/>
        <xdr:cNvSpPr/>
      </xdr:nvSpPr>
      <xdr:spPr>
        <a:xfrm rot="-5400000">
          <a:off x="5541010" y="2134870"/>
          <a:ext cx="179705" cy="15240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14</xdr:col>
      <xdr:colOff>15240</xdr:colOff>
      <xdr:row>7</xdr:row>
      <xdr:rowOff>159385</xdr:rowOff>
    </xdr:from>
    <xdr:to>
      <xdr:col>14</xdr:col>
      <xdr:colOff>160020</xdr:colOff>
      <xdr:row>8</xdr:row>
      <xdr:rowOff>75565</xdr:rowOff>
    </xdr:to>
    <xdr:sp macro="" textlink="">
      <xdr:nvSpPr>
        <xdr:cNvPr id="1242845" name="Arc 141"/>
        <xdr:cNvSpPr/>
      </xdr:nvSpPr>
      <xdr:spPr>
        <a:xfrm>
          <a:off x="4191000" y="2121535"/>
          <a:ext cx="144780" cy="17145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15</xdr:col>
      <xdr:colOff>22860</xdr:colOff>
      <xdr:row>9</xdr:row>
      <xdr:rowOff>8255</xdr:rowOff>
    </xdr:from>
    <xdr:to>
      <xdr:col>17</xdr:col>
      <xdr:colOff>251460</xdr:colOff>
      <xdr:row>9</xdr:row>
      <xdr:rowOff>8255</xdr:rowOff>
    </xdr:to>
    <xdr:sp macro="" textlink="">
      <xdr:nvSpPr>
        <xdr:cNvPr id="1242846" name="Line 142"/>
        <xdr:cNvSpPr/>
      </xdr:nvSpPr>
      <xdr:spPr>
        <a:xfrm>
          <a:off x="4480560" y="2480945"/>
          <a:ext cx="944880"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18</xdr:col>
      <xdr:colOff>60960</xdr:colOff>
      <xdr:row>6</xdr:row>
      <xdr:rowOff>228600</xdr:rowOff>
    </xdr:from>
    <xdr:to>
      <xdr:col>18</xdr:col>
      <xdr:colOff>60960</xdr:colOff>
      <xdr:row>8</xdr:row>
      <xdr:rowOff>152400</xdr:rowOff>
    </xdr:to>
    <xdr:sp macro="" textlink="">
      <xdr:nvSpPr>
        <xdr:cNvPr id="1242847" name="Line 143"/>
        <xdr:cNvSpPr/>
      </xdr:nvSpPr>
      <xdr:spPr>
        <a:xfrm>
          <a:off x="5516880" y="1935480"/>
          <a:ext cx="0" cy="434340"/>
        </a:xfrm>
        <a:prstGeom prst="line">
          <a:avLst/>
        </a:prstGeom>
        <a:ln w="76200" cap="flat" cmpd="sng">
          <a:solidFill>
            <a:srgbClr val="000000"/>
          </a:solidFill>
          <a:prstDash val="solid"/>
          <a:round/>
          <a:headEnd type="none" w="med" len="med"/>
          <a:tailEnd type="none" w="med" len="med"/>
        </a:ln>
      </xdr:spPr>
    </xdr:sp>
    <xdr:clientData/>
  </xdr:twoCellAnchor>
  <xdr:twoCellAnchor>
    <xdr:from>
      <xdr:col>17</xdr:col>
      <xdr:colOff>251460</xdr:colOff>
      <xdr:row>8</xdr:row>
      <xdr:rowOff>144780</xdr:rowOff>
    </xdr:from>
    <xdr:to>
      <xdr:col>18</xdr:col>
      <xdr:colOff>60960</xdr:colOff>
      <xdr:row>9</xdr:row>
      <xdr:rowOff>8255</xdr:rowOff>
    </xdr:to>
    <xdr:sp macro="" textlink="">
      <xdr:nvSpPr>
        <xdr:cNvPr id="1242848" name="Arc 144"/>
        <xdr:cNvSpPr/>
      </xdr:nvSpPr>
      <xdr:spPr>
        <a:xfrm rot="-10800000" flipH="1">
          <a:off x="5425440" y="2362200"/>
          <a:ext cx="91440" cy="118745"/>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14</xdr:col>
      <xdr:colOff>205740</xdr:colOff>
      <xdr:row>8</xdr:row>
      <xdr:rowOff>152400</xdr:rowOff>
    </xdr:from>
    <xdr:to>
      <xdr:col>15</xdr:col>
      <xdr:colOff>22860</xdr:colOff>
      <xdr:row>9</xdr:row>
      <xdr:rowOff>8255</xdr:rowOff>
    </xdr:to>
    <xdr:sp macro="" textlink="">
      <xdr:nvSpPr>
        <xdr:cNvPr id="1242849" name="Arc 145"/>
        <xdr:cNvSpPr/>
      </xdr:nvSpPr>
      <xdr:spPr>
        <a:xfrm rot="-5400000" flipH="1">
          <a:off x="4375150" y="2375535"/>
          <a:ext cx="111125" cy="9906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14</xdr:col>
      <xdr:colOff>205740</xdr:colOff>
      <xdr:row>6</xdr:row>
      <xdr:rowOff>228600</xdr:rowOff>
    </xdr:from>
    <xdr:to>
      <xdr:col>14</xdr:col>
      <xdr:colOff>205740</xdr:colOff>
      <xdr:row>8</xdr:row>
      <xdr:rowOff>152400</xdr:rowOff>
    </xdr:to>
    <xdr:sp macro="" textlink="">
      <xdr:nvSpPr>
        <xdr:cNvPr id="1242850" name="Line 146"/>
        <xdr:cNvSpPr/>
      </xdr:nvSpPr>
      <xdr:spPr>
        <a:xfrm>
          <a:off x="4381500" y="1935480"/>
          <a:ext cx="0" cy="434340"/>
        </a:xfrm>
        <a:prstGeom prst="line">
          <a:avLst/>
        </a:prstGeom>
        <a:ln w="76200" cap="flat" cmpd="sng">
          <a:solidFill>
            <a:srgbClr val="000000"/>
          </a:solidFill>
          <a:prstDash val="solid"/>
          <a:round/>
          <a:headEnd type="none" w="med" len="med"/>
          <a:tailEnd type="none" w="med" len="med"/>
        </a:ln>
      </xdr:spPr>
    </xdr:sp>
    <xdr:clientData/>
  </xdr:twoCellAnchor>
  <xdr:twoCellAnchor>
    <xdr:from>
      <xdr:col>12</xdr:col>
      <xdr:colOff>114300</xdr:colOff>
      <xdr:row>7</xdr:row>
      <xdr:rowOff>159385</xdr:rowOff>
    </xdr:from>
    <xdr:to>
      <xdr:col>14</xdr:col>
      <xdr:colOff>22860</xdr:colOff>
      <xdr:row>7</xdr:row>
      <xdr:rowOff>159385</xdr:rowOff>
    </xdr:to>
    <xdr:sp macro="" textlink="">
      <xdr:nvSpPr>
        <xdr:cNvPr id="1242851" name="Line 147"/>
        <xdr:cNvSpPr/>
      </xdr:nvSpPr>
      <xdr:spPr>
        <a:xfrm>
          <a:off x="3688080" y="2121535"/>
          <a:ext cx="5105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251460</xdr:colOff>
      <xdr:row>7</xdr:row>
      <xdr:rowOff>159385</xdr:rowOff>
    </xdr:from>
    <xdr:to>
      <xdr:col>20</xdr:col>
      <xdr:colOff>160020</xdr:colOff>
      <xdr:row>7</xdr:row>
      <xdr:rowOff>159385</xdr:rowOff>
    </xdr:to>
    <xdr:sp macro="" textlink="">
      <xdr:nvSpPr>
        <xdr:cNvPr id="1242852" name="Line 148"/>
        <xdr:cNvSpPr/>
      </xdr:nvSpPr>
      <xdr:spPr>
        <a:xfrm>
          <a:off x="5707380" y="2121535"/>
          <a:ext cx="46482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121920</xdr:colOff>
      <xdr:row>7</xdr:row>
      <xdr:rowOff>175260</xdr:rowOff>
    </xdr:from>
    <xdr:to>
      <xdr:col>20</xdr:col>
      <xdr:colOff>198120</xdr:colOff>
      <xdr:row>10</xdr:row>
      <xdr:rowOff>84455</xdr:rowOff>
    </xdr:to>
    <xdr:sp macro="" textlink="">
      <xdr:nvSpPr>
        <xdr:cNvPr id="1242853" name="FreeForm 149"/>
        <xdr:cNvSpPr/>
      </xdr:nvSpPr>
      <xdr:spPr>
        <a:xfrm>
          <a:off x="6134100" y="2137410"/>
          <a:ext cx="76200" cy="67500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20</xdr:col>
      <xdr:colOff>220980</xdr:colOff>
      <xdr:row>10</xdr:row>
      <xdr:rowOff>84455</xdr:rowOff>
    </xdr:from>
    <xdr:to>
      <xdr:col>21</xdr:col>
      <xdr:colOff>0</xdr:colOff>
      <xdr:row>11</xdr:row>
      <xdr:rowOff>213360</xdr:rowOff>
    </xdr:to>
    <xdr:sp macro="" textlink="">
      <xdr:nvSpPr>
        <xdr:cNvPr id="1242854" name="FreeForm 150"/>
        <xdr:cNvSpPr/>
      </xdr:nvSpPr>
      <xdr:spPr>
        <a:xfrm rot="10800000">
          <a:off x="6233160" y="2812415"/>
          <a:ext cx="60960" cy="37655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12</xdr:col>
      <xdr:colOff>68580</xdr:colOff>
      <xdr:row>7</xdr:row>
      <xdr:rowOff>159385</xdr:rowOff>
    </xdr:from>
    <xdr:to>
      <xdr:col>12</xdr:col>
      <xdr:colOff>144780</xdr:colOff>
      <xdr:row>10</xdr:row>
      <xdr:rowOff>76200</xdr:rowOff>
    </xdr:to>
    <xdr:sp macro="" textlink="">
      <xdr:nvSpPr>
        <xdr:cNvPr id="1242855" name="FreeForm 151"/>
        <xdr:cNvSpPr/>
      </xdr:nvSpPr>
      <xdr:spPr>
        <a:xfrm>
          <a:off x="3642360" y="2121535"/>
          <a:ext cx="76200" cy="68262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11</xdr:col>
      <xdr:colOff>274320</xdr:colOff>
      <xdr:row>10</xdr:row>
      <xdr:rowOff>84455</xdr:rowOff>
    </xdr:from>
    <xdr:to>
      <xdr:col>12</xdr:col>
      <xdr:colOff>22860</xdr:colOff>
      <xdr:row>11</xdr:row>
      <xdr:rowOff>198120</xdr:rowOff>
    </xdr:to>
    <xdr:sp macro="" textlink="">
      <xdr:nvSpPr>
        <xdr:cNvPr id="1242856" name="FreeForm 152"/>
        <xdr:cNvSpPr/>
      </xdr:nvSpPr>
      <xdr:spPr>
        <a:xfrm rot="10800000">
          <a:off x="3566160" y="2812415"/>
          <a:ext cx="30480" cy="361315"/>
        </a:xfrm>
        <a:custGeom>
          <a:avLst/>
          <a:gdLst/>
          <a:ahLst/>
          <a:cxnLst>
            <a:cxn ang="0">
              <a:pos x="5" y="0"/>
            </a:cxn>
            <a:cxn ang="0">
              <a:pos x="1" y="18"/>
            </a:cxn>
            <a:cxn ang="0">
              <a:pos x="9" y="37"/>
            </a:cxn>
            <a:cxn ang="0">
              <a:pos x="4" y="56"/>
            </a:cxn>
            <a:cxn ang="0">
              <a:pos x="4" y="60"/>
            </a:cxn>
          </a:cxnLst>
          <a:rect l="0" t="0" r="0" b="0"/>
          <a:pathLst>
            <a:path w="9" h="60">
              <a:moveTo>
                <a:pt x="5" y="0"/>
              </a:moveTo>
              <a:cubicBezTo>
                <a:pt x="2" y="6"/>
                <a:pt x="0" y="12"/>
                <a:pt x="1" y="18"/>
              </a:cubicBezTo>
              <a:cubicBezTo>
                <a:pt x="2" y="24"/>
                <a:pt x="9" y="31"/>
                <a:pt x="9" y="37"/>
              </a:cubicBezTo>
              <a:cubicBezTo>
                <a:pt x="9" y="43"/>
                <a:pt x="5" y="52"/>
                <a:pt x="4" y="56"/>
              </a:cubicBezTo>
              <a:cubicBezTo>
                <a:pt x="3" y="60"/>
                <a:pt x="3" y="60"/>
                <a:pt x="4" y="60"/>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14</xdr:col>
      <xdr:colOff>236220</xdr:colOff>
      <xdr:row>5</xdr:row>
      <xdr:rowOff>137795</xdr:rowOff>
    </xdr:from>
    <xdr:to>
      <xdr:col>14</xdr:col>
      <xdr:colOff>236220</xdr:colOff>
      <xdr:row>6</xdr:row>
      <xdr:rowOff>228600</xdr:rowOff>
    </xdr:to>
    <xdr:sp macro="" textlink="">
      <xdr:nvSpPr>
        <xdr:cNvPr id="1242857" name="Line 153"/>
        <xdr:cNvSpPr/>
      </xdr:nvSpPr>
      <xdr:spPr>
        <a:xfrm flipH="1">
          <a:off x="4411980" y="1589405"/>
          <a:ext cx="0" cy="346075"/>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22860</xdr:colOff>
      <xdr:row>5</xdr:row>
      <xdr:rowOff>137795</xdr:rowOff>
    </xdr:from>
    <xdr:to>
      <xdr:col>18</xdr:col>
      <xdr:colOff>22860</xdr:colOff>
      <xdr:row>6</xdr:row>
      <xdr:rowOff>228600</xdr:rowOff>
    </xdr:to>
    <xdr:sp macro="" textlink="">
      <xdr:nvSpPr>
        <xdr:cNvPr id="1242858" name="Line 154"/>
        <xdr:cNvSpPr/>
      </xdr:nvSpPr>
      <xdr:spPr>
        <a:xfrm flipH="1">
          <a:off x="5478780" y="1589405"/>
          <a:ext cx="0" cy="346075"/>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236220</xdr:colOff>
      <xdr:row>5</xdr:row>
      <xdr:rowOff>52705</xdr:rowOff>
    </xdr:from>
    <xdr:to>
      <xdr:col>18</xdr:col>
      <xdr:colOff>22860</xdr:colOff>
      <xdr:row>5</xdr:row>
      <xdr:rowOff>175260</xdr:rowOff>
    </xdr:to>
    <xdr:sp macro="" textlink="">
      <xdr:nvSpPr>
        <xdr:cNvPr id="1242859" name="FreeForm 155"/>
        <xdr:cNvSpPr/>
      </xdr:nvSpPr>
      <xdr:spPr>
        <a:xfrm>
          <a:off x="4411980" y="1504315"/>
          <a:ext cx="1066800" cy="122555"/>
        </a:xfrm>
        <a:custGeom>
          <a:avLst/>
          <a:gdLst/>
          <a:ahLst/>
          <a:cxnLst>
            <a:cxn ang="0">
              <a:pos x="0" y="8"/>
            </a:cxn>
            <a:cxn ang="0">
              <a:pos x="24" y="0"/>
            </a:cxn>
            <a:cxn ang="0">
              <a:pos x="49" y="8"/>
            </a:cxn>
            <a:cxn ang="0">
              <a:pos x="64" y="4"/>
            </a:cxn>
            <a:cxn ang="0">
              <a:pos x="86" y="11"/>
            </a:cxn>
            <a:cxn ang="0">
              <a:pos x="107" y="8"/>
            </a:cxn>
          </a:cxnLst>
          <a:rect l="0" t="0" r="0" b="0"/>
          <a:pathLst>
            <a:path w="107" h="12">
              <a:moveTo>
                <a:pt x="0" y="8"/>
              </a:moveTo>
              <a:cubicBezTo>
                <a:pt x="8" y="4"/>
                <a:pt x="16" y="0"/>
                <a:pt x="24" y="0"/>
              </a:cubicBezTo>
              <a:cubicBezTo>
                <a:pt x="32" y="0"/>
                <a:pt x="42" y="7"/>
                <a:pt x="49" y="8"/>
              </a:cubicBezTo>
              <a:cubicBezTo>
                <a:pt x="56" y="9"/>
                <a:pt x="58" y="4"/>
                <a:pt x="64" y="4"/>
              </a:cubicBezTo>
              <a:cubicBezTo>
                <a:pt x="70" y="4"/>
                <a:pt x="79" y="10"/>
                <a:pt x="86" y="11"/>
              </a:cubicBezTo>
              <a:cubicBezTo>
                <a:pt x="93" y="12"/>
                <a:pt x="104" y="9"/>
                <a:pt x="107" y="8"/>
              </a:cubicBezTo>
            </a:path>
          </a:pathLst>
        </a:custGeom>
        <a:noFill/>
        <a:ln w="9525" cap="flat" cmpd="sng">
          <a:solidFill>
            <a:srgbClr val="000000"/>
          </a:solidFill>
          <a:prstDash val="solid"/>
          <a:round/>
          <a:headEnd type="none" w="med" len="med"/>
          <a:tailEnd type="none" w="med" len="med"/>
        </a:ln>
      </xdr:spPr>
    </xdr:sp>
    <xdr:clientData/>
  </xdr:twoCellAnchor>
  <xdr:twoCellAnchor>
    <xdr:from>
      <xdr:col>16</xdr:col>
      <xdr:colOff>198120</xdr:colOff>
      <xdr:row>5</xdr:row>
      <xdr:rowOff>15240</xdr:rowOff>
    </xdr:from>
    <xdr:to>
      <xdr:col>16</xdr:col>
      <xdr:colOff>198120</xdr:colOff>
      <xdr:row>6</xdr:row>
      <xdr:rowOff>182245</xdr:rowOff>
    </xdr:to>
    <xdr:sp macro="" textlink="">
      <xdr:nvSpPr>
        <xdr:cNvPr id="1242860" name="Line 156"/>
        <xdr:cNvSpPr/>
      </xdr:nvSpPr>
      <xdr:spPr>
        <a:xfrm>
          <a:off x="4937760" y="1466850"/>
          <a:ext cx="0" cy="422275"/>
        </a:xfrm>
        <a:prstGeom prst="line">
          <a:avLst/>
        </a:prstGeom>
        <a:ln w="57150" cap="flat" cmpd="sng">
          <a:solidFill>
            <a:srgbClr val="000000"/>
          </a:solidFill>
          <a:prstDash val="solid"/>
          <a:round/>
          <a:headEnd type="none" w="med" len="med"/>
          <a:tailEnd type="triangle" w="med" len="med"/>
        </a:ln>
      </xdr:spPr>
    </xdr:sp>
    <xdr:clientData/>
  </xdr:twoCellAnchor>
  <xdr:twoCellAnchor>
    <xdr:from>
      <xdr:col>14</xdr:col>
      <xdr:colOff>259080</xdr:colOff>
      <xdr:row>8</xdr:row>
      <xdr:rowOff>38100</xdr:rowOff>
    </xdr:from>
    <xdr:to>
      <xdr:col>15</xdr:col>
      <xdr:colOff>114300</xdr:colOff>
      <xdr:row>8</xdr:row>
      <xdr:rowOff>198120</xdr:rowOff>
    </xdr:to>
    <xdr:sp macro="" textlink="">
      <xdr:nvSpPr>
        <xdr:cNvPr id="1242861" name="Line 159"/>
        <xdr:cNvSpPr/>
      </xdr:nvSpPr>
      <xdr:spPr>
        <a:xfrm flipV="1">
          <a:off x="4434840" y="2255520"/>
          <a:ext cx="137160" cy="160020"/>
        </a:xfrm>
        <a:prstGeom prst="line">
          <a:avLst/>
        </a:prstGeom>
        <a:ln w="15875" cap="flat" cmpd="sng">
          <a:solidFill>
            <a:srgbClr val="000000"/>
          </a:solidFill>
          <a:prstDash val="solid"/>
          <a:round/>
          <a:headEnd type="arrow" w="sm" len="sm"/>
          <a:tailEnd type="oval" w="sm" len="sm"/>
        </a:ln>
      </xdr:spPr>
    </xdr:sp>
    <xdr:clientData/>
  </xdr:twoCellAnchor>
  <xdr:twoCellAnchor>
    <xdr:from>
      <xdr:col>15</xdr:col>
      <xdr:colOff>99060</xdr:colOff>
      <xdr:row>7</xdr:row>
      <xdr:rowOff>121920</xdr:rowOff>
    </xdr:from>
    <xdr:to>
      <xdr:col>16</xdr:col>
      <xdr:colOff>0</xdr:colOff>
      <xdr:row>8</xdr:row>
      <xdr:rowOff>45720</xdr:rowOff>
    </xdr:to>
    <xdr:sp macro="" textlink="">
      <xdr:nvSpPr>
        <xdr:cNvPr id="1242862" name="Line 160"/>
        <xdr:cNvSpPr/>
      </xdr:nvSpPr>
      <xdr:spPr>
        <a:xfrm flipV="1">
          <a:off x="4556760" y="2084070"/>
          <a:ext cx="182880" cy="17907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266700</xdr:colOff>
      <xdr:row>8</xdr:row>
      <xdr:rowOff>45720</xdr:rowOff>
    </xdr:from>
    <xdr:to>
      <xdr:col>4</xdr:col>
      <xdr:colOff>114300</xdr:colOff>
      <xdr:row>8</xdr:row>
      <xdr:rowOff>182245</xdr:rowOff>
    </xdr:to>
    <xdr:sp macro="" textlink="">
      <xdr:nvSpPr>
        <xdr:cNvPr id="1242863" name="Line 161"/>
        <xdr:cNvSpPr/>
      </xdr:nvSpPr>
      <xdr:spPr>
        <a:xfrm flipH="1">
          <a:off x="1150620" y="2263140"/>
          <a:ext cx="129540" cy="136525"/>
        </a:xfrm>
        <a:prstGeom prst="line">
          <a:avLst/>
        </a:prstGeom>
        <a:ln w="15875" cap="flat" cmpd="sng">
          <a:solidFill>
            <a:srgbClr val="000000"/>
          </a:solidFill>
          <a:prstDash val="solid"/>
          <a:round/>
          <a:headEnd type="oval" w="sm" len="sm"/>
          <a:tailEnd type="arrow" w="sm" len="sm"/>
        </a:ln>
      </xdr:spPr>
    </xdr:sp>
    <xdr:clientData/>
  </xdr:twoCellAnchor>
  <xdr:twoCellAnchor>
    <xdr:from>
      <xdr:col>4</xdr:col>
      <xdr:colOff>129540</xdr:colOff>
      <xdr:row>7</xdr:row>
      <xdr:rowOff>121920</xdr:rowOff>
    </xdr:from>
    <xdr:to>
      <xdr:col>5</xdr:col>
      <xdr:colOff>7620</xdr:colOff>
      <xdr:row>8</xdr:row>
      <xdr:rowOff>31115</xdr:rowOff>
    </xdr:to>
    <xdr:sp macro="" textlink="">
      <xdr:nvSpPr>
        <xdr:cNvPr id="1242864" name="Line 162"/>
        <xdr:cNvSpPr/>
      </xdr:nvSpPr>
      <xdr:spPr>
        <a:xfrm flipV="1">
          <a:off x="1295400" y="2084070"/>
          <a:ext cx="160020" cy="164465"/>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7</xdr:row>
      <xdr:rowOff>221615</xdr:rowOff>
    </xdr:from>
    <xdr:to>
      <xdr:col>14</xdr:col>
      <xdr:colOff>121920</xdr:colOff>
      <xdr:row>8</xdr:row>
      <xdr:rowOff>106680</xdr:rowOff>
    </xdr:to>
    <xdr:sp macro="" textlink="">
      <xdr:nvSpPr>
        <xdr:cNvPr id="1242865" name="Line 164"/>
        <xdr:cNvSpPr/>
      </xdr:nvSpPr>
      <xdr:spPr>
        <a:xfrm flipH="1">
          <a:off x="4175760" y="2183765"/>
          <a:ext cx="121920" cy="140335"/>
        </a:xfrm>
        <a:prstGeom prst="line">
          <a:avLst/>
        </a:prstGeom>
        <a:ln w="9525" cap="flat" cmpd="sng">
          <a:solidFill>
            <a:srgbClr val="000000"/>
          </a:solidFill>
          <a:prstDash val="solid"/>
          <a:round/>
          <a:headEnd type="arrow" w="sm" len="sm"/>
          <a:tailEnd type="oval" w="sm" len="sm"/>
        </a:ln>
      </xdr:spPr>
    </xdr:sp>
    <xdr:clientData/>
  </xdr:twoCellAnchor>
  <xdr:twoCellAnchor>
    <xdr:from>
      <xdr:col>3</xdr:col>
      <xdr:colOff>0</xdr:colOff>
      <xdr:row>7</xdr:row>
      <xdr:rowOff>213360</xdr:rowOff>
    </xdr:from>
    <xdr:to>
      <xdr:col>3</xdr:col>
      <xdr:colOff>137160</xdr:colOff>
      <xdr:row>8</xdr:row>
      <xdr:rowOff>114935</xdr:rowOff>
    </xdr:to>
    <xdr:sp macro="" textlink="">
      <xdr:nvSpPr>
        <xdr:cNvPr id="1242866" name="Line 165"/>
        <xdr:cNvSpPr/>
      </xdr:nvSpPr>
      <xdr:spPr>
        <a:xfrm flipH="1">
          <a:off x="883920" y="2175510"/>
          <a:ext cx="137160" cy="156845"/>
        </a:xfrm>
        <a:prstGeom prst="line">
          <a:avLst/>
        </a:prstGeom>
        <a:ln w="9525" cap="flat" cmpd="sng">
          <a:solidFill>
            <a:srgbClr val="000000"/>
          </a:solidFill>
          <a:prstDash val="solid"/>
          <a:round/>
          <a:headEnd type="arrow" w="sm" len="sm"/>
          <a:tailEnd type="oval" w="sm" len="sm"/>
        </a:ln>
      </xdr:spPr>
    </xdr:sp>
    <xdr:clientData/>
  </xdr:twoCellAnchor>
  <xdr:twoCellAnchor>
    <xdr:from>
      <xdr:col>3</xdr:col>
      <xdr:colOff>167640</xdr:colOff>
      <xdr:row>10</xdr:row>
      <xdr:rowOff>92075</xdr:rowOff>
    </xdr:from>
    <xdr:to>
      <xdr:col>3</xdr:col>
      <xdr:colOff>167640</xdr:colOff>
      <xdr:row>14</xdr:row>
      <xdr:rowOff>175260</xdr:rowOff>
    </xdr:to>
    <xdr:sp macro="" textlink="">
      <xdr:nvSpPr>
        <xdr:cNvPr id="1242867" name="Line 166"/>
        <xdr:cNvSpPr/>
      </xdr:nvSpPr>
      <xdr:spPr>
        <a:xfrm>
          <a:off x="1051560" y="2820035"/>
          <a:ext cx="0" cy="1096645"/>
        </a:xfrm>
        <a:prstGeom prst="line">
          <a:avLst/>
        </a:prstGeom>
        <a:ln w="3175" cap="flat" cmpd="sng">
          <a:solidFill>
            <a:srgbClr val="000000"/>
          </a:solidFill>
          <a:prstDash val="solid"/>
          <a:round/>
          <a:headEnd type="none" w="med" len="med"/>
          <a:tailEnd type="none" w="med" len="med"/>
        </a:ln>
      </xdr:spPr>
    </xdr:sp>
    <xdr:clientData/>
  </xdr:twoCellAnchor>
  <xdr:twoCellAnchor>
    <xdr:from>
      <xdr:col>7</xdr:col>
      <xdr:colOff>114300</xdr:colOff>
      <xdr:row>10</xdr:row>
      <xdr:rowOff>84455</xdr:rowOff>
    </xdr:from>
    <xdr:to>
      <xdr:col>7</xdr:col>
      <xdr:colOff>114300</xdr:colOff>
      <xdr:row>14</xdr:row>
      <xdr:rowOff>213360</xdr:rowOff>
    </xdr:to>
    <xdr:sp macro="" textlink="">
      <xdr:nvSpPr>
        <xdr:cNvPr id="1242868" name="Line 167"/>
        <xdr:cNvSpPr/>
      </xdr:nvSpPr>
      <xdr:spPr>
        <a:xfrm>
          <a:off x="2278380" y="2812415"/>
          <a:ext cx="0" cy="1142365"/>
        </a:xfrm>
        <a:prstGeom prst="line">
          <a:avLst/>
        </a:prstGeom>
        <a:ln w="3175" cap="flat" cmpd="sng">
          <a:solidFill>
            <a:srgbClr val="000000"/>
          </a:solidFill>
          <a:prstDash val="solid"/>
          <a:round/>
          <a:headEnd type="none" w="med" len="med"/>
          <a:tailEnd type="none" w="med" len="med"/>
        </a:ln>
      </xdr:spPr>
    </xdr:sp>
    <xdr:clientData/>
  </xdr:twoCellAnchor>
  <xdr:twoCellAnchor>
    <xdr:from>
      <xdr:col>3</xdr:col>
      <xdr:colOff>167640</xdr:colOff>
      <xdr:row>13</xdr:row>
      <xdr:rowOff>114935</xdr:rowOff>
    </xdr:from>
    <xdr:to>
      <xdr:col>4</xdr:col>
      <xdr:colOff>60960</xdr:colOff>
      <xdr:row>13</xdr:row>
      <xdr:rowOff>114935</xdr:rowOff>
    </xdr:to>
    <xdr:sp macro="" textlink="">
      <xdr:nvSpPr>
        <xdr:cNvPr id="1242869" name="Line 168"/>
        <xdr:cNvSpPr/>
      </xdr:nvSpPr>
      <xdr:spPr>
        <a:xfrm>
          <a:off x="1051560" y="3601085"/>
          <a:ext cx="175260" cy="0"/>
        </a:xfrm>
        <a:prstGeom prst="line">
          <a:avLst/>
        </a:prstGeom>
        <a:ln w="9525" cap="flat" cmpd="sng">
          <a:solidFill>
            <a:srgbClr val="000000"/>
          </a:solidFill>
          <a:prstDash val="solid"/>
          <a:round/>
          <a:headEnd type="arrow" w="sm" len="sm"/>
          <a:tailEnd type="none" w="med" len="med"/>
        </a:ln>
      </xdr:spPr>
    </xdr:sp>
    <xdr:clientData/>
  </xdr:twoCellAnchor>
  <xdr:twoCellAnchor>
    <xdr:from>
      <xdr:col>6</xdr:col>
      <xdr:colOff>7620</xdr:colOff>
      <xdr:row>13</xdr:row>
      <xdr:rowOff>114935</xdr:rowOff>
    </xdr:from>
    <xdr:to>
      <xdr:col>7</xdr:col>
      <xdr:colOff>114300</xdr:colOff>
      <xdr:row>13</xdr:row>
      <xdr:rowOff>114935</xdr:rowOff>
    </xdr:to>
    <xdr:sp macro="" textlink="">
      <xdr:nvSpPr>
        <xdr:cNvPr id="1242870" name="Line 169"/>
        <xdr:cNvSpPr/>
      </xdr:nvSpPr>
      <xdr:spPr>
        <a:xfrm>
          <a:off x="1889760" y="3601085"/>
          <a:ext cx="38862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14</xdr:col>
      <xdr:colOff>160020</xdr:colOff>
      <xdr:row>10</xdr:row>
      <xdr:rowOff>92075</xdr:rowOff>
    </xdr:from>
    <xdr:to>
      <xdr:col>14</xdr:col>
      <xdr:colOff>160020</xdr:colOff>
      <xdr:row>14</xdr:row>
      <xdr:rowOff>198120</xdr:rowOff>
    </xdr:to>
    <xdr:sp macro="" textlink="">
      <xdr:nvSpPr>
        <xdr:cNvPr id="1242871" name="Line 170"/>
        <xdr:cNvSpPr/>
      </xdr:nvSpPr>
      <xdr:spPr>
        <a:xfrm>
          <a:off x="4335780" y="2820035"/>
          <a:ext cx="0" cy="1119505"/>
        </a:xfrm>
        <a:prstGeom prst="line">
          <a:avLst/>
        </a:prstGeom>
        <a:ln w="3175" cap="flat" cmpd="sng">
          <a:solidFill>
            <a:srgbClr val="000000"/>
          </a:solidFill>
          <a:prstDash val="solid"/>
          <a:round/>
          <a:headEnd type="none" w="med" len="med"/>
          <a:tailEnd type="none" w="med" len="med"/>
        </a:ln>
      </xdr:spPr>
    </xdr:sp>
    <xdr:clientData/>
  </xdr:twoCellAnchor>
  <xdr:twoCellAnchor>
    <xdr:from>
      <xdr:col>18</xdr:col>
      <xdr:colOff>99060</xdr:colOff>
      <xdr:row>10</xdr:row>
      <xdr:rowOff>92075</xdr:rowOff>
    </xdr:from>
    <xdr:to>
      <xdr:col>18</xdr:col>
      <xdr:colOff>99060</xdr:colOff>
      <xdr:row>14</xdr:row>
      <xdr:rowOff>221615</xdr:rowOff>
    </xdr:to>
    <xdr:sp macro="" textlink="">
      <xdr:nvSpPr>
        <xdr:cNvPr id="1242872" name="Line 171"/>
        <xdr:cNvSpPr/>
      </xdr:nvSpPr>
      <xdr:spPr>
        <a:xfrm>
          <a:off x="5554980" y="2820035"/>
          <a:ext cx="0" cy="1143000"/>
        </a:xfrm>
        <a:prstGeom prst="line">
          <a:avLst/>
        </a:prstGeom>
        <a:ln w="3175" cap="flat" cmpd="sng">
          <a:solidFill>
            <a:srgbClr val="000000"/>
          </a:solidFill>
          <a:prstDash val="solid"/>
          <a:round/>
          <a:headEnd type="none" w="med" len="med"/>
          <a:tailEnd type="none" w="med" len="med"/>
        </a:ln>
      </xdr:spPr>
    </xdr:sp>
    <xdr:clientData/>
  </xdr:twoCellAnchor>
  <xdr:twoCellAnchor>
    <xdr:from>
      <xdr:col>17</xdr:col>
      <xdr:colOff>7620</xdr:colOff>
      <xdr:row>13</xdr:row>
      <xdr:rowOff>144780</xdr:rowOff>
    </xdr:from>
    <xdr:to>
      <xdr:col>18</xdr:col>
      <xdr:colOff>99060</xdr:colOff>
      <xdr:row>13</xdr:row>
      <xdr:rowOff>144780</xdr:rowOff>
    </xdr:to>
    <xdr:sp macro="" textlink="">
      <xdr:nvSpPr>
        <xdr:cNvPr id="1242873" name="Line 172"/>
        <xdr:cNvSpPr/>
      </xdr:nvSpPr>
      <xdr:spPr>
        <a:xfrm>
          <a:off x="5181600" y="3630930"/>
          <a:ext cx="37338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14</xdr:col>
      <xdr:colOff>160020</xdr:colOff>
      <xdr:row>13</xdr:row>
      <xdr:rowOff>137795</xdr:rowOff>
    </xdr:from>
    <xdr:to>
      <xdr:col>15</xdr:col>
      <xdr:colOff>53340</xdr:colOff>
      <xdr:row>13</xdr:row>
      <xdr:rowOff>137795</xdr:rowOff>
    </xdr:to>
    <xdr:sp macro="" textlink="">
      <xdr:nvSpPr>
        <xdr:cNvPr id="1242874" name="Line 173"/>
        <xdr:cNvSpPr/>
      </xdr:nvSpPr>
      <xdr:spPr>
        <a:xfrm flipH="1">
          <a:off x="4335780" y="3623945"/>
          <a:ext cx="17526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2</xdr:col>
      <xdr:colOff>91440</xdr:colOff>
      <xdr:row>20</xdr:row>
      <xdr:rowOff>198120</xdr:rowOff>
    </xdr:from>
    <xdr:to>
      <xdr:col>8</xdr:col>
      <xdr:colOff>76200</xdr:colOff>
      <xdr:row>20</xdr:row>
      <xdr:rowOff>198120</xdr:rowOff>
    </xdr:to>
    <xdr:sp macro="" textlink="">
      <xdr:nvSpPr>
        <xdr:cNvPr id="1242875" name="Line 174"/>
        <xdr:cNvSpPr/>
      </xdr:nvSpPr>
      <xdr:spPr>
        <a:xfrm>
          <a:off x="624840" y="5471160"/>
          <a:ext cx="1897380"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4</xdr:col>
      <xdr:colOff>259080</xdr:colOff>
      <xdr:row>16</xdr:row>
      <xdr:rowOff>0</xdr:rowOff>
    </xdr:from>
    <xdr:to>
      <xdr:col>11</xdr:col>
      <xdr:colOff>7620</xdr:colOff>
      <xdr:row>16</xdr:row>
      <xdr:rowOff>0</xdr:rowOff>
    </xdr:to>
    <xdr:sp macro="" textlink="">
      <xdr:nvSpPr>
        <xdr:cNvPr id="1242876" name="Line 177"/>
        <xdr:cNvSpPr/>
      </xdr:nvSpPr>
      <xdr:spPr>
        <a:xfrm>
          <a:off x="1424940" y="4251960"/>
          <a:ext cx="1874520"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9</xdr:col>
      <xdr:colOff>22860</xdr:colOff>
      <xdr:row>16</xdr:row>
      <xdr:rowOff>137795</xdr:rowOff>
    </xdr:from>
    <xdr:to>
      <xdr:col>11</xdr:col>
      <xdr:colOff>198120</xdr:colOff>
      <xdr:row>20</xdr:row>
      <xdr:rowOff>68580</xdr:rowOff>
    </xdr:to>
    <xdr:sp macro="" textlink="">
      <xdr:nvSpPr>
        <xdr:cNvPr id="1242877" name="Line 178"/>
        <xdr:cNvSpPr/>
      </xdr:nvSpPr>
      <xdr:spPr>
        <a:xfrm flipV="1">
          <a:off x="2750820" y="4389755"/>
          <a:ext cx="739140" cy="951865"/>
        </a:xfrm>
        <a:prstGeom prst="line">
          <a:avLst/>
        </a:prstGeom>
        <a:ln w="76200" cap="flat" cmpd="sng">
          <a:solidFill>
            <a:srgbClr val="000000"/>
          </a:solidFill>
          <a:prstDash val="solid"/>
          <a:round/>
          <a:headEnd type="none" w="med" len="med"/>
          <a:tailEnd type="none" w="med" len="med"/>
        </a:ln>
      </xdr:spPr>
    </xdr:sp>
    <xdr:clientData/>
  </xdr:twoCellAnchor>
  <xdr:twoCellAnchor>
    <xdr:from>
      <xdr:col>1</xdr:col>
      <xdr:colOff>167640</xdr:colOff>
      <xdr:row>16</xdr:row>
      <xdr:rowOff>114935</xdr:rowOff>
    </xdr:from>
    <xdr:to>
      <xdr:col>4</xdr:col>
      <xdr:colOff>53340</xdr:colOff>
      <xdr:row>20</xdr:row>
      <xdr:rowOff>45720</xdr:rowOff>
    </xdr:to>
    <xdr:sp macro="" textlink="">
      <xdr:nvSpPr>
        <xdr:cNvPr id="1242878" name="Line 180"/>
        <xdr:cNvSpPr/>
      </xdr:nvSpPr>
      <xdr:spPr>
        <a:xfrm flipV="1">
          <a:off x="449580" y="4366895"/>
          <a:ext cx="769620" cy="951865"/>
        </a:xfrm>
        <a:prstGeom prst="line">
          <a:avLst/>
        </a:prstGeom>
        <a:ln w="57150" cap="flat" cmpd="sng">
          <a:solidFill>
            <a:srgbClr val="000000"/>
          </a:solidFill>
          <a:prstDash val="solid"/>
          <a:round/>
          <a:headEnd type="none" w="med" len="med"/>
          <a:tailEnd type="none" w="med" len="med"/>
        </a:ln>
      </xdr:spPr>
    </xdr:sp>
    <xdr:clientData/>
  </xdr:twoCellAnchor>
  <xdr:twoCellAnchor>
    <xdr:from>
      <xdr:col>2</xdr:col>
      <xdr:colOff>99060</xdr:colOff>
      <xdr:row>20</xdr:row>
      <xdr:rowOff>236220</xdr:rowOff>
    </xdr:from>
    <xdr:to>
      <xdr:col>8</xdr:col>
      <xdr:colOff>83820</xdr:colOff>
      <xdr:row>22</xdr:row>
      <xdr:rowOff>38100</xdr:rowOff>
    </xdr:to>
    <xdr:sp macro="" textlink="">
      <xdr:nvSpPr>
        <xdr:cNvPr id="1242879" name="Rectangle 183"/>
        <xdr:cNvSpPr/>
      </xdr:nvSpPr>
      <xdr:spPr>
        <a:xfrm>
          <a:off x="632460" y="5509260"/>
          <a:ext cx="1897380" cy="312420"/>
        </a:xfrm>
        <a:prstGeom prst="rect">
          <a:avLst/>
        </a:prstGeom>
        <a:noFill/>
        <a:ln w="9525" cap="flat" cmpd="sng">
          <a:solidFill>
            <a:srgbClr val="000000"/>
          </a:solidFill>
          <a:prstDash val="solid"/>
          <a:miter/>
          <a:headEnd type="none" w="med" len="med"/>
          <a:tailEnd type="none" w="med" len="med"/>
        </a:ln>
      </xdr:spPr>
    </xdr:sp>
    <xdr:clientData/>
  </xdr:twoCellAnchor>
  <xdr:twoCellAnchor>
    <xdr:from>
      <xdr:col>9</xdr:col>
      <xdr:colOff>30480</xdr:colOff>
      <xdr:row>17</xdr:row>
      <xdr:rowOff>213360</xdr:rowOff>
    </xdr:from>
    <xdr:to>
      <xdr:col>11</xdr:col>
      <xdr:colOff>205740</xdr:colOff>
      <xdr:row>21</xdr:row>
      <xdr:rowOff>144780</xdr:rowOff>
    </xdr:to>
    <xdr:sp macro="" textlink="">
      <xdr:nvSpPr>
        <xdr:cNvPr id="1242880" name="Line 191"/>
        <xdr:cNvSpPr/>
      </xdr:nvSpPr>
      <xdr:spPr>
        <a:xfrm flipV="1">
          <a:off x="2758440" y="4720590"/>
          <a:ext cx="739140" cy="95250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259080</xdr:colOff>
      <xdr:row>17</xdr:row>
      <xdr:rowOff>75565</xdr:rowOff>
    </xdr:from>
    <xdr:to>
      <xdr:col>11</xdr:col>
      <xdr:colOff>7620</xdr:colOff>
      <xdr:row>17</xdr:row>
      <xdr:rowOff>75565</xdr:rowOff>
    </xdr:to>
    <xdr:sp macro="" textlink="">
      <xdr:nvSpPr>
        <xdr:cNvPr id="1242881" name="Line 192"/>
        <xdr:cNvSpPr/>
      </xdr:nvSpPr>
      <xdr:spPr>
        <a:xfrm>
          <a:off x="1424940" y="4582795"/>
          <a:ext cx="1874520" cy="0"/>
        </a:xfrm>
        <a:prstGeom prst="line">
          <a:avLst/>
        </a:prstGeom>
        <a:ln w="76200" cap="flat" cmpd="tri">
          <a:solidFill>
            <a:srgbClr val="000000"/>
          </a:solidFill>
          <a:prstDash val="sysDot"/>
          <a:round/>
          <a:headEnd type="none" w="med" len="med"/>
          <a:tailEnd type="none" w="med" len="med"/>
        </a:ln>
      </xdr:spPr>
    </xdr:sp>
    <xdr:clientData/>
  </xdr:twoCellAnchor>
  <xdr:twoCellAnchor>
    <xdr:from>
      <xdr:col>4</xdr:col>
      <xdr:colOff>266700</xdr:colOff>
      <xdr:row>16</xdr:row>
      <xdr:rowOff>38100</xdr:rowOff>
    </xdr:from>
    <xdr:to>
      <xdr:col>4</xdr:col>
      <xdr:colOff>266700</xdr:colOff>
      <xdr:row>17</xdr:row>
      <xdr:rowOff>75565</xdr:rowOff>
    </xdr:to>
    <xdr:sp macro="" textlink="">
      <xdr:nvSpPr>
        <xdr:cNvPr id="1242882" name="Line 193"/>
        <xdr:cNvSpPr/>
      </xdr:nvSpPr>
      <xdr:spPr>
        <a:xfrm>
          <a:off x="1432560" y="4290060"/>
          <a:ext cx="0" cy="292735"/>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7620</xdr:colOff>
      <xdr:row>15</xdr:row>
      <xdr:rowOff>213360</xdr:rowOff>
    </xdr:from>
    <xdr:to>
      <xdr:col>11</xdr:col>
      <xdr:colOff>7620</xdr:colOff>
      <xdr:row>17</xdr:row>
      <xdr:rowOff>83820</xdr:rowOff>
    </xdr:to>
    <xdr:sp macro="" textlink="">
      <xdr:nvSpPr>
        <xdr:cNvPr id="1242883" name="Line 194"/>
        <xdr:cNvSpPr/>
      </xdr:nvSpPr>
      <xdr:spPr>
        <a:xfrm>
          <a:off x="3299460" y="4210050"/>
          <a:ext cx="0" cy="381000"/>
        </a:xfrm>
        <a:prstGeom prst="line">
          <a:avLst/>
        </a:prstGeom>
        <a:ln w="38100" cap="flat" cmpd="sng">
          <a:solidFill>
            <a:srgbClr val="000000"/>
          </a:solidFill>
          <a:prstDash val="solid"/>
          <a:round/>
          <a:headEnd type="none" w="med" len="med"/>
          <a:tailEnd type="none" w="med" len="med"/>
        </a:ln>
      </xdr:spPr>
    </xdr:sp>
    <xdr:clientData/>
  </xdr:twoCellAnchor>
  <xdr:twoCellAnchor>
    <xdr:from>
      <xdr:col>9</xdr:col>
      <xdr:colOff>22860</xdr:colOff>
      <xdr:row>20</xdr:row>
      <xdr:rowOff>45720</xdr:rowOff>
    </xdr:from>
    <xdr:to>
      <xdr:col>9</xdr:col>
      <xdr:colOff>22860</xdr:colOff>
      <xdr:row>21</xdr:row>
      <xdr:rowOff>75565</xdr:rowOff>
    </xdr:to>
    <xdr:sp macro="" textlink="">
      <xdr:nvSpPr>
        <xdr:cNvPr id="1242884" name="Line 196"/>
        <xdr:cNvSpPr/>
      </xdr:nvSpPr>
      <xdr:spPr>
        <a:xfrm>
          <a:off x="2750820" y="5318760"/>
          <a:ext cx="0" cy="285115"/>
        </a:xfrm>
        <a:prstGeom prst="line">
          <a:avLst/>
        </a:prstGeom>
        <a:ln w="57150" cap="flat" cmpd="sng">
          <a:solidFill>
            <a:srgbClr val="000000"/>
          </a:solidFill>
          <a:prstDash val="solid"/>
          <a:round/>
          <a:headEnd type="none" w="med" len="med"/>
          <a:tailEnd type="none" w="med" len="med"/>
        </a:ln>
      </xdr:spPr>
    </xdr:sp>
    <xdr:clientData/>
  </xdr:twoCellAnchor>
  <xdr:twoCellAnchor>
    <xdr:from>
      <xdr:col>11</xdr:col>
      <xdr:colOff>220980</xdr:colOff>
      <xdr:row>16</xdr:row>
      <xdr:rowOff>159385</xdr:rowOff>
    </xdr:from>
    <xdr:to>
      <xdr:col>11</xdr:col>
      <xdr:colOff>220980</xdr:colOff>
      <xdr:row>17</xdr:row>
      <xdr:rowOff>144780</xdr:rowOff>
    </xdr:to>
    <xdr:sp macro="" textlink="">
      <xdr:nvSpPr>
        <xdr:cNvPr id="1242885" name="Line 197"/>
        <xdr:cNvSpPr/>
      </xdr:nvSpPr>
      <xdr:spPr>
        <a:xfrm>
          <a:off x="3512820" y="4411345"/>
          <a:ext cx="0" cy="240665"/>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190500</xdr:colOff>
      <xdr:row>17</xdr:row>
      <xdr:rowOff>137795</xdr:rowOff>
    </xdr:from>
    <xdr:to>
      <xdr:col>11</xdr:col>
      <xdr:colOff>220980</xdr:colOff>
      <xdr:row>17</xdr:row>
      <xdr:rowOff>213360</xdr:rowOff>
    </xdr:to>
    <xdr:sp macro="" textlink="">
      <xdr:nvSpPr>
        <xdr:cNvPr id="1242886" name="Arc 199"/>
        <xdr:cNvSpPr/>
      </xdr:nvSpPr>
      <xdr:spPr>
        <a:xfrm flipV="1">
          <a:off x="3482340" y="4645025"/>
          <a:ext cx="30480" cy="75565"/>
        </a:xfrm>
        <a:custGeom>
          <a:avLst/>
          <a:gdLst/>
          <a:ahLst/>
          <a:cxnLst>
            <a:cxn ang="0">
              <a:pos x="8840" y="0"/>
            </a:cxn>
            <a:cxn ang="0">
              <a:pos x="21438" y="17047"/>
            </a:cxn>
            <a:cxn ang="0">
              <a:pos x="8840" y="0"/>
            </a:cxn>
            <a:cxn ang="0">
              <a:pos x="21438" y="17047"/>
            </a:cxn>
            <a:cxn ang="0">
              <a:pos x="0" y="19708"/>
            </a:cxn>
          </a:cxnLst>
          <a:rect l="0" t="0" r="0" b="0"/>
          <a:pathLst>
            <a:path w="21437" h="19708" fill="none">
              <a:moveTo>
                <a:pt x="8840" y="0"/>
              </a:moveTo>
              <a:cubicBezTo>
                <a:pt x="15595" y="3030"/>
                <a:pt x="20504" y="9428"/>
                <a:pt x="21438" y="17047"/>
              </a:cubicBezTo>
            </a:path>
            <a:path w="21437" h="19708" stroke="0">
              <a:moveTo>
                <a:pt x="8840" y="0"/>
              </a:moveTo>
              <a:cubicBezTo>
                <a:pt x="15595" y="3030"/>
                <a:pt x="20504" y="9428"/>
                <a:pt x="21438" y="17047"/>
              </a:cubicBezTo>
              <a:lnTo>
                <a:pt x="0" y="19708"/>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8</xdr:col>
      <xdr:colOff>236220</xdr:colOff>
      <xdr:row>21</xdr:row>
      <xdr:rowOff>75565</xdr:rowOff>
    </xdr:from>
    <xdr:to>
      <xdr:col>9</xdr:col>
      <xdr:colOff>22860</xdr:colOff>
      <xdr:row>21</xdr:row>
      <xdr:rowOff>159385</xdr:rowOff>
    </xdr:to>
    <xdr:sp macro="" textlink="">
      <xdr:nvSpPr>
        <xdr:cNvPr id="1242887" name="Arc 200"/>
        <xdr:cNvSpPr/>
      </xdr:nvSpPr>
      <xdr:spPr>
        <a:xfrm flipV="1">
          <a:off x="2682240" y="5603875"/>
          <a:ext cx="68580" cy="83820"/>
        </a:xfrm>
        <a:custGeom>
          <a:avLst/>
          <a:gdLst/>
          <a:ahLst/>
          <a:cxnLst>
            <a:cxn ang="0">
              <a:pos x="0" y="0"/>
            </a:cxn>
            <a:cxn ang="0">
              <a:pos x="21600" y="21600"/>
            </a:cxn>
            <a:cxn ang="0">
              <a:pos x="0" y="0"/>
            </a:cxn>
            <a:cxn ang="0">
              <a:pos x="21600" y="21600"/>
            </a:cxn>
            <a:cxn ang="0">
              <a:pos x="0" y="21600"/>
            </a:cxn>
          </a:cxnLst>
          <a:rect l="0" t="0" r="0" b="0"/>
          <a:pathLst>
            <a:path w="21600" h="21600" fill="none">
              <a:moveTo>
                <a:pt x="0" y="0"/>
              </a:moveTo>
              <a:cubicBezTo>
                <a:pt x="11929" y="0"/>
                <a:pt x="21600" y="9671"/>
                <a:pt x="21600" y="21600"/>
              </a:cubicBezTo>
            </a:path>
            <a:path w="21600" h="21600" stroke="0">
              <a:moveTo>
                <a:pt x="0" y="0"/>
              </a:moveTo>
              <a:cubicBezTo>
                <a:pt x="11929" y="0"/>
                <a:pt x="21600" y="9671"/>
                <a:pt x="21600" y="21600"/>
              </a:cubicBezTo>
              <a:lnTo>
                <a:pt x="0" y="21600"/>
              </a:lnTo>
              <a:close/>
            </a:path>
          </a:pathLst>
        </a:custGeom>
        <a:noFill/>
        <a:ln w="57150" cap="flat" cmpd="sng">
          <a:solidFill>
            <a:srgbClr val="000000"/>
          </a:solidFill>
          <a:prstDash val="solid"/>
          <a:round/>
          <a:headEnd type="none" w="med" len="med"/>
          <a:tailEnd type="none" w="med" len="med"/>
        </a:ln>
      </xdr:spPr>
    </xdr:sp>
    <xdr:clientData/>
  </xdr:twoCellAnchor>
  <xdr:twoCellAnchor>
    <xdr:from>
      <xdr:col>8</xdr:col>
      <xdr:colOff>144780</xdr:colOff>
      <xdr:row>21</xdr:row>
      <xdr:rowOff>144780</xdr:rowOff>
    </xdr:from>
    <xdr:to>
      <xdr:col>8</xdr:col>
      <xdr:colOff>213360</xdr:colOff>
      <xdr:row>22</xdr:row>
      <xdr:rowOff>8255</xdr:rowOff>
    </xdr:to>
    <xdr:sp macro="" textlink="">
      <xdr:nvSpPr>
        <xdr:cNvPr id="1242888" name="Line 201"/>
        <xdr:cNvSpPr/>
      </xdr:nvSpPr>
      <xdr:spPr>
        <a:xfrm flipV="1">
          <a:off x="2590800" y="5673090"/>
          <a:ext cx="68580" cy="118745"/>
        </a:xfrm>
        <a:prstGeom prst="line">
          <a:avLst/>
        </a:prstGeom>
        <a:ln w="38100" cap="flat" cmpd="sng">
          <a:solidFill>
            <a:srgbClr val="000000"/>
          </a:solidFill>
          <a:prstDash val="solid"/>
          <a:round/>
          <a:headEnd type="none" w="med" len="med"/>
          <a:tailEnd type="none" w="med" len="med"/>
        </a:ln>
      </xdr:spPr>
    </xdr:sp>
    <xdr:clientData/>
  </xdr:twoCellAnchor>
  <xdr:twoCellAnchor>
    <xdr:from>
      <xdr:col>8</xdr:col>
      <xdr:colOff>205740</xdr:colOff>
      <xdr:row>21</xdr:row>
      <xdr:rowOff>159385</xdr:rowOff>
    </xdr:from>
    <xdr:to>
      <xdr:col>8</xdr:col>
      <xdr:colOff>236220</xdr:colOff>
      <xdr:row>21</xdr:row>
      <xdr:rowOff>159385</xdr:rowOff>
    </xdr:to>
    <xdr:sp macro="" textlink="">
      <xdr:nvSpPr>
        <xdr:cNvPr id="1242889" name="Line 202"/>
        <xdr:cNvSpPr/>
      </xdr:nvSpPr>
      <xdr:spPr>
        <a:xfrm>
          <a:off x="2651760" y="5687695"/>
          <a:ext cx="30480" cy="0"/>
        </a:xfrm>
        <a:prstGeom prst="line">
          <a:avLst/>
        </a:prstGeom>
        <a:ln w="57150" cap="flat" cmpd="sng">
          <a:solidFill>
            <a:srgbClr val="000000"/>
          </a:solidFill>
          <a:prstDash val="solid"/>
          <a:round/>
          <a:headEnd type="none" w="med" len="med"/>
          <a:tailEnd type="none" w="med" len="med"/>
        </a:ln>
      </xdr:spPr>
    </xdr:sp>
    <xdr:clientData/>
  </xdr:twoCellAnchor>
  <xdr:twoCellAnchor>
    <xdr:from>
      <xdr:col>10</xdr:col>
      <xdr:colOff>236220</xdr:colOff>
      <xdr:row>17</xdr:row>
      <xdr:rowOff>75565</xdr:rowOff>
    </xdr:from>
    <xdr:to>
      <xdr:col>11</xdr:col>
      <xdr:colOff>7620</xdr:colOff>
      <xdr:row>17</xdr:row>
      <xdr:rowOff>152400</xdr:rowOff>
    </xdr:to>
    <xdr:sp macro="" textlink="">
      <xdr:nvSpPr>
        <xdr:cNvPr id="1242890" name="Line 203"/>
        <xdr:cNvSpPr/>
      </xdr:nvSpPr>
      <xdr:spPr>
        <a:xfrm flipH="1">
          <a:off x="3246120" y="4582795"/>
          <a:ext cx="53340" cy="76835"/>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251460</xdr:colOff>
      <xdr:row>17</xdr:row>
      <xdr:rowOff>152400</xdr:rowOff>
    </xdr:from>
    <xdr:to>
      <xdr:col>11</xdr:col>
      <xdr:colOff>7620</xdr:colOff>
      <xdr:row>17</xdr:row>
      <xdr:rowOff>152400</xdr:rowOff>
    </xdr:to>
    <xdr:sp macro="" textlink="">
      <xdr:nvSpPr>
        <xdr:cNvPr id="1242891" name="Line 204"/>
        <xdr:cNvSpPr/>
      </xdr:nvSpPr>
      <xdr:spPr>
        <a:xfrm>
          <a:off x="3261360" y="4659630"/>
          <a:ext cx="381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68580</xdr:colOff>
      <xdr:row>16</xdr:row>
      <xdr:rowOff>144780</xdr:rowOff>
    </xdr:from>
    <xdr:to>
      <xdr:col>4</xdr:col>
      <xdr:colOff>68580</xdr:colOff>
      <xdr:row>17</xdr:row>
      <xdr:rowOff>144780</xdr:rowOff>
    </xdr:to>
    <xdr:sp macro="" textlink="">
      <xdr:nvSpPr>
        <xdr:cNvPr id="1242892" name="Line 206"/>
        <xdr:cNvSpPr/>
      </xdr:nvSpPr>
      <xdr:spPr>
        <a:xfrm>
          <a:off x="1234440" y="4396740"/>
          <a:ext cx="0" cy="25527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68580</xdr:colOff>
      <xdr:row>17</xdr:row>
      <xdr:rowOff>144780</xdr:rowOff>
    </xdr:from>
    <xdr:to>
      <xdr:col>4</xdr:col>
      <xdr:colOff>144780</xdr:colOff>
      <xdr:row>17</xdr:row>
      <xdr:rowOff>243205</xdr:rowOff>
    </xdr:to>
    <xdr:sp macro="" textlink="">
      <xdr:nvSpPr>
        <xdr:cNvPr id="1242893" name="Arc 207"/>
        <xdr:cNvSpPr/>
      </xdr:nvSpPr>
      <xdr:spPr>
        <a:xfrm>
          <a:off x="1234440" y="4652010"/>
          <a:ext cx="76200" cy="98425"/>
        </a:xfrm>
        <a:custGeom>
          <a:avLst/>
          <a:gdLst/>
          <a:ahLst/>
          <a:cxnLst>
            <a:cxn ang="0">
              <a:pos x="20276" y="22517"/>
            </a:cxn>
            <a:cxn ang="0">
              <a:pos x="0" y="958"/>
            </a:cxn>
            <a:cxn ang="0">
              <a:pos x="21" y="0"/>
            </a:cxn>
            <a:cxn ang="0">
              <a:pos x="20276" y="22517"/>
            </a:cxn>
            <a:cxn ang="0">
              <a:pos x="0" y="958"/>
            </a:cxn>
            <a:cxn ang="0">
              <a:pos x="21" y="0"/>
            </a:cxn>
            <a:cxn ang="0">
              <a:pos x="21600" y="958"/>
            </a:cxn>
          </a:cxnLst>
          <a:rect l="0" t="0" r="0" b="0"/>
          <a:pathLst>
            <a:path w="21600" h="22517" fill="none">
              <a:moveTo>
                <a:pt x="20276" y="22517"/>
              </a:moveTo>
              <a:cubicBezTo>
                <a:pt x="8960" y="21831"/>
                <a:pt x="0" y="12441"/>
                <a:pt x="0" y="958"/>
              </a:cubicBezTo>
              <a:cubicBezTo>
                <a:pt x="0" y="635"/>
                <a:pt x="7" y="315"/>
                <a:pt x="21" y="0"/>
              </a:cubicBezTo>
            </a:path>
            <a:path w="21600" h="22517" stroke="0">
              <a:moveTo>
                <a:pt x="20276" y="22517"/>
              </a:moveTo>
              <a:cubicBezTo>
                <a:pt x="8960" y="21831"/>
                <a:pt x="0" y="12441"/>
                <a:pt x="0" y="958"/>
              </a:cubicBezTo>
              <a:cubicBezTo>
                <a:pt x="0" y="635"/>
                <a:pt x="7" y="315"/>
                <a:pt x="21" y="0"/>
              </a:cubicBezTo>
              <a:lnTo>
                <a:pt x="21600" y="958"/>
              </a:lnTo>
              <a:close/>
            </a:path>
          </a:pathLst>
        </a:custGeom>
        <a:noFill/>
        <a:ln w="9525" cap="flat" cmpd="sng">
          <a:solidFill>
            <a:srgbClr val="000000"/>
          </a:solidFill>
          <a:prstDash val="solid"/>
          <a:round/>
          <a:headEnd type="none" w="med" len="med"/>
          <a:tailEnd type="none" w="med" len="med"/>
        </a:ln>
      </xdr:spPr>
    </xdr:sp>
    <xdr:clientData/>
  </xdr:twoCellAnchor>
  <xdr:twoCellAnchor>
    <xdr:from>
      <xdr:col>4</xdr:col>
      <xdr:colOff>144780</xdr:colOff>
      <xdr:row>17</xdr:row>
      <xdr:rowOff>236220</xdr:rowOff>
    </xdr:from>
    <xdr:to>
      <xdr:col>4</xdr:col>
      <xdr:colOff>175260</xdr:colOff>
      <xdr:row>17</xdr:row>
      <xdr:rowOff>236220</xdr:rowOff>
    </xdr:to>
    <xdr:sp macro="" textlink="">
      <xdr:nvSpPr>
        <xdr:cNvPr id="1242894" name="Line 208"/>
        <xdr:cNvSpPr/>
      </xdr:nvSpPr>
      <xdr:spPr>
        <a:xfrm>
          <a:off x="1310640" y="4743450"/>
          <a:ext cx="3048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182880</xdr:colOff>
      <xdr:row>17</xdr:row>
      <xdr:rowOff>75565</xdr:rowOff>
    </xdr:from>
    <xdr:to>
      <xdr:col>4</xdr:col>
      <xdr:colOff>266700</xdr:colOff>
      <xdr:row>17</xdr:row>
      <xdr:rowOff>228600</xdr:rowOff>
    </xdr:to>
    <xdr:sp macro="" textlink="">
      <xdr:nvSpPr>
        <xdr:cNvPr id="1242895" name="Line 209"/>
        <xdr:cNvSpPr/>
      </xdr:nvSpPr>
      <xdr:spPr>
        <a:xfrm flipH="1">
          <a:off x="1348740" y="4582795"/>
          <a:ext cx="83820" cy="153035"/>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190500</xdr:colOff>
      <xdr:row>20</xdr:row>
      <xdr:rowOff>15240</xdr:rowOff>
    </xdr:from>
    <xdr:to>
      <xdr:col>1</xdr:col>
      <xdr:colOff>190500</xdr:colOff>
      <xdr:row>21</xdr:row>
      <xdr:rowOff>45720</xdr:rowOff>
    </xdr:to>
    <xdr:sp macro="" textlink="">
      <xdr:nvSpPr>
        <xdr:cNvPr id="1242896" name="Line 210"/>
        <xdr:cNvSpPr/>
      </xdr:nvSpPr>
      <xdr:spPr>
        <a:xfrm>
          <a:off x="472440" y="5288280"/>
          <a:ext cx="0" cy="285750"/>
        </a:xfrm>
        <a:prstGeom prst="line">
          <a:avLst/>
        </a:prstGeom>
        <a:ln w="76200" cap="flat" cmpd="sng">
          <a:solidFill>
            <a:srgbClr val="000000"/>
          </a:solidFill>
          <a:prstDash val="solid"/>
          <a:round/>
          <a:headEnd type="none" w="med" len="med"/>
          <a:tailEnd type="none" w="med" len="med"/>
        </a:ln>
      </xdr:spPr>
    </xdr:sp>
    <xdr:clientData/>
  </xdr:twoCellAnchor>
  <xdr:twoCellAnchor>
    <xdr:from>
      <xdr:col>2</xdr:col>
      <xdr:colOff>0</xdr:colOff>
      <xdr:row>21</xdr:row>
      <xdr:rowOff>144780</xdr:rowOff>
    </xdr:from>
    <xdr:to>
      <xdr:col>2</xdr:col>
      <xdr:colOff>99060</xdr:colOff>
      <xdr:row>21</xdr:row>
      <xdr:rowOff>144780</xdr:rowOff>
    </xdr:to>
    <xdr:sp macro="" textlink="">
      <xdr:nvSpPr>
        <xdr:cNvPr id="1242897" name="Line 212"/>
        <xdr:cNvSpPr/>
      </xdr:nvSpPr>
      <xdr:spPr>
        <a:xfrm>
          <a:off x="533400" y="5673090"/>
          <a:ext cx="99060" cy="0"/>
        </a:xfrm>
        <a:prstGeom prst="line">
          <a:avLst/>
        </a:prstGeom>
        <a:ln w="76200" cap="flat" cmpd="sng">
          <a:solidFill>
            <a:srgbClr val="000000"/>
          </a:solidFill>
          <a:prstDash val="solid"/>
          <a:round/>
          <a:headEnd type="none" w="med" len="med"/>
          <a:tailEnd type="none" w="med" len="med"/>
        </a:ln>
      </xdr:spPr>
    </xdr:sp>
    <xdr:clientData/>
  </xdr:twoCellAnchor>
  <xdr:twoCellAnchor>
    <xdr:from>
      <xdr:col>1</xdr:col>
      <xdr:colOff>190500</xdr:colOff>
      <xdr:row>21</xdr:row>
      <xdr:rowOff>45720</xdr:rowOff>
    </xdr:from>
    <xdr:to>
      <xdr:col>2</xdr:col>
      <xdr:colOff>15240</xdr:colOff>
      <xdr:row>21</xdr:row>
      <xdr:rowOff>144780</xdr:rowOff>
    </xdr:to>
    <xdr:sp macro="" textlink="">
      <xdr:nvSpPr>
        <xdr:cNvPr id="1242898" name="Arc 216"/>
        <xdr:cNvSpPr/>
      </xdr:nvSpPr>
      <xdr:spPr>
        <a:xfrm>
          <a:off x="472440" y="5574030"/>
          <a:ext cx="76200" cy="99060"/>
        </a:xfrm>
        <a:custGeom>
          <a:avLst/>
          <a:gdLst/>
          <a:ahLst/>
          <a:cxnLst>
            <a:cxn ang="0">
              <a:pos x="20276" y="22517"/>
            </a:cxn>
            <a:cxn ang="0">
              <a:pos x="0" y="958"/>
            </a:cxn>
            <a:cxn ang="0">
              <a:pos x="21" y="0"/>
            </a:cxn>
            <a:cxn ang="0">
              <a:pos x="20276" y="22517"/>
            </a:cxn>
            <a:cxn ang="0">
              <a:pos x="0" y="958"/>
            </a:cxn>
            <a:cxn ang="0">
              <a:pos x="21" y="0"/>
            </a:cxn>
            <a:cxn ang="0">
              <a:pos x="21600" y="958"/>
            </a:cxn>
          </a:cxnLst>
          <a:rect l="0" t="0" r="0" b="0"/>
          <a:pathLst>
            <a:path w="21600" h="22517" fill="none">
              <a:moveTo>
                <a:pt x="20276" y="22517"/>
              </a:moveTo>
              <a:cubicBezTo>
                <a:pt x="8960" y="21831"/>
                <a:pt x="0" y="12441"/>
                <a:pt x="0" y="958"/>
              </a:cubicBezTo>
              <a:cubicBezTo>
                <a:pt x="0" y="635"/>
                <a:pt x="7" y="315"/>
                <a:pt x="21" y="0"/>
              </a:cubicBezTo>
            </a:path>
            <a:path w="21600" h="22517" stroke="0">
              <a:moveTo>
                <a:pt x="20276" y="22517"/>
              </a:moveTo>
              <a:cubicBezTo>
                <a:pt x="8960" y="21831"/>
                <a:pt x="0" y="12441"/>
                <a:pt x="0" y="958"/>
              </a:cubicBezTo>
              <a:cubicBezTo>
                <a:pt x="0" y="635"/>
                <a:pt x="7" y="315"/>
                <a:pt x="21" y="0"/>
              </a:cubicBezTo>
              <a:lnTo>
                <a:pt x="21600" y="958"/>
              </a:lnTo>
              <a:close/>
            </a:path>
          </a:pathLst>
        </a:custGeom>
        <a:noFill/>
        <a:ln w="76200" cap="flat" cmpd="sng">
          <a:solidFill>
            <a:srgbClr val="000000"/>
          </a:solidFill>
          <a:prstDash val="solid"/>
          <a:round/>
          <a:headEnd type="none" w="med" len="med"/>
          <a:tailEnd type="none" w="med" len="med"/>
        </a:ln>
      </xdr:spPr>
    </xdr:sp>
    <xdr:clientData/>
  </xdr:twoCellAnchor>
  <xdr:twoCellAnchor>
    <xdr:from>
      <xdr:col>1</xdr:col>
      <xdr:colOff>228600</xdr:colOff>
      <xdr:row>17</xdr:row>
      <xdr:rowOff>213360</xdr:rowOff>
    </xdr:from>
    <xdr:to>
      <xdr:col>4</xdr:col>
      <xdr:colOff>76200</xdr:colOff>
      <xdr:row>21</xdr:row>
      <xdr:rowOff>121920</xdr:rowOff>
    </xdr:to>
    <xdr:sp macro="" textlink="">
      <xdr:nvSpPr>
        <xdr:cNvPr id="1242899" name="Line 217"/>
        <xdr:cNvSpPr/>
      </xdr:nvSpPr>
      <xdr:spPr>
        <a:xfrm flipV="1">
          <a:off x="510540" y="4720590"/>
          <a:ext cx="731520" cy="929640"/>
        </a:xfrm>
        <a:prstGeom prst="line">
          <a:avLst/>
        </a:prstGeom>
        <a:ln w="76200" cap="flat" cmpd="tri">
          <a:solidFill>
            <a:srgbClr val="000000"/>
          </a:solidFill>
          <a:prstDash val="sysDot"/>
          <a:round/>
          <a:headEnd type="none" w="med" len="med"/>
          <a:tailEnd type="none" w="med" len="med"/>
        </a:ln>
      </xdr:spPr>
    </xdr:sp>
    <xdr:clientData/>
  </xdr:twoCellAnchor>
  <xdr:twoCellAnchor>
    <xdr:from>
      <xdr:col>2</xdr:col>
      <xdr:colOff>99060</xdr:colOff>
      <xdr:row>22</xdr:row>
      <xdr:rowOff>45720</xdr:rowOff>
    </xdr:from>
    <xdr:to>
      <xdr:col>2</xdr:col>
      <xdr:colOff>99060</xdr:colOff>
      <xdr:row>23</xdr:row>
      <xdr:rowOff>190500</xdr:rowOff>
    </xdr:to>
    <xdr:sp macro="" textlink="">
      <xdr:nvSpPr>
        <xdr:cNvPr id="1242900" name="Line 218"/>
        <xdr:cNvSpPr/>
      </xdr:nvSpPr>
      <xdr:spPr>
        <a:xfrm>
          <a:off x="632460" y="5829300"/>
          <a:ext cx="0" cy="40005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76200</xdr:colOff>
      <xdr:row>21</xdr:row>
      <xdr:rowOff>228600</xdr:rowOff>
    </xdr:from>
    <xdr:to>
      <xdr:col>8</xdr:col>
      <xdr:colOff>144780</xdr:colOff>
      <xdr:row>22</xdr:row>
      <xdr:rowOff>31115</xdr:rowOff>
    </xdr:to>
    <xdr:sp macro="" textlink="">
      <xdr:nvSpPr>
        <xdr:cNvPr id="1242901" name="Arc 222"/>
        <xdr:cNvSpPr/>
      </xdr:nvSpPr>
      <xdr:spPr>
        <a:xfrm flipV="1">
          <a:off x="2522220" y="5756910"/>
          <a:ext cx="68580" cy="57785"/>
        </a:xfrm>
        <a:custGeom>
          <a:avLst/>
          <a:gdLst/>
          <a:ahLst/>
          <a:cxnLst>
            <a:cxn ang="0">
              <a:pos x="592" y="26625"/>
            </a:cxn>
            <a:cxn ang="0">
              <a:pos x="-1" y="21600"/>
            </a:cxn>
            <a:cxn ang="0">
              <a:pos x="21599" y="0"/>
            </a:cxn>
            <a:cxn ang="0">
              <a:pos x="41342" y="12824"/>
            </a:cxn>
            <a:cxn ang="0">
              <a:pos x="592" y="26625"/>
            </a:cxn>
            <a:cxn ang="0">
              <a:pos x="-1" y="21600"/>
            </a:cxn>
            <a:cxn ang="0">
              <a:pos x="21599" y="0"/>
            </a:cxn>
            <a:cxn ang="0">
              <a:pos x="41342" y="12824"/>
            </a:cxn>
            <a:cxn ang="0">
              <a:pos x="21600" y="21600"/>
            </a:cxn>
          </a:cxnLst>
          <a:rect l="0" t="0" r="0" b="0"/>
          <a:pathLst>
            <a:path w="41340" h="26625" fill="none">
              <a:moveTo>
                <a:pt x="592" y="26625"/>
              </a:moveTo>
              <a:cubicBezTo>
                <a:pt x="203" y="25016"/>
                <a:pt x="-1" y="23332"/>
                <a:pt x="-1" y="21600"/>
              </a:cubicBezTo>
              <a:cubicBezTo>
                <a:pt x="-1" y="9671"/>
                <a:pt x="9670" y="0"/>
                <a:pt x="21599" y="0"/>
              </a:cubicBezTo>
              <a:cubicBezTo>
                <a:pt x="30405" y="0"/>
                <a:pt x="37980" y="5269"/>
                <a:pt x="41342" y="12824"/>
              </a:cubicBezTo>
            </a:path>
            <a:path w="41340" h="26625" stroke="0">
              <a:moveTo>
                <a:pt x="592" y="26625"/>
              </a:moveTo>
              <a:cubicBezTo>
                <a:pt x="203" y="25016"/>
                <a:pt x="-1" y="23332"/>
                <a:pt x="-1" y="21600"/>
              </a:cubicBezTo>
              <a:cubicBezTo>
                <a:pt x="-1" y="9671"/>
                <a:pt x="9670" y="0"/>
                <a:pt x="21599" y="0"/>
              </a:cubicBezTo>
              <a:cubicBezTo>
                <a:pt x="30405" y="0"/>
                <a:pt x="37980" y="5269"/>
                <a:pt x="41342" y="12824"/>
              </a:cubicBezTo>
              <a:lnTo>
                <a:pt x="21600" y="21600"/>
              </a:lnTo>
              <a:close/>
            </a:path>
          </a:pathLst>
        </a:custGeom>
        <a:noFill/>
        <a:ln w="38100" cap="flat" cmpd="sng">
          <a:solidFill>
            <a:srgbClr val="000000"/>
          </a:solidFill>
          <a:prstDash val="solid"/>
          <a:round/>
          <a:headEnd type="none" w="med" len="med"/>
          <a:tailEnd type="none" w="med" len="med"/>
        </a:ln>
      </xdr:spPr>
    </xdr:sp>
    <xdr:clientData/>
  </xdr:twoCellAnchor>
  <xdr:twoCellAnchor>
    <xdr:from>
      <xdr:col>8</xdr:col>
      <xdr:colOff>83820</xdr:colOff>
      <xdr:row>22</xdr:row>
      <xdr:rowOff>45720</xdr:rowOff>
    </xdr:from>
    <xdr:to>
      <xdr:col>8</xdr:col>
      <xdr:colOff>83820</xdr:colOff>
      <xdr:row>23</xdr:row>
      <xdr:rowOff>190500</xdr:rowOff>
    </xdr:to>
    <xdr:sp macro="" textlink="">
      <xdr:nvSpPr>
        <xdr:cNvPr id="1242902" name="Line 223"/>
        <xdr:cNvSpPr/>
      </xdr:nvSpPr>
      <xdr:spPr>
        <a:xfrm>
          <a:off x="2529840" y="5829300"/>
          <a:ext cx="0" cy="400050"/>
        </a:xfrm>
        <a:prstGeom prst="line">
          <a:avLst/>
        </a:prstGeom>
        <a:ln w="9525" cap="flat" cmpd="sng">
          <a:solidFill>
            <a:srgbClr val="000000"/>
          </a:solidFill>
          <a:prstDash val="solid"/>
          <a:round/>
          <a:headEnd type="none" w="med" len="med"/>
          <a:tailEnd type="none" w="med" len="med"/>
        </a:ln>
      </xdr:spPr>
    </xdr:sp>
    <xdr:clientData/>
  </xdr:twoCellAnchor>
  <xdr:twoCellAnchor>
    <xdr:from>
      <xdr:col>6</xdr:col>
      <xdr:colOff>0</xdr:colOff>
      <xdr:row>23</xdr:row>
      <xdr:rowOff>137795</xdr:rowOff>
    </xdr:from>
    <xdr:to>
      <xdr:col>8</xdr:col>
      <xdr:colOff>76200</xdr:colOff>
      <xdr:row>23</xdr:row>
      <xdr:rowOff>137795</xdr:rowOff>
    </xdr:to>
    <xdr:sp macro="" textlink="">
      <xdr:nvSpPr>
        <xdr:cNvPr id="1242903" name="Line 224"/>
        <xdr:cNvSpPr/>
      </xdr:nvSpPr>
      <xdr:spPr>
        <a:xfrm>
          <a:off x="1882140" y="6176645"/>
          <a:ext cx="64008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2</xdr:col>
      <xdr:colOff>99060</xdr:colOff>
      <xdr:row>23</xdr:row>
      <xdr:rowOff>121920</xdr:rowOff>
    </xdr:from>
    <xdr:to>
      <xdr:col>4</xdr:col>
      <xdr:colOff>30480</xdr:colOff>
      <xdr:row>23</xdr:row>
      <xdr:rowOff>121920</xdr:rowOff>
    </xdr:to>
    <xdr:sp macro="" textlink="">
      <xdr:nvSpPr>
        <xdr:cNvPr id="1242904" name="Line 225"/>
        <xdr:cNvSpPr/>
      </xdr:nvSpPr>
      <xdr:spPr>
        <a:xfrm flipH="1">
          <a:off x="632460" y="6160770"/>
          <a:ext cx="56388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8</xdr:col>
      <xdr:colOff>274320</xdr:colOff>
      <xdr:row>21</xdr:row>
      <xdr:rowOff>182245</xdr:rowOff>
    </xdr:from>
    <xdr:to>
      <xdr:col>11</xdr:col>
      <xdr:colOff>15240</xdr:colOff>
      <xdr:row>21</xdr:row>
      <xdr:rowOff>182245</xdr:rowOff>
    </xdr:to>
    <xdr:sp macro="" textlink="">
      <xdr:nvSpPr>
        <xdr:cNvPr id="1242905" name="Line 226"/>
        <xdr:cNvSpPr/>
      </xdr:nvSpPr>
      <xdr:spPr>
        <a:xfrm>
          <a:off x="2720340" y="5710555"/>
          <a:ext cx="586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220980</xdr:colOff>
      <xdr:row>17</xdr:row>
      <xdr:rowOff>175260</xdr:rowOff>
    </xdr:from>
    <xdr:to>
      <xdr:col>13</xdr:col>
      <xdr:colOff>281940</xdr:colOff>
      <xdr:row>17</xdr:row>
      <xdr:rowOff>175260</xdr:rowOff>
    </xdr:to>
    <xdr:sp macro="" textlink="">
      <xdr:nvSpPr>
        <xdr:cNvPr id="1242906" name="Line 227"/>
        <xdr:cNvSpPr/>
      </xdr:nvSpPr>
      <xdr:spPr>
        <a:xfrm>
          <a:off x="3512820" y="4682490"/>
          <a:ext cx="5943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198120</xdr:colOff>
      <xdr:row>21</xdr:row>
      <xdr:rowOff>0</xdr:rowOff>
    </xdr:from>
    <xdr:to>
      <xdr:col>11</xdr:col>
      <xdr:colOff>60960</xdr:colOff>
      <xdr:row>21</xdr:row>
      <xdr:rowOff>182245</xdr:rowOff>
    </xdr:to>
    <xdr:sp macro="" textlink="">
      <xdr:nvSpPr>
        <xdr:cNvPr id="1242907" name="Line 228"/>
        <xdr:cNvSpPr/>
      </xdr:nvSpPr>
      <xdr:spPr>
        <a:xfrm flipH="1">
          <a:off x="3208020" y="5528310"/>
          <a:ext cx="144780" cy="182245"/>
        </a:xfrm>
        <a:prstGeom prst="line">
          <a:avLst/>
        </a:prstGeom>
        <a:ln w="9525" cap="flat" cmpd="sng">
          <a:solidFill>
            <a:srgbClr val="000000"/>
          </a:solidFill>
          <a:prstDash val="solid"/>
          <a:round/>
          <a:headEnd type="none" w="med" len="med"/>
          <a:tailEnd type="arrow" w="sm" len="sm"/>
        </a:ln>
      </xdr:spPr>
    </xdr:sp>
    <xdr:clientData/>
  </xdr:twoCellAnchor>
  <xdr:twoCellAnchor>
    <xdr:from>
      <xdr:col>11</xdr:col>
      <xdr:colOff>259080</xdr:colOff>
      <xdr:row>17</xdr:row>
      <xdr:rowOff>175260</xdr:rowOff>
    </xdr:from>
    <xdr:to>
      <xdr:col>13</xdr:col>
      <xdr:colOff>175260</xdr:colOff>
      <xdr:row>20</xdr:row>
      <xdr:rowOff>0</xdr:rowOff>
    </xdr:to>
    <xdr:sp macro="" textlink="">
      <xdr:nvSpPr>
        <xdr:cNvPr id="1242908" name="Line 229"/>
        <xdr:cNvSpPr/>
      </xdr:nvSpPr>
      <xdr:spPr>
        <a:xfrm flipV="1">
          <a:off x="3550920" y="4682490"/>
          <a:ext cx="449580" cy="590550"/>
        </a:xfrm>
        <a:prstGeom prst="line">
          <a:avLst/>
        </a:prstGeom>
        <a:ln w="9525" cap="flat" cmpd="sng">
          <a:solidFill>
            <a:srgbClr val="000000"/>
          </a:solidFill>
          <a:prstDash val="solid"/>
          <a:round/>
          <a:headEnd type="none" w="med" len="med"/>
          <a:tailEnd type="arrow" w="sm" len="sm"/>
        </a:ln>
      </xdr:spPr>
    </xdr:sp>
    <xdr:clientData/>
  </xdr:twoCellAnchor>
  <xdr:twoCellAnchor>
    <xdr:from>
      <xdr:col>2</xdr:col>
      <xdr:colOff>91440</xdr:colOff>
      <xdr:row>19</xdr:row>
      <xdr:rowOff>137795</xdr:rowOff>
    </xdr:from>
    <xdr:to>
      <xdr:col>3</xdr:col>
      <xdr:colOff>251460</xdr:colOff>
      <xdr:row>19</xdr:row>
      <xdr:rowOff>137795</xdr:rowOff>
    </xdr:to>
    <xdr:sp macro="" textlink="">
      <xdr:nvSpPr>
        <xdr:cNvPr id="1242909" name="Line 232"/>
        <xdr:cNvSpPr/>
      </xdr:nvSpPr>
      <xdr:spPr>
        <a:xfrm flipH="1" flipV="1">
          <a:off x="624840" y="5155565"/>
          <a:ext cx="510540" cy="0"/>
        </a:xfrm>
        <a:prstGeom prst="line">
          <a:avLst/>
        </a:prstGeom>
        <a:ln w="9525" cap="flat" cmpd="sng">
          <a:solidFill>
            <a:srgbClr val="000000"/>
          </a:solidFill>
          <a:prstDash val="solid"/>
          <a:round/>
          <a:headEnd type="oval" w="sm" len="sm"/>
          <a:tailEnd type="arrow" w="sm" len="sm"/>
        </a:ln>
      </xdr:spPr>
    </xdr:sp>
    <xdr:clientData/>
  </xdr:twoCellAnchor>
  <xdr:twoCellAnchor>
    <xdr:from>
      <xdr:col>1</xdr:col>
      <xdr:colOff>83820</xdr:colOff>
      <xdr:row>19</xdr:row>
      <xdr:rowOff>137795</xdr:rowOff>
    </xdr:from>
    <xdr:to>
      <xdr:col>2</xdr:col>
      <xdr:colOff>15240</xdr:colOff>
      <xdr:row>19</xdr:row>
      <xdr:rowOff>137795</xdr:rowOff>
    </xdr:to>
    <xdr:sp macro="" textlink="">
      <xdr:nvSpPr>
        <xdr:cNvPr id="1242910" name="Line 233"/>
        <xdr:cNvSpPr/>
      </xdr:nvSpPr>
      <xdr:spPr>
        <a:xfrm>
          <a:off x="365760" y="5155565"/>
          <a:ext cx="18288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6</xdr:col>
      <xdr:colOff>144780</xdr:colOff>
      <xdr:row>5</xdr:row>
      <xdr:rowOff>152400</xdr:rowOff>
    </xdr:from>
    <xdr:to>
      <xdr:col>7</xdr:col>
      <xdr:colOff>30480</xdr:colOff>
      <xdr:row>6</xdr:row>
      <xdr:rowOff>98425</xdr:rowOff>
    </xdr:to>
    <xdr:sp macro="" textlink="">
      <xdr:nvSpPr>
        <xdr:cNvPr id="1242911" name="Line 234"/>
        <xdr:cNvSpPr/>
      </xdr:nvSpPr>
      <xdr:spPr>
        <a:xfrm>
          <a:off x="2026920" y="1604010"/>
          <a:ext cx="167640" cy="201295"/>
        </a:xfrm>
        <a:prstGeom prst="line">
          <a:avLst/>
        </a:prstGeom>
        <a:ln w="38100" cap="flat" cmpd="dbl">
          <a:solidFill>
            <a:srgbClr val="000000"/>
          </a:solidFill>
          <a:prstDash val="solid"/>
          <a:round/>
          <a:headEnd type="none" w="med" len="med"/>
          <a:tailEnd type="none" w="med" len="med"/>
        </a:ln>
      </xdr:spPr>
    </xdr:sp>
    <xdr:clientData/>
  </xdr:twoCellAnchor>
  <xdr:twoCellAnchor>
    <xdr:from>
      <xdr:col>3</xdr:col>
      <xdr:colOff>251460</xdr:colOff>
      <xdr:row>5</xdr:row>
      <xdr:rowOff>213360</xdr:rowOff>
    </xdr:from>
    <xdr:to>
      <xdr:col>4</xdr:col>
      <xdr:colOff>274320</xdr:colOff>
      <xdr:row>7</xdr:row>
      <xdr:rowOff>52705</xdr:rowOff>
    </xdr:to>
    <xdr:sp macro="" textlink="">
      <xdr:nvSpPr>
        <xdr:cNvPr id="1242912" name="Line 235"/>
        <xdr:cNvSpPr/>
      </xdr:nvSpPr>
      <xdr:spPr>
        <a:xfrm>
          <a:off x="1135380" y="1664970"/>
          <a:ext cx="304800" cy="349885"/>
        </a:xfrm>
        <a:prstGeom prst="line">
          <a:avLst/>
        </a:prstGeom>
        <a:ln w="38100" cap="flat" cmpd="dbl">
          <a:solidFill>
            <a:srgbClr val="000000"/>
          </a:solidFill>
          <a:prstDash val="solid"/>
          <a:round/>
          <a:headEnd type="none" w="med" len="med"/>
          <a:tailEnd type="none" w="med" len="med"/>
        </a:ln>
      </xdr:spPr>
    </xdr:sp>
    <xdr:clientData/>
  </xdr:twoCellAnchor>
  <xdr:twoCellAnchor>
    <xdr:from>
      <xdr:col>4</xdr:col>
      <xdr:colOff>137160</xdr:colOff>
      <xdr:row>5</xdr:row>
      <xdr:rowOff>52705</xdr:rowOff>
    </xdr:from>
    <xdr:to>
      <xdr:col>5</xdr:col>
      <xdr:colOff>68580</xdr:colOff>
      <xdr:row>6</xdr:row>
      <xdr:rowOff>45720</xdr:rowOff>
    </xdr:to>
    <xdr:sp macro="" textlink="">
      <xdr:nvSpPr>
        <xdr:cNvPr id="1242913" name="Line 236"/>
        <xdr:cNvSpPr/>
      </xdr:nvSpPr>
      <xdr:spPr>
        <a:xfrm>
          <a:off x="1303020" y="1504315"/>
          <a:ext cx="213360" cy="248285"/>
        </a:xfrm>
        <a:prstGeom prst="line">
          <a:avLst/>
        </a:prstGeom>
        <a:ln w="38100" cap="flat" cmpd="dbl">
          <a:solidFill>
            <a:srgbClr val="000000"/>
          </a:solidFill>
          <a:prstDash val="solid"/>
          <a:round/>
          <a:headEnd type="none" w="med" len="med"/>
          <a:tailEnd type="none" w="med" len="med"/>
        </a:ln>
      </xdr:spPr>
    </xdr:sp>
    <xdr:clientData/>
  </xdr:twoCellAnchor>
  <xdr:twoCellAnchor>
    <xdr:from>
      <xdr:col>5</xdr:col>
      <xdr:colOff>236220</xdr:colOff>
      <xdr:row>5</xdr:row>
      <xdr:rowOff>106680</xdr:rowOff>
    </xdr:from>
    <xdr:to>
      <xdr:col>7</xdr:col>
      <xdr:colOff>45720</xdr:colOff>
      <xdr:row>7</xdr:row>
      <xdr:rowOff>182245</xdr:rowOff>
    </xdr:to>
    <xdr:sp macro="" textlink="">
      <xdr:nvSpPr>
        <xdr:cNvPr id="1242914" name="Line 237"/>
        <xdr:cNvSpPr/>
      </xdr:nvSpPr>
      <xdr:spPr>
        <a:xfrm>
          <a:off x="1684020" y="1558290"/>
          <a:ext cx="525780" cy="586105"/>
        </a:xfrm>
        <a:prstGeom prst="line">
          <a:avLst/>
        </a:prstGeom>
        <a:ln w="38100" cap="flat" cmpd="dbl">
          <a:solidFill>
            <a:srgbClr val="000000"/>
          </a:solidFill>
          <a:prstDash val="solid"/>
          <a:round/>
          <a:headEnd type="none" w="med" len="med"/>
          <a:tailEnd type="none" w="med" len="med"/>
        </a:ln>
      </xdr:spPr>
    </xdr:sp>
    <xdr:clientData/>
  </xdr:twoCellAnchor>
  <xdr:twoCellAnchor>
    <xdr:from>
      <xdr:col>6</xdr:col>
      <xdr:colOff>7620</xdr:colOff>
      <xdr:row>7</xdr:row>
      <xdr:rowOff>159385</xdr:rowOff>
    </xdr:from>
    <xdr:to>
      <xdr:col>7</xdr:col>
      <xdr:colOff>7620</xdr:colOff>
      <xdr:row>8</xdr:row>
      <xdr:rowOff>221615</xdr:rowOff>
    </xdr:to>
    <xdr:sp macro="" textlink="">
      <xdr:nvSpPr>
        <xdr:cNvPr id="1242915" name="Line 238"/>
        <xdr:cNvSpPr/>
      </xdr:nvSpPr>
      <xdr:spPr>
        <a:xfrm>
          <a:off x="1889760" y="2121535"/>
          <a:ext cx="281940" cy="317500"/>
        </a:xfrm>
        <a:prstGeom prst="line">
          <a:avLst/>
        </a:prstGeom>
        <a:ln w="38100" cap="flat" cmpd="dbl">
          <a:solidFill>
            <a:srgbClr val="000000"/>
          </a:solidFill>
          <a:prstDash val="solid"/>
          <a:round/>
          <a:headEnd type="none" w="med" len="med"/>
          <a:tailEnd type="none" w="med" len="med"/>
        </a:ln>
      </xdr:spPr>
    </xdr:sp>
    <xdr:clientData/>
  </xdr:twoCellAnchor>
  <xdr:twoCellAnchor>
    <xdr:from>
      <xdr:col>5</xdr:col>
      <xdr:colOff>144780</xdr:colOff>
      <xdr:row>8</xdr:row>
      <xdr:rowOff>8255</xdr:rowOff>
    </xdr:from>
    <xdr:to>
      <xdr:col>5</xdr:col>
      <xdr:colOff>312420</xdr:colOff>
      <xdr:row>8</xdr:row>
      <xdr:rowOff>198120</xdr:rowOff>
    </xdr:to>
    <xdr:sp macro="" textlink="">
      <xdr:nvSpPr>
        <xdr:cNvPr id="1242916" name="Line 239"/>
        <xdr:cNvSpPr/>
      </xdr:nvSpPr>
      <xdr:spPr>
        <a:xfrm>
          <a:off x="1592580" y="2225675"/>
          <a:ext cx="167640" cy="189865"/>
        </a:xfrm>
        <a:prstGeom prst="line">
          <a:avLst/>
        </a:prstGeom>
        <a:ln w="38100" cap="flat" cmpd="dbl">
          <a:solidFill>
            <a:srgbClr val="000000"/>
          </a:solidFill>
          <a:prstDash val="solid"/>
          <a:round/>
          <a:headEnd type="none" w="med" len="med"/>
          <a:tailEnd type="none" w="med" len="med"/>
        </a:ln>
      </xdr:spPr>
    </xdr:sp>
    <xdr:clientData/>
  </xdr:twoCellAnchor>
  <xdr:twoCellAnchor>
    <xdr:from>
      <xdr:col>3</xdr:col>
      <xdr:colOff>236220</xdr:colOff>
      <xdr:row>7</xdr:row>
      <xdr:rowOff>45720</xdr:rowOff>
    </xdr:from>
    <xdr:to>
      <xdr:col>4</xdr:col>
      <xdr:colOff>99060</xdr:colOff>
      <xdr:row>7</xdr:row>
      <xdr:rowOff>213360</xdr:rowOff>
    </xdr:to>
    <xdr:sp macro="" textlink="">
      <xdr:nvSpPr>
        <xdr:cNvPr id="1242917" name="Line 240"/>
        <xdr:cNvSpPr/>
      </xdr:nvSpPr>
      <xdr:spPr>
        <a:xfrm>
          <a:off x="1120140" y="2007870"/>
          <a:ext cx="144780" cy="167640"/>
        </a:xfrm>
        <a:prstGeom prst="line">
          <a:avLst/>
        </a:prstGeom>
        <a:ln w="38100" cap="flat" cmpd="dbl">
          <a:solidFill>
            <a:srgbClr val="000000"/>
          </a:solidFill>
          <a:prstDash val="solid"/>
          <a:round/>
          <a:headEnd type="none" w="med" len="med"/>
          <a:tailEnd type="none" w="med" len="med"/>
        </a:ln>
      </xdr:spPr>
    </xdr:sp>
    <xdr:clientData/>
  </xdr:twoCellAnchor>
  <xdr:twoCellAnchor>
    <xdr:from>
      <xdr:col>4</xdr:col>
      <xdr:colOff>205740</xdr:colOff>
      <xdr:row>8</xdr:row>
      <xdr:rowOff>106680</xdr:rowOff>
    </xdr:from>
    <xdr:to>
      <xdr:col>5</xdr:col>
      <xdr:colOff>30480</xdr:colOff>
      <xdr:row>8</xdr:row>
      <xdr:rowOff>228600</xdr:rowOff>
    </xdr:to>
    <xdr:sp macro="" textlink="">
      <xdr:nvSpPr>
        <xdr:cNvPr id="1242918" name="Line 241"/>
        <xdr:cNvSpPr/>
      </xdr:nvSpPr>
      <xdr:spPr>
        <a:xfrm>
          <a:off x="1371600" y="2324100"/>
          <a:ext cx="106680" cy="12192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243840</xdr:colOff>
      <xdr:row>5</xdr:row>
      <xdr:rowOff>114935</xdr:rowOff>
    </xdr:from>
    <xdr:to>
      <xdr:col>18</xdr:col>
      <xdr:colOff>30480</xdr:colOff>
      <xdr:row>7</xdr:row>
      <xdr:rowOff>159385</xdr:rowOff>
    </xdr:to>
    <xdr:sp macro="" textlink="">
      <xdr:nvSpPr>
        <xdr:cNvPr id="1242919" name="Line 242"/>
        <xdr:cNvSpPr/>
      </xdr:nvSpPr>
      <xdr:spPr>
        <a:xfrm>
          <a:off x="4983480" y="1566545"/>
          <a:ext cx="502920" cy="554990"/>
        </a:xfrm>
        <a:prstGeom prst="line">
          <a:avLst/>
        </a:prstGeom>
        <a:ln w="38100" cap="flat" cmpd="dbl">
          <a:solidFill>
            <a:srgbClr val="000000"/>
          </a:solidFill>
          <a:prstDash val="solid"/>
          <a:round/>
          <a:headEnd type="none" w="med" len="med"/>
          <a:tailEnd type="none" w="med" len="med"/>
        </a:ln>
      </xdr:spPr>
    </xdr:sp>
    <xdr:clientData/>
  </xdr:twoCellAnchor>
  <xdr:twoCellAnchor>
    <xdr:from>
      <xdr:col>17</xdr:col>
      <xdr:colOff>190500</xdr:colOff>
      <xdr:row>5</xdr:row>
      <xdr:rowOff>159385</xdr:rowOff>
    </xdr:from>
    <xdr:to>
      <xdr:col>18</xdr:col>
      <xdr:colOff>15240</xdr:colOff>
      <xdr:row>6</xdr:row>
      <xdr:rowOff>38100</xdr:rowOff>
    </xdr:to>
    <xdr:sp macro="" textlink="">
      <xdr:nvSpPr>
        <xdr:cNvPr id="1242920" name="Line 243"/>
        <xdr:cNvSpPr/>
      </xdr:nvSpPr>
      <xdr:spPr>
        <a:xfrm>
          <a:off x="5364480" y="1610995"/>
          <a:ext cx="106680" cy="133985"/>
        </a:xfrm>
        <a:prstGeom prst="line">
          <a:avLst/>
        </a:prstGeom>
        <a:ln w="38100" cap="flat" cmpd="dbl">
          <a:solidFill>
            <a:srgbClr val="000000"/>
          </a:solidFill>
          <a:prstDash val="solid"/>
          <a:round/>
          <a:headEnd type="none" w="med" len="med"/>
          <a:tailEnd type="none" w="med" len="med"/>
        </a:ln>
      </xdr:spPr>
    </xdr:sp>
    <xdr:clientData/>
  </xdr:twoCellAnchor>
  <xdr:twoCellAnchor>
    <xdr:from>
      <xdr:col>15</xdr:col>
      <xdr:colOff>121920</xdr:colOff>
      <xdr:row>5</xdr:row>
      <xdr:rowOff>83820</xdr:rowOff>
    </xdr:from>
    <xdr:to>
      <xdr:col>16</xdr:col>
      <xdr:colOff>198120</xdr:colOff>
      <xdr:row>7</xdr:row>
      <xdr:rowOff>0</xdr:rowOff>
    </xdr:to>
    <xdr:sp macro="" textlink="">
      <xdr:nvSpPr>
        <xdr:cNvPr id="1242921" name="Line 244"/>
        <xdr:cNvSpPr/>
      </xdr:nvSpPr>
      <xdr:spPr>
        <a:xfrm>
          <a:off x="4579620" y="1535430"/>
          <a:ext cx="358140" cy="42672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388620</xdr:colOff>
      <xdr:row>7</xdr:row>
      <xdr:rowOff>236220</xdr:rowOff>
    </xdr:from>
    <xdr:to>
      <xdr:col>17</xdr:col>
      <xdr:colOff>213360</xdr:colOff>
      <xdr:row>8</xdr:row>
      <xdr:rowOff>236220</xdr:rowOff>
    </xdr:to>
    <xdr:sp macro="" textlink="">
      <xdr:nvSpPr>
        <xdr:cNvPr id="1242922" name="Line 245"/>
        <xdr:cNvSpPr/>
      </xdr:nvSpPr>
      <xdr:spPr>
        <a:xfrm>
          <a:off x="5128260" y="2198370"/>
          <a:ext cx="259080" cy="255270"/>
        </a:xfrm>
        <a:prstGeom prst="line">
          <a:avLst/>
        </a:prstGeom>
        <a:ln w="38100" cap="flat" cmpd="dbl">
          <a:solidFill>
            <a:srgbClr val="000000"/>
          </a:solidFill>
          <a:prstDash val="solid"/>
          <a:round/>
          <a:headEnd type="none" w="med" len="med"/>
          <a:tailEnd type="none" w="med" len="med"/>
        </a:ln>
      </xdr:spPr>
    </xdr:sp>
    <xdr:clientData/>
  </xdr:twoCellAnchor>
  <xdr:twoCellAnchor>
    <xdr:from>
      <xdr:col>14</xdr:col>
      <xdr:colOff>236220</xdr:colOff>
      <xdr:row>6</xdr:row>
      <xdr:rowOff>68580</xdr:rowOff>
    </xdr:from>
    <xdr:to>
      <xdr:col>15</xdr:col>
      <xdr:colOff>198120</xdr:colOff>
      <xdr:row>7</xdr:row>
      <xdr:rowOff>106680</xdr:rowOff>
    </xdr:to>
    <xdr:sp macro="" textlink="">
      <xdr:nvSpPr>
        <xdr:cNvPr id="1242923" name="Line 246"/>
        <xdr:cNvSpPr/>
      </xdr:nvSpPr>
      <xdr:spPr>
        <a:xfrm>
          <a:off x="4411980" y="1775460"/>
          <a:ext cx="243840" cy="29337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60960</xdr:colOff>
      <xdr:row>8</xdr:row>
      <xdr:rowOff>8255</xdr:rowOff>
    </xdr:from>
    <xdr:to>
      <xdr:col>16</xdr:col>
      <xdr:colOff>228600</xdr:colOff>
      <xdr:row>8</xdr:row>
      <xdr:rowOff>221615</xdr:rowOff>
    </xdr:to>
    <xdr:sp macro="" textlink="">
      <xdr:nvSpPr>
        <xdr:cNvPr id="1242924" name="Line 247"/>
        <xdr:cNvSpPr/>
      </xdr:nvSpPr>
      <xdr:spPr>
        <a:xfrm>
          <a:off x="4800600" y="2225675"/>
          <a:ext cx="167640" cy="213360"/>
        </a:xfrm>
        <a:prstGeom prst="line">
          <a:avLst/>
        </a:prstGeom>
        <a:ln w="38100" cap="flat" cmpd="dbl">
          <a:solidFill>
            <a:srgbClr val="000000"/>
          </a:solidFill>
          <a:prstDash val="solid"/>
          <a:round/>
          <a:headEnd type="none" w="med" len="med"/>
          <a:tailEnd type="none" w="med" len="med"/>
        </a:ln>
      </xdr:spPr>
    </xdr:sp>
    <xdr:clientData/>
  </xdr:twoCellAnchor>
  <xdr:twoCellAnchor>
    <xdr:from>
      <xdr:col>15</xdr:col>
      <xdr:colOff>121920</xdr:colOff>
      <xdr:row>8</xdr:row>
      <xdr:rowOff>159385</xdr:rowOff>
    </xdr:from>
    <xdr:to>
      <xdr:col>15</xdr:col>
      <xdr:colOff>198120</xdr:colOff>
      <xdr:row>9</xdr:row>
      <xdr:rowOff>8255</xdr:rowOff>
    </xdr:to>
    <xdr:sp macro="" textlink="">
      <xdr:nvSpPr>
        <xdr:cNvPr id="1242925" name="Line 248"/>
        <xdr:cNvSpPr/>
      </xdr:nvSpPr>
      <xdr:spPr>
        <a:xfrm>
          <a:off x="4579620" y="2376805"/>
          <a:ext cx="76200" cy="104140"/>
        </a:xfrm>
        <a:prstGeom prst="line">
          <a:avLst/>
        </a:prstGeom>
        <a:ln w="38100" cap="flat" cmpd="dbl">
          <a:solidFill>
            <a:srgbClr val="000000"/>
          </a:solidFill>
          <a:prstDash val="solid"/>
          <a:round/>
          <a:headEnd type="none" w="med" len="med"/>
          <a:tailEnd type="none" w="med" len="med"/>
        </a:ln>
      </xdr:spPr>
    </xdr:sp>
    <xdr:clientData/>
  </xdr:twoCellAnchor>
  <xdr:twoCellAnchor>
    <xdr:from>
      <xdr:col>14</xdr:col>
      <xdr:colOff>228600</xdr:colOff>
      <xdr:row>7</xdr:row>
      <xdr:rowOff>182245</xdr:rowOff>
    </xdr:from>
    <xdr:to>
      <xdr:col>15</xdr:col>
      <xdr:colOff>22860</xdr:colOff>
      <xdr:row>8</xdr:row>
      <xdr:rowOff>15240</xdr:rowOff>
    </xdr:to>
    <xdr:sp macro="" textlink="">
      <xdr:nvSpPr>
        <xdr:cNvPr id="1242926" name="Line 249"/>
        <xdr:cNvSpPr/>
      </xdr:nvSpPr>
      <xdr:spPr>
        <a:xfrm>
          <a:off x="4404360" y="2144395"/>
          <a:ext cx="76200" cy="88265"/>
        </a:xfrm>
        <a:prstGeom prst="line">
          <a:avLst/>
        </a:prstGeom>
        <a:ln w="38100" cap="flat" cmpd="dbl">
          <a:solidFill>
            <a:srgbClr val="000000"/>
          </a:solidFill>
          <a:prstDash val="solid"/>
          <a:round/>
          <a:headEnd type="none" w="med" len="med"/>
          <a:tailEnd type="none" w="med" len="med"/>
        </a:ln>
      </xdr:spPr>
    </xdr:sp>
    <xdr:clientData/>
  </xdr:twoCellAnchor>
  <xdr:twoCellAnchor>
    <xdr:from>
      <xdr:col>12</xdr:col>
      <xdr:colOff>114300</xdr:colOff>
      <xdr:row>10</xdr:row>
      <xdr:rowOff>23495</xdr:rowOff>
    </xdr:from>
    <xdr:to>
      <xdr:col>12</xdr:col>
      <xdr:colOff>198120</xdr:colOff>
      <xdr:row>10</xdr:row>
      <xdr:rowOff>92075</xdr:rowOff>
    </xdr:to>
    <xdr:sp macro="" textlink="">
      <xdr:nvSpPr>
        <xdr:cNvPr id="1242927" name="Line 250"/>
        <xdr:cNvSpPr/>
      </xdr:nvSpPr>
      <xdr:spPr>
        <a:xfrm>
          <a:off x="3688080" y="2751455"/>
          <a:ext cx="83820" cy="68580"/>
        </a:xfrm>
        <a:prstGeom prst="line">
          <a:avLst/>
        </a:prstGeom>
        <a:ln w="12700" cap="flat" cmpd="sng">
          <a:solidFill>
            <a:srgbClr val="000000"/>
          </a:solidFill>
          <a:prstDash val="solid"/>
          <a:round/>
          <a:headEnd type="none" w="med" len="med"/>
          <a:tailEnd type="none" w="med" len="med"/>
        </a:ln>
      </xdr:spPr>
    </xdr:sp>
    <xdr:clientData/>
  </xdr:twoCellAnchor>
  <xdr:twoCellAnchor>
    <xdr:from>
      <xdr:col>12</xdr:col>
      <xdr:colOff>144780</xdr:colOff>
      <xdr:row>9</xdr:row>
      <xdr:rowOff>121920</xdr:rowOff>
    </xdr:from>
    <xdr:to>
      <xdr:col>13</xdr:col>
      <xdr:colOff>175260</xdr:colOff>
      <xdr:row>10</xdr:row>
      <xdr:rowOff>84455</xdr:rowOff>
    </xdr:to>
    <xdr:sp macro="" textlink="">
      <xdr:nvSpPr>
        <xdr:cNvPr id="1242928" name="Line 251"/>
        <xdr:cNvSpPr/>
      </xdr:nvSpPr>
      <xdr:spPr>
        <a:xfrm>
          <a:off x="3718560" y="2594610"/>
          <a:ext cx="281940" cy="217805"/>
        </a:xfrm>
        <a:prstGeom prst="line">
          <a:avLst/>
        </a:prstGeom>
        <a:ln w="12700" cap="flat" cmpd="sng">
          <a:solidFill>
            <a:srgbClr val="000000"/>
          </a:solidFill>
          <a:prstDash val="solid"/>
          <a:round/>
          <a:headEnd type="none" w="med" len="med"/>
          <a:tailEnd type="none" w="med" len="med"/>
        </a:ln>
      </xdr:spPr>
    </xdr:sp>
    <xdr:clientData/>
  </xdr:twoCellAnchor>
  <xdr:twoCellAnchor>
    <xdr:from>
      <xdr:col>12</xdr:col>
      <xdr:colOff>83820</xdr:colOff>
      <xdr:row>8</xdr:row>
      <xdr:rowOff>144780</xdr:rowOff>
    </xdr:from>
    <xdr:to>
      <xdr:col>14</xdr:col>
      <xdr:colOff>60960</xdr:colOff>
      <xdr:row>10</xdr:row>
      <xdr:rowOff>84455</xdr:rowOff>
    </xdr:to>
    <xdr:sp macro="" textlink="">
      <xdr:nvSpPr>
        <xdr:cNvPr id="1242929" name="Line 252"/>
        <xdr:cNvSpPr/>
      </xdr:nvSpPr>
      <xdr:spPr>
        <a:xfrm>
          <a:off x="3657600" y="2362200"/>
          <a:ext cx="579120" cy="450215"/>
        </a:xfrm>
        <a:prstGeom prst="line">
          <a:avLst/>
        </a:prstGeom>
        <a:ln w="12700" cap="flat" cmpd="sng">
          <a:solidFill>
            <a:srgbClr val="000000"/>
          </a:solidFill>
          <a:prstDash val="solid"/>
          <a:round/>
          <a:headEnd type="none" w="med" len="med"/>
          <a:tailEnd type="none" w="med" len="med"/>
        </a:ln>
      </xdr:spPr>
    </xdr:sp>
    <xdr:clientData/>
  </xdr:twoCellAnchor>
  <xdr:twoCellAnchor>
    <xdr:from>
      <xdr:col>12</xdr:col>
      <xdr:colOff>99060</xdr:colOff>
      <xdr:row>7</xdr:row>
      <xdr:rowOff>236220</xdr:rowOff>
    </xdr:from>
    <xdr:to>
      <xdr:col>13</xdr:col>
      <xdr:colOff>0</xdr:colOff>
      <xdr:row>8</xdr:row>
      <xdr:rowOff>114935</xdr:rowOff>
    </xdr:to>
    <xdr:sp macro="" textlink="">
      <xdr:nvSpPr>
        <xdr:cNvPr id="1242930" name="Line 253"/>
        <xdr:cNvSpPr/>
      </xdr:nvSpPr>
      <xdr:spPr>
        <a:xfrm>
          <a:off x="3672840" y="2198370"/>
          <a:ext cx="152400" cy="133985"/>
        </a:xfrm>
        <a:prstGeom prst="line">
          <a:avLst/>
        </a:prstGeom>
        <a:ln w="12700" cap="flat" cmpd="sng">
          <a:solidFill>
            <a:srgbClr val="000000"/>
          </a:solidFill>
          <a:prstDash val="solid"/>
          <a:round/>
          <a:headEnd type="none" w="med" len="med"/>
          <a:tailEnd type="none" w="med" len="med"/>
        </a:ln>
      </xdr:spPr>
    </xdr:sp>
    <xdr:clientData/>
  </xdr:twoCellAnchor>
  <xdr:twoCellAnchor>
    <xdr:from>
      <xdr:col>12</xdr:col>
      <xdr:colOff>213360</xdr:colOff>
      <xdr:row>7</xdr:row>
      <xdr:rowOff>159385</xdr:rowOff>
    </xdr:from>
    <xdr:to>
      <xdr:col>13</xdr:col>
      <xdr:colOff>76200</xdr:colOff>
      <xdr:row>8</xdr:row>
      <xdr:rowOff>0</xdr:rowOff>
    </xdr:to>
    <xdr:sp macro="" textlink="">
      <xdr:nvSpPr>
        <xdr:cNvPr id="1242931" name="Line 254"/>
        <xdr:cNvSpPr/>
      </xdr:nvSpPr>
      <xdr:spPr>
        <a:xfrm>
          <a:off x="3787140" y="2121535"/>
          <a:ext cx="114300" cy="95885"/>
        </a:xfrm>
        <a:prstGeom prst="line">
          <a:avLst/>
        </a:prstGeom>
        <a:ln w="12700" cap="flat" cmpd="sng">
          <a:solidFill>
            <a:srgbClr val="000000"/>
          </a:solidFill>
          <a:prstDash val="solid"/>
          <a:round/>
          <a:headEnd type="none" w="med" len="med"/>
          <a:tailEnd type="none" w="med" len="med"/>
        </a:ln>
      </xdr:spPr>
    </xdr:sp>
    <xdr:clientData/>
  </xdr:twoCellAnchor>
  <xdr:twoCellAnchor>
    <xdr:from>
      <xdr:col>13</xdr:col>
      <xdr:colOff>190500</xdr:colOff>
      <xdr:row>9</xdr:row>
      <xdr:rowOff>0</xdr:rowOff>
    </xdr:from>
    <xdr:to>
      <xdr:col>14</xdr:col>
      <xdr:colOff>152400</xdr:colOff>
      <xdr:row>9</xdr:row>
      <xdr:rowOff>236220</xdr:rowOff>
    </xdr:to>
    <xdr:sp macro="" textlink="">
      <xdr:nvSpPr>
        <xdr:cNvPr id="1242932" name="Line 255"/>
        <xdr:cNvSpPr/>
      </xdr:nvSpPr>
      <xdr:spPr>
        <a:xfrm>
          <a:off x="4015740" y="2472690"/>
          <a:ext cx="312420" cy="236220"/>
        </a:xfrm>
        <a:prstGeom prst="line">
          <a:avLst/>
        </a:prstGeom>
        <a:ln w="12700" cap="flat" cmpd="sng">
          <a:solidFill>
            <a:srgbClr val="000000"/>
          </a:solidFill>
          <a:prstDash val="solid"/>
          <a:round/>
          <a:headEnd type="none" w="med" len="med"/>
          <a:tailEnd type="none" w="med" len="med"/>
        </a:ln>
      </xdr:spPr>
    </xdr:sp>
    <xdr:clientData/>
  </xdr:twoCellAnchor>
  <xdr:twoCellAnchor>
    <xdr:from>
      <xdr:col>13</xdr:col>
      <xdr:colOff>198120</xdr:colOff>
      <xdr:row>7</xdr:row>
      <xdr:rowOff>159385</xdr:rowOff>
    </xdr:from>
    <xdr:to>
      <xdr:col>13</xdr:col>
      <xdr:colOff>304800</xdr:colOff>
      <xdr:row>8</xdr:row>
      <xdr:rowOff>0</xdr:rowOff>
    </xdr:to>
    <xdr:sp macro="" textlink="">
      <xdr:nvSpPr>
        <xdr:cNvPr id="1242933" name="Line 264"/>
        <xdr:cNvSpPr/>
      </xdr:nvSpPr>
      <xdr:spPr>
        <a:xfrm>
          <a:off x="4023360" y="2121535"/>
          <a:ext cx="106680" cy="95885"/>
        </a:xfrm>
        <a:prstGeom prst="line">
          <a:avLst/>
        </a:prstGeom>
        <a:ln w="12700" cap="flat" cmpd="sng">
          <a:solidFill>
            <a:srgbClr val="000000"/>
          </a:solidFill>
          <a:prstDash val="solid"/>
          <a:round/>
          <a:headEnd type="none" w="med" len="med"/>
          <a:tailEnd type="none" w="med" len="med"/>
        </a:ln>
      </xdr:spPr>
    </xdr:sp>
    <xdr:clientData/>
  </xdr:twoCellAnchor>
  <xdr:twoCellAnchor>
    <xdr:from>
      <xdr:col>14</xdr:col>
      <xdr:colOff>0</xdr:colOff>
      <xdr:row>8</xdr:row>
      <xdr:rowOff>190500</xdr:rowOff>
    </xdr:from>
    <xdr:to>
      <xdr:col>14</xdr:col>
      <xdr:colOff>152400</xdr:colOff>
      <xdr:row>9</xdr:row>
      <xdr:rowOff>52705</xdr:rowOff>
    </xdr:to>
    <xdr:sp macro="" textlink="">
      <xdr:nvSpPr>
        <xdr:cNvPr id="1242934" name="Line 265"/>
        <xdr:cNvSpPr/>
      </xdr:nvSpPr>
      <xdr:spPr>
        <a:xfrm>
          <a:off x="4175760" y="2407920"/>
          <a:ext cx="152400" cy="117475"/>
        </a:xfrm>
        <a:prstGeom prst="line">
          <a:avLst/>
        </a:prstGeom>
        <a:ln w="12700" cap="flat" cmpd="sng">
          <a:solidFill>
            <a:srgbClr val="000000"/>
          </a:solidFill>
          <a:prstDash val="solid"/>
          <a:round/>
          <a:headEnd type="none" w="med" len="med"/>
          <a:tailEnd type="none" w="med" len="med"/>
        </a:ln>
      </xdr:spPr>
    </xdr:sp>
    <xdr:clientData/>
  </xdr:twoCellAnchor>
  <xdr:twoCellAnchor>
    <xdr:from>
      <xdr:col>14</xdr:col>
      <xdr:colOff>99060</xdr:colOff>
      <xdr:row>8</xdr:row>
      <xdr:rowOff>83820</xdr:rowOff>
    </xdr:from>
    <xdr:to>
      <xdr:col>14</xdr:col>
      <xdr:colOff>160020</xdr:colOff>
      <xdr:row>8</xdr:row>
      <xdr:rowOff>129540</xdr:rowOff>
    </xdr:to>
    <xdr:sp macro="" textlink="">
      <xdr:nvSpPr>
        <xdr:cNvPr id="1242935" name="Line 266"/>
        <xdr:cNvSpPr/>
      </xdr:nvSpPr>
      <xdr:spPr>
        <a:xfrm>
          <a:off x="4274820" y="2301240"/>
          <a:ext cx="60960" cy="45720"/>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99060</xdr:colOff>
      <xdr:row>8</xdr:row>
      <xdr:rowOff>152400</xdr:rowOff>
    </xdr:from>
    <xdr:to>
      <xdr:col>20</xdr:col>
      <xdr:colOff>68580</xdr:colOff>
      <xdr:row>10</xdr:row>
      <xdr:rowOff>76200</xdr:rowOff>
    </xdr:to>
    <xdr:sp macro="" textlink="">
      <xdr:nvSpPr>
        <xdr:cNvPr id="1242936" name="Line 267"/>
        <xdr:cNvSpPr/>
      </xdr:nvSpPr>
      <xdr:spPr>
        <a:xfrm>
          <a:off x="5554980" y="2369820"/>
          <a:ext cx="525780" cy="434340"/>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129540</xdr:colOff>
      <xdr:row>8</xdr:row>
      <xdr:rowOff>8255</xdr:rowOff>
    </xdr:from>
    <xdr:to>
      <xdr:col>19</xdr:col>
      <xdr:colOff>205740</xdr:colOff>
      <xdr:row>9</xdr:row>
      <xdr:rowOff>45720</xdr:rowOff>
    </xdr:to>
    <xdr:sp macro="" textlink="">
      <xdr:nvSpPr>
        <xdr:cNvPr id="1242937" name="Line 268"/>
        <xdr:cNvSpPr/>
      </xdr:nvSpPr>
      <xdr:spPr>
        <a:xfrm>
          <a:off x="5585460" y="2225675"/>
          <a:ext cx="358140" cy="292735"/>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228600</xdr:colOff>
      <xdr:row>7</xdr:row>
      <xdr:rowOff>159385</xdr:rowOff>
    </xdr:from>
    <xdr:to>
      <xdr:col>19</xdr:col>
      <xdr:colOff>205740</xdr:colOff>
      <xdr:row>8</xdr:row>
      <xdr:rowOff>114935</xdr:rowOff>
    </xdr:to>
    <xdr:sp macro="" textlink="">
      <xdr:nvSpPr>
        <xdr:cNvPr id="1242938" name="Line 269"/>
        <xdr:cNvSpPr/>
      </xdr:nvSpPr>
      <xdr:spPr>
        <a:xfrm>
          <a:off x="5684520" y="2121535"/>
          <a:ext cx="259080" cy="210820"/>
        </a:xfrm>
        <a:prstGeom prst="line">
          <a:avLst/>
        </a:prstGeom>
        <a:ln w="12700" cap="flat" cmpd="sng">
          <a:solidFill>
            <a:srgbClr val="000000"/>
          </a:solidFill>
          <a:prstDash val="solid"/>
          <a:round/>
          <a:headEnd type="none" w="med" len="med"/>
          <a:tailEnd type="none" w="med" len="med"/>
        </a:ln>
      </xdr:spPr>
    </xdr:sp>
    <xdr:clientData/>
  </xdr:twoCellAnchor>
  <xdr:twoCellAnchor>
    <xdr:from>
      <xdr:col>19</xdr:col>
      <xdr:colOff>160020</xdr:colOff>
      <xdr:row>7</xdr:row>
      <xdr:rowOff>159385</xdr:rowOff>
    </xdr:from>
    <xdr:to>
      <xdr:col>19</xdr:col>
      <xdr:colOff>220980</xdr:colOff>
      <xdr:row>7</xdr:row>
      <xdr:rowOff>197485</xdr:rowOff>
    </xdr:to>
    <xdr:sp macro="" textlink="">
      <xdr:nvSpPr>
        <xdr:cNvPr id="1242939" name="Line 270"/>
        <xdr:cNvSpPr/>
      </xdr:nvSpPr>
      <xdr:spPr>
        <a:xfrm>
          <a:off x="5897880" y="2121535"/>
          <a:ext cx="60960" cy="38100"/>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114300</xdr:colOff>
      <xdr:row>9</xdr:row>
      <xdr:rowOff>98425</xdr:rowOff>
    </xdr:from>
    <xdr:to>
      <xdr:col>19</xdr:col>
      <xdr:colOff>137160</xdr:colOff>
      <xdr:row>10</xdr:row>
      <xdr:rowOff>84455</xdr:rowOff>
    </xdr:to>
    <xdr:sp macro="" textlink="">
      <xdr:nvSpPr>
        <xdr:cNvPr id="1242940" name="Line 271"/>
        <xdr:cNvSpPr/>
      </xdr:nvSpPr>
      <xdr:spPr>
        <a:xfrm>
          <a:off x="5570220" y="2571115"/>
          <a:ext cx="304800" cy="241300"/>
        </a:xfrm>
        <a:prstGeom prst="line">
          <a:avLst/>
        </a:prstGeom>
        <a:ln w="12700" cap="flat" cmpd="sng">
          <a:solidFill>
            <a:srgbClr val="000000"/>
          </a:solidFill>
          <a:prstDash val="solid"/>
          <a:round/>
          <a:headEnd type="none" w="med" len="med"/>
          <a:tailEnd type="none" w="med" len="med"/>
        </a:ln>
      </xdr:spPr>
    </xdr:sp>
    <xdr:clientData/>
  </xdr:twoCellAnchor>
  <xdr:twoCellAnchor>
    <xdr:from>
      <xdr:col>18</xdr:col>
      <xdr:colOff>114300</xdr:colOff>
      <xdr:row>10</xdr:row>
      <xdr:rowOff>31115</xdr:rowOff>
    </xdr:from>
    <xdr:to>
      <xdr:col>18</xdr:col>
      <xdr:colOff>182880</xdr:colOff>
      <xdr:row>10</xdr:row>
      <xdr:rowOff>76200</xdr:rowOff>
    </xdr:to>
    <xdr:sp macro="" textlink="">
      <xdr:nvSpPr>
        <xdr:cNvPr id="1242941" name="Line 272"/>
        <xdr:cNvSpPr/>
      </xdr:nvSpPr>
      <xdr:spPr>
        <a:xfrm>
          <a:off x="5570220" y="2759075"/>
          <a:ext cx="68580" cy="45085"/>
        </a:xfrm>
        <a:prstGeom prst="line">
          <a:avLst/>
        </a:prstGeom>
        <a:ln w="12700" cap="flat" cmpd="sng">
          <a:solidFill>
            <a:srgbClr val="000000"/>
          </a:solidFill>
          <a:prstDash val="solid"/>
          <a:round/>
          <a:headEnd type="none" w="med" len="med"/>
          <a:tailEnd type="none" w="med" len="med"/>
        </a:ln>
      </xdr:spPr>
    </xdr:sp>
    <xdr:clientData/>
  </xdr:twoCellAnchor>
  <xdr:twoCellAnchor>
    <xdr:from>
      <xdr:col>20</xdr:col>
      <xdr:colOff>83820</xdr:colOff>
      <xdr:row>7</xdr:row>
      <xdr:rowOff>159385</xdr:rowOff>
    </xdr:from>
    <xdr:to>
      <xdr:col>20</xdr:col>
      <xdr:colOff>152400</xdr:colOff>
      <xdr:row>7</xdr:row>
      <xdr:rowOff>205105</xdr:rowOff>
    </xdr:to>
    <xdr:sp macro="" textlink="">
      <xdr:nvSpPr>
        <xdr:cNvPr id="1242942" name="Line 273"/>
        <xdr:cNvSpPr/>
      </xdr:nvSpPr>
      <xdr:spPr>
        <a:xfrm>
          <a:off x="6096000" y="2121535"/>
          <a:ext cx="68580" cy="45720"/>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114300</xdr:colOff>
      <xdr:row>8</xdr:row>
      <xdr:rowOff>159385</xdr:rowOff>
    </xdr:from>
    <xdr:to>
      <xdr:col>9</xdr:col>
      <xdr:colOff>91440</xdr:colOff>
      <xdr:row>10</xdr:row>
      <xdr:rowOff>84455</xdr:rowOff>
    </xdr:to>
    <xdr:sp macro="" textlink="">
      <xdr:nvSpPr>
        <xdr:cNvPr id="1242943" name="Line 274"/>
        <xdr:cNvSpPr/>
      </xdr:nvSpPr>
      <xdr:spPr>
        <a:xfrm>
          <a:off x="2278380" y="2376805"/>
          <a:ext cx="541020" cy="435610"/>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114300</xdr:colOff>
      <xdr:row>9</xdr:row>
      <xdr:rowOff>106680</xdr:rowOff>
    </xdr:from>
    <xdr:to>
      <xdr:col>8</xdr:col>
      <xdr:colOff>114300</xdr:colOff>
      <xdr:row>10</xdr:row>
      <xdr:rowOff>76200</xdr:rowOff>
    </xdr:to>
    <xdr:sp macro="" textlink="">
      <xdr:nvSpPr>
        <xdr:cNvPr id="1242944" name="Line 275"/>
        <xdr:cNvSpPr/>
      </xdr:nvSpPr>
      <xdr:spPr>
        <a:xfrm>
          <a:off x="2278380" y="2579370"/>
          <a:ext cx="281940" cy="224790"/>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114300</xdr:colOff>
      <xdr:row>10</xdr:row>
      <xdr:rowOff>23495</xdr:rowOff>
    </xdr:from>
    <xdr:to>
      <xdr:col>7</xdr:col>
      <xdr:colOff>190500</xdr:colOff>
      <xdr:row>10</xdr:row>
      <xdr:rowOff>92075</xdr:rowOff>
    </xdr:to>
    <xdr:sp macro="" textlink="">
      <xdr:nvSpPr>
        <xdr:cNvPr id="1242945" name="Line 276"/>
        <xdr:cNvSpPr/>
      </xdr:nvSpPr>
      <xdr:spPr>
        <a:xfrm>
          <a:off x="2278380" y="2751455"/>
          <a:ext cx="76200" cy="68580"/>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137160</xdr:colOff>
      <xdr:row>7</xdr:row>
      <xdr:rowOff>228600</xdr:rowOff>
    </xdr:from>
    <xdr:to>
      <xdr:col>9</xdr:col>
      <xdr:colOff>182880</xdr:colOff>
      <xdr:row>9</xdr:row>
      <xdr:rowOff>213360</xdr:rowOff>
    </xdr:to>
    <xdr:sp macro="" textlink="">
      <xdr:nvSpPr>
        <xdr:cNvPr id="1242946" name="Line 277"/>
        <xdr:cNvSpPr/>
      </xdr:nvSpPr>
      <xdr:spPr>
        <a:xfrm>
          <a:off x="2301240" y="2190750"/>
          <a:ext cx="609600" cy="495300"/>
        </a:xfrm>
        <a:prstGeom prst="line">
          <a:avLst/>
        </a:prstGeom>
        <a:ln w="12700" cap="flat" cmpd="sng">
          <a:solidFill>
            <a:srgbClr val="000000"/>
          </a:solidFill>
          <a:prstDash val="solid"/>
          <a:round/>
          <a:headEnd type="none" w="med" len="med"/>
          <a:tailEnd type="none" w="med" len="med"/>
        </a:ln>
      </xdr:spPr>
    </xdr:sp>
    <xdr:clientData/>
  </xdr:twoCellAnchor>
  <xdr:twoCellAnchor>
    <xdr:from>
      <xdr:col>8</xdr:col>
      <xdr:colOff>22860</xdr:colOff>
      <xdr:row>7</xdr:row>
      <xdr:rowOff>175260</xdr:rowOff>
    </xdr:from>
    <xdr:to>
      <xdr:col>8</xdr:col>
      <xdr:colOff>160020</xdr:colOff>
      <xdr:row>8</xdr:row>
      <xdr:rowOff>31115</xdr:rowOff>
    </xdr:to>
    <xdr:sp macro="" textlink="">
      <xdr:nvSpPr>
        <xdr:cNvPr id="1242947" name="Line 278"/>
        <xdr:cNvSpPr/>
      </xdr:nvSpPr>
      <xdr:spPr>
        <a:xfrm>
          <a:off x="2468880" y="2137410"/>
          <a:ext cx="137160" cy="111125"/>
        </a:xfrm>
        <a:prstGeom prst="line">
          <a:avLst/>
        </a:prstGeom>
        <a:ln w="12700" cap="flat" cmpd="sng">
          <a:solidFill>
            <a:srgbClr val="000000"/>
          </a:solidFill>
          <a:prstDash val="solid"/>
          <a:round/>
          <a:headEnd type="none" w="med" len="med"/>
          <a:tailEnd type="none" w="med" len="med"/>
        </a:ln>
      </xdr:spPr>
    </xdr:sp>
    <xdr:clientData/>
  </xdr:twoCellAnchor>
  <xdr:twoCellAnchor>
    <xdr:from>
      <xdr:col>9</xdr:col>
      <xdr:colOff>68580</xdr:colOff>
      <xdr:row>7</xdr:row>
      <xdr:rowOff>228600</xdr:rowOff>
    </xdr:from>
    <xdr:to>
      <xdr:col>9</xdr:col>
      <xdr:colOff>129540</xdr:colOff>
      <xdr:row>8</xdr:row>
      <xdr:rowOff>38100</xdr:rowOff>
    </xdr:to>
    <xdr:sp macro="" textlink="">
      <xdr:nvSpPr>
        <xdr:cNvPr id="1242948" name="Line 279"/>
        <xdr:cNvSpPr/>
      </xdr:nvSpPr>
      <xdr:spPr>
        <a:xfrm>
          <a:off x="2796540" y="2190750"/>
          <a:ext cx="60960" cy="64770"/>
        </a:xfrm>
        <a:prstGeom prst="line">
          <a:avLst/>
        </a:prstGeom>
        <a:ln w="12700" cap="flat" cmpd="sng">
          <a:solidFill>
            <a:srgbClr val="000000"/>
          </a:solidFill>
          <a:prstDash val="solid"/>
          <a:round/>
          <a:headEnd type="none" w="med" len="med"/>
          <a:tailEnd type="none" w="med" len="med"/>
        </a:ln>
      </xdr:spPr>
    </xdr:sp>
    <xdr:clientData/>
  </xdr:twoCellAnchor>
  <xdr:twoCellAnchor>
    <xdr:from>
      <xdr:col>1</xdr:col>
      <xdr:colOff>167640</xdr:colOff>
      <xdr:row>9</xdr:row>
      <xdr:rowOff>45720</xdr:rowOff>
    </xdr:from>
    <xdr:to>
      <xdr:col>2</xdr:col>
      <xdr:colOff>281940</xdr:colOff>
      <xdr:row>10</xdr:row>
      <xdr:rowOff>84455</xdr:rowOff>
    </xdr:to>
    <xdr:sp macro="" textlink="">
      <xdr:nvSpPr>
        <xdr:cNvPr id="1242949" name="Line 280"/>
        <xdr:cNvSpPr/>
      </xdr:nvSpPr>
      <xdr:spPr>
        <a:xfrm>
          <a:off x="449580" y="2518410"/>
          <a:ext cx="365760" cy="294005"/>
        </a:xfrm>
        <a:prstGeom prst="line">
          <a:avLst/>
        </a:prstGeom>
        <a:ln w="12700" cap="flat" cmpd="sng">
          <a:solidFill>
            <a:srgbClr val="000000"/>
          </a:solidFill>
          <a:prstDash val="solid"/>
          <a:round/>
          <a:headEnd type="none" w="med" len="med"/>
          <a:tailEnd type="none" w="med" len="med"/>
        </a:ln>
      </xdr:spPr>
    </xdr:sp>
    <xdr:clientData/>
  </xdr:twoCellAnchor>
  <xdr:twoCellAnchor>
    <xdr:from>
      <xdr:col>1</xdr:col>
      <xdr:colOff>144780</xdr:colOff>
      <xdr:row>9</xdr:row>
      <xdr:rowOff>221615</xdr:rowOff>
    </xdr:from>
    <xdr:to>
      <xdr:col>2</xdr:col>
      <xdr:colOff>30480</xdr:colOff>
      <xdr:row>10</xdr:row>
      <xdr:rowOff>84455</xdr:rowOff>
    </xdr:to>
    <xdr:sp macro="" textlink="">
      <xdr:nvSpPr>
        <xdr:cNvPr id="1242950" name="Line 281"/>
        <xdr:cNvSpPr/>
      </xdr:nvSpPr>
      <xdr:spPr>
        <a:xfrm>
          <a:off x="426720" y="2694305"/>
          <a:ext cx="137160" cy="118110"/>
        </a:xfrm>
        <a:prstGeom prst="line">
          <a:avLst/>
        </a:prstGeom>
        <a:ln w="12700" cap="flat" cmpd="sng">
          <a:solidFill>
            <a:srgbClr val="000000"/>
          </a:solidFill>
          <a:prstDash val="solid"/>
          <a:round/>
          <a:headEnd type="none" w="med" len="med"/>
          <a:tailEnd type="none" w="med" len="med"/>
        </a:ln>
      </xdr:spPr>
    </xdr:sp>
    <xdr:clientData/>
  </xdr:twoCellAnchor>
  <xdr:twoCellAnchor>
    <xdr:from>
      <xdr:col>1</xdr:col>
      <xdr:colOff>106680</xdr:colOff>
      <xdr:row>8</xdr:row>
      <xdr:rowOff>45720</xdr:rowOff>
    </xdr:from>
    <xdr:to>
      <xdr:col>2</xdr:col>
      <xdr:colOff>0</xdr:colOff>
      <xdr:row>8</xdr:row>
      <xdr:rowOff>159385</xdr:rowOff>
    </xdr:to>
    <xdr:sp macro="" textlink="">
      <xdr:nvSpPr>
        <xdr:cNvPr id="1242951" name="Line 282"/>
        <xdr:cNvSpPr/>
      </xdr:nvSpPr>
      <xdr:spPr>
        <a:xfrm>
          <a:off x="388620" y="2263140"/>
          <a:ext cx="144780" cy="113665"/>
        </a:xfrm>
        <a:prstGeom prst="line">
          <a:avLst/>
        </a:prstGeom>
        <a:ln w="12700" cap="flat" cmpd="sng">
          <a:solidFill>
            <a:srgbClr val="000000"/>
          </a:solidFill>
          <a:prstDash val="solid"/>
          <a:round/>
          <a:headEnd type="none" w="med" len="med"/>
          <a:tailEnd type="none" w="med" len="med"/>
        </a:ln>
      </xdr:spPr>
    </xdr:sp>
    <xdr:clientData/>
  </xdr:twoCellAnchor>
  <xdr:twoCellAnchor>
    <xdr:from>
      <xdr:col>1</xdr:col>
      <xdr:colOff>236220</xdr:colOff>
      <xdr:row>7</xdr:row>
      <xdr:rowOff>175260</xdr:rowOff>
    </xdr:from>
    <xdr:to>
      <xdr:col>2</xdr:col>
      <xdr:colOff>76200</xdr:colOff>
      <xdr:row>8</xdr:row>
      <xdr:rowOff>0</xdr:rowOff>
    </xdr:to>
    <xdr:sp macro="" textlink="">
      <xdr:nvSpPr>
        <xdr:cNvPr id="1242952" name="Line 283"/>
        <xdr:cNvSpPr/>
      </xdr:nvSpPr>
      <xdr:spPr>
        <a:xfrm>
          <a:off x="518160" y="2137410"/>
          <a:ext cx="91440" cy="80010"/>
        </a:xfrm>
        <a:prstGeom prst="line">
          <a:avLst/>
        </a:prstGeom>
        <a:ln w="12700" cap="flat" cmpd="sng">
          <a:solidFill>
            <a:srgbClr val="000000"/>
          </a:solidFill>
          <a:prstDash val="solid"/>
          <a:round/>
          <a:headEnd type="none" w="med" len="med"/>
          <a:tailEnd type="none" w="med" len="med"/>
        </a:ln>
      </xdr:spPr>
    </xdr:sp>
    <xdr:clientData/>
  </xdr:twoCellAnchor>
  <xdr:twoCellAnchor>
    <xdr:from>
      <xdr:col>2</xdr:col>
      <xdr:colOff>228600</xdr:colOff>
      <xdr:row>7</xdr:row>
      <xdr:rowOff>175260</xdr:rowOff>
    </xdr:from>
    <xdr:to>
      <xdr:col>2</xdr:col>
      <xdr:colOff>327660</xdr:colOff>
      <xdr:row>8</xdr:row>
      <xdr:rowOff>0</xdr:rowOff>
    </xdr:to>
    <xdr:sp macro="" textlink="">
      <xdr:nvSpPr>
        <xdr:cNvPr id="1242953" name="Line 284"/>
        <xdr:cNvSpPr/>
      </xdr:nvSpPr>
      <xdr:spPr>
        <a:xfrm>
          <a:off x="762000" y="2137410"/>
          <a:ext cx="99060" cy="80010"/>
        </a:xfrm>
        <a:prstGeom prst="line">
          <a:avLst/>
        </a:prstGeom>
        <a:ln w="12700" cap="flat" cmpd="sng">
          <a:solidFill>
            <a:srgbClr val="000000"/>
          </a:solidFill>
          <a:prstDash val="solid"/>
          <a:round/>
          <a:headEnd type="none" w="med" len="med"/>
          <a:tailEnd type="none" w="med" len="med"/>
        </a:ln>
      </xdr:spPr>
    </xdr:sp>
    <xdr:clientData/>
  </xdr:twoCellAnchor>
  <xdr:twoCellAnchor>
    <xdr:from>
      <xdr:col>2</xdr:col>
      <xdr:colOff>114300</xdr:colOff>
      <xdr:row>9</xdr:row>
      <xdr:rowOff>0</xdr:rowOff>
    </xdr:from>
    <xdr:to>
      <xdr:col>3</xdr:col>
      <xdr:colOff>167640</xdr:colOff>
      <xdr:row>10</xdr:row>
      <xdr:rowOff>53340</xdr:rowOff>
    </xdr:to>
    <xdr:sp macro="" textlink="">
      <xdr:nvSpPr>
        <xdr:cNvPr id="1242954" name="Line 285"/>
        <xdr:cNvSpPr/>
      </xdr:nvSpPr>
      <xdr:spPr>
        <a:xfrm>
          <a:off x="647700" y="2472690"/>
          <a:ext cx="403860" cy="308610"/>
        </a:xfrm>
        <a:prstGeom prst="line">
          <a:avLst/>
        </a:prstGeom>
        <a:ln w="12700" cap="flat" cmpd="sng">
          <a:solidFill>
            <a:srgbClr val="000000"/>
          </a:solidFill>
          <a:prstDash val="solid"/>
          <a:round/>
          <a:headEnd type="none" w="med" len="med"/>
          <a:tailEnd type="none" w="med" len="med"/>
        </a:ln>
      </xdr:spPr>
    </xdr:sp>
    <xdr:clientData/>
  </xdr:twoCellAnchor>
  <xdr:twoCellAnchor>
    <xdr:from>
      <xdr:col>3</xdr:col>
      <xdr:colOff>0</xdr:colOff>
      <xdr:row>8</xdr:row>
      <xdr:rowOff>198120</xdr:rowOff>
    </xdr:from>
    <xdr:to>
      <xdr:col>3</xdr:col>
      <xdr:colOff>160020</xdr:colOff>
      <xdr:row>9</xdr:row>
      <xdr:rowOff>75565</xdr:rowOff>
    </xdr:to>
    <xdr:sp macro="" textlink="">
      <xdr:nvSpPr>
        <xdr:cNvPr id="1242955" name="Line 286"/>
        <xdr:cNvSpPr/>
      </xdr:nvSpPr>
      <xdr:spPr>
        <a:xfrm>
          <a:off x="883920" y="2415540"/>
          <a:ext cx="160020" cy="132715"/>
        </a:xfrm>
        <a:prstGeom prst="line">
          <a:avLst/>
        </a:prstGeom>
        <a:ln w="12700" cap="flat" cmpd="sng">
          <a:solidFill>
            <a:srgbClr val="000000"/>
          </a:solidFill>
          <a:prstDash val="solid"/>
          <a:round/>
          <a:headEnd type="none" w="med" len="med"/>
          <a:tailEnd type="none" w="med" len="med"/>
        </a:ln>
      </xdr:spPr>
    </xdr:sp>
    <xdr:clientData/>
  </xdr:twoCellAnchor>
  <xdr:twoCellAnchor>
    <xdr:from>
      <xdr:col>3</xdr:col>
      <xdr:colOff>91440</xdr:colOff>
      <xdr:row>8</xdr:row>
      <xdr:rowOff>75565</xdr:rowOff>
    </xdr:from>
    <xdr:to>
      <xdr:col>3</xdr:col>
      <xdr:colOff>160020</xdr:colOff>
      <xdr:row>8</xdr:row>
      <xdr:rowOff>128905</xdr:rowOff>
    </xdr:to>
    <xdr:sp macro="" textlink="">
      <xdr:nvSpPr>
        <xdr:cNvPr id="1242956" name="Line 287"/>
        <xdr:cNvSpPr/>
      </xdr:nvSpPr>
      <xdr:spPr>
        <a:xfrm>
          <a:off x="975360" y="2292985"/>
          <a:ext cx="68580" cy="53340"/>
        </a:xfrm>
        <a:prstGeom prst="line">
          <a:avLst/>
        </a:prstGeom>
        <a:ln w="12700" cap="flat" cmpd="sng">
          <a:solidFill>
            <a:srgbClr val="000000"/>
          </a:solidFill>
          <a:prstDash val="solid"/>
          <a:round/>
          <a:headEnd type="none" w="med" len="med"/>
          <a:tailEnd type="none" w="med" len="med"/>
        </a:ln>
      </xdr:spPr>
    </xdr:sp>
    <xdr:clientData/>
  </xdr:twoCellAnchor>
  <xdr:twoCellAnchor>
    <xdr:from>
      <xdr:col>14</xdr:col>
      <xdr:colOff>167640</xdr:colOff>
      <xdr:row>9</xdr:row>
      <xdr:rowOff>52705</xdr:rowOff>
    </xdr:from>
    <xdr:to>
      <xdr:col>15</xdr:col>
      <xdr:colOff>91440</xdr:colOff>
      <xdr:row>9</xdr:row>
      <xdr:rowOff>228600</xdr:rowOff>
    </xdr:to>
    <xdr:sp macro="" textlink="">
      <xdr:nvSpPr>
        <xdr:cNvPr id="1242957" name="Line 288"/>
        <xdr:cNvSpPr/>
      </xdr:nvSpPr>
      <xdr:spPr>
        <a:xfrm flipH="1">
          <a:off x="4343400" y="2525395"/>
          <a:ext cx="205740" cy="175895"/>
        </a:xfrm>
        <a:prstGeom prst="line">
          <a:avLst/>
        </a:prstGeom>
        <a:ln w="38100" cap="flat" cmpd="dbl">
          <a:solidFill>
            <a:srgbClr val="000000"/>
          </a:solidFill>
          <a:prstDash val="solid"/>
          <a:round/>
          <a:headEnd type="none" w="med" len="med"/>
          <a:tailEnd type="none" w="med" len="med"/>
        </a:ln>
      </xdr:spPr>
    </xdr:sp>
    <xdr:clientData/>
  </xdr:twoCellAnchor>
  <xdr:twoCellAnchor>
    <xdr:from>
      <xdr:col>15</xdr:col>
      <xdr:colOff>30480</xdr:colOff>
      <xdr:row>9</xdr:row>
      <xdr:rowOff>68580</xdr:rowOff>
    </xdr:from>
    <xdr:to>
      <xdr:col>16</xdr:col>
      <xdr:colOff>68580</xdr:colOff>
      <xdr:row>10</xdr:row>
      <xdr:rowOff>76200</xdr:rowOff>
    </xdr:to>
    <xdr:sp macro="" textlink="">
      <xdr:nvSpPr>
        <xdr:cNvPr id="1242958" name="Line 289"/>
        <xdr:cNvSpPr/>
      </xdr:nvSpPr>
      <xdr:spPr>
        <a:xfrm flipH="1">
          <a:off x="4488180" y="2541270"/>
          <a:ext cx="320040" cy="26289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30480</xdr:colOff>
      <xdr:row>9</xdr:row>
      <xdr:rowOff>45720</xdr:rowOff>
    </xdr:from>
    <xdr:to>
      <xdr:col>16</xdr:col>
      <xdr:colOff>350520</xdr:colOff>
      <xdr:row>10</xdr:row>
      <xdr:rowOff>53340</xdr:rowOff>
    </xdr:to>
    <xdr:sp macro="" textlink="">
      <xdr:nvSpPr>
        <xdr:cNvPr id="1242959" name="Line 291"/>
        <xdr:cNvSpPr/>
      </xdr:nvSpPr>
      <xdr:spPr>
        <a:xfrm flipH="1">
          <a:off x="4770120" y="2518410"/>
          <a:ext cx="320040" cy="262890"/>
        </a:xfrm>
        <a:prstGeom prst="line">
          <a:avLst/>
        </a:prstGeom>
        <a:ln w="38100" cap="flat" cmpd="dbl">
          <a:solidFill>
            <a:srgbClr val="000000"/>
          </a:solidFill>
          <a:prstDash val="solid"/>
          <a:round/>
          <a:headEnd type="none" w="med" len="med"/>
          <a:tailEnd type="none" w="med" len="med"/>
        </a:ln>
      </xdr:spPr>
    </xdr:sp>
    <xdr:clientData/>
  </xdr:twoCellAnchor>
  <xdr:twoCellAnchor>
    <xdr:from>
      <xdr:col>16</xdr:col>
      <xdr:colOff>297180</xdr:colOff>
      <xdr:row>9</xdr:row>
      <xdr:rowOff>52705</xdr:rowOff>
    </xdr:from>
    <xdr:to>
      <xdr:col>17</xdr:col>
      <xdr:colOff>213360</xdr:colOff>
      <xdr:row>10</xdr:row>
      <xdr:rowOff>68580</xdr:rowOff>
    </xdr:to>
    <xdr:sp macro="" textlink="">
      <xdr:nvSpPr>
        <xdr:cNvPr id="1242960" name="Line 292"/>
        <xdr:cNvSpPr/>
      </xdr:nvSpPr>
      <xdr:spPr>
        <a:xfrm flipH="1">
          <a:off x="5036820" y="2525395"/>
          <a:ext cx="350520" cy="271145"/>
        </a:xfrm>
        <a:prstGeom prst="line">
          <a:avLst/>
        </a:prstGeom>
        <a:ln w="38100" cap="flat" cmpd="dbl">
          <a:solidFill>
            <a:srgbClr val="000000"/>
          </a:solidFill>
          <a:prstDash val="solid"/>
          <a:round/>
          <a:headEnd type="none" w="med" len="med"/>
          <a:tailEnd type="none" w="med" len="med"/>
        </a:ln>
      </xdr:spPr>
    </xdr:sp>
    <xdr:clientData/>
  </xdr:twoCellAnchor>
  <xdr:twoCellAnchor>
    <xdr:from>
      <xdr:col>17</xdr:col>
      <xdr:colOff>190500</xdr:colOff>
      <xdr:row>9</xdr:row>
      <xdr:rowOff>159385</xdr:rowOff>
    </xdr:from>
    <xdr:to>
      <xdr:col>18</xdr:col>
      <xdr:colOff>91440</xdr:colOff>
      <xdr:row>10</xdr:row>
      <xdr:rowOff>68580</xdr:rowOff>
    </xdr:to>
    <xdr:sp macro="" textlink="">
      <xdr:nvSpPr>
        <xdr:cNvPr id="1242961" name="Line 293"/>
        <xdr:cNvSpPr/>
      </xdr:nvSpPr>
      <xdr:spPr>
        <a:xfrm flipH="1">
          <a:off x="5364480" y="2632075"/>
          <a:ext cx="182880" cy="164465"/>
        </a:xfrm>
        <a:prstGeom prst="line">
          <a:avLst/>
        </a:prstGeom>
        <a:ln w="38100" cap="flat" cmpd="dbl">
          <a:solidFill>
            <a:srgbClr val="000000"/>
          </a:solidFill>
          <a:prstDash val="solid"/>
          <a:round/>
          <a:headEnd type="none" w="med" len="med"/>
          <a:tailEnd type="none" w="med" len="med"/>
        </a:ln>
      </xdr:spPr>
    </xdr:sp>
    <xdr:clientData/>
  </xdr:twoCellAnchor>
  <xdr:twoCellAnchor>
    <xdr:from>
      <xdr:col>3</xdr:col>
      <xdr:colOff>190500</xdr:colOff>
      <xdr:row>9</xdr:row>
      <xdr:rowOff>31115</xdr:rowOff>
    </xdr:from>
    <xdr:to>
      <xdr:col>4</xdr:col>
      <xdr:colOff>83820</xdr:colOff>
      <xdr:row>9</xdr:row>
      <xdr:rowOff>182245</xdr:rowOff>
    </xdr:to>
    <xdr:sp macro="" textlink="">
      <xdr:nvSpPr>
        <xdr:cNvPr id="1242962" name="Line 295"/>
        <xdr:cNvSpPr/>
      </xdr:nvSpPr>
      <xdr:spPr>
        <a:xfrm flipH="1">
          <a:off x="1074420" y="2503805"/>
          <a:ext cx="175260" cy="151130"/>
        </a:xfrm>
        <a:prstGeom prst="line">
          <a:avLst/>
        </a:prstGeom>
        <a:ln w="38100" cap="flat" cmpd="dbl">
          <a:solidFill>
            <a:srgbClr val="000000"/>
          </a:solidFill>
          <a:prstDash val="solid"/>
          <a:round/>
          <a:headEnd type="none" w="med" len="med"/>
          <a:tailEnd type="none" w="med" len="med"/>
        </a:ln>
      </xdr:spPr>
    </xdr:sp>
    <xdr:clientData/>
  </xdr:twoCellAnchor>
  <xdr:twoCellAnchor>
    <xdr:from>
      <xdr:col>4</xdr:col>
      <xdr:colOff>76200</xdr:colOff>
      <xdr:row>9</xdr:row>
      <xdr:rowOff>38100</xdr:rowOff>
    </xdr:from>
    <xdr:to>
      <xdr:col>5</xdr:col>
      <xdr:colOff>30480</xdr:colOff>
      <xdr:row>10</xdr:row>
      <xdr:rowOff>0</xdr:rowOff>
    </xdr:to>
    <xdr:sp macro="" textlink="">
      <xdr:nvSpPr>
        <xdr:cNvPr id="1242963" name="Line 296"/>
        <xdr:cNvSpPr/>
      </xdr:nvSpPr>
      <xdr:spPr>
        <a:xfrm flipH="1">
          <a:off x="1242060" y="2510790"/>
          <a:ext cx="236220" cy="217170"/>
        </a:xfrm>
        <a:prstGeom prst="line">
          <a:avLst/>
        </a:prstGeom>
        <a:ln w="38100" cap="flat" cmpd="dbl">
          <a:solidFill>
            <a:srgbClr val="000000"/>
          </a:solidFill>
          <a:prstDash val="solid"/>
          <a:round/>
          <a:headEnd type="none" w="med" len="med"/>
          <a:tailEnd type="none" w="med" len="med"/>
        </a:ln>
      </xdr:spPr>
    </xdr:sp>
    <xdr:clientData/>
  </xdr:twoCellAnchor>
  <xdr:twoCellAnchor>
    <xdr:from>
      <xdr:col>5</xdr:col>
      <xdr:colOff>274320</xdr:colOff>
      <xdr:row>9</xdr:row>
      <xdr:rowOff>31115</xdr:rowOff>
    </xdr:from>
    <xdr:to>
      <xdr:col>6</xdr:col>
      <xdr:colOff>114300</xdr:colOff>
      <xdr:row>9</xdr:row>
      <xdr:rowOff>236220</xdr:rowOff>
    </xdr:to>
    <xdr:sp macro="" textlink="">
      <xdr:nvSpPr>
        <xdr:cNvPr id="1242964" name="Line 297"/>
        <xdr:cNvSpPr/>
      </xdr:nvSpPr>
      <xdr:spPr>
        <a:xfrm flipH="1">
          <a:off x="1722120" y="2503805"/>
          <a:ext cx="274320" cy="205105"/>
        </a:xfrm>
        <a:prstGeom prst="line">
          <a:avLst/>
        </a:prstGeom>
        <a:ln w="38100" cap="flat" cmpd="dbl">
          <a:solidFill>
            <a:srgbClr val="000000"/>
          </a:solidFill>
          <a:prstDash val="solid"/>
          <a:round/>
          <a:headEnd type="none" w="med" len="med"/>
          <a:tailEnd type="none" w="med" len="med"/>
        </a:ln>
      </xdr:spPr>
    </xdr:sp>
    <xdr:clientData/>
  </xdr:twoCellAnchor>
  <xdr:twoCellAnchor>
    <xdr:from>
      <xdr:col>5</xdr:col>
      <xdr:colOff>30480</xdr:colOff>
      <xdr:row>9</xdr:row>
      <xdr:rowOff>31115</xdr:rowOff>
    </xdr:from>
    <xdr:to>
      <xdr:col>5</xdr:col>
      <xdr:colOff>266700</xdr:colOff>
      <xdr:row>9</xdr:row>
      <xdr:rowOff>244475</xdr:rowOff>
    </xdr:to>
    <xdr:sp macro="" textlink="">
      <xdr:nvSpPr>
        <xdr:cNvPr id="1242965" name="Line 299"/>
        <xdr:cNvSpPr/>
      </xdr:nvSpPr>
      <xdr:spPr>
        <a:xfrm flipH="1">
          <a:off x="1478280" y="2503805"/>
          <a:ext cx="236220" cy="213360"/>
        </a:xfrm>
        <a:prstGeom prst="line">
          <a:avLst/>
        </a:prstGeom>
        <a:ln w="38100" cap="flat" cmpd="dbl">
          <a:solidFill>
            <a:srgbClr val="000000"/>
          </a:solidFill>
          <a:prstDash val="solid"/>
          <a:round/>
          <a:headEnd type="none" w="med" len="med"/>
          <a:tailEnd type="none" w="med" len="med"/>
        </a:ln>
      </xdr:spPr>
    </xdr:sp>
    <xdr:clientData/>
  </xdr:twoCellAnchor>
  <xdr:twoCellAnchor>
    <xdr:from>
      <xdr:col>6</xdr:col>
      <xdr:colOff>99060</xdr:colOff>
      <xdr:row>9</xdr:row>
      <xdr:rowOff>31115</xdr:rowOff>
    </xdr:from>
    <xdr:to>
      <xdr:col>7</xdr:col>
      <xdr:colOff>60960</xdr:colOff>
      <xdr:row>9</xdr:row>
      <xdr:rowOff>236220</xdr:rowOff>
    </xdr:to>
    <xdr:sp macro="" textlink="">
      <xdr:nvSpPr>
        <xdr:cNvPr id="1242966" name="Line 300"/>
        <xdr:cNvSpPr/>
      </xdr:nvSpPr>
      <xdr:spPr>
        <a:xfrm flipH="1">
          <a:off x="1981200" y="2503805"/>
          <a:ext cx="243840" cy="205105"/>
        </a:xfrm>
        <a:prstGeom prst="line">
          <a:avLst/>
        </a:prstGeom>
        <a:ln w="38100" cap="flat" cmpd="dbl">
          <a:solidFill>
            <a:srgbClr val="000000"/>
          </a:solidFill>
          <a:prstDash val="solid"/>
          <a:round/>
          <a:headEnd type="none" w="med" len="med"/>
          <a:tailEnd type="none" w="med" len="med"/>
        </a:ln>
      </xdr:spPr>
    </xdr:sp>
    <xdr:clientData/>
  </xdr:twoCellAnchor>
  <xdr:twoCellAnchor>
    <xdr:from>
      <xdr:col>7</xdr:col>
      <xdr:colOff>30480</xdr:colOff>
      <xdr:row>9</xdr:row>
      <xdr:rowOff>182245</xdr:rowOff>
    </xdr:from>
    <xdr:to>
      <xdr:col>7</xdr:col>
      <xdr:colOff>114300</xdr:colOff>
      <xdr:row>10</xdr:row>
      <xdr:rowOff>0</xdr:rowOff>
    </xdr:to>
    <xdr:sp macro="" textlink="">
      <xdr:nvSpPr>
        <xdr:cNvPr id="1242967" name="Line 301"/>
        <xdr:cNvSpPr/>
      </xdr:nvSpPr>
      <xdr:spPr>
        <a:xfrm flipH="1">
          <a:off x="2194560" y="2654935"/>
          <a:ext cx="83820" cy="73025"/>
        </a:xfrm>
        <a:prstGeom prst="line">
          <a:avLst/>
        </a:prstGeom>
        <a:ln w="38100" cap="flat" cmpd="dbl">
          <a:solidFill>
            <a:srgbClr val="000000"/>
          </a:solidFill>
          <a:prstDash val="solid"/>
          <a:round/>
          <a:headEnd type="none" w="med" len="med"/>
          <a:tailEnd type="none" w="med" len="med"/>
        </a:ln>
      </xdr:spPr>
    </xdr:sp>
    <xdr:clientData/>
  </xdr:twoCellAnchor>
  <xdr:twoCellAnchor>
    <xdr:from>
      <xdr:col>12</xdr:col>
      <xdr:colOff>38100</xdr:colOff>
      <xdr:row>10</xdr:row>
      <xdr:rowOff>92075</xdr:rowOff>
    </xdr:from>
    <xdr:to>
      <xdr:col>13</xdr:col>
      <xdr:colOff>114300</xdr:colOff>
      <xdr:row>11</xdr:row>
      <xdr:rowOff>83820</xdr:rowOff>
    </xdr:to>
    <xdr:sp macro="" textlink="">
      <xdr:nvSpPr>
        <xdr:cNvPr id="1242968" name="Line 302"/>
        <xdr:cNvSpPr/>
      </xdr:nvSpPr>
      <xdr:spPr>
        <a:xfrm flipH="1">
          <a:off x="3611880" y="2820035"/>
          <a:ext cx="327660" cy="239395"/>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167640</xdr:colOff>
      <xdr:row>10</xdr:row>
      <xdr:rowOff>84455</xdr:rowOff>
    </xdr:from>
    <xdr:to>
      <xdr:col>14</xdr:col>
      <xdr:colOff>30480</xdr:colOff>
      <xdr:row>11</xdr:row>
      <xdr:rowOff>182245</xdr:rowOff>
    </xdr:to>
    <xdr:sp macro="" textlink="">
      <xdr:nvSpPr>
        <xdr:cNvPr id="1242969" name="Line 303"/>
        <xdr:cNvSpPr/>
      </xdr:nvSpPr>
      <xdr:spPr>
        <a:xfrm flipH="1">
          <a:off x="3741420" y="2812415"/>
          <a:ext cx="46482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60960</xdr:colOff>
      <xdr:row>10</xdr:row>
      <xdr:rowOff>92075</xdr:rowOff>
    </xdr:from>
    <xdr:to>
      <xdr:col>15</xdr:col>
      <xdr:colOff>228600</xdr:colOff>
      <xdr:row>11</xdr:row>
      <xdr:rowOff>190500</xdr:rowOff>
    </xdr:to>
    <xdr:sp macro="" textlink="">
      <xdr:nvSpPr>
        <xdr:cNvPr id="1242970" name="Line 304"/>
        <xdr:cNvSpPr/>
      </xdr:nvSpPr>
      <xdr:spPr>
        <a:xfrm flipH="1">
          <a:off x="4236720" y="2820035"/>
          <a:ext cx="449580" cy="346075"/>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152400</xdr:colOff>
      <xdr:row>10</xdr:row>
      <xdr:rowOff>84455</xdr:rowOff>
    </xdr:from>
    <xdr:to>
      <xdr:col>14</xdr:col>
      <xdr:colOff>274320</xdr:colOff>
      <xdr:row>11</xdr:row>
      <xdr:rowOff>182245</xdr:rowOff>
    </xdr:to>
    <xdr:sp macro="" textlink="">
      <xdr:nvSpPr>
        <xdr:cNvPr id="1242971" name="Line 305"/>
        <xdr:cNvSpPr/>
      </xdr:nvSpPr>
      <xdr:spPr>
        <a:xfrm flipH="1">
          <a:off x="3977640" y="2812415"/>
          <a:ext cx="47244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274320</xdr:colOff>
      <xdr:row>10</xdr:row>
      <xdr:rowOff>84455</xdr:rowOff>
    </xdr:from>
    <xdr:to>
      <xdr:col>12</xdr:col>
      <xdr:colOff>137160</xdr:colOff>
      <xdr:row>10</xdr:row>
      <xdr:rowOff>182880</xdr:rowOff>
    </xdr:to>
    <xdr:sp macro="" textlink="">
      <xdr:nvSpPr>
        <xdr:cNvPr id="1242972" name="Line 306"/>
        <xdr:cNvSpPr/>
      </xdr:nvSpPr>
      <xdr:spPr>
        <a:xfrm flipH="1">
          <a:off x="3566160" y="2812415"/>
          <a:ext cx="144780" cy="98425"/>
        </a:xfrm>
        <a:prstGeom prst="line">
          <a:avLst/>
        </a:prstGeom>
        <a:ln w="9525" cap="flat" cmpd="sng">
          <a:solidFill>
            <a:srgbClr val="000000"/>
          </a:solidFill>
          <a:prstDash val="solid"/>
          <a:round/>
          <a:headEnd type="none" w="med" len="med"/>
          <a:tailEnd type="none" w="med" len="med"/>
        </a:ln>
      </xdr:spPr>
    </xdr:sp>
    <xdr:clientData/>
  </xdr:twoCellAnchor>
  <xdr:twoCellAnchor>
    <xdr:from>
      <xdr:col>15</xdr:col>
      <xdr:colOff>22860</xdr:colOff>
      <xdr:row>10</xdr:row>
      <xdr:rowOff>198120</xdr:rowOff>
    </xdr:from>
    <xdr:to>
      <xdr:col>16</xdr:col>
      <xdr:colOff>83820</xdr:colOff>
      <xdr:row>11</xdr:row>
      <xdr:rowOff>221615</xdr:rowOff>
    </xdr:to>
    <xdr:sp macro="" textlink="">
      <xdr:nvSpPr>
        <xdr:cNvPr id="1242973" name="Line 307"/>
        <xdr:cNvSpPr/>
      </xdr:nvSpPr>
      <xdr:spPr>
        <a:xfrm flipH="1">
          <a:off x="4480560" y="2926080"/>
          <a:ext cx="342900" cy="271145"/>
        </a:xfrm>
        <a:prstGeom prst="line">
          <a:avLst/>
        </a:prstGeom>
        <a:ln w="9525" cap="flat" cmpd="sng">
          <a:solidFill>
            <a:srgbClr val="000000"/>
          </a:solidFill>
          <a:prstDash val="solid"/>
          <a:round/>
          <a:headEnd type="none" w="med" len="med"/>
          <a:tailEnd type="none" w="med" len="med"/>
        </a:ln>
      </xdr:spPr>
    </xdr:sp>
    <xdr:clientData/>
  </xdr:twoCellAnchor>
  <xdr:twoCellAnchor>
    <xdr:from>
      <xdr:col>15</xdr:col>
      <xdr:colOff>266700</xdr:colOff>
      <xdr:row>11</xdr:row>
      <xdr:rowOff>152400</xdr:rowOff>
    </xdr:from>
    <xdr:to>
      <xdr:col>16</xdr:col>
      <xdr:colOff>68580</xdr:colOff>
      <xdr:row>11</xdr:row>
      <xdr:rowOff>221615</xdr:rowOff>
    </xdr:to>
    <xdr:sp macro="" textlink="">
      <xdr:nvSpPr>
        <xdr:cNvPr id="1242974" name="Line 308"/>
        <xdr:cNvSpPr/>
      </xdr:nvSpPr>
      <xdr:spPr>
        <a:xfrm flipH="1">
          <a:off x="4724400" y="3128010"/>
          <a:ext cx="83820" cy="69215"/>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304800</xdr:colOff>
      <xdr:row>10</xdr:row>
      <xdr:rowOff>84455</xdr:rowOff>
    </xdr:from>
    <xdr:to>
      <xdr:col>17</xdr:col>
      <xdr:colOff>83820</xdr:colOff>
      <xdr:row>10</xdr:row>
      <xdr:rowOff>220345</xdr:rowOff>
    </xdr:to>
    <xdr:sp macro="" textlink="">
      <xdr:nvSpPr>
        <xdr:cNvPr id="1242975" name="Line 309"/>
        <xdr:cNvSpPr/>
      </xdr:nvSpPr>
      <xdr:spPr>
        <a:xfrm flipH="1">
          <a:off x="5044440" y="2812415"/>
          <a:ext cx="213360" cy="13589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304800</xdr:colOff>
      <xdr:row>10</xdr:row>
      <xdr:rowOff>92075</xdr:rowOff>
    </xdr:from>
    <xdr:to>
      <xdr:col>18</xdr:col>
      <xdr:colOff>53340</xdr:colOff>
      <xdr:row>11</xdr:row>
      <xdr:rowOff>175260</xdr:rowOff>
    </xdr:to>
    <xdr:sp macro="" textlink="">
      <xdr:nvSpPr>
        <xdr:cNvPr id="1242976" name="Line 310"/>
        <xdr:cNvSpPr/>
      </xdr:nvSpPr>
      <xdr:spPr>
        <a:xfrm flipH="1">
          <a:off x="5044440" y="2820035"/>
          <a:ext cx="464820" cy="330835"/>
        </a:xfrm>
        <a:prstGeom prst="line">
          <a:avLst/>
        </a:prstGeom>
        <a:ln w="9525" cap="flat" cmpd="sng">
          <a:solidFill>
            <a:srgbClr val="000000"/>
          </a:solidFill>
          <a:prstDash val="solid"/>
          <a:round/>
          <a:headEnd type="none" w="med" len="med"/>
          <a:tailEnd type="none" w="med" len="med"/>
        </a:ln>
      </xdr:spPr>
    </xdr:sp>
    <xdr:clientData/>
  </xdr:twoCellAnchor>
  <xdr:twoCellAnchor>
    <xdr:from>
      <xdr:col>17</xdr:col>
      <xdr:colOff>144780</xdr:colOff>
      <xdr:row>10</xdr:row>
      <xdr:rowOff>92075</xdr:rowOff>
    </xdr:from>
    <xdr:to>
      <xdr:col>19</xdr:col>
      <xdr:colOff>38100</xdr:colOff>
      <xdr:row>11</xdr:row>
      <xdr:rowOff>190500</xdr:rowOff>
    </xdr:to>
    <xdr:sp macro="" textlink="">
      <xdr:nvSpPr>
        <xdr:cNvPr id="1242977" name="Line 311"/>
        <xdr:cNvSpPr/>
      </xdr:nvSpPr>
      <xdr:spPr>
        <a:xfrm flipH="1">
          <a:off x="5318760" y="2820035"/>
          <a:ext cx="457200" cy="346075"/>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121920</xdr:colOff>
      <xdr:row>10</xdr:row>
      <xdr:rowOff>84455</xdr:rowOff>
    </xdr:from>
    <xdr:to>
      <xdr:col>20</xdr:col>
      <xdr:colOff>7620</xdr:colOff>
      <xdr:row>11</xdr:row>
      <xdr:rowOff>182245</xdr:rowOff>
    </xdr:to>
    <xdr:sp macro="" textlink="">
      <xdr:nvSpPr>
        <xdr:cNvPr id="1242978" name="Line 312"/>
        <xdr:cNvSpPr/>
      </xdr:nvSpPr>
      <xdr:spPr>
        <a:xfrm flipH="1">
          <a:off x="5577840" y="2812415"/>
          <a:ext cx="44196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19</xdr:col>
      <xdr:colOff>68580</xdr:colOff>
      <xdr:row>10</xdr:row>
      <xdr:rowOff>114300</xdr:rowOff>
    </xdr:from>
    <xdr:to>
      <xdr:col>20</xdr:col>
      <xdr:colOff>236220</xdr:colOff>
      <xdr:row>11</xdr:row>
      <xdr:rowOff>213360</xdr:rowOff>
    </xdr:to>
    <xdr:sp macro="" textlink="">
      <xdr:nvSpPr>
        <xdr:cNvPr id="1242979" name="Line 313"/>
        <xdr:cNvSpPr/>
      </xdr:nvSpPr>
      <xdr:spPr>
        <a:xfrm flipH="1">
          <a:off x="5806440" y="2842260"/>
          <a:ext cx="441960" cy="346710"/>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114300</xdr:colOff>
      <xdr:row>11</xdr:row>
      <xdr:rowOff>75565</xdr:rowOff>
    </xdr:from>
    <xdr:to>
      <xdr:col>20</xdr:col>
      <xdr:colOff>259080</xdr:colOff>
      <xdr:row>11</xdr:row>
      <xdr:rowOff>190500</xdr:rowOff>
    </xdr:to>
    <xdr:sp macro="" textlink="">
      <xdr:nvSpPr>
        <xdr:cNvPr id="1242980" name="Line 314"/>
        <xdr:cNvSpPr/>
      </xdr:nvSpPr>
      <xdr:spPr>
        <a:xfrm flipH="1">
          <a:off x="6126480" y="3051175"/>
          <a:ext cx="144780" cy="114935"/>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15240</xdr:colOff>
      <xdr:row>10</xdr:row>
      <xdr:rowOff>84455</xdr:rowOff>
    </xdr:from>
    <xdr:to>
      <xdr:col>1</xdr:col>
      <xdr:colOff>205740</xdr:colOff>
      <xdr:row>10</xdr:row>
      <xdr:rowOff>236855</xdr:rowOff>
    </xdr:to>
    <xdr:sp macro="" textlink="">
      <xdr:nvSpPr>
        <xdr:cNvPr id="1242981" name="Line 315"/>
        <xdr:cNvSpPr/>
      </xdr:nvSpPr>
      <xdr:spPr>
        <a:xfrm flipH="1">
          <a:off x="297180" y="2812415"/>
          <a:ext cx="190500" cy="152400"/>
        </a:xfrm>
        <a:prstGeom prst="line">
          <a:avLst/>
        </a:prstGeom>
        <a:ln w="9525" cap="flat" cmpd="sng">
          <a:solidFill>
            <a:srgbClr val="000000"/>
          </a:solidFill>
          <a:prstDash val="solid"/>
          <a:round/>
          <a:headEnd type="none" w="med" len="med"/>
          <a:tailEnd type="none" w="med" len="med"/>
        </a:ln>
      </xdr:spPr>
    </xdr:sp>
    <xdr:clientData/>
  </xdr:twoCellAnchor>
  <xdr:twoCellAnchor>
    <xdr:from>
      <xdr:col>1</xdr:col>
      <xdr:colOff>106680</xdr:colOff>
      <xdr:row>10</xdr:row>
      <xdr:rowOff>84455</xdr:rowOff>
    </xdr:from>
    <xdr:to>
      <xdr:col>2</xdr:col>
      <xdr:colOff>266700</xdr:colOff>
      <xdr:row>11</xdr:row>
      <xdr:rowOff>182245</xdr:rowOff>
    </xdr:to>
    <xdr:sp macro="" textlink="">
      <xdr:nvSpPr>
        <xdr:cNvPr id="1242982" name="Line 316"/>
        <xdr:cNvSpPr/>
      </xdr:nvSpPr>
      <xdr:spPr>
        <a:xfrm flipH="1">
          <a:off x="388620" y="2812415"/>
          <a:ext cx="41148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7</xdr:col>
      <xdr:colOff>60960</xdr:colOff>
      <xdr:row>10</xdr:row>
      <xdr:rowOff>84455</xdr:rowOff>
    </xdr:from>
    <xdr:to>
      <xdr:col>8</xdr:col>
      <xdr:colOff>190500</xdr:colOff>
      <xdr:row>11</xdr:row>
      <xdr:rowOff>182245</xdr:rowOff>
    </xdr:to>
    <xdr:sp macro="" textlink="">
      <xdr:nvSpPr>
        <xdr:cNvPr id="1242983" name="Line 317"/>
        <xdr:cNvSpPr/>
      </xdr:nvSpPr>
      <xdr:spPr>
        <a:xfrm flipH="1">
          <a:off x="2225040" y="2812415"/>
          <a:ext cx="41148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190500</xdr:colOff>
      <xdr:row>10</xdr:row>
      <xdr:rowOff>84455</xdr:rowOff>
    </xdr:from>
    <xdr:to>
      <xdr:col>3</xdr:col>
      <xdr:colOff>266700</xdr:colOff>
      <xdr:row>11</xdr:row>
      <xdr:rowOff>182245</xdr:rowOff>
    </xdr:to>
    <xdr:sp macro="" textlink="">
      <xdr:nvSpPr>
        <xdr:cNvPr id="1242984" name="Line 318"/>
        <xdr:cNvSpPr/>
      </xdr:nvSpPr>
      <xdr:spPr>
        <a:xfrm flipH="1">
          <a:off x="723900" y="2812415"/>
          <a:ext cx="42672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320040</xdr:colOff>
      <xdr:row>10</xdr:row>
      <xdr:rowOff>92075</xdr:rowOff>
    </xdr:from>
    <xdr:to>
      <xdr:col>6</xdr:col>
      <xdr:colOff>198120</xdr:colOff>
      <xdr:row>11</xdr:row>
      <xdr:rowOff>98425</xdr:rowOff>
    </xdr:to>
    <xdr:sp macro="" textlink="">
      <xdr:nvSpPr>
        <xdr:cNvPr id="1242985" name="Line 319"/>
        <xdr:cNvSpPr/>
      </xdr:nvSpPr>
      <xdr:spPr>
        <a:xfrm flipH="1">
          <a:off x="1767840" y="2820035"/>
          <a:ext cx="312420" cy="254000"/>
        </a:xfrm>
        <a:prstGeom prst="line">
          <a:avLst/>
        </a:prstGeom>
        <a:ln w="9525" cap="flat" cmpd="sng">
          <a:solidFill>
            <a:srgbClr val="000000"/>
          </a:solidFill>
          <a:prstDash val="solid"/>
          <a:round/>
          <a:headEnd type="none" w="med" len="med"/>
          <a:tailEnd type="none" w="med" len="med"/>
        </a:ln>
      </xdr:spPr>
    </xdr:sp>
    <xdr:clientData/>
  </xdr:twoCellAnchor>
  <xdr:twoCellAnchor>
    <xdr:from>
      <xdr:col>5</xdr:col>
      <xdr:colOff>312420</xdr:colOff>
      <xdr:row>10</xdr:row>
      <xdr:rowOff>84455</xdr:rowOff>
    </xdr:from>
    <xdr:to>
      <xdr:col>5</xdr:col>
      <xdr:colOff>342900</xdr:colOff>
      <xdr:row>10</xdr:row>
      <xdr:rowOff>121920</xdr:rowOff>
    </xdr:to>
    <xdr:sp macro="" textlink="">
      <xdr:nvSpPr>
        <xdr:cNvPr id="1242986" name="Line 320"/>
        <xdr:cNvSpPr/>
      </xdr:nvSpPr>
      <xdr:spPr>
        <a:xfrm flipH="1">
          <a:off x="1760220" y="2812415"/>
          <a:ext cx="30480" cy="37465"/>
        </a:xfrm>
        <a:prstGeom prst="line">
          <a:avLst/>
        </a:prstGeom>
        <a:ln w="9525" cap="flat" cmpd="sng">
          <a:solidFill>
            <a:srgbClr val="000000"/>
          </a:solidFill>
          <a:prstDash val="solid"/>
          <a:round/>
          <a:headEnd type="none" w="med" len="med"/>
          <a:tailEnd type="none" w="med" len="med"/>
        </a:ln>
      </xdr:spPr>
    </xdr:sp>
    <xdr:clientData/>
  </xdr:twoCellAnchor>
  <xdr:twoCellAnchor>
    <xdr:from>
      <xdr:col>6</xdr:col>
      <xdr:colOff>76200</xdr:colOff>
      <xdr:row>10</xdr:row>
      <xdr:rowOff>84455</xdr:rowOff>
    </xdr:from>
    <xdr:to>
      <xdr:col>7</xdr:col>
      <xdr:colOff>205740</xdr:colOff>
      <xdr:row>11</xdr:row>
      <xdr:rowOff>182245</xdr:rowOff>
    </xdr:to>
    <xdr:sp macro="" textlink="">
      <xdr:nvSpPr>
        <xdr:cNvPr id="1242987" name="Line 321"/>
        <xdr:cNvSpPr/>
      </xdr:nvSpPr>
      <xdr:spPr>
        <a:xfrm flipH="1">
          <a:off x="1958340" y="2812415"/>
          <a:ext cx="41148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190500</xdr:colOff>
      <xdr:row>11</xdr:row>
      <xdr:rowOff>38100</xdr:rowOff>
    </xdr:from>
    <xdr:to>
      <xdr:col>5</xdr:col>
      <xdr:colOff>99060</xdr:colOff>
      <xdr:row>11</xdr:row>
      <xdr:rowOff>198120</xdr:rowOff>
    </xdr:to>
    <xdr:sp macro="" textlink="">
      <xdr:nvSpPr>
        <xdr:cNvPr id="1242988" name="Line 322"/>
        <xdr:cNvSpPr/>
      </xdr:nvSpPr>
      <xdr:spPr>
        <a:xfrm flipH="1">
          <a:off x="1356360" y="3013710"/>
          <a:ext cx="190500" cy="16002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167640</xdr:colOff>
      <xdr:row>10</xdr:row>
      <xdr:rowOff>84455</xdr:rowOff>
    </xdr:from>
    <xdr:to>
      <xdr:col>5</xdr:col>
      <xdr:colOff>15240</xdr:colOff>
      <xdr:row>11</xdr:row>
      <xdr:rowOff>182245</xdr:rowOff>
    </xdr:to>
    <xdr:sp macro="" textlink="">
      <xdr:nvSpPr>
        <xdr:cNvPr id="1242989" name="Line 323"/>
        <xdr:cNvSpPr/>
      </xdr:nvSpPr>
      <xdr:spPr>
        <a:xfrm flipH="1">
          <a:off x="1051560" y="2812415"/>
          <a:ext cx="41148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68580</xdr:colOff>
      <xdr:row>10</xdr:row>
      <xdr:rowOff>84455</xdr:rowOff>
    </xdr:from>
    <xdr:to>
      <xdr:col>9</xdr:col>
      <xdr:colOff>198120</xdr:colOff>
      <xdr:row>11</xdr:row>
      <xdr:rowOff>182245</xdr:rowOff>
    </xdr:to>
    <xdr:sp macro="" textlink="">
      <xdr:nvSpPr>
        <xdr:cNvPr id="1242990" name="Line 324"/>
        <xdr:cNvSpPr/>
      </xdr:nvSpPr>
      <xdr:spPr>
        <a:xfrm flipH="1">
          <a:off x="2514600" y="2812415"/>
          <a:ext cx="411480" cy="34544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68580</xdr:colOff>
      <xdr:row>11</xdr:row>
      <xdr:rowOff>38100</xdr:rowOff>
    </xdr:from>
    <xdr:to>
      <xdr:col>9</xdr:col>
      <xdr:colOff>259080</xdr:colOff>
      <xdr:row>11</xdr:row>
      <xdr:rowOff>197485</xdr:rowOff>
    </xdr:to>
    <xdr:sp macro="" textlink="">
      <xdr:nvSpPr>
        <xdr:cNvPr id="1242991" name="Line 325"/>
        <xdr:cNvSpPr/>
      </xdr:nvSpPr>
      <xdr:spPr>
        <a:xfrm flipH="1">
          <a:off x="2796540" y="3013710"/>
          <a:ext cx="190500" cy="159385"/>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129540</xdr:colOff>
      <xdr:row>22</xdr:row>
      <xdr:rowOff>45720</xdr:rowOff>
    </xdr:from>
    <xdr:to>
      <xdr:col>8</xdr:col>
      <xdr:colOff>274320</xdr:colOff>
      <xdr:row>23</xdr:row>
      <xdr:rowOff>106680</xdr:rowOff>
    </xdr:to>
    <xdr:sp macro="" textlink="">
      <xdr:nvSpPr>
        <xdr:cNvPr id="1242992" name="Line 326"/>
        <xdr:cNvSpPr/>
      </xdr:nvSpPr>
      <xdr:spPr>
        <a:xfrm>
          <a:off x="2575560" y="5829300"/>
          <a:ext cx="144780" cy="316230"/>
        </a:xfrm>
        <a:prstGeom prst="line">
          <a:avLst/>
        </a:prstGeom>
        <a:ln w="9525" cap="flat" cmpd="sng">
          <a:solidFill>
            <a:srgbClr val="000000"/>
          </a:solidFill>
          <a:prstDash val="solid"/>
          <a:round/>
          <a:headEnd type="arrow" w="sm" len="sm"/>
          <a:tailEnd type="oval" w="sm" len="sm"/>
        </a:ln>
      </xdr:spPr>
    </xdr:sp>
    <xdr:clientData/>
  </xdr:twoCellAnchor>
  <xdr:twoCellAnchor>
    <xdr:from>
      <xdr:col>14</xdr:col>
      <xdr:colOff>160020</xdr:colOff>
      <xdr:row>14</xdr:row>
      <xdr:rowOff>121920</xdr:rowOff>
    </xdr:from>
    <xdr:to>
      <xdr:col>15</xdr:col>
      <xdr:colOff>30480</xdr:colOff>
      <xdr:row>14</xdr:row>
      <xdr:rowOff>121920</xdr:rowOff>
    </xdr:to>
    <xdr:sp macro="" textlink="">
      <xdr:nvSpPr>
        <xdr:cNvPr id="1242993" name="Line 327"/>
        <xdr:cNvSpPr/>
      </xdr:nvSpPr>
      <xdr:spPr>
        <a:xfrm flipH="1">
          <a:off x="4335780" y="3863340"/>
          <a:ext cx="15240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17</xdr:col>
      <xdr:colOff>0</xdr:colOff>
      <xdr:row>14</xdr:row>
      <xdr:rowOff>137795</xdr:rowOff>
    </xdr:from>
    <xdr:to>
      <xdr:col>18</xdr:col>
      <xdr:colOff>91440</xdr:colOff>
      <xdr:row>14</xdr:row>
      <xdr:rowOff>137795</xdr:rowOff>
    </xdr:to>
    <xdr:sp macro="" textlink="">
      <xdr:nvSpPr>
        <xdr:cNvPr id="1242994" name="Line 328"/>
        <xdr:cNvSpPr/>
      </xdr:nvSpPr>
      <xdr:spPr>
        <a:xfrm>
          <a:off x="5173980" y="3879215"/>
          <a:ext cx="37338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6</xdr:col>
      <xdr:colOff>7620</xdr:colOff>
      <xdr:row>14</xdr:row>
      <xdr:rowOff>121920</xdr:rowOff>
    </xdr:from>
    <xdr:to>
      <xdr:col>7</xdr:col>
      <xdr:colOff>114300</xdr:colOff>
      <xdr:row>14</xdr:row>
      <xdr:rowOff>121920</xdr:rowOff>
    </xdr:to>
    <xdr:sp macro="" textlink="">
      <xdr:nvSpPr>
        <xdr:cNvPr id="1242995" name="Line 330"/>
        <xdr:cNvSpPr/>
      </xdr:nvSpPr>
      <xdr:spPr>
        <a:xfrm>
          <a:off x="1889760" y="3863340"/>
          <a:ext cx="388620" cy="0"/>
        </a:xfrm>
        <a:prstGeom prst="line">
          <a:avLst/>
        </a:prstGeom>
        <a:ln w="9525" cap="flat" cmpd="sng">
          <a:solidFill>
            <a:srgbClr val="000000"/>
          </a:solidFill>
          <a:prstDash val="solid"/>
          <a:round/>
          <a:headEnd type="none" w="med" len="med"/>
          <a:tailEnd type="arrow" w="sm" len="sm"/>
        </a:ln>
      </xdr:spPr>
    </xdr:sp>
    <xdr:clientData/>
  </xdr:twoCellAnchor>
  <xdr:twoCellAnchor>
    <xdr:from>
      <xdr:col>3</xdr:col>
      <xdr:colOff>167640</xdr:colOff>
      <xdr:row>14</xdr:row>
      <xdr:rowOff>114935</xdr:rowOff>
    </xdr:from>
    <xdr:to>
      <xdr:col>4</xdr:col>
      <xdr:colOff>22860</xdr:colOff>
      <xdr:row>14</xdr:row>
      <xdr:rowOff>114935</xdr:rowOff>
    </xdr:to>
    <xdr:sp macro="" textlink="">
      <xdr:nvSpPr>
        <xdr:cNvPr id="1242996" name="Line 331"/>
        <xdr:cNvSpPr/>
      </xdr:nvSpPr>
      <xdr:spPr>
        <a:xfrm flipV="1">
          <a:off x="1051560" y="3856355"/>
          <a:ext cx="137160" cy="0"/>
        </a:xfrm>
        <a:prstGeom prst="line">
          <a:avLst/>
        </a:prstGeom>
        <a:ln w="9525" cap="flat" cmpd="sng">
          <a:solidFill>
            <a:srgbClr val="000000"/>
          </a:solidFill>
          <a:prstDash val="solid"/>
          <a:round/>
          <a:headEnd type="arrow" w="sm" len="sm"/>
          <a:tailEnd type="none" w="med" len="med"/>
        </a:ln>
      </xdr:spPr>
    </xdr:sp>
    <xdr:clientData/>
  </xdr:twoCellAnchor>
  <xdr:twoCellAnchor>
    <xdr:from>
      <xdr:col>18</xdr:col>
      <xdr:colOff>99060</xdr:colOff>
      <xdr:row>8</xdr:row>
      <xdr:rowOff>182245</xdr:rowOff>
    </xdr:from>
    <xdr:to>
      <xdr:col>20</xdr:col>
      <xdr:colOff>76200</xdr:colOff>
      <xdr:row>8</xdr:row>
      <xdr:rowOff>182245</xdr:rowOff>
    </xdr:to>
    <xdr:sp macro="" textlink="">
      <xdr:nvSpPr>
        <xdr:cNvPr id="1242997" name="Line 337"/>
        <xdr:cNvSpPr/>
      </xdr:nvSpPr>
      <xdr:spPr>
        <a:xfrm>
          <a:off x="5554980" y="2399665"/>
          <a:ext cx="533400" cy="0"/>
        </a:xfrm>
        <a:prstGeom prst="line">
          <a:avLst/>
        </a:prstGeom>
        <a:ln w="6350" cap="flat" cmpd="sng">
          <a:solidFill>
            <a:srgbClr val="000000"/>
          </a:solidFill>
          <a:prstDash val="solid"/>
          <a:round/>
          <a:headEnd type="none" w="med" len="med"/>
          <a:tailEnd type="none" w="med" len="med"/>
        </a:ln>
      </xdr:spPr>
    </xdr:sp>
    <xdr:clientData/>
  </xdr:twoCellAnchor>
  <xdr:twoCellAnchor>
    <xdr:from>
      <xdr:col>20</xdr:col>
      <xdr:colOff>0</xdr:colOff>
      <xdr:row>8</xdr:row>
      <xdr:rowOff>182245</xdr:rowOff>
    </xdr:from>
    <xdr:to>
      <xdr:col>20</xdr:col>
      <xdr:colOff>0</xdr:colOff>
      <xdr:row>9</xdr:row>
      <xdr:rowOff>114935</xdr:rowOff>
    </xdr:to>
    <xdr:sp macro="" textlink="">
      <xdr:nvSpPr>
        <xdr:cNvPr id="1242998" name="Line 339"/>
        <xdr:cNvSpPr/>
      </xdr:nvSpPr>
      <xdr:spPr>
        <a:xfrm>
          <a:off x="6012180" y="2399665"/>
          <a:ext cx="0" cy="187960"/>
        </a:xfrm>
        <a:prstGeom prst="line">
          <a:avLst/>
        </a:prstGeom>
        <a:ln w="9525" cap="flat" cmpd="sng">
          <a:solidFill>
            <a:srgbClr val="000000"/>
          </a:solidFill>
          <a:prstDash val="solid"/>
          <a:round/>
          <a:headEnd type="arrow" w="sm" len="sm"/>
          <a:tailEnd type="none" w="sm" len="sm"/>
        </a:ln>
      </xdr:spPr>
    </xdr:sp>
    <xdr:clientData/>
  </xdr:twoCellAnchor>
  <xdr:twoCellAnchor>
    <xdr:from>
      <xdr:col>20</xdr:col>
      <xdr:colOff>0</xdr:colOff>
      <xdr:row>7</xdr:row>
      <xdr:rowOff>8255</xdr:rowOff>
    </xdr:from>
    <xdr:to>
      <xdr:col>20</xdr:col>
      <xdr:colOff>0</xdr:colOff>
      <xdr:row>8</xdr:row>
      <xdr:rowOff>75565</xdr:rowOff>
    </xdr:to>
    <xdr:sp macro="" textlink="">
      <xdr:nvSpPr>
        <xdr:cNvPr id="1242999" name="Line 340"/>
        <xdr:cNvSpPr/>
      </xdr:nvSpPr>
      <xdr:spPr>
        <a:xfrm flipH="1" flipV="1">
          <a:off x="6012180" y="1970405"/>
          <a:ext cx="0" cy="322580"/>
        </a:xfrm>
        <a:prstGeom prst="line">
          <a:avLst/>
        </a:prstGeom>
        <a:ln w="9525" cap="flat" cmpd="sng">
          <a:solidFill>
            <a:srgbClr val="000000"/>
          </a:solidFill>
          <a:prstDash val="solid"/>
          <a:round/>
          <a:headEnd type="arrow" w="sm" len="sm"/>
          <a:tailEnd type="oval" w="sm" len="sm"/>
        </a:ln>
      </xdr:spPr>
    </xdr:sp>
    <xdr:clientData/>
  </xdr:twoCellAnchor>
  <xdr:twoCellAnchor>
    <xdr:from>
      <xdr:col>20</xdr:col>
      <xdr:colOff>0</xdr:colOff>
      <xdr:row>7</xdr:row>
      <xdr:rowOff>159385</xdr:rowOff>
    </xdr:from>
    <xdr:to>
      <xdr:col>20</xdr:col>
      <xdr:colOff>0</xdr:colOff>
      <xdr:row>8</xdr:row>
      <xdr:rowOff>175260</xdr:rowOff>
    </xdr:to>
    <xdr:sp macro="" textlink="">
      <xdr:nvSpPr>
        <xdr:cNvPr id="1243000" name="Line 352"/>
        <xdr:cNvSpPr/>
      </xdr:nvSpPr>
      <xdr:spPr>
        <a:xfrm>
          <a:off x="6012180" y="2121535"/>
          <a:ext cx="0" cy="271145"/>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76200</xdr:colOff>
      <xdr:row>20</xdr:row>
      <xdr:rowOff>159385</xdr:rowOff>
    </xdr:from>
    <xdr:to>
      <xdr:col>8</xdr:col>
      <xdr:colOff>76200</xdr:colOff>
      <xdr:row>21</xdr:row>
      <xdr:rowOff>236220</xdr:rowOff>
    </xdr:to>
    <xdr:sp macro="" textlink="">
      <xdr:nvSpPr>
        <xdr:cNvPr id="1243001" name="Line 354"/>
        <xdr:cNvSpPr/>
      </xdr:nvSpPr>
      <xdr:spPr>
        <a:xfrm>
          <a:off x="2522220" y="5432425"/>
          <a:ext cx="0" cy="332105"/>
        </a:xfrm>
        <a:prstGeom prst="line">
          <a:avLst/>
        </a:prstGeom>
        <a:ln w="38100" cap="flat" cmpd="sng">
          <a:solidFill>
            <a:srgbClr val="000000"/>
          </a:solidFill>
          <a:prstDash val="solid"/>
          <a:round/>
          <a:headEnd type="none" w="med" len="med"/>
          <a:tailEnd type="none" w="med" len="med"/>
        </a:ln>
      </xdr:spPr>
    </xdr:sp>
    <xdr:clientData/>
  </xdr:twoCellAnchor>
  <xdr:twoCellAnchor>
    <xdr:from>
      <xdr:col>11</xdr:col>
      <xdr:colOff>114300</xdr:colOff>
      <xdr:row>16</xdr:row>
      <xdr:rowOff>15240</xdr:rowOff>
    </xdr:from>
    <xdr:to>
      <xdr:col>11</xdr:col>
      <xdr:colOff>243840</xdr:colOff>
      <xdr:row>16</xdr:row>
      <xdr:rowOff>159385</xdr:rowOff>
    </xdr:to>
    <xdr:sp macro="" textlink="">
      <xdr:nvSpPr>
        <xdr:cNvPr id="1243002" name="Rectangle 355"/>
        <xdr:cNvSpPr/>
      </xdr:nvSpPr>
      <xdr:spPr>
        <a:xfrm>
          <a:off x="3406140" y="4267200"/>
          <a:ext cx="129540" cy="144145"/>
        </a:xfrm>
        <a:prstGeom prst="rect">
          <a:avLst/>
        </a:prstGeom>
        <a:solidFill>
          <a:srgbClr val="FFFFFF">
            <a:alpha val="100000"/>
          </a:srgbClr>
        </a:solidFill>
        <a:ln w="9525">
          <a:noFill/>
        </a:ln>
      </xdr:spPr>
    </xdr:sp>
    <xdr:clientData/>
  </xdr:twoCellAnchor>
  <xdr:twoCellAnchor>
    <xdr:from>
      <xdr:col>3</xdr:col>
      <xdr:colOff>236220</xdr:colOff>
      <xdr:row>16</xdr:row>
      <xdr:rowOff>0</xdr:rowOff>
    </xdr:from>
    <xdr:to>
      <xdr:col>4</xdr:col>
      <xdr:colOff>99060</xdr:colOff>
      <xdr:row>16</xdr:row>
      <xdr:rowOff>144780</xdr:rowOff>
    </xdr:to>
    <xdr:sp macro="" textlink="">
      <xdr:nvSpPr>
        <xdr:cNvPr id="1243003" name="Rectangle 356"/>
        <xdr:cNvSpPr/>
      </xdr:nvSpPr>
      <xdr:spPr>
        <a:xfrm>
          <a:off x="1120140" y="4251960"/>
          <a:ext cx="144780" cy="144780"/>
        </a:xfrm>
        <a:prstGeom prst="rect">
          <a:avLst/>
        </a:prstGeom>
        <a:solidFill>
          <a:srgbClr val="FFFFFF">
            <a:alpha val="100000"/>
          </a:srgbClr>
        </a:solidFill>
        <a:ln w="9525">
          <a:noFill/>
        </a:ln>
      </xdr:spPr>
    </xdr:sp>
    <xdr:clientData/>
  </xdr:twoCellAnchor>
  <xdr:twoCellAnchor>
    <xdr:from>
      <xdr:col>4</xdr:col>
      <xdr:colOff>220980</xdr:colOff>
      <xdr:row>15</xdr:row>
      <xdr:rowOff>159385</xdr:rowOff>
    </xdr:from>
    <xdr:to>
      <xdr:col>5</xdr:col>
      <xdr:colOff>30480</xdr:colOff>
      <xdr:row>16</xdr:row>
      <xdr:rowOff>15240</xdr:rowOff>
    </xdr:to>
    <xdr:sp macro="" textlink="">
      <xdr:nvSpPr>
        <xdr:cNvPr id="1243004" name="Line 357"/>
        <xdr:cNvSpPr/>
      </xdr:nvSpPr>
      <xdr:spPr>
        <a:xfrm flipV="1">
          <a:off x="1386840" y="4156075"/>
          <a:ext cx="91440" cy="111125"/>
        </a:xfrm>
        <a:prstGeom prst="line">
          <a:avLst/>
        </a:prstGeom>
        <a:ln w="76200" cap="flat" cmpd="sng">
          <a:solidFill>
            <a:srgbClr val="FFFFFF"/>
          </a:solidFill>
          <a:prstDash val="solid"/>
          <a:round/>
          <a:headEnd type="none" w="med" len="med"/>
          <a:tailEnd type="none" w="med" len="med"/>
        </a:ln>
      </xdr:spPr>
    </xdr:sp>
    <xdr:clientData/>
  </xdr:twoCellAnchor>
  <xdr:twoCellAnchor>
    <xdr:from>
      <xdr:col>20</xdr:col>
      <xdr:colOff>68580</xdr:colOff>
      <xdr:row>9</xdr:row>
      <xdr:rowOff>152400</xdr:rowOff>
    </xdr:from>
    <xdr:to>
      <xdr:col>20</xdr:col>
      <xdr:colOff>167640</xdr:colOff>
      <xdr:row>9</xdr:row>
      <xdr:rowOff>236220</xdr:rowOff>
    </xdr:to>
    <xdr:sp macro="" textlink="">
      <xdr:nvSpPr>
        <xdr:cNvPr id="1243005" name="Line 360"/>
        <xdr:cNvSpPr/>
      </xdr:nvSpPr>
      <xdr:spPr>
        <a:xfrm>
          <a:off x="6080760" y="2625090"/>
          <a:ext cx="99060" cy="83820"/>
        </a:xfrm>
        <a:prstGeom prst="line">
          <a:avLst/>
        </a:prstGeom>
        <a:ln w="12700" cap="flat" cmpd="sng">
          <a:solidFill>
            <a:srgbClr val="000000"/>
          </a:solidFill>
          <a:prstDash val="solid"/>
          <a:round/>
          <a:headEnd type="none" w="med" len="med"/>
          <a:tailEnd type="none" w="med" len="med"/>
        </a:ln>
      </xdr:spPr>
    </xdr:sp>
    <xdr:clientData/>
  </xdr:twoCellAnchor>
  <xdr:twoCellAnchor>
    <xdr:from>
      <xdr:col>20</xdr:col>
      <xdr:colOff>53340</xdr:colOff>
      <xdr:row>8</xdr:row>
      <xdr:rowOff>213360</xdr:rowOff>
    </xdr:from>
    <xdr:to>
      <xdr:col>20</xdr:col>
      <xdr:colOff>190500</xdr:colOff>
      <xdr:row>9</xdr:row>
      <xdr:rowOff>75565</xdr:rowOff>
    </xdr:to>
    <xdr:sp macro="" textlink="">
      <xdr:nvSpPr>
        <xdr:cNvPr id="1243006" name="Line 361"/>
        <xdr:cNvSpPr/>
      </xdr:nvSpPr>
      <xdr:spPr>
        <a:xfrm>
          <a:off x="6065520" y="2430780"/>
          <a:ext cx="137160" cy="117475"/>
        </a:xfrm>
        <a:prstGeom prst="line">
          <a:avLst/>
        </a:prstGeom>
        <a:ln w="12700" cap="flat" cmpd="sng">
          <a:solidFill>
            <a:srgbClr val="000000"/>
          </a:solidFill>
          <a:prstDash val="solid"/>
          <a:round/>
          <a:headEnd type="none" w="med" len="med"/>
          <a:tailEnd type="none" w="med" len="med"/>
        </a:ln>
      </xdr:spPr>
    </xdr:sp>
    <xdr:clientData/>
  </xdr:twoCellAnchor>
  <xdr:twoCellAnchor>
    <xdr:from>
      <xdr:col>20</xdr:col>
      <xdr:colOff>60960</xdr:colOff>
      <xdr:row>8</xdr:row>
      <xdr:rowOff>45720</xdr:rowOff>
    </xdr:from>
    <xdr:to>
      <xdr:col>20</xdr:col>
      <xdr:colOff>137160</xdr:colOff>
      <xdr:row>8</xdr:row>
      <xdr:rowOff>98425</xdr:rowOff>
    </xdr:to>
    <xdr:sp macro="" textlink="">
      <xdr:nvSpPr>
        <xdr:cNvPr id="1243007" name="Line 362"/>
        <xdr:cNvSpPr/>
      </xdr:nvSpPr>
      <xdr:spPr>
        <a:xfrm>
          <a:off x="6073140" y="2263140"/>
          <a:ext cx="76200" cy="52705"/>
        </a:xfrm>
        <a:prstGeom prst="line">
          <a:avLst/>
        </a:prstGeom>
        <a:ln w="12700" cap="flat" cmpd="sng">
          <a:solidFill>
            <a:srgbClr val="000000"/>
          </a:solidFill>
          <a:prstDash val="solid"/>
          <a:round/>
          <a:headEnd type="none" w="med" len="med"/>
          <a:tailEnd type="none" w="med" len="med"/>
        </a:ln>
      </xdr:spPr>
    </xdr:sp>
    <xdr:clientData/>
  </xdr:twoCellAnchor>
  <xdr:twoCellAnchor>
    <xdr:from>
      <xdr:col>7</xdr:col>
      <xdr:colOff>114300</xdr:colOff>
      <xdr:row>8</xdr:row>
      <xdr:rowOff>152400</xdr:rowOff>
    </xdr:from>
    <xdr:to>
      <xdr:col>9</xdr:col>
      <xdr:colOff>76200</xdr:colOff>
      <xdr:row>8</xdr:row>
      <xdr:rowOff>152400</xdr:rowOff>
    </xdr:to>
    <xdr:sp macro="" textlink="">
      <xdr:nvSpPr>
        <xdr:cNvPr id="1243008" name="Line 363"/>
        <xdr:cNvSpPr/>
      </xdr:nvSpPr>
      <xdr:spPr>
        <a:xfrm>
          <a:off x="2278380" y="2369820"/>
          <a:ext cx="525780" cy="0"/>
        </a:xfrm>
        <a:prstGeom prst="line">
          <a:avLst/>
        </a:prstGeom>
        <a:ln w="6350" cap="flat" cmpd="sng">
          <a:solidFill>
            <a:srgbClr val="000000"/>
          </a:solidFill>
          <a:prstDash val="solid"/>
          <a:round/>
          <a:headEnd type="none" w="med" len="med"/>
          <a:tailEnd type="none" w="med" len="med"/>
        </a:ln>
      </xdr:spPr>
    </xdr:sp>
    <xdr:clientData/>
  </xdr:twoCellAnchor>
  <xdr:twoCellAnchor>
    <xdr:from>
      <xdr:col>7</xdr:col>
      <xdr:colOff>121920</xdr:colOff>
      <xdr:row>8</xdr:row>
      <xdr:rowOff>52705</xdr:rowOff>
    </xdr:from>
    <xdr:to>
      <xdr:col>9</xdr:col>
      <xdr:colOff>60960</xdr:colOff>
      <xdr:row>8</xdr:row>
      <xdr:rowOff>52705</xdr:rowOff>
    </xdr:to>
    <xdr:sp macro="" textlink="">
      <xdr:nvSpPr>
        <xdr:cNvPr id="1243009" name="Line 364"/>
        <xdr:cNvSpPr/>
      </xdr:nvSpPr>
      <xdr:spPr>
        <a:xfrm>
          <a:off x="2286000" y="2270125"/>
          <a:ext cx="502920" cy="0"/>
        </a:xfrm>
        <a:prstGeom prst="line">
          <a:avLst/>
        </a:prstGeom>
        <a:ln w="6350" cap="flat" cmpd="sng">
          <a:solidFill>
            <a:srgbClr val="000000"/>
          </a:solidFill>
          <a:prstDash val="solid"/>
          <a:round/>
          <a:headEnd type="none" w="med" len="med"/>
          <a:tailEnd type="none" w="med" len="med"/>
        </a:ln>
      </xdr:spPr>
    </xdr:sp>
    <xdr:clientData/>
  </xdr:twoCellAnchor>
  <xdr:twoCellAnchor>
    <xdr:from>
      <xdr:col>18</xdr:col>
      <xdr:colOff>99060</xdr:colOff>
      <xdr:row>8</xdr:row>
      <xdr:rowOff>83820</xdr:rowOff>
    </xdr:from>
    <xdr:to>
      <xdr:col>20</xdr:col>
      <xdr:colOff>76200</xdr:colOff>
      <xdr:row>8</xdr:row>
      <xdr:rowOff>83820</xdr:rowOff>
    </xdr:to>
    <xdr:sp macro="" textlink="">
      <xdr:nvSpPr>
        <xdr:cNvPr id="1243010" name="Line 369"/>
        <xdr:cNvSpPr/>
      </xdr:nvSpPr>
      <xdr:spPr>
        <a:xfrm>
          <a:off x="5554980" y="2301240"/>
          <a:ext cx="533400" cy="0"/>
        </a:xfrm>
        <a:prstGeom prst="line">
          <a:avLst/>
        </a:prstGeom>
        <a:ln w="6350" cap="flat" cmpd="sng">
          <a:solidFill>
            <a:srgbClr val="000000"/>
          </a:solidFill>
          <a:prstDash val="solid"/>
          <a:round/>
          <a:headEnd type="none" w="med" len="med"/>
          <a:tailEnd type="none" w="med" len="med"/>
        </a:ln>
      </xdr:spPr>
    </xdr:sp>
    <xdr:clientData/>
  </xdr:twoCellAnchor>
  <xdr:twoCellAnchor>
    <xdr:from>
      <xdr:col>9</xdr:col>
      <xdr:colOff>0</xdr:colOff>
      <xdr:row>7</xdr:row>
      <xdr:rowOff>0</xdr:rowOff>
    </xdr:from>
    <xdr:to>
      <xdr:col>9</xdr:col>
      <xdr:colOff>0</xdr:colOff>
      <xdr:row>8</xdr:row>
      <xdr:rowOff>52705</xdr:rowOff>
    </xdr:to>
    <xdr:sp macro="" textlink="">
      <xdr:nvSpPr>
        <xdr:cNvPr id="1243011" name="Line 370"/>
        <xdr:cNvSpPr/>
      </xdr:nvSpPr>
      <xdr:spPr>
        <a:xfrm>
          <a:off x="2727960" y="1962150"/>
          <a:ext cx="0" cy="307975"/>
        </a:xfrm>
        <a:prstGeom prst="line">
          <a:avLst/>
        </a:prstGeom>
        <a:ln w="9525" cap="flat" cmpd="sng">
          <a:solidFill>
            <a:srgbClr val="000000"/>
          </a:solidFill>
          <a:prstDash val="solid"/>
          <a:round/>
          <a:headEnd type="oval" w="sm" len="sm"/>
          <a:tailEnd type="arrow" w="sm" len="sm"/>
        </a:ln>
      </xdr:spPr>
    </xdr:sp>
    <xdr:clientData/>
  </xdr:twoCellAnchor>
  <xdr:twoCellAnchor>
    <xdr:from>
      <xdr:col>9</xdr:col>
      <xdr:colOff>83820</xdr:colOff>
      <xdr:row>8</xdr:row>
      <xdr:rowOff>182245</xdr:rowOff>
    </xdr:from>
    <xdr:to>
      <xdr:col>9</xdr:col>
      <xdr:colOff>167640</xdr:colOff>
      <xdr:row>9</xdr:row>
      <xdr:rowOff>0</xdr:rowOff>
    </xdr:to>
    <xdr:sp macro="" textlink="">
      <xdr:nvSpPr>
        <xdr:cNvPr id="1243012" name="Line 373"/>
        <xdr:cNvSpPr/>
      </xdr:nvSpPr>
      <xdr:spPr>
        <a:xfrm>
          <a:off x="2811780" y="2399665"/>
          <a:ext cx="83820" cy="73025"/>
        </a:xfrm>
        <a:prstGeom prst="line">
          <a:avLst/>
        </a:prstGeom>
        <a:ln w="12700" cap="flat" cmpd="sng">
          <a:solidFill>
            <a:srgbClr val="000000"/>
          </a:solidFill>
          <a:prstDash val="solid"/>
          <a:round/>
          <a:headEnd type="none" w="med" len="med"/>
          <a:tailEnd type="none" w="med" len="med"/>
        </a:ln>
      </xdr:spPr>
    </xdr:sp>
    <xdr:clientData/>
  </xdr:twoCellAnchor>
  <xdr:twoCellAnchor>
    <xdr:from>
      <xdr:col>9</xdr:col>
      <xdr:colOff>0</xdr:colOff>
      <xdr:row>8</xdr:row>
      <xdr:rowOff>52705</xdr:rowOff>
    </xdr:from>
    <xdr:to>
      <xdr:col>9</xdr:col>
      <xdr:colOff>0</xdr:colOff>
      <xdr:row>8</xdr:row>
      <xdr:rowOff>151765</xdr:rowOff>
    </xdr:to>
    <xdr:sp macro="" textlink="">
      <xdr:nvSpPr>
        <xdr:cNvPr id="1243013" name="Line 375"/>
        <xdr:cNvSpPr/>
      </xdr:nvSpPr>
      <xdr:spPr>
        <a:xfrm>
          <a:off x="2727960" y="2270125"/>
          <a:ext cx="0" cy="9906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0</xdr:colOff>
      <xdr:row>8</xdr:row>
      <xdr:rowOff>152400</xdr:rowOff>
    </xdr:from>
    <xdr:to>
      <xdr:col>9</xdr:col>
      <xdr:colOff>0</xdr:colOff>
      <xdr:row>9</xdr:row>
      <xdr:rowOff>38100</xdr:rowOff>
    </xdr:to>
    <xdr:sp macro="" textlink="">
      <xdr:nvSpPr>
        <xdr:cNvPr id="1243014" name="Line 376"/>
        <xdr:cNvSpPr/>
      </xdr:nvSpPr>
      <xdr:spPr>
        <a:xfrm>
          <a:off x="2727960" y="2369820"/>
          <a:ext cx="0" cy="140970"/>
        </a:xfrm>
        <a:prstGeom prst="line">
          <a:avLst/>
        </a:prstGeom>
        <a:ln w="9525" cap="flat" cmpd="sng">
          <a:solidFill>
            <a:srgbClr val="000000"/>
          </a:solidFill>
          <a:prstDash val="solid"/>
          <a:round/>
          <a:headEnd type="arrow" w="sm" len="sm"/>
          <a:tailEnd type="none" w="sm" len="sm"/>
        </a:ln>
      </xdr:spPr>
    </xdr:sp>
    <xdr:clientData/>
  </xdr:twoCellAnchor>
  <xdr:twoCellAnchor>
    <xdr:from>
      <xdr:col>11</xdr:col>
      <xdr:colOff>236220</xdr:colOff>
      <xdr:row>16</xdr:row>
      <xdr:rowOff>175260</xdr:rowOff>
    </xdr:from>
    <xdr:to>
      <xdr:col>13</xdr:col>
      <xdr:colOff>289560</xdr:colOff>
      <xdr:row>16</xdr:row>
      <xdr:rowOff>175260</xdr:rowOff>
    </xdr:to>
    <xdr:sp macro="" textlink="">
      <xdr:nvSpPr>
        <xdr:cNvPr id="1243015" name="Line 377"/>
        <xdr:cNvSpPr/>
      </xdr:nvSpPr>
      <xdr:spPr>
        <a:xfrm>
          <a:off x="3528060" y="4427220"/>
          <a:ext cx="586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175260</xdr:colOff>
      <xdr:row>16</xdr:row>
      <xdr:rowOff>175260</xdr:rowOff>
    </xdr:from>
    <xdr:to>
      <xdr:col>13</xdr:col>
      <xdr:colOff>175260</xdr:colOff>
      <xdr:row>17</xdr:row>
      <xdr:rowOff>175260</xdr:rowOff>
    </xdr:to>
    <xdr:sp macro="" textlink="">
      <xdr:nvSpPr>
        <xdr:cNvPr id="1243016" name="Line 378"/>
        <xdr:cNvSpPr/>
      </xdr:nvSpPr>
      <xdr:spPr>
        <a:xfrm flipV="1">
          <a:off x="4000500" y="4427220"/>
          <a:ext cx="0" cy="255270"/>
        </a:xfrm>
        <a:prstGeom prst="line">
          <a:avLst/>
        </a:prstGeom>
        <a:ln w="9525" cap="flat" cmpd="sng">
          <a:solidFill>
            <a:srgbClr val="000000"/>
          </a:solidFill>
          <a:prstDash val="solid"/>
          <a:round/>
          <a:headEnd type="arrow" w="sm" len="sm"/>
          <a:tailEnd type="arrow" w="sm" len="sm"/>
        </a:ln>
      </xdr:spPr>
    </xdr:sp>
    <xdr:clientData/>
  </xdr:twoCellAnchor>
  <xdr:twoCellAnchor>
    <xdr:from>
      <xdr:col>13</xdr:col>
      <xdr:colOff>175260</xdr:colOff>
      <xdr:row>16</xdr:row>
      <xdr:rowOff>0</xdr:rowOff>
    </xdr:from>
    <xdr:to>
      <xdr:col>13</xdr:col>
      <xdr:colOff>175260</xdr:colOff>
      <xdr:row>16</xdr:row>
      <xdr:rowOff>175260</xdr:rowOff>
    </xdr:to>
    <xdr:sp macro="" textlink="">
      <xdr:nvSpPr>
        <xdr:cNvPr id="1243017" name="Line 379"/>
        <xdr:cNvSpPr/>
      </xdr:nvSpPr>
      <xdr:spPr>
        <a:xfrm flipV="1">
          <a:off x="4000500" y="4251960"/>
          <a:ext cx="0" cy="17526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198120</xdr:colOff>
      <xdr:row>11</xdr:row>
      <xdr:rowOff>38100</xdr:rowOff>
    </xdr:from>
    <xdr:to>
      <xdr:col>16</xdr:col>
      <xdr:colOff>198120</xdr:colOff>
      <xdr:row>12</xdr:row>
      <xdr:rowOff>0</xdr:rowOff>
    </xdr:to>
    <xdr:sp macro="" textlink="">
      <xdr:nvSpPr>
        <xdr:cNvPr id="1243018" name="Line 389"/>
        <xdr:cNvSpPr/>
      </xdr:nvSpPr>
      <xdr:spPr>
        <a:xfrm flipV="1">
          <a:off x="4937760" y="3013710"/>
          <a:ext cx="0" cy="217170"/>
        </a:xfrm>
        <a:prstGeom prst="line">
          <a:avLst/>
        </a:prstGeom>
        <a:ln w="38100" cap="flat" cmpd="sng">
          <a:solidFill>
            <a:srgbClr val="000000"/>
          </a:solidFill>
          <a:prstDash val="solid"/>
          <a:round/>
          <a:headEnd type="none" w="med" len="med"/>
          <a:tailEnd type="triangle" w="sm" len="sm"/>
        </a:ln>
      </xdr:spPr>
    </xdr: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180340</xdr:colOff>
      <xdr:row>10</xdr:row>
      <xdr:rowOff>155575</xdr:rowOff>
    </xdr:from>
    <xdr:to>
      <xdr:col>10</xdr:col>
      <xdr:colOff>198120</xdr:colOff>
      <xdr:row>10</xdr:row>
      <xdr:rowOff>157480</xdr:rowOff>
    </xdr:to>
    <xdr:cxnSp macro="">
      <xdr:nvCxnSpPr>
        <xdr:cNvPr id="2" name="直接箭头连接符 14"/>
        <xdr:cNvCxnSpPr/>
      </xdr:nvCxnSpPr>
      <xdr:spPr>
        <a:xfrm rot="5400000" flipH="1" flipV="1">
          <a:off x="6584950" y="840740"/>
          <a:ext cx="1905" cy="310388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491491</xdr:colOff>
      <xdr:row>18</xdr:row>
      <xdr:rowOff>76201</xdr:rowOff>
    </xdr:from>
    <xdr:to>
      <xdr:col>15</xdr:col>
      <xdr:colOff>588654</xdr:colOff>
      <xdr:row>18</xdr:row>
      <xdr:rowOff>85725</xdr:rowOff>
    </xdr:to>
    <xdr:cxnSp macro="">
      <xdr:nvCxnSpPr>
        <xdr:cNvPr id="3" name="直接箭头连接符 15"/>
        <xdr:cNvCxnSpPr/>
      </xdr:nvCxnSpPr>
      <xdr:spPr>
        <a:xfrm>
          <a:off x="6579870" y="3928110"/>
          <a:ext cx="5034915" cy="95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501015</xdr:colOff>
      <xdr:row>8</xdr:row>
      <xdr:rowOff>93346</xdr:rowOff>
    </xdr:from>
    <xdr:to>
      <xdr:col>8</xdr:col>
      <xdr:colOff>502920</xdr:colOff>
      <xdr:row>18</xdr:row>
      <xdr:rowOff>66676</xdr:rowOff>
    </xdr:to>
    <xdr:cxnSp macro="">
      <xdr:nvCxnSpPr>
        <xdr:cNvPr id="4" name="直接连接符 16"/>
        <xdr:cNvCxnSpPr/>
      </xdr:nvCxnSpPr>
      <xdr:spPr>
        <a:xfrm rot="5400000" flipH="1" flipV="1">
          <a:off x="5902325" y="2612390"/>
          <a:ext cx="1992630" cy="619125"/>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521970</xdr:colOff>
      <xdr:row>8</xdr:row>
      <xdr:rowOff>93345</xdr:rowOff>
    </xdr:from>
    <xdr:to>
      <xdr:col>13</xdr:col>
      <xdr:colOff>512445</xdr:colOff>
      <xdr:row>8</xdr:row>
      <xdr:rowOff>97790</xdr:rowOff>
    </xdr:to>
    <xdr:cxnSp macro="">
      <xdr:nvCxnSpPr>
        <xdr:cNvPr id="5" name="直接连接符 17"/>
        <xdr:cNvCxnSpPr/>
      </xdr:nvCxnSpPr>
      <xdr:spPr>
        <a:xfrm>
          <a:off x="7227570" y="1925955"/>
          <a:ext cx="3076575" cy="444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521971</xdr:colOff>
      <xdr:row>8</xdr:row>
      <xdr:rowOff>95249</xdr:rowOff>
    </xdr:from>
    <xdr:to>
      <xdr:col>14</xdr:col>
      <xdr:colOff>491491</xdr:colOff>
      <xdr:row>18</xdr:row>
      <xdr:rowOff>85724</xdr:rowOff>
    </xdr:to>
    <xdr:cxnSp macro="">
      <xdr:nvCxnSpPr>
        <xdr:cNvPr id="6" name="直接连接符 18"/>
        <xdr:cNvCxnSpPr/>
      </xdr:nvCxnSpPr>
      <xdr:spPr>
        <a:xfrm rot="16200000" flipH="1">
          <a:off x="9601835" y="2639060"/>
          <a:ext cx="2009775" cy="58674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502921</xdr:colOff>
      <xdr:row>8</xdr:row>
      <xdr:rowOff>121920</xdr:rowOff>
    </xdr:from>
    <xdr:to>
      <xdr:col>8</xdr:col>
      <xdr:colOff>512446</xdr:colOff>
      <xdr:row>18</xdr:row>
      <xdr:rowOff>112395</xdr:rowOff>
    </xdr:to>
    <xdr:cxnSp macro="">
      <xdr:nvCxnSpPr>
        <xdr:cNvPr id="7" name="直接连接符 19"/>
        <xdr:cNvCxnSpPr/>
      </xdr:nvCxnSpPr>
      <xdr:spPr>
        <a:xfrm rot="5400000">
          <a:off x="6208395" y="2954655"/>
          <a:ext cx="2009775" cy="9525"/>
        </a:xfrm>
        <a:prstGeom prst="line">
          <a:avLst/>
        </a:prstGeom>
        <a:ln>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502921</xdr:colOff>
      <xdr:row>8</xdr:row>
      <xdr:rowOff>112395</xdr:rowOff>
    </xdr:from>
    <xdr:to>
      <xdr:col>13</xdr:col>
      <xdr:colOff>512446</xdr:colOff>
      <xdr:row>18</xdr:row>
      <xdr:rowOff>95257</xdr:rowOff>
    </xdr:to>
    <xdr:cxnSp macro="">
      <xdr:nvCxnSpPr>
        <xdr:cNvPr id="8" name="直接连接符 20"/>
        <xdr:cNvCxnSpPr/>
      </xdr:nvCxnSpPr>
      <xdr:spPr>
        <a:xfrm rot="5400000">
          <a:off x="9297670" y="2941320"/>
          <a:ext cx="2002790" cy="9525"/>
        </a:xfrm>
        <a:prstGeom prst="line">
          <a:avLst/>
        </a:prstGeom>
        <a:ln>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219075</xdr:colOff>
      <xdr:row>3</xdr:row>
      <xdr:rowOff>0</xdr:rowOff>
    </xdr:from>
    <xdr:to>
      <xdr:col>7</xdr:col>
      <xdr:colOff>491541</xdr:colOff>
      <xdr:row>4</xdr:row>
      <xdr:rowOff>76200</xdr:rowOff>
    </xdr:to>
    <xdr:sp macro="" textlink="">
      <xdr:nvSpPr>
        <xdr:cNvPr id="9" name="矩形 21"/>
        <xdr:cNvSpPr/>
      </xdr:nvSpPr>
      <xdr:spPr>
        <a:xfrm>
          <a:off x="6307455" y="822960"/>
          <a:ext cx="272415" cy="2781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V</a:t>
          </a:r>
          <a:endParaRPr lang="zh-CN" altLang="en-US" sz="2800">
            <a:solidFill>
              <a:srgbClr val="FF0000"/>
            </a:solidFill>
          </a:endParaRPr>
        </a:p>
      </xdr:txBody>
    </xdr:sp>
    <xdr:clientData/>
  </xdr:twoCellAnchor>
  <xdr:twoCellAnchor>
    <xdr:from>
      <xdr:col>15</xdr:col>
      <xdr:colOff>304800</xdr:colOff>
      <xdr:row>18</xdr:row>
      <xdr:rowOff>171450</xdr:rowOff>
    </xdr:from>
    <xdr:to>
      <xdr:col>15</xdr:col>
      <xdr:colOff>531495</xdr:colOff>
      <xdr:row>20</xdr:row>
      <xdr:rowOff>49530</xdr:rowOff>
    </xdr:to>
    <xdr:sp macro="" textlink="">
      <xdr:nvSpPr>
        <xdr:cNvPr id="10" name="矩形 22"/>
        <xdr:cNvSpPr/>
      </xdr:nvSpPr>
      <xdr:spPr>
        <a:xfrm>
          <a:off x="11330940" y="4023360"/>
          <a:ext cx="226695"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a:t>
          </a:r>
          <a:endParaRPr lang="zh-CN" altLang="en-US" sz="2800">
            <a:solidFill>
              <a:srgbClr val="FF0000"/>
            </a:solidFill>
          </a:endParaRPr>
        </a:p>
      </xdr:txBody>
    </xdr:sp>
    <xdr:clientData/>
  </xdr:twoCellAnchor>
  <xdr:twoCellAnchor>
    <xdr:from>
      <xdr:col>8</xdr:col>
      <xdr:colOff>257175</xdr:colOff>
      <xdr:row>18</xdr:row>
      <xdr:rowOff>131445</xdr:rowOff>
    </xdr:from>
    <xdr:to>
      <xdr:col>9</xdr:col>
      <xdr:colOff>125759</xdr:colOff>
      <xdr:row>20</xdr:row>
      <xdr:rowOff>9525</xdr:rowOff>
    </xdr:to>
    <xdr:sp macro="" textlink="">
      <xdr:nvSpPr>
        <xdr:cNvPr id="11" name="矩形 23"/>
        <xdr:cNvSpPr/>
      </xdr:nvSpPr>
      <xdr:spPr>
        <a:xfrm>
          <a:off x="6962775" y="3983355"/>
          <a:ext cx="485775"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t1</a:t>
          </a:r>
          <a:endParaRPr lang="zh-CN" altLang="en-US" sz="2800">
            <a:solidFill>
              <a:srgbClr val="FF0000"/>
            </a:solidFill>
          </a:endParaRPr>
        </a:p>
      </xdr:txBody>
    </xdr:sp>
    <xdr:clientData/>
  </xdr:twoCellAnchor>
  <xdr:twoCellAnchor>
    <xdr:from>
      <xdr:col>13</xdr:col>
      <xdr:colOff>247650</xdr:colOff>
      <xdr:row>18</xdr:row>
      <xdr:rowOff>131445</xdr:rowOff>
    </xdr:from>
    <xdr:to>
      <xdr:col>14</xdr:col>
      <xdr:colOff>123825</xdr:colOff>
      <xdr:row>20</xdr:row>
      <xdr:rowOff>9525</xdr:rowOff>
    </xdr:to>
    <xdr:sp macro="" textlink="">
      <xdr:nvSpPr>
        <xdr:cNvPr id="12" name="矩形 24"/>
        <xdr:cNvSpPr/>
      </xdr:nvSpPr>
      <xdr:spPr>
        <a:xfrm>
          <a:off x="10039350" y="3983355"/>
          <a:ext cx="493395"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t2</a:t>
          </a:r>
          <a:endParaRPr lang="zh-CN" altLang="en-US" sz="2800">
            <a:solidFill>
              <a:srgbClr val="FF0000"/>
            </a:solidFill>
          </a:endParaRPr>
        </a:p>
      </xdr:txBody>
    </xdr:sp>
    <xdr:clientData/>
  </xdr:twoCellAnchor>
  <xdr:twoCellAnchor>
    <xdr:from>
      <xdr:col>7</xdr:col>
      <xdr:colOff>0</xdr:colOff>
      <xdr:row>7</xdr:row>
      <xdr:rowOff>85725</xdr:rowOff>
    </xdr:from>
    <xdr:to>
      <xdr:col>8</xdr:col>
      <xdr:colOff>76200</xdr:colOff>
      <xdr:row>8</xdr:row>
      <xdr:rowOff>160020</xdr:rowOff>
    </xdr:to>
    <xdr:sp macro="" textlink="">
      <xdr:nvSpPr>
        <xdr:cNvPr id="13" name="矩形 25"/>
        <xdr:cNvSpPr/>
      </xdr:nvSpPr>
      <xdr:spPr>
        <a:xfrm>
          <a:off x="6088380" y="1716405"/>
          <a:ext cx="693420" cy="2762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V</a:t>
          </a:r>
          <a:r>
            <a:rPr lang="en-US" altLang="zh-CN" sz="1600">
              <a:solidFill>
                <a:srgbClr val="FF0000"/>
              </a:solidFill>
            </a:rPr>
            <a:t>t1</a:t>
          </a:r>
          <a:endParaRPr lang="zh-CN" altLang="en-US" sz="1600">
            <a:solidFill>
              <a:srgbClr val="FF0000"/>
            </a:solidFill>
          </a:endParaRPr>
        </a:p>
      </xdr:txBody>
    </xdr:sp>
    <xdr:clientData/>
  </xdr:twoCellAnchor>
  <xdr:twoCellAnchor>
    <xdr:from>
      <xdr:col>14</xdr:col>
      <xdr:colOff>163830</xdr:colOff>
      <xdr:row>6</xdr:row>
      <xdr:rowOff>188595</xdr:rowOff>
    </xdr:from>
    <xdr:to>
      <xdr:col>15</xdr:col>
      <xdr:colOff>47714</xdr:colOff>
      <xdr:row>8</xdr:row>
      <xdr:rowOff>66675</xdr:rowOff>
    </xdr:to>
    <xdr:sp macro="" textlink="">
      <xdr:nvSpPr>
        <xdr:cNvPr id="14" name="矩形 26"/>
        <xdr:cNvSpPr/>
      </xdr:nvSpPr>
      <xdr:spPr>
        <a:xfrm>
          <a:off x="10572750" y="1617345"/>
          <a:ext cx="501015"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S</a:t>
          </a:r>
          <a:endParaRPr lang="zh-CN" altLang="en-US" sz="2800">
            <a:solidFill>
              <a:srgbClr val="FF0000"/>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7</xdr:col>
      <xdr:colOff>411480</xdr:colOff>
      <xdr:row>20</xdr:row>
      <xdr:rowOff>144780</xdr:rowOff>
    </xdr:from>
    <xdr:to>
      <xdr:col>15</xdr:col>
      <xdr:colOff>327660</xdr:colOff>
      <xdr:row>37</xdr:row>
      <xdr:rowOff>0</xdr:rowOff>
    </xdr:to>
    <xdr:graphicFrame macro="">
      <xdr:nvGraphicFramePr>
        <xdr:cNvPr id="1111067"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365760</xdr:colOff>
      <xdr:row>1</xdr:row>
      <xdr:rowOff>152400</xdr:rowOff>
    </xdr:from>
    <xdr:to>
      <xdr:col>15</xdr:col>
      <xdr:colOff>213360</xdr:colOff>
      <xdr:row>18</xdr:row>
      <xdr:rowOff>114300</xdr:rowOff>
    </xdr:to>
    <xdr:graphicFrame macro="">
      <xdr:nvGraphicFramePr>
        <xdr:cNvPr id="1111068"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8</xdr:col>
      <xdr:colOff>251460</xdr:colOff>
      <xdr:row>1</xdr:row>
      <xdr:rowOff>121285</xdr:rowOff>
    </xdr:from>
    <xdr:to>
      <xdr:col>16</xdr:col>
      <xdr:colOff>525780</xdr:colOff>
      <xdr:row>23</xdr:row>
      <xdr:rowOff>106680</xdr:rowOff>
    </xdr:to>
    <xdr:graphicFrame macro="">
      <xdr:nvGraphicFramePr>
        <xdr:cNvPr id="1191946"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7620</xdr:colOff>
      <xdr:row>22</xdr:row>
      <xdr:rowOff>175260</xdr:rowOff>
    </xdr:from>
    <xdr:to>
      <xdr:col>11</xdr:col>
      <xdr:colOff>60960</xdr:colOff>
      <xdr:row>45</xdr:row>
      <xdr:rowOff>76200</xdr:rowOff>
    </xdr:to>
    <xdr:pic>
      <xdr:nvPicPr>
        <xdr:cNvPr id="1192970" name="图片 4"/>
        <xdr:cNvPicPr>
          <a:picLocks noChangeAspect="1"/>
        </xdr:cNvPicPr>
      </xdr:nvPicPr>
      <xdr:blipFill>
        <a:blip xmlns:r="http://schemas.openxmlformats.org/officeDocument/2006/relationships" r:embed="rId1" cstate="print"/>
        <a:stretch>
          <a:fillRect/>
        </a:stretch>
      </xdr:blipFill>
      <xdr:spPr>
        <a:xfrm>
          <a:off x="617220" y="4587240"/>
          <a:ext cx="6149340" cy="4107180"/>
        </a:xfrm>
        <a:prstGeom prst="rect">
          <a:avLst/>
        </a:prstGeom>
        <a:noFill/>
        <a:ln w="9525">
          <a:noFill/>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10</xdr:col>
      <xdr:colOff>304800</xdr:colOff>
      <xdr:row>48</xdr:row>
      <xdr:rowOff>114300</xdr:rowOff>
    </xdr:from>
    <xdr:to>
      <xdr:col>19</xdr:col>
      <xdr:colOff>213360</xdr:colOff>
      <xdr:row>69</xdr:row>
      <xdr:rowOff>0</xdr:rowOff>
    </xdr:to>
    <xdr:pic>
      <xdr:nvPicPr>
        <xdr:cNvPr id="1194030" name="Picture 1"/>
        <xdr:cNvPicPr>
          <a:picLocks noChangeAspect="1"/>
        </xdr:cNvPicPr>
      </xdr:nvPicPr>
      <xdr:blipFill>
        <a:blip xmlns:r="http://schemas.openxmlformats.org/officeDocument/2006/relationships" r:embed="rId1" cstate="print"/>
        <a:stretch>
          <a:fillRect/>
        </a:stretch>
      </xdr:blipFill>
      <xdr:spPr>
        <a:xfrm>
          <a:off x="8214360" y="11003280"/>
          <a:ext cx="5943600" cy="4046220"/>
        </a:xfrm>
        <a:prstGeom prst="rect">
          <a:avLst/>
        </a:prstGeom>
        <a:noFill/>
        <a:ln w="1">
          <a:noFill/>
        </a:ln>
      </xdr:spPr>
    </xdr:pic>
    <xdr:clientData/>
  </xdr:twoCellAnchor>
  <xdr:twoCellAnchor editAs="oneCell">
    <xdr:from>
      <xdr:col>13</xdr:col>
      <xdr:colOff>579120</xdr:colOff>
      <xdr:row>2</xdr:row>
      <xdr:rowOff>0</xdr:rowOff>
    </xdr:from>
    <xdr:to>
      <xdr:col>22</xdr:col>
      <xdr:colOff>541020</xdr:colOff>
      <xdr:row>20</xdr:row>
      <xdr:rowOff>183515</xdr:rowOff>
    </xdr:to>
    <xdr:pic>
      <xdr:nvPicPr>
        <xdr:cNvPr id="1194031" name="Picture 2"/>
        <xdr:cNvPicPr>
          <a:picLocks noChangeAspect="1"/>
        </xdr:cNvPicPr>
      </xdr:nvPicPr>
      <xdr:blipFill>
        <a:blip xmlns:r="http://schemas.openxmlformats.org/officeDocument/2006/relationships" r:embed="rId2" cstate="print"/>
        <a:stretch>
          <a:fillRect/>
        </a:stretch>
      </xdr:blipFill>
      <xdr:spPr>
        <a:xfrm>
          <a:off x="10500360" y="977265"/>
          <a:ext cx="5996940" cy="4029710"/>
        </a:xfrm>
        <a:prstGeom prst="rect">
          <a:avLst/>
        </a:prstGeom>
        <a:noFill/>
        <a:ln w="1">
          <a:noFill/>
        </a:ln>
      </xdr:spPr>
    </xdr:pic>
    <xdr:clientData/>
  </xdr:twoCellAnchor>
  <xdr:twoCellAnchor editAs="oneCell">
    <xdr:from>
      <xdr:col>5</xdr:col>
      <xdr:colOff>662940</xdr:colOff>
      <xdr:row>61</xdr:row>
      <xdr:rowOff>30480</xdr:rowOff>
    </xdr:from>
    <xdr:to>
      <xdr:col>16</xdr:col>
      <xdr:colOff>472440</xdr:colOff>
      <xdr:row>94</xdr:row>
      <xdr:rowOff>122555</xdr:rowOff>
    </xdr:to>
    <xdr:pic>
      <xdr:nvPicPr>
        <xdr:cNvPr id="1194032" name="Picture 4"/>
        <xdr:cNvPicPr>
          <a:picLocks noChangeAspect="1"/>
        </xdr:cNvPicPr>
      </xdr:nvPicPr>
      <xdr:blipFill>
        <a:blip xmlns:r="http://schemas.openxmlformats.org/officeDocument/2006/relationships" r:embed="rId3" cstate="print"/>
        <a:stretch>
          <a:fillRect/>
        </a:stretch>
      </xdr:blipFill>
      <xdr:spPr>
        <a:xfrm>
          <a:off x="5013960" y="13495020"/>
          <a:ext cx="7391400" cy="6630035"/>
        </a:xfrm>
        <a:prstGeom prst="rect">
          <a:avLst/>
        </a:prstGeom>
        <a:noFill/>
        <a:ln w="1">
          <a:noFill/>
        </a:ln>
      </xdr:spPr>
    </xdr:pic>
    <xdr:clientData/>
  </xdr:twoCellAnchor>
  <xdr:twoCellAnchor editAs="oneCell">
    <xdr:from>
      <xdr:col>0</xdr:col>
      <xdr:colOff>0</xdr:colOff>
      <xdr:row>77</xdr:row>
      <xdr:rowOff>114300</xdr:rowOff>
    </xdr:from>
    <xdr:to>
      <xdr:col>5</xdr:col>
      <xdr:colOff>487680</xdr:colOff>
      <xdr:row>93</xdr:row>
      <xdr:rowOff>167640</xdr:rowOff>
    </xdr:to>
    <xdr:pic>
      <xdr:nvPicPr>
        <xdr:cNvPr id="1194033" name="Picture 5"/>
        <xdr:cNvPicPr>
          <a:picLocks noChangeAspect="1"/>
        </xdr:cNvPicPr>
      </xdr:nvPicPr>
      <xdr:blipFill>
        <a:blip xmlns:r="http://schemas.openxmlformats.org/officeDocument/2006/relationships" r:embed="rId4" cstate="print"/>
        <a:stretch>
          <a:fillRect/>
        </a:stretch>
      </xdr:blipFill>
      <xdr:spPr>
        <a:xfrm>
          <a:off x="0" y="16748760"/>
          <a:ext cx="4838700" cy="3223260"/>
        </a:xfrm>
        <a:prstGeom prst="rect">
          <a:avLst/>
        </a:prstGeom>
        <a:noFill/>
        <a:ln w="1">
          <a:noFill/>
        </a:ln>
      </xdr:spPr>
    </xdr:pic>
    <xdr:clientData/>
  </xdr:twoCellAnchor>
  <xdr:twoCellAnchor editAs="oneCell">
    <xdr:from>
      <xdr:col>5</xdr:col>
      <xdr:colOff>182880</xdr:colOff>
      <xdr:row>11</xdr:row>
      <xdr:rowOff>106680</xdr:rowOff>
    </xdr:from>
    <xdr:to>
      <xdr:col>11</xdr:col>
      <xdr:colOff>38100</xdr:colOff>
      <xdr:row>20</xdr:row>
      <xdr:rowOff>152400</xdr:rowOff>
    </xdr:to>
    <xdr:pic>
      <xdr:nvPicPr>
        <xdr:cNvPr id="1194034" name="Picture 6"/>
        <xdr:cNvPicPr>
          <a:picLocks noChangeAspect="1"/>
        </xdr:cNvPicPr>
      </xdr:nvPicPr>
      <xdr:blipFill>
        <a:blip xmlns:r="http://schemas.openxmlformats.org/officeDocument/2006/relationships" r:embed="rId5" cstate="print"/>
        <a:stretch>
          <a:fillRect/>
        </a:stretch>
      </xdr:blipFill>
      <xdr:spPr>
        <a:xfrm>
          <a:off x="4533900" y="3137535"/>
          <a:ext cx="4084320" cy="1838325"/>
        </a:xfrm>
        <a:prstGeom prst="rect">
          <a:avLst/>
        </a:prstGeom>
        <a:noFill/>
        <a:ln w="1">
          <a:noFill/>
        </a:ln>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6985</xdr:colOff>
      <xdr:row>12</xdr:row>
      <xdr:rowOff>0</xdr:rowOff>
    </xdr:from>
    <xdr:to>
      <xdr:col>6</xdr:col>
      <xdr:colOff>525780</xdr:colOff>
      <xdr:row>40</xdr:row>
      <xdr:rowOff>30480</xdr:rowOff>
    </xdr:to>
    <xdr:pic>
      <xdr:nvPicPr>
        <xdr:cNvPr id="1195018" name="图片 1"/>
        <xdr:cNvPicPr>
          <a:picLocks noChangeAspect="1"/>
        </xdr:cNvPicPr>
      </xdr:nvPicPr>
      <xdr:blipFill>
        <a:blip xmlns:r="http://schemas.openxmlformats.org/officeDocument/2006/relationships" r:embed="rId1" cstate="print"/>
        <a:stretch>
          <a:fillRect/>
        </a:stretch>
      </xdr:blipFill>
      <xdr:spPr>
        <a:xfrm>
          <a:off x="6985" y="3388995"/>
          <a:ext cx="8032115" cy="5577840"/>
        </a:xfrm>
        <a:prstGeom prst="rect">
          <a:avLst/>
        </a:prstGeom>
        <a:noFill/>
        <a:ln w="9525">
          <a:noFill/>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11</xdr:col>
      <xdr:colOff>518160</xdr:colOff>
      <xdr:row>0</xdr:row>
      <xdr:rowOff>7620</xdr:rowOff>
    </xdr:from>
    <xdr:to>
      <xdr:col>20</xdr:col>
      <xdr:colOff>426720</xdr:colOff>
      <xdr:row>20</xdr:row>
      <xdr:rowOff>91440</xdr:rowOff>
    </xdr:to>
    <xdr:pic>
      <xdr:nvPicPr>
        <xdr:cNvPr id="1196078" name="Picture 1"/>
        <xdr:cNvPicPr>
          <a:picLocks noChangeAspect="1"/>
        </xdr:cNvPicPr>
      </xdr:nvPicPr>
      <xdr:blipFill>
        <a:blip xmlns:r="http://schemas.openxmlformats.org/officeDocument/2006/relationships" r:embed="rId1" cstate="print"/>
        <a:stretch>
          <a:fillRect/>
        </a:stretch>
      </xdr:blipFill>
      <xdr:spPr>
        <a:xfrm>
          <a:off x="8481060" y="7620"/>
          <a:ext cx="5943600" cy="4046220"/>
        </a:xfrm>
        <a:prstGeom prst="rect">
          <a:avLst/>
        </a:prstGeom>
        <a:noFill/>
        <a:ln w="1">
          <a:noFill/>
        </a:ln>
      </xdr:spPr>
    </xdr:pic>
    <xdr:clientData/>
  </xdr:twoCellAnchor>
  <xdr:twoCellAnchor editAs="oneCell">
    <xdr:from>
      <xdr:col>4</xdr:col>
      <xdr:colOff>15240</xdr:colOff>
      <xdr:row>0</xdr:row>
      <xdr:rowOff>0</xdr:rowOff>
    </xdr:from>
    <xdr:to>
      <xdr:col>11</xdr:col>
      <xdr:colOff>518160</xdr:colOff>
      <xdr:row>12</xdr:row>
      <xdr:rowOff>45720</xdr:rowOff>
    </xdr:to>
    <xdr:pic>
      <xdr:nvPicPr>
        <xdr:cNvPr id="1196079" name="Picture 2"/>
        <xdr:cNvPicPr>
          <a:picLocks noChangeAspect="1"/>
        </xdr:cNvPicPr>
      </xdr:nvPicPr>
      <xdr:blipFill>
        <a:blip xmlns:r="http://schemas.openxmlformats.org/officeDocument/2006/relationships" r:embed="rId2" cstate="print"/>
        <a:stretch>
          <a:fillRect/>
        </a:stretch>
      </xdr:blipFill>
      <xdr:spPr>
        <a:xfrm>
          <a:off x="3284220" y="0"/>
          <a:ext cx="5196840" cy="2423160"/>
        </a:xfrm>
        <a:prstGeom prst="rect">
          <a:avLst/>
        </a:prstGeom>
        <a:noFill/>
        <a:ln w="1">
          <a:noFill/>
        </a:ln>
      </xdr:spPr>
    </xdr:pic>
    <xdr:clientData/>
  </xdr:twoCellAnchor>
  <xdr:twoCellAnchor editAs="oneCell">
    <xdr:from>
      <xdr:col>4</xdr:col>
      <xdr:colOff>7620</xdr:colOff>
      <xdr:row>21</xdr:row>
      <xdr:rowOff>174625</xdr:rowOff>
    </xdr:from>
    <xdr:to>
      <xdr:col>15</xdr:col>
      <xdr:colOff>15240</xdr:colOff>
      <xdr:row>55</xdr:row>
      <xdr:rowOff>83820</xdr:rowOff>
    </xdr:to>
    <xdr:pic>
      <xdr:nvPicPr>
        <xdr:cNvPr id="1196080" name="Picture 3"/>
        <xdr:cNvPicPr>
          <a:picLocks noChangeAspect="1"/>
        </xdr:cNvPicPr>
      </xdr:nvPicPr>
      <xdr:blipFill>
        <a:blip xmlns:r="http://schemas.openxmlformats.org/officeDocument/2006/relationships" r:embed="rId3" cstate="print"/>
        <a:stretch>
          <a:fillRect/>
        </a:stretch>
      </xdr:blipFill>
      <xdr:spPr>
        <a:xfrm>
          <a:off x="3276600" y="4335145"/>
          <a:ext cx="7383780" cy="6645275"/>
        </a:xfrm>
        <a:prstGeom prst="rect">
          <a:avLst/>
        </a:prstGeom>
        <a:noFill/>
        <a:ln w="1">
          <a:noFill/>
        </a:ln>
      </xdr:spPr>
    </xdr:pic>
    <xdr:clientData/>
  </xdr:twoCellAnchor>
  <xdr:twoCellAnchor editAs="oneCell">
    <xdr:from>
      <xdr:col>4</xdr:col>
      <xdr:colOff>15240</xdr:colOff>
      <xdr:row>44</xdr:row>
      <xdr:rowOff>160020</xdr:rowOff>
    </xdr:from>
    <xdr:to>
      <xdr:col>15</xdr:col>
      <xdr:colOff>45720</xdr:colOff>
      <xdr:row>69</xdr:row>
      <xdr:rowOff>129540</xdr:rowOff>
    </xdr:to>
    <xdr:pic>
      <xdr:nvPicPr>
        <xdr:cNvPr id="1196081" name="Picture 4"/>
        <xdr:cNvPicPr>
          <a:picLocks noChangeAspect="1"/>
        </xdr:cNvPicPr>
      </xdr:nvPicPr>
      <xdr:blipFill>
        <a:blip xmlns:r="http://schemas.openxmlformats.org/officeDocument/2006/relationships" r:embed="rId4" cstate="print"/>
        <a:stretch>
          <a:fillRect/>
        </a:stretch>
      </xdr:blipFill>
      <xdr:spPr>
        <a:xfrm>
          <a:off x="3284220" y="8877300"/>
          <a:ext cx="7406640" cy="4922520"/>
        </a:xfrm>
        <a:prstGeom prst="rect">
          <a:avLst/>
        </a:prstGeom>
        <a:noFill/>
        <a:ln w="1">
          <a:noFill/>
        </a:ln>
      </xdr:spPr>
    </xdr:pic>
    <xdr:clientData/>
  </xdr:twoCellAnchor>
  <xdr:twoCellAnchor editAs="oneCell">
    <xdr:from>
      <xdr:col>4</xdr:col>
      <xdr:colOff>7620</xdr:colOff>
      <xdr:row>12</xdr:row>
      <xdr:rowOff>45720</xdr:rowOff>
    </xdr:from>
    <xdr:to>
      <xdr:col>11</xdr:col>
      <xdr:colOff>579120</xdr:colOff>
      <xdr:row>21</xdr:row>
      <xdr:rowOff>144780</xdr:rowOff>
    </xdr:to>
    <xdr:pic>
      <xdr:nvPicPr>
        <xdr:cNvPr id="1196082" name="Picture 5"/>
        <xdr:cNvPicPr>
          <a:picLocks noChangeAspect="1"/>
        </xdr:cNvPicPr>
      </xdr:nvPicPr>
      <xdr:blipFill>
        <a:blip xmlns:r="http://schemas.openxmlformats.org/officeDocument/2006/relationships" r:embed="rId5" cstate="print"/>
        <a:stretch>
          <a:fillRect/>
        </a:stretch>
      </xdr:blipFill>
      <xdr:spPr>
        <a:xfrm>
          <a:off x="3276600" y="2423160"/>
          <a:ext cx="5265420" cy="1882140"/>
        </a:xfrm>
        <a:prstGeom prst="rect">
          <a:avLst/>
        </a:prstGeom>
        <a:noFill/>
        <a:ln w="1">
          <a:noFill/>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15240</xdr:colOff>
      <xdr:row>46</xdr:row>
      <xdr:rowOff>182880</xdr:rowOff>
    </xdr:from>
    <xdr:to>
      <xdr:col>9</xdr:col>
      <xdr:colOff>38100</xdr:colOff>
      <xdr:row>69</xdr:row>
      <xdr:rowOff>152400</xdr:rowOff>
    </xdr:to>
    <xdr:pic>
      <xdr:nvPicPr>
        <xdr:cNvPr id="1197102" name="Picture 1"/>
        <xdr:cNvPicPr>
          <a:picLocks noChangeAspect="1"/>
        </xdr:cNvPicPr>
      </xdr:nvPicPr>
      <xdr:blipFill>
        <a:blip xmlns:r="http://schemas.openxmlformats.org/officeDocument/2006/relationships" r:embed="rId1" cstate="print"/>
        <a:stretch>
          <a:fillRect/>
        </a:stretch>
      </xdr:blipFill>
      <xdr:spPr>
        <a:xfrm>
          <a:off x="15240" y="10728960"/>
          <a:ext cx="6644640" cy="4526280"/>
        </a:xfrm>
        <a:prstGeom prst="rect">
          <a:avLst/>
        </a:prstGeom>
        <a:noFill/>
        <a:ln w="1">
          <a:noFill/>
        </a:ln>
      </xdr:spPr>
    </xdr:pic>
    <xdr:clientData/>
  </xdr:twoCellAnchor>
  <xdr:twoCellAnchor editAs="oneCell">
    <xdr:from>
      <xdr:col>0</xdr:col>
      <xdr:colOff>129540</xdr:colOff>
      <xdr:row>69</xdr:row>
      <xdr:rowOff>137160</xdr:rowOff>
    </xdr:from>
    <xdr:to>
      <xdr:col>8</xdr:col>
      <xdr:colOff>160020</xdr:colOff>
      <xdr:row>90</xdr:row>
      <xdr:rowOff>7620</xdr:rowOff>
    </xdr:to>
    <xdr:pic>
      <xdr:nvPicPr>
        <xdr:cNvPr id="1197103" name="Picture 2"/>
        <xdr:cNvPicPr>
          <a:picLocks noChangeAspect="1"/>
        </xdr:cNvPicPr>
      </xdr:nvPicPr>
      <xdr:blipFill>
        <a:blip xmlns:r="http://schemas.openxmlformats.org/officeDocument/2006/relationships" r:embed="rId2" cstate="print"/>
        <a:stretch>
          <a:fillRect/>
        </a:stretch>
      </xdr:blipFill>
      <xdr:spPr>
        <a:xfrm>
          <a:off x="129540" y="15240000"/>
          <a:ext cx="5981700" cy="4030980"/>
        </a:xfrm>
        <a:prstGeom prst="rect">
          <a:avLst/>
        </a:prstGeom>
        <a:noFill/>
        <a:ln w="1">
          <a:noFill/>
        </a:ln>
      </xdr:spPr>
    </xdr:pic>
    <xdr:clientData/>
  </xdr:twoCellAnchor>
  <xdr:twoCellAnchor editAs="oneCell">
    <xdr:from>
      <xdr:col>0</xdr:col>
      <xdr:colOff>0</xdr:colOff>
      <xdr:row>89</xdr:row>
      <xdr:rowOff>190500</xdr:rowOff>
    </xdr:from>
    <xdr:to>
      <xdr:col>10</xdr:col>
      <xdr:colOff>83820</xdr:colOff>
      <xdr:row>123</xdr:row>
      <xdr:rowOff>83820</xdr:rowOff>
    </xdr:to>
    <xdr:pic>
      <xdr:nvPicPr>
        <xdr:cNvPr id="1197104" name="Picture 3"/>
        <xdr:cNvPicPr>
          <a:picLocks noChangeAspect="1"/>
        </xdr:cNvPicPr>
      </xdr:nvPicPr>
      <xdr:blipFill>
        <a:blip xmlns:r="http://schemas.openxmlformats.org/officeDocument/2006/relationships" r:embed="rId3" cstate="print"/>
        <a:stretch>
          <a:fillRect/>
        </a:stretch>
      </xdr:blipFill>
      <xdr:spPr>
        <a:xfrm>
          <a:off x="0" y="19255740"/>
          <a:ext cx="7376160" cy="6629400"/>
        </a:xfrm>
        <a:prstGeom prst="rect">
          <a:avLst/>
        </a:prstGeom>
        <a:noFill/>
        <a:ln w="1">
          <a:noFill/>
        </a:ln>
      </xdr:spPr>
    </xdr:pic>
    <xdr:clientData/>
  </xdr:twoCellAnchor>
  <xdr:twoCellAnchor editAs="oneCell">
    <xdr:from>
      <xdr:col>0</xdr:col>
      <xdr:colOff>0</xdr:colOff>
      <xdr:row>123</xdr:row>
      <xdr:rowOff>45720</xdr:rowOff>
    </xdr:from>
    <xdr:to>
      <xdr:col>10</xdr:col>
      <xdr:colOff>99060</xdr:colOff>
      <xdr:row>148</xdr:row>
      <xdr:rowOff>23495</xdr:rowOff>
    </xdr:to>
    <xdr:pic>
      <xdr:nvPicPr>
        <xdr:cNvPr id="1197105" name="Picture 4"/>
        <xdr:cNvPicPr>
          <a:picLocks noChangeAspect="1"/>
        </xdr:cNvPicPr>
      </xdr:nvPicPr>
      <xdr:blipFill>
        <a:blip xmlns:r="http://schemas.openxmlformats.org/officeDocument/2006/relationships" r:embed="rId4" cstate="print"/>
        <a:stretch>
          <a:fillRect/>
        </a:stretch>
      </xdr:blipFill>
      <xdr:spPr>
        <a:xfrm>
          <a:off x="0" y="25847040"/>
          <a:ext cx="7391400" cy="4930775"/>
        </a:xfrm>
        <a:prstGeom prst="rect">
          <a:avLst/>
        </a:prstGeom>
        <a:noFill/>
        <a:ln w="1">
          <a:noFill/>
        </a:ln>
      </xdr:spPr>
    </xdr:pic>
    <xdr:clientData/>
  </xdr:twoCellAnchor>
  <xdr:twoCellAnchor editAs="oneCell">
    <xdr:from>
      <xdr:col>8</xdr:col>
      <xdr:colOff>114300</xdr:colOff>
      <xdr:row>73</xdr:row>
      <xdr:rowOff>144780</xdr:rowOff>
    </xdr:from>
    <xdr:to>
      <xdr:col>16</xdr:col>
      <xdr:colOff>556260</xdr:colOff>
      <xdr:row>86</xdr:row>
      <xdr:rowOff>182880</xdr:rowOff>
    </xdr:to>
    <xdr:pic>
      <xdr:nvPicPr>
        <xdr:cNvPr id="1197106" name="Picture 5"/>
        <xdr:cNvPicPr>
          <a:picLocks noChangeAspect="1"/>
        </xdr:cNvPicPr>
      </xdr:nvPicPr>
      <xdr:blipFill>
        <a:blip xmlns:r="http://schemas.openxmlformats.org/officeDocument/2006/relationships" r:embed="rId5" cstate="print"/>
        <a:stretch>
          <a:fillRect/>
        </a:stretch>
      </xdr:blipFill>
      <xdr:spPr>
        <a:xfrm>
          <a:off x="6065520" y="16040100"/>
          <a:ext cx="5806440" cy="2613660"/>
        </a:xfrm>
        <a:prstGeom prst="rect">
          <a:avLst/>
        </a:prstGeom>
        <a:noFill/>
        <a:ln w="1">
          <a:noFill/>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7620</xdr:colOff>
      <xdr:row>1</xdr:row>
      <xdr:rowOff>0</xdr:rowOff>
    </xdr:from>
    <xdr:to>
      <xdr:col>12</xdr:col>
      <xdr:colOff>586740</xdr:colOff>
      <xdr:row>21</xdr:row>
      <xdr:rowOff>83820</xdr:rowOff>
    </xdr:to>
    <xdr:pic>
      <xdr:nvPicPr>
        <xdr:cNvPr id="1198126" name="Picture 1"/>
        <xdr:cNvPicPr>
          <a:picLocks noChangeAspect="1"/>
        </xdr:cNvPicPr>
      </xdr:nvPicPr>
      <xdr:blipFill>
        <a:blip xmlns:r="http://schemas.openxmlformats.org/officeDocument/2006/relationships" r:embed="rId1" cstate="print"/>
        <a:stretch>
          <a:fillRect/>
        </a:stretch>
      </xdr:blipFill>
      <xdr:spPr>
        <a:xfrm>
          <a:off x="3276600" y="851535"/>
          <a:ext cx="5943600" cy="4046220"/>
        </a:xfrm>
        <a:prstGeom prst="rect">
          <a:avLst/>
        </a:prstGeom>
        <a:noFill/>
        <a:ln w="1">
          <a:noFill/>
        </a:ln>
      </xdr:spPr>
    </xdr:pic>
    <xdr:clientData/>
  </xdr:twoCellAnchor>
  <xdr:twoCellAnchor editAs="oneCell">
    <xdr:from>
      <xdr:col>12</xdr:col>
      <xdr:colOff>579120</xdr:colOff>
      <xdr:row>1</xdr:row>
      <xdr:rowOff>0</xdr:rowOff>
    </xdr:from>
    <xdr:to>
      <xdr:col>21</xdr:col>
      <xdr:colOff>541020</xdr:colOff>
      <xdr:row>21</xdr:row>
      <xdr:rowOff>68580</xdr:rowOff>
    </xdr:to>
    <xdr:pic>
      <xdr:nvPicPr>
        <xdr:cNvPr id="1198127" name="Picture 2"/>
        <xdr:cNvPicPr>
          <a:picLocks noChangeAspect="1"/>
        </xdr:cNvPicPr>
      </xdr:nvPicPr>
      <xdr:blipFill>
        <a:blip xmlns:r="http://schemas.openxmlformats.org/officeDocument/2006/relationships" r:embed="rId2" cstate="print"/>
        <a:stretch>
          <a:fillRect/>
        </a:stretch>
      </xdr:blipFill>
      <xdr:spPr>
        <a:xfrm>
          <a:off x="9212580" y="851535"/>
          <a:ext cx="5996940" cy="4030980"/>
        </a:xfrm>
        <a:prstGeom prst="rect">
          <a:avLst/>
        </a:prstGeom>
        <a:noFill/>
        <a:ln w="1">
          <a:noFill/>
        </a:ln>
      </xdr:spPr>
    </xdr:pic>
    <xdr:clientData/>
  </xdr:twoCellAnchor>
  <xdr:twoCellAnchor editAs="oneCell">
    <xdr:from>
      <xdr:col>5</xdr:col>
      <xdr:colOff>548640</xdr:colOff>
      <xdr:row>28</xdr:row>
      <xdr:rowOff>68580</xdr:rowOff>
    </xdr:from>
    <xdr:to>
      <xdr:col>16</xdr:col>
      <xdr:colOff>556260</xdr:colOff>
      <xdr:row>61</xdr:row>
      <xdr:rowOff>160020</xdr:rowOff>
    </xdr:to>
    <xdr:pic>
      <xdr:nvPicPr>
        <xdr:cNvPr id="1198128" name="Picture 4"/>
        <xdr:cNvPicPr>
          <a:picLocks noChangeAspect="1"/>
        </xdr:cNvPicPr>
      </xdr:nvPicPr>
      <xdr:blipFill>
        <a:blip xmlns:r="http://schemas.openxmlformats.org/officeDocument/2006/relationships" r:embed="rId3" cstate="print"/>
        <a:stretch>
          <a:fillRect/>
        </a:stretch>
      </xdr:blipFill>
      <xdr:spPr>
        <a:xfrm>
          <a:off x="4488180" y="6269355"/>
          <a:ext cx="7383780" cy="6629400"/>
        </a:xfrm>
        <a:prstGeom prst="rect">
          <a:avLst/>
        </a:prstGeom>
        <a:noFill/>
        <a:ln w="1">
          <a:noFill/>
        </a:ln>
      </xdr:spPr>
    </xdr:pic>
    <xdr:clientData/>
  </xdr:twoCellAnchor>
  <xdr:twoCellAnchor editAs="oneCell">
    <xdr:from>
      <xdr:col>5</xdr:col>
      <xdr:colOff>556260</xdr:colOff>
      <xdr:row>61</xdr:row>
      <xdr:rowOff>144780</xdr:rowOff>
    </xdr:from>
    <xdr:to>
      <xdr:col>16</xdr:col>
      <xdr:colOff>586740</xdr:colOff>
      <xdr:row>86</xdr:row>
      <xdr:rowOff>114300</xdr:rowOff>
    </xdr:to>
    <xdr:pic>
      <xdr:nvPicPr>
        <xdr:cNvPr id="1198129" name="Picture 5"/>
        <xdr:cNvPicPr>
          <a:picLocks noChangeAspect="1"/>
        </xdr:cNvPicPr>
      </xdr:nvPicPr>
      <xdr:blipFill>
        <a:blip xmlns:r="http://schemas.openxmlformats.org/officeDocument/2006/relationships" r:embed="rId4" cstate="print"/>
        <a:stretch>
          <a:fillRect/>
        </a:stretch>
      </xdr:blipFill>
      <xdr:spPr>
        <a:xfrm>
          <a:off x="4495800" y="12883515"/>
          <a:ext cx="7406640" cy="4922520"/>
        </a:xfrm>
        <a:prstGeom prst="rect">
          <a:avLst/>
        </a:prstGeom>
        <a:noFill/>
        <a:ln w="1">
          <a:noFill/>
        </a:ln>
      </xdr:spPr>
    </xdr:pic>
    <xdr:clientData/>
  </xdr:twoCellAnchor>
  <xdr:twoCellAnchor editAs="oneCell">
    <xdr:from>
      <xdr:col>10</xdr:col>
      <xdr:colOff>571500</xdr:colOff>
      <xdr:row>21</xdr:row>
      <xdr:rowOff>68580</xdr:rowOff>
    </xdr:from>
    <xdr:to>
      <xdr:col>17</xdr:col>
      <xdr:colOff>45720</xdr:colOff>
      <xdr:row>30</xdr:row>
      <xdr:rowOff>160020</xdr:rowOff>
    </xdr:to>
    <xdr:pic>
      <xdr:nvPicPr>
        <xdr:cNvPr id="1198130" name="Picture 6"/>
        <xdr:cNvPicPr>
          <a:picLocks noChangeAspect="1"/>
        </xdr:cNvPicPr>
      </xdr:nvPicPr>
      <xdr:blipFill>
        <a:blip xmlns:r="http://schemas.openxmlformats.org/officeDocument/2006/relationships" r:embed="rId5" cstate="print"/>
        <a:stretch>
          <a:fillRect/>
        </a:stretch>
      </xdr:blipFill>
      <xdr:spPr>
        <a:xfrm>
          <a:off x="7863840" y="4882515"/>
          <a:ext cx="4168140" cy="1874520"/>
        </a:xfrm>
        <a:prstGeom prst="rect">
          <a:avLst/>
        </a:prstGeom>
        <a:noFill/>
        <a:ln w="1">
          <a:noFill/>
        </a:ln>
      </xdr:spPr>
    </xdr:pic>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297180</xdr:colOff>
      <xdr:row>0</xdr:row>
      <xdr:rowOff>7620</xdr:rowOff>
    </xdr:to>
    <xdr:graphicFrame macro="">
      <xdr:nvGraphicFramePr>
        <xdr:cNvPr id="119914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480060</xdr:colOff>
      <xdr:row>0</xdr:row>
      <xdr:rowOff>0</xdr:rowOff>
    </xdr:from>
    <xdr:to>
      <xdr:col>9</xdr:col>
      <xdr:colOff>228600</xdr:colOff>
      <xdr:row>0</xdr:row>
      <xdr:rowOff>7620</xdr:rowOff>
    </xdr:to>
    <xdr:graphicFrame macro="">
      <xdr:nvGraphicFramePr>
        <xdr:cNvPr id="1199142"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0</xdr:row>
      <xdr:rowOff>0</xdr:rowOff>
    </xdr:from>
    <xdr:to>
      <xdr:col>13</xdr:col>
      <xdr:colOff>160020</xdr:colOff>
      <xdr:row>0</xdr:row>
      <xdr:rowOff>7620</xdr:rowOff>
    </xdr:to>
    <xdr:graphicFrame macro="">
      <xdr:nvGraphicFramePr>
        <xdr:cNvPr id="1199143"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259080</xdr:colOff>
      <xdr:row>79</xdr:row>
      <xdr:rowOff>53340</xdr:rowOff>
    </xdr:from>
    <xdr:to>
      <xdr:col>14</xdr:col>
      <xdr:colOff>426720</xdr:colOff>
      <xdr:row>87</xdr:row>
      <xdr:rowOff>137160</xdr:rowOff>
    </xdr:to>
    <xdr:graphicFrame macro="">
      <xdr:nvGraphicFramePr>
        <xdr:cNvPr id="1199144"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2</xdr:col>
      <xdr:colOff>1593215</xdr:colOff>
      <xdr:row>7</xdr:row>
      <xdr:rowOff>236855</xdr:rowOff>
    </xdr:to>
    <xdr:pic>
      <xdr:nvPicPr>
        <xdr:cNvPr id="1200192" name="Picture 1" descr="image004"/>
        <xdr:cNvPicPr>
          <a:picLocks noChangeAspect="1"/>
        </xdr:cNvPicPr>
      </xdr:nvPicPr>
      <xdr:blipFill>
        <a:blip xmlns:r="http://schemas.openxmlformats.org/officeDocument/2006/relationships" r:embed="rId1" cstate="print"/>
        <a:stretch>
          <a:fillRect/>
        </a:stretch>
      </xdr:blipFill>
      <xdr:spPr>
        <a:xfrm>
          <a:off x="1905000" y="2314575"/>
          <a:ext cx="1593215" cy="236855"/>
        </a:xfrm>
        <a:prstGeom prst="rect">
          <a:avLst/>
        </a:prstGeom>
        <a:noFill/>
        <a:ln w="9525">
          <a:noFill/>
        </a:ln>
      </xdr:spPr>
    </xdr:pic>
    <xdr:clientData/>
  </xdr:twoCellAnchor>
  <xdr:twoCellAnchor editAs="oneCell">
    <xdr:from>
      <xdr:col>2</xdr:col>
      <xdr:colOff>0</xdr:colOff>
      <xdr:row>8</xdr:row>
      <xdr:rowOff>0</xdr:rowOff>
    </xdr:from>
    <xdr:to>
      <xdr:col>2</xdr:col>
      <xdr:colOff>1646555</xdr:colOff>
      <xdr:row>8</xdr:row>
      <xdr:rowOff>236220</xdr:rowOff>
    </xdr:to>
    <xdr:pic>
      <xdr:nvPicPr>
        <xdr:cNvPr id="1200193" name="Picture 3" descr="image008"/>
        <xdr:cNvPicPr>
          <a:picLocks noChangeAspect="1"/>
        </xdr:cNvPicPr>
      </xdr:nvPicPr>
      <xdr:blipFill>
        <a:blip xmlns:r="http://schemas.openxmlformats.org/officeDocument/2006/relationships" r:embed="rId2" cstate="print"/>
        <a:stretch>
          <a:fillRect/>
        </a:stretch>
      </xdr:blipFill>
      <xdr:spPr>
        <a:xfrm>
          <a:off x="1905000" y="2695575"/>
          <a:ext cx="1646555" cy="236220"/>
        </a:xfrm>
        <a:prstGeom prst="rect">
          <a:avLst/>
        </a:prstGeom>
        <a:noFill/>
        <a:ln w="9525">
          <a:noFill/>
        </a:ln>
      </xdr:spPr>
    </xdr:pic>
    <xdr:clientData/>
  </xdr:twoCellAnchor>
  <xdr:twoCellAnchor editAs="oneCell">
    <xdr:from>
      <xdr:col>2</xdr:col>
      <xdr:colOff>0</xdr:colOff>
      <xdr:row>9</xdr:row>
      <xdr:rowOff>0</xdr:rowOff>
    </xdr:from>
    <xdr:to>
      <xdr:col>2</xdr:col>
      <xdr:colOff>998220</xdr:colOff>
      <xdr:row>9</xdr:row>
      <xdr:rowOff>350520</xdr:rowOff>
    </xdr:to>
    <xdr:pic>
      <xdr:nvPicPr>
        <xdr:cNvPr id="1200194" name="Picture 5" descr="image012"/>
        <xdr:cNvPicPr>
          <a:picLocks noChangeAspect="1"/>
        </xdr:cNvPicPr>
      </xdr:nvPicPr>
      <xdr:blipFill>
        <a:blip xmlns:r="http://schemas.openxmlformats.org/officeDocument/2006/relationships" r:embed="rId3" cstate="print"/>
        <a:stretch>
          <a:fillRect/>
        </a:stretch>
      </xdr:blipFill>
      <xdr:spPr>
        <a:xfrm>
          <a:off x="1905000" y="3143250"/>
          <a:ext cx="998220" cy="350520"/>
        </a:xfrm>
        <a:prstGeom prst="rect">
          <a:avLst/>
        </a:prstGeom>
        <a:noFill/>
        <a:ln w="9525">
          <a:noFill/>
        </a:ln>
      </xdr:spPr>
    </xdr:pic>
    <xdr:clientData/>
  </xdr:twoCellAnchor>
  <xdr:twoCellAnchor editAs="oneCell">
    <xdr:from>
      <xdr:col>2</xdr:col>
      <xdr:colOff>1485900</xdr:colOff>
      <xdr:row>14</xdr:row>
      <xdr:rowOff>68580</xdr:rowOff>
    </xdr:from>
    <xdr:to>
      <xdr:col>12</xdr:col>
      <xdr:colOff>236220</xdr:colOff>
      <xdr:row>40</xdr:row>
      <xdr:rowOff>38100</xdr:rowOff>
    </xdr:to>
    <xdr:pic>
      <xdr:nvPicPr>
        <xdr:cNvPr id="1200195" name="Picture 7"/>
        <xdr:cNvPicPr>
          <a:picLocks noChangeAspect="1"/>
        </xdr:cNvPicPr>
      </xdr:nvPicPr>
      <xdr:blipFill>
        <a:blip xmlns:r="http://schemas.openxmlformats.org/officeDocument/2006/relationships" r:embed="rId4" cstate="print"/>
        <a:stretch>
          <a:fillRect/>
        </a:stretch>
      </xdr:blipFill>
      <xdr:spPr>
        <a:xfrm>
          <a:off x="3390900" y="5507355"/>
          <a:ext cx="6614160" cy="5246370"/>
        </a:xfrm>
        <a:prstGeom prst="rect">
          <a:avLst/>
        </a:prstGeom>
        <a:noFill/>
        <a:ln w="1">
          <a:noFill/>
        </a:ln>
      </xdr:spPr>
    </xdr:pic>
    <xdr:clientData/>
  </xdr:twoCellAnchor>
  <xdr:twoCellAnchor editAs="oneCell">
    <xdr:from>
      <xdr:col>2</xdr:col>
      <xdr:colOff>83820</xdr:colOff>
      <xdr:row>11</xdr:row>
      <xdr:rowOff>83185</xdr:rowOff>
    </xdr:from>
    <xdr:to>
      <xdr:col>2</xdr:col>
      <xdr:colOff>1310640</xdr:colOff>
      <xdr:row>11</xdr:row>
      <xdr:rowOff>281305</xdr:rowOff>
    </xdr:to>
    <xdr:pic>
      <xdr:nvPicPr>
        <xdr:cNvPr id="1200196" name="Picture 9" descr="image006"/>
        <xdr:cNvPicPr>
          <a:picLocks noChangeAspect="1"/>
        </xdr:cNvPicPr>
      </xdr:nvPicPr>
      <xdr:blipFill>
        <a:blip xmlns:r="http://schemas.openxmlformats.org/officeDocument/2006/relationships" r:embed="rId5" cstate="print"/>
        <a:stretch>
          <a:fillRect/>
        </a:stretch>
      </xdr:blipFill>
      <xdr:spPr>
        <a:xfrm>
          <a:off x="1988820" y="4121785"/>
          <a:ext cx="1226820" cy="198120"/>
        </a:xfrm>
        <a:prstGeom prst="rect">
          <a:avLst/>
        </a:prstGeom>
        <a:noFill/>
        <a:ln w="9525">
          <a:noFill/>
        </a:ln>
      </xdr:spPr>
    </xdr:pic>
    <xdr:clientData/>
  </xdr:twoCellAnchor>
  <xdr:twoCellAnchor editAs="oneCell">
    <xdr:from>
      <xdr:col>2</xdr:col>
      <xdr:colOff>107315</xdr:colOff>
      <xdr:row>12</xdr:row>
      <xdr:rowOff>60960</xdr:rowOff>
    </xdr:from>
    <xdr:to>
      <xdr:col>2</xdr:col>
      <xdr:colOff>1052195</xdr:colOff>
      <xdr:row>12</xdr:row>
      <xdr:rowOff>259080</xdr:rowOff>
    </xdr:to>
    <xdr:pic>
      <xdr:nvPicPr>
        <xdr:cNvPr id="1200197" name="Picture 11" descr="image010"/>
        <xdr:cNvPicPr>
          <a:picLocks noChangeAspect="1"/>
        </xdr:cNvPicPr>
      </xdr:nvPicPr>
      <xdr:blipFill>
        <a:blip xmlns:r="http://schemas.openxmlformats.org/officeDocument/2006/relationships" r:embed="rId6" cstate="print"/>
        <a:stretch>
          <a:fillRect/>
        </a:stretch>
      </xdr:blipFill>
      <xdr:spPr>
        <a:xfrm>
          <a:off x="2012315" y="4480560"/>
          <a:ext cx="944880" cy="198120"/>
        </a:xfrm>
        <a:prstGeom prst="rect">
          <a:avLst/>
        </a:prstGeom>
        <a:noFill/>
        <a:ln w="9525">
          <a:noFill/>
        </a:ln>
      </xdr:spPr>
    </xdr:pic>
    <xdr:clientData/>
  </xdr:twoCellAnchor>
  <xdr:twoCellAnchor editAs="oneCell">
    <xdr:from>
      <xdr:col>2</xdr:col>
      <xdr:colOff>151765</xdr:colOff>
      <xdr:row>13</xdr:row>
      <xdr:rowOff>60325</xdr:rowOff>
    </xdr:from>
    <xdr:to>
      <xdr:col>2</xdr:col>
      <xdr:colOff>1149985</xdr:colOff>
      <xdr:row>13</xdr:row>
      <xdr:rowOff>410845</xdr:rowOff>
    </xdr:to>
    <xdr:pic>
      <xdr:nvPicPr>
        <xdr:cNvPr id="1200198" name="Picture 13" descr="image014"/>
        <xdr:cNvPicPr>
          <a:picLocks noChangeAspect="1"/>
        </xdr:cNvPicPr>
      </xdr:nvPicPr>
      <xdr:blipFill>
        <a:blip xmlns:r="http://schemas.openxmlformats.org/officeDocument/2006/relationships" r:embed="rId7" cstate="print"/>
        <a:stretch>
          <a:fillRect/>
        </a:stretch>
      </xdr:blipFill>
      <xdr:spPr>
        <a:xfrm>
          <a:off x="2056765" y="4927600"/>
          <a:ext cx="998220" cy="350520"/>
        </a:xfrm>
        <a:prstGeom prst="rect">
          <a:avLst/>
        </a:prstGeom>
        <a:noFill/>
        <a:ln w="9525">
          <a:noFill/>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4</xdr:col>
      <xdr:colOff>129540</xdr:colOff>
      <xdr:row>10</xdr:row>
      <xdr:rowOff>67945</xdr:rowOff>
    </xdr:from>
    <xdr:to>
      <xdr:col>4</xdr:col>
      <xdr:colOff>1325880</xdr:colOff>
      <xdr:row>10</xdr:row>
      <xdr:rowOff>570865</xdr:rowOff>
    </xdr:to>
    <xdr:pic>
      <xdr:nvPicPr>
        <xdr:cNvPr id="1201198" name="Picture 1"/>
        <xdr:cNvPicPr>
          <a:picLocks noChangeAspect="1"/>
        </xdr:cNvPicPr>
      </xdr:nvPicPr>
      <xdr:blipFill>
        <a:blip xmlns:r="http://schemas.openxmlformats.org/officeDocument/2006/relationships" r:embed="rId1" cstate="print"/>
        <a:stretch>
          <a:fillRect/>
        </a:stretch>
      </xdr:blipFill>
      <xdr:spPr>
        <a:xfrm>
          <a:off x="1744980" y="2906395"/>
          <a:ext cx="1196340" cy="502920"/>
        </a:xfrm>
        <a:prstGeom prst="rect">
          <a:avLst/>
        </a:prstGeom>
        <a:noFill/>
        <a:ln w="1">
          <a:noFill/>
        </a:ln>
      </xdr:spPr>
    </xdr:pic>
    <xdr:clientData/>
  </xdr:twoCellAnchor>
  <xdr:twoCellAnchor editAs="oneCell">
    <xdr:from>
      <xdr:col>4</xdr:col>
      <xdr:colOff>8255</xdr:colOff>
      <xdr:row>15</xdr:row>
      <xdr:rowOff>46355</xdr:rowOff>
    </xdr:from>
    <xdr:to>
      <xdr:col>5</xdr:col>
      <xdr:colOff>297180</xdr:colOff>
      <xdr:row>15</xdr:row>
      <xdr:rowOff>403860</xdr:rowOff>
    </xdr:to>
    <xdr:pic>
      <xdr:nvPicPr>
        <xdr:cNvPr id="1201199" name="Picture 7"/>
        <xdr:cNvPicPr>
          <a:picLocks noChangeAspect="1"/>
        </xdr:cNvPicPr>
      </xdr:nvPicPr>
      <xdr:blipFill>
        <a:blip xmlns:r="http://schemas.openxmlformats.org/officeDocument/2006/relationships" r:embed="rId2" cstate="print"/>
        <a:stretch>
          <a:fillRect/>
        </a:stretch>
      </xdr:blipFill>
      <xdr:spPr>
        <a:xfrm>
          <a:off x="1623695" y="5123180"/>
          <a:ext cx="1965325" cy="357505"/>
        </a:xfrm>
        <a:prstGeom prst="rect">
          <a:avLst/>
        </a:prstGeom>
        <a:noFill/>
        <a:ln w="1">
          <a:noFill/>
        </a:ln>
      </xdr:spPr>
    </xdr:pic>
    <xdr:clientData/>
  </xdr:twoCellAnchor>
  <xdr:twoCellAnchor editAs="oneCell">
    <xdr:from>
      <xdr:col>4</xdr:col>
      <xdr:colOff>8255</xdr:colOff>
      <xdr:row>19</xdr:row>
      <xdr:rowOff>38735</xdr:rowOff>
    </xdr:from>
    <xdr:to>
      <xdr:col>4</xdr:col>
      <xdr:colOff>1007110</xdr:colOff>
      <xdr:row>19</xdr:row>
      <xdr:rowOff>351155</xdr:rowOff>
    </xdr:to>
    <xdr:pic>
      <xdr:nvPicPr>
        <xdr:cNvPr id="1201200" name="Picture 8"/>
        <xdr:cNvPicPr>
          <a:picLocks noChangeAspect="1"/>
        </xdr:cNvPicPr>
      </xdr:nvPicPr>
      <xdr:blipFill>
        <a:blip xmlns:r="http://schemas.openxmlformats.org/officeDocument/2006/relationships" r:embed="rId3" cstate="print"/>
        <a:stretch>
          <a:fillRect/>
        </a:stretch>
      </xdr:blipFill>
      <xdr:spPr>
        <a:xfrm>
          <a:off x="1623695" y="6515735"/>
          <a:ext cx="998855" cy="312420"/>
        </a:xfrm>
        <a:prstGeom prst="rect">
          <a:avLst/>
        </a:prstGeom>
        <a:noFill/>
        <a:ln w="1">
          <a:noFill/>
        </a:ln>
      </xdr:spPr>
    </xdr:pic>
    <xdr:clientData/>
  </xdr:twoCellAnchor>
  <xdr:twoCellAnchor editAs="oneCell">
    <xdr:from>
      <xdr:col>4</xdr:col>
      <xdr:colOff>31115</xdr:colOff>
      <xdr:row>20</xdr:row>
      <xdr:rowOff>76200</xdr:rowOff>
    </xdr:from>
    <xdr:to>
      <xdr:col>4</xdr:col>
      <xdr:colOff>1449070</xdr:colOff>
      <xdr:row>20</xdr:row>
      <xdr:rowOff>381635</xdr:rowOff>
    </xdr:to>
    <xdr:pic>
      <xdr:nvPicPr>
        <xdr:cNvPr id="1201201" name="Picture 9"/>
        <xdr:cNvPicPr>
          <a:picLocks noChangeAspect="1"/>
        </xdr:cNvPicPr>
      </xdr:nvPicPr>
      <xdr:blipFill>
        <a:blip xmlns:r="http://schemas.openxmlformats.org/officeDocument/2006/relationships" r:embed="rId4" cstate="print"/>
        <a:stretch>
          <a:fillRect/>
        </a:stretch>
      </xdr:blipFill>
      <xdr:spPr>
        <a:xfrm>
          <a:off x="1646555" y="6934200"/>
          <a:ext cx="1417955" cy="305435"/>
        </a:xfrm>
        <a:prstGeom prst="rect">
          <a:avLst/>
        </a:prstGeom>
        <a:noFill/>
        <a:ln w="1">
          <a:noFill/>
        </a:ln>
      </xdr:spPr>
    </xdr:pic>
    <xdr:clientData/>
  </xdr:twoCellAnchor>
  <xdr:twoCellAnchor editAs="oneCell">
    <xdr:from>
      <xdr:col>0</xdr:col>
      <xdr:colOff>30480</xdr:colOff>
      <xdr:row>21</xdr:row>
      <xdr:rowOff>68580</xdr:rowOff>
    </xdr:from>
    <xdr:to>
      <xdr:col>6</xdr:col>
      <xdr:colOff>7620</xdr:colOff>
      <xdr:row>23</xdr:row>
      <xdr:rowOff>31115</xdr:rowOff>
    </xdr:to>
    <xdr:pic>
      <xdr:nvPicPr>
        <xdr:cNvPr id="1201202" name="Picture 10"/>
        <xdr:cNvPicPr>
          <a:picLocks noChangeAspect="1"/>
        </xdr:cNvPicPr>
      </xdr:nvPicPr>
      <xdr:blipFill>
        <a:blip xmlns:r="http://schemas.openxmlformats.org/officeDocument/2006/relationships" r:embed="rId5" cstate="print"/>
        <a:stretch>
          <a:fillRect/>
        </a:stretch>
      </xdr:blipFill>
      <xdr:spPr>
        <a:xfrm>
          <a:off x="30480" y="7440930"/>
          <a:ext cx="3840480" cy="358775"/>
        </a:xfrm>
        <a:prstGeom prst="rect">
          <a:avLst/>
        </a:prstGeom>
        <a:noFill/>
        <a:ln w="1">
          <a:noFill/>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3</xdr:col>
      <xdr:colOff>571500</xdr:colOff>
      <xdr:row>0</xdr:row>
      <xdr:rowOff>139065</xdr:rowOff>
    </xdr:from>
    <xdr:to>
      <xdr:col>12</xdr:col>
      <xdr:colOff>114300</xdr:colOff>
      <xdr:row>0</xdr:row>
      <xdr:rowOff>2677160</xdr:rowOff>
    </xdr:to>
    <xdr:pic>
      <xdr:nvPicPr>
        <xdr:cNvPr id="1202204" name="Picture 2"/>
        <xdr:cNvPicPr>
          <a:picLocks noChangeAspect="1"/>
        </xdr:cNvPicPr>
      </xdr:nvPicPr>
      <xdr:blipFill>
        <a:blip xmlns:r="http://schemas.openxmlformats.org/officeDocument/2006/relationships" r:embed="rId1" cstate="print"/>
        <a:stretch>
          <a:fillRect/>
        </a:stretch>
      </xdr:blipFill>
      <xdr:spPr>
        <a:xfrm>
          <a:off x="2057400" y="139065"/>
          <a:ext cx="4907280" cy="2538095"/>
        </a:xfrm>
        <a:prstGeom prst="rect">
          <a:avLst/>
        </a:prstGeom>
        <a:noFill/>
        <a:ln w="1">
          <a:noFill/>
        </a:ln>
      </xdr:spPr>
    </xdr:pic>
    <xdr:clientData/>
  </xdr:twoCellAnchor>
  <xdr:twoCellAnchor editAs="oneCell">
    <xdr:from>
      <xdr:col>0</xdr:col>
      <xdr:colOff>60960</xdr:colOff>
      <xdr:row>0</xdr:row>
      <xdr:rowOff>59690</xdr:rowOff>
    </xdr:from>
    <xdr:to>
      <xdr:col>4</xdr:col>
      <xdr:colOff>213360</xdr:colOff>
      <xdr:row>0</xdr:row>
      <xdr:rowOff>2795905</xdr:rowOff>
    </xdr:to>
    <xdr:pic>
      <xdr:nvPicPr>
        <xdr:cNvPr id="1202205" name="Picture 3"/>
        <xdr:cNvPicPr>
          <a:picLocks noChangeAspect="1"/>
        </xdr:cNvPicPr>
      </xdr:nvPicPr>
      <xdr:blipFill>
        <a:blip xmlns:r="http://schemas.openxmlformats.org/officeDocument/2006/relationships" r:embed="rId2" cstate="print"/>
        <a:stretch>
          <a:fillRect/>
        </a:stretch>
      </xdr:blipFill>
      <xdr:spPr>
        <a:xfrm>
          <a:off x="60960" y="59690"/>
          <a:ext cx="2217420" cy="2736215"/>
        </a:xfrm>
        <a:prstGeom prst="rect">
          <a:avLst/>
        </a:prstGeom>
        <a:noFill/>
        <a:ln w="1">
          <a:noFill/>
        </a:ln>
      </xdr:spPr>
    </xdr:pic>
    <xdr:clientData/>
  </xdr:twoCellAnchor>
  <xdr:twoCellAnchor editAs="oneCell">
    <xdr:from>
      <xdr:col>1</xdr:col>
      <xdr:colOff>22860</xdr:colOff>
      <xdr:row>0</xdr:row>
      <xdr:rowOff>2875280</xdr:rowOff>
    </xdr:from>
    <xdr:to>
      <xdr:col>10</xdr:col>
      <xdr:colOff>182880</xdr:colOff>
      <xdr:row>1</xdr:row>
      <xdr:rowOff>38100</xdr:rowOff>
    </xdr:to>
    <xdr:pic>
      <xdr:nvPicPr>
        <xdr:cNvPr id="1202206" name="Picture 4"/>
        <xdr:cNvPicPr>
          <a:picLocks noChangeAspect="1"/>
        </xdr:cNvPicPr>
      </xdr:nvPicPr>
      <xdr:blipFill>
        <a:blip xmlns:r="http://schemas.openxmlformats.org/officeDocument/2006/relationships" r:embed="rId3" cstate="print"/>
        <a:stretch>
          <a:fillRect/>
        </a:stretch>
      </xdr:blipFill>
      <xdr:spPr>
        <a:xfrm>
          <a:off x="510540" y="2875280"/>
          <a:ext cx="5364480" cy="2239645"/>
        </a:xfrm>
        <a:prstGeom prst="rect">
          <a:avLst/>
        </a:prstGeom>
        <a:noFill/>
        <a:ln w="1">
          <a:noFill/>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45720</xdr:colOff>
      <xdr:row>10</xdr:row>
      <xdr:rowOff>175895</xdr:rowOff>
    </xdr:from>
    <xdr:to>
      <xdr:col>1</xdr:col>
      <xdr:colOff>2401570</xdr:colOff>
      <xdr:row>10</xdr:row>
      <xdr:rowOff>716915</xdr:rowOff>
    </xdr:to>
    <xdr:pic>
      <xdr:nvPicPr>
        <xdr:cNvPr id="1203228" name="Picture 1"/>
        <xdr:cNvPicPr>
          <a:picLocks noChangeAspect="1"/>
        </xdr:cNvPicPr>
      </xdr:nvPicPr>
      <xdr:blipFill>
        <a:blip xmlns:r="http://schemas.openxmlformats.org/officeDocument/2006/relationships" r:embed="rId1" cstate="print"/>
        <a:srcRect l="31714" r="18286" b="54839"/>
        <a:stretch>
          <a:fillRect/>
        </a:stretch>
      </xdr:blipFill>
      <xdr:spPr>
        <a:xfrm>
          <a:off x="2026920" y="4570730"/>
          <a:ext cx="2355850" cy="541020"/>
        </a:xfrm>
        <a:prstGeom prst="rect">
          <a:avLst/>
        </a:prstGeom>
        <a:noFill/>
        <a:ln w="1">
          <a:noFill/>
        </a:ln>
      </xdr:spPr>
    </xdr:pic>
    <xdr:clientData/>
  </xdr:twoCellAnchor>
  <xdr:twoCellAnchor editAs="oneCell">
    <xdr:from>
      <xdr:col>1</xdr:col>
      <xdr:colOff>740410</xdr:colOff>
      <xdr:row>8</xdr:row>
      <xdr:rowOff>67945</xdr:rowOff>
    </xdr:from>
    <xdr:to>
      <xdr:col>1</xdr:col>
      <xdr:colOff>1480185</xdr:colOff>
      <xdr:row>8</xdr:row>
      <xdr:rowOff>678815</xdr:rowOff>
    </xdr:to>
    <xdr:pic>
      <xdr:nvPicPr>
        <xdr:cNvPr id="1203229" name="Picture 2"/>
        <xdr:cNvPicPr>
          <a:picLocks noChangeAspect="1"/>
        </xdr:cNvPicPr>
      </xdr:nvPicPr>
      <xdr:blipFill>
        <a:blip xmlns:r="http://schemas.openxmlformats.org/officeDocument/2006/relationships" r:embed="rId2" cstate="print"/>
        <a:stretch>
          <a:fillRect/>
        </a:stretch>
      </xdr:blipFill>
      <xdr:spPr>
        <a:xfrm>
          <a:off x="2721610" y="3234055"/>
          <a:ext cx="739775" cy="610870"/>
        </a:xfrm>
        <a:prstGeom prst="rect">
          <a:avLst/>
        </a:prstGeom>
        <a:noFill/>
        <a:ln w="1">
          <a:noFill/>
        </a:ln>
      </xdr:spPr>
    </xdr:pic>
    <xdr:clientData/>
  </xdr:twoCellAnchor>
  <xdr:twoCellAnchor editAs="oneCell">
    <xdr:from>
      <xdr:col>1</xdr:col>
      <xdr:colOff>571500</xdr:colOff>
      <xdr:row>9</xdr:row>
      <xdr:rowOff>15875</xdr:rowOff>
    </xdr:from>
    <xdr:to>
      <xdr:col>1</xdr:col>
      <xdr:colOff>1738630</xdr:colOff>
      <xdr:row>9</xdr:row>
      <xdr:rowOff>473075</xdr:rowOff>
    </xdr:to>
    <xdr:pic>
      <xdr:nvPicPr>
        <xdr:cNvPr id="1203230" name="Picture 3"/>
        <xdr:cNvPicPr>
          <a:picLocks noChangeAspect="1"/>
        </xdr:cNvPicPr>
      </xdr:nvPicPr>
      <xdr:blipFill>
        <a:blip xmlns:r="http://schemas.openxmlformats.org/officeDocument/2006/relationships" r:embed="rId3" cstate="print"/>
        <a:stretch>
          <a:fillRect/>
        </a:stretch>
      </xdr:blipFill>
      <xdr:spPr>
        <a:xfrm>
          <a:off x="2552700" y="3905885"/>
          <a:ext cx="1167130" cy="457200"/>
        </a:xfrm>
        <a:prstGeom prst="rect">
          <a:avLst/>
        </a:prstGeom>
        <a:noFill/>
        <a:ln w="1">
          <a:noFill/>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358140</xdr:colOff>
      <xdr:row>0</xdr:row>
      <xdr:rowOff>57785</xdr:rowOff>
    </xdr:from>
    <xdr:to>
      <xdr:col>7</xdr:col>
      <xdr:colOff>304800</xdr:colOff>
      <xdr:row>0</xdr:row>
      <xdr:rowOff>1755775</xdr:rowOff>
    </xdr:to>
    <xdr:pic>
      <xdr:nvPicPr>
        <xdr:cNvPr id="1204234" name="Picture 1"/>
        <xdr:cNvPicPr>
          <a:picLocks noChangeAspect="1"/>
        </xdr:cNvPicPr>
      </xdr:nvPicPr>
      <xdr:blipFill>
        <a:blip xmlns:r="http://schemas.openxmlformats.org/officeDocument/2006/relationships" r:embed="rId1" cstate="print"/>
        <a:stretch>
          <a:fillRect/>
        </a:stretch>
      </xdr:blipFill>
      <xdr:spPr>
        <a:xfrm>
          <a:off x="640080" y="57785"/>
          <a:ext cx="4541520" cy="1697990"/>
        </a:xfrm>
        <a:prstGeom prst="rect">
          <a:avLst/>
        </a:prstGeom>
        <a:noFill/>
        <a:ln w="1">
          <a:noFill/>
        </a:ln>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190500</xdr:colOff>
      <xdr:row>0</xdr:row>
      <xdr:rowOff>7620</xdr:rowOff>
    </xdr:to>
    <xdr:pic>
      <xdr:nvPicPr>
        <xdr:cNvPr id="1205267" name="Picture 4" descr="http://www.fordatachina.com/images/spacer.gif"/>
        <xdr:cNvPicPr>
          <a:picLocks noChangeAspect="1"/>
        </xdr:cNvPicPr>
      </xdr:nvPicPr>
      <xdr:blipFill>
        <a:blip xmlns:r="http://schemas.openxmlformats.org/officeDocument/2006/relationships" r:embed="rId1" r:link="rId2"/>
        <a:stretch>
          <a:fillRect/>
        </a:stretch>
      </xdr:blipFill>
      <xdr:spPr>
        <a:xfrm>
          <a:off x="0" y="0"/>
          <a:ext cx="190500" cy="7620"/>
        </a:xfrm>
        <a:prstGeom prst="rect">
          <a:avLst/>
        </a:prstGeom>
        <a:noFill/>
        <a:ln w="9525">
          <a:noFill/>
        </a:ln>
      </xdr:spPr>
    </xdr:pic>
    <xdr:clientData/>
  </xdr:twoCellAnchor>
  <xdr:twoCellAnchor>
    <xdr:from>
      <xdr:col>0</xdr:col>
      <xdr:colOff>297180</xdr:colOff>
      <xdr:row>0</xdr:row>
      <xdr:rowOff>114300</xdr:rowOff>
    </xdr:from>
    <xdr:to>
      <xdr:col>1</xdr:col>
      <xdr:colOff>487680</xdr:colOff>
      <xdr:row>2</xdr:row>
      <xdr:rowOff>182880</xdr:rowOff>
    </xdr:to>
    <xdr:pic>
      <xdr:nvPicPr>
        <xdr:cNvPr id="1205268" name="Picture 3" descr="http://www.fordatachina.com/images/c.gif"/>
        <xdr:cNvPicPr>
          <a:picLocks noChangeAspect="1"/>
        </xdr:cNvPicPr>
      </xdr:nvPicPr>
      <xdr:blipFill>
        <a:blip xmlns:r="http://schemas.openxmlformats.org/officeDocument/2006/relationships" r:embed="rId3" r:link="rId2" cstate="print"/>
        <a:stretch>
          <a:fillRect/>
        </a:stretch>
      </xdr:blipFill>
      <xdr:spPr>
        <a:xfrm>
          <a:off x="297180" y="114300"/>
          <a:ext cx="1211580" cy="464820"/>
        </a:xfrm>
        <a:prstGeom prst="rect">
          <a:avLst/>
        </a:prstGeom>
        <a:noFill/>
        <a:ln w="9525">
          <a:noFill/>
        </a:ln>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191135</xdr:colOff>
      <xdr:row>0</xdr:row>
      <xdr:rowOff>7620</xdr:rowOff>
    </xdr:to>
    <xdr:pic>
      <xdr:nvPicPr>
        <xdr:cNvPr id="1206291" name="Picture 2" descr="http://www.fordatachina.com/images/spacer.gif"/>
        <xdr:cNvPicPr>
          <a:picLocks noChangeAspect="1"/>
        </xdr:cNvPicPr>
      </xdr:nvPicPr>
      <xdr:blipFill>
        <a:blip xmlns:r="http://schemas.openxmlformats.org/officeDocument/2006/relationships" r:embed="rId1" r:link="rId2"/>
        <a:stretch>
          <a:fillRect/>
        </a:stretch>
      </xdr:blipFill>
      <xdr:spPr>
        <a:xfrm>
          <a:off x="0" y="0"/>
          <a:ext cx="191135" cy="7620"/>
        </a:xfrm>
        <a:prstGeom prst="rect">
          <a:avLst/>
        </a:prstGeom>
        <a:noFill/>
        <a:ln w="9525">
          <a:noFill/>
        </a:ln>
      </xdr:spPr>
    </xdr:pic>
    <xdr:clientData/>
  </xdr:twoCellAnchor>
  <xdr:twoCellAnchor>
    <xdr:from>
      <xdr:col>0</xdr:col>
      <xdr:colOff>0</xdr:colOff>
      <xdr:row>0</xdr:row>
      <xdr:rowOff>0</xdr:rowOff>
    </xdr:from>
    <xdr:to>
      <xdr:col>1</xdr:col>
      <xdr:colOff>191135</xdr:colOff>
      <xdr:row>2</xdr:row>
      <xdr:rowOff>182880</xdr:rowOff>
    </xdr:to>
    <xdr:pic>
      <xdr:nvPicPr>
        <xdr:cNvPr id="1206292" name="Picture 1" descr="http://www.fordatachina.com/images/b.gif"/>
        <xdr:cNvPicPr>
          <a:picLocks noChangeAspect="1"/>
        </xdr:cNvPicPr>
      </xdr:nvPicPr>
      <xdr:blipFill>
        <a:blip xmlns:r="http://schemas.openxmlformats.org/officeDocument/2006/relationships" r:embed="rId3" r:link="rId2" cstate="print"/>
        <a:stretch>
          <a:fillRect/>
        </a:stretch>
      </xdr:blipFill>
      <xdr:spPr>
        <a:xfrm>
          <a:off x="0" y="0"/>
          <a:ext cx="1059815" cy="579120"/>
        </a:xfrm>
        <a:prstGeom prst="rect">
          <a:avLst/>
        </a:prstGeom>
        <a:noFill/>
        <a:ln w="9525">
          <a:noFill/>
        </a:ln>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182880</xdr:colOff>
      <xdr:row>0</xdr:row>
      <xdr:rowOff>7620</xdr:rowOff>
    </xdr:to>
    <xdr:pic>
      <xdr:nvPicPr>
        <xdr:cNvPr id="1207315" name="Picture 2" descr="http://www.fordatachina.com/images/spacer.gif"/>
        <xdr:cNvPicPr>
          <a:picLocks noChangeAspect="1"/>
        </xdr:cNvPicPr>
      </xdr:nvPicPr>
      <xdr:blipFill>
        <a:blip xmlns:r="http://schemas.openxmlformats.org/officeDocument/2006/relationships" r:embed="rId1" r:link="rId2"/>
        <a:stretch>
          <a:fillRect/>
        </a:stretch>
      </xdr:blipFill>
      <xdr:spPr>
        <a:xfrm>
          <a:off x="0" y="0"/>
          <a:ext cx="182880" cy="7620"/>
        </a:xfrm>
        <a:prstGeom prst="rect">
          <a:avLst/>
        </a:prstGeom>
        <a:noFill/>
        <a:ln w="9525">
          <a:noFill/>
        </a:ln>
      </xdr:spPr>
    </xdr:pic>
    <xdr:clientData/>
  </xdr:twoCellAnchor>
  <xdr:twoCellAnchor>
    <xdr:from>
      <xdr:col>0</xdr:col>
      <xdr:colOff>464820</xdr:colOff>
      <xdr:row>0</xdr:row>
      <xdr:rowOff>75565</xdr:rowOff>
    </xdr:from>
    <xdr:to>
      <xdr:col>1</xdr:col>
      <xdr:colOff>655320</xdr:colOff>
      <xdr:row>3</xdr:row>
      <xdr:rowOff>75565</xdr:rowOff>
    </xdr:to>
    <xdr:pic>
      <xdr:nvPicPr>
        <xdr:cNvPr id="1207316" name="Picture 1" descr="http://www.fordatachina.com/images/a.gif"/>
        <xdr:cNvPicPr>
          <a:picLocks noChangeAspect="1"/>
        </xdr:cNvPicPr>
      </xdr:nvPicPr>
      <xdr:blipFill>
        <a:blip xmlns:r="http://schemas.openxmlformats.org/officeDocument/2006/relationships" r:embed="rId3" r:link="rId2" cstate="print"/>
        <a:stretch>
          <a:fillRect/>
        </a:stretch>
      </xdr:blipFill>
      <xdr:spPr>
        <a:xfrm>
          <a:off x="464820" y="75565"/>
          <a:ext cx="861060" cy="594360"/>
        </a:xfrm>
        <a:prstGeom prst="rect">
          <a:avLst/>
        </a:prstGeom>
        <a:noFill/>
        <a:ln w="9525">
          <a:noFill/>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30480</xdr:colOff>
      <xdr:row>19</xdr:row>
      <xdr:rowOff>350066</xdr:rowOff>
    </xdr:to>
    <xdr:pic>
      <xdr:nvPicPr>
        <xdr:cNvPr id="1208330" name="Picture 1"/>
        <xdr:cNvPicPr>
          <a:picLocks noChangeAspect="1"/>
        </xdr:cNvPicPr>
      </xdr:nvPicPr>
      <xdr:blipFill>
        <a:blip xmlns:r="http://schemas.openxmlformats.org/officeDocument/2006/relationships" r:embed="rId1" cstate="print"/>
        <a:stretch>
          <a:fillRect/>
        </a:stretch>
      </xdr:blipFill>
      <xdr:spPr>
        <a:xfrm>
          <a:off x="0" y="523875"/>
          <a:ext cx="12100560" cy="6759575"/>
        </a:xfrm>
        <a:prstGeom prst="rect">
          <a:avLst/>
        </a:prstGeom>
        <a:noFill/>
        <a:ln w="1">
          <a:noFill/>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15240</xdr:colOff>
      <xdr:row>1</xdr:row>
      <xdr:rowOff>53340</xdr:rowOff>
    </xdr:from>
    <xdr:to>
      <xdr:col>4</xdr:col>
      <xdr:colOff>471170</xdr:colOff>
      <xdr:row>3</xdr:row>
      <xdr:rowOff>724535</xdr:rowOff>
    </xdr:to>
    <xdr:pic>
      <xdr:nvPicPr>
        <xdr:cNvPr id="1209408" name="Picture 2"/>
        <xdr:cNvPicPr>
          <a:picLocks noChangeAspect="1"/>
        </xdr:cNvPicPr>
      </xdr:nvPicPr>
      <xdr:blipFill>
        <a:blip xmlns:r="http://schemas.openxmlformats.org/officeDocument/2006/relationships" r:embed="rId1" cstate="print"/>
        <a:stretch>
          <a:fillRect/>
        </a:stretch>
      </xdr:blipFill>
      <xdr:spPr>
        <a:xfrm>
          <a:off x="15240" y="358140"/>
          <a:ext cx="2833370" cy="2604770"/>
        </a:xfrm>
        <a:prstGeom prst="rect">
          <a:avLst/>
        </a:prstGeom>
        <a:noFill/>
        <a:ln w="1">
          <a:noFill/>
        </a:ln>
      </xdr:spPr>
    </xdr:pic>
    <xdr:clientData/>
  </xdr:twoCellAnchor>
  <xdr:twoCellAnchor editAs="oneCell">
    <xdr:from>
      <xdr:col>5</xdr:col>
      <xdr:colOff>259080</xdr:colOff>
      <xdr:row>3</xdr:row>
      <xdr:rowOff>81915</xdr:rowOff>
    </xdr:from>
    <xdr:to>
      <xdr:col>6</xdr:col>
      <xdr:colOff>449580</xdr:colOff>
      <xdr:row>3</xdr:row>
      <xdr:rowOff>777875</xdr:rowOff>
    </xdr:to>
    <xdr:pic>
      <xdr:nvPicPr>
        <xdr:cNvPr id="1209409" name="Picture 4"/>
        <xdr:cNvPicPr>
          <a:picLocks noChangeAspect="1"/>
        </xdr:cNvPicPr>
      </xdr:nvPicPr>
      <xdr:blipFill>
        <a:blip xmlns:r="http://schemas.openxmlformats.org/officeDocument/2006/relationships" r:embed="rId2" cstate="print"/>
        <a:stretch>
          <a:fillRect/>
        </a:stretch>
      </xdr:blipFill>
      <xdr:spPr>
        <a:xfrm>
          <a:off x="3307080" y="2320290"/>
          <a:ext cx="861060" cy="695960"/>
        </a:xfrm>
        <a:prstGeom prst="rect">
          <a:avLst/>
        </a:prstGeom>
        <a:noFill/>
        <a:ln w="1">
          <a:noFill/>
        </a:ln>
      </xdr:spPr>
    </xdr:pic>
    <xdr:clientData/>
  </xdr:twoCellAnchor>
  <xdr:twoCellAnchor editAs="oneCell">
    <xdr:from>
      <xdr:col>6</xdr:col>
      <xdr:colOff>586740</xdr:colOff>
      <xdr:row>3</xdr:row>
      <xdr:rowOff>122555</xdr:rowOff>
    </xdr:from>
    <xdr:to>
      <xdr:col>10</xdr:col>
      <xdr:colOff>226695</xdr:colOff>
      <xdr:row>3</xdr:row>
      <xdr:rowOff>753110</xdr:rowOff>
    </xdr:to>
    <xdr:pic>
      <xdr:nvPicPr>
        <xdr:cNvPr id="1209410" name="Picture 5"/>
        <xdr:cNvPicPr>
          <a:picLocks noChangeAspect="1"/>
        </xdr:cNvPicPr>
      </xdr:nvPicPr>
      <xdr:blipFill>
        <a:blip xmlns:r="http://schemas.openxmlformats.org/officeDocument/2006/relationships" r:embed="rId3" cstate="print"/>
        <a:stretch>
          <a:fillRect/>
        </a:stretch>
      </xdr:blipFill>
      <xdr:spPr>
        <a:xfrm>
          <a:off x="4305300" y="2360930"/>
          <a:ext cx="1971675" cy="630555"/>
        </a:xfrm>
        <a:prstGeom prst="rect">
          <a:avLst/>
        </a:prstGeom>
        <a:noFill/>
        <a:ln w="1">
          <a:noFill/>
        </a:ln>
      </xdr:spPr>
    </xdr:pic>
    <xdr:clientData/>
  </xdr:twoCellAnchor>
  <xdr:twoCellAnchor editAs="oneCell">
    <xdr:from>
      <xdr:col>5</xdr:col>
      <xdr:colOff>327660</xdr:colOff>
      <xdr:row>2</xdr:row>
      <xdr:rowOff>161290</xdr:rowOff>
    </xdr:from>
    <xdr:to>
      <xdr:col>6</xdr:col>
      <xdr:colOff>419100</xdr:colOff>
      <xdr:row>2</xdr:row>
      <xdr:rowOff>838200</xdr:rowOff>
    </xdr:to>
    <xdr:pic>
      <xdr:nvPicPr>
        <xdr:cNvPr id="1209411" name="Picture 6"/>
        <xdr:cNvPicPr>
          <a:picLocks noChangeAspect="1"/>
        </xdr:cNvPicPr>
      </xdr:nvPicPr>
      <xdr:blipFill>
        <a:blip xmlns:r="http://schemas.openxmlformats.org/officeDocument/2006/relationships" r:embed="rId4" cstate="print"/>
        <a:stretch>
          <a:fillRect/>
        </a:stretch>
      </xdr:blipFill>
      <xdr:spPr>
        <a:xfrm>
          <a:off x="3375660" y="1437640"/>
          <a:ext cx="762000" cy="676910"/>
        </a:xfrm>
        <a:prstGeom prst="rect">
          <a:avLst/>
        </a:prstGeom>
        <a:noFill/>
        <a:ln w="1">
          <a:noFill/>
        </a:ln>
      </xdr:spPr>
    </xdr:pic>
    <xdr:clientData/>
  </xdr:twoCellAnchor>
  <xdr:twoCellAnchor editAs="oneCell">
    <xdr:from>
      <xdr:col>6</xdr:col>
      <xdr:colOff>601980</xdr:colOff>
      <xdr:row>2</xdr:row>
      <xdr:rowOff>176530</xdr:rowOff>
    </xdr:from>
    <xdr:to>
      <xdr:col>10</xdr:col>
      <xdr:colOff>219075</xdr:colOff>
      <xdr:row>2</xdr:row>
      <xdr:rowOff>785495</xdr:rowOff>
    </xdr:to>
    <xdr:pic>
      <xdr:nvPicPr>
        <xdr:cNvPr id="1209412" name="Picture 7"/>
        <xdr:cNvPicPr>
          <a:picLocks noChangeAspect="1"/>
        </xdr:cNvPicPr>
      </xdr:nvPicPr>
      <xdr:blipFill>
        <a:blip xmlns:r="http://schemas.openxmlformats.org/officeDocument/2006/relationships" r:embed="rId5" cstate="print"/>
        <a:stretch>
          <a:fillRect/>
        </a:stretch>
      </xdr:blipFill>
      <xdr:spPr>
        <a:xfrm>
          <a:off x="4320540" y="1452880"/>
          <a:ext cx="1948815" cy="608965"/>
        </a:xfrm>
        <a:prstGeom prst="rect">
          <a:avLst/>
        </a:prstGeom>
        <a:noFill/>
        <a:ln w="1">
          <a:noFill/>
        </a:ln>
      </xdr:spPr>
    </xdr:pic>
    <xdr:clientData/>
  </xdr:twoCellAnchor>
  <xdr:twoCellAnchor editAs="oneCell">
    <xdr:from>
      <xdr:col>5</xdr:col>
      <xdr:colOff>327660</xdr:colOff>
      <xdr:row>1</xdr:row>
      <xdr:rowOff>144145</xdr:rowOff>
    </xdr:from>
    <xdr:to>
      <xdr:col>6</xdr:col>
      <xdr:colOff>411480</xdr:colOff>
      <xdr:row>1</xdr:row>
      <xdr:rowOff>831215</xdr:rowOff>
    </xdr:to>
    <xdr:pic>
      <xdr:nvPicPr>
        <xdr:cNvPr id="1209413" name="Picture 8"/>
        <xdr:cNvPicPr>
          <a:picLocks noChangeAspect="1"/>
        </xdr:cNvPicPr>
      </xdr:nvPicPr>
      <xdr:blipFill>
        <a:blip xmlns:r="http://schemas.openxmlformats.org/officeDocument/2006/relationships" r:embed="rId6" cstate="print"/>
        <a:stretch>
          <a:fillRect/>
        </a:stretch>
      </xdr:blipFill>
      <xdr:spPr>
        <a:xfrm>
          <a:off x="3375660" y="448945"/>
          <a:ext cx="754380" cy="687070"/>
        </a:xfrm>
        <a:prstGeom prst="rect">
          <a:avLst/>
        </a:prstGeom>
        <a:noFill/>
        <a:ln w="1">
          <a:noFill/>
        </a:ln>
      </xdr:spPr>
    </xdr:pic>
    <xdr:clientData/>
  </xdr:twoCellAnchor>
  <xdr:twoCellAnchor editAs="oneCell">
    <xdr:from>
      <xdr:col>6</xdr:col>
      <xdr:colOff>571500</xdr:colOff>
      <xdr:row>1</xdr:row>
      <xdr:rowOff>189865</xdr:rowOff>
    </xdr:from>
    <xdr:to>
      <xdr:col>10</xdr:col>
      <xdr:colOff>219075</xdr:colOff>
      <xdr:row>1</xdr:row>
      <xdr:rowOff>770255</xdr:rowOff>
    </xdr:to>
    <xdr:pic>
      <xdr:nvPicPr>
        <xdr:cNvPr id="1209414" name="Picture 9"/>
        <xdr:cNvPicPr>
          <a:picLocks noChangeAspect="1"/>
        </xdr:cNvPicPr>
      </xdr:nvPicPr>
      <xdr:blipFill>
        <a:blip xmlns:r="http://schemas.openxmlformats.org/officeDocument/2006/relationships" r:embed="rId7" cstate="print"/>
        <a:stretch>
          <a:fillRect/>
        </a:stretch>
      </xdr:blipFill>
      <xdr:spPr>
        <a:xfrm>
          <a:off x="4290060" y="494665"/>
          <a:ext cx="1979295" cy="580390"/>
        </a:xfrm>
        <a:prstGeom prst="rect">
          <a:avLst/>
        </a:prstGeom>
        <a:noFill/>
        <a:ln w="1">
          <a:noFill/>
        </a:ln>
      </xdr:spPr>
    </xdr:pic>
    <xdr:clientData/>
  </xdr:twoCellAnchor>
</xdr:wsDr>
</file>

<file path=xl/drawings/drawing52.xml><?xml version="1.0" encoding="utf-8"?>
<xdr:wsDr xmlns:xdr="http://schemas.openxmlformats.org/drawingml/2006/spreadsheetDrawing" xmlns:a="http://schemas.openxmlformats.org/drawingml/2006/main">
  <xdr:twoCellAnchor>
    <xdr:from>
      <xdr:col>11</xdr:col>
      <xdr:colOff>31115</xdr:colOff>
      <xdr:row>24</xdr:row>
      <xdr:rowOff>122555</xdr:rowOff>
    </xdr:from>
    <xdr:to>
      <xdr:col>12</xdr:col>
      <xdr:colOff>601980</xdr:colOff>
      <xdr:row>27</xdr:row>
      <xdr:rowOff>30480</xdr:rowOff>
    </xdr:to>
    <xdr:sp macro="" textlink="">
      <xdr:nvSpPr>
        <xdr:cNvPr id="1210378" name="AutoShape 1"/>
        <xdr:cNvSpPr/>
      </xdr:nvSpPr>
      <xdr:spPr>
        <a:xfrm>
          <a:off x="8954135" y="5547995"/>
          <a:ext cx="1256665" cy="593725"/>
        </a:xfrm>
        <a:prstGeom prst="rightArrow">
          <a:avLst>
            <a:gd name="adj1" fmla="val 4027"/>
            <a:gd name="adj2" fmla="val 104564"/>
          </a:avLst>
        </a:prstGeom>
        <a:solidFill>
          <a:srgbClr val="FF0000">
            <a:alpha val="100000"/>
          </a:srgbClr>
        </a:solidFill>
        <a:ln w="9525" cap="flat" cmpd="sng">
          <a:solidFill>
            <a:srgbClr val="000000"/>
          </a:solidFill>
          <a:prstDash val="solid"/>
          <a:miter/>
          <a:headEnd type="none" w="med" len="med"/>
          <a:tailEnd type="none" w="med" len="med"/>
        </a:ln>
      </xdr:spPr>
    </xdr:sp>
    <xdr:clientData/>
  </xdr:twoCellAnchor>
</xdr:wsDr>
</file>

<file path=xl/drawings/drawing53.xml><?xml version="1.0" encoding="utf-8"?>
<xdr:wsDr xmlns:xdr="http://schemas.openxmlformats.org/drawingml/2006/spreadsheetDrawing" xmlns:a="http://schemas.openxmlformats.org/drawingml/2006/main">
  <xdr:twoCellAnchor>
    <xdr:from>
      <xdr:col>8</xdr:col>
      <xdr:colOff>22860</xdr:colOff>
      <xdr:row>10</xdr:row>
      <xdr:rowOff>0</xdr:rowOff>
    </xdr:from>
    <xdr:to>
      <xdr:col>8</xdr:col>
      <xdr:colOff>213360</xdr:colOff>
      <xdr:row>10</xdr:row>
      <xdr:rowOff>0</xdr:rowOff>
    </xdr:to>
    <xdr:sp macro="" textlink="">
      <xdr:nvSpPr>
        <xdr:cNvPr id="1211960" name="Line 1"/>
        <xdr:cNvSpPr/>
      </xdr:nvSpPr>
      <xdr:spPr>
        <a:xfrm>
          <a:off x="2034540" y="20935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22860</xdr:colOff>
      <xdr:row>10</xdr:row>
      <xdr:rowOff>0</xdr:rowOff>
    </xdr:from>
    <xdr:to>
      <xdr:col>9</xdr:col>
      <xdr:colOff>213360</xdr:colOff>
      <xdr:row>10</xdr:row>
      <xdr:rowOff>0</xdr:rowOff>
    </xdr:to>
    <xdr:sp macro="" textlink="">
      <xdr:nvSpPr>
        <xdr:cNvPr id="1211961" name="Line 2"/>
        <xdr:cNvSpPr/>
      </xdr:nvSpPr>
      <xdr:spPr>
        <a:xfrm>
          <a:off x="2286000" y="20935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10</xdr:row>
      <xdr:rowOff>0</xdr:rowOff>
    </xdr:from>
    <xdr:to>
      <xdr:col>10</xdr:col>
      <xdr:colOff>213360</xdr:colOff>
      <xdr:row>10</xdr:row>
      <xdr:rowOff>0</xdr:rowOff>
    </xdr:to>
    <xdr:sp macro="" textlink="">
      <xdr:nvSpPr>
        <xdr:cNvPr id="1211962" name="Line 3"/>
        <xdr:cNvSpPr/>
      </xdr:nvSpPr>
      <xdr:spPr>
        <a:xfrm>
          <a:off x="2537460" y="20935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38100</xdr:colOff>
      <xdr:row>10</xdr:row>
      <xdr:rowOff>0</xdr:rowOff>
    </xdr:from>
    <xdr:to>
      <xdr:col>11</xdr:col>
      <xdr:colOff>228600</xdr:colOff>
      <xdr:row>10</xdr:row>
      <xdr:rowOff>0</xdr:rowOff>
    </xdr:to>
    <xdr:sp macro="" textlink="">
      <xdr:nvSpPr>
        <xdr:cNvPr id="1211963" name="Line 4"/>
        <xdr:cNvSpPr/>
      </xdr:nvSpPr>
      <xdr:spPr>
        <a:xfrm>
          <a:off x="2804160" y="20935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22860</xdr:colOff>
      <xdr:row>10</xdr:row>
      <xdr:rowOff>0</xdr:rowOff>
    </xdr:from>
    <xdr:to>
      <xdr:col>12</xdr:col>
      <xdr:colOff>213360</xdr:colOff>
      <xdr:row>10</xdr:row>
      <xdr:rowOff>0</xdr:rowOff>
    </xdr:to>
    <xdr:sp macro="" textlink="">
      <xdr:nvSpPr>
        <xdr:cNvPr id="1211964" name="Line 5"/>
        <xdr:cNvSpPr/>
      </xdr:nvSpPr>
      <xdr:spPr>
        <a:xfrm>
          <a:off x="3040380" y="20935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45720</xdr:colOff>
      <xdr:row>17</xdr:row>
      <xdr:rowOff>183515</xdr:rowOff>
    </xdr:from>
    <xdr:to>
      <xdr:col>8</xdr:col>
      <xdr:colOff>236220</xdr:colOff>
      <xdr:row>17</xdr:row>
      <xdr:rowOff>183515</xdr:rowOff>
    </xdr:to>
    <xdr:sp macro="" textlink="">
      <xdr:nvSpPr>
        <xdr:cNvPr id="1211965" name="Line 20"/>
        <xdr:cNvSpPr/>
      </xdr:nvSpPr>
      <xdr:spPr>
        <a:xfrm>
          <a:off x="2057400" y="366395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53340</xdr:colOff>
      <xdr:row>17</xdr:row>
      <xdr:rowOff>183515</xdr:rowOff>
    </xdr:from>
    <xdr:to>
      <xdr:col>9</xdr:col>
      <xdr:colOff>243840</xdr:colOff>
      <xdr:row>17</xdr:row>
      <xdr:rowOff>183515</xdr:rowOff>
    </xdr:to>
    <xdr:sp macro="" textlink="">
      <xdr:nvSpPr>
        <xdr:cNvPr id="1211966" name="Line 21"/>
        <xdr:cNvSpPr/>
      </xdr:nvSpPr>
      <xdr:spPr>
        <a:xfrm>
          <a:off x="2316480" y="366395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53340</xdr:colOff>
      <xdr:row>17</xdr:row>
      <xdr:rowOff>198120</xdr:rowOff>
    </xdr:from>
    <xdr:to>
      <xdr:col>11</xdr:col>
      <xdr:colOff>243840</xdr:colOff>
      <xdr:row>18</xdr:row>
      <xdr:rowOff>7620</xdr:rowOff>
    </xdr:to>
    <xdr:sp macro="" textlink="">
      <xdr:nvSpPr>
        <xdr:cNvPr id="1211967" name="Line 23"/>
        <xdr:cNvSpPr/>
      </xdr:nvSpPr>
      <xdr:spPr>
        <a:xfrm>
          <a:off x="2819400" y="3678555"/>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22860</xdr:colOff>
      <xdr:row>26</xdr:row>
      <xdr:rowOff>0</xdr:rowOff>
    </xdr:from>
    <xdr:to>
      <xdr:col>8</xdr:col>
      <xdr:colOff>213360</xdr:colOff>
      <xdr:row>26</xdr:row>
      <xdr:rowOff>0</xdr:rowOff>
    </xdr:to>
    <xdr:sp macro="" textlink="">
      <xdr:nvSpPr>
        <xdr:cNvPr id="1211968" name="Line 38"/>
        <xdr:cNvSpPr/>
      </xdr:nvSpPr>
      <xdr:spPr>
        <a:xfrm>
          <a:off x="2034540" y="52711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38100</xdr:colOff>
      <xdr:row>26</xdr:row>
      <xdr:rowOff>0</xdr:rowOff>
    </xdr:from>
    <xdr:to>
      <xdr:col>9</xdr:col>
      <xdr:colOff>228600</xdr:colOff>
      <xdr:row>26</xdr:row>
      <xdr:rowOff>0</xdr:rowOff>
    </xdr:to>
    <xdr:sp macro="" textlink="">
      <xdr:nvSpPr>
        <xdr:cNvPr id="1211969" name="Line 39"/>
        <xdr:cNvSpPr/>
      </xdr:nvSpPr>
      <xdr:spPr>
        <a:xfrm>
          <a:off x="2301240" y="52711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26</xdr:row>
      <xdr:rowOff>0</xdr:rowOff>
    </xdr:from>
    <xdr:to>
      <xdr:col>10</xdr:col>
      <xdr:colOff>213360</xdr:colOff>
      <xdr:row>26</xdr:row>
      <xdr:rowOff>0</xdr:rowOff>
    </xdr:to>
    <xdr:sp macro="" textlink="">
      <xdr:nvSpPr>
        <xdr:cNvPr id="1211970" name="Line 40"/>
        <xdr:cNvSpPr/>
      </xdr:nvSpPr>
      <xdr:spPr>
        <a:xfrm>
          <a:off x="2537460" y="52711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38100</xdr:colOff>
      <xdr:row>26</xdr:row>
      <xdr:rowOff>0</xdr:rowOff>
    </xdr:from>
    <xdr:to>
      <xdr:col>11</xdr:col>
      <xdr:colOff>228600</xdr:colOff>
      <xdr:row>26</xdr:row>
      <xdr:rowOff>0</xdr:rowOff>
    </xdr:to>
    <xdr:sp macro="" textlink="">
      <xdr:nvSpPr>
        <xdr:cNvPr id="1211971" name="Line 41"/>
        <xdr:cNvSpPr/>
      </xdr:nvSpPr>
      <xdr:spPr>
        <a:xfrm>
          <a:off x="2804160" y="52711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45720</xdr:colOff>
      <xdr:row>26</xdr:row>
      <xdr:rowOff>0</xdr:rowOff>
    </xdr:from>
    <xdr:to>
      <xdr:col>12</xdr:col>
      <xdr:colOff>236220</xdr:colOff>
      <xdr:row>26</xdr:row>
      <xdr:rowOff>0</xdr:rowOff>
    </xdr:to>
    <xdr:sp macro="" textlink="">
      <xdr:nvSpPr>
        <xdr:cNvPr id="1211972" name="Line 42"/>
        <xdr:cNvSpPr/>
      </xdr:nvSpPr>
      <xdr:spPr>
        <a:xfrm>
          <a:off x="3063240" y="527113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22860</xdr:colOff>
      <xdr:row>30</xdr:row>
      <xdr:rowOff>144780</xdr:rowOff>
    </xdr:from>
    <xdr:to>
      <xdr:col>8</xdr:col>
      <xdr:colOff>213360</xdr:colOff>
      <xdr:row>30</xdr:row>
      <xdr:rowOff>144780</xdr:rowOff>
    </xdr:to>
    <xdr:sp macro="" textlink="">
      <xdr:nvSpPr>
        <xdr:cNvPr id="1211973" name="Line 43"/>
        <xdr:cNvSpPr/>
      </xdr:nvSpPr>
      <xdr:spPr>
        <a:xfrm>
          <a:off x="2034540" y="62083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53340</xdr:colOff>
      <xdr:row>30</xdr:row>
      <xdr:rowOff>144780</xdr:rowOff>
    </xdr:from>
    <xdr:to>
      <xdr:col>9</xdr:col>
      <xdr:colOff>243840</xdr:colOff>
      <xdr:row>30</xdr:row>
      <xdr:rowOff>144780</xdr:rowOff>
    </xdr:to>
    <xdr:sp macro="" textlink="">
      <xdr:nvSpPr>
        <xdr:cNvPr id="1211974" name="Line 44"/>
        <xdr:cNvSpPr/>
      </xdr:nvSpPr>
      <xdr:spPr>
        <a:xfrm>
          <a:off x="2316480" y="62083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30</xdr:row>
      <xdr:rowOff>144780</xdr:rowOff>
    </xdr:from>
    <xdr:to>
      <xdr:col>10</xdr:col>
      <xdr:colOff>213360</xdr:colOff>
      <xdr:row>30</xdr:row>
      <xdr:rowOff>144780</xdr:rowOff>
    </xdr:to>
    <xdr:sp macro="" textlink="">
      <xdr:nvSpPr>
        <xdr:cNvPr id="1211975" name="Line 45"/>
        <xdr:cNvSpPr/>
      </xdr:nvSpPr>
      <xdr:spPr>
        <a:xfrm>
          <a:off x="2537460" y="62083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15240</xdr:colOff>
      <xdr:row>30</xdr:row>
      <xdr:rowOff>144780</xdr:rowOff>
    </xdr:from>
    <xdr:to>
      <xdr:col>11</xdr:col>
      <xdr:colOff>205740</xdr:colOff>
      <xdr:row>30</xdr:row>
      <xdr:rowOff>144780</xdr:rowOff>
    </xdr:to>
    <xdr:sp macro="" textlink="">
      <xdr:nvSpPr>
        <xdr:cNvPr id="1211976" name="Line 46"/>
        <xdr:cNvSpPr/>
      </xdr:nvSpPr>
      <xdr:spPr>
        <a:xfrm>
          <a:off x="2781300" y="62083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45720</xdr:colOff>
      <xdr:row>30</xdr:row>
      <xdr:rowOff>144780</xdr:rowOff>
    </xdr:from>
    <xdr:to>
      <xdr:col>12</xdr:col>
      <xdr:colOff>236220</xdr:colOff>
      <xdr:row>30</xdr:row>
      <xdr:rowOff>144780</xdr:rowOff>
    </xdr:to>
    <xdr:sp macro="" textlink="">
      <xdr:nvSpPr>
        <xdr:cNvPr id="1211977" name="Line 47"/>
        <xdr:cNvSpPr/>
      </xdr:nvSpPr>
      <xdr:spPr>
        <a:xfrm>
          <a:off x="3063240" y="62083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45720</xdr:colOff>
      <xdr:row>33</xdr:row>
      <xdr:rowOff>6985</xdr:rowOff>
    </xdr:from>
    <xdr:to>
      <xdr:col>8</xdr:col>
      <xdr:colOff>236220</xdr:colOff>
      <xdr:row>33</xdr:row>
      <xdr:rowOff>6985</xdr:rowOff>
    </xdr:to>
    <xdr:sp macro="" textlink="">
      <xdr:nvSpPr>
        <xdr:cNvPr id="1211978" name="Line 48"/>
        <xdr:cNvSpPr/>
      </xdr:nvSpPr>
      <xdr:spPr>
        <a:xfrm>
          <a:off x="2057400" y="666496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38100</xdr:colOff>
      <xdr:row>33</xdr:row>
      <xdr:rowOff>6985</xdr:rowOff>
    </xdr:from>
    <xdr:to>
      <xdr:col>9</xdr:col>
      <xdr:colOff>228600</xdr:colOff>
      <xdr:row>33</xdr:row>
      <xdr:rowOff>6985</xdr:rowOff>
    </xdr:to>
    <xdr:sp macro="" textlink="">
      <xdr:nvSpPr>
        <xdr:cNvPr id="1211979" name="Line 49"/>
        <xdr:cNvSpPr/>
      </xdr:nvSpPr>
      <xdr:spPr>
        <a:xfrm>
          <a:off x="2301240" y="666496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38100</xdr:colOff>
      <xdr:row>33</xdr:row>
      <xdr:rowOff>6985</xdr:rowOff>
    </xdr:from>
    <xdr:to>
      <xdr:col>10</xdr:col>
      <xdr:colOff>228600</xdr:colOff>
      <xdr:row>33</xdr:row>
      <xdr:rowOff>6985</xdr:rowOff>
    </xdr:to>
    <xdr:sp macro="" textlink="">
      <xdr:nvSpPr>
        <xdr:cNvPr id="1211980" name="Line 50"/>
        <xdr:cNvSpPr/>
      </xdr:nvSpPr>
      <xdr:spPr>
        <a:xfrm>
          <a:off x="2552700" y="666496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45720</xdr:colOff>
      <xdr:row>33</xdr:row>
      <xdr:rowOff>6985</xdr:rowOff>
    </xdr:from>
    <xdr:to>
      <xdr:col>11</xdr:col>
      <xdr:colOff>236220</xdr:colOff>
      <xdr:row>33</xdr:row>
      <xdr:rowOff>6985</xdr:rowOff>
    </xdr:to>
    <xdr:sp macro="" textlink="">
      <xdr:nvSpPr>
        <xdr:cNvPr id="1211981" name="Line 51"/>
        <xdr:cNvSpPr/>
      </xdr:nvSpPr>
      <xdr:spPr>
        <a:xfrm>
          <a:off x="2811780" y="666496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38100</xdr:colOff>
      <xdr:row>33</xdr:row>
      <xdr:rowOff>6985</xdr:rowOff>
    </xdr:from>
    <xdr:to>
      <xdr:col>12</xdr:col>
      <xdr:colOff>228600</xdr:colOff>
      <xdr:row>33</xdr:row>
      <xdr:rowOff>6985</xdr:rowOff>
    </xdr:to>
    <xdr:sp macro="" textlink="">
      <xdr:nvSpPr>
        <xdr:cNvPr id="1211982" name="Line 52"/>
        <xdr:cNvSpPr/>
      </xdr:nvSpPr>
      <xdr:spPr>
        <a:xfrm>
          <a:off x="3055620" y="666496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22860</xdr:colOff>
      <xdr:row>34</xdr:row>
      <xdr:rowOff>198120</xdr:rowOff>
    </xdr:from>
    <xdr:to>
      <xdr:col>8</xdr:col>
      <xdr:colOff>213360</xdr:colOff>
      <xdr:row>35</xdr:row>
      <xdr:rowOff>7620</xdr:rowOff>
    </xdr:to>
    <xdr:sp macro="" textlink="">
      <xdr:nvSpPr>
        <xdr:cNvPr id="1211983" name="Line 53"/>
        <xdr:cNvSpPr/>
      </xdr:nvSpPr>
      <xdr:spPr>
        <a:xfrm>
          <a:off x="2034540" y="706374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38100</xdr:colOff>
      <xdr:row>34</xdr:row>
      <xdr:rowOff>198120</xdr:rowOff>
    </xdr:from>
    <xdr:to>
      <xdr:col>9</xdr:col>
      <xdr:colOff>228600</xdr:colOff>
      <xdr:row>35</xdr:row>
      <xdr:rowOff>7620</xdr:rowOff>
    </xdr:to>
    <xdr:sp macro="" textlink="">
      <xdr:nvSpPr>
        <xdr:cNvPr id="1211984" name="Line 54"/>
        <xdr:cNvSpPr/>
      </xdr:nvSpPr>
      <xdr:spPr>
        <a:xfrm>
          <a:off x="2301240" y="706374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34</xdr:row>
      <xdr:rowOff>198120</xdr:rowOff>
    </xdr:from>
    <xdr:to>
      <xdr:col>10</xdr:col>
      <xdr:colOff>213360</xdr:colOff>
      <xdr:row>35</xdr:row>
      <xdr:rowOff>7620</xdr:rowOff>
    </xdr:to>
    <xdr:sp macro="" textlink="">
      <xdr:nvSpPr>
        <xdr:cNvPr id="1211985" name="Line 55"/>
        <xdr:cNvSpPr/>
      </xdr:nvSpPr>
      <xdr:spPr>
        <a:xfrm>
          <a:off x="2537460" y="706374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22860</xdr:colOff>
      <xdr:row>34</xdr:row>
      <xdr:rowOff>198120</xdr:rowOff>
    </xdr:from>
    <xdr:to>
      <xdr:col>11</xdr:col>
      <xdr:colOff>213360</xdr:colOff>
      <xdr:row>35</xdr:row>
      <xdr:rowOff>7620</xdr:rowOff>
    </xdr:to>
    <xdr:sp macro="" textlink="">
      <xdr:nvSpPr>
        <xdr:cNvPr id="1211986" name="Line 56"/>
        <xdr:cNvSpPr/>
      </xdr:nvSpPr>
      <xdr:spPr>
        <a:xfrm>
          <a:off x="2788920" y="706374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22860</xdr:colOff>
      <xdr:row>34</xdr:row>
      <xdr:rowOff>198120</xdr:rowOff>
    </xdr:from>
    <xdr:to>
      <xdr:col>12</xdr:col>
      <xdr:colOff>213360</xdr:colOff>
      <xdr:row>35</xdr:row>
      <xdr:rowOff>7620</xdr:rowOff>
    </xdr:to>
    <xdr:sp macro="" textlink="">
      <xdr:nvSpPr>
        <xdr:cNvPr id="1211987" name="Line 57"/>
        <xdr:cNvSpPr/>
      </xdr:nvSpPr>
      <xdr:spPr>
        <a:xfrm>
          <a:off x="3040380" y="7063740"/>
          <a:ext cx="1905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15240</xdr:colOff>
      <xdr:row>30</xdr:row>
      <xdr:rowOff>144780</xdr:rowOff>
    </xdr:from>
    <xdr:to>
      <xdr:col>25</xdr:col>
      <xdr:colOff>205740</xdr:colOff>
      <xdr:row>30</xdr:row>
      <xdr:rowOff>144780</xdr:rowOff>
    </xdr:to>
    <xdr:sp macro="" textlink="">
      <xdr:nvSpPr>
        <xdr:cNvPr id="1211988" name="Line 71"/>
        <xdr:cNvSpPr/>
      </xdr:nvSpPr>
      <xdr:spPr>
        <a:xfrm>
          <a:off x="6301740" y="620839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45720</xdr:colOff>
      <xdr:row>37</xdr:row>
      <xdr:rowOff>22225</xdr:rowOff>
    </xdr:from>
    <xdr:to>
      <xdr:col>21</xdr:col>
      <xdr:colOff>220980</xdr:colOff>
      <xdr:row>37</xdr:row>
      <xdr:rowOff>22225</xdr:rowOff>
    </xdr:to>
    <xdr:sp macro="" textlink="">
      <xdr:nvSpPr>
        <xdr:cNvPr id="1211989" name="Line 163"/>
        <xdr:cNvSpPr/>
      </xdr:nvSpPr>
      <xdr:spPr>
        <a:xfrm>
          <a:off x="5326380" y="748220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37</xdr:row>
      <xdr:rowOff>22225</xdr:rowOff>
    </xdr:from>
    <xdr:to>
      <xdr:col>22</xdr:col>
      <xdr:colOff>213360</xdr:colOff>
      <xdr:row>37</xdr:row>
      <xdr:rowOff>22225</xdr:rowOff>
    </xdr:to>
    <xdr:sp macro="" textlink="">
      <xdr:nvSpPr>
        <xdr:cNvPr id="1211990" name="Line 164"/>
        <xdr:cNvSpPr/>
      </xdr:nvSpPr>
      <xdr:spPr>
        <a:xfrm>
          <a:off x="5570220" y="748220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45720</xdr:colOff>
      <xdr:row>37</xdr:row>
      <xdr:rowOff>22225</xdr:rowOff>
    </xdr:from>
    <xdr:to>
      <xdr:col>23</xdr:col>
      <xdr:colOff>220980</xdr:colOff>
      <xdr:row>37</xdr:row>
      <xdr:rowOff>22225</xdr:rowOff>
    </xdr:to>
    <xdr:sp macro="" textlink="">
      <xdr:nvSpPr>
        <xdr:cNvPr id="1211991" name="Line 165"/>
        <xdr:cNvSpPr/>
      </xdr:nvSpPr>
      <xdr:spPr>
        <a:xfrm>
          <a:off x="5829300" y="748220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37</xdr:row>
      <xdr:rowOff>37465</xdr:rowOff>
    </xdr:from>
    <xdr:to>
      <xdr:col>24</xdr:col>
      <xdr:colOff>213360</xdr:colOff>
      <xdr:row>37</xdr:row>
      <xdr:rowOff>37465</xdr:rowOff>
    </xdr:to>
    <xdr:sp macro="" textlink="">
      <xdr:nvSpPr>
        <xdr:cNvPr id="1211992" name="Line 166"/>
        <xdr:cNvSpPr/>
      </xdr:nvSpPr>
      <xdr:spPr>
        <a:xfrm>
          <a:off x="6073140" y="749744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37</xdr:row>
      <xdr:rowOff>37465</xdr:rowOff>
    </xdr:from>
    <xdr:to>
      <xdr:col>25</xdr:col>
      <xdr:colOff>198120</xdr:colOff>
      <xdr:row>37</xdr:row>
      <xdr:rowOff>37465</xdr:rowOff>
    </xdr:to>
    <xdr:sp macro="" textlink="">
      <xdr:nvSpPr>
        <xdr:cNvPr id="1211993" name="Line 167"/>
        <xdr:cNvSpPr/>
      </xdr:nvSpPr>
      <xdr:spPr>
        <a:xfrm>
          <a:off x="6309360" y="749744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43</xdr:row>
      <xdr:rowOff>129540</xdr:rowOff>
    </xdr:from>
    <xdr:to>
      <xdr:col>21</xdr:col>
      <xdr:colOff>213360</xdr:colOff>
      <xdr:row>43</xdr:row>
      <xdr:rowOff>129540</xdr:rowOff>
    </xdr:to>
    <xdr:sp macro="" textlink="">
      <xdr:nvSpPr>
        <xdr:cNvPr id="1211994" name="Line 169"/>
        <xdr:cNvSpPr/>
      </xdr:nvSpPr>
      <xdr:spPr>
        <a:xfrm>
          <a:off x="5303520" y="87782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43</xdr:row>
      <xdr:rowOff>129540</xdr:rowOff>
    </xdr:from>
    <xdr:to>
      <xdr:col>21</xdr:col>
      <xdr:colOff>213360</xdr:colOff>
      <xdr:row>43</xdr:row>
      <xdr:rowOff>129540</xdr:rowOff>
    </xdr:to>
    <xdr:sp macro="" textlink="">
      <xdr:nvSpPr>
        <xdr:cNvPr id="1211995" name="Line 170"/>
        <xdr:cNvSpPr/>
      </xdr:nvSpPr>
      <xdr:spPr>
        <a:xfrm>
          <a:off x="5303520" y="87782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43</xdr:row>
      <xdr:rowOff>129540</xdr:rowOff>
    </xdr:from>
    <xdr:to>
      <xdr:col>22</xdr:col>
      <xdr:colOff>228600</xdr:colOff>
      <xdr:row>43</xdr:row>
      <xdr:rowOff>129540</xdr:rowOff>
    </xdr:to>
    <xdr:sp macro="" textlink="">
      <xdr:nvSpPr>
        <xdr:cNvPr id="1211996" name="Line 171"/>
        <xdr:cNvSpPr/>
      </xdr:nvSpPr>
      <xdr:spPr>
        <a:xfrm>
          <a:off x="5570220" y="87782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22860</xdr:colOff>
      <xdr:row>43</xdr:row>
      <xdr:rowOff>129540</xdr:rowOff>
    </xdr:from>
    <xdr:to>
      <xdr:col>23</xdr:col>
      <xdr:colOff>213360</xdr:colOff>
      <xdr:row>43</xdr:row>
      <xdr:rowOff>129540</xdr:rowOff>
    </xdr:to>
    <xdr:sp macro="" textlink="">
      <xdr:nvSpPr>
        <xdr:cNvPr id="1211997" name="Line 172"/>
        <xdr:cNvSpPr/>
      </xdr:nvSpPr>
      <xdr:spPr>
        <a:xfrm>
          <a:off x="5806440" y="87782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43</xdr:row>
      <xdr:rowOff>129540</xdr:rowOff>
    </xdr:from>
    <xdr:to>
      <xdr:col>24</xdr:col>
      <xdr:colOff>228600</xdr:colOff>
      <xdr:row>43</xdr:row>
      <xdr:rowOff>129540</xdr:rowOff>
    </xdr:to>
    <xdr:sp macro="" textlink="">
      <xdr:nvSpPr>
        <xdr:cNvPr id="1211998" name="Line 173"/>
        <xdr:cNvSpPr/>
      </xdr:nvSpPr>
      <xdr:spPr>
        <a:xfrm>
          <a:off x="6073140" y="87782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43</xdr:row>
      <xdr:rowOff>129540</xdr:rowOff>
    </xdr:from>
    <xdr:to>
      <xdr:col>25</xdr:col>
      <xdr:colOff>213360</xdr:colOff>
      <xdr:row>43</xdr:row>
      <xdr:rowOff>129540</xdr:rowOff>
    </xdr:to>
    <xdr:sp macro="" textlink="">
      <xdr:nvSpPr>
        <xdr:cNvPr id="1211999" name="Line 174"/>
        <xdr:cNvSpPr/>
      </xdr:nvSpPr>
      <xdr:spPr>
        <a:xfrm>
          <a:off x="6309360" y="877824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46</xdr:row>
      <xdr:rowOff>129540</xdr:rowOff>
    </xdr:from>
    <xdr:to>
      <xdr:col>21</xdr:col>
      <xdr:colOff>213360</xdr:colOff>
      <xdr:row>46</xdr:row>
      <xdr:rowOff>129540</xdr:rowOff>
    </xdr:to>
    <xdr:sp macro="" textlink="">
      <xdr:nvSpPr>
        <xdr:cNvPr id="1212000" name="Line 175"/>
        <xdr:cNvSpPr/>
      </xdr:nvSpPr>
      <xdr:spPr>
        <a:xfrm>
          <a:off x="5303520" y="93726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46</xdr:row>
      <xdr:rowOff>129540</xdr:rowOff>
    </xdr:from>
    <xdr:to>
      <xdr:col>21</xdr:col>
      <xdr:colOff>213360</xdr:colOff>
      <xdr:row>46</xdr:row>
      <xdr:rowOff>129540</xdr:rowOff>
    </xdr:to>
    <xdr:sp macro="" textlink="">
      <xdr:nvSpPr>
        <xdr:cNvPr id="1212001" name="Line 176"/>
        <xdr:cNvSpPr/>
      </xdr:nvSpPr>
      <xdr:spPr>
        <a:xfrm>
          <a:off x="5303520" y="93726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46</xdr:row>
      <xdr:rowOff>129540</xdr:rowOff>
    </xdr:from>
    <xdr:to>
      <xdr:col>22</xdr:col>
      <xdr:colOff>228600</xdr:colOff>
      <xdr:row>46</xdr:row>
      <xdr:rowOff>129540</xdr:rowOff>
    </xdr:to>
    <xdr:sp macro="" textlink="">
      <xdr:nvSpPr>
        <xdr:cNvPr id="1212002" name="Line 177"/>
        <xdr:cNvSpPr/>
      </xdr:nvSpPr>
      <xdr:spPr>
        <a:xfrm>
          <a:off x="5570220" y="93726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22860</xdr:colOff>
      <xdr:row>46</xdr:row>
      <xdr:rowOff>129540</xdr:rowOff>
    </xdr:from>
    <xdr:to>
      <xdr:col>23</xdr:col>
      <xdr:colOff>213360</xdr:colOff>
      <xdr:row>46</xdr:row>
      <xdr:rowOff>129540</xdr:rowOff>
    </xdr:to>
    <xdr:sp macro="" textlink="">
      <xdr:nvSpPr>
        <xdr:cNvPr id="1212003" name="Line 178"/>
        <xdr:cNvSpPr/>
      </xdr:nvSpPr>
      <xdr:spPr>
        <a:xfrm>
          <a:off x="5806440" y="93726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46</xdr:row>
      <xdr:rowOff>129540</xdr:rowOff>
    </xdr:from>
    <xdr:to>
      <xdr:col>24</xdr:col>
      <xdr:colOff>228600</xdr:colOff>
      <xdr:row>46</xdr:row>
      <xdr:rowOff>129540</xdr:rowOff>
    </xdr:to>
    <xdr:sp macro="" textlink="">
      <xdr:nvSpPr>
        <xdr:cNvPr id="1212004" name="Line 179"/>
        <xdr:cNvSpPr/>
      </xdr:nvSpPr>
      <xdr:spPr>
        <a:xfrm>
          <a:off x="6073140" y="93726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46</xdr:row>
      <xdr:rowOff>129540</xdr:rowOff>
    </xdr:from>
    <xdr:to>
      <xdr:col>25</xdr:col>
      <xdr:colOff>213360</xdr:colOff>
      <xdr:row>46</xdr:row>
      <xdr:rowOff>129540</xdr:rowOff>
    </xdr:to>
    <xdr:sp macro="" textlink="">
      <xdr:nvSpPr>
        <xdr:cNvPr id="1212005" name="Line 180"/>
        <xdr:cNvSpPr/>
      </xdr:nvSpPr>
      <xdr:spPr>
        <a:xfrm>
          <a:off x="6309360" y="9372600"/>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45720</xdr:colOff>
      <xdr:row>39</xdr:row>
      <xdr:rowOff>22225</xdr:rowOff>
    </xdr:from>
    <xdr:to>
      <xdr:col>21</xdr:col>
      <xdr:colOff>220980</xdr:colOff>
      <xdr:row>39</xdr:row>
      <xdr:rowOff>22225</xdr:rowOff>
    </xdr:to>
    <xdr:sp macro="" textlink="">
      <xdr:nvSpPr>
        <xdr:cNvPr id="1212006" name="Line 181"/>
        <xdr:cNvSpPr/>
      </xdr:nvSpPr>
      <xdr:spPr>
        <a:xfrm>
          <a:off x="5326380" y="787844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39</xdr:row>
      <xdr:rowOff>22225</xdr:rowOff>
    </xdr:from>
    <xdr:to>
      <xdr:col>22</xdr:col>
      <xdr:colOff>213360</xdr:colOff>
      <xdr:row>39</xdr:row>
      <xdr:rowOff>22225</xdr:rowOff>
    </xdr:to>
    <xdr:sp macro="" textlink="">
      <xdr:nvSpPr>
        <xdr:cNvPr id="1212007" name="Line 182"/>
        <xdr:cNvSpPr/>
      </xdr:nvSpPr>
      <xdr:spPr>
        <a:xfrm>
          <a:off x="5570220" y="787844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45720</xdr:colOff>
      <xdr:row>39</xdr:row>
      <xdr:rowOff>22225</xdr:rowOff>
    </xdr:from>
    <xdr:to>
      <xdr:col>23</xdr:col>
      <xdr:colOff>220980</xdr:colOff>
      <xdr:row>39</xdr:row>
      <xdr:rowOff>22225</xdr:rowOff>
    </xdr:to>
    <xdr:sp macro="" textlink="">
      <xdr:nvSpPr>
        <xdr:cNvPr id="1212008" name="Line 183"/>
        <xdr:cNvSpPr/>
      </xdr:nvSpPr>
      <xdr:spPr>
        <a:xfrm>
          <a:off x="5829300" y="787844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39</xdr:row>
      <xdr:rowOff>37465</xdr:rowOff>
    </xdr:from>
    <xdr:to>
      <xdr:col>24</xdr:col>
      <xdr:colOff>213360</xdr:colOff>
      <xdr:row>39</xdr:row>
      <xdr:rowOff>37465</xdr:rowOff>
    </xdr:to>
    <xdr:sp macro="" textlink="">
      <xdr:nvSpPr>
        <xdr:cNvPr id="1212009" name="Line 184"/>
        <xdr:cNvSpPr/>
      </xdr:nvSpPr>
      <xdr:spPr>
        <a:xfrm>
          <a:off x="6073140" y="78936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39</xdr:row>
      <xdr:rowOff>37465</xdr:rowOff>
    </xdr:from>
    <xdr:to>
      <xdr:col>25</xdr:col>
      <xdr:colOff>198120</xdr:colOff>
      <xdr:row>39</xdr:row>
      <xdr:rowOff>37465</xdr:rowOff>
    </xdr:to>
    <xdr:sp macro="" textlink="">
      <xdr:nvSpPr>
        <xdr:cNvPr id="1212010" name="Line 185"/>
        <xdr:cNvSpPr/>
      </xdr:nvSpPr>
      <xdr:spPr>
        <a:xfrm>
          <a:off x="6309360" y="78936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45720</xdr:colOff>
      <xdr:row>41</xdr:row>
      <xdr:rowOff>22225</xdr:rowOff>
    </xdr:from>
    <xdr:to>
      <xdr:col>21</xdr:col>
      <xdr:colOff>220980</xdr:colOff>
      <xdr:row>41</xdr:row>
      <xdr:rowOff>22225</xdr:rowOff>
    </xdr:to>
    <xdr:sp macro="" textlink="">
      <xdr:nvSpPr>
        <xdr:cNvPr id="1212011" name="Line 186"/>
        <xdr:cNvSpPr/>
      </xdr:nvSpPr>
      <xdr:spPr>
        <a:xfrm>
          <a:off x="5326380" y="82746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38100</xdr:colOff>
      <xdr:row>41</xdr:row>
      <xdr:rowOff>22225</xdr:rowOff>
    </xdr:from>
    <xdr:to>
      <xdr:col>22</xdr:col>
      <xdr:colOff>213360</xdr:colOff>
      <xdr:row>41</xdr:row>
      <xdr:rowOff>22225</xdr:rowOff>
    </xdr:to>
    <xdr:sp macro="" textlink="">
      <xdr:nvSpPr>
        <xdr:cNvPr id="1212012" name="Line 187"/>
        <xdr:cNvSpPr/>
      </xdr:nvSpPr>
      <xdr:spPr>
        <a:xfrm>
          <a:off x="5570220" y="82746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23</xdr:col>
      <xdr:colOff>45720</xdr:colOff>
      <xdr:row>41</xdr:row>
      <xdr:rowOff>22225</xdr:rowOff>
    </xdr:from>
    <xdr:to>
      <xdr:col>23</xdr:col>
      <xdr:colOff>220980</xdr:colOff>
      <xdr:row>41</xdr:row>
      <xdr:rowOff>22225</xdr:rowOff>
    </xdr:to>
    <xdr:sp macro="" textlink="">
      <xdr:nvSpPr>
        <xdr:cNvPr id="1212013" name="Line 188"/>
        <xdr:cNvSpPr/>
      </xdr:nvSpPr>
      <xdr:spPr>
        <a:xfrm>
          <a:off x="5829300" y="827468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24</xdr:col>
      <xdr:colOff>38100</xdr:colOff>
      <xdr:row>41</xdr:row>
      <xdr:rowOff>37465</xdr:rowOff>
    </xdr:from>
    <xdr:to>
      <xdr:col>24</xdr:col>
      <xdr:colOff>213360</xdr:colOff>
      <xdr:row>41</xdr:row>
      <xdr:rowOff>37465</xdr:rowOff>
    </xdr:to>
    <xdr:sp macro="" textlink="">
      <xdr:nvSpPr>
        <xdr:cNvPr id="1212014" name="Line 189"/>
        <xdr:cNvSpPr/>
      </xdr:nvSpPr>
      <xdr:spPr>
        <a:xfrm>
          <a:off x="6073140" y="828992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22860</xdr:colOff>
      <xdr:row>41</xdr:row>
      <xdr:rowOff>37465</xdr:rowOff>
    </xdr:from>
    <xdr:to>
      <xdr:col>25</xdr:col>
      <xdr:colOff>198120</xdr:colOff>
      <xdr:row>41</xdr:row>
      <xdr:rowOff>37465</xdr:rowOff>
    </xdr:to>
    <xdr:sp macro="" textlink="">
      <xdr:nvSpPr>
        <xdr:cNvPr id="1212015" name="Line 190"/>
        <xdr:cNvSpPr/>
      </xdr:nvSpPr>
      <xdr:spPr>
        <a:xfrm>
          <a:off x="6309360" y="8289925"/>
          <a:ext cx="17526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38100</xdr:colOff>
      <xdr:row>33</xdr:row>
      <xdr:rowOff>0</xdr:rowOff>
    </xdr:from>
    <xdr:to>
      <xdr:col>25</xdr:col>
      <xdr:colOff>228600</xdr:colOff>
      <xdr:row>33</xdr:row>
      <xdr:rowOff>0</xdr:rowOff>
    </xdr:to>
    <xdr:sp macro="" textlink="">
      <xdr:nvSpPr>
        <xdr:cNvPr id="1212016" name="Line 191"/>
        <xdr:cNvSpPr/>
      </xdr:nvSpPr>
      <xdr:spPr>
        <a:xfrm>
          <a:off x="6324600" y="665797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15240</xdr:colOff>
      <xdr:row>35</xdr:row>
      <xdr:rowOff>6985</xdr:rowOff>
    </xdr:from>
    <xdr:to>
      <xdr:col>25</xdr:col>
      <xdr:colOff>205740</xdr:colOff>
      <xdr:row>35</xdr:row>
      <xdr:rowOff>6985</xdr:rowOff>
    </xdr:to>
    <xdr:sp macro="" textlink="">
      <xdr:nvSpPr>
        <xdr:cNvPr id="1212017" name="Line 192"/>
        <xdr:cNvSpPr/>
      </xdr:nvSpPr>
      <xdr:spPr>
        <a:xfrm>
          <a:off x="6301740" y="7070725"/>
          <a:ext cx="19050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8</xdr:col>
      <xdr:colOff>7620</xdr:colOff>
      <xdr:row>24</xdr:row>
      <xdr:rowOff>198120</xdr:rowOff>
    </xdr:from>
    <xdr:to>
      <xdr:col>8</xdr:col>
      <xdr:colOff>236220</xdr:colOff>
      <xdr:row>25</xdr:row>
      <xdr:rowOff>7620</xdr:rowOff>
    </xdr:to>
    <xdr:sp macro="" textlink="">
      <xdr:nvSpPr>
        <xdr:cNvPr id="1212018" name="Line 193"/>
        <xdr:cNvSpPr/>
      </xdr:nvSpPr>
      <xdr:spPr>
        <a:xfrm>
          <a:off x="2019300" y="5073015"/>
          <a:ext cx="2286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9</xdr:col>
      <xdr:colOff>15240</xdr:colOff>
      <xdr:row>24</xdr:row>
      <xdr:rowOff>198120</xdr:rowOff>
    </xdr:from>
    <xdr:to>
      <xdr:col>9</xdr:col>
      <xdr:colOff>243840</xdr:colOff>
      <xdr:row>25</xdr:row>
      <xdr:rowOff>7620</xdr:rowOff>
    </xdr:to>
    <xdr:sp macro="" textlink="">
      <xdr:nvSpPr>
        <xdr:cNvPr id="1212019" name="Line 194"/>
        <xdr:cNvSpPr/>
      </xdr:nvSpPr>
      <xdr:spPr>
        <a:xfrm>
          <a:off x="2278380" y="5073015"/>
          <a:ext cx="2286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24</xdr:row>
      <xdr:rowOff>198120</xdr:rowOff>
    </xdr:from>
    <xdr:to>
      <xdr:col>11</xdr:col>
      <xdr:colOff>0</xdr:colOff>
      <xdr:row>25</xdr:row>
      <xdr:rowOff>7620</xdr:rowOff>
    </xdr:to>
    <xdr:sp macro="" textlink="">
      <xdr:nvSpPr>
        <xdr:cNvPr id="1212020" name="Line 195"/>
        <xdr:cNvSpPr/>
      </xdr:nvSpPr>
      <xdr:spPr>
        <a:xfrm>
          <a:off x="2537460" y="5073015"/>
          <a:ext cx="22860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11</xdr:col>
      <xdr:colOff>38100</xdr:colOff>
      <xdr:row>24</xdr:row>
      <xdr:rowOff>198120</xdr:rowOff>
    </xdr:from>
    <xdr:to>
      <xdr:col>12</xdr:col>
      <xdr:colOff>7620</xdr:colOff>
      <xdr:row>25</xdr:row>
      <xdr:rowOff>7620</xdr:rowOff>
    </xdr:to>
    <xdr:sp macro="" textlink="">
      <xdr:nvSpPr>
        <xdr:cNvPr id="1212021" name="Line 196"/>
        <xdr:cNvSpPr/>
      </xdr:nvSpPr>
      <xdr:spPr>
        <a:xfrm>
          <a:off x="2804160" y="5073015"/>
          <a:ext cx="220980" cy="7620"/>
        </a:xfrm>
        <a:prstGeom prst="line">
          <a:avLst/>
        </a:prstGeom>
        <a:ln w="9525" cap="flat" cmpd="sng">
          <a:solidFill>
            <a:srgbClr val="000000"/>
          </a:solidFill>
          <a:prstDash val="solid"/>
          <a:round/>
          <a:headEnd type="none" w="med" len="med"/>
          <a:tailEnd type="none" w="med" len="med"/>
        </a:ln>
      </xdr:spPr>
    </xdr:sp>
    <xdr:clientData/>
  </xdr:twoCellAnchor>
  <xdr:twoCellAnchor>
    <xdr:from>
      <xdr:col>12</xdr:col>
      <xdr:colOff>22860</xdr:colOff>
      <xdr:row>24</xdr:row>
      <xdr:rowOff>198120</xdr:rowOff>
    </xdr:from>
    <xdr:to>
      <xdr:col>13</xdr:col>
      <xdr:colOff>0</xdr:colOff>
      <xdr:row>25</xdr:row>
      <xdr:rowOff>7620</xdr:rowOff>
    </xdr:to>
    <xdr:sp macro="" textlink="">
      <xdr:nvSpPr>
        <xdr:cNvPr id="1212022" name="Line 197"/>
        <xdr:cNvSpPr/>
      </xdr:nvSpPr>
      <xdr:spPr>
        <a:xfrm>
          <a:off x="3040380" y="5073015"/>
          <a:ext cx="228600" cy="7620"/>
        </a:xfrm>
        <a:prstGeom prst="line">
          <a:avLst/>
        </a:prstGeom>
        <a:ln w="9525" cap="flat" cmpd="sng">
          <a:solidFill>
            <a:srgbClr val="000000"/>
          </a:solidFill>
          <a:prstDash val="solid"/>
          <a:round/>
          <a:headEnd type="none" w="med" len="med"/>
          <a:tailEnd type="none" w="med" len="med"/>
        </a:ln>
      </xdr:spPr>
    </xdr:sp>
    <xdr:clientData/>
  </xdr:twoCellAnchor>
  <mc:AlternateContent xmlns:mc="http://schemas.openxmlformats.org/markup-compatibility/2006">
    <mc:Choice xmlns:a14="http://schemas.microsoft.com/office/drawing/2010/main" Requires="a14">
      <xdr:twoCellAnchor>
        <xdr:from>
          <xdr:col>18</xdr:col>
          <xdr:colOff>38100</xdr:colOff>
          <xdr:row>13</xdr:row>
          <xdr:rowOff>0</xdr:rowOff>
        </xdr:from>
        <xdr:to>
          <xdr:col>18</xdr:col>
          <xdr:colOff>142875</xdr:colOff>
          <xdr:row>15</xdr:row>
          <xdr:rowOff>0</xdr:rowOff>
        </xdr:to>
        <xdr:sp macro="" textlink="">
          <xdr:nvSpPr>
            <xdr:cNvPr id="1211393" name="Picture 7" hidden="1">
              <a:extLst>
                <a:ext uri="{63B3BB69-23CF-44E3-9099-C40C66FF867C}">
                  <a14:compatExt spid="_x0000_s1211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0</xdr:colOff>
          <xdr:row>13</xdr:row>
          <xdr:rowOff>0</xdr:rowOff>
        </xdr:from>
        <xdr:to>
          <xdr:col>13</xdr:col>
          <xdr:colOff>209550</xdr:colOff>
          <xdr:row>15</xdr:row>
          <xdr:rowOff>0</xdr:rowOff>
        </xdr:to>
        <xdr:sp macro="" textlink="">
          <xdr:nvSpPr>
            <xdr:cNvPr id="1211394" name="Picture 8" hidden="1">
              <a:extLst>
                <a:ext uri="{63B3BB69-23CF-44E3-9099-C40C66FF867C}">
                  <a14:compatExt spid="_x0000_s1211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19050</xdr:colOff>
          <xdr:row>13</xdr:row>
          <xdr:rowOff>19050</xdr:rowOff>
        </xdr:from>
        <xdr:to>
          <xdr:col>14</xdr:col>
          <xdr:colOff>228600</xdr:colOff>
          <xdr:row>15</xdr:row>
          <xdr:rowOff>0</xdr:rowOff>
        </xdr:to>
        <xdr:sp macro="" textlink="">
          <xdr:nvSpPr>
            <xdr:cNvPr id="1211395" name="Picture 9" hidden="1">
              <a:extLst>
                <a:ext uri="{63B3BB69-23CF-44E3-9099-C40C66FF867C}">
                  <a14:compatExt spid="_x0000_s1211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85725</xdr:colOff>
          <xdr:row>13</xdr:row>
          <xdr:rowOff>0</xdr:rowOff>
        </xdr:from>
        <xdr:to>
          <xdr:col>15</xdr:col>
          <xdr:colOff>200025</xdr:colOff>
          <xdr:row>14</xdr:row>
          <xdr:rowOff>180975</xdr:rowOff>
        </xdr:to>
        <xdr:sp macro="" textlink="">
          <xdr:nvSpPr>
            <xdr:cNvPr id="1211396" name="Picture 10" hidden="1">
              <a:extLst>
                <a:ext uri="{63B3BB69-23CF-44E3-9099-C40C66FF867C}">
                  <a14:compatExt spid="_x0000_s12113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47625</xdr:colOff>
          <xdr:row>13</xdr:row>
          <xdr:rowOff>0</xdr:rowOff>
        </xdr:from>
        <xdr:to>
          <xdr:col>17</xdr:col>
          <xdr:colOff>0</xdr:colOff>
          <xdr:row>14</xdr:row>
          <xdr:rowOff>180975</xdr:rowOff>
        </xdr:to>
        <xdr:sp macro="" textlink="">
          <xdr:nvSpPr>
            <xdr:cNvPr id="1211397" name="Picture 11" hidden="1">
              <a:extLst>
                <a:ext uri="{63B3BB69-23CF-44E3-9099-C40C66FF867C}">
                  <a14:compatExt spid="_x0000_s12113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17</xdr:col>
          <xdr:colOff>38100</xdr:colOff>
          <xdr:row>12</xdr:row>
          <xdr:rowOff>200025</xdr:rowOff>
        </xdr:from>
        <xdr:to>
          <xdr:col>17</xdr:col>
          <xdr:colOff>238125</xdr:colOff>
          <xdr:row>14</xdr:row>
          <xdr:rowOff>171450</xdr:rowOff>
        </xdr:to>
        <xdr:sp macro="" textlink="">
          <xdr:nvSpPr>
            <xdr:cNvPr id="1211398" name="Picture 12" hidden="1">
              <a:extLst>
                <a:ext uri="{63B3BB69-23CF-44E3-9099-C40C66FF867C}">
                  <a14:compatExt spid="_x0000_s121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47625</xdr:colOff>
          <xdr:row>13</xdr:row>
          <xdr:rowOff>0</xdr:rowOff>
        </xdr:from>
        <xdr:to>
          <xdr:col>19</xdr:col>
          <xdr:colOff>152400</xdr:colOff>
          <xdr:row>15</xdr:row>
          <xdr:rowOff>0</xdr:rowOff>
        </xdr:to>
        <xdr:sp macro="" textlink="">
          <xdr:nvSpPr>
            <xdr:cNvPr id="1211399" name="Picture 13" hidden="1">
              <a:extLst>
                <a:ext uri="{63B3BB69-23CF-44E3-9099-C40C66FF867C}">
                  <a14:compatExt spid="_x0000_s1211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85725</xdr:colOff>
          <xdr:row>13</xdr:row>
          <xdr:rowOff>0</xdr:rowOff>
        </xdr:from>
        <xdr:to>
          <xdr:col>20</xdr:col>
          <xdr:colOff>200025</xdr:colOff>
          <xdr:row>14</xdr:row>
          <xdr:rowOff>180975</xdr:rowOff>
        </xdr:to>
        <xdr:sp macro="" textlink="">
          <xdr:nvSpPr>
            <xdr:cNvPr id="1211400" name="Picture 14" hidden="1">
              <a:extLst>
                <a:ext uri="{63B3BB69-23CF-44E3-9099-C40C66FF867C}">
                  <a14:compatExt spid="_x0000_s121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57150</xdr:colOff>
          <xdr:row>13</xdr:row>
          <xdr:rowOff>19050</xdr:rowOff>
        </xdr:from>
        <xdr:to>
          <xdr:col>21</xdr:col>
          <xdr:colOff>171450</xdr:colOff>
          <xdr:row>15</xdr:row>
          <xdr:rowOff>0</xdr:rowOff>
        </xdr:to>
        <xdr:sp macro="" textlink="">
          <xdr:nvSpPr>
            <xdr:cNvPr id="1211401" name="Picture 15" hidden="1">
              <a:extLst>
                <a:ext uri="{63B3BB69-23CF-44E3-9099-C40C66FF867C}">
                  <a14:compatExt spid="_x0000_s12114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85725</xdr:colOff>
          <xdr:row>13</xdr:row>
          <xdr:rowOff>0</xdr:rowOff>
        </xdr:from>
        <xdr:to>
          <xdr:col>22</xdr:col>
          <xdr:colOff>200025</xdr:colOff>
          <xdr:row>15</xdr:row>
          <xdr:rowOff>0</xdr:rowOff>
        </xdr:to>
        <xdr:sp macro="" textlink="">
          <xdr:nvSpPr>
            <xdr:cNvPr id="1211402" name="Picture 16" hidden="1">
              <a:extLst>
                <a:ext uri="{63B3BB69-23CF-44E3-9099-C40C66FF867C}">
                  <a14:compatExt spid="_x0000_s12114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114300</xdr:colOff>
          <xdr:row>13</xdr:row>
          <xdr:rowOff>0</xdr:rowOff>
        </xdr:from>
        <xdr:to>
          <xdr:col>23</xdr:col>
          <xdr:colOff>228600</xdr:colOff>
          <xdr:row>14</xdr:row>
          <xdr:rowOff>180975</xdr:rowOff>
        </xdr:to>
        <xdr:sp macro="" textlink="">
          <xdr:nvSpPr>
            <xdr:cNvPr id="1211403" name="Picture 17" hidden="1">
              <a:extLst>
                <a:ext uri="{63B3BB69-23CF-44E3-9099-C40C66FF867C}">
                  <a14:compatExt spid="_x0000_s121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66675</xdr:colOff>
          <xdr:row>13</xdr:row>
          <xdr:rowOff>0</xdr:rowOff>
        </xdr:from>
        <xdr:to>
          <xdr:col>24</xdr:col>
          <xdr:colOff>180975</xdr:colOff>
          <xdr:row>15</xdr:row>
          <xdr:rowOff>0</xdr:rowOff>
        </xdr:to>
        <xdr:sp macro="" textlink="">
          <xdr:nvSpPr>
            <xdr:cNvPr id="1211404" name="Picture 18" hidden="1">
              <a:extLst>
                <a:ext uri="{63B3BB69-23CF-44E3-9099-C40C66FF867C}">
                  <a14:compatExt spid="_x0000_s121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19050</xdr:colOff>
          <xdr:row>9</xdr:row>
          <xdr:rowOff>0</xdr:rowOff>
        </xdr:from>
        <xdr:to>
          <xdr:col>25</xdr:col>
          <xdr:colOff>133350</xdr:colOff>
          <xdr:row>9</xdr:row>
          <xdr:rowOff>9525</xdr:rowOff>
        </xdr:to>
        <xdr:sp macro="" textlink="">
          <xdr:nvSpPr>
            <xdr:cNvPr id="1211405" name="Picture 19" hidden="1">
              <a:extLst>
                <a:ext uri="{63B3BB69-23CF-44E3-9099-C40C66FF867C}">
                  <a14:compatExt spid="_x0000_s12114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57150</xdr:colOff>
          <xdr:row>21</xdr:row>
          <xdr:rowOff>57150</xdr:rowOff>
        </xdr:from>
        <xdr:to>
          <xdr:col>18</xdr:col>
          <xdr:colOff>171450</xdr:colOff>
          <xdr:row>23</xdr:row>
          <xdr:rowOff>19050</xdr:rowOff>
        </xdr:to>
        <xdr:sp macro="" textlink="">
          <xdr:nvSpPr>
            <xdr:cNvPr id="1211406" name="Picture 25" hidden="1">
              <a:extLst>
                <a:ext uri="{63B3BB69-23CF-44E3-9099-C40C66FF867C}">
                  <a14:compatExt spid="_x0000_s12114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19050</xdr:colOff>
          <xdr:row>21</xdr:row>
          <xdr:rowOff>114300</xdr:rowOff>
        </xdr:from>
        <xdr:to>
          <xdr:col>14</xdr:col>
          <xdr:colOff>0</xdr:colOff>
          <xdr:row>23</xdr:row>
          <xdr:rowOff>66675</xdr:rowOff>
        </xdr:to>
        <xdr:sp macro="" textlink="">
          <xdr:nvSpPr>
            <xdr:cNvPr id="1211407" name="Picture 26" hidden="1">
              <a:extLst>
                <a:ext uri="{63B3BB69-23CF-44E3-9099-C40C66FF867C}">
                  <a14:compatExt spid="_x0000_s12114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19050</xdr:colOff>
          <xdr:row>21</xdr:row>
          <xdr:rowOff>104775</xdr:rowOff>
        </xdr:from>
        <xdr:to>
          <xdr:col>14</xdr:col>
          <xdr:colOff>228600</xdr:colOff>
          <xdr:row>23</xdr:row>
          <xdr:rowOff>57150</xdr:rowOff>
        </xdr:to>
        <xdr:sp macro="" textlink="">
          <xdr:nvSpPr>
            <xdr:cNvPr id="1211408" name="Picture 27" hidden="1">
              <a:extLst>
                <a:ext uri="{63B3BB69-23CF-44E3-9099-C40C66FF867C}">
                  <a14:compatExt spid="_x0000_s121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57150</xdr:colOff>
          <xdr:row>21</xdr:row>
          <xdr:rowOff>95250</xdr:rowOff>
        </xdr:from>
        <xdr:to>
          <xdr:col>15</xdr:col>
          <xdr:colOff>171450</xdr:colOff>
          <xdr:row>23</xdr:row>
          <xdr:rowOff>57150</xdr:rowOff>
        </xdr:to>
        <xdr:sp macro="" textlink="">
          <xdr:nvSpPr>
            <xdr:cNvPr id="1211409" name="Picture 28" hidden="1">
              <a:extLst>
                <a:ext uri="{63B3BB69-23CF-44E3-9099-C40C66FF867C}">
                  <a14:compatExt spid="_x0000_s121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47625</xdr:colOff>
          <xdr:row>21</xdr:row>
          <xdr:rowOff>66675</xdr:rowOff>
        </xdr:from>
        <xdr:to>
          <xdr:col>17</xdr:col>
          <xdr:colOff>0</xdr:colOff>
          <xdr:row>23</xdr:row>
          <xdr:rowOff>28575</xdr:rowOff>
        </xdr:to>
        <xdr:sp macro="" textlink="">
          <xdr:nvSpPr>
            <xdr:cNvPr id="1211410" name="Picture 29" hidden="1">
              <a:extLst>
                <a:ext uri="{63B3BB69-23CF-44E3-9099-C40C66FF867C}">
                  <a14:compatExt spid="_x0000_s121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17</xdr:col>
          <xdr:colOff>57150</xdr:colOff>
          <xdr:row>21</xdr:row>
          <xdr:rowOff>66675</xdr:rowOff>
        </xdr:from>
        <xdr:to>
          <xdr:col>18</xdr:col>
          <xdr:colOff>0</xdr:colOff>
          <xdr:row>23</xdr:row>
          <xdr:rowOff>28575</xdr:rowOff>
        </xdr:to>
        <xdr:sp macro="" textlink="">
          <xdr:nvSpPr>
            <xdr:cNvPr id="1211411" name="Picture 30" hidden="1">
              <a:extLst>
                <a:ext uri="{63B3BB69-23CF-44E3-9099-C40C66FF867C}">
                  <a14:compatExt spid="_x0000_s121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66675</xdr:colOff>
          <xdr:row>21</xdr:row>
          <xdr:rowOff>66675</xdr:rowOff>
        </xdr:from>
        <xdr:to>
          <xdr:col>19</xdr:col>
          <xdr:colOff>180975</xdr:colOff>
          <xdr:row>23</xdr:row>
          <xdr:rowOff>28575</xdr:rowOff>
        </xdr:to>
        <xdr:sp macro="" textlink="">
          <xdr:nvSpPr>
            <xdr:cNvPr id="1211412" name="Picture 31" hidden="1">
              <a:extLst>
                <a:ext uri="{63B3BB69-23CF-44E3-9099-C40C66FF867C}">
                  <a14:compatExt spid="_x0000_s121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85725</xdr:colOff>
          <xdr:row>21</xdr:row>
          <xdr:rowOff>66675</xdr:rowOff>
        </xdr:from>
        <xdr:to>
          <xdr:col>20</xdr:col>
          <xdr:colOff>200025</xdr:colOff>
          <xdr:row>23</xdr:row>
          <xdr:rowOff>28575</xdr:rowOff>
        </xdr:to>
        <xdr:sp macro="" textlink="">
          <xdr:nvSpPr>
            <xdr:cNvPr id="1211413" name="Picture 32" hidden="1">
              <a:extLst>
                <a:ext uri="{63B3BB69-23CF-44E3-9099-C40C66FF867C}">
                  <a14:compatExt spid="_x0000_s121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57150</xdr:colOff>
          <xdr:row>21</xdr:row>
          <xdr:rowOff>66675</xdr:rowOff>
        </xdr:from>
        <xdr:to>
          <xdr:col>21</xdr:col>
          <xdr:colOff>171450</xdr:colOff>
          <xdr:row>23</xdr:row>
          <xdr:rowOff>28575</xdr:rowOff>
        </xdr:to>
        <xdr:sp macro="" textlink="">
          <xdr:nvSpPr>
            <xdr:cNvPr id="1211414" name="Picture 33" hidden="1">
              <a:extLst>
                <a:ext uri="{63B3BB69-23CF-44E3-9099-C40C66FF867C}">
                  <a14:compatExt spid="_x0000_s121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66675</xdr:colOff>
          <xdr:row>21</xdr:row>
          <xdr:rowOff>57150</xdr:rowOff>
        </xdr:from>
        <xdr:to>
          <xdr:col>22</xdr:col>
          <xdr:colOff>180975</xdr:colOff>
          <xdr:row>23</xdr:row>
          <xdr:rowOff>19050</xdr:rowOff>
        </xdr:to>
        <xdr:sp macro="" textlink="">
          <xdr:nvSpPr>
            <xdr:cNvPr id="1211415" name="Picture 34" hidden="1">
              <a:extLst>
                <a:ext uri="{63B3BB69-23CF-44E3-9099-C40C66FF867C}">
                  <a14:compatExt spid="_x0000_s121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19050</xdr:colOff>
          <xdr:row>21</xdr:row>
          <xdr:rowOff>57150</xdr:rowOff>
        </xdr:from>
        <xdr:to>
          <xdr:col>23</xdr:col>
          <xdr:colOff>133350</xdr:colOff>
          <xdr:row>23</xdr:row>
          <xdr:rowOff>19050</xdr:rowOff>
        </xdr:to>
        <xdr:sp macro="" textlink="">
          <xdr:nvSpPr>
            <xdr:cNvPr id="1211416" name="Picture 35" hidden="1">
              <a:extLst>
                <a:ext uri="{63B3BB69-23CF-44E3-9099-C40C66FF867C}">
                  <a14:compatExt spid="_x0000_s121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57150</xdr:colOff>
          <xdr:row>21</xdr:row>
          <xdr:rowOff>57150</xdr:rowOff>
        </xdr:from>
        <xdr:to>
          <xdr:col>24</xdr:col>
          <xdr:colOff>171450</xdr:colOff>
          <xdr:row>23</xdr:row>
          <xdr:rowOff>0</xdr:rowOff>
        </xdr:to>
        <xdr:sp macro="" textlink="">
          <xdr:nvSpPr>
            <xdr:cNvPr id="1211417" name="Picture 36" hidden="1">
              <a:extLst>
                <a:ext uri="{63B3BB69-23CF-44E3-9099-C40C66FF867C}">
                  <a14:compatExt spid="_x0000_s121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57150</xdr:colOff>
          <xdr:row>21</xdr:row>
          <xdr:rowOff>57150</xdr:rowOff>
        </xdr:from>
        <xdr:to>
          <xdr:col>25</xdr:col>
          <xdr:colOff>171450</xdr:colOff>
          <xdr:row>23</xdr:row>
          <xdr:rowOff>0</xdr:rowOff>
        </xdr:to>
        <xdr:sp macro="" textlink="">
          <xdr:nvSpPr>
            <xdr:cNvPr id="1211418" name="Picture 37" hidden="1">
              <a:extLst>
                <a:ext uri="{63B3BB69-23CF-44E3-9099-C40C66FF867C}">
                  <a14:compatExt spid="_x0000_s121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26</xdr:row>
          <xdr:rowOff>66675</xdr:rowOff>
        </xdr:from>
        <xdr:to>
          <xdr:col>13</xdr:col>
          <xdr:colOff>228600</xdr:colOff>
          <xdr:row>28</xdr:row>
          <xdr:rowOff>28575</xdr:rowOff>
        </xdr:to>
        <xdr:sp macro="" textlink="">
          <xdr:nvSpPr>
            <xdr:cNvPr id="1211419" name="Picture 58" hidden="1">
              <a:extLst>
                <a:ext uri="{63B3BB69-23CF-44E3-9099-C40C66FF867C}">
                  <a14:compatExt spid="_x0000_s12114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38100</xdr:colOff>
          <xdr:row>26</xdr:row>
          <xdr:rowOff>104775</xdr:rowOff>
        </xdr:from>
        <xdr:to>
          <xdr:col>15</xdr:col>
          <xdr:colOff>0</xdr:colOff>
          <xdr:row>28</xdr:row>
          <xdr:rowOff>57150</xdr:rowOff>
        </xdr:to>
        <xdr:sp macro="" textlink="">
          <xdr:nvSpPr>
            <xdr:cNvPr id="1211420" name="Picture 59" hidden="1">
              <a:extLst>
                <a:ext uri="{63B3BB69-23CF-44E3-9099-C40C66FF867C}">
                  <a14:compatExt spid="_x0000_s12114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57150</xdr:colOff>
          <xdr:row>26</xdr:row>
          <xdr:rowOff>95250</xdr:rowOff>
        </xdr:from>
        <xdr:to>
          <xdr:col>15</xdr:col>
          <xdr:colOff>171450</xdr:colOff>
          <xdr:row>28</xdr:row>
          <xdr:rowOff>57150</xdr:rowOff>
        </xdr:to>
        <xdr:sp macro="" textlink="">
          <xdr:nvSpPr>
            <xdr:cNvPr id="1211421" name="Picture 60" hidden="1">
              <a:extLst>
                <a:ext uri="{63B3BB69-23CF-44E3-9099-C40C66FF867C}">
                  <a14:compatExt spid="_x0000_s121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9525</xdr:colOff>
          <xdr:row>26</xdr:row>
          <xdr:rowOff>104775</xdr:rowOff>
        </xdr:from>
        <xdr:to>
          <xdr:col>16</xdr:col>
          <xdr:colOff>209550</xdr:colOff>
          <xdr:row>28</xdr:row>
          <xdr:rowOff>57150</xdr:rowOff>
        </xdr:to>
        <xdr:sp macro="" textlink="">
          <xdr:nvSpPr>
            <xdr:cNvPr id="1211422" name="Picture 61" hidden="1">
              <a:extLst>
                <a:ext uri="{63B3BB69-23CF-44E3-9099-C40C66FF867C}">
                  <a14:compatExt spid="_x0000_s12114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17</xdr:col>
          <xdr:colOff>38100</xdr:colOff>
          <xdr:row>26</xdr:row>
          <xdr:rowOff>66675</xdr:rowOff>
        </xdr:from>
        <xdr:to>
          <xdr:col>17</xdr:col>
          <xdr:colOff>238125</xdr:colOff>
          <xdr:row>28</xdr:row>
          <xdr:rowOff>28575</xdr:rowOff>
        </xdr:to>
        <xdr:sp macro="" textlink="">
          <xdr:nvSpPr>
            <xdr:cNvPr id="1211423" name="Picture 62" hidden="1">
              <a:extLst>
                <a:ext uri="{63B3BB69-23CF-44E3-9099-C40C66FF867C}">
                  <a14:compatExt spid="_x0000_s121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57150</xdr:colOff>
          <xdr:row>26</xdr:row>
          <xdr:rowOff>95250</xdr:rowOff>
        </xdr:from>
        <xdr:to>
          <xdr:col>18</xdr:col>
          <xdr:colOff>171450</xdr:colOff>
          <xdr:row>28</xdr:row>
          <xdr:rowOff>57150</xdr:rowOff>
        </xdr:to>
        <xdr:sp macro="" textlink="">
          <xdr:nvSpPr>
            <xdr:cNvPr id="1211424" name="Picture 63" hidden="1">
              <a:extLst>
                <a:ext uri="{63B3BB69-23CF-44E3-9099-C40C66FF867C}">
                  <a14:compatExt spid="_x0000_s12114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19</xdr:col>
          <xdr:colOff>76200</xdr:colOff>
          <xdr:row>26</xdr:row>
          <xdr:rowOff>114300</xdr:rowOff>
        </xdr:from>
        <xdr:to>
          <xdr:col>19</xdr:col>
          <xdr:colOff>190500</xdr:colOff>
          <xdr:row>28</xdr:row>
          <xdr:rowOff>66675</xdr:rowOff>
        </xdr:to>
        <xdr:sp macro="" textlink="">
          <xdr:nvSpPr>
            <xdr:cNvPr id="1211425" name="Picture 64" hidden="1">
              <a:extLst>
                <a:ext uri="{63B3BB69-23CF-44E3-9099-C40C66FF867C}">
                  <a14:compatExt spid="_x0000_s12114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66675</xdr:colOff>
          <xdr:row>26</xdr:row>
          <xdr:rowOff>114300</xdr:rowOff>
        </xdr:from>
        <xdr:to>
          <xdr:col>20</xdr:col>
          <xdr:colOff>180975</xdr:colOff>
          <xdr:row>28</xdr:row>
          <xdr:rowOff>66675</xdr:rowOff>
        </xdr:to>
        <xdr:sp macro="" textlink="">
          <xdr:nvSpPr>
            <xdr:cNvPr id="1211426" name="Picture 65" hidden="1">
              <a:extLst>
                <a:ext uri="{63B3BB69-23CF-44E3-9099-C40C66FF867C}">
                  <a14:compatExt spid="_x0000_s12114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57150</xdr:colOff>
          <xdr:row>26</xdr:row>
          <xdr:rowOff>114300</xdr:rowOff>
        </xdr:from>
        <xdr:to>
          <xdr:col>21</xdr:col>
          <xdr:colOff>171450</xdr:colOff>
          <xdr:row>28</xdr:row>
          <xdr:rowOff>66675</xdr:rowOff>
        </xdr:to>
        <xdr:sp macro="" textlink="">
          <xdr:nvSpPr>
            <xdr:cNvPr id="1211427" name="Picture 66" hidden="1">
              <a:extLst>
                <a:ext uri="{63B3BB69-23CF-44E3-9099-C40C66FF867C}">
                  <a14:compatExt spid="_x0000_s12114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38100</xdr:colOff>
          <xdr:row>26</xdr:row>
          <xdr:rowOff>133350</xdr:rowOff>
        </xdr:from>
        <xdr:to>
          <xdr:col>22</xdr:col>
          <xdr:colOff>142875</xdr:colOff>
          <xdr:row>28</xdr:row>
          <xdr:rowOff>66675</xdr:rowOff>
        </xdr:to>
        <xdr:sp macro="" textlink="">
          <xdr:nvSpPr>
            <xdr:cNvPr id="1211428" name="Picture 67" hidden="1">
              <a:extLst>
                <a:ext uri="{63B3BB69-23CF-44E3-9099-C40C66FF867C}">
                  <a14:compatExt spid="_x0000_s12114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76200</xdr:colOff>
          <xdr:row>26</xdr:row>
          <xdr:rowOff>114300</xdr:rowOff>
        </xdr:from>
        <xdr:to>
          <xdr:col>23</xdr:col>
          <xdr:colOff>190500</xdr:colOff>
          <xdr:row>28</xdr:row>
          <xdr:rowOff>66675</xdr:rowOff>
        </xdr:to>
        <xdr:sp macro="" textlink="">
          <xdr:nvSpPr>
            <xdr:cNvPr id="1211429" name="Picture 68" hidden="1">
              <a:extLst>
                <a:ext uri="{63B3BB69-23CF-44E3-9099-C40C66FF867C}">
                  <a14:compatExt spid="_x0000_s12114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38100</xdr:colOff>
          <xdr:row>26</xdr:row>
          <xdr:rowOff>133350</xdr:rowOff>
        </xdr:from>
        <xdr:to>
          <xdr:col>24</xdr:col>
          <xdr:colOff>142875</xdr:colOff>
          <xdr:row>28</xdr:row>
          <xdr:rowOff>66675</xdr:rowOff>
        </xdr:to>
        <xdr:sp macro="" textlink="">
          <xdr:nvSpPr>
            <xdr:cNvPr id="1211430" name="Picture 69" hidden="1">
              <a:extLst>
                <a:ext uri="{63B3BB69-23CF-44E3-9099-C40C66FF867C}">
                  <a14:compatExt spid="_x0000_s12114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25</xdr:col>
          <xdr:colOff>57150</xdr:colOff>
          <xdr:row>26</xdr:row>
          <xdr:rowOff>142875</xdr:rowOff>
        </xdr:from>
        <xdr:to>
          <xdr:col>25</xdr:col>
          <xdr:colOff>171450</xdr:colOff>
          <xdr:row>28</xdr:row>
          <xdr:rowOff>104775</xdr:rowOff>
        </xdr:to>
        <xdr:sp macro="" textlink="">
          <xdr:nvSpPr>
            <xdr:cNvPr id="1211431" name="Picture 70" hidden="1">
              <a:extLst>
                <a:ext uri="{63B3BB69-23CF-44E3-9099-C40C66FF867C}">
                  <a14:compatExt spid="_x0000_s12114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36</xdr:row>
          <xdr:rowOff>133350</xdr:rowOff>
        </xdr:from>
        <xdr:to>
          <xdr:col>6</xdr:col>
          <xdr:colOff>142875</xdr:colOff>
          <xdr:row>41</xdr:row>
          <xdr:rowOff>66675</xdr:rowOff>
        </xdr:to>
        <xdr:sp macro="" textlink="">
          <xdr:nvSpPr>
            <xdr:cNvPr id="1211432" name="Picture 160" hidden="1">
              <a:extLst>
                <a:ext uri="{63B3BB69-23CF-44E3-9099-C40C66FF867C}">
                  <a14:compatExt spid="_x0000_s12114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76200</xdr:colOff>
          <xdr:row>43</xdr:row>
          <xdr:rowOff>142875</xdr:rowOff>
        </xdr:from>
        <xdr:to>
          <xdr:col>7</xdr:col>
          <xdr:colOff>190500</xdr:colOff>
          <xdr:row>44</xdr:row>
          <xdr:rowOff>57150</xdr:rowOff>
        </xdr:to>
        <xdr:sp macro="" textlink="">
          <xdr:nvSpPr>
            <xdr:cNvPr id="1211433" name="Picture 168" hidden="1">
              <a:extLst>
                <a:ext uri="{63B3BB69-23CF-44E3-9099-C40C66FF867C}">
                  <a14:compatExt spid="_x0000_s12114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8</xdr:row>
          <xdr:rowOff>38100</xdr:rowOff>
        </xdr:from>
        <xdr:to>
          <xdr:col>6</xdr:col>
          <xdr:colOff>19050</xdr:colOff>
          <xdr:row>15</xdr:row>
          <xdr:rowOff>133350</xdr:rowOff>
        </xdr:to>
        <xdr:sp macro="" textlink="">
          <xdr:nvSpPr>
            <xdr:cNvPr id="1211434" name="Picture 199" hidden="1">
              <a:extLst>
                <a:ext uri="{63B3BB69-23CF-44E3-9099-C40C66FF867C}">
                  <a14:compatExt spid="_x0000_s12114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85725</xdr:colOff>
          <xdr:row>24</xdr:row>
          <xdr:rowOff>19050</xdr:rowOff>
        </xdr:from>
        <xdr:to>
          <xdr:col>6</xdr:col>
          <xdr:colOff>66675</xdr:colOff>
          <xdr:row>29</xdr:row>
          <xdr:rowOff>0</xdr:rowOff>
        </xdr:to>
        <xdr:sp macro="" textlink="">
          <xdr:nvSpPr>
            <xdr:cNvPr id="1211435" name="Picture 201" hidden="1">
              <a:extLst>
                <a:ext uri="{63B3BB69-23CF-44E3-9099-C40C66FF867C}">
                  <a14:compatExt spid="_x0000_s12114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133350</xdr:colOff>
          <xdr:row>16</xdr:row>
          <xdr:rowOff>28575</xdr:rowOff>
        </xdr:from>
        <xdr:to>
          <xdr:col>6</xdr:col>
          <xdr:colOff>38100</xdr:colOff>
          <xdr:row>23</xdr:row>
          <xdr:rowOff>171450</xdr:rowOff>
        </xdr:to>
        <xdr:sp macro="" textlink="">
          <xdr:nvSpPr>
            <xdr:cNvPr id="1211436" name="Picture 202" hidden="1">
              <a:extLst>
                <a:ext uri="{63B3BB69-23CF-44E3-9099-C40C66FF867C}">
                  <a14:compatExt spid="_x0000_s12114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29</xdr:row>
          <xdr:rowOff>200025</xdr:rowOff>
        </xdr:from>
        <xdr:to>
          <xdr:col>6</xdr:col>
          <xdr:colOff>171450</xdr:colOff>
          <xdr:row>34</xdr:row>
          <xdr:rowOff>171450</xdr:rowOff>
        </xdr:to>
        <xdr:sp macro="" textlink="">
          <xdr:nvSpPr>
            <xdr:cNvPr id="1211437" name="Picture 203" hidden="1">
              <a:extLst>
                <a:ext uri="{63B3BB69-23CF-44E3-9099-C40C66FF867C}">
                  <a14:compatExt spid="_x0000_s12114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42</xdr:row>
          <xdr:rowOff>104775</xdr:rowOff>
        </xdr:from>
        <xdr:to>
          <xdr:col>6</xdr:col>
          <xdr:colOff>152400</xdr:colOff>
          <xdr:row>47</xdr:row>
          <xdr:rowOff>133350</xdr:rowOff>
        </xdr:to>
        <xdr:sp macro="" textlink="">
          <xdr:nvSpPr>
            <xdr:cNvPr id="1211438" name="Picture 204" hidden="1">
              <a:extLst>
                <a:ext uri="{63B3BB69-23CF-44E3-9099-C40C66FF867C}">
                  <a14:compatExt spid="_x0000_s1211438"/>
                </a:ext>
              </a:extLst>
            </xdr:cNvPr>
            <xdr:cNvSpPr/>
          </xdr:nvSpPr>
          <xdr:spPr>
            <a:xfrm>
              <a:off x="0" y="0"/>
              <a:ext cx="0" cy="0"/>
            </a:xfrm>
            <a:prstGeom prst="rect">
              <a:avLst/>
            </a:prstGeom>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8</xdr:col>
          <xdr:colOff>209550</xdr:colOff>
          <xdr:row>24</xdr:row>
          <xdr:rowOff>0</xdr:rowOff>
        </xdr:from>
        <xdr:to>
          <xdr:col>9</xdr:col>
          <xdr:colOff>85725</xdr:colOff>
          <xdr:row>25</xdr:row>
          <xdr:rowOff>9525</xdr:rowOff>
        </xdr:to>
        <xdr:sp macro="" textlink="">
          <xdr:nvSpPr>
            <xdr:cNvPr id="1212417" name="Picture 31" hidden="1">
              <a:extLst>
                <a:ext uri="{63B3BB69-23CF-44E3-9099-C40C66FF867C}">
                  <a14:compatExt spid="_x0000_s1212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209550</xdr:colOff>
          <xdr:row>23</xdr:row>
          <xdr:rowOff>200025</xdr:rowOff>
        </xdr:from>
        <xdr:to>
          <xdr:col>11</xdr:col>
          <xdr:colOff>85725</xdr:colOff>
          <xdr:row>25</xdr:row>
          <xdr:rowOff>9525</xdr:rowOff>
        </xdr:to>
        <xdr:sp macro="" textlink="">
          <xdr:nvSpPr>
            <xdr:cNvPr id="1212418" name="Picture 30" hidden="1">
              <a:extLst>
                <a:ext uri="{63B3BB69-23CF-44E3-9099-C40C66FF867C}">
                  <a14:compatExt spid="_x0000_s1212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209550</xdr:colOff>
          <xdr:row>23</xdr:row>
          <xdr:rowOff>200025</xdr:rowOff>
        </xdr:from>
        <xdr:to>
          <xdr:col>13</xdr:col>
          <xdr:colOff>85725</xdr:colOff>
          <xdr:row>25</xdr:row>
          <xdr:rowOff>0</xdr:rowOff>
        </xdr:to>
        <xdr:sp macro="" textlink="">
          <xdr:nvSpPr>
            <xdr:cNvPr id="1212419" name="Picture 29" hidden="1">
              <a:extLst>
                <a:ext uri="{63B3BB69-23CF-44E3-9099-C40C66FF867C}">
                  <a14:compatExt spid="_x0000_s12124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209550</xdr:colOff>
          <xdr:row>24</xdr:row>
          <xdr:rowOff>0</xdr:rowOff>
        </xdr:from>
        <xdr:to>
          <xdr:col>15</xdr:col>
          <xdr:colOff>85725</xdr:colOff>
          <xdr:row>25</xdr:row>
          <xdr:rowOff>9525</xdr:rowOff>
        </xdr:to>
        <xdr:sp macro="" textlink="">
          <xdr:nvSpPr>
            <xdr:cNvPr id="1212420" name="Picture 32" hidden="1">
              <a:extLst>
                <a:ext uri="{63B3BB69-23CF-44E3-9099-C40C66FF867C}">
                  <a14:compatExt spid="_x0000_s12124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209550</xdr:colOff>
          <xdr:row>23</xdr:row>
          <xdr:rowOff>200025</xdr:rowOff>
        </xdr:from>
        <xdr:to>
          <xdr:col>17</xdr:col>
          <xdr:colOff>85725</xdr:colOff>
          <xdr:row>25</xdr:row>
          <xdr:rowOff>9525</xdr:rowOff>
        </xdr:to>
        <xdr:sp macro="" textlink="">
          <xdr:nvSpPr>
            <xdr:cNvPr id="1212421" name="Picture 33" hidden="1">
              <a:extLst>
                <a:ext uri="{63B3BB69-23CF-44E3-9099-C40C66FF867C}">
                  <a14:compatExt spid="_x0000_s1212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18</xdr:col>
          <xdr:colOff>209550</xdr:colOff>
          <xdr:row>23</xdr:row>
          <xdr:rowOff>200025</xdr:rowOff>
        </xdr:from>
        <xdr:to>
          <xdr:col>19</xdr:col>
          <xdr:colOff>85725</xdr:colOff>
          <xdr:row>25</xdr:row>
          <xdr:rowOff>0</xdr:rowOff>
        </xdr:to>
        <xdr:sp macro="" textlink="">
          <xdr:nvSpPr>
            <xdr:cNvPr id="1212422" name="Picture 34" hidden="1">
              <a:extLst>
                <a:ext uri="{63B3BB69-23CF-44E3-9099-C40C66FF867C}">
                  <a14:compatExt spid="_x0000_s12124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209550</xdr:colOff>
          <xdr:row>24</xdr:row>
          <xdr:rowOff>0</xdr:rowOff>
        </xdr:from>
        <xdr:to>
          <xdr:col>21</xdr:col>
          <xdr:colOff>85725</xdr:colOff>
          <xdr:row>25</xdr:row>
          <xdr:rowOff>9525</xdr:rowOff>
        </xdr:to>
        <xdr:sp macro="" textlink="">
          <xdr:nvSpPr>
            <xdr:cNvPr id="1212423" name="Picture 35" hidden="1">
              <a:extLst>
                <a:ext uri="{63B3BB69-23CF-44E3-9099-C40C66FF867C}">
                  <a14:compatExt spid="_x0000_s1212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209550</xdr:colOff>
          <xdr:row>23</xdr:row>
          <xdr:rowOff>200025</xdr:rowOff>
        </xdr:from>
        <xdr:to>
          <xdr:col>23</xdr:col>
          <xdr:colOff>85725</xdr:colOff>
          <xdr:row>25</xdr:row>
          <xdr:rowOff>9525</xdr:rowOff>
        </xdr:to>
        <xdr:sp macro="" textlink="">
          <xdr:nvSpPr>
            <xdr:cNvPr id="1212424" name="Picture 36" hidden="1">
              <a:extLst>
                <a:ext uri="{63B3BB69-23CF-44E3-9099-C40C66FF867C}">
                  <a14:compatExt spid="_x0000_s12124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24</xdr:col>
          <xdr:colOff>209550</xdr:colOff>
          <xdr:row>23</xdr:row>
          <xdr:rowOff>200025</xdr:rowOff>
        </xdr:from>
        <xdr:to>
          <xdr:col>25</xdr:col>
          <xdr:colOff>85725</xdr:colOff>
          <xdr:row>25</xdr:row>
          <xdr:rowOff>0</xdr:rowOff>
        </xdr:to>
        <xdr:sp macro="" textlink="">
          <xdr:nvSpPr>
            <xdr:cNvPr id="1212425" name="Picture 37" hidden="1">
              <a:extLst>
                <a:ext uri="{63B3BB69-23CF-44E3-9099-C40C66FF867C}">
                  <a14:compatExt spid="_x0000_s12124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209550</xdr:colOff>
          <xdr:row>23</xdr:row>
          <xdr:rowOff>0</xdr:rowOff>
        </xdr:from>
        <xdr:to>
          <xdr:col>7</xdr:col>
          <xdr:colOff>66675</xdr:colOff>
          <xdr:row>24</xdr:row>
          <xdr:rowOff>0</xdr:rowOff>
        </xdr:to>
        <xdr:sp macro="" textlink="">
          <xdr:nvSpPr>
            <xdr:cNvPr id="1212426" name="Picture 38" hidden="1">
              <a:extLst>
                <a:ext uri="{63B3BB69-23CF-44E3-9099-C40C66FF867C}">
                  <a14:compatExt spid="_x0000_s12124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133350</xdr:colOff>
          <xdr:row>23</xdr:row>
          <xdr:rowOff>28575</xdr:rowOff>
        </xdr:from>
        <xdr:to>
          <xdr:col>5</xdr:col>
          <xdr:colOff>85725</xdr:colOff>
          <xdr:row>24</xdr:row>
          <xdr:rowOff>0</xdr:rowOff>
        </xdr:to>
        <xdr:sp macro="" textlink="">
          <xdr:nvSpPr>
            <xdr:cNvPr id="1212427" name="Picture 39" hidden="1">
              <a:extLst>
                <a:ext uri="{63B3BB69-23CF-44E3-9099-C40C66FF867C}">
                  <a14:compatExt spid="_x0000_s12124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66675</xdr:colOff>
          <xdr:row>4</xdr:row>
          <xdr:rowOff>171450</xdr:rowOff>
        </xdr:from>
        <xdr:to>
          <xdr:col>11</xdr:col>
          <xdr:colOff>19050</xdr:colOff>
          <xdr:row>21</xdr:row>
          <xdr:rowOff>114300</xdr:rowOff>
        </xdr:to>
        <xdr:sp macro="" textlink="">
          <xdr:nvSpPr>
            <xdr:cNvPr id="1212428" name="Picture 45" hidden="1">
              <a:extLst>
                <a:ext uri="{63B3BB69-23CF-44E3-9099-C40C66FF867C}">
                  <a14:compatExt spid="_x0000_s12124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57150</xdr:colOff>
          <xdr:row>4</xdr:row>
          <xdr:rowOff>133350</xdr:rowOff>
        </xdr:from>
        <xdr:to>
          <xdr:col>22</xdr:col>
          <xdr:colOff>228600</xdr:colOff>
          <xdr:row>21</xdr:row>
          <xdr:rowOff>152400</xdr:rowOff>
        </xdr:to>
        <xdr:sp macro="" textlink="">
          <xdr:nvSpPr>
            <xdr:cNvPr id="1212429" name="Picture 46" hidden="1">
              <a:extLst>
                <a:ext uri="{63B3BB69-23CF-44E3-9099-C40C66FF867C}">
                  <a14:compatExt spid="_x0000_s12124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133350</xdr:colOff>
          <xdr:row>43</xdr:row>
          <xdr:rowOff>38100</xdr:rowOff>
        </xdr:from>
        <xdr:to>
          <xdr:col>1</xdr:col>
          <xdr:colOff>19050</xdr:colOff>
          <xdr:row>44</xdr:row>
          <xdr:rowOff>95250</xdr:rowOff>
        </xdr:to>
        <xdr:sp macro="" textlink="">
          <xdr:nvSpPr>
            <xdr:cNvPr id="1212430" name="Picture 47" hidden="1">
              <a:extLst>
                <a:ext uri="{63B3BB69-23CF-44E3-9099-C40C66FF867C}">
                  <a14:compatExt spid="_x0000_s12124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238125</xdr:colOff>
          <xdr:row>43</xdr:row>
          <xdr:rowOff>57150</xdr:rowOff>
        </xdr:from>
        <xdr:to>
          <xdr:col>6</xdr:col>
          <xdr:colOff>114300</xdr:colOff>
          <xdr:row>44</xdr:row>
          <xdr:rowOff>104775</xdr:rowOff>
        </xdr:to>
        <xdr:sp macro="" textlink="">
          <xdr:nvSpPr>
            <xdr:cNvPr id="1212431" name="Picture 48" hidden="1">
              <a:extLst>
                <a:ext uri="{63B3BB69-23CF-44E3-9099-C40C66FF867C}">
                  <a14:compatExt spid="_x0000_s12124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123825</xdr:colOff>
          <xdr:row>44</xdr:row>
          <xdr:rowOff>95250</xdr:rowOff>
        </xdr:from>
        <xdr:to>
          <xdr:col>3</xdr:col>
          <xdr:colOff>0</xdr:colOff>
          <xdr:row>45</xdr:row>
          <xdr:rowOff>152400</xdr:rowOff>
        </xdr:to>
        <xdr:sp macro="" textlink="">
          <xdr:nvSpPr>
            <xdr:cNvPr id="1212432" name="Picture 49" hidden="1">
              <a:extLst>
                <a:ext uri="{63B3BB69-23CF-44E3-9099-C40C66FF867C}">
                  <a14:compatExt spid="_x0000_s1212432"/>
                </a:ext>
              </a:extLst>
            </xdr:cNvPr>
            <xdr:cNvSpPr/>
          </xdr:nvSpPr>
          <xdr:spPr>
            <a:xfrm>
              <a:off x="0" y="0"/>
              <a:ext cx="0" cy="0"/>
            </a:xfrm>
            <a:prstGeom prst="rect">
              <a:avLst/>
            </a:prstGeom>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xdr:twoCellAnchor>
    <xdr:from>
      <xdr:col>6</xdr:col>
      <xdr:colOff>15240</xdr:colOff>
      <xdr:row>27</xdr:row>
      <xdr:rowOff>114300</xdr:rowOff>
    </xdr:from>
    <xdr:to>
      <xdr:col>6</xdr:col>
      <xdr:colOff>220980</xdr:colOff>
      <xdr:row>27</xdr:row>
      <xdr:rowOff>114300</xdr:rowOff>
    </xdr:to>
    <xdr:sp macro="" textlink="">
      <xdr:nvSpPr>
        <xdr:cNvPr id="1213639" name="Line 6"/>
        <xdr:cNvSpPr/>
      </xdr:nvSpPr>
      <xdr:spPr>
        <a:xfrm>
          <a:off x="1524000" y="559879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22860</xdr:colOff>
      <xdr:row>26</xdr:row>
      <xdr:rowOff>114300</xdr:rowOff>
    </xdr:from>
    <xdr:to>
      <xdr:col>10</xdr:col>
      <xdr:colOff>228600</xdr:colOff>
      <xdr:row>26</xdr:row>
      <xdr:rowOff>114300</xdr:rowOff>
    </xdr:to>
    <xdr:sp macro="" textlink="">
      <xdr:nvSpPr>
        <xdr:cNvPr id="1213640" name="Line 7"/>
        <xdr:cNvSpPr/>
      </xdr:nvSpPr>
      <xdr:spPr>
        <a:xfrm>
          <a:off x="2537460" y="54006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15240</xdr:colOff>
      <xdr:row>26</xdr:row>
      <xdr:rowOff>114300</xdr:rowOff>
    </xdr:from>
    <xdr:to>
      <xdr:col>14</xdr:col>
      <xdr:colOff>220980</xdr:colOff>
      <xdr:row>26</xdr:row>
      <xdr:rowOff>114300</xdr:rowOff>
    </xdr:to>
    <xdr:sp macro="" textlink="">
      <xdr:nvSpPr>
        <xdr:cNvPr id="1213641" name="Line 8"/>
        <xdr:cNvSpPr/>
      </xdr:nvSpPr>
      <xdr:spPr>
        <a:xfrm>
          <a:off x="3535680" y="54006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16</xdr:col>
      <xdr:colOff>15240</xdr:colOff>
      <xdr:row>26</xdr:row>
      <xdr:rowOff>114300</xdr:rowOff>
    </xdr:from>
    <xdr:to>
      <xdr:col>16</xdr:col>
      <xdr:colOff>220980</xdr:colOff>
      <xdr:row>26</xdr:row>
      <xdr:rowOff>114300</xdr:rowOff>
    </xdr:to>
    <xdr:sp macro="" textlink="">
      <xdr:nvSpPr>
        <xdr:cNvPr id="1213642" name="Line 9"/>
        <xdr:cNvSpPr/>
      </xdr:nvSpPr>
      <xdr:spPr>
        <a:xfrm>
          <a:off x="4038600" y="54006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18</xdr:col>
      <xdr:colOff>15240</xdr:colOff>
      <xdr:row>26</xdr:row>
      <xdr:rowOff>114300</xdr:rowOff>
    </xdr:from>
    <xdr:to>
      <xdr:col>18</xdr:col>
      <xdr:colOff>220980</xdr:colOff>
      <xdr:row>26</xdr:row>
      <xdr:rowOff>114300</xdr:rowOff>
    </xdr:to>
    <xdr:sp macro="" textlink="">
      <xdr:nvSpPr>
        <xdr:cNvPr id="1213643" name="Line 10"/>
        <xdr:cNvSpPr/>
      </xdr:nvSpPr>
      <xdr:spPr>
        <a:xfrm>
          <a:off x="4541520" y="540067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17</xdr:col>
      <xdr:colOff>45720</xdr:colOff>
      <xdr:row>27</xdr:row>
      <xdr:rowOff>137160</xdr:rowOff>
    </xdr:from>
    <xdr:to>
      <xdr:col>18</xdr:col>
      <xdr:colOff>0</xdr:colOff>
      <xdr:row>27</xdr:row>
      <xdr:rowOff>137160</xdr:rowOff>
    </xdr:to>
    <xdr:sp macro="" textlink="">
      <xdr:nvSpPr>
        <xdr:cNvPr id="1213644" name="Line 11"/>
        <xdr:cNvSpPr/>
      </xdr:nvSpPr>
      <xdr:spPr>
        <a:xfrm>
          <a:off x="4320540" y="562165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15240</xdr:colOff>
      <xdr:row>27</xdr:row>
      <xdr:rowOff>114300</xdr:rowOff>
    </xdr:from>
    <xdr:to>
      <xdr:col>13</xdr:col>
      <xdr:colOff>220980</xdr:colOff>
      <xdr:row>27</xdr:row>
      <xdr:rowOff>114300</xdr:rowOff>
    </xdr:to>
    <xdr:sp macro="" textlink="">
      <xdr:nvSpPr>
        <xdr:cNvPr id="1213645" name="Line 12"/>
        <xdr:cNvSpPr/>
      </xdr:nvSpPr>
      <xdr:spPr>
        <a:xfrm>
          <a:off x="3284220" y="559879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15</xdr:col>
      <xdr:colOff>38100</xdr:colOff>
      <xdr:row>27</xdr:row>
      <xdr:rowOff>114300</xdr:rowOff>
    </xdr:from>
    <xdr:to>
      <xdr:col>15</xdr:col>
      <xdr:colOff>243840</xdr:colOff>
      <xdr:row>27</xdr:row>
      <xdr:rowOff>114300</xdr:rowOff>
    </xdr:to>
    <xdr:sp macro="" textlink="">
      <xdr:nvSpPr>
        <xdr:cNvPr id="1213646" name="Line 13"/>
        <xdr:cNvSpPr/>
      </xdr:nvSpPr>
      <xdr:spPr>
        <a:xfrm>
          <a:off x="3810000" y="559879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19</xdr:col>
      <xdr:colOff>22860</xdr:colOff>
      <xdr:row>27</xdr:row>
      <xdr:rowOff>114300</xdr:rowOff>
    </xdr:from>
    <xdr:to>
      <xdr:col>19</xdr:col>
      <xdr:colOff>228600</xdr:colOff>
      <xdr:row>27</xdr:row>
      <xdr:rowOff>114300</xdr:rowOff>
    </xdr:to>
    <xdr:sp macro="" textlink="">
      <xdr:nvSpPr>
        <xdr:cNvPr id="1213647" name="Line 14"/>
        <xdr:cNvSpPr/>
      </xdr:nvSpPr>
      <xdr:spPr>
        <a:xfrm>
          <a:off x="4800600" y="559879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22860</xdr:colOff>
      <xdr:row>26</xdr:row>
      <xdr:rowOff>137160</xdr:rowOff>
    </xdr:from>
    <xdr:to>
      <xdr:col>20</xdr:col>
      <xdr:colOff>228600</xdr:colOff>
      <xdr:row>26</xdr:row>
      <xdr:rowOff>137160</xdr:rowOff>
    </xdr:to>
    <xdr:sp macro="" textlink="">
      <xdr:nvSpPr>
        <xdr:cNvPr id="1213648" name="Line 15"/>
        <xdr:cNvSpPr/>
      </xdr:nvSpPr>
      <xdr:spPr>
        <a:xfrm>
          <a:off x="5052060" y="542353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15240</xdr:colOff>
      <xdr:row>26</xdr:row>
      <xdr:rowOff>137160</xdr:rowOff>
    </xdr:from>
    <xdr:to>
      <xdr:col>22</xdr:col>
      <xdr:colOff>220980</xdr:colOff>
      <xdr:row>26</xdr:row>
      <xdr:rowOff>137160</xdr:rowOff>
    </xdr:to>
    <xdr:sp macro="" textlink="">
      <xdr:nvSpPr>
        <xdr:cNvPr id="1213649" name="Line 16"/>
        <xdr:cNvSpPr/>
      </xdr:nvSpPr>
      <xdr:spPr>
        <a:xfrm>
          <a:off x="5547360" y="542353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27</xdr:row>
      <xdr:rowOff>114300</xdr:rowOff>
    </xdr:from>
    <xdr:to>
      <xdr:col>21</xdr:col>
      <xdr:colOff>228600</xdr:colOff>
      <xdr:row>27</xdr:row>
      <xdr:rowOff>114300</xdr:rowOff>
    </xdr:to>
    <xdr:sp macro="" textlink="">
      <xdr:nvSpPr>
        <xdr:cNvPr id="1213650" name="Line 17"/>
        <xdr:cNvSpPr/>
      </xdr:nvSpPr>
      <xdr:spPr>
        <a:xfrm>
          <a:off x="5303520" y="559879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15240</xdr:colOff>
      <xdr:row>27</xdr:row>
      <xdr:rowOff>129540</xdr:rowOff>
    </xdr:from>
    <xdr:to>
      <xdr:col>25</xdr:col>
      <xdr:colOff>220980</xdr:colOff>
      <xdr:row>27</xdr:row>
      <xdr:rowOff>129540</xdr:rowOff>
    </xdr:to>
    <xdr:sp macro="" textlink="">
      <xdr:nvSpPr>
        <xdr:cNvPr id="1213651" name="Line 18"/>
        <xdr:cNvSpPr/>
      </xdr:nvSpPr>
      <xdr:spPr>
        <a:xfrm>
          <a:off x="6301740" y="561403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106680</xdr:colOff>
      <xdr:row>29</xdr:row>
      <xdr:rowOff>129540</xdr:rowOff>
    </xdr:from>
    <xdr:to>
      <xdr:col>25</xdr:col>
      <xdr:colOff>129540</xdr:colOff>
      <xdr:row>29</xdr:row>
      <xdr:rowOff>129540</xdr:rowOff>
    </xdr:to>
    <xdr:sp macro="" textlink="">
      <xdr:nvSpPr>
        <xdr:cNvPr id="1213652" name="Line 19"/>
        <xdr:cNvSpPr/>
      </xdr:nvSpPr>
      <xdr:spPr>
        <a:xfrm>
          <a:off x="5638800" y="6040755"/>
          <a:ext cx="7772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13</xdr:col>
      <xdr:colOff>15240</xdr:colOff>
      <xdr:row>27</xdr:row>
      <xdr:rowOff>114300</xdr:rowOff>
    </xdr:from>
    <xdr:to>
      <xdr:col>13</xdr:col>
      <xdr:colOff>220980</xdr:colOff>
      <xdr:row>27</xdr:row>
      <xdr:rowOff>114300</xdr:rowOff>
    </xdr:to>
    <xdr:sp macro="" textlink="">
      <xdr:nvSpPr>
        <xdr:cNvPr id="1213653" name="Line 12"/>
        <xdr:cNvSpPr/>
      </xdr:nvSpPr>
      <xdr:spPr>
        <a:xfrm>
          <a:off x="3284220" y="559879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15</xdr:col>
      <xdr:colOff>38100</xdr:colOff>
      <xdr:row>27</xdr:row>
      <xdr:rowOff>114300</xdr:rowOff>
    </xdr:from>
    <xdr:to>
      <xdr:col>15</xdr:col>
      <xdr:colOff>243840</xdr:colOff>
      <xdr:row>27</xdr:row>
      <xdr:rowOff>114300</xdr:rowOff>
    </xdr:to>
    <xdr:sp macro="" textlink="">
      <xdr:nvSpPr>
        <xdr:cNvPr id="1213654" name="Line 13"/>
        <xdr:cNvSpPr/>
      </xdr:nvSpPr>
      <xdr:spPr>
        <a:xfrm>
          <a:off x="3810000" y="559879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19</xdr:col>
      <xdr:colOff>22860</xdr:colOff>
      <xdr:row>27</xdr:row>
      <xdr:rowOff>114300</xdr:rowOff>
    </xdr:from>
    <xdr:to>
      <xdr:col>19</xdr:col>
      <xdr:colOff>228600</xdr:colOff>
      <xdr:row>27</xdr:row>
      <xdr:rowOff>114300</xdr:rowOff>
    </xdr:to>
    <xdr:sp macro="" textlink="">
      <xdr:nvSpPr>
        <xdr:cNvPr id="1213655" name="Line 14"/>
        <xdr:cNvSpPr/>
      </xdr:nvSpPr>
      <xdr:spPr>
        <a:xfrm>
          <a:off x="4800600" y="559879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20</xdr:col>
      <xdr:colOff>22860</xdr:colOff>
      <xdr:row>26</xdr:row>
      <xdr:rowOff>137160</xdr:rowOff>
    </xdr:from>
    <xdr:to>
      <xdr:col>20</xdr:col>
      <xdr:colOff>228600</xdr:colOff>
      <xdr:row>26</xdr:row>
      <xdr:rowOff>137160</xdr:rowOff>
    </xdr:to>
    <xdr:sp macro="" textlink="">
      <xdr:nvSpPr>
        <xdr:cNvPr id="1213656" name="Line 15"/>
        <xdr:cNvSpPr/>
      </xdr:nvSpPr>
      <xdr:spPr>
        <a:xfrm>
          <a:off x="5052060" y="542353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15240</xdr:colOff>
      <xdr:row>26</xdr:row>
      <xdr:rowOff>137160</xdr:rowOff>
    </xdr:from>
    <xdr:to>
      <xdr:col>22</xdr:col>
      <xdr:colOff>220980</xdr:colOff>
      <xdr:row>26</xdr:row>
      <xdr:rowOff>137160</xdr:rowOff>
    </xdr:to>
    <xdr:sp macro="" textlink="">
      <xdr:nvSpPr>
        <xdr:cNvPr id="1213657" name="Line 16"/>
        <xdr:cNvSpPr/>
      </xdr:nvSpPr>
      <xdr:spPr>
        <a:xfrm>
          <a:off x="5547360" y="542353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21</xdr:col>
      <xdr:colOff>22860</xdr:colOff>
      <xdr:row>27</xdr:row>
      <xdr:rowOff>114300</xdr:rowOff>
    </xdr:from>
    <xdr:to>
      <xdr:col>21</xdr:col>
      <xdr:colOff>228600</xdr:colOff>
      <xdr:row>27</xdr:row>
      <xdr:rowOff>114300</xdr:rowOff>
    </xdr:to>
    <xdr:sp macro="" textlink="">
      <xdr:nvSpPr>
        <xdr:cNvPr id="1213658" name="Line 17"/>
        <xdr:cNvSpPr/>
      </xdr:nvSpPr>
      <xdr:spPr>
        <a:xfrm>
          <a:off x="5303520" y="559879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25</xdr:col>
      <xdr:colOff>15240</xdr:colOff>
      <xdr:row>27</xdr:row>
      <xdr:rowOff>129540</xdr:rowOff>
    </xdr:from>
    <xdr:to>
      <xdr:col>25</xdr:col>
      <xdr:colOff>220980</xdr:colOff>
      <xdr:row>27</xdr:row>
      <xdr:rowOff>129540</xdr:rowOff>
    </xdr:to>
    <xdr:sp macro="" textlink="">
      <xdr:nvSpPr>
        <xdr:cNvPr id="1213659" name="Line 18"/>
        <xdr:cNvSpPr/>
      </xdr:nvSpPr>
      <xdr:spPr>
        <a:xfrm>
          <a:off x="6301740" y="5614035"/>
          <a:ext cx="20574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22</xdr:col>
      <xdr:colOff>106680</xdr:colOff>
      <xdr:row>29</xdr:row>
      <xdr:rowOff>129540</xdr:rowOff>
    </xdr:from>
    <xdr:to>
      <xdr:col>25</xdr:col>
      <xdr:colOff>129540</xdr:colOff>
      <xdr:row>29</xdr:row>
      <xdr:rowOff>129540</xdr:rowOff>
    </xdr:to>
    <xdr:sp macro="" textlink="">
      <xdr:nvSpPr>
        <xdr:cNvPr id="1213660" name="Line 19"/>
        <xdr:cNvSpPr/>
      </xdr:nvSpPr>
      <xdr:spPr>
        <a:xfrm>
          <a:off x="5638800" y="6040755"/>
          <a:ext cx="777240" cy="0"/>
        </a:xfrm>
        <a:prstGeom prst="line">
          <a:avLst/>
        </a:prstGeom>
        <a:ln w="9525" cap="flat" cmpd="sng">
          <a:solidFill>
            <a:srgbClr val="000000"/>
          </a:solidFill>
          <a:prstDash val="solid"/>
          <a:round/>
          <a:headEnd type="none" w="med" len="med"/>
          <a:tailEnd type="none" w="med" len="med"/>
        </a:ln>
      </xdr:spPr>
    </xdr:sp>
    <xdr:clientData/>
  </xdr:twoCellAnchor>
  <mc:AlternateContent xmlns:mc="http://schemas.openxmlformats.org/markup-compatibility/2006">
    <mc:Choice xmlns:a14="http://schemas.microsoft.com/office/drawing/2010/main" Requires="a14">
      <xdr:twoCellAnchor>
        <xdr:from>
          <xdr:col>1</xdr:col>
          <xdr:colOff>171450</xdr:colOff>
          <xdr:row>41</xdr:row>
          <xdr:rowOff>19050</xdr:rowOff>
        </xdr:from>
        <xdr:to>
          <xdr:col>2</xdr:col>
          <xdr:colOff>114300</xdr:colOff>
          <xdr:row>41</xdr:row>
          <xdr:rowOff>200025</xdr:rowOff>
        </xdr:to>
        <xdr:sp macro="" textlink="">
          <xdr:nvSpPr>
            <xdr:cNvPr id="1213441" name="Picture 1" hidden="1">
              <a:extLst>
                <a:ext uri="{63B3BB69-23CF-44E3-9099-C40C66FF867C}">
                  <a14:compatExt spid="_x0000_s12134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133350</xdr:colOff>
          <xdr:row>44</xdr:row>
          <xdr:rowOff>19050</xdr:rowOff>
        </xdr:from>
        <xdr:to>
          <xdr:col>2</xdr:col>
          <xdr:colOff>95250</xdr:colOff>
          <xdr:row>44</xdr:row>
          <xdr:rowOff>200025</xdr:rowOff>
        </xdr:to>
        <xdr:sp macro="" textlink="">
          <xdr:nvSpPr>
            <xdr:cNvPr id="1213442" name="Picture 2" hidden="1">
              <a:extLst>
                <a:ext uri="{63B3BB69-23CF-44E3-9099-C40C66FF867C}">
                  <a14:compatExt spid="_x0000_s12134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133350</xdr:colOff>
          <xdr:row>45</xdr:row>
          <xdr:rowOff>0</xdr:rowOff>
        </xdr:from>
        <xdr:to>
          <xdr:col>2</xdr:col>
          <xdr:colOff>95250</xdr:colOff>
          <xdr:row>45</xdr:row>
          <xdr:rowOff>161925</xdr:rowOff>
        </xdr:to>
        <xdr:sp macro="" textlink="">
          <xdr:nvSpPr>
            <xdr:cNvPr id="1213443" name="Picture 3" hidden="1">
              <a:extLst>
                <a:ext uri="{63B3BB69-23CF-44E3-9099-C40C66FF867C}">
                  <a14:compatExt spid="_x0000_s12134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114300</xdr:colOff>
          <xdr:row>46</xdr:row>
          <xdr:rowOff>0</xdr:rowOff>
        </xdr:from>
        <xdr:to>
          <xdr:col>2</xdr:col>
          <xdr:colOff>76200</xdr:colOff>
          <xdr:row>46</xdr:row>
          <xdr:rowOff>161925</xdr:rowOff>
        </xdr:to>
        <xdr:sp macro="" textlink="">
          <xdr:nvSpPr>
            <xdr:cNvPr id="1213444" name="Picture 4" hidden="1">
              <a:extLst>
                <a:ext uri="{63B3BB69-23CF-44E3-9099-C40C66FF867C}">
                  <a14:compatExt spid="_x0000_s12134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95250</xdr:colOff>
          <xdr:row>47</xdr:row>
          <xdr:rowOff>0</xdr:rowOff>
        </xdr:from>
        <xdr:to>
          <xdr:col>2</xdr:col>
          <xdr:colOff>76200</xdr:colOff>
          <xdr:row>47</xdr:row>
          <xdr:rowOff>171450</xdr:rowOff>
        </xdr:to>
        <xdr:sp macro="" textlink="">
          <xdr:nvSpPr>
            <xdr:cNvPr id="1213445" name="Picture 5" hidden="1">
              <a:extLst>
                <a:ext uri="{63B3BB69-23CF-44E3-9099-C40C66FF867C}">
                  <a14:compatExt spid="_x0000_s12134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171450</xdr:colOff>
          <xdr:row>30</xdr:row>
          <xdr:rowOff>19050</xdr:rowOff>
        </xdr:from>
        <xdr:to>
          <xdr:col>3</xdr:col>
          <xdr:colOff>171450</xdr:colOff>
          <xdr:row>31</xdr:row>
          <xdr:rowOff>0</xdr:rowOff>
        </xdr:to>
        <xdr:sp macro="" textlink="">
          <xdr:nvSpPr>
            <xdr:cNvPr id="1213446" name="Picture 20" hidden="1">
              <a:extLst>
                <a:ext uri="{63B3BB69-23CF-44E3-9099-C40C66FF867C}">
                  <a14:compatExt spid="_x0000_s12134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180975</xdr:colOff>
          <xdr:row>31</xdr:row>
          <xdr:rowOff>28575</xdr:rowOff>
        </xdr:from>
        <xdr:to>
          <xdr:col>3</xdr:col>
          <xdr:colOff>171450</xdr:colOff>
          <xdr:row>32</xdr:row>
          <xdr:rowOff>0</xdr:rowOff>
        </xdr:to>
        <xdr:sp macro="" textlink="">
          <xdr:nvSpPr>
            <xdr:cNvPr id="1213447" name="Picture 21" hidden="1">
              <a:extLst>
                <a:ext uri="{63B3BB69-23CF-44E3-9099-C40C66FF867C}">
                  <a14:compatExt spid="_x0000_s12134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152400</xdr:colOff>
          <xdr:row>32</xdr:row>
          <xdr:rowOff>0</xdr:rowOff>
        </xdr:from>
        <xdr:to>
          <xdr:col>3</xdr:col>
          <xdr:colOff>152400</xdr:colOff>
          <xdr:row>32</xdr:row>
          <xdr:rowOff>171450</xdr:rowOff>
        </xdr:to>
        <xdr:sp macro="" textlink="">
          <xdr:nvSpPr>
            <xdr:cNvPr id="1213448" name="Picture 22" hidden="1">
              <a:extLst>
                <a:ext uri="{63B3BB69-23CF-44E3-9099-C40C66FF867C}">
                  <a14:compatExt spid="_x0000_s12134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171450</xdr:colOff>
          <xdr:row>33</xdr:row>
          <xdr:rowOff>0</xdr:rowOff>
        </xdr:from>
        <xdr:to>
          <xdr:col>3</xdr:col>
          <xdr:colOff>171450</xdr:colOff>
          <xdr:row>33</xdr:row>
          <xdr:rowOff>171450</xdr:rowOff>
        </xdr:to>
        <xdr:sp macro="" textlink="">
          <xdr:nvSpPr>
            <xdr:cNvPr id="1213449" name="Picture 23" hidden="1">
              <a:extLst>
                <a:ext uri="{63B3BB69-23CF-44E3-9099-C40C66FF867C}">
                  <a14:compatExt spid="_x0000_s12134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171450</xdr:colOff>
          <xdr:row>34</xdr:row>
          <xdr:rowOff>19050</xdr:rowOff>
        </xdr:from>
        <xdr:to>
          <xdr:col>3</xdr:col>
          <xdr:colOff>180975</xdr:colOff>
          <xdr:row>35</xdr:row>
          <xdr:rowOff>0</xdr:rowOff>
        </xdr:to>
        <xdr:sp macro="" textlink="">
          <xdr:nvSpPr>
            <xdr:cNvPr id="1213450" name="Picture 24" hidden="1">
              <a:extLst>
                <a:ext uri="{63B3BB69-23CF-44E3-9099-C40C66FF867C}">
                  <a14:compatExt spid="_x0000_s12134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152400</xdr:colOff>
          <xdr:row>35</xdr:row>
          <xdr:rowOff>28575</xdr:rowOff>
        </xdr:from>
        <xdr:to>
          <xdr:col>3</xdr:col>
          <xdr:colOff>180975</xdr:colOff>
          <xdr:row>36</xdr:row>
          <xdr:rowOff>0</xdr:rowOff>
        </xdr:to>
        <xdr:sp macro="" textlink="">
          <xdr:nvSpPr>
            <xdr:cNvPr id="1213451" name="Picture 25" hidden="1">
              <a:extLst>
                <a:ext uri="{63B3BB69-23CF-44E3-9099-C40C66FF867C}">
                  <a14:compatExt spid="_x0000_s12134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152400</xdr:colOff>
          <xdr:row>36</xdr:row>
          <xdr:rowOff>0</xdr:rowOff>
        </xdr:from>
        <xdr:to>
          <xdr:col>3</xdr:col>
          <xdr:colOff>228600</xdr:colOff>
          <xdr:row>37</xdr:row>
          <xdr:rowOff>0</xdr:rowOff>
        </xdr:to>
        <xdr:sp macro="" textlink="">
          <xdr:nvSpPr>
            <xdr:cNvPr id="1213452" name="Picture 26" hidden="1">
              <a:extLst>
                <a:ext uri="{63B3BB69-23CF-44E3-9099-C40C66FF867C}">
                  <a14:compatExt spid="_x0000_s12134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171450</xdr:colOff>
          <xdr:row>37</xdr:row>
          <xdr:rowOff>19050</xdr:rowOff>
        </xdr:from>
        <xdr:to>
          <xdr:col>3</xdr:col>
          <xdr:colOff>152400</xdr:colOff>
          <xdr:row>38</xdr:row>
          <xdr:rowOff>0</xdr:rowOff>
        </xdr:to>
        <xdr:sp macro="" textlink="">
          <xdr:nvSpPr>
            <xdr:cNvPr id="1213453" name="Picture 27" hidden="1">
              <a:extLst>
                <a:ext uri="{63B3BB69-23CF-44E3-9099-C40C66FF867C}">
                  <a14:compatExt spid="_x0000_s12134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142875</xdr:colOff>
          <xdr:row>37</xdr:row>
          <xdr:rowOff>200025</xdr:rowOff>
        </xdr:from>
        <xdr:to>
          <xdr:col>3</xdr:col>
          <xdr:colOff>171450</xdr:colOff>
          <xdr:row>38</xdr:row>
          <xdr:rowOff>200025</xdr:rowOff>
        </xdr:to>
        <xdr:sp macro="" textlink="">
          <xdr:nvSpPr>
            <xdr:cNvPr id="1213454" name="Picture 28" hidden="1">
              <a:extLst>
                <a:ext uri="{63B3BB69-23CF-44E3-9099-C40C66FF867C}">
                  <a14:compatExt spid="_x0000_s12134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xdr:colOff>
          <xdr:row>5</xdr:row>
          <xdr:rowOff>76200</xdr:rowOff>
        </xdr:from>
        <xdr:to>
          <xdr:col>8</xdr:col>
          <xdr:colOff>0</xdr:colOff>
          <xdr:row>13</xdr:row>
          <xdr:rowOff>0</xdr:rowOff>
        </xdr:to>
        <xdr:sp macro="" textlink="">
          <xdr:nvSpPr>
            <xdr:cNvPr id="1213455" name="Picture 29" hidden="1">
              <a:extLst>
                <a:ext uri="{63B3BB69-23CF-44E3-9099-C40C66FF867C}">
                  <a14:compatExt spid="_x0000_s12134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4</xdr:row>
          <xdr:rowOff>200025</xdr:rowOff>
        </xdr:from>
        <xdr:to>
          <xdr:col>15</xdr:col>
          <xdr:colOff>133350</xdr:colOff>
          <xdr:row>12</xdr:row>
          <xdr:rowOff>95250</xdr:rowOff>
        </xdr:to>
        <xdr:sp macro="" textlink="">
          <xdr:nvSpPr>
            <xdr:cNvPr id="1213456" name="Picture 30" hidden="1">
              <a:extLst>
                <a:ext uri="{63B3BB69-23CF-44E3-9099-C40C66FF867C}">
                  <a14:compatExt spid="_x0000_s12134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142875</xdr:colOff>
          <xdr:row>5</xdr:row>
          <xdr:rowOff>76200</xdr:rowOff>
        </xdr:from>
        <xdr:to>
          <xdr:col>24</xdr:col>
          <xdr:colOff>85725</xdr:colOff>
          <xdr:row>12</xdr:row>
          <xdr:rowOff>133350</xdr:rowOff>
        </xdr:to>
        <xdr:sp macro="" textlink="">
          <xdr:nvSpPr>
            <xdr:cNvPr id="1213457" name="Picture 31" hidden="1">
              <a:extLst>
                <a:ext uri="{63B3BB69-23CF-44E3-9099-C40C66FF867C}">
                  <a14:compatExt spid="_x0000_s12134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13</xdr:row>
          <xdr:rowOff>0</xdr:rowOff>
        </xdr:from>
        <xdr:to>
          <xdr:col>8</xdr:col>
          <xdr:colOff>190500</xdr:colOff>
          <xdr:row>25</xdr:row>
          <xdr:rowOff>133350</xdr:rowOff>
        </xdr:to>
        <xdr:sp macro="" textlink="">
          <xdr:nvSpPr>
            <xdr:cNvPr id="1213458" name="Picture 32" hidden="1">
              <a:extLst>
                <a:ext uri="{63B3BB69-23CF-44E3-9099-C40C66FF867C}">
                  <a14:compatExt spid="_x0000_s12134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15</xdr:row>
          <xdr:rowOff>57150</xdr:rowOff>
        </xdr:from>
        <xdr:to>
          <xdr:col>16</xdr:col>
          <xdr:colOff>209550</xdr:colOff>
          <xdr:row>24</xdr:row>
          <xdr:rowOff>171450</xdr:rowOff>
        </xdr:to>
        <xdr:sp macro="" textlink="">
          <xdr:nvSpPr>
            <xdr:cNvPr id="1213459" name="Picture 33" hidden="1">
              <a:extLst>
                <a:ext uri="{63B3BB69-23CF-44E3-9099-C40C66FF867C}">
                  <a14:compatExt spid="_x0000_s12134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15</xdr:row>
          <xdr:rowOff>142875</xdr:rowOff>
        </xdr:from>
        <xdr:to>
          <xdr:col>23</xdr:col>
          <xdr:colOff>95250</xdr:colOff>
          <xdr:row>24</xdr:row>
          <xdr:rowOff>28575</xdr:rowOff>
        </xdr:to>
        <xdr:sp macro="" textlink="">
          <xdr:nvSpPr>
            <xdr:cNvPr id="1213460" name="Picture 34" hidden="1">
              <a:extLst>
                <a:ext uri="{63B3BB69-23CF-44E3-9099-C40C66FF867C}">
                  <a14:compatExt spid="_x0000_s1213460"/>
                </a:ext>
              </a:extLst>
            </xdr:cNvPr>
            <xdr:cNvSpPr/>
          </xdr:nvSpPr>
          <xdr:spPr>
            <a:xfrm>
              <a:off x="0" y="0"/>
              <a:ext cx="0" cy="0"/>
            </a:xfrm>
            <a:prstGeom prst="rect">
              <a:avLst/>
            </a:prstGeom>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8</xdr:row>
          <xdr:rowOff>28575</xdr:rowOff>
        </xdr:from>
        <xdr:to>
          <xdr:col>10</xdr:col>
          <xdr:colOff>152400</xdr:colOff>
          <xdr:row>17</xdr:row>
          <xdr:rowOff>200025</xdr:rowOff>
        </xdr:to>
        <xdr:sp macro="" textlink="">
          <xdr:nvSpPr>
            <xdr:cNvPr id="1214465" name="Picture 74" hidden="1">
              <a:extLst>
                <a:ext uri="{63B3BB69-23CF-44E3-9099-C40C66FF867C}">
                  <a14:compatExt spid="_x0000_s12144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190500</xdr:colOff>
          <xdr:row>7</xdr:row>
          <xdr:rowOff>142875</xdr:rowOff>
        </xdr:from>
        <xdr:to>
          <xdr:col>22</xdr:col>
          <xdr:colOff>228600</xdr:colOff>
          <xdr:row>17</xdr:row>
          <xdr:rowOff>200025</xdr:rowOff>
        </xdr:to>
        <xdr:sp macro="" textlink="">
          <xdr:nvSpPr>
            <xdr:cNvPr id="1214466" name="Picture 77" hidden="1">
              <a:extLst>
                <a:ext uri="{63B3BB69-23CF-44E3-9099-C40C66FF867C}">
                  <a14:compatExt spid="_x0000_s12144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xdr:colOff>
          <xdr:row>56</xdr:row>
          <xdr:rowOff>95250</xdr:rowOff>
        </xdr:from>
        <xdr:to>
          <xdr:col>10</xdr:col>
          <xdr:colOff>76200</xdr:colOff>
          <xdr:row>62</xdr:row>
          <xdr:rowOff>123825</xdr:rowOff>
        </xdr:to>
        <xdr:sp macro="" textlink="">
          <xdr:nvSpPr>
            <xdr:cNvPr id="1214467" name="Picture 82" hidden="1">
              <a:extLst>
                <a:ext uri="{63B3BB69-23CF-44E3-9099-C40C66FF867C}">
                  <a14:compatExt spid="_x0000_s12144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171450</xdr:colOff>
          <xdr:row>66</xdr:row>
          <xdr:rowOff>133350</xdr:rowOff>
        </xdr:from>
        <xdr:to>
          <xdr:col>24</xdr:col>
          <xdr:colOff>0</xdr:colOff>
          <xdr:row>67</xdr:row>
          <xdr:rowOff>104775</xdr:rowOff>
        </xdr:to>
        <xdr:sp macro="" textlink="">
          <xdr:nvSpPr>
            <xdr:cNvPr id="1214468" name="Picture 83" hidden="1">
              <a:extLst>
                <a:ext uri="{63B3BB69-23CF-44E3-9099-C40C66FF867C}">
                  <a14:compatExt spid="_x0000_s12144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171450</xdr:colOff>
          <xdr:row>68</xdr:row>
          <xdr:rowOff>0</xdr:rowOff>
        </xdr:from>
        <xdr:to>
          <xdr:col>23</xdr:col>
          <xdr:colOff>238125</xdr:colOff>
          <xdr:row>68</xdr:row>
          <xdr:rowOff>190500</xdr:rowOff>
        </xdr:to>
        <xdr:sp macro="" textlink="">
          <xdr:nvSpPr>
            <xdr:cNvPr id="1214469" name="Picture 84" hidden="1">
              <a:extLst>
                <a:ext uri="{63B3BB69-23CF-44E3-9099-C40C66FF867C}">
                  <a14:compatExt spid="_x0000_s12144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171450</xdr:colOff>
          <xdr:row>69</xdr:row>
          <xdr:rowOff>19050</xdr:rowOff>
        </xdr:from>
        <xdr:to>
          <xdr:col>23</xdr:col>
          <xdr:colOff>238125</xdr:colOff>
          <xdr:row>69</xdr:row>
          <xdr:rowOff>200025</xdr:rowOff>
        </xdr:to>
        <xdr:sp macro="" textlink="">
          <xdr:nvSpPr>
            <xdr:cNvPr id="1214470" name="Picture 85" hidden="1">
              <a:extLst>
                <a:ext uri="{63B3BB69-23CF-44E3-9099-C40C66FF867C}">
                  <a14:compatExt spid="_x0000_s12144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171450</xdr:colOff>
          <xdr:row>70</xdr:row>
          <xdr:rowOff>19050</xdr:rowOff>
        </xdr:from>
        <xdr:to>
          <xdr:col>24</xdr:col>
          <xdr:colOff>0</xdr:colOff>
          <xdr:row>70</xdr:row>
          <xdr:rowOff>180975</xdr:rowOff>
        </xdr:to>
        <xdr:sp macro="" textlink="">
          <xdr:nvSpPr>
            <xdr:cNvPr id="1214471" name="Picture 86" hidden="1">
              <a:extLst>
                <a:ext uri="{63B3BB69-23CF-44E3-9099-C40C66FF867C}">
                  <a14:compatExt spid="_x0000_s12144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104775</xdr:colOff>
          <xdr:row>79</xdr:row>
          <xdr:rowOff>38100</xdr:rowOff>
        </xdr:from>
        <xdr:to>
          <xdr:col>8</xdr:col>
          <xdr:colOff>19050</xdr:colOff>
          <xdr:row>86</xdr:row>
          <xdr:rowOff>47625</xdr:rowOff>
        </xdr:to>
        <xdr:sp macro="" textlink="">
          <xdr:nvSpPr>
            <xdr:cNvPr id="1214472" name="Picture 90" hidden="1">
              <a:extLst>
                <a:ext uri="{63B3BB69-23CF-44E3-9099-C40C66FF867C}">
                  <a14:compatExt spid="_x0000_s12144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228600</xdr:colOff>
          <xdr:row>79</xdr:row>
          <xdr:rowOff>38100</xdr:rowOff>
        </xdr:from>
        <xdr:to>
          <xdr:col>4</xdr:col>
          <xdr:colOff>57150</xdr:colOff>
          <xdr:row>86</xdr:row>
          <xdr:rowOff>57150</xdr:rowOff>
        </xdr:to>
        <xdr:sp macro="" textlink="">
          <xdr:nvSpPr>
            <xdr:cNvPr id="1214473" name="Picture 91" hidden="1">
              <a:extLst>
                <a:ext uri="{63B3BB69-23CF-44E3-9099-C40C66FF867C}">
                  <a14:compatExt spid="_x0000_s12144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133350</xdr:colOff>
          <xdr:row>84</xdr:row>
          <xdr:rowOff>19050</xdr:rowOff>
        </xdr:from>
        <xdr:to>
          <xdr:col>14</xdr:col>
          <xdr:colOff>76200</xdr:colOff>
          <xdr:row>85</xdr:row>
          <xdr:rowOff>0</xdr:rowOff>
        </xdr:to>
        <xdr:sp macro="" textlink="">
          <xdr:nvSpPr>
            <xdr:cNvPr id="1214474" name="Picture 92" hidden="1">
              <a:extLst>
                <a:ext uri="{63B3BB69-23CF-44E3-9099-C40C66FF867C}">
                  <a14:compatExt spid="_x0000_s12144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190500</xdr:colOff>
          <xdr:row>84</xdr:row>
          <xdr:rowOff>57150</xdr:rowOff>
        </xdr:from>
        <xdr:to>
          <xdr:col>18</xdr:col>
          <xdr:colOff>0</xdr:colOff>
          <xdr:row>85</xdr:row>
          <xdr:rowOff>28575</xdr:rowOff>
        </xdr:to>
        <xdr:sp macro="" textlink="">
          <xdr:nvSpPr>
            <xdr:cNvPr id="1214475" name="Picture 93" hidden="1">
              <a:extLst>
                <a:ext uri="{63B3BB69-23CF-44E3-9099-C40C66FF867C}">
                  <a14:compatExt spid="_x0000_s12144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104775</xdr:colOff>
          <xdr:row>84</xdr:row>
          <xdr:rowOff>0</xdr:rowOff>
        </xdr:from>
        <xdr:to>
          <xdr:col>23</xdr:col>
          <xdr:colOff>66675</xdr:colOff>
          <xdr:row>84</xdr:row>
          <xdr:rowOff>171450</xdr:rowOff>
        </xdr:to>
        <xdr:sp macro="" textlink="">
          <xdr:nvSpPr>
            <xdr:cNvPr id="1214476" name="Picture 94" hidden="1">
              <a:extLst>
                <a:ext uri="{63B3BB69-23CF-44E3-9099-C40C66FF867C}">
                  <a14:compatExt spid="_x0000_s12144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91</xdr:row>
          <xdr:rowOff>114300</xdr:rowOff>
        </xdr:from>
        <xdr:to>
          <xdr:col>17</xdr:col>
          <xdr:colOff>57150</xdr:colOff>
          <xdr:row>98</xdr:row>
          <xdr:rowOff>152400</xdr:rowOff>
        </xdr:to>
        <xdr:sp macro="" textlink="">
          <xdr:nvSpPr>
            <xdr:cNvPr id="1214477" name="Picture 96" hidden="1">
              <a:extLst>
                <a:ext uri="{63B3BB69-23CF-44E3-9099-C40C66FF867C}">
                  <a14:compatExt spid="_x0000_s12144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57150</xdr:colOff>
          <xdr:row>111</xdr:row>
          <xdr:rowOff>19050</xdr:rowOff>
        </xdr:from>
        <xdr:to>
          <xdr:col>21</xdr:col>
          <xdr:colOff>190500</xdr:colOff>
          <xdr:row>112</xdr:row>
          <xdr:rowOff>0</xdr:rowOff>
        </xdr:to>
        <xdr:sp macro="" textlink="">
          <xdr:nvSpPr>
            <xdr:cNvPr id="1214478" name="Picture 99" hidden="1">
              <a:extLst>
                <a:ext uri="{63B3BB69-23CF-44E3-9099-C40C66FF867C}">
                  <a14:compatExt spid="_x0000_s12144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57150</xdr:colOff>
          <xdr:row>113</xdr:row>
          <xdr:rowOff>200025</xdr:rowOff>
        </xdr:from>
        <xdr:to>
          <xdr:col>21</xdr:col>
          <xdr:colOff>190500</xdr:colOff>
          <xdr:row>114</xdr:row>
          <xdr:rowOff>171450</xdr:rowOff>
        </xdr:to>
        <xdr:sp macro="" textlink="">
          <xdr:nvSpPr>
            <xdr:cNvPr id="1214479" name="Picture 100" hidden="1">
              <a:extLst>
                <a:ext uri="{63B3BB69-23CF-44E3-9099-C40C66FF867C}">
                  <a14:compatExt spid="_x0000_s12144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38100</xdr:colOff>
          <xdr:row>116</xdr:row>
          <xdr:rowOff>133350</xdr:rowOff>
        </xdr:from>
        <xdr:to>
          <xdr:col>21</xdr:col>
          <xdr:colOff>171450</xdr:colOff>
          <xdr:row>117</xdr:row>
          <xdr:rowOff>95250</xdr:rowOff>
        </xdr:to>
        <xdr:sp macro="" textlink="">
          <xdr:nvSpPr>
            <xdr:cNvPr id="1214480" name="Picture 101" hidden="1">
              <a:extLst>
                <a:ext uri="{63B3BB69-23CF-44E3-9099-C40C66FF867C}">
                  <a14:compatExt spid="_x0000_s12144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85725</xdr:colOff>
          <xdr:row>118</xdr:row>
          <xdr:rowOff>133350</xdr:rowOff>
        </xdr:from>
        <xdr:to>
          <xdr:col>21</xdr:col>
          <xdr:colOff>152400</xdr:colOff>
          <xdr:row>119</xdr:row>
          <xdr:rowOff>95250</xdr:rowOff>
        </xdr:to>
        <xdr:sp macro="" textlink="">
          <xdr:nvSpPr>
            <xdr:cNvPr id="1214481" name="Picture 102" hidden="1">
              <a:extLst>
                <a:ext uri="{63B3BB69-23CF-44E3-9099-C40C66FF867C}">
                  <a14:compatExt spid="_x0000_s12144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85725</xdr:colOff>
          <xdr:row>121</xdr:row>
          <xdr:rowOff>19050</xdr:rowOff>
        </xdr:from>
        <xdr:to>
          <xdr:col>21</xdr:col>
          <xdr:colOff>152400</xdr:colOff>
          <xdr:row>122</xdr:row>
          <xdr:rowOff>0</xdr:rowOff>
        </xdr:to>
        <xdr:sp macro="" textlink="">
          <xdr:nvSpPr>
            <xdr:cNvPr id="1214482" name="Picture 103" hidden="1">
              <a:extLst>
                <a:ext uri="{63B3BB69-23CF-44E3-9099-C40C66FF867C}">
                  <a14:compatExt spid="_x0000_s12144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238125</xdr:colOff>
          <xdr:row>110</xdr:row>
          <xdr:rowOff>19050</xdr:rowOff>
        </xdr:from>
        <xdr:to>
          <xdr:col>17</xdr:col>
          <xdr:colOff>57150</xdr:colOff>
          <xdr:row>111</xdr:row>
          <xdr:rowOff>0</xdr:rowOff>
        </xdr:to>
        <xdr:sp macro="" textlink="">
          <xdr:nvSpPr>
            <xdr:cNvPr id="1214483" name="Picture 104" hidden="1">
              <a:extLst>
                <a:ext uri="{63B3BB69-23CF-44E3-9099-C40C66FF867C}">
                  <a14:compatExt spid="_x0000_s12144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200025</xdr:colOff>
          <xdr:row>112</xdr:row>
          <xdr:rowOff>0</xdr:rowOff>
        </xdr:from>
        <xdr:to>
          <xdr:col>17</xdr:col>
          <xdr:colOff>85725</xdr:colOff>
          <xdr:row>113</xdr:row>
          <xdr:rowOff>0</xdr:rowOff>
        </xdr:to>
        <xdr:sp macro="" textlink="">
          <xdr:nvSpPr>
            <xdr:cNvPr id="1214484" name="Picture 105" hidden="1">
              <a:extLst>
                <a:ext uri="{63B3BB69-23CF-44E3-9099-C40C66FF867C}">
                  <a14:compatExt spid="_x0000_s12144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200025</xdr:colOff>
          <xdr:row>114</xdr:row>
          <xdr:rowOff>180975</xdr:rowOff>
        </xdr:from>
        <xdr:to>
          <xdr:col>17</xdr:col>
          <xdr:colOff>85725</xdr:colOff>
          <xdr:row>115</xdr:row>
          <xdr:rowOff>161925</xdr:rowOff>
        </xdr:to>
        <xdr:sp macro="" textlink="">
          <xdr:nvSpPr>
            <xdr:cNvPr id="1214485" name="Picture 106" hidden="1">
              <a:extLst>
                <a:ext uri="{63B3BB69-23CF-44E3-9099-C40C66FF867C}">
                  <a14:compatExt spid="_x0000_s12144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180975</xdr:colOff>
          <xdr:row>117</xdr:row>
          <xdr:rowOff>142875</xdr:rowOff>
        </xdr:from>
        <xdr:to>
          <xdr:col>17</xdr:col>
          <xdr:colOff>66675</xdr:colOff>
          <xdr:row>118</xdr:row>
          <xdr:rowOff>114300</xdr:rowOff>
        </xdr:to>
        <xdr:sp macro="" textlink="">
          <xdr:nvSpPr>
            <xdr:cNvPr id="1214486" name="Picture 107" hidden="1">
              <a:extLst>
                <a:ext uri="{63B3BB69-23CF-44E3-9099-C40C66FF867C}">
                  <a14:compatExt spid="_x0000_s12144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200025</xdr:colOff>
          <xdr:row>119</xdr:row>
          <xdr:rowOff>180975</xdr:rowOff>
        </xdr:from>
        <xdr:to>
          <xdr:col>17</xdr:col>
          <xdr:colOff>85725</xdr:colOff>
          <xdr:row>120</xdr:row>
          <xdr:rowOff>161925</xdr:rowOff>
        </xdr:to>
        <xdr:sp macro="" textlink="">
          <xdr:nvSpPr>
            <xdr:cNvPr id="1214487" name="Picture 108" hidden="1">
              <a:extLst>
                <a:ext uri="{63B3BB69-23CF-44E3-9099-C40C66FF867C}">
                  <a14:compatExt spid="_x0000_s12144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209550</xdr:colOff>
          <xdr:row>121</xdr:row>
          <xdr:rowOff>66675</xdr:rowOff>
        </xdr:from>
        <xdr:to>
          <xdr:col>17</xdr:col>
          <xdr:colOff>38100</xdr:colOff>
          <xdr:row>122</xdr:row>
          <xdr:rowOff>47625</xdr:rowOff>
        </xdr:to>
        <xdr:sp macro="" textlink="">
          <xdr:nvSpPr>
            <xdr:cNvPr id="1214488" name="Picture 109" hidden="1">
              <a:extLst>
                <a:ext uri="{63B3BB69-23CF-44E3-9099-C40C66FF867C}">
                  <a14:compatExt spid="_x0000_s12144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152400</xdr:colOff>
          <xdr:row>110</xdr:row>
          <xdr:rowOff>142875</xdr:rowOff>
        </xdr:from>
        <xdr:to>
          <xdr:col>12</xdr:col>
          <xdr:colOff>47625</xdr:colOff>
          <xdr:row>111</xdr:row>
          <xdr:rowOff>114300</xdr:rowOff>
        </xdr:to>
        <xdr:sp macro="" textlink="">
          <xdr:nvSpPr>
            <xdr:cNvPr id="1214489" name="Picture 110" hidden="1">
              <a:extLst>
                <a:ext uri="{63B3BB69-23CF-44E3-9099-C40C66FF867C}">
                  <a14:compatExt spid="_x0000_s12144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133350</xdr:colOff>
          <xdr:row>113</xdr:row>
          <xdr:rowOff>0</xdr:rowOff>
        </xdr:from>
        <xdr:to>
          <xdr:col>12</xdr:col>
          <xdr:colOff>19050</xdr:colOff>
          <xdr:row>114</xdr:row>
          <xdr:rowOff>0</xdr:rowOff>
        </xdr:to>
        <xdr:sp macro="" textlink="">
          <xdr:nvSpPr>
            <xdr:cNvPr id="1214490" name="Picture 111" hidden="1">
              <a:extLst>
                <a:ext uri="{63B3BB69-23CF-44E3-9099-C40C66FF867C}">
                  <a14:compatExt spid="_x0000_s12144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171450</xdr:colOff>
          <xdr:row>115</xdr:row>
          <xdr:rowOff>142875</xdr:rowOff>
        </xdr:from>
        <xdr:to>
          <xdr:col>12</xdr:col>
          <xdr:colOff>57150</xdr:colOff>
          <xdr:row>116</xdr:row>
          <xdr:rowOff>114300</xdr:rowOff>
        </xdr:to>
        <xdr:sp macro="" textlink="">
          <xdr:nvSpPr>
            <xdr:cNvPr id="1214491" name="Picture 112" hidden="1">
              <a:extLst>
                <a:ext uri="{63B3BB69-23CF-44E3-9099-C40C66FF867C}">
                  <a14:compatExt spid="_x0000_s12144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228600</xdr:colOff>
          <xdr:row>117</xdr:row>
          <xdr:rowOff>133350</xdr:rowOff>
        </xdr:from>
        <xdr:to>
          <xdr:col>12</xdr:col>
          <xdr:colOff>47625</xdr:colOff>
          <xdr:row>118</xdr:row>
          <xdr:rowOff>95250</xdr:rowOff>
        </xdr:to>
        <xdr:sp macro="" textlink="">
          <xdr:nvSpPr>
            <xdr:cNvPr id="1214492" name="Picture 113" hidden="1">
              <a:extLst>
                <a:ext uri="{63B3BB69-23CF-44E3-9099-C40C66FF867C}">
                  <a14:compatExt spid="_x0000_s12144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209550</xdr:colOff>
          <xdr:row>120</xdr:row>
          <xdr:rowOff>0</xdr:rowOff>
        </xdr:from>
        <xdr:to>
          <xdr:col>12</xdr:col>
          <xdr:colOff>19050</xdr:colOff>
          <xdr:row>121</xdr:row>
          <xdr:rowOff>0</xdr:rowOff>
        </xdr:to>
        <xdr:sp macro="" textlink="">
          <xdr:nvSpPr>
            <xdr:cNvPr id="1214493" name="Picture 114" hidden="1">
              <a:extLst>
                <a:ext uri="{63B3BB69-23CF-44E3-9099-C40C66FF867C}">
                  <a14:compatExt spid="_x0000_s12144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209550</xdr:colOff>
          <xdr:row>122</xdr:row>
          <xdr:rowOff>28575</xdr:rowOff>
        </xdr:from>
        <xdr:to>
          <xdr:col>12</xdr:col>
          <xdr:colOff>19050</xdr:colOff>
          <xdr:row>123</xdr:row>
          <xdr:rowOff>0</xdr:rowOff>
        </xdr:to>
        <xdr:sp macro="" textlink="">
          <xdr:nvSpPr>
            <xdr:cNvPr id="1214494" name="Picture 115" hidden="1">
              <a:extLst>
                <a:ext uri="{63B3BB69-23CF-44E3-9099-C40C66FF867C}">
                  <a14:compatExt spid="_x0000_s12144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104775</xdr:colOff>
          <xdr:row>111</xdr:row>
          <xdr:rowOff>0</xdr:rowOff>
        </xdr:from>
        <xdr:to>
          <xdr:col>7</xdr:col>
          <xdr:colOff>171450</xdr:colOff>
          <xdr:row>113</xdr:row>
          <xdr:rowOff>0</xdr:rowOff>
        </xdr:to>
        <xdr:sp macro="" textlink="">
          <xdr:nvSpPr>
            <xdr:cNvPr id="1214495" name="Picture 116" hidden="1">
              <a:extLst>
                <a:ext uri="{63B3BB69-23CF-44E3-9099-C40C66FF867C}">
                  <a14:compatExt spid="_x0000_s12144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85725</xdr:colOff>
          <xdr:row>115</xdr:row>
          <xdr:rowOff>66675</xdr:rowOff>
        </xdr:from>
        <xdr:to>
          <xdr:col>7</xdr:col>
          <xdr:colOff>152400</xdr:colOff>
          <xdr:row>117</xdr:row>
          <xdr:rowOff>66675</xdr:rowOff>
        </xdr:to>
        <xdr:sp macro="" textlink="">
          <xdr:nvSpPr>
            <xdr:cNvPr id="1214496" name="Picture 117" hidden="1">
              <a:extLst>
                <a:ext uri="{63B3BB69-23CF-44E3-9099-C40C66FF867C}">
                  <a14:compatExt spid="_x0000_s12144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85725</xdr:colOff>
          <xdr:row>119</xdr:row>
          <xdr:rowOff>180975</xdr:rowOff>
        </xdr:from>
        <xdr:to>
          <xdr:col>7</xdr:col>
          <xdr:colOff>152400</xdr:colOff>
          <xdr:row>121</xdr:row>
          <xdr:rowOff>171450</xdr:rowOff>
        </xdr:to>
        <xdr:sp macro="" textlink="">
          <xdr:nvSpPr>
            <xdr:cNvPr id="1214497" name="Picture 118" hidden="1">
              <a:extLst>
                <a:ext uri="{63B3BB69-23CF-44E3-9099-C40C66FF867C}">
                  <a14:compatExt spid="_x0000_s12144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76200</xdr:colOff>
          <xdr:row>123</xdr:row>
          <xdr:rowOff>161925</xdr:rowOff>
        </xdr:from>
        <xdr:to>
          <xdr:col>21</xdr:col>
          <xdr:colOff>209550</xdr:colOff>
          <xdr:row>124</xdr:row>
          <xdr:rowOff>142875</xdr:rowOff>
        </xdr:to>
        <xdr:sp macro="" textlink="">
          <xdr:nvSpPr>
            <xdr:cNvPr id="1214498" name="Picture 119" hidden="1">
              <a:extLst>
                <a:ext uri="{63B3BB69-23CF-44E3-9099-C40C66FF867C}">
                  <a14:compatExt spid="_x0000_s12144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23</xdr:col>
          <xdr:colOff>209550</xdr:colOff>
          <xdr:row>123</xdr:row>
          <xdr:rowOff>142875</xdr:rowOff>
        </xdr:from>
        <xdr:to>
          <xdr:col>25</xdr:col>
          <xdr:colOff>95250</xdr:colOff>
          <xdr:row>124</xdr:row>
          <xdr:rowOff>133350</xdr:rowOff>
        </xdr:to>
        <xdr:sp macro="" textlink="">
          <xdr:nvSpPr>
            <xdr:cNvPr id="1214499" name="Picture 120" hidden="1">
              <a:extLst>
                <a:ext uri="{63B3BB69-23CF-44E3-9099-C40C66FF867C}">
                  <a14:compatExt spid="_x0000_s1214499"/>
                </a:ext>
              </a:extLst>
            </xdr:cNvPr>
            <xdr:cNvSpPr/>
          </xdr:nvSpPr>
          <xdr:spPr>
            <a:xfrm>
              <a:off x="0" y="0"/>
              <a:ext cx="0" cy="0"/>
            </a:xfrm>
            <a:prstGeom prst="rect">
              <a:avLst/>
            </a:prstGeom>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xdr:twoCellAnchor>
    <xdr:from>
      <xdr:col>7</xdr:col>
      <xdr:colOff>53340</xdr:colOff>
      <xdr:row>0</xdr:row>
      <xdr:rowOff>0</xdr:rowOff>
    </xdr:from>
    <xdr:to>
      <xdr:col>15</xdr:col>
      <xdr:colOff>472440</xdr:colOff>
      <xdr:row>51</xdr:row>
      <xdr:rowOff>152400</xdr:rowOff>
    </xdr:to>
    <xdr:grpSp>
      <xdr:nvGrpSpPr>
        <xdr:cNvPr id="1215552" name="Group 3"/>
        <xdr:cNvGrpSpPr/>
      </xdr:nvGrpSpPr>
      <xdr:grpSpPr>
        <a:xfrm>
          <a:off x="8054340" y="0"/>
          <a:ext cx="5905500" cy="13916025"/>
          <a:chOff x="493" y="86"/>
          <a:chExt cx="620" cy="1425"/>
        </a:xfrm>
      </xdr:grpSpPr>
      <xdr:pic>
        <xdr:nvPicPr>
          <xdr:cNvPr id="1215553" name="Picture 1"/>
          <xdr:cNvPicPr>
            <a:picLocks noChangeAspect="1"/>
          </xdr:cNvPicPr>
        </xdr:nvPicPr>
        <xdr:blipFill>
          <a:blip xmlns:r="http://schemas.openxmlformats.org/officeDocument/2006/relationships" r:embed="rId1" cstate="print"/>
          <a:stretch>
            <a:fillRect/>
          </a:stretch>
        </xdr:blipFill>
        <xdr:spPr>
          <a:xfrm>
            <a:off x="493" y="86"/>
            <a:ext cx="619" cy="738"/>
          </a:xfrm>
          <a:prstGeom prst="rect">
            <a:avLst/>
          </a:prstGeom>
          <a:noFill/>
          <a:ln w="1">
            <a:noFill/>
          </a:ln>
        </xdr:spPr>
      </xdr:pic>
      <xdr:pic>
        <xdr:nvPicPr>
          <xdr:cNvPr id="1215554" name="Picture 2"/>
          <xdr:cNvPicPr>
            <a:picLocks noChangeAspect="1"/>
          </xdr:cNvPicPr>
        </xdr:nvPicPr>
        <xdr:blipFill>
          <a:blip xmlns:r="http://schemas.openxmlformats.org/officeDocument/2006/relationships" r:embed="rId2" cstate="print"/>
          <a:stretch>
            <a:fillRect/>
          </a:stretch>
        </xdr:blipFill>
        <xdr:spPr>
          <a:xfrm>
            <a:off x="495" y="804"/>
            <a:ext cx="618" cy="707"/>
          </a:xfrm>
          <a:prstGeom prst="rect">
            <a:avLst/>
          </a:prstGeom>
          <a:noFill/>
          <a:ln w="1">
            <a:noFill/>
          </a:ln>
        </xdr:spPr>
      </xdr:pic>
    </xdr:grpSp>
    <xdr:clientData/>
  </xdr:twoCellAnchor>
  <xdr:twoCellAnchor>
    <xdr:from>
      <xdr:col>15</xdr:col>
      <xdr:colOff>0</xdr:colOff>
      <xdr:row>9</xdr:row>
      <xdr:rowOff>11430</xdr:rowOff>
    </xdr:from>
    <xdr:to>
      <xdr:col>15</xdr:col>
      <xdr:colOff>171450</xdr:colOff>
      <xdr:row>9</xdr:row>
      <xdr:rowOff>240030</xdr:rowOff>
    </xdr:to>
    <xdr:sp macro="" textlink="">
      <xdr:nvSpPr>
        <xdr:cNvPr id="2" name="AutoShape 4"/>
        <xdr:cNvSpPr>
          <a:spLocks noChangeArrowheads="1"/>
        </xdr:cNvSpPr>
      </xdr:nvSpPr>
      <xdr:spPr>
        <a:xfrm>
          <a:off x="13479780" y="2573655"/>
          <a:ext cx="171450" cy="228600"/>
        </a:xfrm>
        <a:prstGeom prst="wedgeRectCallout">
          <a:avLst>
            <a:gd name="adj1" fmla="val -205556"/>
            <a:gd name="adj2" fmla="val 33333"/>
          </a:avLst>
        </a:prstGeom>
        <a:solidFill>
          <a:srgbClr val="FFFFFF"/>
        </a:solidFill>
        <a:ln w="9525">
          <a:solidFill>
            <a:srgbClr val="000000"/>
          </a:solidFill>
          <a:miter lim="800000"/>
        </a:ln>
      </xdr:spPr>
      <xdr:txBody>
        <a:bodyPr vertOverflow="clip" wrap="square" lIns="27432" tIns="18288" rIns="0" bIns="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CN" sz="1200" b="0" i="0" u="none" strike="noStrike" baseline="0">
              <a:solidFill>
                <a:srgbClr val="000000"/>
              </a:solidFill>
              <a:latin typeface="宋体" panose="02010600030101010101" pitchFamily="7" charset="-122"/>
              <a:ea typeface="宋体" panose="02010600030101010101" pitchFamily="7" charset="-122"/>
            </a:rPr>
            <a:t>V</a:t>
          </a:r>
        </a:p>
      </xdr:txBody>
    </xdr:sp>
    <xdr:clientData/>
  </xdr:twoCellAnchor>
  <xdr:twoCellAnchor>
    <xdr:from>
      <xdr:col>0</xdr:col>
      <xdr:colOff>19050</xdr:colOff>
      <xdr:row>16</xdr:row>
      <xdr:rowOff>0</xdr:rowOff>
    </xdr:from>
    <xdr:to>
      <xdr:col>3</xdr:col>
      <xdr:colOff>1032510</xdr:colOff>
      <xdr:row>20</xdr:row>
      <xdr:rowOff>219075</xdr:rowOff>
    </xdr:to>
    <xdr:sp macro="" textlink="">
      <xdr:nvSpPr>
        <xdr:cNvPr id="3" name="Rectangle 6"/>
        <xdr:cNvSpPr>
          <a:spLocks noChangeArrowheads="1"/>
        </xdr:cNvSpPr>
      </xdr:nvSpPr>
      <xdr:spPr>
        <a:xfrm>
          <a:off x="19050" y="4429125"/>
          <a:ext cx="4328160" cy="1285875"/>
        </a:xfrm>
        <a:prstGeom prst="rect">
          <a:avLst/>
        </a:prstGeom>
        <a:solidFill>
          <a:srgbClr val="FF99CC"/>
        </a:solidFill>
        <a:ln w="9525">
          <a:solidFill>
            <a:srgbClr val="000000"/>
          </a:solidFill>
          <a:miter lim="800000"/>
        </a:ln>
      </xdr:spPr>
      <xdr:txBody>
        <a:bodyPr vertOverflow="clip" wrap="square" lIns="27432" tIns="18288" rIns="0" bIns="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CN" altLang="en-US" sz="1200" b="1" i="0" u="none" strike="noStrike" baseline="0">
              <a:solidFill>
                <a:srgbClr val="000000"/>
              </a:solidFill>
              <a:latin typeface="宋体" panose="02010600030101010101" pitchFamily="7" charset="-122"/>
              <a:ea typeface="宋体" panose="02010600030101010101" pitchFamily="7" charset="-122"/>
            </a:rPr>
            <a:t>能量单位</a:t>
          </a:r>
          <a:r>
            <a:rPr lang="zh-CN" altLang="en-US" sz="1200" b="0" i="0" u="none" strike="noStrike" baseline="0">
              <a:solidFill>
                <a:srgbClr val="000000"/>
              </a:solidFill>
              <a:latin typeface="宋体" panose="02010600030101010101" pitchFamily="7" charset="-122"/>
              <a:ea typeface="宋体" panose="02010600030101010101" pitchFamily="7" charset="-122"/>
            </a:rPr>
            <a:t>  </a:t>
          </a: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焦尔</a:t>
          </a:r>
          <a:r>
            <a:rPr lang="en-US" altLang="zh-CN" sz="1200" b="0" i="0" u="none" strike="noStrike" baseline="0">
              <a:solidFill>
                <a:srgbClr val="000000"/>
              </a:solidFill>
              <a:latin typeface="宋体" panose="02010600030101010101" pitchFamily="7" charset="-122"/>
              <a:ea typeface="宋体" panose="02010600030101010101" pitchFamily="7" charset="-122"/>
            </a:rPr>
            <a:t>joule</a:t>
          </a:r>
          <a:r>
            <a:rPr lang="zh-CN" altLang="en-US" sz="1200" b="0" i="0" u="none" strike="noStrike" baseline="0">
              <a:solidFill>
                <a:srgbClr val="000000"/>
              </a:solidFill>
              <a:latin typeface="宋体" panose="02010600030101010101" pitchFamily="7" charset="-122"/>
              <a:ea typeface="宋体" panose="02010600030101010101" pitchFamily="7" charset="-122"/>
            </a:rPr>
            <a:t>，</a:t>
          </a:r>
          <a:r>
            <a:rPr lang="en-US" altLang="zh-CN" sz="1200" b="0" i="0" u="none" strike="noStrike" baseline="0">
              <a:solidFill>
                <a:srgbClr val="000000"/>
              </a:solidFill>
              <a:latin typeface="宋体" panose="02010600030101010101" pitchFamily="7" charset="-122"/>
              <a:ea typeface="宋体" panose="02010600030101010101" pitchFamily="7" charset="-122"/>
            </a:rPr>
            <a:t>J; </a:t>
          </a:r>
          <a:r>
            <a:rPr lang="zh-CN" altLang="en-US" sz="1200" b="0" i="0" u="none" strike="noStrike" baseline="0">
              <a:solidFill>
                <a:srgbClr val="000000"/>
              </a:solidFill>
              <a:latin typeface="宋体" panose="02010600030101010101" pitchFamily="7" charset="-122"/>
              <a:ea typeface="宋体" panose="02010600030101010101" pitchFamily="7" charset="-122"/>
            </a:rPr>
            <a:t>千焦</a:t>
          </a:r>
          <a:r>
            <a:rPr lang="en-US" altLang="zh-CN" sz="1200" b="0" i="0" u="none" strike="noStrike" baseline="0">
              <a:solidFill>
                <a:srgbClr val="000000"/>
              </a:solidFill>
              <a:latin typeface="宋体" panose="02010600030101010101" pitchFamily="7" charset="-122"/>
              <a:ea typeface="宋体" panose="02010600030101010101" pitchFamily="7" charset="-122"/>
            </a:rPr>
            <a:t>(KJ); </a:t>
          </a:r>
          <a:r>
            <a:rPr lang="zh-CN" altLang="en-US" sz="1200" b="0" i="0" u="none" strike="noStrike" baseline="0">
              <a:solidFill>
                <a:srgbClr val="000000"/>
              </a:solidFill>
              <a:latin typeface="宋体" panose="02010600030101010101" pitchFamily="7" charset="-122"/>
              <a:ea typeface="宋体" panose="02010600030101010101" pitchFamily="7" charset="-122"/>
            </a:rPr>
            <a:t>兆焦</a:t>
          </a:r>
          <a:r>
            <a:rPr lang="en-US" altLang="zh-CN" sz="1200" b="0" i="0" u="none" strike="noStrike" baseline="0">
              <a:solidFill>
                <a:srgbClr val="000000"/>
              </a:solidFill>
              <a:latin typeface="宋体" panose="02010600030101010101" pitchFamily="7" charset="-122"/>
              <a:ea typeface="宋体" panose="02010600030101010101" pitchFamily="7" charset="-122"/>
            </a:rPr>
            <a:t>(MJ); </a:t>
          </a:r>
          <a:r>
            <a:rPr lang="zh-CN" altLang="en-US" sz="1200" b="0" i="0" u="none" strike="noStrike" baseline="0">
              <a:solidFill>
                <a:srgbClr val="000000"/>
              </a:solidFill>
              <a:latin typeface="宋体" panose="02010600030101010101" pitchFamily="7" charset="-122"/>
              <a:ea typeface="宋体" panose="02010600030101010101" pitchFamily="7" charset="-122"/>
            </a:rPr>
            <a:t>千兆焦</a:t>
          </a:r>
          <a:r>
            <a:rPr lang="en-US" altLang="zh-CN" sz="1200" b="0" i="0" u="none" strike="noStrike" baseline="0">
              <a:solidFill>
                <a:srgbClr val="000000"/>
              </a:solidFill>
              <a:latin typeface="宋体" panose="02010600030101010101" pitchFamily="7" charset="-122"/>
              <a:ea typeface="宋体" panose="02010600030101010101" pitchFamily="7" charset="-122"/>
            </a:rPr>
            <a:t>(GJ);</a:t>
          </a:r>
          <a:r>
            <a:rPr lang="zh-CN" altLang="en-US" sz="1200" b="0" i="0" u="none" strike="noStrike" baseline="0">
              <a:solidFill>
                <a:srgbClr val="000000"/>
              </a:solidFill>
              <a:latin typeface="宋体" panose="02010600030101010101" pitchFamily="7" charset="-122"/>
              <a:ea typeface="宋体" panose="02010600030101010101" pitchFamily="7" charset="-122"/>
            </a:rPr>
            <a:t>太焦</a:t>
          </a:r>
          <a:r>
            <a:rPr lang="en-US" altLang="zh-CN" sz="1200" b="0" i="0" u="none" strike="noStrike" baseline="0">
              <a:solidFill>
                <a:srgbClr val="000000"/>
              </a:solidFill>
              <a:latin typeface="宋体" panose="02010600030101010101" pitchFamily="7" charset="-122"/>
              <a:ea typeface="宋体" panose="02010600030101010101" pitchFamily="7" charset="-122"/>
            </a:rPr>
            <a:t>(TJ).  1J</a:t>
          </a:r>
          <a:r>
            <a:rPr lang="zh-CN" altLang="en-US" sz="1200" b="0" i="0" u="none" strike="noStrike" baseline="0">
              <a:solidFill>
                <a:srgbClr val="000000"/>
              </a:solidFill>
              <a:latin typeface="宋体" panose="02010600030101010101" pitchFamily="7" charset="-122"/>
              <a:ea typeface="宋体" panose="02010600030101010101" pitchFamily="7" charset="-122"/>
            </a:rPr>
            <a:t>能量是指用</a:t>
          </a:r>
          <a:r>
            <a:rPr lang="en-US" altLang="zh-CN" sz="1200" b="0" i="0" u="none" strike="noStrike" baseline="0">
              <a:solidFill>
                <a:srgbClr val="000000"/>
              </a:solidFill>
              <a:latin typeface="宋体" panose="02010600030101010101" pitchFamily="7" charset="-122"/>
              <a:ea typeface="宋体" panose="02010600030101010101" pitchFamily="7" charset="-122"/>
            </a:rPr>
            <a:t>1</a:t>
          </a:r>
          <a:r>
            <a:rPr lang="zh-CN" altLang="en-US" sz="1200" b="0" i="0" u="none" strike="noStrike" baseline="0">
              <a:solidFill>
                <a:srgbClr val="000000"/>
              </a:solidFill>
              <a:latin typeface="宋体" panose="02010600030101010101" pitchFamily="7" charset="-122"/>
              <a:ea typeface="宋体" panose="02010600030101010101" pitchFamily="7" charset="-122"/>
            </a:rPr>
            <a:t>牛顿的力把</a:t>
          </a:r>
          <a:r>
            <a:rPr lang="en-US" altLang="zh-CN" sz="1200" b="0" i="0" u="none" strike="noStrike" baseline="0">
              <a:solidFill>
                <a:srgbClr val="000000"/>
              </a:solidFill>
              <a:latin typeface="宋体" panose="02010600030101010101" pitchFamily="7" charset="-122"/>
              <a:ea typeface="宋体" panose="02010600030101010101" pitchFamily="7" charset="-122"/>
            </a:rPr>
            <a:t>1000g</a:t>
          </a:r>
          <a:r>
            <a:rPr lang="zh-CN" altLang="en-US" sz="1200" b="0" i="0" u="none" strike="noStrike" baseline="0">
              <a:solidFill>
                <a:srgbClr val="000000"/>
              </a:solidFill>
              <a:latin typeface="宋体" panose="02010600030101010101" pitchFamily="7" charset="-122"/>
              <a:ea typeface="宋体" panose="02010600030101010101" pitchFamily="7" charset="-122"/>
            </a:rPr>
            <a:t>物体移动</a:t>
          </a:r>
          <a:r>
            <a:rPr lang="en-US" altLang="zh-CN" sz="1200" b="0" i="0" u="none" strike="noStrike" baseline="0">
              <a:solidFill>
                <a:srgbClr val="000000"/>
              </a:solidFill>
              <a:latin typeface="宋体" panose="02010600030101010101" pitchFamily="7" charset="-122"/>
              <a:ea typeface="宋体" panose="02010600030101010101" pitchFamily="7" charset="-122"/>
            </a:rPr>
            <a:t>1m</a:t>
          </a:r>
          <a:r>
            <a:rPr lang="zh-CN" altLang="en-US" sz="1200" b="0" i="0" u="none" strike="noStrike" baseline="0">
              <a:solidFill>
                <a:srgbClr val="000000"/>
              </a:solidFill>
              <a:latin typeface="宋体" panose="02010600030101010101" pitchFamily="7" charset="-122"/>
              <a:ea typeface="宋体" panose="02010600030101010101" pitchFamily="7" charset="-122"/>
            </a:rPr>
            <a:t>所需要的能量（或所作的功），因此焦耳又称为牛顿米。  </a:t>
          </a:r>
        </a:p>
        <a:p>
          <a:pPr algn="l" rtl="0">
            <a:defRPr sz="1000"/>
          </a:pPr>
          <a:r>
            <a:rPr lang="en-US" altLang="zh-CN" sz="1200" b="0" i="0" u="none" strike="noStrike" baseline="0">
              <a:solidFill>
                <a:srgbClr val="000000"/>
              </a:solidFill>
              <a:latin typeface="宋体" panose="02010600030101010101" pitchFamily="7" charset="-122"/>
              <a:ea typeface="宋体" panose="02010600030101010101" pitchFamily="7" charset="-122"/>
            </a:rPr>
            <a:t>1TJ=1000GJ,1GJ=1000MJ,1MJ=1000kJ,1kJ=1000J,  </a:t>
          </a:r>
          <a:r>
            <a:rPr lang="en-US" altLang="zh-CN" sz="1200" b="1" i="0" u="none" strike="noStrike" baseline="0">
              <a:solidFill>
                <a:srgbClr val="000000"/>
              </a:solidFill>
              <a:latin typeface="宋体" panose="02010600030101010101" pitchFamily="7" charset="-122"/>
              <a:ea typeface="宋体" panose="02010600030101010101" pitchFamily="7" charset="-122"/>
            </a:rPr>
            <a:t>1J=1 N.m</a:t>
          </a:r>
          <a:r>
            <a:rPr lang="en-US" altLang="zh-CN" sz="1200" b="0" i="0" u="none" strike="noStrike" baseline="0">
              <a:solidFill>
                <a:srgbClr val="000000"/>
              </a:solidFill>
              <a:latin typeface="宋体" panose="02010600030101010101" pitchFamily="7" charset="-122"/>
              <a:ea typeface="宋体" panose="02010600030101010101" pitchFamily="7" charset="-122"/>
            </a:rPr>
            <a:t> 1KJ=0.239kcal= 0.948 Btu </a:t>
          </a:r>
        </a:p>
      </xdr:txBody>
    </xdr:sp>
    <xdr:clientData/>
  </xdr:twoCellAnchor>
  <xdr:twoCellAnchor editAs="oneCell">
    <xdr:from>
      <xdr:col>0</xdr:col>
      <xdr:colOff>60325</xdr:colOff>
      <xdr:row>21</xdr:row>
      <xdr:rowOff>76200</xdr:rowOff>
    </xdr:from>
    <xdr:to>
      <xdr:col>5</xdr:col>
      <xdr:colOff>601345</xdr:colOff>
      <xdr:row>45</xdr:row>
      <xdr:rowOff>175260</xdr:rowOff>
    </xdr:to>
    <xdr:pic>
      <xdr:nvPicPr>
        <xdr:cNvPr id="1215557" name="Picture 7"/>
        <xdr:cNvPicPr>
          <a:picLocks noChangeAspect="1"/>
        </xdr:cNvPicPr>
      </xdr:nvPicPr>
      <xdr:blipFill>
        <a:blip xmlns:r="http://schemas.openxmlformats.org/officeDocument/2006/relationships" r:embed="rId3" cstate="print"/>
        <a:stretch>
          <a:fillRect/>
        </a:stretch>
      </xdr:blipFill>
      <xdr:spPr>
        <a:xfrm>
          <a:off x="60325" y="5838825"/>
          <a:ext cx="6080760" cy="6499860"/>
        </a:xfrm>
        <a:prstGeom prst="rect">
          <a:avLst/>
        </a:prstGeom>
        <a:noFill/>
        <a:ln w="1">
          <a:noFill/>
        </a:ln>
      </xdr:spPr>
    </xdr:pic>
    <xdr:clientData/>
  </xdr:twoCellAnchor>
  <xdr:twoCellAnchor>
    <xdr:from>
      <xdr:col>4</xdr:col>
      <xdr:colOff>0</xdr:colOff>
      <xdr:row>14</xdr:row>
      <xdr:rowOff>127001</xdr:rowOff>
    </xdr:from>
    <xdr:to>
      <xdr:col>7</xdr:col>
      <xdr:colOff>42334</xdr:colOff>
      <xdr:row>20</xdr:row>
      <xdr:rowOff>222251</xdr:rowOff>
    </xdr:to>
    <xdr:sp macro="" textlink="">
      <xdr:nvSpPr>
        <xdr:cNvPr id="4" name="Rectangle 6"/>
        <xdr:cNvSpPr>
          <a:spLocks noChangeArrowheads="1"/>
        </xdr:cNvSpPr>
      </xdr:nvSpPr>
      <xdr:spPr>
        <a:xfrm>
          <a:off x="4427220" y="4022725"/>
          <a:ext cx="3608070" cy="1695450"/>
        </a:xfrm>
        <a:prstGeom prst="rect">
          <a:avLst/>
        </a:prstGeom>
        <a:solidFill>
          <a:schemeClr val="accent2">
            <a:lumMod val="60000"/>
            <a:lumOff val="40000"/>
          </a:schemeClr>
        </a:solidFill>
        <a:ln w="9525">
          <a:solidFill>
            <a:srgbClr val="000000"/>
          </a:solidFill>
          <a:miter lim="800000"/>
        </a:ln>
      </xdr:spPr>
      <xdr:txBody>
        <a:bodyPr vertOverflow="clip" wrap="square" lIns="27432" tIns="18288" rIns="0" bIns="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CN" altLang="en-US" sz="1200" b="1" i="0" u="none" strike="noStrike" baseline="0">
              <a:solidFill>
                <a:srgbClr val="000000"/>
              </a:solidFill>
              <a:latin typeface="宋体" panose="02010600030101010101" pitchFamily="7" charset="-122"/>
              <a:ea typeface="宋体" panose="02010600030101010101" pitchFamily="7" charset="-122"/>
            </a:rPr>
            <a:t>应用案例：</a:t>
          </a:r>
          <a:endParaRPr lang="en-US" altLang="zh-CN" sz="1200" b="1"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200" b="0" i="0" u="none" strike="noStrike" baseline="0">
              <a:solidFill>
                <a:srgbClr val="000000"/>
              </a:solidFill>
              <a:latin typeface="宋体" panose="02010600030101010101" pitchFamily="7" charset="-122"/>
              <a:ea typeface="宋体" panose="02010600030101010101" pitchFamily="7" charset="-122"/>
            </a:rPr>
            <a:t>GZ14226</a:t>
          </a:r>
          <a:r>
            <a:rPr lang="zh-CN" altLang="en-US" sz="1200" b="0" i="0" u="none" strike="noStrike" baseline="0">
              <a:solidFill>
                <a:srgbClr val="000000"/>
              </a:solidFill>
              <a:latin typeface="宋体" panose="02010600030101010101" pitchFamily="7" charset="-122"/>
              <a:ea typeface="宋体" panose="02010600030101010101" pitchFamily="7" charset="-122"/>
            </a:rPr>
            <a:t>升高器全检机中，</a:t>
          </a:r>
          <a:endParaRPr lang="en-US" altLang="zh-CN"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气缸：</a:t>
          </a:r>
          <a:r>
            <a:rPr lang="en-US" altLang="zh-CN" sz="1200" b="0" i="0" u="none" strike="noStrike" baseline="0">
              <a:solidFill>
                <a:srgbClr val="000000"/>
              </a:solidFill>
              <a:latin typeface="宋体" panose="02010600030101010101" pitchFamily="7" charset="-122"/>
              <a:ea typeface="+mn-ea"/>
            </a:rPr>
            <a:t>SC-32*150-S  </a:t>
          </a:r>
          <a:r>
            <a:rPr lang="zh-CN" altLang="en-US" sz="1200" b="0" i="0" u="none" strike="noStrike" baseline="0">
              <a:solidFill>
                <a:srgbClr val="000000"/>
              </a:solidFill>
              <a:latin typeface="宋体" panose="02010600030101010101" pitchFamily="7" charset="-122"/>
              <a:ea typeface="+mn-ea"/>
            </a:rPr>
            <a:t>出力：</a:t>
          </a:r>
          <a:r>
            <a:rPr lang="en-US" altLang="zh-CN" sz="1200" b="0" i="0" u="none" strike="noStrike" baseline="0">
              <a:solidFill>
                <a:srgbClr val="000000"/>
              </a:solidFill>
              <a:latin typeface="宋体" panose="02010600030101010101" pitchFamily="7" charset="-122"/>
              <a:ea typeface="+mn-ea"/>
            </a:rPr>
            <a:t>402</a:t>
          </a:r>
        </a:p>
        <a:p>
          <a:pPr algn="l" rtl="0">
            <a:defRPr sz="1000"/>
          </a:pPr>
          <a:r>
            <a:rPr lang="zh-CN" altLang="en-US" sz="1200" b="0" i="0" u="none" strike="noStrike" baseline="0">
              <a:solidFill>
                <a:srgbClr val="000000"/>
              </a:solidFill>
              <a:latin typeface="宋体" panose="02010600030101010101" pitchFamily="7" charset="-122"/>
              <a:ea typeface="+mn-ea"/>
            </a:rPr>
            <a:t>负载总质量约：</a:t>
          </a:r>
          <a:r>
            <a:rPr lang="en-US" altLang="zh-CN" sz="1200" b="0" i="0" u="none" strike="noStrike" baseline="0">
              <a:solidFill>
                <a:srgbClr val="000000"/>
              </a:solidFill>
              <a:latin typeface="宋体" panose="02010600030101010101" pitchFamily="7" charset="-122"/>
              <a:ea typeface="+mn-ea"/>
            </a:rPr>
            <a:t>19.2KG   </a:t>
          </a:r>
          <a:r>
            <a:rPr lang="zh-CN" altLang="en-US" sz="1200" b="0" i="0" u="none" strike="noStrike" baseline="0">
              <a:solidFill>
                <a:srgbClr val="000000"/>
              </a:solidFill>
              <a:latin typeface="宋体" panose="02010600030101010101" pitchFamily="7" charset="-122"/>
              <a:ea typeface="+mn-ea"/>
            </a:rPr>
            <a:t>缓冲行程：</a:t>
          </a:r>
          <a:r>
            <a:rPr lang="en-US" altLang="zh-CN" sz="1200" b="0" i="0" u="none" strike="noStrike" baseline="0">
              <a:solidFill>
                <a:srgbClr val="000000"/>
              </a:solidFill>
              <a:latin typeface="宋体" panose="02010600030101010101" pitchFamily="7" charset="-122"/>
              <a:ea typeface="+mn-ea"/>
            </a:rPr>
            <a:t>6mm</a:t>
          </a:r>
        </a:p>
        <a:p>
          <a:pPr algn="l" rtl="0">
            <a:defRPr sz="1000"/>
          </a:pPr>
          <a:r>
            <a:rPr lang="zh-CN" altLang="en-US" sz="1200" b="0" i="0" u="none" strike="noStrike" baseline="0">
              <a:solidFill>
                <a:srgbClr val="000000"/>
              </a:solidFill>
              <a:latin typeface="宋体" panose="02010600030101010101" pitchFamily="7" charset="-122"/>
              <a:ea typeface="+mn-ea"/>
            </a:rPr>
            <a:t>代入上面公式中得出总能量为：</a:t>
          </a:r>
          <a:r>
            <a:rPr lang="en-US" altLang="zh-CN" sz="1200" b="0" i="0" u="none" strike="noStrike" baseline="0">
              <a:solidFill>
                <a:srgbClr val="000000"/>
              </a:solidFill>
              <a:latin typeface="宋体" panose="02010600030101010101" pitchFamily="7" charset="-122"/>
              <a:ea typeface="+mn-ea"/>
            </a:rPr>
            <a:t>4.812</a:t>
          </a:r>
        </a:p>
        <a:p>
          <a:pPr algn="l" rtl="0">
            <a:defRPr sz="1000"/>
          </a:pPr>
          <a:r>
            <a:rPr lang="zh-CN" altLang="en-US" sz="1200" b="1" i="0" u="none" strike="noStrike" baseline="0">
              <a:solidFill>
                <a:srgbClr val="000000"/>
              </a:solidFill>
              <a:latin typeface="宋体" panose="02010600030101010101" pitchFamily="7" charset="-122"/>
              <a:ea typeface="+mn-ea"/>
            </a:rPr>
            <a:t>正常选择需考虑安全系数</a:t>
          </a:r>
          <a:r>
            <a:rPr lang="en-US" altLang="zh-CN" sz="1200" b="1" i="0" u="none" strike="noStrike" baseline="0">
              <a:solidFill>
                <a:srgbClr val="000000"/>
              </a:solidFill>
              <a:latin typeface="宋体" panose="02010600030101010101" pitchFamily="7" charset="-122"/>
              <a:ea typeface="+mn-ea"/>
            </a:rPr>
            <a:t>*2</a:t>
          </a: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由上可得出：</a:t>
          </a:r>
          <a:r>
            <a:rPr lang="en-US" altLang="zh-CN" sz="1200" b="0" i="0" u="none" strike="noStrike" baseline="0">
              <a:solidFill>
                <a:srgbClr val="000000"/>
              </a:solidFill>
              <a:latin typeface="宋体" panose="02010600030101010101" pitchFamily="7" charset="-122"/>
              <a:ea typeface="宋体" panose="02010600030101010101" pitchFamily="7" charset="-122"/>
            </a:rPr>
            <a:t>ACA1210-1</a:t>
          </a:r>
          <a:r>
            <a:rPr lang="zh-CN" altLang="en-US" sz="1200" b="0" i="0" u="none" strike="noStrike" baseline="0">
              <a:solidFill>
                <a:srgbClr val="000000"/>
              </a:solidFill>
              <a:latin typeface="宋体" panose="02010600030101010101" pitchFamily="7" charset="-122"/>
              <a:ea typeface="宋体" panose="02010600030101010101" pitchFamily="7" charset="-122"/>
            </a:rPr>
            <a:t>缓冲器适用；</a:t>
          </a:r>
          <a:r>
            <a:rPr lang="en-US" altLang="zh-CN" sz="1200" b="0" i="0" u="none" strike="noStrike" baseline="0">
              <a:solidFill>
                <a:srgbClr val="000000"/>
              </a:solidFill>
              <a:latin typeface="宋体" panose="02010600030101010101" pitchFamily="7" charset="-122"/>
              <a:ea typeface="宋体" panose="02010600030101010101" pitchFamily="7" charset="-122"/>
            </a:rPr>
            <a:t>(</a:t>
          </a:r>
          <a:r>
            <a:rPr lang="zh-CN" altLang="en-US" sz="1200" b="0" i="0" u="none" strike="noStrike" baseline="0">
              <a:solidFill>
                <a:srgbClr val="000000"/>
              </a:solidFill>
              <a:latin typeface="宋体" panose="02010600030101010101" pitchFamily="7" charset="-122"/>
              <a:ea typeface="宋体" panose="02010600030101010101" pitchFamily="7" charset="-122"/>
            </a:rPr>
            <a:t>最大吸收能量为</a:t>
          </a:r>
          <a:r>
            <a:rPr lang="en-US" altLang="zh-CN" sz="1200" b="0" i="0" u="none" strike="noStrike" baseline="0">
              <a:solidFill>
                <a:srgbClr val="000000"/>
              </a:solidFill>
              <a:latin typeface="宋体" panose="02010600030101010101" pitchFamily="7" charset="-122"/>
              <a:ea typeface="宋体" panose="02010600030101010101" pitchFamily="7" charset="-122"/>
            </a:rPr>
            <a:t>10NM)</a:t>
          </a:r>
          <a:r>
            <a:rPr lang="zh-CN" altLang="en-US" sz="1200" b="0" i="0" u="none" strike="noStrike" baseline="0">
              <a:solidFill>
                <a:srgbClr val="000000"/>
              </a:solidFill>
              <a:latin typeface="宋体" panose="02010600030101010101" pitchFamily="7" charset="-122"/>
              <a:ea typeface="宋体" panose="02010600030101010101" pitchFamily="7" charset="-122"/>
            </a:rPr>
            <a:t>，行程</a:t>
          </a:r>
          <a:r>
            <a:rPr lang="en-US" altLang="zh-CN" sz="1200" b="0" i="0" u="none" strike="noStrike" baseline="0">
              <a:solidFill>
                <a:srgbClr val="000000"/>
              </a:solidFill>
              <a:latin typeface="宋体" panose="02010600030101010101" pitchFamily="7" charset="-122"/>
              <a:ea typeface="宋体" panose="02010600030101010101" pitchFamily="7" charset="-122"/>
            </a:rPr>
            <a:t>10mm</a:t>
          </a:r>
          <a:r>
            <a:rPr lang="zh-CN" altLang="en-US" sz="1200" b="0" i="0" u="none" strike="noStrike" baseline="0">
              <a:solidFill>
                <a:srgbClr val="000000"/>
              </a:solidFill>
              <a:latin typeface="宋体" panose="02010600030101010101" pitchFamily="7" charset="-122"/>
              <a:ea typeface="宋体" panose="02010600030101010101" pitchFamily="7" charset="-122"/>
            </a:rPr>
            <a:t>使用</a:t>
          </a:r>
          <a:r>
            <a:rPr lang="en-US" altLang="zh-CN" sz="1200" b="0" i="0" u="none" strike="noStrike" baseline="0">
              <a:solidFill>
                <a:srgbClr val="000000"/>
              </a:solidFill>
              <a:latin typeface="宋体" panose="02010600030101010101" pitchFamily="7" charset="-122"/>
              <a:ea typeface="宋体" panose="02010600030101010101" pitchFamily="7" charset="-122"/>
            </a:rPr>
            <a:t>6mm</a:t>
          </a:r>
          <a:r>
            <a:rPr lang="zh-CN" altLang="en-US" sz="1200" b="0" i="0" u="none" strike="noStrike" baseline="0">
              <a:solidFill>
                <a:srgbClr val="000000"/>
              </a:solidFill>
              <a:latin typeface="宋体" panose="02010600030101010101" pitchFamily="7" charset="-122"/>
              <a:ea typeface="宋体" panose="02010600030101010101" pitchFamily="7" charset="-122"/>
            </a:rPr>
            <a:t>在范围内。</a:t>
          </a:r>
        </a:p>
      </xdr:txBody>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3</xdr:col>
      <xdr:colOff>449580</xdr:colOff>
      <xdr:row>0</xdr:row>
      <xdr:rowOff>38100</xdr:rowOff>
    </xdr:from>
    <xdr:to>
      <xdr:col>10</xdr:col>
      <xdr:colOff>327660</xdr:colOff>
      <xdr:row>12</xdr:row>
      <xdr:rowOff>45720</xdr:rowOff>
    </xdr:to>
    <xdr:pic>
      <xdr:nvPicPr>
        <xdr:cNvPr id="1216522" name="图片 1"/>
        <xdr:cNvPicPr/>
      </xdr:nvPicPr>
      <xdr:blipFill>
        <a:blip xmlns:r="http://schemas.openxmlformats.org/officeDocument/2006/relationships" r:embed="rId1" cstate="print"/>
        <a:stretch>
          <a:fillRect/>
        </a:stretch>
      </xdr:blipFill>
      <xdr:spPr>
        <a:xfrm>
          <a:off x="2506980" y="38100"/>
          <a:ext cx="4678680" cy="2659380"/>
        </a:xfrm>
        <a:prstGeom prst="rect">
          <a:avLst/>
        </a:prstGeom>
        <a:noFill/>
        <a:ln w="9525">
          <a:noFill/>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6</xdr:col>
      <xdr:colOff>152400</xdr:colOff>
      <xdr:row>2</xdr:row>
      <xdr:rowOff>205740</xdr:rowOff>
    </xdr:from>
    <xdr:to>
      <xdr:col>11</xdr:col>
      <xdr:colOff>487680</xdr:colOff>
      <xdr:row>16</xdr:row>
      <xdr:rowOff>144780</xdr:rowOff>
    </xdr:to>
    <xdr:pic>
      <xdr:nvPicPr>
        <xdr:cNvPr id="1217555" name="Picture 2"/>
        <xdr:cNvPicPr>
          <a:picLocks noChangeAspect="1"/>
        </xdr:cNvPicPr>
      </xdr:nvPicPr>
      <xdr:blipFill>
        <a:blip xmlns:r="http://schemas.openxmlformats.org/officeDocument/2006/relationships" r:embed="rId1" cstate="print"/>
        <a:stretch>
          <a:fillRect/>
        </a:stretch>
      </xdr:blipFill>
      <xdr:spPr>
        <a:xfrm>
          <a:off x="5410200" y="1362075"/>
          <a:ext cx="4053840" cy="2849880"/>
        </a:xfrm>
        <a:prstGeom prst="rect">
          <a:avLst/>
        </a:prstGeom>
        <a:noFill/>
        <a:ln w="9525">
          <a:noFill/>
        </a:ln>
      </xdr:spPr>
    </xdr:pic>
    <xdr:clientData/>
  </xdr:twoCellAnchor>
  <xdr:twoCellAnchor editAs="oneCell">
    <xdr:from>
      <xdr:col>0</xdr:col>
      <xdr:colOff>0</xdr:colOff>
      <xdr:row>79</xdr:row>
      <xdr:rowOff>45720</xdr:rowOff>
    </xdr:from>
    <xdr:to>
      <xdr:col>11</xdr:col>
      <xdr:colOff>381000</xdr:colOff>
      <xdr:row>145</xdr:row>
      <xdr:rowOff>74855</xdr:rowOff>
    </xdr:to>
    <xdr:pic>
      <xdr:nvPicPr>
        <xdr:cNvPr id="1217556" name="图片 7" descr="正名分割器选型目录 16.tif"/>
        <xdr:cNvPicPr>
          <a:picLocks noChangeAspect="1"/>
        </xdr:cNvPicPr>
      </xdr:nvPicPr>
      <xdr:blipFill>
        <a:blip xmlns:r="http://schemas.openxmlformats.org/officeDocument/2006/relationships" r:embed="rId2" cstate="print"/>
        <a:stretch>
          <a:fillRect/>
        </a:stretch>
      </xdr:blipFill>
      <xdr:spPr>
        <a:xfrm>
          <a:off x="0" y="13535025"/>
          <a:ext cx="9357360" cy="13235940"/>
        </a:xfrm>
        <a:prstGeom prst="rect">
          <a:avLst/>
        </a:prstGeom>
        <a:noFill/>
        <a:ln w="9525">
          <a:noFill/>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5</xdr:col>
      <xdr:colOff>83820</xdr:colOff>
      <xdr:row>2</xdr:row>
      <xdr:rowOff>114300</xdr:rowOff>
    </xdr:from>
    <xdr:to>
      <xdr:col>11</xdr:col>
      <xdr:colOff>0</xdr:colOff>
      <xdr:row>12</xdr:row>
      <xdr:rowOff>160020</xdr:rowOff>
    </xdr:to>
    <xdr:pic>
      <xdr:nvPicPr>
        <xdr:cNvPr id="1218579" name="图片 1" descr="QQ图片20150917123337"/>
        <xdr:cNvPicPr>
          <a:picLocks noChangeAspect="1"/>
        </xdr:cNvPicPr>
      </xdr:nvPicPr>
      <xdr:blipFill>
        <a:blip xmlns:r="http://schemas.openxmlformats.org/officeDocument/2006/relationships" r:embed="rId1" cstate="print"/>
        <a:stretch>
          <a:fillRect/>
        </a:stretch>
      </xdr:blipFill>
      <xdr:spPr>
        <a:xfrm>
          <a:off x="4876800" y="1167765"/>
          <a:ext cx="4175760" cy="3379470"/>
        </a:xfrm>
        <a:prstGeom prst="rect">
          <a:avLst/>
        </a:prstGeom>
        <a:noFill/>
        <a:ln w="9525">
          <a:noFill/>
        </a:ln>
      </xdr:spPr>
    </xdr:pic>
    <xdr:clientData/>
  </xdr:twoCellAnchor>
  <xdr:twoCellAnchor editAs="oneCell">
    <xdr:from>
      <xdr:col>0</xdr:col>
      <xdr:colOff>7620</xdr:colOff>
      <xdr:row>83</xdr:row>
      <xdr:rowOff>669925</xdr:rowOff>
    </xdr:from>
    <xdr:to>
      <xdr:col>13</xdr:col>
      <xdr:colOff>229235</xdr:colOff>
      <xdr:row>132</xdr:row>
      <xdr:rowOff>29845</xdr:rowOff>
    </xdr:to>
    <xdr:pic>
      <xdr:nvPicPr>
        <xdr:cNvPr id="1218580" name="图片 2" descr="兆奕分割器型錄20130222_页面_14"/>
        <xdr:cNvPicPr>
          <a:picLocks noChangeAspect="1"/>
        </xdr:cNvPicPr>
      </xdr:nvPicPr>
      <xdr:blipFill>
        <a:blip xmlns:r="http://schemas.openxmlformats.org/officeDocument/2006/relationships" r:embed="rId2" cstate="print"/>
        <a:stretch>
          <a:fillRect/>
        </a:stretch>
      </xdr:blipFill>
      <xdr:spPr>
        <a:xfrm>
          <a:off x="7620" y="24813895"/>
          <a:ext cx="11102975" cy="16034385"/>
        </a:xfrm>
        <a:prstGeom prst="rect">
          <a:avLst/>
        </a:prstGeom>
        <a:noFill/>
        <a:ln w="9525">
          <a:noFill/>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3</xdr:col>
      <xdr:colOff>1188085</xdr:colOff>
      <xdr:row>24</xdr:row>
      <xdr:rowOff>53340</xdr:rowOff>
    </xdr:from>
    <xdr:to>
      <xdr:col>7</xdr:col>
      <xdr:colOff>540385</xdr:colOff>
      <xdr:row>39</xdr:row>
      <xdr:rowOff>152400</xdr:rowOff>
    </xdr:to>
    <xdr:pic>
      <xdr:nvPicPr>
        <xdr:cNvPr id="1219828" name="Picture 20" descr="1"/>
        <xdr:cNvPicPr>
          <a:picLocks noChangeAspect="1"/>
        </xdr:cNvPicPr>
      </xdr:nvPicPr>
      <xdr:blipFill>
        <a:blip xmlns:r="http://schemas.openxmlformats.org/officeDocument/2006/relationships" r:embed="rId1" cstate="print"/>
        <a:stretch>
          <a:fillRect/>
        </a:stretch>
      </xdr:blipFill>
      <xdr:spPr>
        <a:xfrm>
          <a:off x="1188085" y="5429250"/>
          <a:ext cx="2987040" cy="3185160"/>
        </a:xfrm>
        <a:prstGeom prst="rect">
          <a:avLst/>
        </a:prstGeom>
        <a:noFill/>
        <a:ln w="9525">
          <a:noFill/>
        </a:ln>
      </xdr:spPr>
    </xdr:pic>
    <xdr:clientData/>
  </xdr:twoCellAnchor>
  <xdr:twoCellAnchor editAs="oneCell">
    <xdr:from>
      <xdr:col>9</xdr:col>
      <xdr:colOff>205740</xdr:colOff>
      <xdr:row>29</xdr:row>
      <xdr:rowOff>144780</xdr:rowOff>
    </xdr:from>
    <xdr:to>
      <xdr:col>11</xdr:col>
      <xdr:colOff>457200</xdr:colOff>
      <xdr:row>39</xdr:row>
      <xdr:rowOff>168275</xdr:rowOff>
    </xdr:to>
    <xdr:pic>
      <xdr:nvPicPr>
        <xdr:cNvPr id="1219829" name="Picture 21" descr="2"/>
        <xdr:cNvPicPr>
          <a:picLocks noChangeAspect="1"/>
        </xdr:cNvPicPr>
      </xdr:nvPicPr>
      <xdr:blipFill>
        <a:blip xmlns:r="http://schemas.openxmlformats.org/officeDocument/2006/relationships" r:embed="rId2" cstate="print"/>
        <a:stretch>
          <a:fillRect/>
        </a:stretch>
      </xdr:blipFill>
      <xdr:spPr>
        <a:xfrm>
          <a:off x="5661660" y="6549390"/>
          <a:ext cx="1630680" cy="2080895"/>
        </a:xfrm>
        <a:prstGeom prst="rect">
          <a:avLst/>
        </a:prstGeom>
        <a:noFill/>
        <a:ln w="9525">
          <a:noFill/>
        </a:ln>
      </xdr:spPr>
    </xdr:pic>
    <xdr:clientData/>
  </xdr:twoCellAnchor>
  <xdr:twoCellAnchor>
    <xdr:from>
      <xdr:col>14</xdr:col>
      <xdr:colOff>518160</xdr:colOff>
      <xdr:row>21</xdr:row>
      <xdr:rowOff>53340</xdr:rowOff>
    </xdr:from>
    <xdr:to>
      <xdr:col>14</xdr:col>
      <xdr:colOff>518160</xdr:colOff>
      <xdr:row>25</xdr:row>
      <xdr:rowOff>6985</xdr:rowOff>
    </xdr:to>
    <xdr:sp macro="" textlink="">
      <xdr:nvSpPr>
        <xdr:cNvPr id="1219830" name="Line 9"/>
        <xdr:cNvSpPr/>
      </xdr:nvSpPr>
      <xdr:spPr>
        <a:xfrm>
          <a:off x="9182100" y="4812030"/>
          <a:ext cx="0" cy="776605"/>
        </a:xfrm>
        <a:prstGeom prst="line">
          <a:avLst/>
        </a:prstGeom>
        <a:ln w="9525" cap="flat" cmpd="sng">
          <a:solidFill>
            <a:srgbClr val="000000"/>
          </a:solidFill>
          <a:prstDash val="solid"/>
          <a:round/>
          <a:headEnd type="none" w="med" len="med"/>
          <a:tailEnd type="none" w="med" len="med"/>
        </a:ln>
      </xdr:spPr>
    </xdr:sp>
    <xdr:clientData/>
  </xdr:twoCellAnchor>
  <xdr:twoCellAnchor>
    <xdr:from>
      <xdr:col>10</xdr:col>
      <xdr:colOff>274320</xdr:colOff>
      <xdr:row>29</xdr:row>
      <xdr:rowOff>144780</xdr:rowOff>
    </xdr:from>
    <xdr:to>
      <xdr:col>10</xdr:col>
      <xdr:colOff>274320</xdr:colOff>
      <xdr:row>33</xdr:row>
      <xdr:rowOff>106680</xdr:rowOff>
    </xdr:to>
    <xdr:sp macro="" textlink="">
      <xdr:nvSpPr>
        <xdr:cNvPr id="1219831" name="Line 10"/>
        <xdr:cNvSpPr/>
      </xdr:nvSpPr>
      <xdr:spPr>
        <a:xfrm>
          <a:off x="6553200" y="6549390"/>
          <a:ext cx="0" cy="784860"/>
        </a:xfrm>
        <a:prstGeom prst="line">
          <a:avLst/>
        </a:prstGeom>
        <a:ln w="9525" cap="flat" cmpd="sng">
          <a:solidFill>
            <a:srgbClr val="00FF00"/>
          </a:solidFill>
          <a:prstDash val="solid"/>
          <a:round/>
          <a:headEnd type="none" w="med" len="med"/>
          <a:tailEnd type="none" w="med" len="med"/>
        </a:ln>
      </xdr:spPr>
    </xdr:sp>
    <xdr:clientData/>
  </xdr:twoCellAnchor>
  <xdr:twoCellAnchor>
    <xdr:from>
      <xdr:col>9</xdr:col>
      <xdr:colOff>670560</xdr:colOff>
      <xdr:row>29</xdr:row>
      <xdr:rowOff>6985</xdr:rowOff>
    </xdr:from>
    <xdr:to>
      <xdr:col>10</xdr:col>
      <xdr:colOff>83820</xdr:colOff>
      <xdr:row>29</xdr:row>
      <xdr:rowOff>6985</xdr:rowOff>
    </xdr:to>
    <xdr:sp macro="" textlink="">
      <xdr:nvSpPr>
        <xdr:cNvPr id="1219832" name="Line 11"/>
        <xdr:cNvSpPr/>
      </xdr:nvSpPr>
      <xdr:spPr>
        <a:xfrm>
          <a:off x="6126480" y="6411595"/>
          <a:ext cx="236220" cy="0"/>
        </a:xfrm>
        <a:prstGeom prst="line">
          <a:avLst/>
        </a:prstGeom>
        <a:ln w="9525" cap="flat" cmpd="sng">
          <a:solidFill>
            <a:srgbClr val="00FF00"/>
          </a:solidFill>
          <a:prstDash val="solid"/>
          <a:round/>
          <a:headEnd type="none" w="med" len="med"/>
          <a:tailEnd type="triangle" w="med" len="med"/>
        </a:ln>
      </xdr:spPr>
    </xdr:sp>
    <xdr:clientData/>
  </xdr:twoCellAnchor>
  <xdr:twoCellAnchor>
    <xdr:from>
      <xdr:col>10</xdr:col>
      <xdr:colOff>228600</xdr:colOff>
      <xdr:row>31</xdr:row>
      <xdr:rowOff>6985</xdr:rowOff>
    </xdr:from>
    <xdr:to>
      <xdr:col>11</xdr:col>
      <xdr:colOff>121920</xdr:colOff>
      <xdr:row>32</xdr:row>
      <xdr:rowOff>190500</xdr:rowOff>
    </xdr:to>
    <xdr:sp macro="" textlink="">
      <xdr:nvSpPr>
        <xdr:cNvPr id="1219833" name="Line 12"/>
        <xdr:cNvSpPr/>
      </xdr:nvSpPr>
      <xdr:spPr>
        <a:xfrm flipH="1">
          <a:off x="6507480" y="6823075"/>
          <a:ext cx="449580" cy="389255"/>
        </a:xfrm>
        <a:prstGeom prst="line">
          <a:avLst/>
        </a:prstGeom>
        <a:ln w="9525" cap="flat" cmpd="sng">
          <a:solidFill>
            <a:srgbClr val="00FF00"/>
          </a:solidFill>
          <a:prstDash val="solid"/>
          <a:round/>
          <a:headEnd type="none" w="med" len="med"/>
          <a:tailEnd type="triangle" w="med" len="med"/>
        </a:ln>
      </xdr:spPr>
    </xdr:sp>
    <xdr:clientData/>
  </xdr:twoCellAnchor>
  <xdr:twoCellAnchor>
    <xdr:from>
      <xdr:col>15</xdr:col>
      <xdr:colOff>67945</xdr:colOff>
      <xdr:row>24</xdr:row>
      <xdr:rowOff>110490</xdr:rowOff>
    </xdr:from>
    <xdr:to>
      <xdr:col>15</xdr:col>
      <xdr:colOff>399581</xdr:colOff>
      <xdr:row>25</xdr:row>
      <xdr:rowOff>123969</xdr:rowOff>
    </xdr:to>
    <xdr:sp macro="" textlink="">
      <xdr:nvSpPr>
        <xdr:cNvPr id="2" name="Rectangle 13"/>
        <xdr:cNvSpPr/>
      </xdr:nvSpPr>
      <xdr:spPr>
        <a:xfrm>
          <a:off x="9341485" y="5486400"/>
          <a:ext cx="331470" cy="219075"/>
        </a:xfrm>
        <a:prstGeom prst="rect">
          <a:avLst/>
        </a:prstGeom>
        <a:noFill/>
        <a:ln w="9525">
          <a:noFill/>
          <a:miter/>
        </a:ln>
      </xdr:spPr>
      <xdr:txBody>
        <a:bodyPr vertOverflow="clip" vert="horz" wrap="square" lIns="27432" tIns="18288" rIns="27432"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r>
            <a:rPr lang="zh-CN" altLang="en-US" sz="1200">
              <a:solidFill>
                <a:srgbClr val="000000"/>
              </a:solidFill>
              <a:latin typeface="Times New Roman" panose="02020603050405020304" charset="0"/>
              <a:ea typeface="Times New Roman" panose="02020603050405020304" charset="0"/>
              <a:cs typeface="Times New Roman" panose="02020603050405020304" charset="0"/>
              <a:sym typeface="Times New Roman" panose="02020603050405020304" charset="0"/>
            </a:rPr>
            <a:t>A</a:t>
          </a:r>
        </a:p>
      </xdr:txBody>
    </xdr:sp>
    <xdr:clientData/>
  </xdr:twoCellAnchor>
  <xdr:twoCellAnchor>
    <xdr:from>
      <xdr:col>16</xdr:col>
      <xdr:colOff>45720</xdr:colOff>
      <xdr:row>20</xdr:row>
      <xdr:rowOff>22225</xdr:rowOff>
    </xdr:from>
    <xdr:to>
      <xdr:col>16</xdr:col>
      <xdr:colOff>373380</xdr:colOff>
      <xdr:row>26</xdr:row>
      <xdr:rowOff>114300</xdr:rowOff>
    </xdr:to>
    <xdr:sp macro="" textlink="">
      <xdr:nvSpPr>
        <xdr:cNvPr id="1219835" name="Line 16"/>
        <xdr:cNvSpPr/>
      </xdr:nvSpPr>
      <xdr:spPr>
        <a:xfrm flipH="1" flipV="1">
          <a:off x="9928860" y="4575175"/>
          <a:ext cx="327660" cy="1326515"/>
        </a:xfrm>
        <a:prstGeom prst="line">
          <a:avLst/>
        </a:prstGeom>
        <a:ln w="9525" cap="flat" cmpd="sng">
          <a:solidFill>
            <a:srgbClr val="000000"/>
          </a:solidFill>
          <a:prstDash val="solid"/>
          <a:round/>
          <a:headEnd type="none" w="med" len="med"/>
          <a:tailEnd type="triangle" w="med" len="med"/>
        </a:ln>
      </xdr:spPr>
    </xdr:sp>
    <xdr:clientData/>
  </xdr:twoCellAnchor>
  <xdr:twoCellAnchor>
    <xdr:from>
      <xdr:col>15</xdr:col>
      <xdr:colOff>194945</xdr:colOff>
      <xdr:row>26</xdr:row>
      <xdr:rowOff>161925</xdr:rowOff>
    </xdr:from>
    <xdr:to>
      <xdr:col>15</xdr:col>
      <xdr:colOff>541655</xdr:colOff>
      <xdr:row>27</xdr:row>
      <xdr:rowOff>190500</xdr:rowOff>
    </xdr:to>
    <xdr:sp macro="" textlink="">
      <xdr:nvSpPr>
        <xdr:cNvPr id="3" name="Rectangle 17"/>
        <xdr:cNvSpPr/>
      </xdr:nvSpPr>
      <xdr:spPr>
        <a:xfrm>
          <a:off x="9468485" y="5949315"/>
          <a:ext cx="346710" cy="234315"/>
        </a:xfrm>
        <a:prstGeom prst="rect">
          <a:avLst/>
        </a:prstGeom>
        <a:noFill/>
        <a:ln w="9525">
          <a:noFill/>
          <a:miter/>
        </a:ln>
      </xdr:spPr>
      <xdr:txBody>
        <a:bodyPr vertOverflow="clip" vert="horz" wrap="square" lIns="27432" tIns="18288" rIns="27432"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r>
            <a:rPr lang="zh-CN" altLang="en-US" sz="1200">
              <a:solidFill>
                <a:srgbClr val="000000"/>
              </a:solidFill>
              <a:latin typeface="Times New Roman" panose="02020603050405020304" charset="0"/>
              <a:ea typeface="Times New Roman" panose="02020603050405020304" charset="0"/>
              <a:cs typeface="Times New Roman" panose="02020603050405020304" charset="0"/>
              <a:sym typeface="Times New Roman" panose="02020603050405020304" charset="0"/>
            </a:rPr>
            <a:t>D2</a:t>
          </a:r>
        </a:p>
      </xdr:txBody>
    </xdr:sp>
    <xdr:clientData/>
  </xdr:twoCellAnchor>
  <xdr:twoCellAnchor>
    <xdr:from>
      <xdr:col>10</xdr:col>
      <xdr:colOff>15240</xdr:colOff>
      <xdr:row>29</xdr:row>
      <xdr:rowOff>144780</xdr:rowOff>
    </xdr:from>
    <xdr:to>
      <xdr:col>10</xdr:col>
      <xdr:colOff>15240</xdr:colOff>
      <xdr:row>33</xdr:row>
      <xdr:rowOff>106680</xdr:rowOff>
    </xdr:to>
    <xdr:sp macro="" textlink="">
      <xdr:nvSpPr>
        <xdr:cNvPr id="1219837" name="Line 19"/>
        <xdr:cNvSpPr/>
      </xdr:nvSpPr>
      <xdr:spPr>
        <a:xfrm>
          <a:off x="6294120" y="6549390"/>
          <a:ext cx="0" cy="784860"/>
        </a:xfrm>
        <a:prstGeom prst="line">
          <a:avLst/>
        </a:prstGeom>
        <a:ln w="9525" cap="flat" cmpd="sng">
          <a:solidFill>
            <a:srgbClr val="00FF00"/>
          </a:solidFill>
          <a:prstDash val="solid"/>
          <a:round/>
          <a:headEnd type="none" w="med" len="med"/>
          <a:tailEnd type="none" w="med" len="med"/>
        </a:ln>
      </xdr:spPr>
    </xdr:sp>
    <xdr:clientData/>
  </xdr:twoCellAnchor>
  <xdr:twoCellAnchor>
    <xdr:from>
      <xdr:col>10</xdr:col>
      <xdr:colOff>76200</xdr:colOff>
      <xdr:row>28</xdr:row>
      <xdr:rowOff>121920</xdr:rowOff>
    </xdr:from>
    <xdr:to>
      <xdr:col>10</xdr:col>
      <xdr:colOff>76200</xdr:colOff>
      <xdr:row>32</xdr:row>
      <xdr:rowOff>83820</xdr:rowOff>
    </xdr:to>
    <xdr:sp macro="" textlink="">
      <xdr:nvSpPr>
        <xdr:cNvPr id="1219838" name="Line 23"/>
        <xdr:cNvSpPr/>
      </xdr:nvSpPr>
      <xdr:spPr>
        <a:xfrm>
          <a:off x="6355080" y="6320790"/>
          <a:ext cx="0" cy="784860"/>
        </a:xfrm>
        <a:prstGeom prst="line">
          <a:avLst/>
        </a:prstGeom>
        <a:ln w="9525" cap="flat" cmpd="sng">
          <a:solidFill>
            <a:srgbClr val="00FF00"/>
          </a:solidFill>
          <a:prstDash val="solid"/>
          <a:round/>
          <a:headEnd type="none" w="med" len="med"/>
          <a:tailEnd type="none" w="med" len="med"/>
        </a:ln>
      </xdr:spPr>
    </xdr:sp>
    <xdr:clientData/>
  </xdr:twoCellAnchor>
  <xdr:twoCellAnchor>
    <xdr:from>
      <xdr:col>10</xdr:col>
      <xdr:colOff>213360</xdr:colOff>
      <xdr:row>28</xdr:row>
      <xdr:rowOff>121920</xdr:rowOff>
    </xdr:from>
    <xdr:to>
      <xdr:col>10</xdr:col>
      <xdr:colOff>213360</xdr:colOff>
      <xdr:row>32</xdr:row>
      <xdr:rowOff>83820</xdr:rowOff>
    </xdr:to>
    <xdr:sp macro="" textlink="">
      <xdr:nvSpPr>
        <xdr:cNvPr id="1219839" name="Line 24"/>
        <xdr:cNvSpPr/>
      </xdr:nvSpPr>
      <xdr:spPr>
        <a:xfrm>
          <a:off x="6492240" y="6320790"/>
          <a:ext cx="0" cy="784860"/>
        </a:xfrm>
        <a:prstGeom prst="line">
          <a:avLst/>
        </a:prstGeom>
        <a:ln w="9525" cap="flat" cmpd="sng">
          <a:solidFill>
            <a:srgbClr val="00FF00"/>
          </a:solidFill>
          <a:prstDash val="solid"/>
          <a:round/>
          <a:headEnd type="none" w="med" len="med"/>
          <a:tailEnd type="none" w="med" len="med"/>
        </a:ln>
      </xdr:spPr>
    </xdr:sp>
    <xdr:clientData/>
  </xdr:twoCellAnchor>
  <xdr:twoCellAnchor>
    <xdr:from>
      <xdr:col>3</xdr:col>
      <xdr:colOff>1188085</xdr:colOff>
      <xdr:row>32</xdr:row>
      <xdr:rowOff>0</xdr:rowOff>
    </xdr:from>
    <xdr:to>
      <xdr:col>3</xdr:col>
      <xdr:colOff>1188085</xdr:colOff>
      <xdr:row>32</xdr:row>
      <xdr:rowOff>0</xdr:rowOff>
    </xdr:to>
    <xdr:cxnSp macro="">
      <xdr:nvCxnSpPr>
        <xdr:cNvPr id="1219840" name="AutoShape 25"/>
        <xdr:cNvCxnSpPr/>
      </xdr:nvCxnSpPr>
      <xdr:spPr>
        <a:xfrm>
          <a:off x="1188085" y="7021830"/>
          <a:ext cx="0" cy="0"/>
        </a:xfrm>
        <a:prstGeom prst="straightConnector1">
          <a:avLst/>
        </a:prstGeom>
        <a:ln w="9525" cap="flat" cmpd="sng">
          <a:solidFill>
            <a:srgbClr val="000000"/>
          </a:solidFill>
          <a:prstDash val="solid"/>
          <a:round/>
          <a:headEnd type="triangle" w="med" len="med"/>
          <a:tailEnd type="triangle" w="med" len="med"/>
        </a:ln>
      </xdr:spPr>
    </xdr:cxnSp>
    <xdr:clientData/>
  </xdr:twoCellAnchor>
  <xdr:twoCellAnchor>
    <xdr:from>
      <xdr:col>4</xdr:col>
      <xdr:colOff>479425</xdr:colOff>
      <xdr:row>28</xdr:row>
      <xdr:rowOff>0</xdr:rowOff>
    </xdr:from>
    <xdr:to>
      <xdr:col>6</xdr:col>
      <xdr:colOff>694055</xdr:colOff>
      <xdr:row>36</xdr:row>
      <xdr:rowOff>183515</xdr:rowOff>
    </xdr:to>
    <xdr:cxnSp macro="">
      <xdr:nvCxnSpPr>
        <xdr:cNvPr id="1219841" name="AutoShape 26"/>
        <xdr:cNvCxnSpPr/>
      </xdr:nvCxnSpPr>
      <xdr:spPr>
        <a:xfrm>
          <a:off x="1744345" y="6198870"/>
          <a:ext cx="1670050" cy="1829435"/>
        </a:xfrm>
        <a:prstGeom prst="straightConnector1">
          <a:avLst/>
        </a:prstGeom>
        <a:ln w="9525" cap="flat" cmpd="sng">
          <a:solidFill>
            <a:srgbClr val="00FF00"/>
          </a:solidFill>
          <a:prstDash val="solid"/>
          <a:round/>
          <a:headEnd type="triangle" w="med" len="med"/>
          <a:tailEnd type="triangle" w="med" len="med"/>
        </a:ln>
      </xdr:spPr>
    </xdr:cxnSp>
    <xdr:clientData fLocksWithSheet="0"/>
  </xdr:twoCellAnchor>
  <xdr:twoCellAnchor>
    <xdr:from>
      <xdr:col>4</xdr:col>
      <xdr:colOff>243840</xdr:colOff>
      <xdr:row>31</xdr:row>
      <xdr:rowOff>114300</xdr:rowOff>
    </xdr:from>
    <xdr:to>
      <xdr:col>7</xdr:col>
      <xdr:colOff>38100</xdr:colOff>
      <xdr:row>33</xdr:row>
      <xdr:rowOff>83820</xdr:rowOff>
    </xdr:to>
    <xdr:cxnSp macro="">
      <xdr:nvCxnSpPr>
        <xdr:cNvPr id="1219842" name="AutoShape 27"/>
        <xdr:cNvCxnSpPr/>
      </xdr:nvCxnSpPr>
      <xdr:spPr>
        <a:xfrm>
          <a:off x="1508760" y="6930390"/>
          <a:ext cx="2164080" cy="381000"/>
        </a:xfrm>
        <a:prstGeom prst="straightConnector1">
          <a:avLst/>
        </a:prstGeom>
        <a:ln w="9525" cap="flat" cmpd="sng">
          <a:solidFill>
            <a:srgbClr val="00FF00"/>
          </a:solidFill>
          <a:prstDash val="solid"/>
          <a:round/>
          <a:headEnd type="triangle" w="med" len="med"/>
          <a:tailEnd type="triangle" w="med" len="med"/>
        </a:ln>
      </xdr:spPr>
    </xdr:cxnSp>
    <xdr:clientData/>
  </xdr:twoCellAnchor>
  <xdr:twoCellAnchor>
    <xdr:from>
      <xdr:col>4</xdr:col>
      <xdr:colOff>290195</xdr:colOff>
      <xdr:row>29</xdr:row>
      <xdr:rowOff>190500</xdr:rowOff>
    </xdr:from>
    <xdr:to>
      <xdr:col>6</xdr:col>
      <xdr:colOff>868680</xdr:colOff>
      <xdr:row>34</xdr:row>
      <xdr:rowOff>198755</xdr:rowOff>
    </xdr:to>
    <xdr:cxnSp macro="">
      <xdr:nvCxnSpPr>
        <xdr:cNvPr id="1219843" name="AutoShape 29"/>
        <xdr:cNvCxnSpPr/>
      </xdr:nvCxnSpPr>
      <xdr:spPr>
        <a:xfrm>
          <a:off x="1555115" y="6595110"/>
          <a:ext cx="2033905" cy="1036955"/>
        </a:xfrm>
        <a:prstGeom prst="straightConnector1">
          <a:avLst/>
        </a:prstGeom>
        <a:ln w="9525" cap="flat" cmpd="sng">
          <a:solidFill>
            <a:srgbClr val="00FF00"/>
          </a:solidFill>
          <a:prstDash val="solid"/>
          <a:round/>
          <a:headEnd type="triangle" w="med" len="med"/>
          <a:tailEnd type="triangle" w="med" len="med"/>
        </a:ln>
      </xdr:spPr>
    </xdr:cxnSp>
    <xdr:clientData/>
  </xdr:twoCellAnchor>
  <xdr:twoCellAnchor>
    <xdr:from>
      <xdr:col>3</xdr:col>
      <xdr:colOff>914400</xdr:colOff>
      <xdr:row>27</xdr:row>
      <xdr:rowOff>6985</xdr:rowOff>
    </xdr:from>
    <xdr:to>
      <xdr:col>4</xdr:col>
      <xdr:colOff>266700</xdr:colOff>
      <xdr:row>27</xdr:row>
      <xdr:rowOff>6985</xdr:rowOff>
    </xdr:to>
    <xdr:sp macro="" textlink="">
      <xdr:nvSpPr>
        <xdr:cNvPr id="1219844" name="Line 30"/>
        <xdr:cNvSpPr/>
      </xdr:nvSpPr>
      <xdr:spPr>
        <a:xfrm>
          <a:off x="914400" y="6000115"/>
          <a:ext cx="617220"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4</xdr:col>
      <xdr:colOff>46355</xdr:colOff>
      <xdr:row>29</xdr:row>
      <xdr:rowOff>76200</xdr:rowOff>
    </xdr:from>
    <xdr:to>
      <xdr:col>4</xdr:col>
      <xdr:colOff>312420</xdr:colOff>
      <xdr:row>29</xdr:row>
      <xdr:rowOff>198755</xdr:rowOff>
    </xdr:to>
    <xdr:sp macro="" textlink="">
      <xdr:nvSpPr>
        <xdr:cNvPr id="1219845" name="Line 31"/>
        <xdr:cNvSpPr/>
      </xdr:nvSpPr>
      <xdr:spPr>
        <a:xfrm>
          <a:off x="1311275" y="6480810"/>
          <a:ext cx="266065" cy="122555"/>
        </a:xfrm>
        <a:prstGeom prst="line">
          <a:avLst/>
        </a:prstGeom>
        <a:ln w="9525" cap="flat" cmpd="sng">
          <a:solidFill>
            <a:srgbClr val="00FF00"/>
          </a:solidFill>
          <a:prstDash val="solid"/>
          <a:round/>
          <a:headEnd type="none" w="med" len="med"/>
          <a:tailEnd type="none" w="med" len="med"/>
        </a:ln>
      </xdr:spPr>
    </xdr:sp>
    <xdr:clientData/>
  </xdr:twoCellAnchor>
  <xdr:twoCellAnchor>
    <xdr:from>
      <xdr:col>3</xdr:col>
      <xdr:colOff>1204595</xdr:colOff>
      <xdr:row>31</xdr:row>
      <xdr:rowOff>83820</xdr:rowOff>
    </xdr:from>
    <xdr:to>
      <xdr:col>4</xdr:col>
      <xdr:colOff>259715</xdr:colOff>
      <xdr:row>31</xdr:row>
      <xdr:rowOff>137160</xdr:rowOff>
    </xdr:to>
    <xdr:sp macro="" textlink="">
      <xdr:nvSpPr>
        <xdr:cNvPr id="1219846" name="Line 32"/>
        <xdr:cNvSpPr/>
      </xdr:nvSpPr>
      <xdr:spPr>
        <a:xfrm>
          <a:off x="1204595" y="6899910"/>
          <a:ext cx="320040" cy="53340"/>
        </a:xfrm>
        <a:prstGeom prst="line">
          <a:avLst/>
        </a:prstGeom>
        <a:ln w="9525" cap="flat" cmpd="sng">
          <a:solidFill>
            <a:srgbClr val="00FF00"/>
          </a:solidFill>
          <a:prstDash val="solid"/>
          <a:round/>
          <a:headEnd type="none" w="med" len="med"/>
          <a:tailEnd type="none" w="med" len="med"/>
        </a:ln>
      </xdr:spPr>
    </xdr:sp>
    <xdr:clientData/>
  </xdr:twoCellAnchor>
  <xdr:twoCellAnchor>
    <xdr:from>
      <xdr:col>4</xdr:col>
      <xdr:colOff>266700</xdr:colOff>
      <xdr:row>27</xdr:row>
      <xdr:rowOff>6985</xdr:rowOff>
    </xdr:from>
    <xdr:to>
      <xdr:col>4</xdr:col>
      <xdr:colOff>487680</xdr:colOff>
      <xdr:row>28</xdr:row>
      <xdr:rowOff>6985</xdr:rowOff>
    </xdr:to>
    <xdr:sp macro="" textlink="">
      <xdr:nvSpPr>
        <xdr:cNvPr id="1219847" name="Line 33"/>
        <xdr:cNvSpPr/>
      </xdr:nvSpPr>
      <xdr:spPr>
        <a:xfrm>
          <a:off x="1531620" y="6000115"/>
          <a:ext cx="220980" cy="205740"/>
        </a:xfrm>
        <a:prstGeom prst="line">
          <a:avLst/>
        </a:prstGeom>
        <a:ln w="9525" cap="flat" cmpd="sng">
          <a:solidFill>
            <a:srgbClr val="00FF00"/>
          </a:solidFill>
          <a:prstDash val="solid"/>
          <a:round/>
          <a:headEnd type="none" w="med" len="med"/>
          <a:tailEnd type="none" w="med" len="med"/>
        </a:ln>
      </xdr:spPr>
    </xdr:sp>
    <xdr:clientData/>
  </xdr:twoCellAnchor>
  <xdr:twoCellAnchor>
    <xdr:from>
      <xdr:col>15</xdr:col>
      <xdr:colOff>160655</xdr:colOff>
      <xdr:row>27</xdr:row>
      <xdr:rowOff>158750</xdr:rowOff>
    </xdr:from>
    <xdr:to>
      <xdr:col>15</xdr:col>
      <xdr:colOff>508000</xdr:colOff>
      <xdr:row>28</xdr:row>
      <xdr:rowOff>171041</xdr:rowOff>
    </xdr:to>
    <xdr:sp macro="" textlink="">
      <xdr:nvSpPr>
        <xdr:cNvPr id="4" name="Rectangle 34"/>
        <xdr:cNvSpPr/>
      </xdr:nvSpPr>
      <xdr:spPr>
        <a:xfrm>
          <a:off x="9434195" y="6151880"/>
          <a:ext cx="347345" cy="217805"/>
        </a:xfrm>
        <a:prstGeom prst="rect">
          <a:avLst/>
        </a:prstGeom>
        <a:noFill/>
        <a:ln w="9525">
          <a:noFill/>
          <a:miter/>
        </a:ln>
      </xdr:spPr>
      <xdr:txBody>
        <a:bodyPr vertOverflow="clip" vert="horz" wrap="square" lIns="27432" tIns="18288" rIns="27432"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r>
            <a:rPr lang="zh-CN" altLang="en-US" sz="1200">
              <a:solidFill>
                <a:srgbClr val="000000"/>
              </a:solidFill>
              <a:latin typeface="Times New Roman" panose="02020603050405020304" charset="0"/>
              <a:ea typeface="Times New Roman" panose="02020603050405020304" charset="0"/>
              <a:cs typeface="Times New Roman" panose="02020603050405020304" charset="0"/>
              <a:sym typeface="Times New Roman" panose="02020603050405020304" charset="0"/>
            </a:rPr>
            <a:t>D2</a:t>
          </a:r>
        </a:p>
      </xdr:txBody>
    </xdr:sp>
    <xdr:clientData/>
  </xdr:twoCellAnchor>
  <xdr:twoCellAnchor>
    <xdr:from>
      <xdr:col>3</xdr:col>
      <xdr:colOff>921385</xdr:colOff>
      <xdr:row>29</xdr:row>
      <xdr:rowOff>76200</xdr:rowOff>
    </xdr:from>
    <xdr:to>
      <xdr:col>4</xdr:col>
      <xdr:colOff>60960</xdr:colOff>
      <xdr:row>29</xdr:row>
      <xdr:rowOff>76200</xdr:rowOff>
    </xdr:to>
    <xdr:sp macro="" textlink="">
      <xdr:nvSpPr>
        <xdr:cNvPr id="1219849" name="Line 35"/>
        <xdr:cNvSpPr/>
      </xdr:nvSpPr>
      <xdr:spPr>
        <a:xfrm>
          <a:off x="921385" y="6480810"/>
          <a:ext cx="404495"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3</xdr:col>
      <xdr:colOff>921385</xdr:colOff>
      <xdr:row>31</xdr:row>
      <xdr:rowOff>83820</xdr:rowOff>
    </xdr:from>
    <xdr:to>
      <xdr:col>3</xdr:col>
      <xdr:colOff>1241425</xdr:colOff>
      <xdr:row>31</xdr:row>
      <xdr:rowOff>83820</xdr:rowOff>
    </xdr:to>
    <xdr:sp macro="" textlink="">
      <xdr:nvSpPr>
        <xdr:cNvPr id="1219850" name="Line 36"/>
        <xdr:cNvSpPr/>
      </xdr:nvSpPr>
      <xdr:spPr>
        <a:xfrm>
          <a:off x="921385" y="6899910"/>
          <a:ext cx="320040"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7</xdr:col>
      <xdr:colOff>426085</xdr:colOff>
      <xdr:row>29</xdr:row>
      <xdr:rowOff>190500</xdr:rowOff>
    </xdr:from>
    <xdr:to>
      <xdr:col>7</xdr:col>
      <xdr:colOff>746760</xdr:colOff>
      <xdr:row>29</xdr:row>
      <xdr:rowOff>190500</xdr:rowOff>
    </xdr:to>
    <xdr:sp macro="" textlink="">
      <xdr:nvSpPr>
        <xdr:cNvPr id="1219851" name="Line 37"/>
        <xdr:cNvSpPr/>
      </xdr:nvSpPr>
      <xdr:spPr>
        <a:xfrm>
          <a:off x="4060825" y="6595110"/>
          <a:ext cx="320675"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11</xdr:col>
      <xdr:colOff>129540</xdr:colOff>
      <xdr:row>31</xdr:row>
      <xdr:rowOff>0</xdr:rowOff>
    </xdr:from>
    <xdr:to>
      <xdr:col>12</xdr:col>
      <xdr:colOff>15240</xdr:colOff>
      <xdr:row>31</xdr:row>
      <xdr:rowOff>0</xdr:rowOff>
    </xdr:to>
    <xdr:sp macro="" textlink="">
      <xdr:nvSpPr>
        <xdr:cNvPr id="1219852" name="Line 38"/>
        <xdr:cNvSpPr/>
      </xdr:nvSpPr>
      <xdr:spPr>
        <a:xfrm>
          <a:off x="6964680" y="6816090"/>
          <a:ext cx="495300"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3</xdr:col>
      <xdr:colOff>1058545</xdr:colOff>
      <xdr:row>32</xdr:row>
      <xdr:rowOff>30480</xdr:rowOff>
    </xdr:from>
    <xdr:to>
      <xdr:col>4</xdr:col>
      <xdr:colOff>114300</xdr:colOff>
      <xdr:row>32</xdr:row>
      <xdr:rowOff>30480</xdr:rowOff>
    </xdr:to>
    <xdr:sp macro="" textlink="">
      <xdr:nvSpPr>
        <xdr:cNvPr id="1219853" name="Line 39"/>
        <xdr:cNvSpPr/>
      </xdr:nvSpPr>
      <xdr:spPr>
        <a:xfrm>
          <a:off x="1058545" y="7052310"/>
          <a:ext cx="320675" cy="0"/>
        </a:xfrm>
        <a:prstGeom prst="line">
          <a:avLst/>
        </a:prstGeom>
        <a:ln w="9525" cap="flat" cmpd="sng">
          <a:solidFill>
            <a:srgbClr val="00FF00"/>
          </a:solidFill>
          <a:prstDash val="solid"/>
          <a:round/>
          <a:headEnd type="none" w="med" len="med"/>
          <a:tailEnd type="none" w="med" len="med"/>
        </a:ln>
      </xdr:spPr>
    </xdr:sp>
    <xdr:clientData/>
  </xdr:twoCellAnchor>
  <xdr:twoCellAnchor>
    <xdr:from>
      <xdr:col>9</xdr:col>
      <xdr:colOff>601980</xdr:colOff>
      <xdr:row>29</xdr:row>
      <xdr:rowOff>190500</xdr:rowOff>
    </xdr:from>
    <xdr:to>
      <xdr:col>10</xdr:col>
      <xdr:colOff>15240</xdr:colOff>
      <xdr:row>29</xdr:row>
      <xdr:rowOff>190500</xdr:rowOff>
    </xdr:to>
    <xdr:sp macro="" textlink="">
      <xdr:nvSpPr>
        <xdr:cNvPr id="1219854" name="Line 40"/>
        <xdr:cNvSpPr/>
      </xdr:nvSpPr>
      <xdr:spPr>
        <a:xfrm>
          <a:off x="6057900" y="6595110"/>
          <a:ext cx="236220" cy="0"/>
        </a:xfrm>
        <a:prstGeom prst="line">
          <a:avLst/>
        </a:prstGeom>
        <a:ln w="9525" cap="flat" cmpd="sng">
          <a:solidFill>
            <a:srgbClr val="00FF00"/>
          </a:solidFill>
          <a:prstDash val="solid"/>
          <a:round/>
          <a:headEnd type="none" w="med" len="med"/>
          <a:tailEnd type="triangle" w="med" len="med"/>
        </a:ln>
      </xdr:spPr>
    </xdr:sp>
    <xdr:clientData/>
  </xdr:twoCellAnchor>
  <mc:AlternateContent xmlns:mc="http://schemas.openxmlformats.org/markup-compatibility/2006">
    <mc:Choice xmlns:a14="http://schemas.microsoft.com/office/drawing/2010/main" Requires="a14">
      <xdr:twoCellAnchor editAs="oneCell">
        <xdr:from>
          <xdr:col>3</xdr:col>
          <xdr:colOff>114300</xdr:colOff>
          <xdr:row>43</xdr:row>
          <xdr:rowOff>57150</xdr:rowOff>
        </xdr:from>
        <xdr:to>
          <xdr:col>13</xdr:col>
          <xdr:colOff>152400</xdr:colOff>
          <xdr:row>71</xdr:row>
          <xdr:rowOff>47625</xdr:rowOff>
        </xdr:to>
        <xdr:sp macro="" textlink="">
          <xdr:nvSpPr>
            <xdr:cNvPr id="1219585" name="Picture 8" hidden="1">
              <a:extLst>
                <a:ext uri="{63B3BB69-23CF-44E3-9099-C40C66FF867C}">
                  <a14:compatExt spid="_x0000_s1219585"/>
                </a:ext>
              </a:extLst>
            </xdr:cNvPr>
            <xdr:cNvSpPr/>
          </xdr:nvSpPr>
          <xdr:spPr>
            <a:xfrm>
              <a:off x="0" y="0"/>
              <a:ext cx="0" cy="0"/>
            </a:xfrm>
            <a:prstGeom prst="rect">
              <a:avLst/>
            </a:prstGeom>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xdr:twoCellAnchor editAs="oneCell">
    <xdr:from>
      <xdr:col>11</xdr:col>
      <xdr:colOff>329565</xdr:colOff>
      <xdr:row>10</xdr:row>
      <xdr:rowOff>61595</xdr:rowOff>
    </xdr:from>
    <xdr:to>
      <xdr:col>16</xdr:col>
      <xdr:colOff>492156</xdr:colOff>
      <xdr:row>22</xdr:row>
      <xdr:rowOff>300990</xdr:rowOff>
    </xdr:to>
    <xdr:pic>
      <xdr:nvPicPr>
        <xdr:cNvPr id="2" name="图片 1" descr="QQ图片20150917123509"/>
        <xdr:cNvPicPr>
          <a:picLocks noChangeAspect="1"/>
        </xdr:cNvPicPr>
      </xdr:nvPicPr>
      <xdr:blipFill>
        <a:blip xmlns:r="http://schemas.openxmlformats.org/officeDocument/2006/relationships" r:embed="rId1" cstate="print"/>
        <a:stretch>
          <a:fillRect/>
        </a:stretch>
      </xdr:blipFill>
      <xdr:spPr>
        <a:xfrm>
          <a:off x="10098405" y="3490595"/>
          <a:ext cx="4109720" cy="3986530"/>
        </a:xfrm>
        <a:prstGeom prst="rect">
          <a:avLst/>
        </a:prstGeom>
        <a:effectLst>
          <a:softEdge rad="63500"/>
        </a:effectLst>
        <a:scene3d>
          <a:camera prst="orthographicFront"/>
          <a:lightRig rig="threePt" dir="t"/>
        </a:scene3d>
        <a:sp3d prstMaterial="dkEdge"/>
      </xdr:spPr>
    </xdr:pic>
    <xdr:clientData/>
  </xdr:twoCellAnchor>
  <xdr:twoCellAnchor>
    <xdr:from>
      <xdr:col>5</xdr:col>
      <xdr:colOff>198120</xdr:colOff>
      <xdr:row>2</xdr:row>
      <xdr:rowOff>107315</xdr:rowOff>
    </xdr:from>
    <xdr:to>
      <xdr:col>9</xdr:col>
      <xdr:colOff>1386205</xdr:colOff>
      <xdr:row>10</xdr:row>
      <xdr:rowOff>259715</xdr:rowOff>
    </xdr:to>
    <xdr:pic>
      <xdr:nvPicPr>
        <xdr:cNvPr id="1221661" name="图片 3"/>
        <xdr:cNvPicPr>
          <a:picLocks noChangeAspect="1"/>
        </xdr:cNvPicPr>
      </xdr:nvPicPr>
      <xdr:blipFill>
        <a:blip xmlns:r="http://schemas.openxmlformats.org/officeDocument/2006/relationships" r:embed="rId2" cstate="print"/>
        <a:stretch>
          <a:fillRect/>
        </a:stretch>
      </xdr:blipFill>
      <xdr:spPr>
        <a:xfrm>
          <a:off x="4914900" y="1097915"/>
          <a:ext cx="3969385" cy="2590800"/>
        </a:xfrm>
        <a:prstGeom prst="rect">
          <a:avLst/>
        </a:prstGeom>
        <a:noFill/>
        <a:ln w="9525">
          <a:noFill/>
        </a:ln>
      </xdr:spPr>
    </xdr:pic>
    <xdr:clientData/>
  </xdr:twoCellAnchor>
  <xdr:twoCellAnchor editAs="oneCell">
    <xdr:from>
      <xdr:col>0</xdr:col>
      <xdr:colOff>7620</xdr:colOff>
      <xdr:row>71</xdr:row>
      <xdr:rowOff>0</xdr:rowOff>
    </xdr:from>
    <xdr:to>
      <xdr:col>9</xdr:col>
      <xdr:colOff>1371600</xdr:colOff>
      <xdr:row>134</xdr:row>
      <xdr:rowOff>122555</xdr:rowOff>
    </xdr:to>
    <xdr:pic>
      <xdr:nvPicPr>
        <xdr:cNvPr id="1221662" name="图片 2" descr="兆奕分割器型錄20130222_页面_13"/>
        <xdr:cNvPicPr>
          <a:picLocks noChangeAspect="1"/>
        </xdr:cNvPicPr>
      </xdr:nvPicPr>
      <xdr:blipFill>
        <a:blip xmlns:r="http://schemas.openxmlformats.org/officeDocument/2006/relationships" r:embed="rId3" cstate="print"/>
        <a:stretch>
          <a:fillRect/>
        </a:stretch>
      </xdr:blipFill>
      <xdr:spPr>
        <a:xfrm>
          <a:off x="7620" y="16205835"/>
          <a:ext cx="8862060" cy="12604115"/>
        </a:xfrm>
        <a:prstGeom prst="rect">
          <a:avLst/>
        </a:prstGeom>
        <a:noFill/>
        <a:ln w="9525">
          <a:noFill/>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7</xdr:col>
      <xdr:colOff>144780</xdr:colOff>
      <xdr:row>66</xdr:row>
      <xdr:rowOff>76200</xdr:rowOff>
    </xdr:from>
    <xdr:to>
      <xdr:col>13</xdr:col>
      <xdr:colOff>617220</xdr:colOff>
      <xdr:row>91</xdr:row>
      <xdr:rowOff>175260</xdr:rowOff>
    </xdr:to>
    <xdr:pic>
      <xdr:nvPicPr>
        <xdr:cNvPr id="1222666" name="图片 17" descr="KNNN7GV7FW`7CACI@M1~D0V"/>
        <xdr:cNvPicPr>
          <a:picLocks noChangeAspect="1"/>
        </xdr:cNvPicPr>
      </xdr:nvPicPr>
      <xdr:blipFill>
        <a:blip xmlns:r="http://schemas.openxmlformats.org/officeDocument/2006/relationships" r:embed="rId1" cstate="print"/>
        <a:stretch>
          <a:fillRect/>
        </a:stretch>
      </xdr:blipFill>
      <xdr:spPr>
        <a:xfrm>
          <a:off x="5875020" y="16925925"/>
          <a:ext cx="5120640" cy="643318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1</xdr:col>
          <xdr:colOff>19050</xdr:colOff>
          <xdr:row>4</xdr:row>
          <xdr:rowOff>28575</xdr:rowOff>
        </xdr:from>
        <xdr:to>
          <xdr:col>1</xdr:col>
          <xdr:colOff>971550</xdr:colOff>
          <xdr:row>5</xdr:row>
          <xdr:rowOff>238125</xdr:rowOff>
        </xdr:to>
        <xdr:sp macro="" textlink="">
          <xdr:nvSpPr>
            <xdr:cNvPr id="1222657" name="公式 1" hidden="1">
              <a:extLst>
                <a:ext uri="{63B3BB69-23CF-44E3-9099-C40C66FF867C}">
                  <a14:compatExt spid="_x0000_s12226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638175</xdr:colOff>
          <xdr:row>18</xdr:row>
          <xdr:rowOff>228600</xdr:rowOff>
        </xdr:from>
        <xdr:to>
          <xdr:col>4</xdr:col>
          <xdr:colOff>600075</xdr:colOff>
          <xdr:row>20</xdr:row>
          <xdr:rowOff>104775</xdr:rowOff>
        </xdr:to>
        <xdr:sp macro="" textlink="">
          <xdr:nvSpPr>
            <xdr:cNvPr id="1222658" name="公式 2" hidden="1">
              <a:extLst>
                <a:ext uri="{63B3BB69-23CF-44E3-9099-C40C66FF867C}">
                  <a14:compatExt spid="_x0000_s1222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xdr:colOff>
          <xdr:row>52</xdr:row>
          <xdr:rowOff>28575</xdr:rowOff>
        </xdr:from>
        <xdr:to>
          <xdr:col>1</xdr:col>
          <xdr:colOff>895350</xdr:colOff>
          <xdr:row>53</xdr:row>
          <xdr:rowOff>171450</xdr:rowOff>
        </xdr:to>
        <xdr:sp macro="" textlink="">
          <xdr:nvSpPr>
            <xdr:cNvPr id="1222659" name="公式 10" hidden="1">
              <a:extLst>
                <a:ext uri="{63B3BB69-23CF-44E3-9099-C40C66FF867C}">
                  <a14:compatExt spid="_x0000_s1222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70</xdr:row>
          <xdr:rowOff>28575</xdr:rowOff>
        </xdr:from>
        <xdr:to>
          <xdr:col>6</xdr:col>
          <xdr:colOff>66675</xdr:colOff>
          <xdr:row>71</xdr:row>
          <xdr:rowOff>9525</xdr:rowOff>
        </xdr:to>
        <xdr:sp macro="" textlink="">
          <xdr:nvSpPr>
            <xdr:cNvPr id="1222660" name="图片 18" hidden="1">
              <a:extLst>
                <a:ext uri="{63B3BB69-23CF-44E3-9099-C40C66FF867C}">
                  <a14:compatExt spid="_x0000_s1222660"/>
                </a:ext>
              </a:extLst>
            </xdr:cNvPr>
            <xdr:cNvSpPr/>
          </xdr:nvSpPr>
          <xdr:spPr>
            <a:xfrm>
              <a:off x="0" y="0"/>
              <a:ext cx="0" cy="0"/>
            </a:xfrm>
            <a:prstGeom prst="rect">
              <a:avLst/>
            </a:prstGeom>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xdr:twoCellAnchor editAs="oneCell">
    <xdr:from>
      <xdr:col>8</xdr:col>
      <xdr:colOff>259080</xdr:colOff>
      <xdr:row>2</xdr:row>
      <xdr:rowOff>198120</xdr:rowOff>
    </xdr:from>
    <xdr:to>
      <xdr:col>12</xdr:col>
      <xdr:colOff>335280</xdr:colOff>
      <xdr:row>8</xdr:row>
      <xdr:rowOff>45720</xdr:rowOff>
    </xdr:to>
    <xdr:pic>
      <xdr:nvPicPr>
        <xdr:cNvPr id="1223699" name="Picture 1"/>
        <xdr:cNvPicPr>
          <a:picLocks noChangeAspect="1"/>
        </xdr:cNvPicPr>
      </xdr:nvPicPr>
      <xdr:blipFill>
        <a:blip xmlns:r="http://schemas.openxmlformats.org/officeDocument/2006/relationships" r:embed="rId1" cstate="print"/>
        <a:stretch>
          <a:fillRect/>
        </a:stretch>
      </xdr:blipFill>
      <xdr:spPr>
        <a:xfrm>
          <a:off x="6294120" y="811530"/>
          <a:ext cx="2819400" cy="1379220"/>
        </a:xfrm>
        <a:prstGeom prst="rect">
          <a:avLst/>
        </a:prstGeom>
        <a:noFill/>
        <a:ln w="9525">
          <a:noFill/>
        </a:ln>
      </xdr:spPr>
    </xdr:pic>
    <xdr:clientData/>
  </xdr:twoCellAnchor>
  <xdr:twoCellAnchor editAs="oneCell">
    <xdr:from>
      <xdr:col>1</xdr:col>
      <xdr:colOff>45720</xdr:colOff>
      <xdr:row>21</xdr:row>
      <xdr:rowOff>68580</xdr:rowOff>
    </xdr:from>
    <xdr:to>
      <xdr:col>8</xdr:col>
      <xdr:colOff>609600</xdr:colOff>
      <xdr:row>23</xdr:row>
      <xdr:rowOff>175260</xdr:rowOff>
    </xdr:to>
    <xdr:pic>
      <xdr:nvPicPr>
        <xdr:cNvPr id="1223700" name="Picture 3"/>
        <xdr:cNvPicPr>
          <a:picLocks noChangeAspect="1"/>
        </xdr:cNvPicPr>
      </xdr:nvPicPr>
      <xdr:blipFill>
        <a:blip xmlns:r="http://schemas.openxmlformats.org/officeDocument/2006/relationships" r:embed="rId2" cstate="print"/>
        <a:stretch>
          <a:fillRect/>
        </a:stretch>
      </xdr:blipFill>
      <xdr:spPr>
        <a:xfrm>
          <a:off x="731520" y="5532120"/>
          <a:ext cx="5913120" cy="617220"/>
        </a:xfrm>
        <a:prstGeom prst="rect">
          <a:avLst/>
        </a:prstGeom>
        <a:noFill/>
        <a:ln w="9525">
          <a:noFill/>
        </a:ln>
      </xdr:spPr>
    </xdr:pic>
    <xdr:clientData/>
  </xdr:twoCellAnchor>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95250</xdr:colOff>
          <xdr:row>10</xdr:row>
          <xdr:rowOff>57150</xdr:rowOff>
        </xdr:from>
        <xdr:to>
          <xdr:col>17</xdr:col>
          <xdr:colOff>666750</xdr:colOff>
          <xdr:row>23</xdr:row>
          <xdr:rowOff>57150</xdr:rowOff>
        </xdr:to>
        <xdr:sp macro="" textlink="">
          <xdr:nvSpPr>
            <xdr:cNvPr id="1224705" name="Picture 2" hidden="1">
              <a:extLst>
                <a:ext uri="{63B3BB69-23CF-44E3-9099-C40C66FF867C}">
                  <a14:compatExt spid="_x0000_s1224705"/>
                </a:ext>
              </a:extLst>
            </xdr:cNvPr>
            <xdr:cNvSpPr/>
          </xdr:nvSpPr>
          <xdr:spPr>
            <a:xfrm>
              <a:off x="0" y="0"/>
              <a:ext cx="0" cy="0"/>
            </a:xfrm>
            <a:prstGeom prst="rect">
              <a:avLst/>
            </a:prstGeom>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xdr:twoCellAnchor editAs="oneCell">
    <xdr:from>
      <xdr:col>2</xdr:col>
      <xdr:colOff>76200</xdr:colOff>
      <xdr:row>42</xdr:row>
      <xdr:rowOff>75565</xdr:rowOff>
    </xdr:from>
    <xdr:to>
      <xdr:col>2</xdr:col>
      <xdr:colOff>1181100</xdr:colOff>
      <xdr:row>42</xdr:row>
      <xdr:rowOff>410210</xdr:rowOff>
    </xdr:to>
    <xdr:pic>
      <xdr:nvPicPr>
        <xdr:cNvPr id="1225882" name="Picture 12" descr="J7[%F53G8Z]B%U@KLR0%ILR"/>
        <xdr:cNvPicPr>
          <a:picLocks noChangeAspect="1"/>
        </xdr:cNvPicPr>
      </xdr:nvPicPr>
      <xdr:blipFill>
        <a:blip xmlns:r="http://schemas.openxmlformats.org/officeDocument/2006/relationships" r:embed="rId1" cstate="print"/>
        <a:stretch>
          <a:fillRect/>
        </a:stretch>
      </xdr:blipFill>
      <xdr:spPr>
        <a:xfrm>
          <a:off x="3086100" y="10516870"/>
          <a:ext cx="1104900" cy="334645"/>
        </a:xfrm>
        <a:prstGeom prst="rect">
          <a:avLst/>
        </a:prstGeom>
        <a:noFill/>
        <a:ln w="9525">
          <a:noFill/>
        </a:ln>
      </xdr:spPr>
    </xdr:pic>
    <xdr:clientData/>
  </xdr:twoCellAnchor>
  <xdr:twoCellAnchor editAs="oneCell">
    <xdr:from>
      <xdr:col>1</xdr:col>
      <xdr:colOff>113665</xdr:colOff>
      <xdr:row>50</xdr:row>
      <xdr:rowOff>83820</xdr:rowOff>
    </xdr:from>
    <xdr:to>
      <xdr:col>2</xdr:col>
      <xdr:colOff>1219200</xdr:colOff>
      <xdr:row>55</xdr:row>
      <xdr:rowOff>60960</xdr:rowOff>
    </xdr:to>
    <xdr:pic>
      <xdr:nvPicPr>
        <xdr:cNvPr id="1225883" name="Picture 13" descr="DDX8EX2$U7JL1{%8MDZVCWE"/>
        <xdr:cNvPicPr>
          <a:picLocks noChangeAspect="1"/>
        </xdr:cNvPicPr>
      </xdr:nvPicPr>
      <xdr:blipFill>
        <a:blip xmlns:r="http://schemas.openxmlformats.org/officeDocument/2006/relationships" r:embed="rId2" cstate="print"/>
        <a:stretch>
          <a:fillRect/>
        </a:stretch>
      </xdr:blipFill>
      <xdr:spPr>
        <a:xfrm>
          <a:off x="799465" y="12407265"/>
          <a:ext cx="3429635" cy="967740"/>
        </a:xfrm>
        <a:prstGeom prst="rect">
          <a:avLst/>
        </a:prstGeom>
        <a:noFill/>
        <a:ln w="9525">
          <a:noFill/>
        </a:ln>
      </xdr:spPr>
    </xdr:pic>
    <xdr:clientData/>
  </xdr:twoCellAnchor>
  <xdr:twoCellAnchor>
    <xdr:from>
      <xdr:col>5</xdr:col>
      <xdr:colOff>327660</xdr:colOff>
      <xdr:row>12</xdr:row>
      <xdr:rowOff>83820</xdr:rowOff>
    </xdr:from>
    <xdr:to>
      <xdr:col>12</xdr:col>
      <xdr:colOff>106680</xdr:colOff>
      <xdr:row>18</xdr:row>
      <xdr:rowOff>0</xdr:rowOff>
    </xdr:to>
    <xdr:grpSp>
      <xdr:nvGrpSpPr>
        <xdr:cNvPr id="1225884" name="Group 26"/>
        <xdr:cNvGrpSpPr/>
      </xdr:nvGrpSpPr>
      <xdr:grpSpPr>
        <a:xfrm>
          <a:off x="6558131" y="2661173"/>
          <a:ext cx="2759784" cy="1193651"/>
          <a:chOff x="0" y="0"/>
          <a:chExt cx="328" cy="106"/>
        </a:xfrm>
      </xdr:grpSpPr>
      <xdr:sp macro="" textlink="">
        <xdr:nvSpPr>
          <xdr:cNvPr id="1225885" name="Line 17"/>
          <xdr:cNvSpPr/>
        </xdr:nvSpPr>
        <xdr:spPr>
          <a:xfrm flipV="1">
            <a:off x="44" y="30"/>
            <a:ext cx="37" cy="75"/>
          </a:xfrm>
          <a:prstGeom prst="line">
            <a:avLst/>
          </a:prstGeom>
          <a:ln w="9525" cap="flat" cmpd="sng">
            <a:solidFill>
              <a:srgbClr val="000000"/>
            </a:solidFill>
            <a:prstDash val="solid"/>
            <a:round/>
            <a:headEnd type="none" w="med" len="med"/>
            <a:tailEnd type="none" w="med" len="med"/>
          </a:ln>
        </xdr:spPr>
      </xdr:sp>
      <xdr:sp macro="" textlink="">
        <xdr:nvSpPr>
          <xdr:cNvPr id="1225886" name="Line 18"/>
          <xdr:cNvSpPr/>
        </xdr:nvSpPr>
        <xdr:spPr>
          <a:xfrm>
            <a:off x="81" y="30"/>
            <a:ext cx="114" cy="0"/>
          </a:xfrm>
          <a:prstGeom prst="line">
            <a:avLst/>
          </a:prstGeom>
          <a:ln w="9525" cap="flat" cmpd="sng">
            <a:solidFill>
              <a:srgbClr val="000000"/>
            </a:solidFill>
            <a:prstDash val="solid"/>
            <a:round/>
            <a:headEnd type="none" w="med" len="med"/>
            <a:tailEnd type="none" w="med" len="med"/>
          </a:ln>
        </xdr:spPr>
      </xdr:sp>
      <xdr:sp macro="" textlink="">
        <xdr:nvSpPr>
          <xdr:cNvPr id="1225887" name="Line 19"/>
          <xdr:cNvSpPr/>
        </xdr:nvSpPr>
        <xdr:spPr>
          <a:xfrm>
            <a:off x="196" y="30"/>
            <a:ext cx="37" cy="76"/>
          </a:xfrm>
          <a:prstGeom prst="line">
            <a:avLst/>
          </a:prstGeom>
          <a:ln w="9525" cap="flat" cmpd="sng">
            <a:solidFill>
              <a:srgbClr val="000000"/>
            </a:solidFill>
            <a:prstDash val="solid"/>
            <a:round/>
            <a:headEnd type="none" w="med" len="med"/>
            <a:tailEnd type="none" w="med" len="med"/>
          </a:ln>
        </xdr:spPr>
      </xdr:sp>
      <xdr:sp macro="" textlink="">
        <xdr:nvSpPr>
          <xdr:cNvPr id="1225888" name="Line 21"/>
          <xdr:cNvSpPr/>
        </xdr:nvSpPr>
        <xdr:spPr>
          <a:xfrm flipV="1">
            <a:off x="272" y="29"/>
            <a:ext cx="38" cy="76"/>
          </a:xfrm>
          <a:prstGeom prst="line">
            <a:avLst/>
          </a:prstGeom>
          <a:ln w="9525" cap="flat" cmpd="sng">
            <a:solidFill>
              <a:srgbClr val="000000"/>
            </a:solidFill>
            <a:prstDash val="solid"/>
            <a:round/>
            <a:headEnd type="none" w="med" len="med"/>
            <a:tailEnd type="none" w="med" len="med"/>
          </a:ln>
        </xdr:spPr>
      </xdr:sp>
      <xdr:sp macro="" textlink="">
        <xdr:nvSpPr>
          <xdr:cNvPr id="1225889" name="Line 22"/>
          <xdr:cNvSpPr/>
        </xdr:nvSpPr>
        <xdr:spPr>
          <a:xfrm>
            <a:off x="310" y="29"/>
            <a:ext cx="18" cy="0"/>
          </a:xfrm>
          <a:prstGeom prst="line">
            <a:avLst/>
          </a:prstGeom>
          <a:ln w="9525" cap="flat" cmpd="sng">
            <a:solidFill>
              <a:srgbClr val="000000"/>
            </a:solidFill>
            <a:prstDash val="solid"/>
            <a:round/>
            <a:headEnd type="none" w="med" len="med"/>
            <a:tailEnd type="none" w="med" len="med"/>
          </a:ln>
        </xdr:spPr>
      </xdr:sp>
      <xdr:sp macro="" textlink="">
        <xdr:nvSpPr>
          <xdr:cNvPr id="1225890" name="Line 23"/>
          <xdr:cNvSpPr/>
        </xdr:nvSpPr>
        <xdr:spPr>
          <a:xfrm flipH="1">
            <a:off x="4" y="30"/>
            <a:ext cx="77" cy="0"/>
          </a:xfrm>
          <a:prstGeom prst="line">
            <a:avLst/>
          </a:prstGeom>
          <a:ln w="9525" cap="flat" cmpd="sng">
            <a:solidFill>
              <a:srgbClr val="000000"/>
            </a:solidFill>
            <a:prstDash val="dash"/>
            <a:round/>
            <a:headEnd type="none" w="med" len="med"/>
            <a:tailEnd type="none" w="med" len="med"/>
          </a:ln>
        </xdr:spPr>
      </xdr:sp>
      <xdr:sp macro="" textlink="">
        <xdr:nvSpPr>
          <xdr:cNvPr id="1225891" name="Line 24"/>
          <xdr:cNvSpPr/>
        </xdr:nvSpPr>
        <xdr:spPr>
          <a:xfrm>
            <a:off x="0" y="106"/>
            <a:ext cx="327" cy="0"/>
          </a:xfrm>
          <a:prstGeom prst="line">
            <a:avLst/>
          </a:prstGeom>
          <a:ln w="9525" cap="flat" cmpd="sng">
            <a:solidFill>
              <a:srgbClr val="000000"/>
            </a:solidFill>
            <a:prstDash val="solid"/>
            <a:round/>
            <a:headEnd type="none" w="med" len="med"/>
            <a:tailEnd type="stealth" w="med" len="med"/>
          </a:ln>
        </xdr:spPr>
      </xdr:sp>
      <xdr:sp macro="" textlink="">
        <xdr:nvSpPr>
          <xdr:cNvPr id="1225892" name="Line 25"/>
          <xdr:cNvSpPr/>
        </xdr:nvSpPr>
        <xdr:spPr>
          <a:xfrm flipV="1">
            <a:off x="5" y="0"/>
            <a:ext cx="0" cy="106"/>
          </a:xfrm>
          <a:prstGeom prst="line">
            <a:avLst/>
          </a:prstGeom>
          <a:ln w="9525" cap="flat" cmpd="sng">
            <a:solidFill>
              <a:srgbClr val="000000"/>
            </a:solidFill>
            <a:prstDash val="solid"/>
            <a:round/>
            <a:headEnd type="none" w="med" len="med"/>
            <a:tailEnd type="stealth" w="med" len="med"/>
          </a:ln>
        </xdr:spPr>
      </xdr:sp>
    </xdr:grpSp>
    <xdr:clientData/>
  </xdr:twoCellAnchor>
  <xdr:twoCellAnchor editAs="oneCell">
    <xdr:from>
      <xdr:col>7</xdr:col>
      <xdr:colOff>121920</xdr:colOff>
      <xdr:row>42</xdr:row>
      <xdr:rowOff>487680</xdr:rowOff>
    </xdr:from>
    <xdr:to>
      <xdr:col>15</xdr:col>
      <xdr:colOff>266700</xdr:colOff>
      <xdr:row>71</xdr:row>
      <xdr:rowOff>122555</xdr:rowOff>
    </xdr:to>
    <xdr:pic>
      <xdr:nvPicPr>
        <xdr:cNvPr id="1225893" name="Picture 27" descr="[FS$)7%AMHH~)U0G}M02)PO"/>
        <xdr:cNvPicPr>
          <a:picLocks noChangeAspect="1"/>
        </xdr:cNvPicPr>
      </xdr:nvPicPr>
      <xdr:blipFill>
        <a:blip xmlns:r="http://schemas.openxmlformats.org/officeDocument/2006/relationships" r:embed="rId3" cstate="print"/>
        <a:stretch>
          <a:fillRect/>
        </a:stretch>
      </xdr:blipFill>
      <xdr:spPr>
        <a:xfrm>
          <a:off x="7056120" y="10928985"/>
          <a:ext cx="3497580" cy="5677535"/>
        </a:xfrm>
        <a:prstGeom prst="rect">
          <a:avLst/>
        </a:prstGeom>
        <a:noFill/>
        <a:ln w="9525">
          <a:noFill/>
        </a:ln>
      </xdr:spPr>
    </xdr:pic>
    <xdr:clientData/>
  </xdr:twoCellAnchor>
  <xdr:twoCellAnchor editAs="oneCell">
    <xdr:from>
      <xdr:col>2</xdr:col>
      <xdr:colOff>76200</xdr:colOff>
      <xdr:row>23</xdr:row>
      <xdr:rowOff>53975</xdr:rowOff>
    </xdr:from>
    <xdr:to>
      <xdr:col>2</xdr:col>
      <xdr:colOff>1226820</xdr:colOff>
      <xdr:row>23</xdr:row>
      <xdr:rowOff>510540</xdr:rowOff>
    </xdr:to>
    <xdr:pic>
      <xdr:nvPicPr>
        <xdr:cNvPr id="1225894" name="Picture 28" descr="USE@$XD@S8QYG66I%H7WMOW"/>
        <xdr:cNvPicPr>
          <a:picLocks noChangeAspect="1"/>
        </xdr:cNvPicPr>
      </xdr:nvPicPr>
      <xdr:blipFill>
        <a:blip xmlns:r="http://schemas.openxmlformats.org/officeDocument/2006/relationships" r:embed="rId4" cstate="print"/>
        <a:stretch>
          <a:fillRect/>
        </a:stretch>
      </xdr:blipFill>
      <xdr:spPr>
        <a:xfrm>
          <a:off x="3086100" y="4650740"/>
          <a:ext cx="1150620" cy="456565"/>
        </a:xfrm>
        <a:prstGeom prst="rect">
          <a:avLst/>
        </a:prstGeom>
        <a:noFill/>
        <a:ln w="9525">
          <a:noFill/>
        </a:ln>
      </xdr:spPr>
    </xdr:pic>
    <xdr:clientData/>
  </xdr:twoCellAnchor>
  <xdr:twoCellAnchor editAs="oneCell">
    <xdr:from>
      <xdr:col>2</xdr:col>
      <xdr:colOff>61595</xdr:colOff>
      <xdr:row>24</xdr:row>
      <xdr:rowOff>100330</xdr:rowOff>
    </xdr:from>
    <xdr:to>
      <xdr:col>2</xdr:col>
      <xdr:colOff>1204595</xdr:colOff>
      <xdr:row>24</xdr:row>
      <xdr:rowOff>450215</xdr:rowOff>
    </xdr:to>
    <xdr:pic>
      <xdr:nvPicPr>
        <xdr:cNvPr id="1225895" name="Picture 29" descr="GPVPPF4GG`}7}M33KHY19(8"/>
        <xdr:cNvPicPr>
          <a:picLocks noChangeAspect="1"/>
        </xdr:cNvPicPr>
      </xdr:nvPicPr>
      <xdr:blipFill>
        <a:blip xmlns:r="http://schemas.openxmlformats.org/officeDocument/2006/relationships" r:embed="rId5" cstate="print"/>
        <a:stretch>
          <a:fillRect/>
        </a:stretch>
      </xdr:blipFill>
      <xdr:spPr>
        <a:xfrm>
          <a:off x="3071495" y="5230495"/>
          <a:ext cx="1143000" cy="349885"/>
        </a:xfrm>
        <a:prstGeom prst="rect">
          <a:avLst/>
        </a:prstGeom>
        <a:noFill/>
        <a:ln w="9525">
          <a:noFill/>
        </a:ln>
      </xdr:spPr>
    </xdr:pic>
    <xdr:clientData/>
  </xdr:twoCellAnchor>
  <xdr:twoCellAnchor editAs="oneCell">
    <xdr:from>
      <xdr:col>2</xdr:col>
      <xdr:colOff>61595</xdr:colOff>
      <xdr:row>28</xdr:row>
      <xdr:rowOff>68580</xdr:rowOff>
    </xdr:from>
    <xdr:to>
      <xdr:col>2</xdr:col>
      <xdr:colOff>1211580</xdr:colOff>
      <xdr:row>28</xdr:row>
      <xdr:rowOff>366395</xdr:rowOff>
    </xdr:to>
    <xdr:pic>
      <xdr:nvPicPr>
        <xdr:cNvPr id="1225896" name="Picture 30" descr="K$)733W374PZ~}_T9B2{ART"/>
        <xdr:cNvPicPr>
          <a:picLocks noChangeAspect="1"/>
        </xdr:cNvPicPr>
      </xdr:nvPicPr>
      <xdr:blipFill>
        <a:blip xmlns:r="http://schemas.openxmlformats.org/officeDocument/2006/relationships" r:embed="rId6" cstate="print"/>
        <a:stretch>
          <a:fillRect/>
        </a:stretch>
      </xdr:blipFill>
      <xdr:spPr>
        <a:xfrm>
          <a:off x="3071495" y="6661785"/>
          <a:ext cx="1149985" cy="297815"/>
        </a:xfrm>
        <a:prstGeom prst="rect">
          <a:avLst/>
        </a:prstGeom>
        <a:noFill/>
        <a:ln w="9525">
          <a:noFill/>
        </a:ln>
      </xdr:spPr>
    </xdr:pic>
    <xdr:clientData/>
  </xdr:twoCellAnchor>
  <xdr:twoCellAnchor editAs="oneCell">
    <xdr:from>
      <xdr:col>2</xdr:col>
      <xdr:colOff>182880</xdr:colOff>
      <xdr:row>29</xdr:row>
      <xdr:rowOff>53340</xdr:rowOff>
    </xdr:from>
    <xdr:to>
      <xdr:col>2</xdr:col>
      <xdr:colOff>876935</xdr:colOff>
      <xdr:row>29</xdr:row>
      <xdr:rowOff>426085</xdr:rowOff>
    </xdr:to>
    <xdr:pic>
      <xdr:nvPicPr>
        <xdr:cNvPr id="1225897" name="Picture 31" descr="Y)$`D3`R~U3FQODR2M`F0~A"/>
        <xdr:cNvPicPr>
          <a:picLocks noChangeAspect="1"/>
        </xdr:cNvPicPr>
      </xdr:nvPicPr>
      <xdr:blipFill>
        <a:blip xmlns:r="http://schemas.openxmlformats.org/officeDocument/2006/relationships" r:embed="rId7" cstate="print"/>
        <a:stretch>
          <a:fillRect/>
        </a:stretch>
      </xdr:blipFill>
      <xdr:spPr>
        <a:xfrm>
          <a:off x="3192780" y="7084695"/>
          <a:ext cx="694055" cy="372745"/>
        </a:xfrm>
        <a:prstGeom prst="rect">
          <a:avLst/>
        </a:prstGeom>
        <a:noFill/>
        <a:ln w="9525">
          <a:noFill/>
        </a:ln>
      </xdr:spPr>
    </xdr:pic>
    <xdr:clientData/>
  </xdr:twoCellAnchor>
  <xdr:twoCellAnchor editAs="oneCell">
    <xdr:from>
      <xdr:col>6</xdr:col>
      <xdr:colOff>68580</xdr:colOff>
      <xdr:row>2</xdr:row>
      <xdr:rowOff>83820</xdr:rowOff>
    </xdr:from>
    <xdr:to>
      <xdr:col>10</xdr:col>
      <xdr:colOff>274320</xdr:colOff>
      <xdr:row>9</xdr:row>
      <xdr:rowOff>114300</xdr:rowOff>
    </xdr:to>
    <xdr:pic>
      <xdr:nvPicPr>
        <xdr:cNvPr id="1225898" name="Picture 32" descr="WH4_Z0Y3B@I~~(Q$ZP`UC9B"/>
        <xdr:cNvPicPr>
          <a:picLocks noChangeAspect="1"/>
        </xdr:cNvPicPr>
      </xdr:nvPicPr>
      <xdr:blipFill>
        <a:blip xmlns:r="http://schemas.openxmlformats.org/officeDocument/2006/relationships" r:embed="rId8" cstate="print"/>
        <a:stretch>
          <a:fillRect/>
        </a:stretch>
      </xdr:blipFill>
      <xdr:spPr>
        <a:xfrm>
          <a:off x="6667500" y="520065"/>
          <a:ext cx="2125980" cy="1417320"/>
        </a:xfrm>
        <a:prstGeom prst="rect">
          <a:avLst/>
        </a:prstGeom>
        <a:noFill/>
        <a:ln w="9525">
          <a:noFill/>
        </a:ln>
      </xdr:spPr>
    </xdr:pic>
    <xdr:clientData/>
  </xdr:twoCellAnchor>
</xdr:wsDr>
</file>

<file path=xl/drawings/drawing67.xml><?xml version="1.0" encoding="utf-8"?>
<xdr:wsDr xmlns:xdr="http://schemas.openxmlformats.org/drawingml/2006/spreadsheetDrawing" xmlns:a="http://schemas.openxmlformats.org/drawingml/2006/main">
  <xdr:twoCellAnchor>
    <xdr:from>
      <xdr:col>3</xdr:col>
      <xdr:colOff>8255</xdr:colOff>
      <xdr:row>5</xdr:row>
      <xdr:rowOff>15240</xdr:rowOff>
    </xdr:from>
    <xdr:to>
      <xdr:col>3</xdr:col>
      <xdr:colOff>1028065</xdr:colOff>
      <xdr:row>6</xdr:row>
      <xdr:rowOff>7620</xdr:rowOff>
    </xdr:to>
    <xdr:sp macro="" textlink="">
      <xdr:nvSpPr>
        <xdr:cNvPr id="1227849" name="Line 1"/>
        <xdr:cNvSpPr/>
      </xdr:nvSpPr>
      <xdr:spPr>
        <a:xfrm flipV="1">
          <a:off x="4031615" y="1369060"/>
          <a:ext cx="1019810" cy="21336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0</xdr:colOff>
      <xdr:row>5</xdr:row>
      <xdr:rowOff>15240</xdr:rowOff>
    </xdr:from>
    <xdr:to>
      <xdr:col>4</xdr:col>
      <xdr:colOff>1028065</xdr:colOff>
      <xdr:row>6</xdr:row>
      <xdr:rowOff>7620</xdr:rowOff>
    </xdr:to>
    <xdr:sp macro="" textlink="">
      <xdr:nvSpPr>
        <xdr:cNvPr id="1227850" name="Line 2"/>
        <xdr:cNvSpPr/>
      </xdr:nvSpPr>
      <xdr:spPr>
        <a:xfrm flipV="1">
          <a:off x="5059680" y="1369060"/>
          <a:ext cx="1028065" cy="21336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0</xdr:colOff>
      <xdr:row>6</xdr:row>
      <xdr:rowOff>15240</xdr:rowOff>
    </xdr:from>
    <xdr:to>
      <xdr:col>2</xdr:col>
      <xdr:colOff>1012825</xdr:colOff>
      <xdr:row>7</xdr:row>
      <xdr:rowOff>0</xdr:rowOff>
    </xdr:to>
    <xdr:sp macro="" textlink="">
      <xdr:nvSpPr>
        <xdr:cNvPr id="1227851" name="Line 3"/>
        <xdr:cNvSpPr/>
      </xdr:nvSpPr>
      <xdr:spPr>
        <a:xfrm flipV="1">
          <a:off x="2987040" y="1590040"/>
          <a:ext cx="1012825" cy="20574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8255</xdr:colOff>
      <xdr:row>7</xdr:row>
      <xdr:rowOff>15240</xdr:rowOff>
    </xdr:from>
    <xdr:to>
      <xdr:col>2</xdr:col>
      <xdr:colOff>1012825</xdr:colOff>
      <xdr:row>8</xdr:row>
      <xdr:rowOff>7620</xdr:rowOff>
    </xdr:to>
    <xdr:sp macro="" textlink="">
      <xdr:nvSpPr>
        <xdr:cNvPr id="1227852" name="Line 4"/>
        <xdr:cNvSpPr/>
      </xdr:nvSpPr>
      <xdr:spPr>
        <a:xfrm flipV="1">
          <a:off x="2995295" y="1811020"/>
          <a:ext cx="1004570" cy="213360"/>
        </a:xfrm>
        <a:prstGeom prst="line">
          <a:avLst/>
        </a:prstGeom>
        <a:ln w="9525" cap="flat" cmpd="sng">
          <a:solidFill>
            <a:srgbClr val="000000"/>
          </a:solidFill>
          <a:prstDash val="solid"/>
          <a:round/>
          <a:headEnd type="none" w="med" len="med"/>
          <a:tailEnd type="none" w="med" len="med"/>
        </a:ln>
      </xdr:spPr>
    </xdr:sp>
    <xdr:clientData/>
  </xdr:twoCellAnchor>
  <xdr:twoCellAnchor>
    <xdr:from>
      <xdr:col>2</xdr:col>
      <xdr:colOff>0</xdr:colOff>
      <xdr:row>8</xdr:row>
      <xdr:rowOff>15240</xdr:rowOff>
    </xdr:from>
    <xdr:to>
      <xdr:col>2</xdr:col>
      <xdr:colOff>1028065</xdr:colOff>
      <xdr:row>9</xdr:row>
      <xdr:rowOff>0</xdr:rowOff>
    </xdr:to>
    <xdr:sp macro="" textlink="">
      <xdr:nvSpPr>
        <xdr:cNvPr id="1227853" name="Line 5"/>
        <xdr:cNvSpPr/>
      </xdr:nvSpPr>
      <xdr:spPr>
        <a:xfrm flipV="1">
          <a:off x="2987040" y="2032000"/>
          <a:ext cx="1028065" cy="205740"/>
        </a:xfrm>
        <a:prstGeom prst="line">
          <a:avLst/>
        </a:prstGeom>
        <a:ln w="9525" cap="flat" cmpd="sng">
          <a:solidFill>
            <a:srgbClr val="000000"/>
          </a:solidFill>
          <a:prstDash val="solid"/>
          <a:round/>
          <a:headEnd type="none" w="med" len="med"/>
          <a:tailEnd type="none" w="med" len="med"/>
        </a:ln>
      </xdr:spPr>
    </xdr:sp>
    <xdr:clientData/>
  </xdr:twoCellAnchor>
  <xdr:twoCellAnchor>
    <xdr:from>
      <xdr:col>3</xdr:col>
      <xdr:colOff>23495</xdr:colOff>
      <xdr:row>17</xdr:row>
      <xdr:rowOff>7620</xdr:rowOff>
    </xdr:from>
    <xdr:to>
      <xdr:col>3</xdr:col>
      <xdr:colOff>1029335</xdr:colOff>
      <xdr:row>17</xdr:row>
      <xdr:rowOff>213360</xdr:rowOff>
    </xdr:to>
    <xdr:sp macro="" textlink="">
      <xdr:nvSpPr>
        <xdr:cNvPr id="1227854" name="Line 7"/>
        <xdr:cNvSpPr/>
      </xdr:nvSpPr>
      <xdr:spPr>
        <a:xfrm flipV="1">
          <a:off x="4046855" y="4013200"/>
          <a:ext cx="1005840" cy="205740"/>
        </a:xfrm>
        <a:prstGeom prst="line">
          <a:avLst/>
        </a:prstGeom>
        <a:ln w="9525" cap="flat" cmpd="sng">
          <a:solidFill>
            <a:srgbClr val="000000"/>
          </a:solidFill>
          <a:prstDash val="solid"/>
          <a:round/>
          <a:headEnd type="none" w="med" len="med"/>
          <a:tailEnd type="none" w="med" len="med"/>
        </a:ln>
      </xdr:spPr>
    </xdr:sp>
    <xdr:clientData/>
  </xdr:twoCellAnchor>
  <xdr:twoCellAnchor>
    <xdr:from>
      <xdr:col>4</xdr:col>
      <xdr:colOff>8255</xdr:colOff>
      <xdr:row>17</xdr:row>
      <xdr:rowOff>7620</xdr:rowOff>
    </xdr:from>
    <xdr:to>
      <xdr:col>5</xdr:col>
      <xdr:colOff>0</xdr:colOff>
      <xdr:row>18</xdr:row>
      <xdr:rowOff>0</xdr:rowOff>
    </xdr:to>
    <xdr:sp macro="" textlink="">
      <xdr:nvSpPr>
        <xdr:cNvPr id="1227855" name="Line 8"/>
        <xdr:cNvSpPr/>
      </xdr:nvSpPr>
      <xdr:spPr>
        <a:xfrm flipV="1">
          <a:off x="5067935" y="4013200"/>
          <a:ext cx="1028065" cy="213360"/>
        </a:xfrm>
        <a:prstGeom prst="line">
          <a:avLst/>
        </a:prstGeom>
        <a:ln w="9525" cap="flat" cmpd="sng">
          <a:solidFill>
            <a:srgbClr val="000000"/>
          </a:solidFill>
          <a:prstDash val="solid"/>
          <a:round/>
          <a:headEnd type="none" w="med" len="med"/>
          <a:tailEnd type="none" w="med" len="med"/>
        </a:ln>
      </xdr:spPr>
    </xdr:sp>
    <xdr:clientData/>
  </xdr:twoCellAnchor>
  <xdr:twoCellAnchor editAs="oneCell">
    <xdr:from>
      <xdr:col>0</xdr:col>
      <xdr:colOff>0</xdr:colOff>
      <xdr:row>28</xdr:row>
      <xdr:rowOff>152400</xdr:rowOff>
    </xdr:from>
    <xdr:to>
      <xdr:col>13</xdr:col>
      <xdr:colOff>259080</xdr:colOff>
      <xdr:row>57</xdr:row>
      <xdr:rowOff>152400</xdr:rowOff>
    </xdr:to>
    <xdr:pic>
      <xdr:nvPicPr>
        <xdr:cNvPr id="1227856" name="Picture 9" descr="标准齿轮"/>
        <xdr:cNvPicPr>
          <a:picLocks noChangeAspect="1"/>
        </xdr:cNvPicPr>
      </xdr:nvPicPr>
      <xdr:blipFill>
        <a:blip xmlns:r="http://schemas.openxmlformats.org/officeDocument/2006/relationships" r:embed="rId1" cstate="print"/>
        <a:stretch>
          <a:fillRect/>
        </a:stretch>
      </xdr:blipFill>
      <xdr:spPr>
        <a:xfrm>
          <a:off x="0" y="6565900"/>
          <a:ext cx="11841480" cy="5745480"/>
        </a:xfrm>
        <a:prstGeom prst="rect">
          <a:avLst/>
        </a:prstGeom>
        <a:noFill/>
        <a:ln w="9525">
          <a:noFill/>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38100</xdr:colOff>
      <xdr:row>30</xdr:row>
      <xdr:rowOff>0</xdr:rowOff>
    </xdr:from>
    <xdr:to>
      <xdr:col>8</xdr:col>
      <xdr:colOff>670560</xdr:colOff>
      <xdr:row>50</xdr:row>
      <xdr:rowOff>106680</xdr:rowOff>
    </xdr:to>
    <xdr:pic>
      <xdr:nvPicPr>
        <xdr:cNvPr id="1228810" name="Picture 1" descr="齿轮齿条"/>
        <xdr:cNvPicPr>
          <a:picLocks noChangeAspect="1"/>
        </xdr:cNvPicPr>
      </xdr:nvPicPr>
      <xdr:blipFill>
        <a:blip xmlns:r="http://schemas.openxmlformats.org/officeDocument/2006/relationships" r:embed="rId1" cstate="print"/>
        <a:stretch>
          <a:fillRect/>
        </a:stretch>
      </xdr:blipFill>
      <xdr:spPr>
        <a:xfrm>
          <a:off x="723900" y="6581775"/>
          <a:ext cx="6492240" cy="4069080"/>
        </a:xfrm>
        <a:prstGeom prst="rect">
          <a:avLst/>
        </a:prstGeom>
        <a:noFill/>
        <a:ln w="9525">
          <a:noFill/>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0</xdr:colOff>
      <xdr:row>36</xdr:row>
      <xdr:rowOff>220980</xdr:rowOff>
    </xdr:from>
    <xdr:to>
      <xdr:col>10</xdr:col>
      <xdr:colOff>76200</xdr:colOff>
      <xdr:row>59</xdr:row>
      <xdr:rowOff>76200</xdr:rowOff>
    </xdr:to>
    <xdr:pic>
      <xdr:nvPicPr>
        <xdr:cNvPr id="1229834" name="Picture 1" descr="蜗轮蜗杆"/>
        <xdr:cNvPicPr>
          <a:picLocks noChangeAspect="1"/>
        </xdr:cNvPicPr>
      </xdr:nvPicPr>
      <xdr:blipFill>
        <a:blip xmlns:r="http://schemas.openxmlformats.org/officeDocument/2006/relationships" r:embed="rId1" cstate="print"/>
        <a:stretch>
          <a:fillRect/>
        </a:stretch>
      </xdr:blipFill>
      <xdr:spPr>
        <a:xfrm>
          <a:off x="0" y="10264140"/>
          <a:ext cx="12199620" cy="4937760"/>
        </a:xfrm>
        <a:prstGeom prst="rect">
          <a:avLst/>
        </a:prstGeom>
        <a:noFill/>
        <a:ln w="9525">
          <a:noFill/>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5</xdr:col>
      <xdr:colOff>30480</xdr:colOff>
      <xdr:row>0</xdr:row>
      <xdr:rowOff>14605</xdr:rowOff>
    </xdr:from>
    <xdr:to>
      <xdr:col>10</xdr:col>
      <xdr:colOff>327660</xdr:colOff>
      <xdr:row>5</xdr:row>
      <xdr:rowOff>205740</xdr:rowOff>
    </xdr:to>
    <xdr:pic>
      <xdr:nvPicPr>
        <xdr:cNvPr id="1230858" name="图片 1" descr="26a78812a438de78aedadb715649946c"/>
        <xdr:cNvPicPr>
          <a:picLocks noChangeAspect="1"/>
        </xdr:cNvPicPr>
      </xdr:nvPicPr>
      <xdr:blipFill>
        <a:blip xmlns:r="http://schemas.openxmlformats.org/officeDocument/2006/relationships" r:embed="rId1" cstate="print"/>
        <a:stretch>
          <a:fillRect/>
        </a:stretch>
      </xdr:blipFill>
      <xdr:spPr>
        <a:xfrm>
          <a:off x="5638800" y="14605"/>
          <a:ext cx="3726180" cy="2021840"/>
        </a:xfrm>
        <a:prstGeom prst="rect">
          <a:avLst/>
        </a:prstGeom>
        <a:noFill/>
        <a:ln w="9525">
          <a:noFill/>
        </a:ln>
      </xdr:spPr>
    </xdr:pic>
    <xdr:clientData/>
  </xdr:twoCellAnchor>
</xdr:wsDr>
</file>

<file path=xl/drawings/drawing71.xml><?xml version="1.0" encoding="utf-8"?>
<xdr:wsDr xmlns:xdr="http://schemas.openxmlformats.org/drawingml/2006/spreadsheetDrawing" xmlns:a="http://schemas.openxmlformats.org/drawingml/2006/main">
  <xdr:twoCellAnchor>
    <xdr:from>
      <xdr:col>1</xdr:col>
      <xdr:colOff>7620</xdr:colOff>
      <xdr:row>3</xdr:row>
      <xdr:rowOff>0</xdr:rowOff>
    </xdr:from>
    <xdr:to>
      <xdr:col>1</xdr:col>
      <xdr:colOff>434340</xdr:colOff>
      <xdr:row>3</xdr:row>
      <xdr:rowOff>0</xdr:rowOff>
    </xdr:to>
    <xdr:sp macro="" textlink="">
      <xdr:nvSpPr>
        <xdr:cNvPr id="1231900" name="Line 1"/>
        <xdr:cNvSpPr/>
      </xdr:nvSpPr>
      <xdr:spPr>
        <a:xfrm>
          <a:off x="693420" y="784860"/>
          <a:ext cx="426720" cy="0"/>
        </a:xfrm>
        <a:prstGeom prst="line">
          <a:avLst/>
        </a:prstGeom>
        <a:ln w="19050" cap="flat" cmpd="sng">
          <a:solidFill>
            <a:srgbClr val="FF0000"/>
          </a:solidFill>
          <a:prstDash val="solid"/>
          <a:round/>
          <a:headEnd type="none" w="med" len="med"/>
          <a:tailEnd type="none" w="med" len="med"/>
        </a:ln>
      </xdr:spPr>
    </xdr:sp>
    <xdr:clientData/>
  </xdr:twoCellAnchor>
  <xdr:twoCellAnchor>
    <xdr:from>
      <xdr:col>9</xdr:col>
      <xdr:colOff>8255</xdr:colOff>
      <xdr:row>3</xdr:row>
      <xdr:rowOff>0</xdr:rowOff>
    </xdr:from>
    <xdr:to>
      <xdr:col>10</xdr:col>
      <xdr:colOff>0</xdr:colOff>
      <xdr:row>3</xdr:row>
      <xdr:rowOff>0</xdr:rowOff>
    </xdr:to>
    <xdr:sp macro="" textlink="">
      <xdr:nvSpPr>
        <xdr:cNvPr id="1231901" name="Line 3"/>
        <xdr:cNvSpPr/>
      </xdr:nvSpPr>
      <xdr:spPr>
        <a:xfrm flipV="1">
          <a:off x="6050915" y="784860"/>
          <a:ext cx="807085" cy="0"/>
        </a:xfrm>
        <a:prstGeom prst="line">
          <a:avLst/>
        </a:prstGeom>
        <a:ln w="19050" cap="flat" cmpd="sng">
          <a:solidFill>
            <a:srgbClr val="FF0000"/>
          </a:solidFill>
          <a:prstDash val="solid"/>
          <a:round/>
          <a:headEnd type="none" w="med" len="med"/>
          <a:tailEnd type="none" w="med" len="med"/>
        </a:ln>
      </xdr:spPr>
    </xdr:sp>
    <xdr:clientData/>
  </xdr:twoCellAnchor>
  <xdr:twoCellAnchor>
    <xdr:from>
      <xdr:col>11</xdr:col>
      <xdr:colOff>427355</xdr:colOff>
      <xdr:row>5</xdr:row>
      <xdr:rowOff>76200</xdr:rowOff>
    </xdr:from>
    <xdr:to>
      <xdr:col>12</xdr:col>
      <xdr:colOff>121920</xdr:colOff>
      <xdr:row>5</xdr:row>
      <xdr:rowOff>76200</xdr:rowOff>
    </xdr:to>
    <xdr:sp macro="" textlink="">
      <xdr:nvSpPr>
        <xdr:cNvPr id="1231902" name="Line 4"/>
        <xdr:cNvSpPr/>
      </xdr:nvSpPr>
      <xdr:spPr>
        <a:xfrm>
          <a:off x="7971155" y="1379220"/>
          <a:ext cx="1020445" cy="0"/>
        </a:xfrm>
        <a:prstGeom prst="line">
          <a:avLst/>
        </a:prstGeom>
        <a:ln w="19050" cap="flat" cmpd="sng">
          <a:solidFill>
            <a:srgbClr val="FF0000"/>
          </a:solidFill>
          <a:prstDash val="solid"/>
          <a:round/>
          <a:headEnd type="none" w="med" len="med"/>
          <a:tailEnd type="none" w="med" len="med"/>
        </a:ln>
      </xdr:spPr>
    </xdr:sp>
    <xdr:clientData/>
  </xdr:twoCellAnchor>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609600</xdr:colOff>
          <xdr:row>5</xdr:row>
          <xdr:rowOff>76200</xdr:rowOff>
        </xdr:from>
        <xdr:to>
          <xdr:col>5</xdr:col>
          <xdr:colOff>9525</xdr:colOff>
          <xdr:row>17</xdr:row>
          <xdr:rowOff>47625</xdr:rowOff>
        </xdr:to>
        <xdr:sp macro="" textlink="">
          <xdr:nvSpPr>
            <xdr:cNvPr id="1232897" name="Picture 1" hidden="1">
              <a:extLst>
                <a:ext uri="{63B3BB69-23CF-44E3-9099-C40C66FF867C}">
                  <a14:compatExt spid="_x0000_s1232897"/>
                </a:ext>
              </a:extLst>
            </xdr:cNvPr>
            <xdr:cNvSpPr/>
          </xdr:nvSpPr>
          <xdr:spPr>
            <a:xfrm>
              <a:off x="0" y="0"/>
              <a:ext cx="0" cy="0"/>
            </a:xfrm>
            <a:prstGeom prst="rect">
              <a:avLst/>
            </a:prstGeom>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xdr:twoCellAnchor editAs="oneCell">
    <xdr:from>
      <xdr:col>5</xdr:col>
      <xdr:colOff>464820</xdr:colOff>
      <xdr:row>20</xdr:row>
      <xdr:rowOff>38100</xdr:rowOff>
    </xdr:from>
    <xdr:to>
      <xdr:col>10</xdr:col>
      <xdr:colOff>289560</xdr:colOff>
      <xdr:row>24</xdr:row>
      <xdr:rowOff>144780</xdr:rowOff>
    </xdr:to>
    <xdr:pic>
      <xdr:nvPicPr>
        <xdr:cNvPr id="1235017" name="Picture 1026"/>
        <xdr:cNvPicPr>
          <a:picLocks noChangeAspect="1"/>
        </xdr:cNvPicPr>
      </xdr:nvPicPr>
      <xdr:blipFill>
        <a:blip xmlns:r="http://schemas.openxmlformats.org/officeDocument/2006/relationships" r:embed="rId1" cstate="print"/>
        <a:stretch>
          <a:fillRect/>
        </a:stretch>
      </xdr:blipFill>
      <xdr:spPr>
        <a:xfrm>
          <a:off x="4160520" y="4526280"/>
          <a:ext cx="3253740" cy="899160"/>
        </a:xfrm>
        <a:prstGeom prst="rect">
          <a:avLst/>
        </a:prstGeom>
        <a:noFill/>
        <a:ln w="9525">
          <a:noFill/>
        </a:ln>
      </xdr:spPr>
    </xdr:pic>
    <xdr:clientData/>
  </xdr:twoCellAnchor>
  <xdr:twoCellAnchor editAs="oneCell">
    <xdr:from>
      <xdr:col>5</xdr:col>
      <xdr:colOff>579120</xdr:colOff>
      <xdr:row>29</xdr:row>
      <xdr:rowOff>160020</xdr:rowOff>
    </xdr:from>
    <xdr:to>
      <xdr:col>7</xdr:col>
      <xdr:colOff>220980</xdr:colOff>
      <xdr:row>37</xdr:row>
      <xdr:rowOff>106680</xdr:rowOff>
    </xdr:to>
    <xdr:pic>
      <xdr:nvPicPr>
        <xdr:cNvPr id="1235018" name="Picture 1030"/>
        <xdr:cNvPicPr>
          <a:picLocks noChangeAspect="1"/>
        </xdr:cNvPicPr>
      </xdr:nvPicPr>
      <xdr:blipFill>
        <a:blip xmlns:r="http://schemas.openxmlformats.org/officeDocument/2006/relationships" r:embed="rId2" cstate="print"/>
        <a:stretch>
          <a:fillRect/>
        </a:stretch>
      </xdr:blipFill>
      <xdr:spPr>
        <a:xfrm>
          <a:off x="4274820" y="6431280"/>
          <a:ext cx="1013460" cy="1531620"/>
        </a:xfrm>
        <a:prstGeom prst="rect">
          <a:avLst/>
        </a:prstGeom>
        <a:noFill/>
        <a:ln w="9525">
          <a:noFill/>
        </a:ln>
      </xdr:spPr>
    </xdr:pic>
    <xdr:clientData/>
  </xdr:twoCellAnchor>
  <xdr:twoCellAnchor editAs="oneCell">
    <xdr:from>
      <xdr:col>6</xdr:col>
      <xdr:colOff>7620</xdr:colOff>
      <xdr:row>41</xdr:row>
      <xdr:rowOff>75565</xdr:rowOff>
    </xdr:from>
    <xdr:to>
      <xdr:col>12</xdr:col>
      <xdr:colOff>45720</xdr:colOff>
      <xdr:row>47</xdr:row>
      <xdr:rowOff>0</xdr:rowOff>
    </xdr:to>
    <xdr:pic>
      <xdr:nvPicPr>
        <xdr:cNvPr id="1235019" name="Picture 1032"/>
        <xdr:cNvPicPr>
          <a:picLocks noChangeAspect="1"/>
        </xdr:cNvPicPr>
      </xdr:nvPicPr>
      <xdr:blipFill>
        <a:blip xmlns:r="http://schemas.openxmlformats.org/officeDocument/2006/relationships" r:embed="rId3" cstate="print"/>
        <a:stretch>
          <a:fillRect/>
        </a:stretch>
      </xdr:blipFill>
      <xdr:spPr>
        <a:xfrm>
          <a:off x="4389120" y="8724265"/>
          <a:ext cx="4152900" cy="1113155"/>
        </a:xfrm>
        <a:prstGeom prst="rect">
          <a:avLst/>
        </a:prstGeom>
        <a:noFill/>
        <a:ln w="9525">
          <a:noFill/>
        </a:ln>
      </xdr:spPr>
    </xdr:pic>
    <xdr:clientData/>
  </xdr:twoCellAnchor>
  <xdr:twoCellAnchor editAs="oneCell">
    <xdr:from>
      <xdr:col>6</xdr:col>
      <xdr:colOff>0</xdr:colOff>
      <xdr:row>53</xdr:row>
      <xdr:rowOff>0</xdr:rowOff>
    </xdr:from>
    <xdr:to>
      <xdr:col>8</xdr:col>
      <xdr:colOff>449580</xdr:colOff>
      <xdr:row>59</xdr:row>
      <xdr:rowOff>106680</xdr:rowOff>
    </xdr:to>
    <xdr:pic>
      <xdr:nvPicPr>
        <xdr:cNvPr id="1235020" name="Picture 1034"/>
        <xdr:cNvPicPr>
          <a:picLocks noChangeAspect="1"/>
        </xdr:cNvPicPr>
      </xdr:nvPicPr>
      <xdr:blipFill>
        <a:blip xmlns:r="http://schemas.openxmlformats.org/officeDocument/2006/relationships" r:embed="rId4" cstate="print"/>
        <a:stretch>
          <a:fillRect/>
        </a:stretch>
      </xdr:blipFill>
      <xdr:spPr>
        <a:xfrm>
          <a:off x="4381500" y="11026140"/>
          <a:ext cx="1821180" cy="1295400"/>
        </a:xfrm>
        <a:prstGeom prst="rect">
          <a:avLst/>
        </a:prstGeom>
        <a:noFill/>
        <a:ln w="9525">
          <a:noFill/>
        </a:ln>
      </xdr:spPr>
    </xdr:pic>
    <xdr:clientData/>
  </xdr:twoCellAnchor>
  <xdr:twoCellAnchor editAs="oneCell">
    <xdr:from>
      <xdr:col>5</xdr:col>
      <xdr:colOff>579120</xdr:colOff>
      <xdr:row>29</xdr:row>
      <xdr:rowOff>160020</xdr:rowOff>
    </xdr:from>
    <xdr:to>
      <xdr:col>7</xdr:col>
      <xdr:colOff>220980</xdr:colOff>
      <xdr:row>37</xdr:row>
      <xdr:rowOff>106680</xdr:rowOff>
    </xdr:to>
    <xdr:pic>
      <xdr:nvPicPr>
        <xdr:cNvPr id="1235021" name="Picture 1030"/>
        <xdr:cNvPicPr>
          <a:picLocks noChangeAspect="1"/>
        </xdr:cNvPicPr>
      </xdr:nvPicPr>
      <xdr:blipFill>
        <a:blip xmlns:r="http://schemas.openxmlformats.org/officeDocument/2006/relationships" r:embed="rId2" cstate="print"/>
        <a:stretch>
          <a:fillRect/>
        </a:stretch>
      </xdr:blipFill>
      <xdr:spPr>
        <a:xfrm>
          <a:off x="4274820" y="6431280"/>
          <a:ext cx="1013460" cy="1531620"/>
        </a:xfrm>
        <a:prstGeom prst="rect">
          <a:avLst/>
        </a:prstGeom>
        <a:noFill/>
        <a:ln w="9525">
          <a:noFill/>
        </a:ln>
      </xdr:spPr>
    </xdr:pic>
    <xdr:clientData/>
  </xdr:twoCellAnchor>
  <xdr:twoCellAnchor editAs="oneCell">
    <xdr:from>
      <xdr:col>6</xdr:col>
      <xdr:colOff>0</xdr:colOff>
      <xdr:row>53</xdr:row>
      <xdr:rowOff>0</xdr:rowOff>
    </xdr:from>
    <xdr:to>
      <xdr:col>8</xdr:col>
      <xdr:colOff>449580</xdr:colOff>
      <xdr:row>59</xdr:row>
      <xdr:rowOff>106680</xdr:rowOff>
    </xdr:to>
    <xdr:pic>
      <xdr:nvPicPr>
        <xdr:cNvPr id="1235022" name="Picture 1034"/>
        <xdr:cNvPicPr>
          <a:picLocks noChangeAspect="1"/>
        </xdr:cNvPicPr>
      </xdr:nvPicPr>
      <xdr:blipFill>
        <a:blip xmlns:r="http://schemas.openxmlformats.org/officeDocument/2006/relationships" r:embed="rId4" cstate="print"/>
        <a:stretch>
          <a:fillRect/>
        </a:stretch>
      </xdr:blipFill>
      <xdr:spPr>
        <a:xfrm>
          <a:off x="4381500" y="11026140"/>
          <a:ext cx="1821180" cy="1295400"/>
        </a:xfrm>
        <a:prstGeom prst="rect">
          <a:avLst/>
        </a:prstGeom>
        <a:noFill/>
        <a:ln w="9525">
          <a:noFill/>
        </a:ln>
      </xdr:spPr>
    </xdr:pic>
    <xdr:clientData/>
  </xdr:twoCellAnchor>
  <xdr:twoCellAnchor editAs="oneCell">
    <xdr:from>
      <xdr:col>5</xdr:col>
      <xdr:colOff>579120</xdr:colOff>
      <xdr:row>29</xdr:row>
      <xdr:rowOff>160020</xdr:rowOff>
    </xdr:from>
    <xdr:to>
      <xdr:col>7</xdr:col>
      <xdr:colOff>220980</xdr:colOff>
      <xdr:row>37</xdr:row>
      <xdr:rowOff>106680</xdr:rowOff>
    </xdr:to>
    <xdr:pic>
      <xdr:nvPicPr>
        <xdr:cNvPr id="1235023" name="Picture 1030"/>
        <xdr:cNvPicPr>
          <a:picLocks noChangeAspect="1"/>
        </xdr:cNvPicPr>
      </xdr:nvPicPr>
      <xdr:blipFill>
        <a:blip xmlns:r="http://schemas.openxmlformats.org/officeDocument/2006/relationships" r:embed="rId2" cstate="print"/>
        <a:stretch>
          <a:fillRect/>
        </a:stretch>
      </xdr:blipFill>
      <xdr:spPr>
        <a:xfrm>
          <a:off x="4274820" y="6431280"/>
          <a:ext cx="1013460" cy="1531620"/>
        </a:xfrm>
        <a:prstGeom prst="rect">
          <a:avLst/>
        </a:prstGeom>
        <a:noFill/>
        <a:ln w="9525">
          <a:noFill/>
        </a:ln>
      </xdr:spPr>
    </xdr:pic>
    <xdr:clientData/>
  </xdr:twoCellAnchor>
  <xdr:twoCellAnchor editAs="oneCell">
    <xdr:from>
      <xdr:col>6</xdr:col>
      <xdr:colOff>0</xdr:colOff>
      <xdr:row>53</xdr:row>
      <xdr:rowOff>0</xdr:rowOff>
    </xdr:from>
    <xdr:to>
      <xdr:col>8</xdr:col>
      <xdr:colOff>449580</xdr:colOff>
      <xdr:row>59</xdr:row>
      <xdr:rowOff>106680</xdr:rowOff>
    </xdr:to>
    <xdr:pic>
      <xdr:nvPicPr>
        <xdr:cNvPr id="1235024" name="Picture 1034"/>
        <xdr:cNvPicPr>
          <a:picLocks noChangeAspect="1"/>
        </xdr:cNvPicPr>
      </xdr:nvPicPr>
      <xdr:blipFill>
        <a:blip xmlns:r="http://schemas.openxmlformats.org/officeDocument/2006/relationships" r:embed="rId4" cstate="print"/>
        <a:stretch>
          <a:fillRect/>
        </a:stretch>
      </xdr:blipFill>
      <xdr:spPr>
        <a:xfrm>
          <a:off x="4381500" y="11026140"/>
          <a:ext cx="1821180" cy="129540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1</xdr:col>
          <xdr:colOff>0</xdr:colOff>
          <xdr:row>21</xdr:row>
          <xdr:rowOff>0</xdr:rowOff>
        </xdr:from>
        <xdr:to>
          <xdr:col>4</xdr:col>
          <xdr:colOff>228600</xdr:colOff>
          <xdr:row>23</xdr:row>
          <xdr:rowOff>171450</xdr:rowOff>
        </xdr:to>
        <xdr:sp macro="" textlink="">
          <xdr:nvSpPr>
            <xdr:cNvPr id="1234945" name="Picture 1028" hidden="1">
              <a:extLst>
                <a:ext uri="{63B3BB69-23CF-44E3-9099-C40C66FF867C}">
                  <a14:compatExt spid="_x0000_s12349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xdr:row>
          <xdr:rowOff>0</xdr:rowOff>
        </xdr:from>
        <xdr:to>
          <xdr:col>4</xdr:col>
          <xdr:colOff>209550</xdr:colOff>
          <xdr:row>26</xdr:row>
          <xdr:rowOff>57150</xdr:rowOff>
        </xdr:to>
        <xdr:sp macro="" textlink="">
          <xdr:nvSpPr>
            <xdr:cNvPr id="1234946" name="Picture 1029" hidden="1">
              <a:extLst>
                <a:ext uri="{63B3BB69-23CF-44E3-9099-C40C66FF867C}">
                  <a14:compatExt spid="_x0000_s12349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4</xdr:col>
          <xdr:colOff>123825</xdr:colOff>
          <xdr:row>36</xdr:row>
          <xdr:rowOff>47625</xdr:rowOff>
        </xdr:to>
        <xdr:sp macro="" textlink="">
          <xdr:nvSpPr>
            <xdr:cNvPr id="1234947" name="Picture 1031" hidden="1">
              <a:extLst>
                <a:ext uri="{63B3BB69-23CF-44E3-9099-C40C66FF867C}">
                  <a14:compatExt spid="_x0000_s12349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42</xdr:row>
          <xdr:rowOff>0</xdr:rowOff>
        </xdr:from>
        <xdr:to>
          <xdr:col>4</xdr:col>
          <xdr:colOff>542925</xdr:colOff>
          <xdr:row>46</xdr:row>
          <xdr:rowOff>152400</xdr:rowOff>
        </xdr:to>
        <xdr:sp macro="" textlink="">
          <xdr:nvSpPr>
            <xdr:cNvPr id="1234948" name="Picture 1033" hidden="1">
              <a:extLst>
                <a:ext uri="{63B3BB69-23CF-44E3-9099-C40C66FF867C}">
                  <a14:compatExt spid="_x0000_s1234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xdr:row>
          <xdr:rowOff>0</xdr:rowOff>
        </xdr:from>
        <xdr:to>
          <xdr:col>3</xdr:col>
          <xdr:colOff>114300</xdr:colOff>
          <xdr:row>55</xdr:row>
          <xdr:rowOff>171450</xdr:rowOff>
        </xdr:to>
        <xdr:sp macro="" textlink="">
          <xdr:nvSpPr>
            <xdr:cNvPr id="1234949" name="Picture 1035" hidden="1">
              <a:extLst>
                <a:ext uri="{63B3BB69-23CF-44E3-9099-C40C66FF867C}">
                  <a14:compatExt spid="_x0000_s1234949"/>
                </a:ext>
              </a:extLst>
            </xdr:cNvPr>
            <xdr:cNvSpPr/>
          </xdr:nvSpPr>
          <xdr:spPr>
            <a:xfrm>
              <a:off x="0" y="0"/>
              <a:ext cx="0" cy="0"/>
            </a:xfrm>
            <a:prstGeom prst="rect">
              <a:avLst/>
            </a:prstGeom>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xdr:twoCellAnchor editAs="oneCell">
    <xdr:from>
      <xdr:col>5</xdr:col>
      <xdr:colOff>685800</xdr:colOff>
      <xdr:row>11</xdr:row>
      <xdr:rowOff>23495</xdr:rowOff>
    </xdr:from>
    <xdr:to>
      <xdr:col>8</xdr:col>
      <xdr:colOff>502920</xdr:colOff>
      <xdr:row>19</xdr:row>
      <xdr:rowOff>83820</xdr:rowOff>
    </xdr:to>
    <xdr:pic>
      <xdr:nvPicPr>
        <xdr:cNvPr id="1236014" name="Picture 2"/>
        <xdr:cNvPicPr>
          <a:picLocks noChangeAspect="1"/>
        </xdr:cNvPicPr>
      </xdr:nvPicPr>
      <xdr:blipFill>
        <a:blip xmlns:r="http://schemas.openxmlformats.org/officeDocument/2006/relationships" r:embed="rId1" cstate="print"/>
        <a:stretch>
          <a:fillRect/>
        </a:stretch>
      </xdr:blipFill>
      <xdr:spPr>
        <a:xfrm>
          <a:off x="4884420" y="2717165"/>
          <a:ext cx="1874520" cy="1919605"/>
        </a:xfrm>
        <a:prstGeom prst="rect">
          <a:avLst/>
        </a:prstGeom>
        <a:noFill/>
        <a:ln w="9525">
          <a:noFill/>
        </a:ln>
      </xdr:spPr>
    </xdr:pic>
    <xdr:clientData/>
  </xdr:twoCellAnchor>
  <xdr:twoCellAnchor editAs="oneCell">
    <xdr:from>
      <xdr:col>5</xdr:col>
      <xdr:colOff>609600</xdr:colOff>
      <xdr:row>22</xdr:row>
      <xdr:rowOff>432435</xdr:rowOff>
    </xdr:from>
    <xdr:to>
      <xdr:col>7</xdr:col>
      <xdr:colOff>457200</xdr:colOff>
      <xdr:row>29</xdr:row>
      <xdr:rowOff>182880</xdr:rowOff>
    </xdr:to>
    <xdr:pic>
      <xdr:nvPicPr>
        <xdr:cNvPr id="1236015" name="Picture 5"/>
        <xdr:cNvPicPr>
          <a:picLocks noChangeAspect="1"/>
        </xdr:cNvPicPr>
      </xdr:nvPicPr>
      <xdr:blipFill>
        <a:blip xmlns:r="http://schemas.openxmlformats.org/officeDocument/2006/relationships" r:embed="rId2" cstate="print"/>
        <a:stretch>
          <a:fillRect/>
        </a:stretch>
      </xdr:blipFill>
      <xdr:spPr>
        <a:xfrm>
          <a:off x="4808220" y="5612130"/>
          <a:ext cx="1219200" cy="1478280"/>
        </a:xfrm>
        <a:prstGeom prst="rect">
          <a:avLst/>
        </a:prstGeom>
        <a:noFill/>
        <a:ln w="9525">
          <a:noFill/>
        </a:ln>
      </xdr:spPr>
    </xdr:pic>
    <xdr:clientData/>
  </xdr:twoCellAnchor>
  <xdr:twoCellAnchor editAs="oneCell">
    <xdr:from>
      <xdr:col>6</xdr:col>
      <xdr:colOff>198120</xdr:colOff>
      <xdr:row>34</xdr:row>
      <xdr:rowOff>75565</xdr:rowOff>
    </xdr:from>
    <xdr:to>
      <xdr:col>7</xdr:col>
      <xdr:colOff>594360</xdr:colOff>
      <xdr:row>41</xdr:row>
      <xdr:rowOff>15240</xdr:rowOff>
    </xdr:to>
    <xdr:pic>
      <xdr:nvPicPr>
        <xdr:cNvPr id="1236016" name="Picture 10"/>
        <xdr:cNvPicPr>
          <a:picLocks noChangeAspect="1"/>
        </xdr:cNvPicPr>
      </xdr:nvPicPr>
      <xdr:blipFill>
        <a:blip xmlns:r="http://schemas.openxmlformats.org/officeDocument/2006/relationships" r:embed="rId3" cstate="print"/>
        <a:stretch>
          <a:fillRect/>
        </a:stretch>
      </xdr:blipFill>
      <xdr:spPr>
        <a:xfrm>
          <a:off x="5082540" y="8175625"/>
          <a:ext cx="1082040" cy="1433195"/>
        </a:xfrm>
        <a:prstGeom prst="rect">
          <a:avLst/>
        </a:prstGeom>
        <a:noFill/>
        <a:ln w="9525">
          <a:noFill/>
        </a:ln>
      </xdr:spPr>
    </xdr:pic>
    <xdr:clientData/>
  </xdr:twoCellAnchor>
  <xdr:twoCellAnchor editAs="oneCell">
    <xdr:from>
      <xdr:col>6</xdr:col>
      <xdr:colOff>114300</xdr:colOff>
      <xdr:row>45</xdr:row>
      <xdr:rowOff>76200</xdr:rowOff>
    </xdr:from>
    <xdr:to>
      <xdr:col>7</xdr:col>
      <xdr:colOff>480060</xdr:colOff>
      <xdr:row>49</xdr:row>
      <xdr:rowOff>144780</xdr:rowOff>
    </xdr:to>
    <xdr:pic>
      <xdr:nvPicPr>
        <xdr:cNvPr id="1236017" name="Picture 8"/>
        <xdr:cNvPicPr>
          <a:picLocks noChangeAspect="1"/>
        </xdr:cNvPicPr>
      </xdr:nvPicPr>
      <xdr:blipFill>
        <a:blip xmlns:r="http://schemas.openxmlformats.org/officeDocument/2006/relationships" r:embed="rId4" cstate="print"/>
        <a:stretch>
          <a:fillRect/>
        </a:stretch>
      </xdr:blipFill>
      <xdr:spPr>
        <a:xfrm>
          <a:off x="4998720" y="10677525"/>
          <a:ext cx="1051560" cy="1350645"/>
        </a:xfrm>
        <a:prstGeom prst="rect">
          <a:avLst/>
        </a:prstGeom>
        <a:noFill/>
        <a:ln w="9525">
          <a:noFill/>
        </a:ln>
      </xdr:spPr>
    </xdr:pic>
    <xdr:clientData/>
  </xdr:twoCellAnchor>
  <xdr:twoCellAnchor editAs="oneCell">
    <xdr:from>
      <xdr:col>5</xdr:col>
      <xdr:colOff>31115</xdr:colOff>
      <xdr:row>63</xdr:row>
      <xdr:rowOff>129540</xdr:rowOff>
    </xdr:from>
    <xdr:to>
      <xdr:col>6</xdr:col>
      <xdr:colOff>213360</xdr:colOff>
      <xdr:row>69</xdr:row>
      <xdr:rowOff>114300</xdr:rowOff>
    </xdr:to>
    <xdr:pic>
      <xdr:nvPicPr>
        <xdr:cNvPr id="1236018" name="Picture 14"/>
        <xdr:cNvPicPr>
          <a:picLocks noChangeAspect="1"/>
        </xdr:cNvPicPr>
      </xdr:nvPicPr>
      <xdr:blipFill>
        <a:blip xmlns:r="http://schemas.openxmlformats.org/officeDocument/2006/relationships" r:embed="rId5" cstate="print"/>
        <a:stretch>
          <a:fillRect/>
        </a:stretch>
      </xdr:blipFill>
      <xdr:spPr>
        <a:xfrm>
          <a:off x="4229735" y="15506700"/>
          <a:ext cx="868045" cy="1510665"/>
        </a:xfrm>
        <a:prstGeom prst="rect">
          <a:avLst/>
        </a:prstGeom>
        <a:noFill/>
        <a:ln w="9525">
          <a:noFill/>
        </a:ln>
      </xdr:spPr>
    </xdr:pic>
    <xdr:clientData/>
  </xdr:twoCellAnchor>
  <xdr:twoCellAnchor editAs="oneCell">
    <xdr:from>
      <xdr:col>10</xdr:col>
      <xdr:colOff>0</xdr:colOff>
      <xdr:row>2</xdr:row>
      <xdr:rowOff>0</xdr:rowOff>
    </xdr:from>
    <xdr:to>
      <xdr:col>20</xdr:col>
      <xdr:colOff>525780</xdr:colOff>
      <xdr:row>31</xdr:row>
      <xdr:rowOff>32385</xdr:rowOff>
    </xdr:to>
    <xdr:pic>
      <xdr:nvPicPr>
        <xdr:cNvPr id="2" name="Picture 4"/>
        <xdr:cNvPicPr>
          <a:picLocks noChangeAspect="1"/>
        </xdr:cNvPicPr>
      </xdr:nvPicPr>
      <xdr:blipFill>
        <a:blip xmlns:r="http://schemas.openxmlformats.org/officeDocument/2006/relationships" r:embed="rId6" cstate="print"/>
        <a:stretch>
          <a:fillRect/>
        </a:stretch>
      </xdr:blipFill>
      <xdr:spPr>
        <a:xfrm>
          <a:off x="7627620" y="706755"/>
          <a:ext cx="7383780" cy="6629400"/>
        </a:xfrm>
        <a:prstGeom prst="rect">
          <a:avLst/>
        </a:prstGeom>
        <a:noFill/>
        <a:ln w="1">
          <a:noFill/>
        </a:ln>
      </xdr:spPr>
    </xdr:pic>
    <xdr:clientData/>
  </xdr:twoCellAnchor>
  <mc:AlternateContent xmlns:mc="http://schemas.openxmlformats.org/markup-compatibility/2006">
    <mc:Choice xmlns:a14="http://schemas.microsoft.com/office/drawing/2010/main" Requires="a14">
      <xdr:twoCellAnchor editAs="oneCell">
        <xdr:from>
          <xdr:col>4</xdr:col>
          <xdr:colOff>619125</xdr:colOff>
          <xdr:row>19</xdr:row>
          <xdr:rowOff>19050</xdr:rowOff>
        </xdr:from>
        <xdr:to>
          <xdr:col>9</xdr:col>
          <xdr:colOff>542925</xdr:colOff>
          <xdr:row>20</xdr:row>
          <xdr:rowOff>180975</xdr:rowOff>
        </xdr:to>
        <xdr:sp macro="" textlink="">
          <xdr:nvSpPr>
            <xdr:cNvPr id="1235969" name="Picture 18" hidden="1">
              <a:extLst>
                <a:ext uri="{63B3BB69-23CF-44E3-9099-C40C66FF867C}">
                  <a14:compatExt spid="_x0000_s12359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352425</xdr:colOff>
          <xdr:row>64</xdr:row>
          <xdr:rowOff>28575</xdr:rowOff>
        </xdr:from>
        <xdr:to>
          <xdr:col>7</xdr:col>
          <xdr:colOff>390525</xdr:colOff>
          <xdr:row>65</xdr:row>
          <xdr:rowOff>19050</xdr:rowOff>
        </xdr:to>
        <xdr:sp macro="" textlink="">
          <xdr:nvSpPr>
            <xdr:cNvPr id="1235970" name="Picture 20" hidden="1">
              <a:extLst>
                <a:ext uri="{63B3BB69-23CF-44E3-9099-C40C66FF867C}">
                  <a14:compatExt spid="_x0000_s12359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29</xdr:row>
          <xdr:rowOff>171450</xdr:rowOff>
        </xdr:from>
        <xdr:to>
          <xdr:col>8</xdr:col>
          <xdr:colOff>247650</xdr:colOff>
          <xdr:row>31</xdr:row>
          <xdr:rowOff>171450</xdr:rowOff>
        </xdr:to>
        <xdr:sp macro="" textlink="">
          <xdr:nvSpPr>
            <xdr:cNvPr id="1235971" name="Picture 21" hidden="1">
              <a:extLst>
                <a:ext uri="{63B3BB69-23CF-44E3-9099-C40C66FF867C}">
                  <a14:compatExt spid="_x0000_s12359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457200</xdr:colOff>
          <xdr:row>50</xdr:row>
          <xdr:rowOff>161925</xdr:rowOff>
        </xdr:from>
        <xdr:to>
          <xdr:col>7</xdr:col>
          <xdr:colOff>638175</xdr:colOff>
          <xdr:row>52</xdr:row>
          <xdr:rowOff>133350</xdr:rowOff>
        </xdr:to>
        <xdr:sp macro="" textlink="">
          <xdr:nvSpPr>
            <xdr:cNvPr id="1235972" name="Picture 22" hidden="1">
              <a:extLst>
                <a:ext uri="{63B3BB69-23CF-44E3-9099-C40C66FF867C}">
                  <a14:compatExt spid="_x0000_s12359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41</xdr:row>
          <xdr:rowOff>19050</xdr:rowOff>
        </xdr:from>
        <xdr:to>
          <xdr:col>8</xdr:col>
          <xdr:colOff>333375</xdr:colOff>
          <xdr:row>42</xdr:row>
          <xdr:rowOff>171450</xdr:rowOff>
        </xdr:to>
        <xdr:sp macro="" textlink="">
          <xdr:nvSpPr>
            <xdr:cNvPr id="1235973" name="Picture 23" hidden="1">
              <a:extLst>
                <a:ext uri="{63B3BB69-23CF-44E3-9099-C40C66FF867C}">
                  <a14:compatExt spid="_x0000_s12359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142875</xdr:colOff>
          <xdr:row>57</xdr:row>
          <xdr:rowOff>200025</xdr:rowOff>
        </xdr:from>
        <xdr:to>
          <xdr:col>6</xdr:col>
          <xdr:colOff>295275</xdr:colOff>
          <xdr:row>59</xdr:row>
          <xdr:rowOff>95250</xdr:rowOff>
        </xdr:to>
        <xdr:sp macro="" textlink="">
          <xdr:nvSpPr>
            <xdr:cNvPr id="1235974" name="Picture 27" hidden="1">
              <a:extLst>
                <a:ext uri="{63B3BB69-23CF-44E3-9099-C40C66FF867C}">
                  <a14:compatExt spid="_x0000_s12359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85725</xdr:colOff>
          <xdr:row>66</xdr:row>
          <xdr:rowOff>19050</xdr:rowOff>
        </xdr:from>
        <xdr:to>
          <xdr:col>3</xdr:col>
          <xdr:colOff>552450</xdr:colOff>
          <xdr:row>66</xdr:row>
          <xdr:rowOff>390525</xdr:rowOff>
        </xdr:to>
        <xdr:sp macro="" textlink="">
          <xdr:nvSpPr>
            <xdr:cNvPr id="1235975" name="Picture 28" hidden="1">
              <a:extLst>
                <a:ext uri="{63B3BB69-23CF-44E3-9099-C40C66FF867C}">
                  <a14:compatExt spid="_x0000_s1235975"/>
                </a:ext>
              </a:extLst>
            </xdr:cNvPr>
            <xdr:cNvSpPr/>
          </xdr:nvSpPr>
          <xdr:spPr>
            <a:xfrm>
              <a:off x="0" y="0"/>
              <a:ext cx="0" cy="0"/>
            </a:xfrm>
            <a:prstGeom prst="rect">
              <a:avLst/>
            </a:prstGeom>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xdr:twoCellAnchor editAs="oneCell">
    <xdr:from>
      <xdr:col>8</xdr:col>
      <xdr:colOff>190500</xdr:colOff>
      <xdr:row>22</xdr:row>
      <xdr:rowOff>75565</xdr:rowOff>
    </xdr:from>
    <xdr:to>
      <xdr:col>10</xdr:col>
      <xdr:colOff>342900</xdr:colOff>
      <xdr:row>27</xdr:row>
      <xdr:rowOff>144145</xdr:rowOff>
    </xdr:to>
    <xdr:pic>
      <xdr:nvPicPr>
        <xdr:cNvPr id="1237020" name="Picture 4"/>
        <xdr:cNvPicPr>
          <a:picLocks noChangeAspect="1"/>
        </xdr:cNvPicPr>
      </xdr:nvPicPr>
      <xdr:blipFill>
        <a:blip xmlns:r="http://schemas.openxmlformats.org/officeDocument/2006/relationships" r:embed="rId1" cstate="print"/>
        <a:stretch>
          <a:fillRect/>
        </a:stretch>
      </xdr:blipFill>
      <xdr:spPr>
        <a:xfrm>
          <a:off x="6370320" y="5203825"/>
          <a:ext cx="1524000" cy="1158240"/>
        </a:xfrm>
        <a:prstGeom prst="rect">
          <a:avLst/>
        </a:prstGeom>
        <a:noFill/>
        <a:ln w="9525">
          <a:noFill/>
        </a:ln>
      </xdr:spPr>
    </xdr:pic>
    <xdr:clientData/>
  </xdr:twoCellAnchor>
  <xdr:twoCellAnchor editAs="oneCell">
    <xdr:from>
      <xdr:col>7</xdr:col>
      <xdr:colOff>15240</xdr:colOff>
      <xdr:row>4</xdr:row>
      <xdr:rowOff>45720</xdr:rowOff>
    </xdr:from>
    <xdr:to>
      <xdr:col>10</xdr:col>
      <xdr:colOff>510540</xdr:colOff>
      <xdr:row>8</xdr:row>
      <xdr:rowOff>152400</xdr:rowOff>
    </xdr:to>
    <xdr:pic>
      <xdr:nvPicPr>
        <xdr:cNvPr id="1237021" name="Picture 23"/>
        <xdr:cNvPicPr>
          <a:picLocks noChangeAspect="1"/>
        </xdr:cNvPicPr>
      </xdr:nvPicPr>
      <xdr:blipFill>
        <a:blip xmlns:r="http://schemas.openxmlformats.org/officeDocument/2006/relationships" r:embed="rId2" cstate="print"/>
        <a:stretch>
          <a:fillRect/>
        </a:stretch>
      </xdr:blipFill>
      <xdr:spPr>
        <a:xfrm>
          <a:off x="5509260" y="1238250"/>
          <a:ext cx="2552700" cy="988695"/>
        </a:xfrm>
        <a:prstGeom prst="rect">
          <a:avLst/>
        </a:prstGeom>
        <a:noFill/>
        <a:ln w="9525">
          <a:noFill/>
        </a:ln>
      </xdr:spPr>
    </xdr:pic>
    <xdr:clientData/>
  </xdr:twoCellAnchor>
  <xdr:twoCellAnchor editAs="oneCell">
    <xdr:from>
      <xdr:col>7</xdr:col>
      <xdr:colOff>281940</xdr:colOff>
      <xdr:row>9</xdr:row>
      <xdr:rowOff>45720</xdr:rowOff>
    </xdr:from>
    <xdr:to>
      <xdr:col>10</xdr:col>
      <xdr:colOff>0</xdr:colOff>
      <xdr:row>14</xdr:row>
      <xdr:rowOff>122555</xdr:rowOff>
    </xdr:to>
    <xdr:pic>
      <xdr:nvPicPr>
        <xdr:cNvPr id="1237022" name="Picture 6"/>
        <xdr:cNvPicPr>
          <a:picLocks noChangeAspect="1"/>
        </xdr:cNvPicPr>
      </xdr:nvPicPr>
      <xdr:blipFill>
        <a:blip xmlns:r="http://schemas.openxmlformats.org/officeDocument/2006/relationships" r:embed="rId3" cstate="print"/>
        <a:stretch>
          <a:fillRect/>
        </a:stretch>
      </xdr:blipFill>
      <xdr:spPr>
        <a:xfrm>
          <a:off x="5775960" y="2318385"/>
          <a:ext cx="1775460" cy="126555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4</xdr:col>
          <xdr:colOff>133350</xdr:colOff>
          <xdr:row>31</xdr:row>
          <xdr:rowOff>66675</xdr:rowOff>
        </xdr:from>
        <xdr:to>
          <xdr:col>6</xdr:col>
          <xdr:colOff>200025</xdr:colOff>
          <xdr:row>31</xdr:row>
          <xdr:rowOff>276225</xdr:rowOff>
        </xdr:to>
        <xdr:sp macro="" textlink="">
          <xdr:nvSpPr>
            <xdr:cNvPr id="1236993" name="Picture 11" hidden="1">
              <a:extLst>
                <a:ext uri="{63B3BB69-23CF-44E3-9099-C40C66FF867C}">
                  <a14:compatExt spid="_x0000_s12369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34</xdr:row>
          <xdr:rowOff>0</xdr:rowOff>
        </xdr:from>
        <xdr:to>
          <xdr:col>4</xdr:col>
          <xdr:colOff>400050</xdr:colOff>
          <xdr:row>35</xdr:row>
          <xdr:rowOff>133350</xdr:rowOff>
        </xdr:to>
        <xdr:sp macro="" textlink="">
          <xdr:nvSpPr>
            <xdr:cNvPr id="1236994" name="Picture 14" hidden="1">
              <a:extLst>
                <a:ext uri="{63B3BB69-23CF-44E3-9099-C40C66FF867C}">
                  <a14:compatExt spid="_x0000_s12369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85725</xdr:colOff>
          <xdr:row>43</xdr:row>
          <xdr:rowOff>28575</xdr:rowOff>
        </xdr:from>
        <xdr:to>
          <xdr:col>4</xdr:col>
          <xdr:colOff>1104900</xdr:colOff>
          <xdr:row>47</xdr:row>
          <xdr:rowOff>171450</xdr:rowOff>
        </xdr:to>
        <xdr:sp macro="" textlink="">
          <xdr:nvSpPr>
            <xdr:cNvPr id="1236995" name="Picture 15" hidden="1">
              <a:extLst>
                <a:ext uri="{63B3BB69-23CF-44E3-9099-C40C66FF867C}">
                  <a14:compatExt spid="_x0000_s12369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85725</xdr:colOff>
          <xdr:row>50</xdr:row>
          <xdr:rowOff>28575</xdr:rowOff>
        </xdr:from>
        <xdr:to>
          <xdr:col>4</xdr:col>
          <xdr:colOff>971550</xdr:colOff>
          <xdr:row>51</xdr:row>
          <xdr:rowOff>200025</xdr:rowOff>
        </xdr:to>
        <xdr:sp macro="" textlink="">
          <xdr:nvSpPr>
            <xdr:cNvPr id="1236996" name="Picture 16" hidden="1">
              <a:extLst>
                <a:ext uri="{63B3BB69-23CF-44E3-9099-C40C66FF867C}">
                  <a14:compatExt spid="_x0000_s1236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37</xdr:row>
          <xdr:rowOff>123825</xdr:rowOff>
        </xdr:from>
        <xdr:to>
          <xdr:col>4</xdr:col>
          <xdr:colOff>495300</xdr:colOff>
          <xdr:row>39</xdr:row>
          <xdr:rowOff>180975</xdr:rowOff>
        </xdr:to>
        <xdr:sp macro="" textlink="">
          <xdr:nvSpPr>
            <xdr:cNvPr id="1236997" name="Picture 17" hidden="1">
              <a:extLst>
                <a:ext uri="{63B3BB69-23CF-44E3-9099-C40C66FF867C}">
                  <a14:compatExt spid="_x0000_s12369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56</xdr:row>
          <xdr:rowOff>133350</xdr:rowOff>
        </xdr:from>
        <xdr:to>
          <xdr:col>4</xdr:col>
          <xdr:colOff>752475</xdr:colOff>
          <xdr:row>58</xdr:row>
          <xdr:rowOff>66675</xdr:rowOff>
        </xdr:to>
        <xdr:sp macro="" textlink="">
          <xdr:nvSpPr>
            <xdr:cNvPr id="1236998" name="Picture 18" hidden="1">
              <a:extLst>
                <a:ext uri="{63B3BB69-23CF-44E3-9099-C40C66FF867C}">
                  <a14:compatExt spid="_x0000_s12369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67</xdr:row>
          <xdr:rowOff>142875</xdr:rowOff>
        </xdr:from>
        <xdr:to>
          <xdr:col>4</xdr:col>
          <xdr:colOff>695325</xdr:colOff>
          <xdr:row>69</xdr:row>
          <xdr:rowOff>95250</xdr:rowOff>
        </xdr:to>
        <xdr:sp macro="" textlink="">
          <xdr:nvSpPr>
            <xdr:cNvPr id="1236999" name="Picture 19" hidden="1">
              <a:extLst>
                <a:ext uri="{63B3BB69-23CF-44E3-9099-C40C66FF867C}">
                  <a14:compatExt spid="_x0000_s12369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47625</xdr:colOff>
          <xdr:row>19</xdr:row>
          <xdr:rowOff>133350</xdr:rowOff>
        </xdr:from>
        <xdr:to>
          <xdr:col>7</xdr:col>
          <xdr:colOff>542925</xdr:colOff>
          <xdr:row>23</xdr:row>
          <xdr:rowOff>133350</xdr:rowOff>
        </xdr:to>
        <xdr:sp macro="" textlink="">
          <xdr:nvSpPr>
            <xdr:cNvPr id="1237000" name="Picture 24" hidden="1">
              <a:extLst>
                <a:ext uri="{63B3BB69-23CF-44E3-9099-C40C66FF867C}">
                  <a14:compatExt spid="_x0000_s12370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60</xdr:row>
          <xdr:rowOff>0</xdr:rowOff>
        </xdr:from>
        <xdr:to>
          <xdr:col>4</xdr:col>
          <xdr:colOff>609600</xdr:colOff>
          <xdr:row>61</xdr:row>
          <xdr:rowOff>0</xdr:rowOff>
        </xdr:to>
        <xdr:sp macro="" textlink="">
          <xdr:nvSpPr>
            <xdr:cNvPr id="1237001" name="Picture 25" hidden="1">
              <a:extLst>
                <a:ext uri="{63B3BB69-23CF-44E3-9099-C40C66FF867C}">
                  <a14:compatExt spid="_x0000_s1237001"/>
                </a:ext>
              </a:extLst>
            </xdr:cNvPr>
            <xdr:cNvSpPr/>
          </xdr:nvSpPr>
          <xdr:spPr>
            <a:xfrm>
              <a:off x="0" y="0"/>
              <a:ext cx="0" cy="0"/>
            </a:xfrm>
            <a:prstGeom prst="rect">
              <a:avLst/>
            </a:prstGeom>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xdr:twoCellAnchor editAs="oneCell">
    <xdr:from>
      <xdr:col>7</xdr:col>
      <xdr:colOff>106680</xdr:colOff>
      <xdr:row>15</xdr:row>
      <xdr:rowOff>106680</xdr:rowOff>
    </xdr:from>
    <xdr:to>
      <xdr:col>9</xdr:col>
      <xdr:colOff>259080</xdr:colOff>
      <xdr:row>21</xdr:row>
      <xdr:rowOff>122555</xdr:rowOff>
    </xdr:to>
    <xdr:pic>
      <xdr:nvPicPr>
        <xdr:cNvPr id="1238035" name="Picture 1"/>
        <xdr:cNvPicPr>
          <a:picLocks noChangeAspect="1"/>
        </xdr:cNvPicPr>
      </xdr:nvPicPr>
      <xdr:blipFill>
        <a:blip xmlns:r="http://schemas.openxmlformats.org/officeDocument/2006/relationships" r:embed="rId1" cstate="print"/>
        <a:stretch>
          <a:fillRect/>
        </a:stretch>
      </xdr:blipFill>
      <xdr:spPr>
        <a:xfrm>
          <a:off x="5349240" y="3234690"/>
          <a:ext cx="1524000" cy="1271270"/>
        </a:xfrm>
        <a:prstGeom prst="rect">
          <a:avLst/>
        </a:prstGeom>
        <a:noFill/>
        <a:ln w="9525">
          <a:noFill/>
        </a:ln>
      </xdr:spPr>
    </xdr:pic>
    <xdr:clientData/>
  </xdr:twoCellAnchor>
  <xdr:twoCellAnchor editAs="oneCell">
    <xdr:from>
      <xdr:col>7</xdr:col>
      <xdr:colOff>160020</xdr:colOff>
      <xdr:row>21</xdr:row>
      <xdr:rowOff>122555</xdr:rowOff>
    </xdr:from>
    <xdr:to>
      <xdr:col>11</xdr:col>
      <xdr:colOff>251460</xdr:colOff>
      <xdr:row>31</xdr:row>
      <xdr:rowOff>106680</xdr:rowOff>
    </xdr:to>
    <xdr:pic>
      <xdr:nvPicPr>
        <xdr:cNvPr id="1238036" name="Picture 2"/>
        <xdr:cNvPicPr>
          <a:picLocks noChangeAspect="1"/>
        </xdr:cNvPicPr>
      </xdr:nvPicPr>
      <xdr:blipFill>
        <a:blip xmlns:r="http://schemas.openxmlformats.org/officeDocument/2006/relationships" r:embed="rId2" cstate="print"/>
        <a:stretch>
          <a:fillRect/>
        </a:stretch>
      </xdr:blipFill>
      <xdr:spPr>
        <a:xfrm>
          <a:off x="5402580" y="4505960"/>
          <a:ext cx="2834640" cy="223393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4</xdr:col>
          <xdr:colOff>19050</xdr:colOff>
          <xdr:row>21</xdr:row>
          <xdr:rowOff>0</xdr:rowOff>
        </xdr:from>
        <xdr:to>
          <xdr:col>6</xdr:col>
          <xdr:colOff>323850</xdr:colOff>
          <xdr:row>22</xdr:row>
          <xdr:rowOff>0</xdr:rowOff>
        </xdr:to>
        <xdr:sp macro="" textlink="">
          <xdr:nvSpPr>
            <xdr:cNvPr id="1238017" name="Picture 5" hidden="1">
              <a:extLst>
                <a:ext uri="{63B3BB69-23CF-44E3-9099-C40C66FF867C}">
                  <a14:compatExt spid="_x0000_s1238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24</xdr:row>
          <xdr:rowOff>0</xdr:rowOff>
        </xdr:from>
        <xdr:to>
          <xdr:col>4</xdr:col>
          <xdr:colOff>400050</xdr:colOff>
          <xdr:row>25</xdr:row>
          <xdr:rowOff>133350</xdr:rowOff>
        </xdr:to>
        <xdr:sp macro="" textlink="">
          <xdr:nvSpPr>
            <xdr:cNvPr id="1238018" name="Picture 6" hidden="1">
              <a:extLst>
                <a:ext uri="{63B3BB69-23CF-44E3-9099-C40C66FF867C}">
                  <a14:compatExt spid="_x0000_s12380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33</xdr:row>
          <xdr:rowOff>76200</xdr:rowOff>
        </xdr:from>
        <xdr:to>
          <xdr:col>5</xdr:col>
          <xdr:colOff>28575</xdr:colOff>
          <xdr:row>37</xdr:row>
          <xdr:rowOff>171450</xdr:rowOff>
        </xdr:to>
        <xdr:sp macro="" textlink="">
          <xdr:nvSpPr>
            <xdr:cNvPr id="1238019" name="Picture 7" hidden="1">
              <a:extLst>
                <a:ext uri="{63B3BB69-23CF-44E3-9099-C40C66FF867C}">
                  <a14:compatExt spid="_x0000_s1238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40</xdr:row>
          <xdr:rowOff>19050</xdr:rowOff>
        </xdr:from>
        <xdr:to>
          <xdr:col>4</xdr:col>
          <xdr:colOff>904875</xdr:colOff>
          <xdr:row>41</xdr:row>
          <xdr:rowOff>171450</xdr:rowOff>
        </xdr:to>
        <xdr:sp macro="" textlink="">
          <xdr:nvSpPr>
            <xdr:cNvPr id="1238020" name="Picture 8" hidden="1">
              <a:extLst>
                <a:ext uri="{63B3BB69-23CF-44E3-9099-C40C66FF867C}">
                  <a14:compatExt spid="_x0000_s1238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47625</xdr:colOff>
          <xdr:row>28</xdr:row>
          <xdr:rowOff>66675</xdr:rowOff>
        </xdr:from>
        <xdr:to>
          <xdr:col>4</xdr:col>
          <xdr:colOff>514350</xdr:colOff>
          <xdr:row>29</xdr:row>
          <xdr:rowOff>352425</xdr:rowOff>
        </xdr:to>
        <xdr:sp macro="" textlink="">
          <xdr:nvSpPr>
            <xdr:cNvPr id="1238021" name="Picture 9" hidden="1">
              <a:extLst>
                <a:ext uri="{63B3BB69-23CF-44E3-9099-C40C66FF867C}">
                  <a14:compatExt spid="_x0000_s12380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95250</xdr:colOff>
          <xdr:row>53</xdr:row>
          <xdr:rowOff>9525</xdr:rowOff>
        </xdr:from>
        <xdr:to>
          <xdr:col>4</xdr:col>
          <xdr:colOff>781050</xdr:colOff>
          <xdr:row>54</xdr:row>
          <xdr:rowOff>161925</xdr:rowOff>
        </xdr:to>
        <xdr:sp macro="" textlink="">
          <xdr:nvSpPr>
            <xdr:cNvPr id="1238022" name="Picture 11" hidden="1">
              <a:extLst>
                <a:ext uri="{63B3BB69-23CF-44E3-9099-C40C66FF867C}">
                  <a14:compatExt spid="_x0000_s1238022"/>
                </a:ext>
              </a:extLst>
            </xdr:cNvPr>
            <xdr:cNvSpPr/>
          </xdr:nvSpPr>
          <xdr:spPr>
            <a:xfrm>
              <a:off x="0" y="0"/>
              <a:ext cx="0" cy="0"/>
            </a:xfrm>
            <a:prstGeom prst="rect">
              <a:avLst/>
            </a:prstGeom>
          </xdr:spPr>
        </xdr:sp>
        <xdr:clientData/>
      </xdr:twoCellAnchor>
    </mc:Choice>
    <mc:Fallback/>
  </mc:AlternateContent>
</xdr:wsDr>
</file>

<file path=xl/drawings/drawing77.xml><?xml version="1.0" encoding="utf-8"?>
<xdr:wsDr xmlns:xdr="http://schemas.openxmlformats.org/drawingml/2006/spreadsheetDrawing" xmlns:a="http://schemas.openxmlformats.org/drawingml/2006/main">
  <xdr:twoCellAnchor editAs="oneCell">
    <xdr:from>
      <xdr:col>6</xdr:col>
      <xdr:colOff>861060</xdr:colOff>
      <xdr:row>15</xdr:row>
      <xdr:rowOff>53340</xdr:rowOff>
    </xdr:from>
    <xdr:to>
      <xdr:col>12</xdr:col>
      <xdr:colOff>213360</xdr:colOff>
      <xdr:row>26</xdr:row>
      <xdr:rowOff>68580</xdr:rowOff>
    </xdr:to>
    <xdr:pic>
      <xdr:nvPicPr>
        <xdr:cNvPr id="1185811" name="Picture 17"/>
        <xdr:cNvPicPr>
          <a:picLocks noChangeAspect="1"/>
        </xdr:cNvPicPr>
      </xdr:nvPicPr>
      <xdr:blipFill>
        <a:blip xmlns:r="http://schemas.openxmlformats.org/officeDocument/2006/relationships" r:embed="rId1" cstate="print"/>
        <a:stretch>
          <a:fillRect/>
        </a:stretch>
      </xdr:blipFill>
      <xdr:spPr>
        <a:xfrm>
          <a:off x="5425440" y="3743325"/>
          <a:ext cx="3657600" cy="2777490"/>
        </a:xfrm>
        <a:prstGeom prst="rect">
          <a:avLst/>
        </a:prstGeom>
        <a:noFill/>
        <a:ln w="9525">
          <a:noFill/>
        </a:ln>
      </xdr:spPr>
    </xdr:pic>
    <xdr:clientData/>
  </xdr:twoCellAnchor>
  <xdr:twoCellAnchor editAs="oneCell">
    <xdr:from>
      <xdr:col>8</xdr:col>
      <xdr:colOff>53340</xdr:colOff>
      <xdr:row>8</xdr:row>
      <xdr:rowOff>228600</xdr:rowOff>
    </xdr:from>
    <xdr:to>
      <xdr:col>12</xdr:col>
      <xdr:colOff>464820</xdr:colOff>
      <xdr:row>14</xdr:row>
      <xdr:rowOff>0</xdr:rowOff>
    </xdr:to>
    <xdr:pic>
      <xdr:nvPicPr>
        <xdr:cNvPr id="1185812" name="Picture 23"/>
        <xdr:cNvPicPr>
          <a:picLocks noChangeAspect="1"/>
        </xdr:cNvPicPr>
      </xdr:nvPicPr>
      <xdr:blipFill>
        <a:blip xmlns:r="http://schemas.openxmlformats.org/officeDocument/2006/relationships" r:embed="rId2" cstate="print"/>
        <a:stretch>
          <a:fillRect/>
        </a:stretch>
      </xdr:blipFill>
      <xdr:spPr>
        <a:xfrm>
          <a:off x="6179820" y="2141220"/>
          <a:ext cx="3154680" cy="127444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5</xdr:col>
          <xdr:colOff>9525</xdr:colOff>
          <xdr:row>75</xdr:row>
          <xdr:rowOff>161925</xdr:rowOff>
        </xdr:from>
        <xdr:to>
          <xdr:col>5</xdr:col>
          <xdr:colOff>695325</xdr:colOff>
          <xdr:row>77</xdr:row>
          <xdr:rowOff>95250</xdr:rowOff>
        </xdr:to>
        <xdr:sp macro="" textlink="">
          <xdr:nvSpPr>
            <xdr:cNvPr id="1185792" name="Picture 9" hidden="1">
              <a:extLst>
                <a:ext uri="{63B3BB69-23CF-44E3-9099-C40C66FF867C}">
                  <a14:compatExt spid="_x0000_s11857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47</xdr:row>
          <xdr:rowOff>123825</xdr:rowOff>
        </xdr:from>
        <xdr:to>
          <xdr:col>6</xdr:col>
          <xdr:colOff>57150</xdr:colOff>
          <xdr:row>49</xdr:row>
          <xdr:rowOff>95250</xdr:rowOff>
        </xdr:to>
        <xdr:sp macro="" textlink="">
          <xdr:nvSpPr>
            <xdr:cNvPr id="1185793" name="Picture 11" hidden="1">
              <a:extLst>
                <a:ext uri="{63B3BB69-23CF-44E3-9099-C40C66FF867C}">
                  <a14:compatExt spid="_x0000_s1185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161925</xdr:rowOff>
        </xdr:from>
        <xdr:to>
          <xdr:col>6</xdr:col>
          <xdr:colOff>38100</xdr:colOff>
          <xdr:row>44</xdr:row>
          <xdr:rowOff>114300</xdr:rowOff>
        </xdr:to>
        <xdr:sp macro="" textlink="">
          <xdr:nvSpPr>
            <xdr:cNvPr id="1185794" name="Picture 12" hidden="1">
              <a:extLst>
                <a:ext uri="{63B3BB69-23CF-44E3-9099-C40C66FF867C}">
                  <a14:compatExt spid="_x0000_s11857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xdr:row>
          <xdr:rowOff>19050</xdr:rowOff>
        </xdr:from>
        <xdr:to>
          <xdr:col>5</xdr:col>
          <xdr:colOff>866775</xdr:colOff>
          <xdr:row>53</xdr:row>
          <xdr:rowOff>352425</xdr:rowOff>
        </xdr:to>
        <xdr:sp macro="" textlink="">
          <xdr:nvSpPr>
            <xdr:cNvPr id="1185795" name="Picture 13" hidden="1">
              <a:extLst>
                <a:ext uri="{63B3BB69-23CF-44E3-9099-C40C66FF867C}">
                  <a14:compatExt spid="_x0000_s11857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55</xdr:row>
          <xdr:rowOff>171450</xdr:rowOff>
        </xdr:from>
        <xdr:to>
          <xdr:col>6</xdr:col>
          <xdr:colOff>276225</xdr:colOff>
          <xdr:row>56</xdr:row>
          <xdr:rowOff>276225</xdr:rowOff>
        </xdr:to>
        <xdr:sp macro="" textlink="">
          <xdr:nvSpPr>
            <xdr:cNvPr id="1185796" name="Picture 14" hidden="1">
              <a:extLst>
                <a:ext uri="{63B3BB69-23CF-44E3-9099-C40C66FF867C}">
                  <a14:compatExt spid="_x0000_s11857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6</xdr:col>
          <xdr:colOff>114300</xdr:colOff>
          <xdr:row>69</xdr:row>
          <xdr:rowOff>0</xdr:rowOff>
        </xdr:to>
        <xdr:sp macro="" textlink="">
          <xdr:nvSpPr>
            <xdr:cNvPr id="1185797" name="Picture 22" hidden="1">
              <a:extLst>
                <a:ext uri="{63B3BB69-23CF-44E3-9099-C40C66FF867C}">
                  <a14:compatExt spid="_x0000_s11857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22</xdr:row>
          <xdr:rowOff>0</xdr:rowOff>
        </xdr:from>
        <xdr:to>
          <xdr:col>5</xdr:col>
          <xdr:colOff>866775</xdr:colOff>
          <xdr:row>22</xdr:row>
          <xdr:rowOff>504825</xdr:rowOff>
        </xdr:to>
        <xdr:sp macro="" textlink="">
          <xdr:nvSpPr>
            <xdr:cNvPr id="1185798" name="Picture 24" hidden="1">
              <a:extLst>
                <a:ext uri="{63B3BB69-23CF-44E3-9099-C40C66FF867C}">
                  <a14:compatExt spid="_x0000_s11857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25</xdr:row>
          <xdr:rowOff>66675</xdr:rowOff>
        </xdr:from>
        <xdr:to>
          <xdr:col>5</xdr:col>
          <xdr:colOff>876300</xdr:colOff>
          <xdr:row>27</xdr:row>
          <xdr:rowOff>114300</xdr:rowOff>
        </xdr:to>
        <xdr:sp macro="" textlink="">
          <xdr:nvSpPr>
            <xdr:cNvPr id="1185799" name="Picture 26" hidden="1">
              <a:extLst>
                <a:ext uri="{63B3BB69-23CF-44E3-9099-C40C66FF867C}">
                  <a14:compatExt spid="_x0000_s1185799"/>
                </a:ext>
              </a:extLst>
            </xdr:cNvPr>
            <xdr:cNvSpPr/>
          </xdr:nvSpPr>
          <xdr:spPr>
            <a:xfrm>
              <a:off x="0" y="0"/>
              <a:ext cx="0" cy="0"/>
            </a:xfrm>
            <a:prstGeom prst="rect">
              <a:avLst/>
            </a:prstGeom>
          </xdr:spPr>
        </xdr:sp>
        <xdr:clientData/>
      </xdr:twoCellAnchor>
    </mc:Choice>
    <mc:Fallback/>
  </mc:AlternateContent>
</xdr:wsDr>
</file>

<file path=xl/drawings/drawing78.xml><?xml version="1.0" encoding="utf-8"?>
<xdr:wsDr xmlns:xdr="http://schemas.openxmlformats.org/drawingml/2006/spreadsheetDrawing" xmlns:a="http://schemas.openxmlformats.org/drawingml/2006/main">
  <xdr:twoCellAnchor editAs="oneCell">
    <xdr:from>
      <xdr:col>10</xdr:col>
      <xdr:colOff>31115</xdr:colOff>
      <xdr:row>17</xdr:row>
      <xdr:rowOff>68580</xdr:rowOff>
    </xdr:from>
    <xdr:to>
      <xdr:col>12</xdr:col>
      <xdr:colOff>182880</xdr:colOff>
      <xdr:row>23</xdr:row>
      <xdr:rowOff>23495</xdr:rowOff>
    </xdr:to>
    <xdr:pic>
      <xdr:nvPicPr>
        <xdr:cNvPr id="1186835" name="Picture 1"/>
        <xdr:cNvPicPr>
          <a:picLocks noChangeAspect="1"/>
        </xdr:cNvPicPr>
      </xdr:nvPicPr>
      <xdr:blipFill>
        <a:blip xmlns:r="http://schemas.openxmlformats.org/officeDocument/2006/relationships" r:embed="rId1" cstate="print"/>
        <a:stretch>
          <a:fillRect/>
        </a:stretch>
      </xdr:blipFill>
      <xdr:spPr>
        <a:xfrm>
          <a:off x="7582535" y="3787140"/>
          <a:ext cx="1523365" cy="1181735"/>
        </a:xfrm>
        <a:prstGeom prst="rect">
          <a:avLst/>
        </a:prstGeom>
        <a:noFill/>
        <a:ln w="9525">
          <a:noFill/>
        </a:ln>
      </xdr:spPr>
    </xdr:pic>
    <xdr:clientData/>
  </xdr:twoCellAnchor>
  <xdr:twoCellAnchor editAs="oneCell">
    <xdr:from>
      <xdr:col>8</xdr:col>
      <xdr:colOff>175260</xdr:colOff>
      <xdr:row>7</xdr:row>
      <xdr:rowOff>106045</xdr:rowOff>
    </xdr:from>
    <xdr:to>
      <xdr:col>12</xdr:col>
      <xdr:colOff>579120</xdr:colOff>
      <xdr:row>14</xdr:row>
      <xdr:rowOff>53340</xdr:rowOff>
    </xdr:to>
    <xdr:pic>
      <xdr:nvPicPr>
        <xdr:cNvPr id="1186836" name="Picture 10"/>
        <xdr:cNvPicPr>
          <a:picLocks noChangeAspect="1"/>
        </xdr:cNvPicPr>
      </xdr:nvPicPr>
      <xdr:blipFill>
        <a:blip xmlns:r="http://schemas.openxmlformats.org/officeDocument/2006/relationships" r:embed="rId2" cstate="print"/>
        <a:stretch>
          <a:fillRect/>
        </a:stretch>
      </xdr:blipFill>
      <xdr:spPr>
        <a:xfrm>
          <a:off x="6355080" y="1683385"/>
          <a:ext cx="3147060" cy="142557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5</xdr:col>
          <xdr:colOff>47625</xdr:colOff>
          <xdr:row>13</xdr:row>
          <xdr:rowOff>104775</xdr:rowOff>
        </xdr:from>
        <xdr:to>
          <xdr:col>5</xdr:col>
          <xdr:colOff>971550</xdr:colOff>
          <xdr:row>15</xdr:row>
          <xdr:rowOff>190500</xdr:rowOff>
        </xdr:to>
        <xdr:sp macro="" textlink="">
          <xdr:nvSpPr>
            <xdr:cNvPr id="1186816" name="Picture 17" hidden="1">
              <a:extLst>
                <a:ext uri="{63B3BB69-23CF-44E3-9099-C40C66FF867C}">
                  <a14:compatExt spid="_x0000_s11868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17</xdr:row>
          <xdr:rowOff>133350</xdr:rowOff>
        </xdr:from>
        <xdr:to>
          <xdr:col>5</xdr:col>
          <xdr:colOff>942975</xdr:colOff>
          <xdr:row>19</xdr:row>
          <xdr:rowOff>142875</xdr:rowOff>
        </xdr:to>
        <xdr:sp macro="" textlink="">
          <xdr:nvSpPr>
            <xdr:cNvPr id="1186817" name="Picture 18" hidden="1">
              <a:extLst>
                <a:ext uri="{63B3BB69-23CF-44E3-9099-C40C66FF867C}">
                  <a14:compatExt spid="_x0000_s1186817"/>
                </a:ext>
              </a:extLst>
            </xdr:cNvPr>
            <xdr:cNvSpPr/>
          </xdr:nvSpPr>
          <xdr:spPr>
            <a:xfrm>
              <a:off x="0" y="0"/>
              <a:ext cx="0" cy="0"/>
            </a:xfrm>
            <a:prstGeom prst="rect">
              <a:avLst/>
            </a:prstGeom>
          </xdr:spPr>
        </xdr:sp>
        <xdr:clientData/>
      </xdr:twoCellAnchor>
    </mc:Choice>
    <mc:Fallback/>
  </mc:AlternateContent>
</xdr:wsDr>
</file>

<file path=xl/drawings/drawing7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3</xdr:col>
          <xdr:colOff>85725</xdr:colOff>
          <xdr:row>22</xdr:row>
          <xdr:rowOff>0</xdr:rowOff>
        </xdr:to>
        <xdr:sp macro="" textlink="">
          <xdr:nvSpPr>
            <xdr:cNvPr id="1187840" name="Picture 1" hidden="1">
              <a:extLst>
                <a:ext uri="{63B3BB69-23CF-44E3-9099-C40C66FF867C}">
                  <a14:compatExt spid="_x0000_s1187840"/>
                </a:ext>
              </a:extLst>
            </xdr:cNvPr>
            <xdr:cNvSpPr/>
          </xdr:nvSpPr>
          <xdr:spPr>
            <a:xfrm>
              <a:off x="0" y="0"/>
              <a:ext cx="0" cy="0"/>
            </a:xfrm>
            <a:prstGeom prst="rect">
              <a:avLst/>
            </a:prstGeom>
          </xdr:spPr>
        </xdr:sp>
        <xdr:clientData/>
      </xdr:twoCellAnchor>
    </mc:Choice>
    <mc:Fallback/>
  </mc:AlternateContent>
</xdr:wsDr>
</file>

<file path=xl/drawings/drawing80.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525780</xdr:colOff>
      <xdr:row>30</xdr:row>
      <xdr:rowOff>75565</xdr:rowOff>
    </xdr:to>
    <xdr:pic>
      <xdr:nvPicPr>
        <xdr:cNvPr id="1188883" name="图片 1"/>
        <xdr:cNvPicPr>
          <a:picLocks noChangeAspect="1"/>
        </xdr:cNvPicPr>
      </xdr:nvPicPr>
      <xdr:blipFill>
        <a:blip xmlns:r="http://schemas.openxmlformats.org/officeDocument/2006/relationships" r:embed="rId1" cstate="print"/>
        <a:stretch>
          <a:fillRect/>
        </a:stretch>
      </xdr:blipFill>
      <xdr:spPr>
        <a:xfrm>
          <a:off x="0" y="0"/>
          <a:ext cx="6560820" cy="6019165"/>
        </a:xfrm>
        <a:prstGeom prst="rect">
          <a:avLst/>
        </a:prstGeom>
        <a:noFill/>
        <a:ln w="9525">
          <a:noFill/>
        </a:ln>
      </xdr:spPr>
    </xdr:pic>
    <xdr:clientData/>
  </xdr:twoCellAnchor>
  <xdr:twoCellAnchor>
    <xdr:from>
      <xdr:col>0</xdr:col>
      <xdr:colOff>38100</xdr:colOff>
      <xdr:row>29</xdr:row>
      <xdr:rowOff>182880</xdr:rowOff>
    </xdr:from>
    <xdr:to>
      <xdr:col>8</xdr:col>
      <xdr:colOff>609600</xdr:colOff>
      <xdr:row>57</xdr:row>
      <xdr:rowOff>91440</xdr:rowOff>
    </xdr:to>
    <xdr:pic>
      <xdr:nvPicPr>
        <xdr:cNvPr id="1188884" name="图片 1"/>
        <xdr:cNvPicPr>
          <a:picLocks noChangeAspect="1"/>
        </xdr:cNvPicPr>
      </xdr:nvPicPr>
      <xdr:blipFill>
        <a:blip xmlns:r="http://schemas.openxmlformats.org/officeDocument/2006/relationships" r:embed="rId2" cstate="print"/>
        <a:stretch>
          <a:fillRect/>
        </a:stretch>
      </xdr:blipFill>
      <xdr:spPr>
        <a:xfrm>
          <a:off x="38100" y="5928360"/>
          <a:ext cx="5935980" cy="5455920"/>
        </a:xfrm>
        <a:prstGeom prst="rect">
          <a:avLst/>
        </a:prstGeom>
        <a:noFill/>
        <a:ln w="9525">
          <a:noFill/>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25</xdr:row>
      <xdr:rowOff>334645</xdr:rowOff>
    </xdr:from>
    <xdr:to>
      <xdr:col>6</xdr:col>
      <xdr:colOff>68580</xdr:colOff>
      <xdr:row>51</xdr:row>
      <xdr:rowOff>22860</xdr:rowOff>
    </xdr:to>
    <xdr:pic>
      <xdr:nvPicPr>
        <xdr:cNvPr id="1182748" name="图片 1"/>
        <xdr:cNvPicPr>
          <a:picLocks noChangeAspect="1"/>
        </xdr:cNvPicPr>
      </xdr:nvPicPr>
      <xdr:blipFill>
        <a:blip xmlns:r="http://schemas.openxmlformats.org/officeDocument/2006/relationships" r:embed="rId1" cstate="print"/>
        <a:stretch>
          <a:fillRect/>
        </a:stretch>
      </xdr:blipFill>
      <xdr:spPr>
        <a:xfrm>
          <a:off x="0" y="7183120"/>
          <a:ext cx="5509260" cy="4603115"/>
        </a:xfrm>
        <a:prstGeom prst="rect">
          <a:avLst/>
        </a:prstGeom>
        <a:noFill/>
        <a:ln w="9525">
          <a:noFill/>
        </a:ln>
      </xdr:spPr>
    </xdr:pic>
    <xdr:clientData/>
  </xdr:twoCellAnchor>
  <xdr:twoCellAnchor editAs="oneCell">
    <xdr:from>
      <xdr:col>0</xdr:col>
      <xdr:colOff>0</xdr:colOff>
      <xdr:row>50</xdr:row>
      <xdr:rowOff>106680</xdr:rowOff>
    </xdr:from>
    <xdr:to>
      <xdr:col>6</xdr:col>
      <xdr:colOff>68580</xdr:colOff>
      <xdr:row>81</xdr:row>
      <xdr:rowOff>152400</xdr:rowOff>
    </xdr:to>
    <xdr:pic>
      <xdr:nvPicPr>
        <xdr:cNvPr id="1182749" name="图片 2"/>
        <xdr:cNvPicPr>
          <a:picLocks noChangeAspect="1"/>
        </xdr:cNvPicPr>
      </xdr:nvPicPr>
      <xdr:blipFill>
        <a:blip xmlns:r="http://schemas.openxmlformats.org/officeDocument/2006/relationships" r:embed="rId2" cstate="print"/>
        <a:stretch>
          <a:fillRect/>
        </a:stretch>
      </xdr:blipFill>
      <xdr:spPr>
        <a:xfrm>
          <a:off x="0" y="11687175"/>
          <a:ext cx="5509260" cy="5715000"/>
        </a:xfrm>
        <a:prstGeom prst="rect">
          <a:avLst/>
        </a:prstGeom>
        <a:noFill/>
        <a:ln w="9525">
          <a:noFill/>
        </a:ln>
      </xdr:spPr>
    </xdr:pic>
    <xdr:clientData/>
  </xdr:twoCellAnchor>
  <xdr:twoCellAnchor editAs="oneCell">
    <xdr:from>
      <xdr:col>8</xdr:col>
      <xdr:colOff>67945</xdr:colOff>
      <xdr:row>26</xdr:row>
      <xdr:rowOff>76200</xdr:rowOff>
    </xdr:from>
    <xdr:to>
      <xdr:col>13</xdr:col>
      <xdr:colOff>518160</xdr:colOff>
      <xdr:row>57</xdr:row>
      <xdr:rowOff>60960</xdr:rowOff>
    </xdr:to>
    <xdr:pic>
      <xdr:nvPicPr>
        <xdr:cNvPr id="1182750" name="图片 3"/>
        <xdr:cNvPicPr>
          <a:picLocks noChangeAspect="1"/>
        </xdr:cNvPicPr>
      </xdr:nvPicPr>
      <xdr:blipFill>
        <a:blip xmlns:r="http://schemas.openxmlformats.org/officeDocument/2006/relationships" r:embed="rId3" cstate="print"/>
        <a:stretch>
          <a:fillRect/>
        </a:stretch>
      </xdr:blipFill>
      <xdr:spPr>
        <a:xfrm>
          <a:off x="6575425" y="7267575"/>
          <a:ext cx="4923155" cy="5654040"/>
        </a:xfrm>
        <a:prstGeom prst="rect">
          <a:avLst/>
        </a:prstGeom>
        <a:noFill/>
        <a:ln w="9525">
          <a:noFill/>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1</xdr:row>
      <xdr:rowOff>7620</xdr:rowOff>
    </xdr:from>
    <xdr:to>
      <xdr:col>10</xdr:col>
      <xdr:colOff>38100</xdr:colOff>
      <xdr:row>31</xdr:row>
      <xdr:rowOff>75565</xdr:rowOff>
    </xdr:to>
    <xdr:pic>
      <xdr:nvPicPr>
        <xdr:cNvPr id="1184778" name="图片 1" descr="塞打螺丝规格表"/>
        <xdr:cNvPicPr>
          <a:picLocks noChangeAspect="1"/>
        </xdr:cNvPicPr>
      </xdr:nvPicPr>
      <xdr:blipFill>
        <a:blip xmlns:r="http://schemas.openxmlformats.org/officeDocument/2006/relationships" r:embed="rId1" cstate="print"/>
        <a:stretch>
          <a:fillRect/>
        </a:stretch>
      </xdr:blipFill>
      <xdr:spPr>
        <a:xfrm>
          <a:off x="0" y="541020"/>
          <a:ext cx="6743700" cy="6011545"/>
        </a:xfrm>
        <a:prstGeom prst="rect">
          <a:avLst/>
        </a:prstGeom>
        <a:noFill/>
        <a:ln w="9525">
          <a:noFill/>
        </a:ln>
      </xdr:spPr>
    </xdr:pic>
    <xdr:clientData/>
  </xdr:twoCellAnchor>
</xdr:wsDr>
</file>

<file path=xl/drawings/drawing83.xml><?xml version="1.0" encoding="utf-8"?>
<xdr:wsDr xmlns:xdr="http://schemas.openxmlformats.org/drawingml/2006/spreadsheetDrawing" xmlns:a="http://schemas.openxmlformats.org/drawingml/2006/main">
  <xdr:twoCellAnchor>
    <xdr:from>
      <xdr:col>0</xdr:col>
      <xdr:colOff>7620</xdr:colOff>
      <xdr:row>0</xdr:row>
      <xdr:rowOff>7620</xdr:rowOff>
    </xdr:from>
    <xdr:to>
      <xdr:col>16</xdr:col>
      <xdr:colOff>487680</xdr:colOff>
      <xdr:row>85</xdr:row>
      <xdr:rowOff>122555</xdr:rowOff>
    </xdr:to>
    <xdr:pic>
      <xdr:nvPicPr>
        <xdr:cNvPr id="1183754" name="图片 3"/>
        <xdr:cNvPicPr>
          <a:picLocks noChangeAspect="1"/>
        </xdr:cNvPicPr>
      </xdr:nvPicPr>
      <xdr:blipFill>
        <a:blip xmlns:r="http://schemas.openxmlformats.org/officeDocument/2006/relationships" r:embed="rId1" cstate="print"/>
        <a:stretch>
          <a:fillRect/>
        </a:stretch>
      </xdr:blipFill>
      <xdr:spPr>
        <a:xfrm>
          <a:off x="7620" y="7620"/>
          <a:ext cx="11209020" cy="16955135"/>
        </a:xfrm>
        <a:prstGeom prst="rect">
          <a:avLst/>
        </a:prstGeom>
        <a:noFill/>
        <a:ln w="9525">
          <a:noFill/>
        </a:ln>
      </xdr:spPr>
    </xdr:pic>
    <xdr:clientData/>
  </xdr:twoCellAnchor>
</xdr:wsDr>
</file>

<file path=xl/drawings/drawing84.xml><?xml version="1.0" encoding="utf-8"?>
<xdr:wsDr xmlns:xdr="http://schemas.openxmlformats.org/drawingml/2006/spreadsheetDrawing" xmlns:a="http://schemas.openxmlformats.org/drawingml/2006/main">
  <xdr:twoCellAnchor>
    <xdr:from>
      <xdr:col>12</xdr:col>
      <xdr:colOff>257175</xdr:colOff>
      <xdr:row>52</xdr:row>
      <xdr:rowOff>104776</xdr:rowOff>
    </xdr:from>
    <xdr:to>
      <xdr:col>14</xdr:col>
      <xdr:colOff>148842</xdr:colOff>
      <xdr:row>52</xdr:row>
      <xdr:rowOff>447676</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a:xfrm>
          <a:off x="3739515" y="9481185"/>
          <a:ext cx="318135" cy="342900"/>
        </a:xfrm>
        <a:prstGeom prst="rect">
          <a:avLst/>
        </a:prstGeom>
        <a:noFill/>
      </xdr:spPr>
    </xdr:pic>
    <xdr:clientData/>
  </xdr:twoCellAnchor>
  <xdr:twoCellAnchor editAs="oneCell">
    <xdr:from>
      <xdr:col>24</xdr:col>
      <xdr:colOff>114300</xdr:colOff>
      <xdr:row>52</xdr:row>
      <xdr:rowOff>66675</xdr:rowOff>
    </xdr:from>
    <xdr:to>
      <xdr:col>25</xdr:col>
      <xdr:colOff>314325</xdr:colOff>
      <xdr:row>52</xdr:row>
      <xdr:rowOff>457200</xdr:rowOff>
    </xdr:to>
    <xdr:pic>
      <xdr:nvPicPr>
        <xdr:cNvPr id="3" name="图片 2" descr="image004.gif"/>
        <xdr:cNvPicPr>
          <a:picLocks noChangeAspect="1"/>
        </xdr:cNvPicPr>
      </xdr:nvPicPr>
      <xdr:blipFill>
        <a:blip xmlns:r="http://schemas.openxmlformats.org/officeDocument/2006/relationships" r:embed="rId2" cstate="print"/>
        <a:stretch>
          <a:fillRect/>
        </a:stretch>
      </xdr:blipFill>
      <xdr:spPr>
        <a:xfrm>
          <a:off x="6964680" y="9443085"/>
          <a:ext cx="542925" cy="390525"/>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7620</xdr:colOff>
      <xdr:row>1</xdr:row>
      <xdr:rowOff>7620</xdr:rowOff>
    </xdr:from>
    <xdr:to>
      <xdr:col>13</xdr:col>
      <xdr:colOff>499745</xdr:colOff>
      <xdr:row>65</xdr:row>
      <xdr:rowOff>40005</xdr:rowOff>
    </xdr:to>
    <xdr:pic>
      <xdr:nvPicPr>
        <xdr:cNvPr id="2" name="图片 1" descr="1"/>
        <xdr:cNvPicPr>
          <a:picLocks noChangeAspect="1"/>
        </xdr:cNvPicPr>
      </xdr:nvPicPr>
      <xdr:blipFill>
        <a:blip xmlns:r="http://schemas.openxmlformats.org/officeDocument/2006/relationships" r:embed="rId1" cstate="print"/>
        <a:stretch>
          <a:fillRect/>
        </a:stretch>
      </xdr:blipFill>
      <xdr:spPr>
        <a:xfrm>
          <a:off x="7620" y="655320"/>
          <a:ext cx="9209405" cy="12712065"/>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19050</xdr:colOff>
          <xdr:row>4</xdr:row>
          <xdr:rowOff>28575</xdr:rowOff>
        </xdr:from>
        <xdr:to>
          <xdr:col>1</xdr:col>
          <xdr:colOff>685800</xdr:colOff>
          <xdr:row>6</xdr:row>
          <xdr:rowOff>0</xdr:rowOff>
        </xdr:to>
        <xdr:sp macro="" textlink="">
          <xdr:nvSpPr>
            <xdr:cNvPr id="1435649" name="公式 1" hidden="1">
              <a:extLst>
                <a:ext uri="{63B3BB69-23CF-44E3-9099-C40C66FF867C}">
                  <a14:compatExt spid="_x0000_s14356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638175</xdr:colOff>
          <xdr:row>18</xdr:row>
          <xdr:rowOff>228600</xdr:rowOff>
        </xdr:from>
        <xdr:to>
          <xdr:col>4</xdr:col>
          <xdr:colOff>542925</xdr:colOff>
          <xdr:row>20</xdr:row>
          <xdr:rowOff>85725</xdr:rowOff>
        </xdr:to>
        <xdr:sp macro="" textlink="">
          <xdr:nvSpPr>
            <xdr:cNvPr id="1435650" name="公式 2" hidden="1">
              <a:extLst>
                <a:ext uri="{63B3BB69-23CF-44E3-9099-C40C66FF867C}">
                  <a14:compatExt spid="_x0000_s1435650"/>
                </a:ext>
              </a:extLst>
            </xdr:cNvPr>
            <xdr:cNvSpPr/>
          </xdr:nvSpPr>
          <xdr:spPr>
            <a:xfrm>
              <a:off x="0" y="0"/>
              <a:ext cx="0" cy="0"/>
            </a:xfrm>
            <a:prstGeom prst="rect">
              <a:avLst/>
            </a:prstGeom>
          </xdr:spPr>
        </xdr:sp>
        <xdr:clientData/>
      </xdr:twoCellAnchor>
    </mc:Choice>
    <mc:Fallback/>
  </mc:AlternateContent>
</xdr:wsDr>
</file>

<file path=xl/drawings/drawing87.xml><?xml version="1.0" encoding="utf-8"?>
<xdr:wsDr xmlns:xdr="http://schemas.openxmlformats.org/drawingml/2006/spreadsheetDrawing" xmlns:a="http://schemas.openxmlformats.org/drawingml/2006/main">
  <xdr:twoCellAnchor>
    <xdr:from>
      <xdr:col>3</xdr:col>
      <xdr:colOff>0</xdr:colOff>
      <xdr:row>0</xdr:row>
      <xdr:rowOff>0</xdr:rowOff>
    </xdr:from>
    <xdr:to>
      <xdr:col>12</xdr:col>
      <xdr:colOff>342900</xdr:colOff>
      <xdr:row>35</xdr:row>
      <xdr:rowOff>66675</xdr:rowOff>
    </xdr:to>
    <xdr:pic>
      <xdr:nvPicPr>
        <xdr:cNvPr id="2"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8475" y="0"/>
          <a:ext cx="5915025" cy="881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11</xdr:col>
      <xdr:colOff>28575</xdr:colOff>
      <xdr:row>24</xdr:row>
      <xdr:rowOff>123825</xdr:rowOff>
    </xdr:from>
    <xdr:to>
      <xdr:col>12</xdr:col>
      <xdr:colOff>600075</xdr:colOff>
      <xdr:row>27</xdr:row>
      <xdr:rowOff>28575</xdr:rowOff>
    </xdr:to>
    <xdr:sp macro="" textlink="">
      <xdr:nvSpPr>
        <xdr:cNvPr id="2" name="AutoShape 1"/>
        <xdr:cNvSpPr>
          <a:spLocks noChangeArrowheads="1"/>
        </xdr:cNvSpPr>
      </xdr:nvSpPr>
      <xdr:spPr bwMode="auto">
        <a:xfrm>
          <a:off x="8953500" y="5572125"/>
          <a:ext cx="1257300" cy="590550"/>
        </a:xfrm>
        <a:prstGeom prst="rightArrow">
          <a:avLst>
            <a:gd name="adj1" fmla="val 4028"/>
            <a:gd name="adj2" fmla="val 106412"/>
          </a:avLst>
        </a:prstGeom>
        <a:solidFill>
          <a:srgbClr val="FF0000"/>
        </a:solidFill>
        <a:ln w="9525">
          <a:solidFill>
            <a:srgbClr val="000000"/>
          </a:solidFill>
          <a:miter lim="800000"/>
          <a:headEnd/>
          <a:tailEnd/>
        </a:ln>
      </xdr:spPr>
    </xdr:sp>
    <xdr:clientData/>
  </xdr:twoCellAnchor>
</xdr:wsDr>
</file>

<file path=xl/drawings/drawing89.xml><?xml version="1.0" encoding="utf-8"?>
<xdr:wsDr xmlns:xdr="http://schemas.openxmlformats.org/drawingml/2006/spreadsheetDrawing" xmlns:a="http://schemas.openxmlformats.org/drawingml/2006/main">
  <xdr:twoCellAnchor editAs="oneCell">
    <xdr:from>
      <xdr:col>3</xdr:col>
      <xdr:colOff>447675</xdr:colOff>
      <xdr:row>0</xdr:row>
      <xdr:rowOff>28575</xdr:rowOff>
    </xdr:from>
    <xdr:to>
      <xdr:col>10</xdr:col>
      <xdr:colOff>323850</xdr:colOff>
      <xdr:row>11</xdr:row>
      <xdr:rowOff>66675</xdr:rowOff>
    </xdr:to>
    <xdr:pic>
      <xdr:nvPicPr>
        <xdr:cNvPr id="3" name="图片 1"/>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05075" y="28575"/>
          <a:ext cx="4676775"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ocuments/Tencent%20Files/994410571/FileRecv/&#38750;&#26631;&#35774;&#35745;&#35745;&#31639;&#26631;&#20934;&#38598;&#215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869;&#12289;&#22806;&#26631;&#20934;&#34746;&#32441;&#23610;&#23544;&#22823;&#2084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山东赛扬自动化科技有限公司"/>
      <sheetName val="总目录"/>
      <sheetName val="搖擺資料"/>
      <sheetName val="輸送帶計算"/>
      <sheetName val="齒輪分割計算"/>
      <sheetName val="棘轮计算"/>
      <sheetName val="弹簧计算"/>
      <sheetName val="齿式联轴器计算"/>
      <sheetName val="万向联轴器计算"/>
      <sheetName val="过盈计算"/>
      <sheetName val="减速机公称功率"/>
      <sheetName val="链轮计算"/>
      <sheetName val="链条计算"/>
      <sheetName val="焊缝及键连接受力计算比较"/>
      <sheetName val="销的强度计算"/>
      <sheetName val="键的强度计算 "/>
      <sheetName val="同步带轮传动设计计算"/>
      <sheetName val="分度盘选型计算公式"/>
      <sheetName val="单位换算"/>
      <sheetName val="真空元件的选定"/>
      <sheetName val="耗气量计算及电磁阀选择"/>
      <sheetName val="气缸与系统选型指南"/>
      <sheetName val="三角皮带参数表"/>
      <sheetName val="气缸理论出力表"/>
      <sheetName val="气缸推力计算"/>
      <sheetName val="气缸内径选型"/>
      <sheetName val="伺服电机选型自动版"/>
      <sheetName val="材料价格计算表"/>
      <sheetName val="压入力计算"/>
      <sheetName val="弹性模量、泊松系数"/>
      <sheetName val="材料摩擦系数"/>
      <sheetName val="电机功率确定程序"/>
      <sheetName val="变位圆柱"/>
      <sheetName val="齿轮齿条"/>
      <sheetName val="齿轮常用材料及其力学性能 (2)"/>
      <sheetName val="圆柱蜗杆传动基本几何尺寸计算公式"/>
      <sheetName val="蜗杆常用材料"/>
      <sheetName val="圆柱蜗杆传动主要参数搭配推荐值"/>
      <sheetName val="三角皮带长度计算"/>
      <sheetName val="美制螺纹"/>
      <sheetName val="粗螺纹"/>
      <sheetName val="细螺纹"/>
      <sheetName val="迫牙丝攻钻孔径"/>
      <sheetName val="美制特细螺纹及英制电器螺纹"/>
      <sheetName val="管螺纹"/>
      <sheetName val="螺纹及针车用螺纹"/>
      <sheetName val="螺栓扭矩标准"/>
      <sheetName val="链轮参数计算"/>
      <sheetName val="立柱计算"/>
      <sheetName val="稳定性系数"/>
      <sheetName val="模 具 钢"/>
      <sheetName val="   齿轮齿条传动设计计算    "/>
      <sheetName val="齿轮常用材料及其力学性能"/>
      <sheetName val="蜗轮传动"/>
      <sheetName val="高度变位斜齿轮跨棒(球)距"/>
      <sheetName val="外花键跨棒距"/>
      <sheetName val="内花键棒间距"/>
      <sheetName val="高变位齿轮尺寸计算"/>
      <sheetName val="超越离合器设计计算表"/>
      <sheetName val="常用Y系列电机型号参数表"/>
      <sheetName val="锥齿轮传动设计计算"/>
      <sheetName val="概述"/>
      <sheetName val="负载转矩计算"/>
      <sheetName val="惯量计算"/>
      <sheetName val="丝杠水平运动 "/>
      <sheetName val="丝杠垂直运动"/>
      <sheetName val="皮带轮间歇运动"/>
      <sheetName val="皮带轮连续运动"/>
      <sheetName val="分度盘"/>
      <sheetName val="其他"/>
      <sheetName val="电机常识"/>
      <sheetName val="圆盘"/>
      <sheetName val="分割器选型基础知识"/>
      <sheetName val="惯性距计算"/>
      <sheetName val="分割器计算"/>
      <sheetName val="公差"/>
      <sheetName val="轴偏差"/>
      <sheetName val="空偏差"/>
      <sheetName val="形位公差"/>
      <sheetName val="标准件重"/>
      <sheetName val="O型圈"/>
      <sheetName val="无缝管"/>
      <sheetName val="密度"/>
      <sheetName val="标准筛目"/>
      <sheetName val="形状位置公差加工方法"/>
      <sheetName val="平键和键槽标准尺寸规格表"/>
      <sheetName val="凸轮各曲线特征"/>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擠壓螺紋下孔徑"/>
      <sheetName val="美國螺紋統一標准"/>
      <sheetName val="ISO Metric profile"/>
      <sheetName val="ANSI Metric M Profile"/>
      <sheetName val="ISO Metric Trapezoidal Threads"/>
      <sheetName val="Inch Tapping Threads"/>
      <sheetName val="Metric Forming Screw Threads"/>
      <sheetName val="NPT for PVC Pipe and Fitting"/>
      <sheetName val="NPT"/>
      <sheetName val="ISO Pipe Threads"/>
      <sheetName val="ISO Taper"/>
      <sheetName val="JIS Pipe Threads"/>
      <sheetName val="JIS Taper"/>
      <sheetName val="Din Taper"/>
      <sheetName val="DIN Pipe Taper"/>
      <sheetName val="DIN Pipe Thr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FFFFFF"/>
        </a:solidFill>
        <a:ln w="9525" cap="flat" cmpd="sng">
          <a:solidFill>
            <a:srgbClr val="000000"/>
          </a:solidFill>
          <a:prstDash val="solid"/>
          <a:headEnd type="none" w="med" len="med"/>
          <a:tailEnd type="none" w="med" len="med"/>
        </a:ln>
      </a:spPr>
      <a:bodyPr/>
      <a:lstStyle/>
    </a:sp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6" Type="http://schemas.openxmlformats.org/officeDocument/2006/relationships/image" Target="../media/image3.emf"/><Relationship Id="rId5" Type="http://schemas.openxmlformats.org/officeDocument/2006/relationships/oleObject" Target="../embeddings/oleObject2.bin"/><Relationship Id="rId4" Type="http://schemas.openxmlformats.org/officeDocument/2006/relationships/image" Target="../media/image2.emf"/></Relationships>
</file>

<file path=xl/worksheets/_rels/sheet8.xml.rels><?xml version="1.0" encoding="UTF-8" standalone="yes"?>
<Relationships xmlns="http://schemas.openxmlformats.org/package/2006/relationships"><Relationship Id="rId3" Type="http://schemas.openxmlformats.org/officeDocument/2006/relationships/oleObject" Target="../embeddings/oleObject3.bin"/><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image" Target="../media/image6.emf"/><Relationship Id="rId5" Type="http://schemas.openxmlformats.org/officeDocument/2006/relationships/oleObject" Target="../embeddings/oleObject4.bin"/><Relationship Id="rId4" Type="http://schemas.openxmlformats.org/officeDocument/2006/relationships/image" Target="../media/image5.emf"/></Relationships>
</file>

<file path=xl/worksheets/_rels/sheet9.x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oleObject" Target="../embeddings/oleObject10.bin"/><Relationship Id="rId18" Type="http://schemas.openxmlformats.org/officeDocument/2006/relationships/image" Target="../media/image14.emf"/><Relationship Id="rId3" Type="http://schemas.openxmlformats.org/officeDocument/2006/relationships/oleObject" Target="../embeddings/oleObject5.bin"/><Relationship Id="rId21" Type="http://schemas.openxmlformats.org/officeDocument/2006/relationships/oleObject" Target="../embeddings/oleObject14.bin"/><Relationship Id="rId7" Type="http://schemas.openxmlformats.org/officeDocument/2006/relationships/oleObject" Target="../embeddings/oleObject7.bin"/><Relationship Id="rId12" Type="http://schemas.openxmlformats.org/officeDocument/2006/relationships/image" Target="../media/image11.emf"/><Relationship Id="rId17" Type="http://schemas.openxmlformats.org/officeDocument/2006/relationships/oleObject" Target="../embeddings/oleObject12.bin"/><Relationship Id="rId2" Type="http://schemas.openxmlformats.org/officeDocument/2006/relationships/vmlDrawing" Target="../drawings/vmlDrawing3.vml"/><Relationship Id="rId16" Type="http://schemas.openxmlformats.org/officeDocument/2006/relationships/image" Target="../media/image13.emf"/><Relationship Id="rId20" Type="http://schemas.openxmlformats.org/officeDocument/2006/relationships/image" Target="../media/image15.emf"/><Relationship Id="rId1" Type="http://schemas.openxmlformats.org/officeDocument/2006/relationships/drawing" Target="../drawings/drawing4.xml"/><Relationship Id="rId6" Type="http://schemas.openxmlformats.org/officeDocument/2006/relationships/image" Target="../media/image8.emf"/><Relationship Id="rId11" Type="http://schemas.openxmlformats.org/officeDocument/2006/relationships/oleObject" Target="../embeddings/oleObject9.bin"/><Relationship Id="rId24" Type="http://schemas.openxmlformats.org/officeDocument/2006/relationships/image" Target="../media/image17.emf"/><Relationship Id="rId5" Type="http://schemas.openxmlformats.org/officeDocument/2006/relationships/oleObject" Target="../embeddings/oleObject6.bin"/><Relationship Id="rId15" Type="http://schemas.openxmlformats.org/officeDocument/2006/relationships/oleObject" Target="../embeddings/oleObject11.bin"/><Relationship Id="rId23" Type="http://schemas.openxmlformats.org/officeDocument/2006/relationships/oleObject" Target="../embeddings/oleObject15.bin"/><Relationship Id="rId10" Type="http://schemas.openxmlformats.org/officeDocument/2006/relationships/image" Target="../media/image10.emf"/><Relationship Id="rId19" Type="http://schemas.openxmlformats.org/officeDocument/2006/relationships/oleObject" Target="../embeddings/oleObject13.bin"/><Relationship Id="rId4" Type="http://schemas.openxmlformats.org/officeDocument/2006/relationships/image" Target="../media/image7.emf"/><Relationship Id="rId9" Type="http://schemas.openxmlformats.org/officeDocument/2006/relationships/oleObject" Target="../embeddings/oleObject8.bin"/><Relationship Id="rId14" Type="http://schemas.openxmlformats.org/officeDocument/2006/relationships/image" Target="../media/image12.emf"/><Relationship Id="rId22" Type="http://schemas.openxmlformats.org/officeDocument/2006/relationships/image" Target="../media/image16.emf"/></Relationships>
</file>

<file path=xl/worksheets/_rels/sheet10.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oleObject" Target="../embeddings/oleObject21.bin"/><Relationship Id="rId18" Type="http://schemas.openxmlformats.org/officeDocument/2006/relationships/image" Target="../media/image25.emf"/><Relationship Id="rId3" Type="http://schemas.openxmlformats.org/officeDocument/2006/relationships/oleObject" Target="../embeddings/oleObject16.bin"/><Relationship Id="rId7" Type="http://schemas.openxmlformats.org/officeDocument/2006/relationships/oleObject" Target="../embeddings/oleObject18.bin"/><Relationship Id="rId12" Type="http://schemas.openxmlformats.org/officeDocument/2006/relationships/image" Target="../media/image22.emf"/><Relationship Id="rId17" Type="http://schemas.openxmlformats.org/officeDocument/2006/relationships/oleObject" Target="../embeddings/oleObject23.bin"/><Relationship Id="rId2" Type="http://schemas.openxmlformats.org/officeDocument/2006/relationships/vmlDrawing" Target="../drawings/vmlDrawing4.vml"/><Relationship Id="rId16" Type="http://schemas.openxmlformats.org/officeDocument/2006/relationships/image" Target="../media/image24.emf"/><Relationship Id="rId1" Type="http://schemas.openxmlformats.org/officeDocument/2006/relationships/drawing" Target="../drawings/drawing5.xml"/><Relationship Id="rId6" Type="http://schemas.openxmlformats.org/officeDocument/2006/relationships/image" Target="../media/image19.emf"/><Relationship Id="rId11" Type="http://schemas.openxmlformats.org/officeDocument/2006/relationships/oleObject" Target="../embeddings/oleObject20.bin"/><Relationship Id="rId5" Type="http://schemas.openxmlformats.org/officeDocument/2006/relationships/oleObject" Target="../embeddings/oleObject17.bin"/><Relationship Id="rId15" Type="http://schemas.openxmlformats.org/officeDocument/2006/relationships/oleObject" Target="../embeddings/oleObject22.bin"/><Relationship Id="rId10" Type="http://schemas.openxmlformats.org/officeDocument/2006/relationships/image" Target="../media/image21.emf"/><Relationship Id="rId4" Type="http://schemas.openxmlformats.org/officeDocument/2006/relationships/image" Target="../media/image18.emf"/><Relationship Id="rId9" Type="http://schemas.openxmlformats.org/officeDocument/2006/relationships/oleObject" Target="../embeddings/oleObject19.bin"/><Relationship Id="rId14" Type="http://schemas.openxmlformats.org/officeDocument/2006/relationships/image" Target="../media/image23.emf"/></Relationships>
</file>

<file path=xl/worksheets/_rels/sheet11.xml.rels><?xml version="1.0" encoding="UTF-8" standalone="yes"?>
<Relationships xmlns="http://schemas.openxmlformats.org/package/2006/relationships"><Relationship Id="rId3" Type="http://schemas.openxmlformats.org/officeDocument/2006/relationships/oleObject" Target="../embeddings/oleObject24.bin"/><Relationship Id="rId2" Type="http://schemas.openxmlformats.org/officeDocument/2006/relationships/vmlDrawing" Target="../drawings/vmlDrawing5.vml"/><Relationship Id="rId1" Type="http://schemas.openxmlformats.org/officeDocument/2006/relationships/drawing" Target="../drawings/drawing6.xml"/><Relationship Id="rId6" Type="http://schemas.openxmlformats.org/officeDocument/2006/relationships/image" Target="../media/image27.emf"/><Relationship Id="rId5" Type="http://schemas.openxmlformats.org/officeDocument/2006/relationships/oleObject" Target="../embeddings/oleObject25.bin"/><Relationship Id="rId4" Type="http://schemas.openxmlformats.org/officeDocument/2006/relationships/image" Target="../media/image26.emf"/></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6.vml"/><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7.vml"/><Relationship Id="rId1" Type="http://schemas.openxmlformats.org/officeDocument/2006/relationships/drawing" Target="../drawings/drawing2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68.xml.rels><?xml version="1.0" encoding="UTF-8" standalone="yes"?>
<Relationships xmlns="http://schemas.openxmlformats.org/package/2006/relationships"><Relationship Id="rId13" Type="http://schemas.openxmlformats.org/officeDocument/2006/relationships/oleObject" Target="../embeddings/oleObject31.bin"/><Relationship Id="rId18" Type="http://schemas.openxmlformats.org/officeDocument/2006/relationships/oleObject" Target="../embeddings/oleObject35.bin"/><Relationship Id="rId26" Type="http://schemas.openxmlformats.org/officeDocument/2006/relationships/oleObject" Target="../embeddings/oleObject43.bin"/><Relationship Id="rId39" Type="http://schemas.openxmlformats.org/officeDocument/2006/relationships/oleObject" Target="../embeddings/oleObject56.bin"/><Relationship Id="rId21" Type="http://schemas.openxmlformats.org/officeDocument/2006/relationships/oleObject" Target="../embeddings/oleObject38.bin"/><Relationship Id="rId34" Type="http://schemas.openxmlformats.org/officeDocument/2006/relationships/oleObject" Target="../embeddings/oleObject51.bin"/><Relationship Id="rId42" Type="http://schemas.openxmlformats.org/officeDocument/2006/relationships/oleObject" Target="../embeddings/oleObject59.bin"/><Relationship Id="rId47" Type="http://schemas.openxmlformats.org/officeDocument/2006/relationships/oleObject" Target="../embeddings/oleObject64.bin"/><Relationship Id="rId50" Type="http://schemas.openxmlformats.org/officeDocument/2006/relationships/oleObject" Target="../embeddings/oleObject66.bin"/><Relationship Id="rId55" Type="http://schemas.openxmlformats.org/officeDocument/2006/relationships/image" Target="../media/image229.emf"/><Relationship Id="rId7" Type="http://schemas.openxmlformats.org/officeDocument/2006/relationships/oleObject" Target="../embeddings/oleObject28.bin"/><Relationship Id="rId2" Type="http://schemas.openxmlformats.org/officeDocument/2006/relationships/vmlDrawing" Target="../drawings/vmlDrawing8.vml"/><Relationship Id="rId16" Type="http://schemas.openxmlformats.org/officeDocument/2006/relationships/image" Target="../media/image225.wmf"/><Relationship Id="rId20" Type="http://schemas.openxmlformats.org/officeDocument/2006/relationships/oleObject" Target="../embeddings/oleObject37.bin"/><Relationship Id="rId29" Type="http://schemas.openxmlformats.org/officeDocument/2006/relationships/oleObject" Target="../embeddings/oleObject46.bin"/><Relationship Id="rId41" Type="http://schemas.openxmlformats.org/officeDocument/2006/relationships/oleObject" Target="../embeddings/oleObject58.bin"/><Relationship Id="rId54" Type="http://schemas.openxmlformats.org/officeDocument/2006/relationships/oleObject" Target="../embeddings/oleObject68.bin"/><Relationship Id="rId1" Type="http://schemas.openxmlformats.org/officeDocument/2006/relationships/drawing" Target="../drawings/drawing53.xml"/><Relationship Id="rId6" Type="http://schemas.openxmlformats.org/officeDocument/2006/relationships/image" Target="../media/image221.wmf"/><Relationship Id="rId11" Type="http://schemas.openxmlformats.org/officeDocument/2006/relationships/oleObject" Target="../embeddings/oleObject30.bin"/><Relationship Id="rId24" Type="http://schemas.openxmlformats.org/officeDocument/2006/relationships/oleObject" Target="../embeddings/oleObject41.bin"/><Relationship Id="rId32" Type="http://schemas.openxmlformats.org/officeDocument/2006/relationships/oleObject" Target="../embeddings/oleObject49.bin"/><Relationship Id="rId37" Type="http://schemas.openxmlformats.org/officeDocument/2006/relationships/oleObject" Target="../embeddings/oleObject54.bin"/><Relationship Id="rId40" Type="http://schemas.openxmlformats.org/officeDocument/2006/relationships/oleObject" Target="../embeddings/oleObject57.bin"/><Relationship Id="rId45" Type="http://schemas.openxmlformats.org/officeDocument/2006/relationships/oleObject" Target="../embeddings/oleObject62.bin"/><Relationship Id="rId53" Type="http://schemas.openxmlformats.org/officeDocument/2006/relationships/image" Target="../media/image228.emf"/><Relationship Id="rId58" Type="http://schemas.openxmlformats.org/officeDocument/2006/relationships/oleObject" Target="../embeddings/oleObject70.bin"/><Relationship Id="rId5" Type="http://schemas.openxmlformats.org/officeDocument/2006/relationships/oleObject" Target="../embeddings/oleObject27.bin"/><Relationship Id="rId15" Type="http://schemas.openxmlformats.org/officeDocument/2006/relationships/oleObject" Target="../embeddings/oleObject33.bin"/><Relationship Id="rId23" Type="http://schemas.openxmlformats.org/officeDocument/2006/relationships/oleObject" Target="../embeddings/oleObject40.bin"/><Relationship Id="rId28" Type="http://schemas.openxmlformats.org/officeDocument/2006/relationships/oleObject" Target="../embeddings/oleObject45.bin"/><Relationship Id="rId36" Type="http://schemas.openxmlformats.org/officeDocument/2006/relationships/oleObject" Target="../embeddings/oleObject53.bin"/><Relationship Id="rId49" Type="http://schemas.openxmlformats.org/officeDocument/2006/relationships/image" Target="../media/image226.emf"/><Relationship Id="rId57" Type="http://schemas.openxmlformats.org/officeDocument/2006/relationships/image" Target="../media/image230.emf"/><Relationship Id="rId61" Type="http://schemas.openxmlformats.org/officeDocument/2006/relationships/image" Target="../media/image232.emf"/><Relationship Id="rId10" Type="http://schemas.openxmlformats.org/officeDocument/2006/relationships/image" Target="../media/image223.wmf"/><Relationship Id="rId19" Type="http://schemas.openxmlformats.org/officeDocument/2006/relationships/oleObject" Target="../embeddings/oleObject36.bin"/><Relationship Id="rId31" Type="http://schemas.openxmlformats.org/officeDocument/2006/relationships/oleObject" Target="../embeddings/oleObject48.bin"/><Relationship Id="rId44" Type="http://schemas.openxmlformats.org/officeDocument/2006/relationships/oleObject" Target="../embeddings/oleObject61.bin"/><Relationship Id="rId52" Type="http://schemas.openxmlformats.org/officeDocument/2006/relationships/oleObject" Target="../embeddings/oleObject67.bin"/><Relationship Id="rId60" Type="http://schemas.openxmlformats.org/officeDocument/2006/relationships/oleObject" Target="../embeddings/oleObject71.bin"/><Relationship Id="rId4" Type="http://schemas.openxmlformats.org/officeDocument/2006/relationships/image" Target="../media/image220.wmf"/><Relationship Id="rId9" Type="http://schemas.openxmlformats.org/officeDocument/2006/relationships/oleObject" Target="../embeddings/oleObject29.bin"/><Relationship Id="rId14" Type="http://schemas.openxmlformats.org/officeDocument/2006/relationships/oleObject" Target="../embeddings/oleObject32.bin"/><Relationship Id="rId22" Type="http://schemas.openxmlformats.org/officeDocument/2006/relationships/oleObject" Target="../embeddings/oleObject39.bin"/><Relationship Id="rId27" Type="http://schemas.openxmlformats.org/officeDocument/2006/relationships/oleObject" Target="../embeddings/oleObject44.bin"/><Relationship Id="rId30" Type="http://schemas.openxmlformats.org/officeDocument/2006/relationships/oleObject" Target="../embeddings/oleObject47.bin"/><Relationship Id="rId35" Type="http://schemas.openxmlformats.org/officeDocument/2006/relationships/oleObject" Target="../embeddings/oleObject52.bin"/><Relationship Id="rId43" Type="http://schemas.openxmlformats.org/officeDocument/2006/relationships/oleObject" Target="../embeddings/oleObject60.bin"/><Relationship Id="rId48" Type="http://schemas.openxmlformats.org/officeDocument/2006/relationships/oleObject" Target="../embeddings/oleObject65.bin"/><Relationship Id="rId56" Type="http://schemas.openxmlformats.org/officeDocument/2006/relationships/oleObject" Target="../embeddings/oleObject69.bin"/><Relationship Id="rId8" Type="http://schemas.openxmlformats.org/officeDocument/2006/relationships/image" Target="../media/image222.wmf"/><Relationship Id="rId51" Type="http://schemas.openxmlformats.org/officeDocument/2006/relationships/image" Target="../media/image227.wmf"/><Relationship Id="rId3" Type="http://schemas.openxmlformats.org/officeDocument/2006/relationships/oleObject" Target="../embeddings/oleObject26.bin"/><Relationship Id="rId12" Type="http://schemas.openxmlformats.org/officeDocument/2006/relationships/image" Target="../media/image224.wmf"/><Relationship Id="rId17" Type="http://schemas.openxmlformats.org/officeDocument/2006/relationships/oleObject" Target="../embeddings/oleObject34.bin"/><Relationship Id="rId25" Type="http://schemas.openxmlformats.org/officeDocument/2006/relationships/oleObject" Target="../embeddings/oleObject42.bin"/><Relationship Id="rId33" Type="http://schemas.openxmlformats.org/officeDocument/2006/relationships/oleObject" Target="../embeddings/oleObject50.bin"/><Relationship Id="rId38" Type="http://schemas.openxmlformats.org/officeDocument/2006/relationships/oleObject" Target="../embeddings/oleObject55.bin"/><Relationship Id="rId46" Type="http://schemas.openxmlformats.org/officeDocument/2006/relationships/oleObject" Target="../embeddings/oleObject63.bin"/><Relationship Id="rId59" Type="http://schemas.openxmlformats.org/officeDocument/2006/relationships/image" Target="../media/image231.emf"/></Relationships>
</file>

<file path=xl/worksheets/_rels/sheet69.xml.rels><?xml version="1.0" encoding="UTF-8" standalone="yes"?>
<Relationships xmlns="http://schemas.openxmlformats.org/package/2006/relationships"><Relationship Id="rId8" Type="http://schemas.openxmlformats.org/officeDocument/2006/relationships/image" Target="../media/image235.wmf"/><Relationship Id="rId13" Type="http://schemas.openxmlformats.org/officeDocument/2006/relationships/oleObject" Target="../embeddings/oleObject79.bin"/><Relationship Id="rId18" Type="http://schemas.openxmlformats.org/officeDocument/2006/relationships/image" Target="../media/image237.wmf"/><Relationship Id="rId26" Type="http://schemas.openxmlformats.org/officeDocument/2006/relationships/image" Target="../media/image241.wmf"/><Relationship Id="rId3" Type="http://schemas.openxmlformats.org/officeDocument/2006/relationships/oleObject" Target="../embeddings/oleObject72.bin"/><Relationship Id="rId21" Type="http://schemas.openxmlformats.org/officeDocument/2006/relationships/oleObject" Target="../embeddings/oleObject84.bin"/><Relationship Id="rId7" Type="http://schemas.openxmlformats.org/officeDocument/2006/relationships/oleObject" Target="../embeddings/oleObject74.bin"/><Relationship Id="rId12" Type="http://schemas.openxmlformats.org/officeDocument/2006/relationships/oleObject" Target="../embeddings/oleObject78.bin"/><Relationship Id="rId17" Type="http://schemas.openxmlformats.org/officeDocument/2006/relationships/oleObject" Target="../embeddings/oleObject82.bin"/><Relationship Id="rId25" Type="http://schemas.openxmlformats.org/officeDocument/2006/relationships/oleObject" Target="../embeddings/oleObject86.bin"/><Relationship Id="rId2" Type="http://schemas.openxmlformats.org/officeDocument/2006/relationships/vmlDrawing" Target="../drawings/vmlDrawing9.vml"/><Relationship Id="rId16" Type="http://schemas.openxmlformats.org/officeDocument/2006/relationships/image" Target="../media/image236.wmf"/><Relationship Id="rId20" Type="http://schemas.openxmlformats.org/officeDocument/2006/relationships/image" Target="../media/image238.emf"/><Relationship Id="rId1" Type="http://schemas.openxmlformats.org/officeDocument/2006/relationships/drawing" Target="../drawings/drawing54.xml"/><Relationship Id="rId6" Type="http://schemas.openxmlformats.org/officeDocument/2006/relationships/image" Target="../media/image234.wmf"/><Relationship Id="rId11" Type="http://schemas.openxmlformats.org/officeDocument/2006/relationships/oleObject" Target="../embeddings/oleObject77.bin"/><Relationship Id="rId24" Type="http://schemas.openxmlformats.org/officeDocument/2006/relationships/image" Target="../media/image240.wmf"/><Relationship Id="rId5" Type="http://schemas.openxmlformats.org/officeDocument/2006/relationships/oleObject" Target="../embeddings/oleObject73.bin"/><Relationship Id="rId15" Type="http://schemas.openxmlformats.org/officeDocument/2006/relationships/oleObject" Target="../embeddings/oleObject81.bin"/><Relationship Id="rId23" Type="http://schemas.openxmlformats.org/officeDocument/2006/relationships/oleObject" Target="../embeddings/oleObject85.bin"/><Relationship Id="rId28" Type="http://schemas.openxmlformats.org/officeDocument/2006/relationships/image" Target="../media/image242.wmf"/><Relationship Id="rId10" Type="http://schemas.openxmlformats.org/officeDocument/2006/relationships/oleObject" Target="../embeddings/oleObject76.bin"/><Relationship Id="rId19" Type="http://schemas.openxmlformats.org/officeDocument/2006/relationships/oleObject" Target="../embeddings/oleObject83.bin"/><Relationship Id="rId4" Type="http://schemas.openxmlformats.org/officeDocument/2006/relationships/image" Target="../media/image233.wmf"/><Relationship Id="rId9" Type="http://schemas.openxmlformats.org/officeDocument/2006/relationships/oleObject" Target="../embeddings/oleObject75.bin"/><Relationship Id="rId14" Type="http://schemas.openxmlformats.org/officeDocument/2006/relationships/oleObject" Target="../embeddings/oleObject80.bin"/><Relationship Id="rId22" Type="http://schemas.openxmlformats.org/officeDocument/2006/relationships/image" Target="../media/image239.emf"/><Relationship Id="rId27" Type="http://schemas.openxmlformats.org/officeDocument/2006/relationships/oleObject" Target="../embeddings/oleObject87.bin"/></Relationships>
</file>

<file path=xl/worksheets/_rels/sheet70.xml.rels><?xml version="1.0" encoding="UTF-8" standalone="yes"?>
<Relationships xmlns="http://schemas.openxmlformats.org/package/2006/relationships"><Relationship Id="rId8" Type="http://schemas.openxmlformats.org/officeDocument/2006/relationships/image" Target="../media/image245.wmf"/><Relationship Id="rId13" Type="http://schemas.openxmlformats.org/officeDocument/2006/relationships/image" Target="../media/image247.wmf"/><Relationship Id="rId18" Type="http://schemas.openxmlformats.org/officeDocument/2006/relationships/oleObject" Target="../embeddings/oleObject96.bin"/><Relationship Id="rId26" Type="http://schemas.openxmlformats.org/officeDocument/2006/relationships/oleObject" Target="../embeddings/oleObject100.bin"/><Relationship Id="rId39" Type="http://schemas.openxmlformats.org/officeDocument/2006/relationships/image" Target="../media/image260.emf"/><Relationship Id="rId3" Type="http://schemas.openxmlformats.org/officeDocument/2006/relationships/oleObject" Target="../embeddings/oleObject88.bin"/><Relationship Id="rId21" Type="http://schemas.openxmlformats.org/officeDocument/2006/relationships/image" Target="../media/image251.wmf"/><Relationship Id="rId34" Type="http://schemas.openxmlformats.org/officeDocument/2006/relationships/oleObject" Target="../embeddings/oleObject104.bin"/><Relationship Id="rId7" Type="http://schemas.openxmlformats.org/officeDocument/2006/relationships/oleObject" Target="../embeddings/oleObject90.bin"/><Relationship Id="rId12" Type="http://schemas.openxmlformats.org/officeDocument/2006/relationships/oleObject" Target="../embeddings/oleObject93.bin"/><Relationship Id="rId17" Type="http://schemas.openxmlformats.org/officeDocument/2006/relationships/image" Target="../media/image249.wmf"/><Relationship Id="rId25" Type="http://schemas.openxmlformats.org/officeDocument/2006/relationships/image" Target="../media/image253.wmf"/><Relationship Id="rId33" Type="http://schemas.openxmlformats.org/officeDocument/2006/relationships/image" Target="../media/image257.emf"/><Relationship Id="rId38" Type="http://schemas.openxmlformats.org/officeDocument/2006/relationships/oleObject" Target="../embeddings/oleObject106.bin"/><Relationship Id="rId2" Type="http://schemas.openxmlformats.org/officeDocument/2006/relationships/vmlDrawing" Target="../drawings/vmlDrawing10.vml"/><Relationship Id="rId16" Type="http://schemas.openxmlformats.org/officeDocument/2006/relationships/oleObject" Target="../embeddings/oleObject95.bin"/><Relationship Id="rId20" Type="http://schemas.openxmlformats.org/officeDocument/2006/relationships/oleObject" Target="../embeddings/oleObject97.bin"/><Relationship Id="rId29" Type="http://schemas.openxmlformats.org/officeDocument/2006/relationships/image" Target="../media/image255.wmf"/><Relationship Id="rId41" Type="http://schemas.openxmlformats.org/officeDocument/2006/relationships/image" Target="../media/image261.emf"/><Relationship Id="rId1" Type="http://schemas.openxmlformats.org/officeDocument/2006/relationships/drawing" Target="../drawings/drawing55.xml"/><Relationship Id="rId6" Type="http://schemas.openxmlformats.org/officeDocument/2006/relationships/image" Target="../media/image244.wmf"/><Relationship Id="rId11" Type="http://schemas.openxmlformats.org/officeDocument/2006/relationships/image" Target="../media/image246.wmf"/><Relationship Id="rId24" Type="http://schemas.openxmlformats.org/officeDocument/2006/relationships/oleObject" Target="../embeddings/oleObject99.bin"/><Relationship Id="rId32" Type="http://schemas.openxmlformats.org/officeDocument/2006/relationships/oleObject" Target="../embeddings/oleObject103.bin"/><Relationship Id="rId37" Type="http://schemas.openxmlformats.org/officeDocument/2006/relationships/image" Target="../media/image259.emf"/><Relationship Id="rId40" Type="http://schemas.openxmlformats.org/officeDocument/2006/relationships/oleObject" Target="../embeddings/oleObject107.bin"/><Relationship Id="rId5" Type="http://schemas.openxmlformats.org/officeDocument/2006/relationships/oleObject" Target="../embeddings/oleObject89.bin"/><Relationship Id="rId15" Type="http://schemas.openxmlformats.org/officeDocument/2006/relationships/image" Target="../media/image248.wmf"/><Relationship Id="rId23" Type="http://schemas.openxmlformats.org/officeDocument/2006/relationships/image" Target="../media/image252.wmf"/><Relationship Id="rId28" Type="http://schemas.openxmlformats.org/officeDocument/2006/relationships/oleObject" Target="../embeddings/oleObject101.bin"/><Relationship Id="rId36" Type="http://schemas.openxmlformats.org/officeDocument/2006/relationships/oleObject" Target="../embeddings/oleObject105.bin"/><Relationship Id="rId10" Type="http://schemas.openxmlformats.org/officeDocument/2006/relationships/oleObject" Target="../embeddings/oleObject92.bin"/><Relationship Id="rId19" Type="http://schemas.openxmlformats.org/officeDocument/2006/relationships/image" Target="../media/image250.wmf"/><Relationship Id="rId31" Type="http://schemas.openxmlformats.org/officeDocument/2006/relationships/image" Target="../media/image256.emf"/><Relationship Id="rId4" Type="http://schemas.openxmlformats.org/officeDocument/2006/relationships/image" Target="../media/image243.wmf"/><Relationship Id="rId9" Type="http://schemas.openxmlformats.org/officeDocument/2006/relationships/oleObject" Target="../embeddings/oleObject91.bin"/><Relationship Id="rId14" Type="http://schemas.openxmlformats.org/officeDocument/2006/relationships/oleObject" Target="../embeddings/oleObject94.bin"/><Relationship Id="rId22" Type="http://schemas.openxmlformats.org/officeDocument/2006/relationships/oleObject" Target="../embeddings/oleObject98.bin"/><Relationship Id="rId27" Type="http://schemas.openxmlformats.org/officeDocument/2006/relationships/image" Target="../media/image254.wmf"/><Relationship Id="rId30" Type="http://schemas.openxmlformats.org/officeDocument/2006/relationships/oleObject" Target="../embeddings/oleObject102.bin"/><Relationship Id="rId35" Type="http://schemas.openxmlformats.org/officeDocument/2006/relationships/image" Target="../media/image258.emf"/></Relationships>
</file>

<file path=xl/worksheets/_rels/sheet71.xml.rels><?xml version="1.0" encoding="UTF-8" standalone="yes"?>
<Relationships xmlns="http://schemas.openxmlformats.org/package/2006/relationships"><Relationship Id="rId13" Type="http://schemas.openxmlformats.org/officeDocument/2006/relationships/oleObject" Target="../embeddings/oleObject113.bin"/><Relationship Id="rId18" Type="http://schemas.openxmlformats.org/officeDocument/2006/relationships/image" Target="../media/image269.emf"/><Relationship Id="rId26" Type="http://schemas.openxmlformats.org/officeDocument/2006/relationships/image" Target="../media/image273.wmf"/><Relationship Id="rId39" Type="http://schemas.openxmlformats.org/officeDocument/2006/relationships/oleObject" Target="../embeddings/oleObject126.bin"/><Relationship Id="rId21" Type="http://schemas.openxmlformats.org/officeDocument/2006/relationships/oleObject" Target="../embeddings/oleObject117.bin"/><Relationship Id="rId34" Type="http://schemas.openxmlformats.org/officeDocument/2006/relationships/image" Target="../media/image277.wmf"/><Relationship Id="rId42" Type="http://schemas.openxmlformats.org/officeDocument/2006/relationships/image" Target="../media/image281.wmf"/><Relationship Id="rId47" Type="http://schemas.openxmlformats.org/officeDocument/2006/relationships/oleObject" Target="../embeddings/oleObject132.bin"/><Relationship Id="rId50" Type="http://schemas.openxmlformats.org/officeDocument/2006/relationships/oleObject" Target="../embeddings/oleObject135.bin"/><Relationship Id="rId55" Type="http://schemas.openxmlformats.org/officeDocument/2006/relationships/image" Target="../media/image283.wmf"/><Relationship Id="rId63" Type="http://schemas.openxmlformats.org/officeDocument/2006/relationships/image" Target="../media/image287.wmf"/><Relationship Id="rId7" Type="http://schemas.openxmlformats.org/officeDocument/2006/relationships/oleObject" Target="../embeddings/oleObject110.bin"/><Relationship Id="rId2" Type="http://schemas.openxmlformats.org/officeDocument/2006/relationships/vmlDrawing" Target="../drawings/vmlDrawing11.vml"/><Relationship Id="rId16" Type="http://schemas.openxmlformats.org/officeDocument/2006/relationships/image" Target="../media/image268.wmf"/><Relationship Id="rId20" Type="http://schemas.openxmlformats.org/officeDocument/2006/relationships/image" Target="../media/image270.emf"/><Relationship Id="rId29" Type="http://schemas.openxmlformats.org/officeDocument/2006/relationships/oleObject" Target="../embeddings/oleObject121.bin"/><Relationship Id="rId41" Type="http://schemas.openxmlformats.org/officeDocument/2006/relationships/oleObject" Target="../embeddings/oleObject127.bin"/><Relationship Id="rId54" Type="http://schemas.openxmlformats.org/officeDocument/2006/relationships/oleObject" Target="../embeddings/oleObject138.bin"/><Relationship Id="rId62" Type="http://schemas.openxmlformats.org/officeDocument/2006/relationships/oleObject" Target="../embeddings/oleObject142.bin"/><Relationship Id="rId1" Type="http://schemas.openxmlformats.org/officeDocument/2006/relationships/drawing" Target="../drawings/drawing56.xml"/><Relationship Id="rId6" Type="http://schemas.openxmlformats.org/officeDocument/2006/relationships/image" Target="../media/image263.emf"/><Relationship Id="rId11" Type="http://schemas.openxmlformats.org/officeDocument/2006/relationships/oleObject" Target="../embeddings/oleObject112.bin"/><Relationship Id="rId24" Type="http://schemas.openxmlformats.org/officeDocument/2006/relationships/image" Target="../media/image272.wmf"/><Relationship Id="rId32" Type="http://schemas.openxmlformats.org/officeDocument/2006/relationships/image" Target="../media/image276.wmf"/><Relationship Id="rId37" Type="http://schemas.openxmlformats.org/officeDocument/2006/relationships/oleObject" Target="../embeddings/oleObject125.bin"/><Relationship Id="rId40" Type="http://schemas.openxmlformats.org/officeDocument/2006/relationships/image" Target="../media/image280.wmf"/><Relationship Id="rId45" Type="http://schemas.openxmlformats.org/officeDocument/2006/relationships/oleObject" Target="../embeddings/oleObject130.bin"/><Relationship Id="rId53" Type="http://schemas.openxmlformats.org/officeDocument/2006/relationships/image" Target="../media/image282.wmf"/><Relationship Id="rId58" Type="http://schemas.openxmlformats.org/officeDocument/2006/relationships/oleObject" Target="../embeddings/oleObject140.bin"/><Relationship Id="rId5" Type="http://schemas.openxmlformats.org/officeDocument/2006/relationships/oleObject" Target="../embeddings/oleObject109.bin"/><Relationship Id="rId15" Type="http://schemas.openxmlformats.org/officeDocument/2006/relationships/oleObject" Target="../embeddings/oleObject114.bin"/><Relationship Id="rId23" Type="http://schemas.openxmlformats.org/officeDocument/2006/relationships/oleObject" Target="../embeddings/oleObject118.bin"/><Relationship Id="rId28" Type="http://schemas.openxmlformats.org/officeDocument/2006/relationships/image" Target="../media/image274.emf"/><Relationship Id="rId36" Type="http://schemas.openxmlformats.org/officeDocument/2006/relationships/image" Target="../media/image278.wmf"/><Relationship Id="rId49" Type="http://schemas.openxmlformats.org/officeDocument/2006/relationships/oleObject" Target="../embeddings/oleObject134.bin"/><Relationship Id="rId57" Type="http://schemas.openxmlformats.org/officeDocument/2006/relationships/image" Target="../media/image284.wmf"/><Relationship Id="rId61" Type="http://schemas.openxmlformats.org/officeDocument/2006/relationships/image" Target="../media/image286.wmf"/><Relationship Id="rId10" Type="http://schemas.openxmlformats.org/officeDocument/2006/relationships/image" Target="../media/image265.wmf"/><Relationship Id="rId19" Type="http://schemas.openxmlformats.org/officeDocument/2006/relationships/oleObject" Target="../embeddings/oleObject116.bin"/><Relationship Id="rId31" Type="http://schemas.openxmlformats.org/officeDocument/2006/relationships/oleObject" Target="../embeddings/oleObject122.bin"/><Relationship Id="rId44" Type="http://schemas.openxmlformats.org/officeDocument/2006/relationships/oleObject" Target="../embeddings/oleObject129.bin"/><Relationship Id="rId52" Type="http://schemas.openxmlformats.org/officeDocument/2006/relationships/oleObject" Target="../embeddings/oleObject137.bin"/><Relationship Id="rId60" Type="http://schemas.openxmlformats.org/officeDocument/2006/relationships/oleObject" Target="../embeddings/oleObject141.bin"/><Relationship Id="rId4" Type="http://schemas.openxmlformats.org/officeDocument/2006/relationships/image" Target="../media/image262.emf"/><Relationship Id="rId9" Type="http://schemas.openxmlformats.org/officeDocument/2006/relationships/oleObject" Target="../embeddings/oleObject111.bin"/><Relationship Id="rId14" Type="http://schemas.openxmlformats.org/officeDocument/2006/relationships/image" Target="../media/image267.wmf"/><Relationship Id="rId22" Type="http://schemas.openxmlformats.org/officeDocument/2006/relationships/image" Target="../media/image271.wmf"/><Relationship Id="rId27" Type="http://schemas.openxmlformats.org/officeDocument/2006/relationships/oleObject" Target="../embeddings/oleObject120.bin"/><Relationship Id="rId30" Type="http://schemas.openxmlformats.org/officeDocument/2006/relationships/image" Target="../media/image275.wmf"/><Relationship Id="rId35" Type="http://schemas.openxmlformats.org/officeDocument/2006/relationships/oleObject" Target="../embeddings/oleObject124.bin"/><Relationship Id="rId43" Type="http://schemas.openxmlformats.org/officeDocument/2006/relationships/oleObject" Target="../embeddings/oleObject128.bin"/><Relationship Id="rId48" Type="http://schemas.openxmlformats.org/officeDocument/2006/relationships/oleObject" Target="../embeddings/oleObject133.bin"/><Relationship Id="rId56" Type="http://schemas.openxmlformats.org/officeDocument/2006/relationships/oleObject" Target="../embeddings/oleObject139.bin"/><Relationship Id="rId8" Type="http://schemas.openxmlformats.org/officeDocument/2006/relationships/image" Target="../media/image264.emf"/><Relationship Id="rId51" Type="http://schemas.openxmlformats.org/officeDocument/2006/relationships/oleObject" Target="../embeddings/oleObject136.bin"/><Relationship Id="rId3" Type="http://schemas.openxmlformats.org/officeDocument/2006/relationships/oleObject" Target="../embeddings/oleObject108.bin"/><Relationship Id="rId12" Type="http://schemas.openxmlformats.org/officeDocument/2006/relationships/image" Target="../media/image266.wmf"/><Relationship Id="rId17" Type="http://schemas.openxmlformats.org/officeDocument/2006/relationships/oleObject" Target="../embeddings/oleObject115.bin"/><Relationship Id="rId25" Type="http://schemas.openxmlformats.org/officeDocument/2006/relationships/oleObject" Target="../embeddings/oleObject119.bin"/><Relationship Id="rId33" Type="http://schemas.openxmlformats.org/officeDocument/2006/relationships/oleObject" Target="../embeddings/oleObject123.bin"/><Relationship Id="rId38" Type="http://schemas.openxmlformats.org/officeDocument/2006/relationships/image" Target="../media/image279.wmf"/><Relationship Id="rId46" Type="http://schemas.openxmlformats.org/officeDocument/2006/relationships/oleObject" Target="../embeddings/oleObject131.bin"/><Relationship Id="rId59" Type="http://schemas.openxmlformats.org/officeDocument/2006/relationships/image" Target="../media/image285.wmf"/></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12.vml"/><Relationship Id="rId1" Type="http://schemas.openxmlformats.org/officeDocument/2006/relationships/drawing" Target="../drawings/drawing59.xml"/></Relationships>
</file>

<file path=xl/worksheets/_rels/sheet8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13.vml"/><Relationship Id="rId1" Type="http://schemas.openxmlformats.org/officeDocument/2006/relationships/drawing" Target="../drawings/drawing60.xml"/></Relationships>
</file>

<file path=xl/worksheets/_rels/sheet84.xml.rels><?xml version="1.0" encoding="UTF-8" standalone="yes"?>
<Relationships xmlns="http://schemas.openxmlformats.org/package/2006/relationships"><Relationship Id="rId3" Type="http://schemas.openxmlformats.org/officeDocument/2006/relationships/oleObject" Target="../embeddings/oleObject143.bin"/><Relationship Id="rId2" Type="http://schemas.openxmlformats.org/officeDocument/2006/relationships/vmlDrawing" Target="../drawings/vmlDrawing14.vml"/><Relationship Id="rId1" Type="http://schemas.openxmlformats.org/officeDocument/2006/relationships/drawing" Target="../drawings/drawing61.xml"/><Relationship Id="rId4" Type="http://schemas.openxmlformats.org/officeDocument/2006/relationships/image" Target="../media/image296.emf"/></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97.xml.rels><?xml version="1.0" encoding="UTF-8" standalone="yes"?>
<Relationships xmlns="http://schemas.openxmlformats.org/package/2006/relationships"><Relationship Id="rId8" Type="http://schemas.openxmlformats.org/officeDocument/2006/relationships/image" Target="../media/image304.wmf"/><Relationship Id="rId3" Type="http://schemas.openxmlformats.org/officeDocument/2006/relationships/oleObject" Target="../embeddings/oleObject144.bin"/><Relationship Id="rId7" Type="http://schemas.openxmlformats.org/officeDocument/2006/relationships/oleObject" Target="../embeddings/oleObject146.bin"/><Relationship Id="rId2" Type="http://schemas.openxmlformats.org/officeDocument/2006/relationships/vmlDrawing" Target="../drawings/vmlDrawing16.vml"/><Relationship Id="rId1" Type="http://schemas.openxmlformats.org/officeDocument/2006/relationships/drawing" Target="../drawings/drawing63.xml"/><Relationship Id="rId6" Type="http://schemas.openxmlformats.org/officeDocument/2006/relationships/image" Target="../media/image303.wmf"/><Relationship Id="rId5" Type="http://schemas.openxmlformats.org/officeDocument/2006/relationships/oleObject" Target="../embeddings/oleObject145.bin"/><Relationship Id="rId10" Type="http://schemas.openxmlformats.org/officeDocument/2006/relationships/image" Target="../media/image305.wmf"/><Relationship Id="rId4" Type="http://schemas.openxmlformats.org/officeDocument/2006/relationships/image" Target="../media/image302.wmf"/><Relationship Id="rId9" Type="http://schemas.openxmlformats.org/officeDocument/2006/relationships/oleObject" Target="../embeddings/oleObject147.bin"/></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99.xml.rels><?xml version="1.0" encoding="UTF-8" standalone="yes"?>
<Relationships xmlns="http://schemas.openxmlformats.org/package/2006/relationships"><Relationship Id="rId3" Type="http://schemas.openxmlformats.org/officeDocument/2006/relationships/oleObject" Target="../embeddings/oleObject148.bin"/><Relationship Id="rId2" Type="http://schemas.openxmlformats.org/officeDocument/2006/relationships/vmlDrawing" Target="../drawings/vmlDrawing17.vml"/><Relationship Id="rId1" Type="http://schemas.openxmlformats.org/officeDocument/2006/relationships/drawing" Target="../drawings/drawing65.xml"/><Relationship Id="rId4" Type="http://schemas.openxmlformats.org/officeDocument/2006/relationships/image" Target="../media/image309.emf"/></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0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8.vml"/><Relationship Id="rId1" Type="http://schemas.openxmlformats.org/officeDocument/2006/relationships/printerSettings" Target="../printerSettings/printerSettings11.bin"/></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126.xml.rels><?xml version="1.0" encoding="UTF-8" standalone="yes"?>
<Relationships xmlns="http://schemas.openxmlformats.org/package/2006/relationships"><Relationship Id="rId3" Type="http://schemas.openxmlformats.org/officeDocument/2006/relationships/oleObject" Target="../embeddings/oleObject149.bin"/><Relationship Id="rId2" Type="http://schemas.openxmlformats.org/officeDocument/2006/relationships/vmlDrawing" Target="../drawings/vmlDrawing19.vml"/><Relationship Id="rId1" Type="http://schemas.openxmlformats.org/officeDocument/2006/relationships/drawing" Target="../drawings/drawing72.xml"/><Relationship Id="rId4" Type="http://schemas.openxmlformats.org/officeDocument/2006/relationships/image" Target="../media/image322.emf"/></Relationships>
</file>

<file path=xl/worksheets/_rels/sheet1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20.vml"/></Relationships>
</file>

<file path=xl/worksheets/_rels/sheet130.xml.rels><?xml version="1.0" encoding="UTF-8" standalone="yes"?>
<Relationships xmlns="http://schemas.openxmlformats.org/package/2006/relationships"><Relationship Id="rId8" Type="http://schemas.openxmlformats.org/officeDocument/2006/relationships/image" Target="../media/image325.emf"/><Relationship Id="rId3" Type="http://schemas.openxmlformats.org/officeDocument/2006/relationships/oleObject" Target="../embeddings/oleObject150.bin"/><Relationship Id="rId7" Type="http://schemas.openxmlformats.org/officeDocument/2006/relationships/oleObject" Target="../embeddings/oleObject152.bin"/><Relationship Id="rId12" Type="http://schemas.openxmlformats.org/officeDocument/2006/relationships/image" Target="../media/image327.emf"/><Relationship Id="rId2" Type="http://schemas.openxmlformats.org/officeDocument/2006/relationships/vmlDrawing" Target="../drawings/vmlDrawing21.vml"/><Relationship Id="rId1" Type="http://schemas.openxmlformats.org/officeDocument/2006/relationships/drawing" Target="../drawings/drawing73.xml"/><Relationship Id="rId6" Type="http://schemas.openxmlformats.org/officeDocument/2006/relationships/image" Target="../media/image324.emf"/><Relationship Id="rId11" Type="http://schemas.openxmlformats.org/officeDocument/2006/relationships/oleObject" Target="../embeddings/oleObject154.bin"/><Relationship Id="rId5" Type="http://schemas.openxmlformats.org/officeDocument/2006/relationships/oleObject" Target="../embeddings/oleObject151.bin"/><Relationship Id="rId10" Type="http://schemas.openxmlformats.org/officeDocument/2006/relationships/image" Target="../media/image326.emf"/><Relationship Id="rId4" Type="http://schemas.openxmlformats.org/officeDocument/2006/relationships/image" Target="../media/image323.emf"/><Relationship Id="rId9" Type="http://schemas.openxmlformats.org/officeDocument/2006/relationships/oleObject" Target="../embeddings/oleObject153.bin"/></Relationships>
</file>

<file path=xl/worksheets/_rels/sheet131.xml.rels><?xml version="1.0" encoding="UTF-8" standalone="yes"?>
<Relationships xmlns="http://schemas.openxmlformats.org/package/2006/relationships"><Relationship Id="rId8" Type="http://schemas.openxmlformats.org/officeDocument/2006/relationships/image" Target="../media/image334.emf"/><Relationship Id="rId13" Type="http://schemas.openxmlformats.org/officeDocument/2006/relationships/oleObject" Target="../embeddings/oleObject160.bin"/><Relationship Id="rId3" Type="http://schemas.openxmlformats.org/officeDocument/2006/relationships/oleObject" Target="../embeddings/oleObject155.bin"/><Relationship Id="rId7" Type="http://schemas.openxmlformats.org/officeDocument/2006/relationships/oleObject" Target="../embeddings/oleObject157.bin"/><Relationship Id="rId12" Type="http://schemas.openxmlformats.org/officeDocument/2006/relationships/image" Target="../media/image336.emf"/><Relationship Id="rId2" Type="http://schemas.openxmlformats.org/officeDocument/2006/relationships/vmlDrawing" Target="../drawings/vmlDrawing22.vml"/><Relationship Id="rId16" Type="http://schemas.openxmlformats.org/officeDocument/2006/relationships/image" Target="../media/image338.emf"/><Relationship Id="rId1" Type="http://schemas.openxmlformats.org/officeDocument/2006/relationships/drawing" Target="../drawings/drawing74.xml"/><Relationship Id="rId6" Type="http://schemas.openxmlformats.org/officeDocument/2006/relationships/image" Target="../media/image333.emf"/><Relationship Id="rId11" Type="http://schemas.openxmlformats.org/officeDocument/2006/relationships/oleObject" Target="../embeddings/oleObject159.bin"/><Relationship Id="rId5" Type="http://schemas.openxmlformats.org/officeDocument/2006/relationships/oleObject" Target="../embeddings/oleObject156.bin"/><Relationship Id="rId15" Type="http://schemas.openxmlformats.org/officeDocument/2006/relationships/oleObject" Target="../embeddings/oleObject161.bin"/><Relationship Id="rId10" Type="http://schemas.openxmlformats.org/officeDocument/2006/relationships/image" Target="../media/image335.emf"/><Relationship Id="rId4" Type="http://schemas.openxmlformats.org/officeDocument/2006/relationships/image" Target="../media/image332.emf"/><Relationship Id="rId9" Type="http://schemas.openxmlformats.org/officeDocument/2006/relationships/oleObject" Target="../embeddings/oleObject158.bin"/><Relationship Id="rId14" Type="http://schemas.openxmlformats.org/officeDocument/2006/relationships/image" Target="../media/image337.emf"/></Relationships>
</file>

<file path=xl/worksheets/_rels/sheet132.xml.rels><?xml version="1.0" encoding="UTF-8" standalone="yes"?>
<Relationships xmlns="http://schemas.openxmlformats.org/package/2006/relationships"><Relationship Id="rId8" Type="http://schemas.openxmlformats.org/officeDocument/2006/relationships/image" Target="../media/image346.emf"/><Relationship Id="rId13" Type="http://schemas.openxmlformats.org/officeDocument/2006/relationships/oleObject" Target="../embeddings/oleObject167.bin"/><Relationship Id="rId18" Type="http://schemas.openxmlformats.org/officeDocument/2006/relationships/image" Target="../media/image351.emf"/><Relationship Id="rId3" Type="http://schemas.openxmlformats.org/officeDocument/2006/relationships/oleObject" Target="../embeddings/oleObject162.bin"/><Relationship Id="rId7" Type="http://schemas.openxmlformats.org/officeDocument/2006/relationships/oleObject" Target="../embeddings/oleObject164.bin"/><Relationship Id="rId12" Type="http://schemas.openxmlformats.org/officeDocument/2006/relationships/image" Target="../media/image348.emf"/><Relationship Id="rId17" Type="http://schemas.openxmlformats.org/officeDocument/2006/relationships/oleObject" Target="../embeddings/oleObject169.bin"/><Relationship Id="rId2" Type="http://schemas.openxmlformats.org/officeDocument/2006/relationships/vmlDrawing" Target="../drawings/vmlDrawing23.vml"/><Relationship Id="rId16" Type="http://schemas.openxmlformats.org/officeDocument/2006/relationships/image" Target="../media/image350.emf"/><Relationship Id="rId20" Type="http://schemas.openxmlformats.org/officeDocument/2006/relationships/image" Target="../media/image352.emf"/><Relationship Id="rId1" Type="http://schemas.openxmlformats.org/officeDocument/2006/relationships/drawing" Target="../drawings/drawing75.xml"/><Relationship Id="rId6" Type="http://schemas.openxmlformats.org/officeDocument/2006/relationships/image" Target="../media/image345.emf"/><Relationship Id="rId11" Type="http://schemas.openxmlformats.org/officeDocument/2006/relationships/oleObject" Target="../embeddings/oleObject166.bin"/><Relationship Id="rId5" Type="http://schemas.openxmlformats.org/officeDocument/2006/relationships/oleObject" Target="../embeddings/oleObject163.bin"/><Relationship Id="rId15" Type="http://schemas.openxmlformats.org/officeDocument/2006/relationships/oleObject" Target="../embeddings/oleObject168.bin"/><Relationship Id="rId10" Type="http://schemas.openxmlformats.org/officeDocument/2006/relationships/image" Target="../media/image347.emf"/><Relationship Id="rId19" Type="http://schemas.openxmlformats.org/officeDocument/2006/relationships/oleObject" Target="../embeddings/oleObject170.bin"/><Relationship Id="rId4" Type="http://schemas.openxmlformats.org/officeDocument/2006/relationships/image" Target="../media/image344.emf"/><Relationship Id="rId9" Type="http://schemas.openxmlformats.org/officeDocument/2006/relationships/oleObject" Target="../embeddings/oleObject165.bin"/><Relationship Id="rId14" Type="http://schemas.openxmlformats.org/officeDocument/2006/relationships/image" Target="../media/image349.emf"/></Relationships>
</file>

<file path=xl/worksheets/_rels/sheet133.xml.rels><?xml version="1.0" encoding="UTF-8" standalone="yes"?>
<Relationships xmlns="http://schemas.openxmlformats.org/package/2006/relationships"><Relationship Id="rId8" Type="http://schemas.openxmlformats.org/officeDocument/2006/relationships/image" Target="../media/image346.emf"/><Relationship Id="rId13" Type="http://schemas.openxmlformats.org/officeDocument/2006/relationships/oleObject" Target="../embeddings/oleObject176.bin"/><Relationship Id="rId3" Type="http://schemas.openxmlformats.org/officeDocument/2006/relationships/oleObject" Target="../embeddings/oleObject171.bin"/><Relationship Id="rId7" Type="http://schemas.openxmlformats.org/officeDocument/2006/relationships/oleObject" Target="../embeddings/oleObject173.bin"/><Relationship Id="rId12" Type="http://schemas.openxmlformats.org/officeDocument/2006/relationships/image" Target="../media/image348.emf"/><Relationship Id="rId2" Type="http://schemas.openxmlformats.org/officeDocument/2006/relationships/vmlDrawing" Target="../drawings/vmlDrawing24.vml"/><Relationship Id="rId1" Type="http://schemas.openxmlformats.org/officeDocument/2006/relationships/drawing" Target="../drawings/drawing76.xml"/><Relationship Id="rId6" Type="http://schemas.openxmlformats.org/officeDocument/2006/relationships/image" Target="../media/image345.emf"/><Relationship Id="rId11" Type="http://schemas.openxmlformats.org/officeDocument/2006/relationships/oleObject" Target="../embeddings/oleObject175.bin"/><Relationship Id="rId5" Type="http://schemas.openxmlformats.org/officeDocument/2006/relationships/oleObject" Target="../embeddings/oleObject172.bin"/><Relationship Id="rId10" Type="http://schemas.openxmlformats.org/officeDocument/2006/relationships/image" Target="../media/image347.emf"/><Relationship Id="rId4" Type="http://schemas.openxmlformats.org/officeDocument/2006/relationships/image" Target="../media/image344.emf"/><Relationship Id="rId9" Type="http://schemas.openxmlformats.org/officeDocument/2006/relationships/oleObject" Target="../embeddings/oleObject174.bin"/><Relationship Id="rId14" Type="http://schemas.openxmlformats.org/officeDocument/2006/relationships/image" Target="../media/image350.emf"/></Relationships>
</file>

<file path=xl/worksheets/_rels/sheet134.xml.rels><?xml version="1.0" encoding="UTF-8" standalone="yes"?>
<Relationships xmlns="http://schemas.openxmlformats.org/package/2006/relationships"><Relationship Id="rId8" Type="http://schemas.openxmlformats.org/officeDocument/2006/relationships/image" Target="../media/image357.emf"/><Relationship Id="rId13" Type="http://schemas.openxmlformats.org/officeDocument/2006/relationships/oleObject" Target="../embeddings/oleObject182.bin"/><Relationship Id="rId18" Type="http://schemas.openxmlformats.org/officeDocument/2006/relationships/image" Target="../media/image362.emf"/><Relationship Id="rId3" Type="http://schemas.openxmlformats.org/officeDocument/2006/relationships/oleObject" Target="../embeddings/oleObject177.bin"/><Relationship Id="rId7" Type="http://schemas.openxmlformats.org/officeDocument/2006/relationships/oleObject" Target="../embeddings/oleObject179.bin"/><Relationship Id="rId12" Type="http://schemas.openxmlformats.org/officeDocument/2006/relationships/image" Target="../media/image359.emf"/><Relationship Id="rId17" Type="http://schemas.openxmlformats.org/officeDocument/2006/relationships/oleObject" Target="../embeddings/oleObject184.bin"/><Relationship Id="rId2" Type="http://schemas.openxmlformats.org/officeDocument/2006/relationships/vmlDrawing" Target="../drawings/vmlDrawing25.vml"/><Relationship Id="rId16" Type="http://schemas.openxmlformats.org/officeDocument/2006/relationships/image" Target="../media/image361.emf"/><Relationship Id="rId1" Type="http://schemas.openxmlformats.org/officeDocument/2006/relationships/drawing" Target="../drawings/drawing77.xml"/><Relationship Id="rId6" Type="http://schemas.openxmlformats.org/officeDocument/2006/relationships/image" Target="../media/image356.emf"/><Relationship Id="rId11" Type="http://schemas.openxmlformats.org/officeDocument/2006/relationships/oleObject" Target="../embeddings/oleObject181.bin"/><Relationship Id="rId5" Type="http://schemas.openxmlformats.org/officeDocument/2006/relationships/oleObject" Target="../embeddings/oleObject178.bin"/><Relationship Id="rId15" Type="http://schemas.openxmlformats.org/officeDocument/2006/relationships/oleObject" Target="../embeddings/oleObject183.bin"/><Relationship Id="rId10" Type="http://schemas.openxmlformats.org/officeDocument/2006/relationships/image" Target="../media/image358.emf"/><Relationship Id="rId4" Type="http://schemas.openxmlformats.org/officeDocument/2006/relationships/image" Target="../media/image350.emf"/><Relationship Id="rId9" Type="http://schemas.openxmlformats.org/officeDocument/2006/relationships/oleObject" Target="../embeddings/oleObject180.bin"/><Relationship Id="rId14" Type="http://schemas.openxmlformats.org/officeDocument/2006/relationships/image" Target="../media/image360.emf"/></Relationships>
</file>

<file path=xl/worksheets/_rels/sheet135.xml.rels><?xml version="1.0" encoding="UTF-8" standalone="yes"?>
<Relationships xmlns="http://schemas.openxmlformats.org/package/2006/relationships"><Relationship Id="rId3" Type="http://schemas.openxmlformats.org/officeDocument/2006/relationships/oleObject" Target="../embeddings/oleObject185.bin"/><Relationship Id="rId2" Type="http://schemas.openxmlformats.org/officeDocument/2006/relationships/vmlDrawing" Target="../drawings/vmlDrawing26.vml"/><Relationship Id="rId1" Type="http://schemas.openxmlformats.org/officeDocument/2006/relationships/drawing" Target="../drawings/drawing78.xml"/><Relationship Id="rId6" Type="http://schemas.openxmlformats.org/officeDocument/2006/relationships/image" Target="../media/image366.emf"/><Relationship Id="rId5" Type="http://schemas.openxmlformats.org/officeDocument/2006/relationships/oleObject" Target="../embeddings/oleObject186.bin"/><Relationship Id="rId4" Type="http://schemas.openxmlformats.org/officeDocument/2006/relationships/image" Target="../media/image365.emf"/></Relationships>
</file>

<file path=xl/worksheets/_rels/sheet136.xml.rels><?xml version="1.0" encoding="UTF-8" standalone="yes"?>
<Relationships xmlns="http://schemas.openxmlformats.org/package/2006/relationships"><Relationship Id="rId3" Type="http://schemas.openxmlformats.org/officeDocument/2006/relationships/oleObject" Target="../embeddings/oleObject187.bin"/><Relationship Id="rId2" Type="http://schemas.openxmlformats.org/officeDocument/2006/relationships/vmlDrawing" Target="../drawings/vmlDrawing27.vml"/><Relationship Id="rId1" Type="http://schemas.openxmlformats.org/officeDocument/2006/relationships/drawing" Target="../drawings/drawing79.xml"/><Relationship Id="rId4" Type="http://schemas.openxmlformats.org/officeDocument/2006/relationships/image" Target="../media/image367.emf"/></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12.bin"/></Relationships>
</file>

<file path=xl/worksheets/_rels/sheet146.xml.rels><?xml version="1.0" encoding="UTF-8" standalone="yes"?>
<Relationships xmlns="http://schemas.openxmlformats.org/package/2006/relationships"><Relationship Id="rId3" Type="http://schemas.openxmlformats.org/officeDocument/2006/relationships/oleObject" Target="../embeddings/oleObject188.bin"/><Relationship Id="rId2" Type="http://schemas.openxmlformats.org/officeDocument/2006/relationships/vmlDrawing" Target="../drawings/vmlDrawing28.vml"/><Relationship Id="rId1" Type="http://schemas.openxmlformats.org/officeDocument/2006/relationships/drawing" Target="../drawings/drawing86.xml"/><Relationship Id="rId6" Type="http://schemas.openxmlformats.org/officeDocument/2006/relationships/image" Target="../media/image303.wmf"/><Relationship Id="rId5" Type="http://schemas.openxmlformats.org/officeDocument/2006/relationships/oleObject" Target="../embeddings/oleObject189.bin"/><Relationship Id="rId4" Type="http://schemas.openxmlformats.org/officeDocument/2006/relationships/image" Target="../media/image302.wmf"/></Relationships>
</file>

<file path=xl/worksheets/_rels/sheet15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29.v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40"/>
  <sheetViews>
    <sheetView tabSelected="1" zoomScale="85" zoomScaleNormal="85" workbookViewId="0">
      <selection activeCell="E7" sqref="E7"/>
    </sheetView>
  </sheetViews>
  <sheetFormatPr defaultColWidth="9" defaultRowHeight="27" customHeight="1"/>
  <cols>
    <col min="1" max="1" width="6.125" customWidth="1"/>
    <col min="2" max="2" width="24.125" customWidth="1"/>
    <col min="3" max="3" width="16.625" customWidth="1"/>
    <col min="4" max="4" width="23.375" customWidth="1"/>
    <col min="5" max="5" width="18" customWidth="1"/>
    <col min="6" max="6" width="33" customWidth="1"/>
    <col min="7" max="7" width="28.125" customWidth="1"/>
    <col min="8" max="8" width="29.25" customWidth="1"/>
  </cols>
  <sheetData>
    <row r="1" spans="1:9" ht="52.9" customHeight="1">
      <c r="A1" s="3181" t="s">
        <v>12703</v>
      </c>
      <c r="B1" s="3182"/>
      <c r="C1" s="3182"/>
      <c r="D1" s="3182"/>
      <c r="E1" s="3182"/>
      <c r="F1" s="3182"/>
      <c r="G1" s="3182"/>
      <c r="H1" s="3182"/>
    </row>
    <row r="2" spans="1:9" s="2770" customFormat="1" ht="22.15" customHeight="1" thickBot="1">
      <c r="A2" s="3183" t="s">
        <v>12728</v>
      </c>
      <c r="B2" s="3184"/>
      <c r="C2" s="3184"/>
      <c r="D2" s="3184"/>
      <c r="E2" s="3184"/>
      <c r="F2" s="3184"/>
      <c r="G2" s="3184"/>
      <c r="H2" s="3184"/>
    </row>
    <row r="3" spans="1:9" ht="27" customHeight="1" thickBot="1">
      <c r="A3" s="2771" t="s">
        <v>0</v>
      </c>
      <c r="B3" s="2772" t="s">
        <v>12001</v>
      </c>
      <c r="C3" s="2772" t="s">
        <v>12002</v>
      </c>
      <c r="D3" s="2772" t="s">
        <v>12003</v>
      </c>
      <c r="E3" s="2772" t="s">
        <v>12004</v>
      </c>
      <c r="F3" s="2772" t="s">
        <v>12005</v>
      </c>
      <c r="G3" s="2772" t="s">
        <v>12006</v>
      </c>
      <c r="H3" s="2773" t="s">
        <v>12007</v>
      </c>
      <c r="I3" s="2789"/>
    </row>
    <row r="4" spans="1:9" ht="24" customHeight="1">
      <c r="A4" s="3185" t="s">
        <v>12699</v>
      </c>
      <c r="B4" s="3136" t="s">
        <v>1</v>
      </c>
      <c r="C4" s="3136" t="s">
        <v>2</v>
      </c>
      <c r="D4" s="3136" t="s">
        <v>3</v>
      </c>
      <c r="E4" s="3136" t="s">
        <v>4</v>
      </c>
      <c r="F4" s="3136" t="s">
        <v>5</v>
      </c>
      <c r="G4" s="3136" t="s">
        <v>6</v>
      </c>
      <c r="H4" s="3137" t="s">
        <v>7</v>
      </c>
    </row>
    <row r="5" spans="1:9" ht="24" customHeight="1">
      <c r="A5" s="3186"/>
      <c r="B5" s="3138" t="s">
        <v>8</v>
      </c>
      <c r="C5" s="3138" t="s">
        <v>9</v>
      </c>
      <c r="D5" s="3138" t="s">
        <v>12031</v>
      </c>
      <c r="E5" s="3138" t="s">
        <v>10</v>
      </c>
      <c r="F5" s="3138" t="s">
        <v>11</v>
      </c>
      <c r="G5" s="3138" t="s">
        <v>12</v>
      </c>
      <c r="H5" s="3139" t="s">
        <v>12078</v>
      </c>
    </row>
    <row r="6" spans="1:9" ht="24" customHeight="1">
      <c r="A6" s="3186"/>
      <c r="B6" s="3138" t="s">
        <v>13</v>
      </c>
      <c r="C6" s="3138" t="s">
        <v>14</v>
      </c>
      <c r="D6" s="3138" t="s">
        <v>15</v>
      </c>
      <c r="E6" s="3138"/>
      <c r="F6" s="3138" t="s">
        <v>16</v>
      </c>
      <c r="G6" s="3138" t="s">
        <v>17</v>
      </c>
      <c r="H6" s="3139" t="s">
        <v>18</v>
      </c>
    </row>
    <row r="7" spans="1:9" ht="24" customHeight="1">
      <c r="A7" s="3186"/>
      <c r="B7" s="3138" t="s">
        <v>19</v>
      </c>
      <c r="C7" s="3138" t="s">
        <v>20</v>
      </c>
      <c r="D7" s="3138" t="s">
        <v>21</v>
      </c>
      <c r="E7" s="3138"/>
      <c r="F7" s="3138" t="s">
        <v>22</v>
      </c>
      <c r="G7" s="3138" t="s">
        <v>23</v>
      </c>
      <c r="H7" s="3139" t="s">
        <v>24</v>
      </c>
    </row>
    <row r="8" spans="1:9" ht="24" customHeight="1">
      <c r="A8" s="3186"/>
      <c r="B8" s="3138" t="s">
        <v>25</v>
      </c>
      <c r="C8" s="3138" t="s">
        <v>26</v>
      </c>
      <c r="D8" s="3138" t="s">
        <v>27</v>
      </c>
      <c r="E8" s="3138" t="s">
        <v>12092</v>
      </c>
      <c r="F8" s="3138" t="s">
        <v>28</v>
      </c>
      <c r="G8" s="3138" t="s">
        <v>29</v>
      </c>
      <c r="H8" s="3139" t="s">
        <v>12076</v>
      </c>
    </row>
    <row r="9" spans="1:9" ht="24" customHeight="1">
      <c r="A9" s="3186"/>
      <c r="B9" s="3138" t="s">
        <v>30</v>
      </c>
      <c r="C9" s="3138" t="s">
        <v>31</v>
      </c>
      <c r="D9" s="3138" t="s">
        <v>12032</v>
      </c>
      <c r="E9" s="3138"/>
      <c r="F9" s="3138" t="s">
        <v>32</v>
      </c>
      <c r="G9" s="3138" t="s">
        <v>33</v>
      </c>
      <c r="H9" s="3139" t="s">
        <v>12056</v>
      </c>
    </row>
    <row r="10" spans="1:9" ht="24" customHeight="1">
      <c r="A10" s="3186"/>
      <c r="B10" s="3140" t="s">
        <v>34</v>
      </c>
      <c r="C10" s="3138" t="s">
        <v>35</v>
      </c>
      <c r="D10" s="3138" t="s">
        <v>36</v>
      </c>
      <c r="E10" s="3138"/>
      <c r="F10" s="3138" t="s">
        <v>37</v>
      </c>
      <c r="G10" s="3138" t="s">
        <v>38</v>
      </c>
      <c r="H10" s="3139" t="s">
        <v>12058</v>
      </c>
    </row>
    <row r="11" spans="1:9" ht="24" customHeight="1" thickBot="1">
      <c r="A11" s="3187"/>
      <c r="B11" s="3141"/>
      <c r="C11" s="3141" t="s">
        <v>39</v>
      </c>
      <c r="D11" s="3141"/>
      <c r="E11" s="3141"/>
      <c r="F11" s="3141" t="s">
        <v>40</v>
      </c>
      <c r="G11" s="3141" t="s">
        <v>41</v>
      </c>
      <c r="H11" s="3142" t="s">
        <v>12059</v>
      </c>
    </row>
    <row r="12" spans="1:9" ht="5.0999999999999996" customHeight="1" thickBot="1">
      <c r="A12" s="2774"/>
      <c r="B12" s="892"/>
      <c r="C12" s="892"/>
      <c r="D12" s="892"/>
      <c r="E12" s="892"/>
      <c r="F12" s="892"/>
      <c r="G12" s="2775"/>
      <c r="H12" s="892"/>
    </row>
    <row r="13" spans="1:9" ht="27" customHeight="1" thickBot="1">
      <c r="A13" s="2776" t="s">
        <v>0</v>
      </c>
      <c r="B13" s="2777" t="s">
        <v>12008</v>
      </c>
      <c r="C13" s="2778" t="s">
        <v>12009</v>
      </c>
      <c r="D13" s="2778" t="s">
        <v>12010</v>
      </c>
      <c r="E13" s="2778" t="s">
        <v>12011</v>
      </c>
      <c r="F13" s="2778" t="s">
        <v>12012</v>
      </c>
      <c r="G13" s="2778" t="s">
        <v>12013</v>
      </c>
      <c r="H13" s="2779" t="s">
        <v>12014</v>
      </c>
    </row>
    <row r="14" spans="1:9" ht="23.1" customHeight="1">
      <c r="A14" s="3188" t="s">
        <v>12700</v>
      </c>
      <c r="B14" s="3143" t="s">
        <v>42</v>
      </c>
      <c r="C14" s="3144" t="s">
        <v>43</v>
      </c>
      <c r="D14" s="3144" t="s">
        <v>44</v>
      </c>
      <c r="E14" s="3138" t="s">
        <v>45</v>
      </c>
      <c r="F14" s="3144" t="s">
        <v>46</v>
      </c>
      <c r="G14" s="3144" t="s">
        <v>47</v>
      </c>
      <c r="H14" s="3145" t="s">
        <v>48</v>
      </c>
    </row>
    <row r="15" spans="1:9" ht="23.1" customHeight="1">
      <c r="A15" s="3188"/>
      <c r="B15" s="3146" t="s">
        <v>49</v>
      </c>
      <c r="C15" s="3138" t="s">
        <v>12024</v>
      </c>
      <c r="D15" s="3138" t="s">
        <v>50</v>
      </c>
      <c r="E15" s="3138" t="s">
        <v>51</v>
      </c>
      <c r="F15" s="3138" t="s">
        <v>52</v>
      </c>
      <c r="G15" s="3138" t="s">
        <v>12138</v>
      </c>
      <c r="H15" s="3139" t="s">
        <v>53</v>
      </c>
    </row>
    <row r="16" spans="1:9" ht="23.1" customHeight="1">
      <c r="A16" s="3188"/>
      <c r="B16" s="3146" t="s">
        <v>54</v>
      </c>
      <c r="C16" s="3147"/>
      <c r="D16" s="3138" t="s">
        <v>55</v>
      </c>
      <c r="E16" s="3138" t="s">
        <v>56</v>
      </c>
      <c r="F16" s="3138" t="s">
        <v>57</v>
      </c>
      <c r="G16" s="3138" t="s">
        <v>58</v>
      </c>
      <c r="H16" s="3139" t="s">
        <v>59</v>
      </c>
    </row>
    <row r="17" spans="1:9" ht="23.1" customHeight="1">
      <c r="A17" s="3188"/>
      <c r="B17" s="3146"/>
      <c r="C17" s="3138"/>
      <c r="D17" s="3138" t="s">
        <v>60</v>
      </c>
      <c r="E17" s="3138" t="s">
        <v>61</v>
      </c>
      <c r="F17" s="3138" t="s">
        <v>62</v>
      </c>
      <c r="G17" s="3138" t="s">
        <v>63</v>
      </c>
      <c r="H17" s="3139" t="s">
        <v>64</v>
      </c>
    </row>
    <row r="18" spans="1:9" ht="23.1" customHeight="1">
      <c r="A18" s="3188"/>
      <c r="B18" s="3146"/>
      <c r="C18" s="3138"/>
      <c r="D18" s="3138" t="s">
        <v>65</v>
      </c>
      <c r="E18" s="3138" t="s">
        <v>66</v>
      </c>
      <c r="F18" s="3138" t="s">
        <v>67</v>
      </c>
      <c r="G18" s="3138" t="s">
        <v>68</v>
      </c>
      <c r="H18" s="3139"/>
    </row>
    <row r="19" spans="1:9" ht="23.1" customHeight="1">
      <c r="A19" s="3188"/>
      <c r="B19" s="3146"/>
      <c r="C19" s="3138"/>
      <c r="D19" s="3138" t="s">
        <v>69</v>
      </c>
      <c r="E19" s="3138" t="s">
        <v>70</v>
      </c>
      <c r="F19" s="3144"/>
      <c r="G19" s="3138" t="s">
        <v>71</v>
      </c>
      <c r="H19" s="3139"/>
    </row>
    <row r="20" spans="1:9" ht="23.1" customHeight="1">
      <c r="A20" s="3188"/>
      <c r="B20" s="3146"/>
      <c r="C20" s="3138" t="s">
        <v>12128</v>
      </c>
      <c r="D20" s="3138" t="s">
        <v>12127</v>
      </c>
      <c r="E20" s="3148" t="s">
        <v>72</v>
      </c>
      <c r="F20" s="3138"/>
      <c r="G20" s="3138" t="s">
        <v>73</v>
      </c>
      <c r="H20" s="3139"/>
    </row>
    <row r="21" spans="1:9" ht="23.1" customHeight="1" thickBot="1">
      <c r="A21" s="3189"/>
      <c r="B21" s="3149"/>
      <c r="C21" s="3141"/>
      <c r="D21" s="3141" t="s">
        <v>74</v>
      </c>
      <c r="E21" s="3141" t="s">
        <v>12129</v>
      </c>
      <c r="F21" s="3150"/>
      <c r="G21" s="3141" t="s">
        <v>12410</v>
      </c>
      <c r="H21" s="3142" t="s">
        <v>75</v>
      </c>
    </row>
    <row r="22" spans="1:9" s="654" customFormat="1" ht="9" customHeight="1" thickBot="1">
      <c r="A22" s="2780"/>
      <c r="B22" s="589"/>
      <c r="C22" s="589"/>
      <c r="D22" s="589"/>
      <c r="E22" s="589"/>
      <c r="F22" s="589"/>
      <c r="G22" s="589"/>
      <c r="H22" s="589"/>
    </row>
    <row r="23" spans="1:9" ht="27" customHeight="1" thickBot="1">
      <c r="A23" s="2781" t="s">
        <v>0</v>
      </c>
      <c r="B23" s="2782" t="s">
        <v>12021</v>
      </c>
      <c r="C23" s="2783" t="s">
        <v>12020</v>
      </c>
      <c r="D23" s="2783" t="s">
        <v>12019</v>
      </c>
      <c r="E23" s="2783" t="s">
        <v>12018</v>
      </c>
      <c r="F23" s="2783" t="s">
        <v>12017</v>
      </c>
      <c r="G23" s="2783" t="s">
        <v>12016</v>
      </c>
      <c r="H23" s="2784" t="s">
        <v>12015</v>
      </c>
    </row>
    <row r="24" spans="1:9" ht="24" customHeight="1">
      <c r="A24" s="3190" t="s">
        <v>12701</v>
      </c>
      <c r="B24" s="3143" t="s">
        <v>76</v>
      </c>
      <c r="C24" s="3144" t="s">
        <v>77</v>
      </c>
      <c r="D24" s="3144" t="s">
        <v>78</v>
      </c>
      <c r="E24" s="3144" t="s">
        <v>79</v>
      </c>
      <c r="F24" s="3144" t="s">
        <v>80</v>
      </c>
      <c r="G24" s="3144" t="s">
        <v>81</v>
      </c>
      <c r="H24" s="3145" t="s">
        <v>82</v>
      </c>
    </row>
    <row r="25" spans="1:9" ht="24" customHeight="1">
      <c r="A25" s="3190"/>
      <c r="B25" s="3146" t="s">
        <v>83</v>
      </c>
      <c r="C25" s="3138" t="s">
        <v>84</v>
      </c>
      <c r="D25" s="3138" t="s">
        <v>85</v>
      </c>
      <c r="E25" s="3138" t="s">
        <v>86</v>
      </c>
      <c r="F25" s="3138" t="s">
        <v>87</v>
      </c>
      <c r="G25" s="3138" t="s">
        <v>88</v>
      </c>
      <c r="H25" s="3139" t="s">
        <v>89</v>
      </c>
    </row>
    <row r="26" spans="1:9" ht="24" customHeight="1">
      <c r="A26" s="3190"/>
      <c r="B26" s="3146" t="s">
        <v>90</v>
      </c>
      <c r="C26" s="3138" t="s">
        <v>91</v>
      </c>
      <c r="D26" s="3138" t="s">
        <v>92</v>
      </c>
      <c r="E26" s="3138" t="s">
        <v>93</v>
      </c>
      <c r="F26" s="3138" t="s">
        <v>94</v>
      </c>
      <c r="G26" s="3138" t="s">
        <v>95</v>
      </c>
      <c r="H26" s="3139"/>
    </row>
    <row r="27" spans="1:9" ht="24" customHeight="1">
      <c r="A27" s="3190"/>
      <c r="B27" s="3146" t="s">
        <v>96</v>
      </c>
      <c r="C27" s="3138" t="s">
        <v>97</v>
      </c>
      <c r="D27" s="3138" t="s">
        <v>98</v>
      </c>
      <c r="E27" s="3138" t="s">
        <v>99</v>
      </c>
      <c r="F27" s="3138" t="s">
        <v>100</v>
      </c>
      <c r="G27" s="3138" t="s">
        <v>12411</v>
      </c>
      <c r="H27" s="3139"/>
    </row>
    <row r="28" spans="1:9" ht="24" customHeight="1" thickBot="1">
      <c r="A28" s="3190"/>
      <c r="B28" s="3149" t="s">
        <v>12412</v>
      </c>
      <c r="C28" s="3141" t="s">
        <v>12650</v>
      </c>
      <c r="D28" s="3141" t="s">
        <v>12508</v>
      </c>
      <c r="E28" s="3141" t="s">
        <v>101</v>
      </c>
      <c r="F28" s="3141" t="s">
        <v>102</v>
      </c>
      <c r="G28" s="3141" t="s">
        <v>12651</v>
      </c>
      <c r="H28" s="3142"/>
    </row>
    <row r="29" spans="1:9" s="52" customFormat="1" ht="9" customHeight="1" thickBot="1">
      <c r="A29" s="2785"/>
      <c r="B29" s="3151"/>
      <c r="C29" s="3152"/>
      <c r="D29" s="3151"/>
      <c r="E29" s="3153"/>
      <c r="F29" s="3153"/>
      <c r="G29" s="3151"/>
      <c r="H29" s="3151"/>
    </row>
    <row r="30" spans="1:9" s="52" customFormat="1" ht="27" customHeight="1" thickBot="1">
      <c r="A30" s="2786" t="s">
        <v>0</v>
      </c>
      <c r="B30" s="3154" t="s">
        <v>103</v>
      </c>
      <c r="C30" s="3154" t="s">
        <v>104</v>
      </c>
      <c r="D30" s="3154" t="s">
        <v>12022</v>
      </c>
      <c r="E30" s="3155" t="s">
        <v>105</v>
      </c>
      <c r="F30" s="3155" t="s">
        <v>12557</v>
      </c>
      <c r="G30" s="3154"/>
      <c r="H30" s="3156"/>
      <c r="I30"/>
    </row>
    <row r="31" spans="1:9" ht="23.1" customHeight="1">
      <c r="A31" s="3179" t="s">
        <v>12702</v>
      </c>
      <c r="B31" s="3157" t="s">
        <v>106</v>
      </c>
      <c r="C31" s="3144" t="s">
        <v>107</v>
      </c>
      <c r="D31" s="3144" t="s">
        <v>108</v>
      </c>
      <c r="E31" s="3144" t="s">
        <v>109</v>
      </c>
      <c r="F31" s="3144" t="s">
        <v>12556</v>
      </c>
      <c r="G31" s="3144"/>
      <c r="H31" s="3145"/>
    </row>
    <row r="32" spans="1:9" ht="23.1" customHeight="1">
      <c r="A32" s="3179"/>
      <c r="B32" s="3138" t="s">
        <v>110</v>
      </c>
      <c r="C32" s="3138" t="s">
        <v>111</v>
      </c>
      <c r="D32" s="3138" t="s">
        <v>112</v>
      </c>
      <c r="E32" s="3138" t="s">
        <v>113</v>
      </c>
      <c r="F32" s="3138" t="s">
        <v>12558</v>
      </c>
      <c r="G32" s="3138"/>
      <c r="H32" s="3139"/>
    </row>
    <row r="33" spans="1:8" ht="23.1" customHeight="1">
      <c r="A33" s="3179"/>
      <c r="B33" s="3138" t="s">
        <v>114</v>
      </c>
      <c r="C33" s="3138" t="s">
        <v>115</v>
      </c>
      <c r="D33" s="3138" t="s">
        <v>116</v>
      </c>
      <c r="E33" s="3138" t="s">
        <v>117</v>
      </c>
      <c r="F33" s="3138" t="s">
        <v>12559</v>
      </c>
      <c r="G33" s="3138"/>
      <c r="H33" s="3139"/>
    </row>
    <row r="34" spans="1:8" ht="23.1" customHeight="1">
      <c r="A34" s="3179"/>
      <c r="B34" s="3138" t="s">
        <v>118</v>
      </c>
      <c r="C34" s="3138" t="s">
        <v>119</v>
      </c>
      <c r="D34" s="3138" t="s">
        <v>120</v>
      </c>
      <c r="E34" s="3138" t="s">
        <v>121</v>
      </c>
      <c r="F34" s="3138" t="s">
        <v>12560</v>
      </c>
      <c r="G34" s="3138"/>
      <c r="H34" s="3139"/>
    </row>
    <row r="35" spans="1:8" ht="23.1" customHeight="1">
      <c r="A35" s="3179"/>
      <c r="B35" s="3138" t="s">
        <v>122</v>
      </c>
      <c r="C35" s="3138" t="s">
        <v>123</v>
      </c>
      <c r="D35" s="3138" t="s">
        <v>124</v>
      </c>
      <c r="E35" s="3138" t="s">
        <v>125</v>
      </c>
      <c r="F35" s="3138"/>
      <c r="G35" s="3138"/>
      <c r="H35" s="3139"/>
    </row>
    <row r="36" spans="1:8" ht="23.1" customHeight="1">
      <c r="A36" s="3179"/>
      <c r="B36" s="3138" t="s">
        <v>126</v>
      </c>
      <c r="C36" s="3138" t="s">
        <v>127</v>
      </c>
      <c r="D36" s="3138" t="s">
        <v>128</v>
      </c>
      <c r="E36" s="3138" t="s">
        <v>12709</v>
      </c>
      <c r="F36" s="3138"/>
      <c r="G36" s="3138"/>
      <c r="H36" s="3139"/>
    </row>
    <row r="37" spans="1:8" ht="23.1" customHeight="1">
      <c r="A37" s="3179"/>
      <c r="B37" s="3138"/>
      <c r="C37" s="3138" t="s">
        <v>129</v>
      </c>
      <c r="D37" s="3138" t="s">
        <v>130</v>
      </c>
      <c r="E37" s="3138"/>
      <c r="F37" s="3138"/>
      <c r="G37" s="3138"/>
      <c r="H37" s="3139"/>
    </row>
    <row r="38" spans="1:8" ht="23.1" customHeight="1">
      <c r="A38" s="3179"/>
      <c r="B38" s="3138"/>
      <c r="C38" s="3138" t="s">
        <v>131</v>
      </c>
      <c r="D38" s="3138" t="s">
        <v>132</v>
      </c>
      <c r="E38" s="3138"/>
      <c r="F38" s="3138"/>
      <c r="G38" s="3138"/>
      <c r="H38" s="3139"/>
    </row>
    <row r="39" spans="1:8" ht="23.1" customHeight="1" thickBot="1">
      <c r="A39" s="3180"/>
      <c r="B39" s="3141"/>
      <c r="C39" s="3141" t="s">
        <v>133</v>
      </c>
      <c r="D39" s="3158"/>
      <c r="E39" s="3141"/>
      <c r="F39" s="3141"/>
      <c r="G39" s="3141"/>
      <c r="H39" s="3142"/>
    </row>
    <row r="40" spans="1:8" ht="25.9" customHeight="1">
      <c r="E40" s="2787"/>
      <c r="F40" s="2788"/>
      <c r="G40" s="2788"/>
      <c r="H40" s="2788"/>
    </row>
  </sheetData>
  <mergeCells count="6">
    <mergeCell ref="A31:A39"/>
    <mergeCell ref="A1:H1"/>
    <mergeCell ref="A2:H2"/>
    <mergeCell ref="A4:A11"/>
    <mergeCell ref="A14:A21"/>
    <mergeCell ref="A24:A28"/>
  </mergeCells>
  <phoneticPr fontId="378" type="noConversion"/>
  <conditionalFormatting sqref="B32:B39 E31:H39 D31:D38 C31:C39 E22:F22 E14:F20 B24:H28 G14:H22 B4:H12 B17:D22 B16 D16 B14:D15">
    <cfRule type="expression" dxfId="2" priority="2">
      <formula>MOD(ROW(),2)</formula>
    </cfRule>
  </conditionalFormatting>
  <conditionalFormatting sqref="E21">
    <cfRule type="expression" dxfId="1" priority="1">
      <formula>MOD(ROW(),2)</formula>
    </cfRule>
  </conditionalFormatting>
  <hyperlinks>
    <hyperlink ref="B4" location="负载转矩计算!A1" tooltip="负载转矩计算" display="负载转矩计算"/>
    <hyperlink ref="B5" location="惯量计算!A1" display="惯量（惯性矩）计算"/>
    <hyperlink ref="E4" location="滚珠丝杆水平!A1" display="丝杠水平运动"/>
    <hyperlink ref="E5" location="滚珠丝杆垂直!A1" display="丝杠垂直运动"/>
    <hyperlink ref="C4" location="皮带轮间歇运动!A1" display="皮带轮间歇运动"/>
    <hyperlink ref="C5" location="皮带轮连续运动!A1" display="皮带轮连续运动"/>
    <hyperlink ref="B6" location="电机常识!A1" display="电机常识"/>
    <hyperlink ref="F4" location="变位圆柱!A1" display="外啮合变位圆柱齿轮传动几何尺寸计算"/>
    <hyperlink ref="F5" location="齿轮齿条!A1" display="齿轮齿条"/>
    <hyperlink ref="F6" location="'齿轮常用材料及其力学性能 (2)'!A1" display="齿轮常用材料及其力学性能"/>
    <hyperlink ref="H4" location="圆柱蜗杆传动基本几何尺寸计算公式!A1" display="圆柱蜗杆传动"/>
    <hyperlink ref="H6" location="圆柱蜗杆传动主要参数搭配推荐值!A1" display="圆柱蜗杆传动主要参数搭配推荐值"/>
    <hyperlink ref="C6" location="三角皮带长度计算!A1" display="三角皮带长度计算"/>
    <hyperlink ref="G5" location="粗螺纹!A1" display="公制/美制 粗螺纹"/>
    <hyperlink ref="G8" location="美制特细螺纹及英制电器螺纹!A1" display="美制特细螺纹&amp;英制电器螺纹"/>
    <hyperlink ref="G9" location="管螺纹!A1" display="英制、美制管螺纹"/>
    <hyperlink ref="H14" location="立柱计算!A1" display="立柱计算"/>
    <hyperlink ref="H21" location="稳定性系数!A1" display="稳定性系数"/>
    <hyperlink ref="H7" location="蜗轮传动!A1" display="蜗轮传动"/>
    <hyperlink ref="F7" location="'高度变位斜齿轮跨棒(球)距'!A1" display="高度变位斜齿轮跨棒(球)距"/>
    <hyperlink ref="F14" location="外花键跨棒距!A1" display="外花键跨棒距"/>
    <hyperlink ref="F15" location="内花键棒间距!A1" display="内花键棒间距"/>
    <hyperlink ref="F8" location="高变位齿轮尺寸计算!A1" display="高变位齿轮尺寸计算"/>
    <hyperlink ref="B7" location="常用Y系列电机型号参数表!A1" display="常用Y系列电机型号参数表"/>
    <hyperlink ref="F9" location="锥齿轮传动设计计算!A1" display="锥齿轮传动设计计算"/>
    <hyperlink ref="G15" location="分度盘!A1" display="分度盘"/>
    <hyperlink ref="G16" location="圆盘!A1" display="圆盘"/>
    <hyperlink ref="B8" location="电机功率确定程序!A1" display="电机功率确定程序"/>
    <hyperlink ref="E14" location="常用工程材料属性!A1" display="常用工程材料属性"/>
    <hyperlink ref="H15" location="压入力计算!A1" display="压入力计算"/>
    <hyperlink ref="H16" location="弹性模量、泊松系数!A1" display="弹性模量、泊松系数"/>
    <hyperlink ref="E15" location="材料价格计算表!A1" display="材料价格计算表"/>
    <hyperlink ref="B9" location="伺服电机选型自动版!A1" display="伺服电机选型自动版"/>
    <hyperlink ref="D4" location="气缸内径选型!A1" display="气缸内径选型"/>
    <hyperlink ref="D6" location="气缸理论出力表!A1" display="气缸理论出力表"/>
    <hyperlink ref="C7" location="三角皮带参数表!A1" display="三角皮带参数表"/>
    <hyperlink ref="D7" location="真空元件的选定!A1" display="真空吸盘的选型"/>
    <hyperlink ref="D8" location="耗气量计算及电磁阀选择!A1" display="耗气量计算及电磁阀选择"/>
    <hyperlink ref="B14" location="单位换算!A1" display="单位换算"/>
    <hyperlink ref="G17" location="分度盘选型计算公式!A1" display="间歇回转转盘运动"/>
    <hyperlink ref="C14" location="同步带轮传动设计计算!A1" display="同步带轮传动设计"/>
    <hyperlink ref="F16" location="'键的强度计算 '!A1" display="键的强度计算"/>
    <hyperlink ref="F17" location="销的强度计算!A1" display="销的强度计算"/>
    <hyperlink ref="H17" location="焊缝及键连接受力计算比较!A1" display="焊缝及键连接受力计算比较"/>
    <hyperlink ref="B10" location="减速机公称功率!A1" display="减速机公称功率"/>
    <hyperlink ref="B24" location="过盈计算!A1" display=" 转矩【扭矩】计算"/>
    <hyperlink ref="B25" location="万向联轴器计算!A1" display="万向联轴器计算"/>
    <hyperlink ref="B26" location="齿式联轴器计算!A1" display="齿式联轴器计算"/>
    <hyperlink ref="H25" location="弹簧计算!A1" display="弹簧计算"/>
    <hyperlink ref="G14" location="分割器选型基础知识!A1" display="分割器选型知识"/>
    <hyperlink ref="B27" location="棘轮计算!A1" display="棘轮计算"/>
    <hyperlink ref="G18" location="搖擺資料!A1" display="摇摆输送驱动"/>
    <hyperlink ref="G20" location="輸送帶計算!A1" display="输送带式驱动"/>
    <hyperlink ref="F10" location="'齿轮齿条传动设计计算  '!A1" display="齿轮齿条传动设计计算"/>
    <hyperlink ref="F24" location="孔用!A1" display="孔用弹性挡圈"/>
    <hyperlink ref="F25" location="轴用!A1" display="轴用弹性挡圈"/>
    <hyperlink ref="F26" location="E形扣环!A1" display="轴用E形扣环"/>
    <hyperlink ref="E25" location="超越离合器设计计算表!A1" display="超越离合器设计"/>
    <hyperlink ref="G19" location="齒輪分割計算!A1" display="齿轮分割驱动"/>
    <hyperlink ref="E24" location="'深沟球轴承查询 '!A1" display="深沟球轴承规格表"/>
    <hyperlink ref="F18" location="平键和键槽!A1" display="平键和键槽查询"/>
    <hyperlink ref="E26" location="推力球轴承尺寸表!A1" display="推力球轴承尺寸表"/>
    <hyperlink ref="G4" location="螺纹中小径计算!A1" display="螺纹中小径计算"/>
    <hyperlink ref="E16" location="材质硬度对照表!A1" display="常用材料硬度表"/>
    <hyperlink ref="D10" location="亚德客缓冲器!A1" display="亚德客油压缓冲器"/>
    <hyperlink ref="E28" location="T型槽尺寸!A1" display="T型槽尺寸"/>
    <hyperlink ref="F27" location="扳手空間尺寸!A1" display="扳手空间尺寸"/>
    <hyperlink ref="F28" location="緊固螺釘旋入深度及螺孔底孔深度!A1" display="紧固螺钉旋入深度及螺孔底孔深度"/>
    <hyperlink ref="G24" location="沉孔尺寸!A1" display="沉孔尺寸"/>
    <hyperlink ref="D24" location="公差!A1" display="公差"/>
    <hyperlink ref="D25" location="轴的基本偏差!A1" display="轴的基本偏差"/>
    <hyperlink ref="D26" location="孔偏差!A1" display="孔偏差"/>
    <hyperlink ref="D27" location="形位公差!A1" display="形位公差"/>
    <hyperlink ref="C24" location="凸轮各曲线特征!A1" display="凸轮各曲线特征"/>
    <hyperlink ref="C8" location="V型带轮规格型号!A1" display="SPA、SPB带轮规格"/>
    <hyperlink ref="C9" location="A型三角带规格!A1" display="A型三角带规格"/>
    <hyperlink ref="C10" location="B型三角带规格!A1" display="B型三角带规格"/>
    <hyperlink ref="C11" location="C型三角带规格!A1" display="C型三角带规格"/>
    <hyperlink ref="G7" location="英制螺纹底孔对照表!A1" display="英制螺纹底孔对照表"/>
    <hyperlink ref="G25" location="塞打螺丝常用规格表!A1" display="塞打螺丝常用规格表"/>
    <hyperlink ref="D15" location="轴向齿廓及尺寸!A1" display="轴向齿廓及尺寸"/>
    <hyperlink ref="D16" location="链条长度计算!A1" display="链条长度计算"/>
    <hyperlink ref="D17" location="传动用短节距精密滚子链!A1" display="传动用短节距精密滚子链"/>
    <hyperlink ref="D14" location="链轮的基本参数和主要尺寸!A1" display="链轮的基本参数"/>
    <hyperlink ref="D21" location="链轮齿槽形状!A1" display="链轮齿槽形状"/>
    <hyperlink ref="H24" location="弹簧刚度计算大全!A1" display="弹簧刚度计算大全"/>
    <hyperlink ref="B15" location="转矩计算!A1" display=" 电机功率换算转矩（扭矩）"/>
    <hyperlink ref="G10" location="英制螺纹!A1" display="英制螺纹"/>
    <hyperlink ref="D18" location="倍速链线马达功率计算!A1" display="倍速链线马达功率计算"/>
    <hyperlink ref="D19" location="倍速链的张力计算!A1" display="倍速链的张力计算"/>
    <hyperlink ref="E17" location="金属材料密度表!A1" display="金属材料密度表"/>
    <hyperlink ref="C25" location="正弦加速度凸轮!A1" display="正弦加速度凸轮"/>
    <hyperlink ref="C26" location="凸轮正弦余弦计算对照表!A1" display="正弦余弦对照表"/>
    <hyperlink ref="C27" location="凸轮的轮廓曲线设计!A1" display="凸轮轮廓曲线设计"/>
    <hyperlink ref="G11" location="米制细牙螺纹!A1" display="米制细牙螺纹"/>
    <hyperlink ref="F11" location="齿轮齿条电机选型!A1" display="齿轮齿条电机选型"/>
    <hyperlink ref="B32" location="剪切力計算!A1" display="剪切力計算"/>
    <hyperlink ref="B33" location="板材壓印成型之加工壓力!A1" display="板材压印成型之加工压力"/>
    <hyperlink ref="B34" location="'V型 彎曲力之計算 '!A1" display="V型 弯曲力之计算"/>
    <hyperlink ref="B35" location="'U型 彎曲力之計算'!A1" display="U型 弯曲力之计算"/>
    <hyperlink ref="B36" location="捲料沖壓效率!A1" display="卷料冲压效率"/>
    <hyperlink ref="B16" location="功率计算公式!A1" display="功率计算公式"/>
    <hyperlink ref="D37" location="薄壁正方形!A1" display="薄壁正方形"/>
    <hyperlink ref="C32" location="半圆环!A1" display="半圆环"/>
    <hyperlink ref="C33" location="半圆!A1" display="半圆"/>
    <hyperlink ref="C34" location="带横孔圆!A1" display="带横孔圆"/>
    <hyperlink ref="C35" location="钢型截面!A1" display="钢型截面"/>
    <hyperlink ref="C36" location="花键!A1" display="花键"/>
    <hyperlink ref="C38" location="空心椭圆!A1" display="空心椭圆"/>
    <hyperlink ref="C39" location="空心圆!A1" display="空心圆"/>
    <hyperlink ref="D31" location="'空心正方形（圆）'!A1" display="空心正方形（圆）"/>
    <hyperlink ref="D32" location="空心正方形!A1" display="空心正方形"/>
    <hyperlink ref="D33" location="六边形!A1" display="六边形"/>
    <hyperlink ref="D34" location="三角形!A1" display="三角形"/>
    <hyperlink ref="D35" location="扇形!A1" display="扇形"/>
    <hyperlink ref="D36" location="扇形圆环!A1" display="扇形圆环"/>
    <hyperlink ref="C31" location="圆!A1" display="圆"/>
    <hyperlink ref="D38" location="正方形!A1" display="正方形"/>
    <hyperlink ref="C37" location="椭圆!A1" display="椭圆"/>
    <hyperlink ref="G6" location="公制螺纹大全!A1" display="公制螺纹大全"/>
    <hyperlink ref="G26" location="带滑块轴承座规格表!A1" display="UCT带滑块轴承座规格表"/>
    <hyperlink ref="E27" location="圆锥滚子轴承参数表!A1" display="圆锥滚子轴承"/>
    <hyperlink ref="E31" location="液压油!A1" display="液压油"/>
    <hyperlink ref="E32" location="缝隙.管路!A1" display="缝隙.管路"/>
    <hyperlink ref="E33" location="蓄能器!A1" display="蓄能器"/>
    <hyperlink ref="E34" location="油箱.热平衡!A1" display="油箱.热平衡"/>
    <hyperlink ref="E35" location="泵.马达!A1" display="泵.马达"/>
    <hyperlink ref="B31" location="【理论】总冲裁力的计算!A1" display="【理论】总冲裁力的计算"/>
    <hyperlink ref="E18" location="塑料材料性能!A1" display="塑料材料性能"/>
    <hyperlink ref="E19" location="七国铝及其合金牌号对照表!A1" display="七国铝合金牌号对照"/>
    <hyperlink ref="E20" location="七国钢材牌号对照表!A1" display="七国钢材牌号对照表"/>
    <hyperlink ref="C15" location="同步带节线长计算!A1" display="同步带节线长计算"/>
    <hyperlink ref="D5" location="气缸推力计算!A1" display="气缸推力计算"/>
    <hyperlink ref="D9" location="真空用元件的选定!A1" display="真空元件的选定"/>
    <hyperlink ref="H9" location="螺丝攻牙钻孔径!A1" display="螺丝攻牙钻孔径"/>
    <hyperlink ref="H10" location="管螺纹对照表!A1" display="管螺纹对照表"/>
    <hyperlink ref="H11" location="螺栓扭矩标准!A1" display="螺栓扭矩标准"/>
    <hyperlink ref="H8" location="针车用螺纹!A1" display="螺纹及针车用螺纹"/>
    <hyperlink ref="H5" location="蜗杆常用材料!A1" display="蜗杆常用材料"/>
    <hyperlink ref="E8" location="皮带传动!A1" display="皮带传动"/>
    <hyperlink ref="D20" location="链轮计算!A1" display="链轮计算"/>
    <hyperlink ref="C20" location="链条计算!A1" display="链条计算"/>
    <hyperlink ref="E21" location="材料摩擦系数!A1" display="材料摩擦系数"/>
    <hyperlink ref="G21" location="惯性距计算!A1" display="惯性距计算"/>
    <hyperlink ref="B28" location="过盈!A1" display="过盈计算"/>
    <hyperlink ref="G27" location="标准件量!A1" display="标准件量"/>
    <hyperlink ref="D28" location="形状位置公差加工方法!A1" display="形状位置公差加工方法"/>
    <hyperlink ref="F31" location="密度!A1" display="密度"/>
    <hyperlink ref="F32" location="O型圈!A1" display="O型圈"/>
    <hyperlink ref="F33" location="无缝管!A1" display="无缝管"/>
    <hyperlink ref="F34" location="标准筛目!A1" display="标准筛目"/>
    <hyperlink ref="C28" location="各曲线特征!A1" display="凸轮各曲线特征"/>
    <hyperlink ref="G28" location="平键和键槽标准尺寸规格表!A1" display="平键和键槽标准尺寸规格表"/>
    <hyperlink ref="E36" location="液压冲击!A1" display="液压冲击计算"/>
  </hyperlinks>
  <pageMargins left="0.75" right="0.75" top="1" bottom="1" header="0.50902777777777797" footer="0.50902777777777797"/>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9"/>
  <sheetViews>
    <sheetView workbookViewId="0">
      <selection activeCell="M22" sqref="M22"/>
    </sheetView>
  </sheetViews>
  <sheetFormatPr defaultColWidth="8" defaultRowHeight="16.5"/>
  <cols>
    <col min="1" max="1" width="8.25" style="2732"/>
    <col min="2" max="2" width="0.25" style="2733" customWidth="1"/>
    <col min="3" max="3" width="14.5" style="2732" customWidth="1"/>
    <col min="4" max="4" width="12.75" style="2732" customWidth="1"/>
    <col min="5" max="5" width="10.5" style="2732" customWidth="1"/>
    <col min="6" max="6" width="12.25" style="2732" customWidth="1"/>
    <col min="7" max="7" width="11.875" style="2732" customWidth="1"/>
    <col min="8" max="8" width="11.625" style="2732" customWidth="1"/>
    <col min="9" max="256" width="8.25" style="2732"/>
    <col min="257" max="16384" width="8" style="174"/>
  </cols>
  <sheetData>
    <row r="1" spans="1:12" ht="25.5">
      <c r="A1" s="2763"/>
      <c r="B1" s="2740"/>
      <c r="C1" s="2764"/>
      <c r="D1" s="2765" t="s">
        <v>134</v>
      </c>
      <c r="E1" s="2764"/>
      <c r="F1" s="2764"/>
      <c r="G1" s="2764"/>
      <c r="H1" s="2764"/>
      <c r="I1" s="2764"/>
      <c r="J1" s="2764"/>
      <c r="K1" s="2764"/>
      <c r="L1" s="2764"/>
    </row>
    <row r="2" spans="1:12" s="2733" customFormat="1" ht="1.5" customHeight="1">
      <c r="A2" s="2740"/>
      <c r="B2" s="2740"/>
      <c r="C2" s="2741"/>
      <c r="D2" s="2742"/>
      <c r="E2" s="2741"/>
      <c r="F2" s="2741"/>
      <c r="G2" s="2741"/>
      <c r="H2" s="2741"/>
      <c r="I2" s="2741"/>
      <c r="J2" s="2741"/>
      <c r="K2" s="2741"/>
      <c r="L2" s="2741"/>
    </row>
    <row r="3" spans="1:12">
      <c r="A3" s="2766" t="s">
        <v>135</v>
      </c>
      <c r="B3" s="2744"/>
      <c r="C3" s="2745" t="s">
        <v>136</v>
      </c>
      <c r="D3" s="2745" t="s">
        <v>137</v>
      </c>
      <c r="E3" s="2745" t="s">
        <v>138</v>
      </c>
      <c r="F3" s="2745" t="s">
        <v>139</v>
      </c>
      <c r="G3" s="2745" t="s">
        <v>140</v>
      </c>
      <c r="H3" s="2745" t="s">
        <v>141</v>
      </c>
      <c r="I3" s="2745" t="s">
        <v>142</v>
      </c>
    </row>
    <row r="4" spans="1:12" ht="13.5" customHeight="1">
      <c r="A4" s="2767" t="s">
        <v>143</v>
      </c>
      <c r="B4" s="2747"/>
      <c r="C4" s="2745" t="s">
        <v>144</v>
      </c>
      <c r="D4" s="2745" t="s">
        <v>145</v>
      </c>
      <c r="E4" s="2745" t="s">
        <v>146</v>
      </c>
      <c r="F4" s="2745" t="s">
        <v>147</v>
      </c>
      <c r="G4" s="2745" t="s">
        <v>148</v>
      </c>
      <c r="H4" s="2745" t="s">
        <v>149</v>
      </c>
      <c r="I4" s="2745" t="s">
        <v>150</v>
      </c>
    </row>
    <row r="5" spans="1:12" s="2733" customFormat="1" ht="1.5" customHeight="1"/>
    <row r="6" spans="1:12">
      <c r="A6" s="2746" t="s">
        <v>151</v>
      </c>
      <c r="B6" s="2747"/>
      <c r="C6" s="2732" t="s">
        <v>152</v>
      </c>
      <c r="D6" s="2732" t="s">
        <v>153</v>
      </c>
      <c r="H6" s="2732" t="s">
        <v>154</v>
      </c>
      <c r="I6" s="2732" t="s">
        <v>155</v>
      </c>
    </row>
    <row r="7" spans="1:12">
      <c r="A7" s="2746" t="s">
        <v>156</v>
      </c>
      <c r="B7" s="2747"/>
      <c r="C7" s="2732" t="s">
        <v>157</v>
      </c>
      <c r="H7" s="2732" t="s">
        <v>158</v>
      </c>
      <c r="I7" s="2732" t="s">
        <v>159</v>
      </c>
    </row>
    <row r="8" spans="1:12">
      <c r="A8" s="2746" t="s">
        <v>160</v>
      </c>
      <c r="B8" s="2747"/>
      <c r="C8" s="2732" t="s">
        <v>161</v>
      </c>
      <c r="I8" s="2732" t="s">
        <v>162</v>
      </c>
    </row>
    <row r="9" spans="1:12">
      <c r="A9" s="2746" t="s">
        <v>163</v>
      </c>
      <c r="B9" s="2747"/>
      <c r="C9" s="2732" t="s">
        <v>164</v>
      </c>
      <c r="E9" s="2732" t="s">
        <v>165</v>
      </c>
      <c r="F9" s="2732" t="s">
        <v>166</v>
      </c>
      <c r="G9" s="2732" t="s">
        <v>167</v>
      </c>
      <c r="H9" s="2732" t="s">
        <v>168</v>
      </c>
      <c r="I9" s="2732" t="s">
        <v>169</v>
      </c>
    </row>
    <row r="10" spans="1:12">
      <c r="A10" s="2746"/>
      <c r="B10" s="2747"/>
      <c r="C10" s="2732" t="s">
        <v>170</v>
      </c>
      <c r="D10" s="2732" t="s">
        <v>171</v>
      </c>
      <c r="E10" s="2732" t="s">
        <v>172</v>
      </c>
      <c r="F10" s="2732" t="s">
        <v>171</v>
      </c>
      <c r="G10" s="2732" t="s">
        <v>173</v>
      </c>
      <c r="H10" s="2732" t="s">
        <v>174</v>
      </c>
      <c r="I10" s="2732" t="s">
        <v>175</v>
      </c>
    </row>
    <row r="11" spans="1:12" s="2733" customFormat="1" ht="1.5" customHeight="1"/>
    <row r="12" spans="1:12">
      <c r="A12" s="2748" t="s">
        <v>176</v>
      </c>
      <c r="C12" s="2732" t="s">
        <v>177</v>
      </c>
      <c r="D12" s="2732" t="s">
        <v>178</v>
      </c>
      <c r="E12" s="2732" t="s">
        <v>179</v>
      </c>
      <c r="F12" s="2732" t="s">
        <v>178</v>
      </c>
      <c r="G12" s="2732" t="s">
        <v>178</v>
      </c>
      <c r="H12" s="2732" t="s">
        <v>180</v>
      </c>
      <c r="I12" s="2732" t="s">
        <v>181</v>
      </c>
    </row>
    <row r="13" spans="1:12">
      <c r="A13" s="2757" t="s">
        <v>182</v>
      </c>
      <c r="C13" s="2732" t="s">
        <v>183</v>
      </c>
      <c r="E13" s="2732" t="s">
        <v>184</v>
      </c>
      <c r="I13" s="2732" t="s">
        <v>185</v>
      </c>
    </row>
    <row r="14" spans="1:12">
      <c r="A14" s="2746" t="s">
        <v>163</v>
      </c>
      <c r="C14" s="2732" t="s">
        <v>186</v>
      </c>
      <c r="D14" s="2732" t="s">
        <v>187</v>
      </c>
      <c r="E14" s="2732" t="s">
        <v>188</v>
      </c>
      <c r="F14" s="2732" t="s">
        <v>187</v>
      </c>
      <c r="H14" s="2732" t="s">
        <v>189</v>
      </c>
      <c r="I14" s="2732" t="s">
        <v>190</v>
      </c>
    </row>
    <row r="15" spans="1:12">
      <c r="A15" s="2746"/>
      <c r="C15" s="2732" t="s">
        <v>191</v>
      </c>
      <c r="D15" s="2732" t="s">
        <v>192</v>
      </c>
      <c r="E15" s="2732" t="s">
        <v>193</v>
      </c>
      <c r="F15" s="2732" t="s">
        <v>194</v>
      </c>
      <c r="G15" s="2732" t="s">
        <v>195</v>
      </c>
    </row>
    <row r="16" spans="1:12" s="2744" customFormat="1" ht="3" customHeight="1">
      <c r="A16" s="2768"/>
    </row>
    <row r="17" spans="1:9">
      <c r="A17" s="2746"/>
      <c r="C17" s="2732" t="s">
        <v>196</v>
      </c>
      <c r="D17" s="2732" t="s">
        <v>197</v>
      </c>
      <c r="F17" s="2732" t="s">
        <v>198</v>
      </c>
      <c r="G17" s="2732" t="s">
        <v>198</v>
      </c>
      <c r="H17" s="2732" t="s">
        <v>199</v>
      </c>
      <c r="I17" s="2732" t="s">
        <v>200</v>
      </c>
    </row>
    <row r="18" spans="1:9">
      <c r="A18" s="2746" t="s">
        <v>201</v>
      </c>
      <c r="C18" s="2732" t="s">
        <v>202</v>
      </c>
      <c r="E18" s="2732" t="s">
        <v>203</v>
      </c>
      <c r="F18" s="2732" t="s">
        <v>204</v>
      </c>
      <c r="G18" s="2732" t="s">
        <v>205</v>
      </c>
      <c r="H18" s="2732" t="s">
        <v>206</v>
      </c>
      <c r="I18" s="2732" t="s">
        <v>207</v>
      </c>
    </row>
    <row r="19" spans="1:9">
      <c r="A19" s="2746" t="s">
        <v>163</v>
      </c>
      <c r="C19" s="2732" t="s">
        <v>208</v>
      </c>
      <c r="D19" s="2732" t="s">
        <v>209</v>
      </c>
      <c r="F19" s="2732" t="s">
        <v>210</v>
      </c>
      <c r="G19" s="2732" t="s">
        <v>210</v>
      </c>
      <c r="H19" s="2732" t="s">
        <v>211</v>
      </c>
      <c r="I19" s="2732" t="s">
        <v>212</v>
      </c>
    </row>
    <row r="20" spans="1:9">
      <c r="A20" s="2746"/>
      <c r="C20" s="2732" t="s">
        <v>213</v>
      </c>
      <c r="D20" s="2732" t="s">
        <v>214</v>
      </c>
    </row>
    <row r="21" spans="1:9" s="2733" customFormat="1" ht="3.75" customHeight="1">
      <c r="A21" s="2747"/>
    </row>
    <row r="22" spans="1:9">
      <c r="A22" s="2746" t="s">
        <v>215</v>
      </c>
      <c r="C22" s="2732" t="s">
        <v>216</v>
      </c>
      <c r="F22" s="2732" t="s">
        <v>217</v>
      </c>
      <c r="I22" s="2732" t="s">
        <v>218</v>
      </c>
    </row>
    <row r="23" spans="1:9">
      <c r="A23" s="2746"/>
      <c r="C23" s="2732" t="s">
        <v>219</v>
      </c>
      <c r="D23" s="2732" t="s">
        <v>220</v>
      </c>
      <c r="F23" s="2732" t="s">
        <v>221</v>
      </c>
      <c r="I23" s="2732" t="s">
        <v>222</v>
      </c>
    </row>
    <row r="24" spans="1:9">
      <c r="A24" s="2746" t="s">
        <v>163</v>
      </c>
      <c r="C24" s="2732" t="s">
        <v>223</v>
      </c>
      <c r="D24" s="2732" t="s">
        <v>224</v>
      </c>
      <c r="F24" s="2732" t="s">
        <v>224</v>
      </c>
      <c r="G24" s="2732" t="s">
        <v>224</v>
      </c>
      <c r="H24" s="2732" t="s">
        <v>225</v>
      </c>
      <c r="I24" s="2732" t="s">
        <v>226</v>
      </c>
    </row>
    <row r="25" spans="1:9" s="2733" customFormat="1" ht="4.5" customHeight="1">
      <c r="A25" s="2747"/>
    </row>
    <row r="26" spans="1:9" ht="24.75" customHeight="1">
      <c r="A26" s="2746" t="s">
        <v>227</v>
      </c>
      <c r="C26" s="2732" t="s">
        <v>228</v>
      </c>
      <c r="D26" s="2732" t="s">
        <v>229</v>
      </c>
      <c r="F26" s="2732" t="s">
        <v>230</v>
      </c>
      <c r="G26" s="2732" t="s">
        <v>230</v>
      </c>
      <c r="H26" s="2732" t="s">
        <v>231</v>
      </c>
      <c r="I26" s="2732" t="s">
        <v>232</v>
      </c>
    </row>
    <row r="27" spans="1:9" s="2733" customFormat="1" ht="3.75" customHeight="1">
      <c r="A27" s="2747"/>
    </row>
    <row r="28" spans="1:9">
      <c r="A28" s="2746"/>
      <c r="C28" s="2732" t="s">
        <v>233</v>
      </c>
      <c r="D28" s="2732" t="s">
        <v>234</v>
      </c>
      <c r="E28" s="2732" t="s">
        <v>235</v>
      </c>
      <c r="F28" s="2732" t="s">
        <v>236</v>
      </c>
      <c r="H28" s="2732" t="s">
        <v>237</v>
      </c>
    </row>
    <row r="29" spans="1:9">
      <c r="A29" s="2746" t="s">
        <v>238</v>
      </c>
      <c r="C29" s="2732" t="s">
        <v>239</v>
      </c>
      <c r="D29" s="2732" t="s">
        <v>240</v>
      </c>
      <c r="E29" s="2732" t="s">
        <v>241</v>
      </c>
      <c r="F29" s="2732" t="s">
        <v>242</v>
      </c>
      <c r="G29" s="2732" t="s">
        <v>243</v>
      </c>
      <c r="H29" s="2732" t="s">
        <v>244</v>
      </c>
      <c r="I29" s="2732" t="s">
        <v>245</v>
      </c>
    </row>
    <row r="30" spans="1:9">
      <c r="A30" s="2746" t="s">
        <v>246</v>
      </c>
      <c r="C30" s="2732" t="s">
        <v>247</v>
      </c>
      <c r="D30" s="2732" t="s">
        <v>248</v>
      </c>
      <c r="I30" s="2732" t="s">
        <v>249</v>
      </c>
    </row>
    <row r="31" spans="1:9">
      <c r="A31" s="2746" t="s">
        <v>163</v>
      </c>
      <c r="C31" s="2732" t="s">
        <v>250</v>
      </c>
      <c r="D31" s="2732" t="s">
        <v>251</v>
      </c>
      <c r="F31" s="2732" t="s">
        <v>252</v>
      </c>
      <c r="H31" s="2732" t="s">
        <v>253</v>
      </c>
    </row>
    <row r="32" spans="1:9">
      <c r="A32" s="2746" t="s">
        <v>254</v>
      </c>
      <c r="C32" s="2732" t="s">
        <v>255</v>
      </c>
      <c r="E32" s="2751"/>
      <c r="I32" s="2732" t="s">
        <v>256</v>
      </c>
    </row>
    <row r="33" spans="1:9">
      <c r="A33" s="2746" t="s">
        <v>257</v>
      </c>
      <c r="C33" s="2732" t="s">
        <v>258</v>
      </c>
      <c r="D33" s="2732" t="s">
        <v>259</v>
      </c>
    </row>
    <row r="34" spans="1:9">
      <c r="A34" s="2746"/>
      <c r="C34" s="2732" t="s">
        <v>260</v>
      </c>
      <c r="D34" s="2732" t="s">
        <v>261</v>
      </c>
      <c r="E34" s="2732" t="s">
        <v>262</v>
      </c>
      <c r="G34" s="2732" t="s">
        <v>263</v>
      </c>
      <c r="H34" s="2732" t="s">
        <v>264</v>
      </c>
      <c r="I34" s="2732" t="s">
        <v>265</v>
      </c>
    </row>
    <row r="35" spans="1:9">
      <c r="A35" s="2746"/>
      <c r="C35" s="2732" t="s">
        <v>266</v>
      </c>
      <c r="H35" s="2732" t="s">
        <v>267</v>
      </c>
      <c r="I35" s="2732" t="s">
        <v>268</v>
      </c>
    </row>
    <row r="36" spans="1:9" s="2733" customFormat="1" ht="4.5" customHeight="1">
      <c r="A36" s="2747"/>
      <c r="C36" s="2760"/>
      <c r="D36" s="2760"/>
      <c r="E36" s="2760"/>
      <c r="F36" s="2760"/>
      <c r="G36" s="2760"/>
      <c r="H36" s="2760"/>
    </row>
    <row r="37" spans="1:9" s="2733" customFormat="1" ht="2.25" customHeight="1"/>
    <row r="38" spans="1:9" s="2758" customFormat="1" ht="12">
      <c r="E38" s="2769" t="s">
        <v>269</v>
      </c>
    </row>
    <row r="39" spans="1:9" s="2733" customFormat="1" ht="3" customHeight="1"/>
  </sheetData>
  <sheetProtection password="C787" sheet="1" objects="1" scenarios="1"/>
  <phoneticPr fontId="378" type="noConversion"/>
  <pageMargins left="0.75" right="0.75" top="1" bottom="1" header="0.5" footer="0.5"/>
  <pageSetup paperSize="9" orientation="landscape"/>
  <headerFooter scaleWithDoc="0"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78"/>
  <sheetViews>
    <sheetView workbookViewId="0">
      <pane ySplit="5" topLeftCell="A6" activePane="bottomLeft" state="frozen"/>
      <selection activeCell="K3" sqref="K3"/>
      <selection pane="bottomLeft" activeCell="K3" sqref="K3"/>
    </sheetView>
  </sheetViews>
  <sheetFormatPr defaultColWidth="8" defaultRowHeight="16.5"/>
  <cols>
    <col min="1" max="1" width="8.25" style="2732"/>
    <col min="2" max="2" width="0.25" style="2733" customWidth="1"/>
    <col min="3" max="3" width="14.5" style="2732" customWidth="1"/>
    <col min="4" max="4" width="15.125" style="2732" customWidth="1"/>
    <col min="5" max="5" width="12.75" style="2732" customWidth="1"/>
    <col min="6" max="6" width="10.5" style="2732" customWidth="1"/>
    <col min="7" max="7" width="12.25" style="2732" customWidth="1"/>
    <col min="8" max="8" width="11.875" style="2732" customWidth="1"/>
    <col min="9" max="9" width="11.625" style="2734" customWidth="1"/>
    <col min="10" max="256" width="8.25" style="2735"/>
    <col min="257" max="16384" width="8" style="174"/>
  </cols>
  <sheetData>
    <row r="1" spans="1:9" ht="25.5">
      <c r="A1" s="2736"/>
      <c r="B1" s="2737"/>
      <c r="C1" s="2738"/>
      <c r="D1" s="2738"/>
      <c r="E1" s="2739" t="s">
        <v>270</v>
      </c>
      <c r="F1" s="2738"/>
      <c r="G1" s="2738"/>
      <c r="H1" s="2738"/>
      <c r="I1" s="2738"/>
    </row>
    <row r="2" spans="1:9" ht="1.5" customHeight="1">
      <c r="A2" s="2740"/>
      <c r="B2" s="2740"/>
      <c r="C2" s="2741"/>
      <c r="D2" s="2741"/>
      <c r="E2" s="2742"/>
      <c r="F2" s="2741"/>
      <c r="G2" s="2741"/>
      <c r="H2" s="2741"/>
      <c r="I2" s="2741"/>
    </row>
    <row r="3" spans="1:9">
      <c r="A3" s="2743" t="s">
        <v>271</v>
      </c>
      <c r="B3" s="2744"/>
      <c r="C3" s="2745" t="s">
        <v>136</v>
      </c>
      <c r="D3" s="2745" t="s">
        <v>142</v>
      </c>
      <c r="E3" s="2745" t="s">
        <v>137</v>
      </c>
      <c r="F3" s="2745" t="s">
        <v>138</v>
      </c>
      <c r="G3" s="2745" t="s">
        <v>139</v>
      </c>
      <c r="H3" s="2745" t="s">
        <v>140</v>
      </c>
      <c r="I3" s="2752" t="s">
        <v>141</v>
      </c>
    </row>
    <row r="4" spans="1:9" ht="13.5" customHeight="1">
      <c r="A4" s="2746" t="s">
        <v>272</v>
      </c>
      <c r="B4" s="2747"/>
      <c r="C4" s="2745" t="s">
        <v>144</v>
      </c>
      <c r="D4" s="2745" t="s">
        <v>150</v>
      </c>
      <c r="E4" s="2745" t="s">
        <v>145</v>
      </c>
      <c r="F4" s="2745" t="s">
        <v>146</v>
      </c>
      <c r="G4" s="2745" t="s">
        <v>147</v>
      </c>
      <c r="H4" s="2745" t="s">
        <v>148</v>
      </c>
      <c r="I4" s="2752" t="s">
        <v>149</v>
      </c>
    </row>
    <row r="5" spans="1:9" ht="1.5" customHeight="1">
      <c r="A5" s="2733"/>
      <c r="C5" s="2733"/>
      <c r="D5" s="2733"/>
      <c r="E5" s="2733"/>
      <c r="F5" s="2733"/>
      <c r="G5" s="2733"/>
      <c r="H5" s="2733"/>
      <c r="I5" s="2753"/>
    </row>
    <row r="6" spans="1:9">
      <c r="A6" s="2746"/>
      <c r="B6" s="2747"/>
      <c r="C6" s="2732" t="s">
        <v>273</v>
      </c>
      <c r="D6" s="2732" t="s">
        <v>274</v>
      </c>
      <c r="E6" s="2732">
        <v>1006</v>
      </c>
      <c r="F6" s="2732" t="s">
        <v>275</v>
      </c>
      <c r="G6" s="2732" t="s">
        <v>276</v>
      </c>
      <c r="I6" s="2734" t="s">
        <v>277</v>
      </c>
    </row>
    <row r="7" spans="1:9">
      <c r="A7" s="2746" t="s">
        <v>278</v>
      </c>
      <c r="B7" s="2747"/>
      <c r="C7" s="2732" t="s">
        <v>279</v>
      </c>
      <c r="D7" s="2732" t="s">
        <v>279</v>
      </c>
      <c r="E7" s="2732" t="s">
        <v>280</v>
      </c>
      <c r="F7" s="2732" t="s">
        <v>281</v>
      </c>
      <c r="G7" s="2732" t="s">
        <v>282</v>
      </c>
      <c r="I7" s="2734" t="s">
        <v>277</v>
      </c>
    </row>
    <row r="8" spans="1:9">
      <c r="A8" s="2746"/>
      <c r="B8" s="2747"/>
      <c r="C8" s="2732" t="s">
        <v>283</v>
      </c>
      <c r="E8" s="2732" t="s">
        <v>284</v>
      </c>
      <c r="F8" s="2732" t="s">
        <v>285</v>
      </c>
      <c r="H8" s="2732" t="s">
        <v>286</v>
      </c>
    </row>
    <row r="9" spans="1:9">
      <c r="A9" s="2746"/>
      <c r="B9" s="2747"/>
      <c r="C9" s="2732" t="s">
        <v>287</v>
      </c>
      <c r="D9" s="2732" t="s">
        <v>287</v>
      </c>
      <c r="E9" s="2732" t="s">
        <v>288</v>
      </c>
      <c r="F9" s="2732" t="s">
        <v>281</v>
      </c>
      <c r="G9" s="2732" t="s">
        <v>289</v>
      </c>
      <c r="H9" s="2732" t="s">
        <v>286</v>
      </c>
      <c r="I9" s="2734" t="s">
        <v>290</v>
      </c>
    </row>
    <row r="10" spans="1:9">
      <c r="A10" s="2746" t="s">
        <v>291</v>
      </c>
      <c r="B10" s="2747"/>
      <c r="C10" s="2732" t="s">
        <v>292</v>
      </c>
      <c r="D10" s="2732" t="s">
        <v>292</v>
      </c>
      <c r="E10" s="2732" t="s">
        <v>293</v>
      </c>
      <c r="F10" s="2732" t="s">
        <v>294</v>
      </c>
      <c r="G10" s="2732" t="s">
        <v>295</v>
      </c>
      <c r="H10" s="2732" t="s">
        <v>296</v>
      </c>
      <c r="I10" s="2734" t="s">
        <v>297</v>
      </c>
    </row>
    <row r="11" spans="1:9">
      <c r="A11" s="2746"/>
      <c r="B11" s="2747"/>
      <c r="C11" s="2732" t="s">
        <v>298</v>
      </c>
      <c r="D11" s="2732" t="s">
        <v>298</v>
      </c>
      <c r="E11" s="2732" t="s">
        <v>299</v>
      </c>
      <c r="F11" s="2732" t="s">
        <v>300</v>
      </c>
      <c r="G11" s="2732" t="s">
        <v>301</v>
      </c>
      <c r="H11" s="2732" t="s">
        <v>302</v>
      </c>
      <c r="I11" s="2734" t="s">
        <v>303</v>
      </c>
    </row>
    <row r="12" spans="1:9">
      <c r="A12" s="2746"/>
      <c r="B12" s="2747"/>
      <c r="C12" s="2732" t="s">
        <v>304</v>
      </c>
      <c r="D12" s="2732" t="s">
        <v>304</v>
      </c>
      <c r="E12" s="2732" t="s">
        <v>305</v>
      </c>
      <c r="G12" s="2732" t="s">
        <v>306</v>
      </c>
      <c r="I12" s="2734" t="s">
        <v>307</v>
      </c>
    </row>
    <row r="13" spans="1:9">
      <c r="A13" s="2746" t="s">
        <v>308</v>
      </c>
      <c r="B13" s="2747"/>
      <c r="C13" s="2732" t="s">
        <v>309</v>
      </c>
      <c r="D13" s="2732" t="s">
        <v>309</v>
      </c>
      <c r="E13" s="2732" t="s">
        <v>310</v>
      </c>
      <c r="F13" s="2732" t="s">
        <v>311</v>
      </c>
      <c r="G13" s="2732" t="s">
        <v>312</v>
      </c>
      <c r="H13" s="2732" t="s">
        <v>313</v>
      </c>
    </row>
    <row r="14" spans="1:9">
      <c r="A14" s="2746"/>
      <c r="B14" s="2747"/>
      <c r="C14" s="2732" t="s">
        <v>314</v>
      </c>
      <c r="D14" s="2732" t="s">
        <v>314</v>
      </c>
      <c r="E14" s="2732" t="s">
        <v>315</v>
      </c>
      <c r="F14" s="2732" t="s">
        <v>316</v>
      </c>
      <c r="G14" s="2732" t="s">
        <v>317</v>
      </c>
      <c r="H14" s="2732" t="s">
        <v>318</v>
      </c>
      <c r="I14" s="2734" t="s">
        <v>319</v>
      </c>
    </row>
    <row r="15" spans="1:9">
      <c r="A15" s="2746"/>
      <c r="B15" s="2747"/>
      <c r="C15" s="2732" t="s">
        <v>320</v>
      </c>
      <c r="D15" s="2732" t="s">
        <v>320</v>
      </c>
      <c r="E15" s="2732" t="s">
        <v>321</v>
      </c>
      <c r="F15" s="2732" t="s">
        <v>322</v>
      </c>
      <c r="G15" s="2732" t="s">
        <v>323</v>
      </c>
      <c r="H15" s="2732" t="s">
        <v>324</v>
      </c>
    </row>
    <row r="16" spans="1:9">
      <c r="A16" s="2746" t="s">
        <v>325</v>
      </c>
      <c r="B16" s="2747"/>
      <c r="C16" s="2732" t="s">
        <v>326</v>
      </c>
      <c r="D16" s="2732" t="s">
        <v>326</v>
      </c>
      <c r="E16" s="2732" t="s">
        <v>327</v>
      </c>
      <c r="F16" s="2732" t="s">
        <v>328</v>
      </c>
      <c r="G16" s="2732" t="s">
        <v>329</v>
      </c>
      <c r="H16" s="2732" t="s">
        <v>330</v>
      </c>
      <c r="I16" s="2734" t="s">
        <v>331</v>
      </c>
    </row>
    <row r="17" spans="1:9">
      <c r="A17" s="2746"/>
      <c r="B17" s="2747"/>
      <c r="C17" s="2732" t="s">
        <v>332</v>
      </c>
      <c r="D17" s="2732" t="s">
        <v>332</v>
      </c>
      <c r="E17" s="2732" t="s">
        <v>171</v>
      </c>
      <c r="F17" s="2732" t="s">
        <v>333</v>
      </c>
      <c r="G17" s="2732" t="s">
        <v>334</v>
      </c>
      <c r="H17" s="2732" t="s">
        <v>335</v>
      </c>
      <c r="I17" s="2734" t="s">
        <v>336</v>
      </c>
    </row>
    <row r="18" spans="1:9">
      <c r="A18" s="2746" t="s">
        <v>337</v>
      </c>
      <c r="B18" s="2747"/>
      <c r="C18" s="2732" t="s">
        <v>338</v>
      </c>
      <c r="D18" s="2732" t="s">
        <v>338</v>
      </c>
      <c r="E18" s="2732" t="s">
        <v>339</v>
      </c>
      <c r="F18" s="2732" t="s">
        <v>340</v>
      </c>
      <c r="G18" s="2732" t="s">
        <v>341</v>
      </c>
      <c r="H18" s="2732" t="s">
        <v>342</v>
      </c>
    </row>
    <row r="19" spans="1:9">
      <c r="A19" s="2746"/>
      <c r="B19" s="2747"/>
      <c r="C19" s="2732" t="s">
        <v>343</v>
      </c>
      <c r="D19" s="2732" t="s">
        <v>343</v>
      </c>
      <c r="E19" s="2732" t="s">
        <v>344</v>
      </c>
      <c r="F19" s="2732" t="s">
        <v>345</v>
      </c>
      <c r="G19" s="2732" t="s">
        <v>346</v>
      </c>
      <c r="H19" s="2732" t="s">
        <v>342</v>
      </c>
      <c r="I19" s="2734" t="s">
        <v>347</v>
      </c>
    </row>
    <row r="20" spans="1:9">
      <c r="A20" s="2746"/>
      <c r="B20" s="2747"/>
      <c r="C20" s="2732" t="s">
        <v>348</v>
      </c>
      <c r="D20" s="2732" t="s">
        <v>349</v>
      </c>
      <c r="E20" s="2732" t="s">
        <v>350</v>
      </c>
      <c r="F20" s="2732" t="s">
        <v>351</v>
      </c>
      <c r="G20" s="2732" t="s">
        <v>352</v>
      </c>
      <c r="H20" s="2732" t="s">
        <v>296</v>
      </c>
      <c r="I20" s="2734" t="s">
        <v>353</v>
      </c>
    </row>
    <row r="21" spans="1:9">
      <c r="A21" s="2746" t="s">
        <v>354</v>
      </c>
      <c r="B21" s="2747"/>
      <c r="C21" s="2732" t="s">
        <v>355</v>
      </c>
      <c r="D21" s="2732" t="s">
        <v>356</v>
      </c>
      <c r="E21" s="2732" t="s">
        <v>357</v>
      </c>
      <c r="F21" s="2732" t="s">
        <v>358</v>
      </c>
      <c r="H21" s="2732" t="s">
        <v>302</v>
      </c>
    </row>
    <row r="22" spans="1:9">
      <c r="A22" s="2746"/>
      <c r="B22" s="2747"/>
      <c r="C22" s="2732" t="s">
        <v>359</v>
      </c>
      <c r="D22" s="2732" t="s">
        <v>360</v>
      </c>
      <c r="E22" s="2732" t="s">
        <v>361</v>
      </c>
      <c r="F22" s="2732" t="s">
        <v>362</v>
      </c>
      <c r="G22" s="2732" t="s">
        <v>312</v>
      </c>
      <c r="H22" s="2732" t="s">
        <v>313</v>
      </c>
    </row>
    <row r="23" spans="1:9">
      <c r="A23" s="2746"/>
      <c r="B23" s="2747"/>
      <c r="C23" s="2732" t="s">
        <v>363</v>
      </c>
      <c r="D23" s="2732" t="s">
        <v>364</v>
      </c>
      <c r="E23" s="2732" t="s">
        <v>365</v>
      </c>
      <c r="F23" s="2732" t="s">
        <v>322</v>
      </c>
      <c r="G23" s="2732" t="s">
        <v>323</v>
      </c>
      <c r="H23" s="2732" t="s">
        <v>366</v>
      </c>
      <c r="I23" s="2734" t="s">
        <v>367</v>
      </c>
    </row>
    <row r="24" spans="1:9">
      <c r="A24" s="2746" t="s">
        <v>368</v>
      </c>
      <c r="B24" s="2747"/>
      <c r="C24" s="2732" t="s">
        <v>369</v>
      </c>
      <c r="D24" s="2732" t="s">
        <v>370</v>
      </c>
      <c r="E24" s="2732" t="s">
        <v>371</v>
      </c>
      <c r="F24" s="2732" t="s">
        <v>372</v>
      </c>
      <c r="G24" s="2732" t="s">
        <v>329</v>
      </c>
    </row>
    <row r="25" spans="1:9">
      <c r="A25" s="2746"/>
      <c r="B25" s="2747"/>
      <c r="C25" s="2748" t="s">
        <v>373</v>
      </c>
      <c r="D25" s="2748" t="s">
        <v>374</v>
      </c>
      <c r="E25" s="2748" t="s">
        <v>375</v>
      </c>
      <c r="F25" s="2748" t="s">
        <v>376</v>
      </c>
      <c r="G25" s="2748" t="s">
        <v>377</v>
      </c>
      <c r="H25" s="2748" t="s">
        <v>378</v>
      </c>
      <c r="I25" s="2754"/>
    </row>
    <row r="26" spans="1:9">
      <c r="A26" s="2749"/>
      <c r="B26" s="2750"/>
      <c r="C26" s="2749"/>
      <c r="D26" s="2749"/>
      <c r="E26" s="2749"/>
      <c r="F26" s="2749" t="s">
        <v>379</v>
      </c>
      <c r="G26" s="2749"/>
      <c r="H26" s="2749"/>
      <c r="I26" s="2755"/>
    </row>
    <row r="27" spans="1:9" ht="1.5" customHeight="1">
      <c r="A27" s="2733"/>
      <c r="C27" s="2733"/>
      <c r="D27" s="2733"/>
      <c r="E27" s="2733"/>
      <c r="F27" s="2733"/>
      <c r="G27" s="2733"/>
      <c r="H27" s="2733"/>
      <c r="I27" s="2753"/>
    </row>
    <row r="28" spans="1:9">
      <c r="A28" s="2748"/>
      <c r="C28" s="2732" t="s">
        <v>380</v>
      </c>
      <c r="D28" s="2748" t="s">
        <v>381</v>
      </c>
      <c r="E28" s="2732" t="s">
        <v>382</v>
      </c>
      <c r="F28" s="2732" t="s">
        <v>383</v>
      </c>
      <c r="G28" s="2732" t="s">
        <v>384</v>
      </c>
      <c r="I28" s="2734" t="s">
        <v>385</v>
      </c>
    </row>
    <row r="29" spans="1:9">
      <c r="A29" s="2746"/>
      <c r="C29" s="2732" t="s">
        <v>386</v>
      </c>
      <c r="D29" s="2748" t="s">
        <v>387</v>
      </c>
      <c r="E29" s="2732" t="s">
        <v>388</v>
      </c>
      <c r="F29" s="2732" t="s">
        <v>389</v>
      </c>
      <c r="G29" s="2732" t="s">
        <v>390</v>
      </c>
      <c r="H29" s="2732" t="s">
        <v>391</v>
      </c>
      <c r="I29" s="2734" t="s">
        <v>392</v>
      </c>
    </row>
    <row r="30" spans="1:9">
      <c r="A30" s="2746" t="s">
        <v>254</v>
      </c>
      <c r="C30" s="2732" t="s">
        <v>393</v>
      </c>
      <c r="D30" s="2748" t="s">
        <v>394</v>
      </c>
      <c r="E30" s="2732" t="s">
        <v>395</v>
      </c>
      <c r="F30" s="2732" t="s">
        <v>396</v>
      </c>
      <c r="G30" s="2732" t="s">
        <v>397</v>
      </c>
      <c r="H30" s="2732" t="s">
        <v>398</v>
      </c>
      <c r="I30" s="2734" t="s">
        <v>399</v>
      </c>
    </row>
    <row r="31" spans="1:9">
      <c r="A31" s="2746"/>
      <c r="C31" s="2732" t="s">
        <v>400</v>
      </c>
      <c r="D31" s="2748" t="s">
        <v>401</v>
      </c>
      <c r="E31" s="2732" t="s">
        <v>402</v>
      </c>
      <c r="G31" s="2732" t="s">
        <v>403</v>
      </c>
      <c r="H31" s="2732" t="s">
        <v>366</v>
      </c>
    </row>
    <row r="32" spans="1:9">
      <c r="A32" s="2746"/>
      <c r="C32" s="2732" t="s">
        <v>404</v>
      </c>
      <c r="D32" s="2732" t="s">
        <v>405</v>
      </c>
      <c r="E32" s="2732" t="s">
        <v>406</v>
      </c>
      <c r="G32" s="2732" t="s">
        <v>403</v>
      </c>
      <c r="I32" s="2734" t="s">
        <v>407</v>
      </c>
    </row>
    <row r="33" spans="1:9">
      <c r="A33" s="2746" t="s">
        <v>257</v>
      </c>
      <c r="C33" s="2732" t="s">
        <v>408</v>
      </c>
      <c r="D33" s="2732" t="s">
        <v>409</v>
      </c>
      <c r="H33" s="2732" t="s">
        <v>410</v>
      </c>
    </row>
    <row r="34" spans="1:9">
      <c r="A34" s="2746"/>
      <c r="C34" s="2732" t="s">
        <v>411</v>
      </c>
      <c r="I34" s="2734" t="s">
        <v>412</v>
      </c>
    </row>
    <row r="35" spans="1:9">
      <c r="A35" s="2746"/>
      <c r="C35" s="2732" t="s">
        <v>413</v>
      </c>
      <c r="D35" s="2732" t="s">
        <v>414</v>
      </c>
      <c r="F35" s="2732" t="s">
        <v>415</v>
      </c>
      <c r="I35" s="2734" t="s">
        <v>416</v>
      </c>
    </row>
    <row r="36" spans="1:9">
      <c r="A36" s="2746" t="s">
        <v>337</v>
      </c>
      <c r="C36" s="2732" t="s">
        <v>417</v>
      </c>
      <c r="D36" s="2732" t="s">
        <v>414</v>
      </c>
      <c r="F36" s="2732" t="s">
        <v>415</v>
      </c>
      <c r="I36" s="2734" t="s">
        <v>418</v>
      </c>
    </row>
    <row r="37" spans="1:9">
      <c r="A37" s="2746"/>
      <c r="C37" s="2732" t="s">
        <v>419</v>
      </c>
      <c r="E37" s="2732" t="s">
        <v>420</v>
      </c>
    </row>
    <row r="38" spans="1:9">
      <c r="A38" s="2746"/>
      <c r="C38" s="2732" t="s">
        <v>421</v>
      </c>
      <c r="E38" s="2732" t="s">
        <v>422</v>
      </c>
    </row>
    <row r="39" spans="1:9">
      <c r="A39" s="2746" t="s">
        <v>354</v>
      </c>
      <c r="C39" s="2732" t="s">
        <v>423</v>
      </c>
      <c r="E39" s="2732" t="s">
        <v>424</v>
      </c>
    </row>
    <row r="40" spans="1:9">
      <c r="A40" s="2746"/>
      <c r="C40" s="2732" t="s">
        <v>425</v>
      </c>
      <c r="E40" s="2732" t="s">
        <v>426</v>
      </c>
    </row>
    <row r="41" spans="1:9">
      <c r="A41" s="2746"/>
      <c r="C41" s="2732" t="s">
        <v>427</v>
      </c>
      <c r="D41" s="2732" t="s">
        <v>428</v>
      </c>
      <c r="E41" s="2732" t="s">
        <v>429</v>
      </c>
      <c r="F41" s="2732" t="s">
        <v>430</v>
      </c>
      <c r="G41" s="2732" t="s">
        <v>431</v>
      </c>
      <c r="H41" s="2732" t="s">
        <v>432</v>
      </c>
      <c r="I41" s="2734" t="s">
        <v>433</v>
      </c>
    </row>
    <row r="42" spans="1:9">
      <c r="A42" s="2746" t="s">
        <v>368</v>
      </c>
      <c r="C42" s="2732" t="s">
        <v>434</v>
      </c>
      <c r="D42" s="2732" t="s">
        <v>435</v>
      </c>
      <c r="E42" s="2732" t="s">
        <v>436</v>
      </c>
      <c r="F42" s="2732" t="s">
        <v>437</v>
      </c>
      <c r="G42" s="2732" t="s">
        <v>438</v>
      </c>
      <c r="H42" s="2732" t="s">
        <v>439</v>
      </c>
      <c r="I42" s="2734" t="s">
        <v>440</v>
      </c>
    </row>
    <row r="43" spans="1:9">
      <c r="A43" s="2746"/>
      <c r="C43" s="2732" t="s">
        <v>441</v>
      </c>
      <c r="D43" s="2732" t="s">
        <v>442</v>
      </c>
      <c r="E43" s="2732" t="s">
        <v>443</v>
      </c>
      <c r="F43" s="2732" t="s">
        <v>444</v>
      </c>
      <c r="G43" s="2732" t="s">
        <v>445</v>
      </c>
      <c r="I43" s="2734" t="s">
        <v>446</v>
      </c>
    </row>
    <row r="44" spans="1:9">
      <c r="A44" s="2746"/>
      <c r="C44" s="2732" t="s">
        <v>447</v>
      </c>
      <c r="D44" s="2732" t="s">
        <v>448</v>
      </c>
      <c r="E44" s="2732" t="s">
        <v>449</v>
      </c>
      <c r="F44" s="2732" t="s">
        <v>450</v>
      </c>
      <c r="G44" s="2732" t="s">
        <v>451</v>
      </c>
      <c r="H44" s="2732" t="s">
        <v>452</v>
      </c>
      <c r="I44" s="2734" t="s">
        <v>453</v>
      </c>
    </row>
    <row r="45" spans="1:9">
      <c r="A45" s="2746"/>
      <c r="C45" s="2732" t="s">
        <v>454</v>
      </c>
      <c r="D45" s="2732" t="s">
        <v>455</v>
      </c>
      <c r="E45" s="2732" t="s">
        <v>456</v>
      </c>
      <c r="F45" s="2732" t="s">
        <v>457</v>
      </c>
      <c r="G45" s="2732" t="s">
        <v>458</v>
      </c>
      <c r="H45" s="2732" t="s">
        <v>459</v>
      </c>
      <c r="I45" s="2734" t="s">
        <v>460</v>
      </c>
    </row>
    <row r="46" spans="1:9">
      <c r="A46" s="2746"/>
      <c r="C46" s="2732" t="s">
        <v>461</v>
      </c>
      <c r="D46" s="2732" t="s">
        <v>462</v>
      </c>
      <c r="E46" s="2732" t="s">
        <v>463</v>
      </c>
      <c r="F46" s="2732" t="s">
        <v>464</v>
      </c>
      <c r="G46" s="2732" t="s">
        <v>465</v>
      </c>
      <c r="H46" s="2732" t="s">
        <v>466</v>
      </c>
    </row>
    <row r="47" spans="1:9">
      <c r="A47" s="2746"/>
      <c r="C47" s="2732" t="s">
        <v>467</v>
      </c>
      <c r="D47" s="2732" t="s">
        <v>468</v>
      </c>
    </row>
    <row r="48" spans="1:9">
      <c r="A48" s="2746"/>
      <c r="C48" s="2732" t="s">
        <v>469</v>
      </c>
      <c r="D48" s="2732" t="s">
        <v>470</v>
      </c>
      <c r="F48" s="2751" t="s">
        <v>471</v>
      </c>
      <c r="H48" s="2732" t="s">
        <v>472</v>
      </c>
      <c r="I48" s="2734" t="s">
        <v>473</v>
      </c>
    </row>
    <row r="49" spans="1:9">
      <c r="A49" s="2746"/>
      <c r="C49" s="2748" t="s">
        <v>474</v>
      </c>
      <c r="D49" s="2748" t="s">
        <v>475</v>
      </c>
      <c r="E49" s="2748" t="s">
        <v>476</v>
      </c>
      <c r="F49" s="2748" t="s">
        <v>477</v>
      </c>
      <c r="G49" s="2748" t="s">
        <v>478</v>
      </c>
      <c r="H49" s="2748" t="s">
        <v>472</v>
      </c>
      <c r="I49" s="2754" t="s">
        <v>479</v>
      </c>
    </row>
    <row r="50" spans="1:9">
      <c r="A50" s="2746"/>
      <c r="C50" s="2746"/>
      <c r="D50" s="2746"/>
      <c r="E50" s="2746"/>
      <c r="F50" s="2746"/>
      <c r="G50" s="2746" t="s">
        <v>480</v>
      </c>
      <c r="H50" s="2746"/>
      <c r="I50" s="2756"/>
    </row>
    <row r="51" spans="1:9">
      <c r="A51" s="2746"/>
      <c r="C51" s="2749"/>
      <c r="D51" s="2749"/>
      <c r="E51" s="2749"/>
      <c r="F51" s="2749"/>
      <c r="G51" s="2749" t="s">
        <v>481</v>
      </c>
      <c r="H51" s="2749"/>
      <c r="I51" s="2755"/>
    </row>
    <row r="52" spans="1:9">
      <c r="A52" s="2746" t="s">
        <v>254</v>
      </c>
      <c r="C52" s="2748" t="s">
        <v>482</v>
      </c>
      <c r="D52" s="2748" t="s">
        <v>483</v>
      </c>
      <c r="E52" s="2748" t="s">
        <v>484</v>
      </c>
      <c r="F52" s="2748" t="s">
        <v>485</v>
      </c>
      <c r="G52" s="2748" t="s">
        <v>486</v>
      </c>
      <c r="H52" s="2748" t="s">
        <v>487</v>
      </c>
      <c r="I52" s="2754" t="s">
        <v>488</v>
      </c>
    </row>
    <row r="53" spans="1:9">
      <c r="A53" s="2746"/>
      <c r="C53" s="2746"/>
      <c r="D53" s="2746"/>
      <c r="E53" s="2746"/>
      <c r="F53" s="2746" t="s">
        <v>489</v>
      </c>
      <c r="G53" s="2746" t="s">
        <v>480</v>
      </c>
      <c r="H53" s="2746"/>
      <c r="I53" s="2756"/>
    </row>
    <row r="54" spans="1:9">
      <c r="A54" s="2746"/>
      <c r="C54" s="2749"/>
      <c r="D54" s="2749"/>
      <c r="E54" s="2749"/>
      <c r="F54" s="2749"/>
      <c r="G54" s="2749" t="s">
        <v>481</v>
      </c>
      <c r="H54" s="2749"/>
      <c r="I54" s="2755"/>
    </row>
    <row r="55" spans="1:9">
      <c r="A55" s="2746" t="s">
        <v>257</v>
      </c>
      <c r="C55" s="2732" t="s">
        <v>490</v>
      </c>
      <c r="E55" s="2732" t="s">
        <v>491</v>
      </c>
      <c r="F55" s="2732" t="s">
        <v>492</v>
      </c>
      <c r="H55" s="2732" t="s">
        <v>493</v>
      </c>
      <c r="I55" s="2734" t="s">
        <v>494</v>
      </c>
    </row>
    <row r="56" spans="1:9">
      <c r="A56" s="2746"/>
      <c r="C56" s="2732" t="s">
        <v>495</v>
      </c>
      <c r="D56" s="2732" t="s">
        <v>496</v>
      </c>
      <c r="E56" s="2732" t="s">
        <v>497</v>
      </c>
      <c r="F56" s="2732" t="s">
        <v>498</v>
      </c>
      <c r="G56" s="2732" t="s">
        <v>499</v>
      </c>
      <c r="H56" s="2732" t="s">
        <v>500</v>
      </c>
    </row>
    <row r="57" spans="1:9">
      <c r="A57" s="2746"/>
      <c r="C57" s="2748" t="s">
        <v>501</v>
      </c>
      <c r="D57" s="2748"/>
      <c r="E57" s="2748" t="s">
        <v>502</v>
      </c>
      <c r="F57" s="2748" t="s">
        <v>503</v>
      </c>
      <c r="G57" s="2748" t="s">
        <v>272</v>
      </c>
      <c r="H57" s="2748" t="s">
        <v>504</v>
      </c>
      <c r="I57" s="2754" t="s">
        <v>505</v>
      </c>
    </row>
    <row r="58" spans="1:9">
      <c r="A58" s="2746" t="s">
        <v>337</v>
      </c>
      <c r="C58" s="2749"/>
      <c r="D58" s="2749"/>
      <c r="E58" s="2749"/>
      <c r="F58" s="2749" t="s">
        <v>506</v>
      </c>
      <c r="G58" s="2749"/>
      <c r="H58" s="2749"/>
      <c r="I58" s="2755"/>
    </row>
    <row r="59" spans="1:9">
      <c r="A59" s="2746"/>
      <c r="C59" s="2732" t="s">
        <v>507</v>
      </c>
      <c r="D59" s="2732" t="s">
        <v>508</v>
      </c>
      <c r="E59" s="2732" t="s">
        <v>509</v>
      </c>
      <c r="F59" s="2732" t="s">
        <v>510</v>
      </c>
      <c r="G59" s="2732" t="s">
        <v>511</v>
      </c>
      <c r="H59" s="2732" t="s">
        <v>512</v>
      </c>
      <c r="I59" s="2734" t="s">
        <v>513</v>
      </c>
    </row>
    <row r="60" spans="1:9">
      <c r="A60" s="2746"/>
      <c r="C60" s="2732" t="s">
        <v>514</v>
      </c>
      <c r="D60" s="2732" t="s">
        <v>515</v>
      </c>
    </row>
    <row r="61" spans="1:9">
      <c r="A61" s="2746" t="s">
        <v>354</v>
      </c>
      <c r="C61" s="2732" t="s">
        <v>516</v>
      </c>
      <c r="D61" s="2732" t="s">
        <v>517</v>
      </c>
      <c r="I61" s="2734" t="s">
        <v>518</v>
      </c>
    </row>
    <row r="62" spans="1:9">
      <c r="A62" s="2746"/>
      <c r="C62" s="2732" t="s">
        <v>519</v>
      </c>
      <c r="D62" s="2732" t="s">
        <v>520</v>
      </c>
    </row>
    <row r="63" spans="1:9">
      <c r="A63" s="2746"/>
      <c r="C63" s="2732" t="s">
        <v>521</v>
      </c>
      <c r="D63" s="2732" t="s">
        <v>522</v>
      </c>
      <c r="E63" s="2732" t="s">
        <v>523</v>
      </c>
      <c r="I63" s="2734" t="s">
        <v>524</v>
      </c>
    </row>
    <row r="64" spans="1:9">
      <c r="A64" s="2746" t="s">
        <v>368</v>
      </c>
      <c r="C64" s="2732" t="s">
        <v>525</v>
      </c>
      <c r="D64" s="2732" t="s">
        <v>526</v>
      </c>
      <c r="E64" s="2732" t="s">
        <v>527</v>
      </c>
      <c r="I64" s="2734" t="s">
        <v>528</v>
      </c>
    </row>
    <row r="65" spans="1:9">
      <c r="A65" s="2746"/>
      <c r="C65" s="2732" t="s">
        <v>529</v>
      </c>
      <c r="D65" s="2732" t="s">
        <v>530</v>
      </c>
      <c r="E65" s="2732" t="s">
        <v>531</v>
      </c>
      <c r="F65" s="2732" t="s">
        <v>532</v>
      </c>
      <c r="G65" s="2732" t="s">
        <v>533</v>
      </c>
      <c r="H65" s="2732" t="s">
        <v>534</v>
      </c>
      <c r="I65" s="2734" t="s">
        <v>535</v>
      </c>
    </row>
    <row r="66" spans="1:9">
      <c r="A66" s="2746"/>
      <c r="C66" s="2732" t="s">
        <v>536</v>
      </c>
      <c r="D66" s="2732" t="s">
        <v>537</v>
      </c>
    </row>
    <row r="67" spans="1:9">
      <c r="A67" s="2746"/>
      <c r="C67" s="2732" t="s">
        <v>538</v>
      </c>
      <c r="D67" s="2732" t="s">
        <v>539</v>
      </c>
      <c r="E67" s="2732" t="s">
        <v>540</v>
      </c>
      <c r="F67" s="2732" t="s">
        <v>541</v>
      </c>
      <c r="G67" s="2732" t="s">
        <v>542</v>
      </c>
    </row>
    <row r="68" spans="1:9">
      <c r="A68" s="2746"/>
      <c r="C68" s="2732" t="s">
        <v>543</v>
      </c>
      <c r="D68" s="2732" t="s">
        <v>544</v>
      </c>
    </row>
    <row r="69" spans="1:9">
      <c r="A69" s="2746"/>
      <c r="C69" s="2732" t="s">
        <v>545</v>
      </c>
      <c r="D69" s="2732" t="s">
        <v>546</v>
      </c>
      <c r="E69" s="2732" t="s">
        <v>547</v>
      </c>
      <c r="F69" s="2732" t="s">
        <v>548</v>
      </c>
      <c r="G69" s="2732" t="s">
        <v>549</v>
      </c>
      <c r="I69" s="2734" t="s">
        <v>550</v>
      </c>
    </row>
    <row r="70" spans="1:9">
      <c r="A70" s="2746"/>
      <c r="C70" s="2732" t="s">
        <v>551</v>
      </c>
      <c r="D70" s="2732" t="s">
        <v>552</v>
      </c>
      <c r="E70" s="2732" t="s">
        <v>553</v>
      </c>
      <c r="H70" s="2732" t="s">
        <v>554</v>
      </c>
      <c r="I70" s="2734" t="s">
        <v>555</v>
      </c>
    </row>
    <row r="71" spans="1:9">
      <c r="A71" s="2746"/>
      <c r="C71" s="2748" t="s">
        <v>556</v>
      </c>
      <c r="D71" s="2748" t="s">
        <v>557</v>
      </c>
      <c r="E71" s="2748" t="s">
        <v>558</v>
      </c>
      <c r="F71" s="2748" t="s">
        <v>559</v>
      </c>
      <c r="G71" s="2748" t="s">
        <v>560</v>
      </c>
      <c r="H71" s="2748"/>
      <c r="I71" s="2754" t="s">
        <v>561</v>
      </c>
    </row>
    <row r="72" spans="1:9">
      <c r="A72" s="2746"/>
      <c r="C72" s="2749"/>
      <c r="D72" s="2749"/>
      <c r="E72" s="2749" t="s">
        <v>562</v>
      </c>
      <c r="F72" s="2749"/>
      <c r="G72" s="2749" t="s">
        <v>563</v>
      </c>
      <c r="H72" s="2749"/>
      <c r="I72" s="2755"/>
    </row>
    <row r="73" spans="1:9">
      <c r="A73" s="2746"/>
      <c r="C73" s="2732" t="s">
        <v>564</v>
      </c>
      <c r="E73" s="2732" t="s">
        <v>565</v>
      </c>
    </row>
    <row r="74" spans="1:9">
      <c r="A74" s="2746"/>
      <c r="C74" s="2732" t="s">
        <v>566</v>
      </c>
      <c r="D74" s="2732" t="s">
        <v>567</v>
      </c>
      <c r="F74" s="2732" t="s">
        <v>568</v>
      </c>
      <c r="G74" s="2732" t="s">
        <v>569</v>
      </c>
      <c r="H74" s="2732" t="s">
        <v>570</v>
      </c>
      <c r="I74" s="2734" t="s">
        <v>571</v>
      </c>
    </row>
    <row r="75" spans="1:9">
      <c r="A75" s="2749"/>
      <c r="C75" s="2732" t="s">
        <v>572</v>
      </c>
      <c r="D75" s="2732" t="s">
        <v>573</v>
      </c>
      <c r="E75" s="2732" t="s">
        <v>574</v>
      </c>
      <c r="F75" s="2732" t="s">
        <v>575</v>
      </c>
      <c r="G75" s="2732" t="s">
        <v>576</v>
      </c>
      <c r="I75" s="2734" t="s">
        <v>577</v>
      </c>
    </row>
    <row r="76" spans="1:9" ht="2.25" customHeight="1">
      <c r="A76" s="2733"/>
      <c r="C76" s="2733"/>
      <c r="D76" s="2733"/>
      <c r="E76" s="2733"/>
      <c r="F76" s="2733"/>
      <c r="G76" s="2733"/>
      <c r="H76" s="2733"/>
      <c r="I76" s="2753"/>
    </row>
    <row r="77" spans="1:9" ht="12" customHeight="1">
      <c r="A77" s="2748" t="s">
        <v>578</v>
      </c>
      <c r="C77" s="2732" t="s">
        <v>343</v>
      </c>
      <c r="D77" s="2732" t="s">
        <v>343</v>
      </c>
      <c r="E77" s="2732" t="s">
        <v>344</v>
      </c>
      <c r="F77" s="2732" t="s">
        <v>345</v>
      </c>
      <c r="G77" s="2732" t="s">
        <v>346</v>
      </c>
      <c r="H77" s="2732" t="s">
        <v>342</v>
      </c>
      <c r="I77" s="2734" t="s">
        <v>579</v>
      </c>
    </row>
    <row r="78" spans="1:9">
      <c r="A78" s="2746"/>
      <c r="C78" s="2748" t="s">
        <v>580</v>
      </c>
      <c r="D78" s="2748" t="s">
        <v>580</v>
      </c>
      <c r="E78" s="2748" t="s">
        <v>581</v>
      </c>
      <c r="F78" s="2748" t="s">
        <v>582</v>
      </c>
      <c r="G78" s="2748" t="s">
        <v>583</v>
      </c>
      <c r="H78" s="2748"/>
      <c r="I78" s="2754"/>
    </row>
    <row r="79" spans="1:9">
      <c r="A79" s="2746"/>
      <c r="C79" s="2749"/>
      <c r="D79" s="2749"/>
      <c r="E79" s="2749" t="s">
        <v>584</v>
      </c>
      <c r="F79" s="2749"/>
      <c r="G79" s="2749"/>
      <c r="H79" s="2749"/>
      <c r="I79" s="2755"/>
    </row>
    <row r="80" spans="1:9">
      <c r="A80" s="2746" t="s">
        <v>585</v>
      </c>
      <c r="C80" s="2732" t="s">
        <v>586</v>
      </c>
      <c r="D80" s="2732" t="s">
        <v>587</v>
      </c>
      <c r="E80" s="2732" t="s">
        <v>588</v>
      </c>
    </row>
    <row r="81" spans="1:9">
      <c r="A81" s="2746"/>
      <c r="C81" s="2732" t="s">
        <v>589</v>
      </c>
      <c r="D81" s="2732" t="s">
        <v>590</v>
      </c>
      <c r="E81" s="2732" t="s">
        <v>591</v>
      </c>
      <c r="F81" s="2732" t="s">
        <v>592</v>
      </c>
      <c r="G81" s="2732" t="s">
        <v>593</v>
      </c>
      <c r="H81" s="2732" t="s">
        <v>594</v>
      </c>
      <c r="I81" s="2734" t="s">
        <v>595</v>
      </c>
    </row>
    <row r="82" spans="1:9">
      <c r="A82" s="2746"/>
      <c r="C82" s="2748" t="s">
        <v>596</v>
      </c>
      <c r="D82" s="2748" t="s">
        <v>597</v>
      </c>
      <c r="E82" s="2748" t="s">
        <v>598</v>
      </c>
      <c r="F82" s="2748" t="s">
        <v>599</v>
      </c>
      <c r="G82" s="2748" t="s">
        <v>600</v>
      </c>
      <c r="H82" s="2748" t="s">
        <v>601</v>
      </c>
      <c r="I82" s="2754" t="s">
        <v>602</v>
      </c>
    </row>
    <row r="83" spans="1:9">
      <c r="A83" s="2746" t="s">
        <v>368</v>
      </c>
      <c r="C83" s="2749"/>
      <c r="D83" s="2749"/>
      <c r="E83" s="2749" t="s">
        <v>603</v>
      </c>
      <c r="F83" s="2749"/>
      <c r="G83" s="2749"/>
      <c r="H83" s="2749"/>
      <c r="I83" s="2755"/>
    </row>
    <row r="84" spans="1:9">
      <c r="A84" s="2749"/>
      <c r="C84" s="2732" t="s">
        <v>529</v>
      </c>
      <c r="D84" s="2732" t="s">
        <v>530</v>
      </c>
      <c r="E84" s="2732" t="s">
        <v>531</v>
      </c>
      <c r="F84" s="2732" t="s">
        <v>604</v>
      </c>
      <c r="G84" s="2732" t="s">
        <v>533</v>
      </c>
      <c r="H84" s="2732" t="s">
        <v>534</v>
      </c>
      <c r="I84" s="2734" t="s">
        <v>535</v>
      </c>
    </row>
    <row r="85" spans="1:9" ht="3" customHeight="1">
      <c r="A85" s="2733"/>
      <c r="C85" s="2733"/>
      <c r="D85" s="2733"/>
      <c r="E85" s="2733"/>
      <c r="F85" s="2733"/>
      <c r="G85" s="2733"/>
      <c r="H85" s="2733"/>
      <c r="I85" s="2753"/>
    </row>
    <row r="86" spans="1:9">
      <c r="A86" s="2748" t="s">
        <v>605</v>
      </c>
      <c r="C86" s="2748" t="s">
        <v>606</v>
      </c>
      <c r="D86" s="2748" t="s">
        <v>607</v>
      </c>
      <c r="E86" s="2748" t="s">
        <v>608</v>
      </c>
      <c r="F86" s="2748"/>
      <c r="G86" s="2748" t="s">
        <v>609</v>
      </c>
      <c r="H86" s="2748" t="s">
        <v>610</v>
      </c>
      <c r="I86" s="2754" t="s">
        <v>611</v>
      </c>
    </row>
    <row r="87" spans="1:9">
      <c r="A87" s="2746" t="s">
        <v>612</v>
      </c>
      <c r="C87" s="2749"/>
      <c r="D87" s="2749"/>
      <c r="E87" s="2749" t="s">
        <v>613</v>
      </c>
      <c r="F87" s="2749"/>
      <c r="G87" s="2749"/>
      <c r="H87" s="2749"/>
      <c r="I87" s="2755"/>
    </row>
    <row r="88" spans="1:9">
      <c r="A88" s="2746" t="s">
        <v>614</v>
      </c>
      <c r="C88" s="2732" t="s">
        <v>615</v>
      </c>
      <c r="G88" s="2732" t="s">
        <v>616</v>
      </c>
    </row>
    <row r="89" spans="1:9">
      <c r="A89" s="2746" t="s">
        <v>617</v>
      </c>
      <c r="C89" s="2748" t="s">
        <v>618</v>
      </c>
      <c r="D89" s="2748" t="s">
        <v>619</v>
      </c>
      <c r="E89" s="2748" t="s">
        <v>620</v>
      </c>
      <c r="F89" s="2748" t="s">
        <v>464</v>
      </c>
      <c r="G89" s="2748" t="s">
        <v>621</v>
      </c>
      <c r="H89" s="2748" t="s">
        <v>622</v>
      </c>
      <c r="I89" s="2754" t="s">
        <v>623</v>
      </c>
    </row>
    <row r="90" spans="1:9">
      <c r="A90" s="2746" t="s">
        <v>368</v>
      </c>
      <c r="C90" s="2749"/>
      <c r="D90" s="2749"/>
      <c r="E90" s="2749" t="s">
        <v>624</v>
      </c>
      <c r="F90" s="2749"/>
      <c r="G90" s="2749"/>
      <c r="H90" s="2749"/>
      <c r="I90" s="2755"/>
    </row>
    <row r="91" spans="1:9">
      <c r="A91" s="2749"/>
      <c r="C91" s="2732" t="s">
        <v>625</v>
      </c>
      <c r="D91" s="2748" t="s">
        <v>626</v>
      </c>
      <c r="I91" s="2734" t="s">
        <v>627</v>
      </c>
    </row>
    <row r="92" spans="1:9" ht="3" customHeight="1">
      <c r="A92" s="2733"/>
      <c r="C92" s="2733"/>
      <c r="D92" s="2733"/>
      <c r="E92" s="2733"/>
      <c r="F92" s="2733"/>
      <c r="G92" s="2733"/>
      <c r="H92" s="2733"/>
      <c r="I92" s="2753"/>
    </row>
    <row r="93" spans="1:9">
      <c r="A93" s="2748" t="s">
        <v>628</v>
      </c>
      <c r="C93" s="2732" t="s">
        <v>629</v>
      </c>
      <c r="D93" s="2732" t="s">
        <v>630</v>
      </c>
      <c r="E93" s="2732" t="s">
        <v>631</v>
      </c>
      <c r="G93" s="2732" t="s">
        <v>632</v>
      </c>
    </row>
    <row r="94" spans="1:9">
      <c r="A94" s="2746" t="s">
        <v>633</v>
      </c>
      <c r="C94" s="2732" t="s">
        <v>634</v>
      </c>
      <c r="E94" s="2732" t="s">
        <v>635</v>
      </c>
      <c r="F94" s="2732" t="s">
        <v>636</v>
      </c>
      <c r="G94" s="2732" t="s">
        <v>637</v>
      </c>
      <c r="I94" s="2734" t="s">
        <v>638</v>
      </c>
    </row>
    <row r="95" spans="1:9">
      <c r="A95" s="2746" t="s">
        <v>639</v>
      </c>
      <c r="C95" s="2732" t="s">
        <v>640</v>
      </c>
      <c r="D95" s="2732" t="s">
        <v>641</v>
      </c>
      <c r="E95" s="2732" t="s">
        <v>642</v>
      </c>
      <c r="G95" s="2732" t="s">
        <v>643</v>
      </c>
      <c r="H95" s="2732" t="s">
        <v>644</v>
      </c>
      <c r="I95" s="2734" t="s">
        <v>645</v>
      </c>
    </row>
    <row r="96" spans="1:9">
      <c r="A96" s="2746" t="s">
        <v>368</v>
      </c>
      <c r="C96" s="2732" t="s">
        <v>646</v>
      </c>
      <c r="D96" s="2732" t="s">
        <v>647</v>
      </c>
      <c r="E96" s="2732" t="s">
        <v>648</v>
      </c>
      <c r="G96" s="2732" t="s">
        <v>649</v>
      </c>
      <c r="I96" s="2734" t="s">
        <v>650</v>
      </c>
    </row>
    <row r="97" spans="1:9">
      <c r="A97" s="2749"/>
      <c r="C97" s="2732" t="s">
        <v>651</v>
      </c>
      <c r="D97" s="2732" t="s">
        <v>652</v>
      </c>
      <c r="E97" s="2732" t="s">
        <v>653</v>
      </c>
      <c r="F97" s="2732" t="s">
        <v>654</v>
      </c>
      <c r="H97" s="2732" t="s">
        <v>655</v>
      </c>
      <c r="I97" s="2734" t="s">
        <v>656</v>
      </c>
    </row>
    <row r="98" spans="1:9" ht="3" customHeight="1">
      <c r="A98" s="2733"/>
      <c r="C98" s="2733"/>
      <c r="D98" s="2733"/>
      <c r="E98" s="2733"/>
      <c r="F98" s="2733"/>
      <c r="G98" s="2733"/>
      <c r="H98" s="2733"/>
      <c r="I98" s="2753"/>
    </row>
    <row r="99" spans="1:9">
      <c r="A99" s="2732" t="s">
        <v>657</v>
      </c>
      <c r="C99" s="2732" t="s">
        <v>658</v>
      </c>
      <c r="D99" s="2732" t="s">
        <v>659</v>
      </c>
      <c r="G99" s="2732" t="s">
        <v>660</v>
      </c>
      <c r="H99" s="2732" t="s">
        <v>661</v>
      </c>
      <c r="I99" s="2734" t="s">
        <v>662</v>
      </c>
    </row>
    <row r="100" spans="1:9" ht="2.25" customHeight="1">
      <c r="A100" s="2733"/>
      <c r="C100" s="2733"/>
      <c r="D100" s="2733"/>
      <c r="E100" s="2733"/>
      <c r="F100" s="2733"/>
      <c r="G100" s="2733"/>
      <c r="H100" s="2733"/>
      <c r="I100" s="2753"/>
    </row>
    <row r="101" spans="1:9">
      <c r="A101" s="2748"/>
      <c r="C101" s="2732" t="s">
        <v>663</v>
      </c>
      <c r="D101" s="2732" t="s">
        <v>664</v>
      </c>
      <c r="E101" s="2732" t="s">
        <v>665</v>
      </c>
      <c r="G101" s="2732" t="s">
        <v>666</v>
      </c>
      <c r="I101" s="2734" t="s">
        <v>667</v>
      </c>
    </row>
    <row r="102" spans="1:9">
      <c r="A102" s="2746" t="s">
        <v>308</v>
      </c>
      <c r="C102" s="2732" t="s">
        <v>668</v>
      </c>
      <c r="D102" s="2732" t="s">
        <v>669</v>
      </c>
      <c r="G102" s="2732" t="s">
        <v>670</v>
      </c>
    </row>
    <row r="103" spans="1:9">
      <c r="A103" s="2746" t="s">
        <v>325</v>
      </c>
      <c r="C103" s="2732" t="s">
        <v>671</v>
      </c>
      <c r="D103" s="2732" t="s">
        <v>672</v>
      </c>
      <c r="E103" s="2732" t="s">
        <v>673</v>
      </c>
      <c r="H103" s="2732" t="s">
        <v>674</v>
      </c>
      <c r="I103" s="2734" t="s">
        <v>675</v>
      </c>
    </row>
    <row r="104" spans="1:9">
      <c r="A104" s="2746" t="s">
        <v>151</v>
      </c>
      <c r="C104" s="2732" t="s">
        <v>676</v>
      </c>
      <c r="D104" s="2732" t="s">
        <v>677</v>
      </c>
      <c r="G104" s="2732" t="s">
        <v>678</v>
      </c>
    </row>
    <row r="105" spans="1:9">
      <c r="A105" s="2746" t="s">
        <v>679</v>
      </c>
      <c r="C105" s="2732" t="s">
        <v>680</v>
      </c>
      <c r="D105" s="2732" t="s">
        <v>681</v>
      </c>
      <c r="E105" s="2732" t="s">
        <v>682</v>
      </c>
      <c r="F105" s="2732" t="s">
        <v>683</v>
      </c>
      <c r="G105" s="2732" t="s">
        <v>684</v>
      </c>
    </row>
    <row r="106" spans="1:9">
      <c r="A106" s="2746" t="s">
        <v>368</v>
      </c>
      <c r="C106" s="2732" t="s">
        <v>685</v>
      </c>
      <c r="D106" s="2732" t="s">
        <v>686</v>
      </c>
      <c r="E106" s="2732" t="s">
        <v>687</v>
      </c>
      <c r="F106" s="2732" t="s">
        <v>683</v>
      </c>
      <c r="G106" s="2732" t="s">
        <v>688</v>
      </c>
      <c r="H106" s="2732" t="s">
        <v>689</v>
      </c>
      <c r="I106" s="2734" t="s">
        <v>690</v>
      </c>
    </row>
    <row r="107" spans="1:9">
      <c r="A107" s="2746"/>
      <c r="C107" s="2732" t="s">
        <v>691</v>
      </c>
      <c r="D107" s="2732" t="s">
        <v>692</v>
      </c>
      <c r="E107" s="2732" t="s">
        <v>687</v>
      </c>
      <c r="H107" s="2732" t="s">
        <v>693</v>
      </c>
      <c r="I107" s="2734" t="s">
        <v>694</v>
      </c>
    </row>
    <row r="108" spans="1:9">
      <c r="A108" s="2749"/>
      <c r="C108" s="2732" t="s">
        <v>695</v>
      </c>
      <c r="D108" s="2732" t="s">
        <v>696</v>
      </c>
      <c r="G108" s="2732" t="s">
        <v>697</v>
      </c>
      <c r="H108" s="2732" t="s">
        <v>698</v>
      </c>
      <c r="I108" s="2734" t="s">
        <v>699</v>
      </c>
    </row>
    <row r="109" spans="1:9" ht="3.75" customHeight="1">
      <c r="A109" s="2733"/>
      <c r="C109" s="2733"/>
      <c r="D109" s="2733"/>
      <c r="E109" s="2733"/>
      <c r="F109" s="2733"/>
      <c r="G109" s="2733"/>
      <c r="H109" s="2733"/>
      <c r="I109" s="2753"/>
    </row>
    <row r="110" spans="1:9">
      <c r="A110" s="2748"/>
      <c r="C110" s="2732" t="s">
        <v>700</v>
      </c>
      <c r="I110" s="2734" t="s">
        <v>701</v>
      </c>
    </row>
    <row r="111" spans="1:9">
      <c r="A111" s="2746" t="s">
        <v>272</v>
      </c>
      <c r="C111" s="2732" t="s">
        <v>702</v>
      </c>
      <c r="D111" s="2732" t="s">
        <v>703</v>
      </c>
      <c r="F111" s="2732" t="s">
        <v>704</v>
      </c>
      <c r="I111" s="2734" t="s">
        <v>705</v>
      </c>
    </row>
    <row r="112" spans="1:9">
      <c r="A112" s="2746"/>
      <c r="C112" s="2732" t="s">
        <v>706</v>
      </c>
      <c r="D112" s="2732" t="s">
        <v>707</v>
      </c>
      <c r="E112" s="2732" t="s">
        <v>708</v>
      </c>
      <c r="I112" s="2734" t="s">
        <v>623</v>
      </c>
    </row>
    <row r="113" spans="1:9">
      <c r="A113" s="2746" t="s">
        <v>254</v>
      </c>
      <c r="C113" s="2732" t="s">
        <v>709</v>
      </c>
      <c r="D113" s="2732" t="s">
        <v>710</v>
      </c>
      <c r="E113" s="2732" t="s">
        <v>711</v>
      </c>
      <c r="G113" s="2732" t="s">
        <v>712</v>
      </c>
      <c r="I113" s="2734" t="s">
        <v>713</v>
      </c>
    </row>
    <row r="114" spans="1:9">
      <c r="A114" s="2746"/>
      <c r="C114" s="2732" t="s">
        <v>714</v>
      </c>
      <c r="D114" s="2732" t="s">
        <v>715</v>
      </c>
      <c r="E114" s="2732" t="s">
        <v>716</v>
      </c>
      <c r="I114" s="2734" t="s">
        <v>623</v>
      </c>
    </row>
    <row r="115" spans="1:9">
      <c r="A115" s="2746" t="s">
        <v>257</v>
      </c>
      <c r="B115" s="2733" t="s">
        <v>257</v>
      </c>
      <c r="C115" s="2732" t="s">
        <v>717</v>
      </c>
      <c r="D115" s="2732" t="s">
        <v>718</v>
      </c>
      <c r="E115" s="2732" t="s">
        <v>719</v>
      </c>
      <c r="F115" s="2732" t="s">
        <v>720</v>
      </c>
      <c r="G115" s="2732" t="s">
        <v>721</v>
      </c>
      <c r="I115" s="2734" t="s">
        <v>722</v>
      </c>
    </row>
    <row r="116" spans="1:9">
      <c r="A116" s="2746"/>
      <c r="C116" s="2732" t="s">
        <v>723</v>
      </c>
      <c r="D116" s="2732" t="s">
        <v>724</v>
      </c>
      <c r="E116" s="2732" t="s">
        <v>725</v>
      </c>
      <c r="F116" s="2732" t="s">
        <v>726</v>
      </c>
      <c r="G116" s="2732" t="s">
        <v>727</v>
      </c>
      <c r="H116" s="2732" t="s">
        <v>728</v>
      </c>
      <c r="I116" s="2734" t="s">
        <v>729</v>
      </c>
    </row>
    <row r="117" spans="1:9">
      <c r="A117" s="2746" t="s">
        <v>151</v>
      </c>
      <c r="C117" s="2732" t="s">
        <v>730</v>
      </c>
      <c r="D117" s="2732" t="s">
        <v>731</v>
      </c>
      <c r="E117" s="2732" t="s">
        <v>732</v>
      </c>
      <c r="F117" s="2732" t="s">
        <v>733</v>
      </c>
      <c r="G117" s="2732" t="s">
        <v>734</v>
      </c>
      <c r="H117" s="2732" t="s">
        <v>728</v>
      </c>
      <c r="I117" s="2734" t="s">
        <v>735</v>
      </c>
    </row>
    <row r="118" spans="1:9">
      <c r="A118" s="2746"/>
      <c r="C118" s="2732" t="s">
        <v>736</v>
      </c>
      <c r="D118" s="2732" t="s">
        <v>737</v>
      </c>
      <c r="E118" s="2732" t="s">
        <v>738</v>
      </c>
      <c r="H118" s="2732" t="s">
        <v>739</v>
      </c>
      <c r="I118" s="2734" t="s">
        <v>740</v>
      </c>
    </row>
    <row r="119" spans="1:9">
      <c r="A119" s="2746" t="s">
        <v>679</v>
      </c>
      <c r="C119" s="2732" t="s">
        <v>741</v>
      </c>
      <c r="D119" s="2732" t="s">
        <v>742</v>
      </c>
      <c r="E119" s="2732" t="s">
        <v>743</v>
      </c>
      <c r="G119" s="2732" t="s">
        <v>744</v>
      </c>
      <c r="H119" s="2732" t="s">
        <v>745</v>
      </c>
    </row>
    <row r="120" spans="1:9">
      <c r="A120" s="2746"/>
      <c r="C120" s="2732" t="s">
        <v>746</v>
      </c>
      <c r="D120" s="2732" t="s">
        <v>747</v>
      </c>
      <c r="E120" s="2732" t="s">
        <v>748</v>
      </c>
      <c r="G120" s="2732" t="s">
        <v>749</v>
      </c>
      <c r="H120" s="2732" t="s">
        <v>750</v>
      </c>
      <c r="I120" s="2734" t="s">
        <v>751</v>
      </c>
    </row>
    <row r="121" spans="1:9">
      <c r="A121" s="2746" t="s">
        <v>368</v>
      </c>
      <c r="C121" s="2732" t="s">
        <v>752</v>
      </c>
      <c r="D121" s="2732" t="s">
        <v>753</v>
      </c>
      <c r="E121" s="2732" t="s">
        <v>754</v>
      </c>
      <c r="F121" s="2732" t="s">
        <v>704</v>
      </c>
      <c r="G121" s="2732" t="s">
        <v>755</v>
      </c>
      <c r="H121" s="2732" t="s">
        <v>756</v>
      </c>
      <c r="I121" s="2734" t="s">
        <v>757</v>
      </c>
    </row>
    <row r="122" spans="1:9">
      <c r="A122" s="2746"/>
      <c r="C122" s="2732" t="s">
        <v>758</v>
      </c>
      <c r="D122" s="2732" t="s">
        <v>759</v>
      </c>
      <c r="G122" s="2732" t="s">
        <v>760</v>
      </c>
      <c r="I122" s="2734" t="s">
        <v>761</v>
      </c>
    </row>
    <row r="123" spans="1:9">
      <c r="A123" s="2746"/>
      <c r="C123" s="2732" t="s">
        <v>762</v>
      </c>
      <c r="D123" s="2732" t="s">
        <v>763</v>
      </c>
      <c r="E123" s="2732" t="s">
        <v>764</v>
      </c>
      <c r="G123" s="2732" t="s">
        <v>765</v>
      </c>
      <c r="H123" s="2732" t="s">
        <v>766</v>
      </c>
      <c r="I123" s="2734" t="s">
        <v>767</v>
      </c>
    </row>
    <row r="124" spans="1:9">
      <c r="A124" s="2746"/>
      <c r="C124" s="2732" t="s">
        <v>768</v>
      </c>
      <c r="D124" s="2732" t="s">
        <v>769</v>
      </c>
      <c r="E124" s="2732" t="s">
        <v>770</v>
      </c>
      <c r="F124" s="2732" t="s">
        <v>771</v>
      </c>
      <c r="G124" s="2732" t="s">
        <v>772</v>
      </c>
      <c r="H124" s="2732" t="s">
        <v>773</v>
      </c>
      <c r="I124" s="2734" t="s">
        <v>774</v>
      </c>
    </row>
    <row r="125" spans="1:9">
      <c r="A125" s="2746"/>
      <c r="C125" s="2732" t="s">
        <v>775</v>
      </c>
      <c r="D125" s="2732" t="s">
        <v>776</v>
      </c>
      <c r="G125" s="2732" t="s">
        <v>777</v>
      </c>
      <c r="H125" s="2732" t="s">
        <v>778</v>
      </c>
      <c r="I125" s="2734" t="s">
        <v>779</v>
      </c>
    </row>
    <row r="126" spans="1:9">
      <c r="A126" s="2749"/>
      <c r="C126" s="2732" t="s">
        <v>780</v>
      </c>
      <c r="D126" s="2732" t="s">
        <v>781</v>
      </c>
      <c r="E126" s="2732" t="s">
        <v>782</v>
      </c>
      <c r="F126" s="2732" t="s">
        <v>783</v>
      </c>
      <c r="I126" s="2734" t="s">
        <v>784</v>
      </c>
    </row>
    <row r="127" spans="1:9" ht="3" customHeight="1">
      <c r="A127" s="2733"/>
      <c r="C127" s="2733"/>
      <c r="D127" s="2733"/>
      <c r="E127" s="2733"/>
      <c r="F127" s="2733"/>
      <c r="G127" s="2733"/>
      <c r="H127" s="2733"/>
      <c r="I127" s="2753"/>
    </row>
    <row r="128" spans="1:9">
      <c r="A128" s="2748"/>
      <c r="C128" s="2748" t="s">
        <v>785</v>
      </c>
      <c r="D128" s="2748" t="s">
        <v>786</v>
      </c>
      <c r="E128" s="2748" t="s">
        <v>787</v>
      </c>
      <c r="F128" s="2748" t="s">
        <v>788</v>
      </c>
      <c r="G128" s="2748" t="s">
        <v>789</v>
      </c>
      <c r="H128" s="2748" t="s">
        <v>790</v>
      </c>
      <c r="I128" s="2754" t="s">
        <v>791</v>
      </c>
    </row>
    <row r="129" spans="1:9">
      <c r="A129" s="2746" t="s">
        <v>792</v>
      </c>
      <c r="C129" s="2749"/>
      <c r="D129" s="2749"/>
      <c r="E129" s="2749"/>
      <c r="F129" s="2749"/>
      <c r="G129" s="2749"/>
      <c r="H129" s="2749" t="s">
        <v>793</v>
      </c>
      <c r="I129" s="2755"/>
    </row>
    <row r="130" spans="1:9">
      <c r="A130" s="2746" t="s">
        <v>794</v>
      </c>
      <c r="C130" s="2748" t="s">
        <v>795</v>
      </c>
      <c r="D130" s="2748" t="s">
        <v>796</v>
      </c>
      <c r="E130" s="2748" t="s">
        <v>797</v>
      </c>
      <c r="F130" s="2748" t="s">
        <v>798</v>
      </c>
      <c r="G130" s="2748" t="s">
        <v>799</v>
      </c>
      <c r="H130" s="2748" t="s">
        <v>800</v>
      </c>
      <c r="I130" s="2754" t="s">
        <v>801</v>
      </c>
    </row>
    <row r="131" spans="1:9">
      <c r="A131" s="2746" t="s">
        <v>151</v>
      </c>
      <c r="C131" s="2749"/>
      <c r="D131" s="2749"/>
      <c r="E131" s="2749"/>
      <c r="F131" s="2749"/>
      <c r="G131" s="2749"/>
      <c r="H131" s="2749" t="s">
        <v>802</v>
      </c>
      <c r="I131" s="2755"/>
    </row>
    <row r="132" spans="1:9">
      <c r="A132" s="2746" t="s">
        <v>679</v>
      </c>
      <c r="C132" s="2748" t="s">
        <v>803</v>
      </c>
      <c r="D132" s="2748" t="s">
        <v>804</v>
      </c>
      <c r="E132" s="2748" t="s">
        <v>805</v>
      </c>
      <c r="F132" s="2748" t="s">
        <v>806</v>
      </c>
      <c r="G132" s="2748" t="s">
        <v>807</v>
      </c>
      <c r="H132" s="2748" t="s">
        <v>808</v>
      </c>
      <c r="I132" s="2754" t="s">
        <v>809</v>
      </c>
    </row>
    <row r="133" spans="1:9">
      <c r="A133" s="2746" t="s">
        <v>368</v>
      </c>
      <c r="C133" s="2749"/>
      <c r="D133" s="2749"/>
      <c r="E133" s="2749"/>
      <c r="F133" s="2749"/>
      <c r="G133" s="2749"/>
      <c r="H133" s="2749" t="s">
        <v>810</v>
      </c>
      <c r="I133" s="2755"/>
    </row>
    <row r="134" spans="1:9">
      <c r="A134" s="2746"/>
      <c r="C134" s="2748" t="s">
        <v>811</v>
      </c>
      <c r="D134" s="2748"/>
      <c r="E134" s="2748" t="s">
        <v>812</v>
      </c>
      <c r="F134" s="2748" t="s">
        <v>813</v>
      </c>
      <c r="G134" s="2748"/>
      <c r="H134" s="2748" t="s">
        <v>814</v>
      </c>
      <c r="I134" s="2754" t="s">
        <v>815</v>
      </c>
    </row>
    <row r="135" spans="1:9">
      <c r="A135" s="2749"/>
      <c r="C135" s="2749"/>
      <c r="D135" s="2749"/>
      <c r="E135" s="2749"/>
      <c r="F135" s="2749"/>
      <c r="G135" s="2749"/>
      <c r="H135" s="2749" t="s">
        <v>816</v>
      </c>
      <c r="I135" s="2755"/>
    </row>
    <row r="136" spans="1:9" ht="3" customHeight="1">
      <c r="A136" s="2733"/>
      <c r="C136" s="2733"/>
      <c r="D136" s="2733"/>
      <c r="E136" s="2733"/>
      <c r="F136" s="2733"/>
      <c r="G136" s="2733"/>
      <c r="H136" s="2733"/>
      <c r="I136" s="2753"/>
    </row>
    <row r="137" spans="1:9">
      <c r="A137" s="2748"/>
      <c r="C137" s="2748" t="s">
        <v>817</v>
      </c>
      <c r="D137" s="2748" t="s">
        <v>818</v>
      </c>
      <c r="E137" s="2748" t="s">
        <v>819</v>
      </c>
      <c r="F137" s="2748" t="s">
        <v>820</v>
      </c>
      <c r="G137" s="2748" t="s">
        <v>821</v>
      </c>
      <c r="H137" s="2748" t="s">
        <v>822</v>
      </c>
      <c r="I137" s="2754" t="s">
        <v>823</v>
      </c>
    </row>
    <row r="138" spans="1:9">
      <c r="A138" s="2746"/>
      <c r="C138" s="2749"/>
      <c r="D138" s="2749"/>
      <c r="E138" s="2749" t="s">
        <v>824</v>
      </c>
      <c r="F138" s="2749"/>
      <c r="G138" s="2749"/>
      <c r="H138" s="2749"/>
      <c r="I138" s="2755"/>
    </row>
    <row r="139" spans="1:9">
      <c r="A139" s="2746"/>
      <c r="C139" s="2748" t="s">
        <v>825</v>
      </c>
      <c r="D139" s="2748"/>
      <c r="E139" s="2748" t="s">
        <v>826</v>
      </c>
      <c r="F139" s="2748" t="s">
        <v>827</v>
      </c>
      <c r="G139" s="2748" t="s">
        <v>828</v>
      </c>
      <c r="H139" s="2748" t="s">
        <v>829</v>
      </c>
      <c r="I139" s="2754" t="s">
        <v>830</v>
      </c>
    </row>
    <row r="140" spans="1:9">
      <c r="A140" s="2746"/>
      <c r="C140" s="2749"/>
      <c r="D140" s="2749"/>
      <c r="E140" s="2749" t="s">
        <v>831</v>
      </c>
      <c r="F140" s="2749"/>
      <c r="G140" s="2749"/>
      <c r="H140" s="2749"/>
      <c r="I140" s="2755"/>
    </row>
    <row r="141" spans="1:9">
      <c r="A141" s="2746" t="s">
        <v>832</v>
      </c>
      <c r="C141" s="2748" t="s">
        <v>833</v>
      </c>
      <c r="D141" s="2748" t="s">
        <v>834</v>
      </c>
      <c r="E141" s="2748" t="s">
        <v>835</v>
      </c>
      <c r="F141" s="2748" t="s">
        <v>836</v>
      </c>
      <c r="G141" s="2748" t="s">
        <v>837</v>
      </c>
      <c r="H141" s="2748" t="s">
        <v>838</v>
      </c>
      <c r="I141" s="2754" t="s">
        <v>839</v>
      </c>
    </row>
    <row r="142" spans="1:9">
      <c r="A142" s="2746"/>
      <c r="C142" s="2749"/>
      <c r="D142" s="2749"/>
      <c r="E142" s="2749" t="s">
        <v>840</v>
      </c>
      <c r="F142" s="2749"/>
      <c r="G142" s="2749"/>
      <c r="H142" s="2749"/>
      <c r="I142" s="2755"/>
    </row>
    <row r="143" spans="1:9">
      <c r="A143" s="2746"/>
      <c r="C143" s="2748" t="s">
        <v>841</v>
      </c>
      <c r="D143" s="2748" t="s">
        <v>842</v>
      </c>
      <c r="E143" s="2748" t="s">
        <v>843</v>
      </c>
      <c r="F143" s="2748" t="s">
        <v>844</v>
      </c>
      <c r="G143" s="2748" t="s">
        <v>845</v>
      </c>
      <c r="H143" s="2748" t="s">
        <v>846</v>
      </c>
      <c r="I143" s="2754" t="s">
        <v>847</v>
      </c>
    </row>
    <row r="144" spans="1:9">
      <c r="A144" s="2746"/>
      <c r="C144" s="2749"/>
      <c r="D144" s="2749"/>
      <c r="E144" s="2749" t="s">
        <v>848</v>
      </c>
      <c r="F144" s="2749"/>
      <c r="G144" s="2749"/>
      <c r="H144" s="2749"/>
      <c r="I144" s="2755"/>
    </row>
    <row r="145" spans="1:9">
      <c r="A145" s="2746"/>
      <c r="C145" s="2748" t="s">
        <v>849</v>
      </c>
      <c r="D145" s="2748" t="s">
        <v>850</v>
      </c>
      <c r="E145" s="2748" t="s">
        <v>851</v>
      </c>
      <c r="F145" s="2748" t="s">
        <v>852</v>
      </c>
      <c r="G145" s="2748" t="s">
        <v>853</v>
      </c>
      <c r="H145" s="2748" t="s">
        <v>854</v>
      </c>
      <c r="I145" s="2754" t="s">
        <v>855</v>
      </c>
    </row>
    <row r="146" spans="1:9">
      <c r="A146" s="2746" t="s">
        <v>856</v>
      </c>
      <c r="C146" s="2749"/>
      <c r="D146" s="2749"/>
      <c r="E146" s="2749" t="s">
        <v>857</v>
      </c>
      <c r="F146" s="2749" t="s">
        <v>858</v>
      </c>
      <c r="G146" s="2749"/>
      <c r="H146" s="2749"/>
      <c r="I146" s="2755"/>
    </row>
    <row r="147" spans="1:9">
      <c r="A147" s="2746"/>
      <c r="C147" s="2748" t="s">
        <v>859</v>
      </c>
      <c r="D147" s="2748"/>
      <c r="E147" s="2748" t="s">
        <v>860</v>
      </c>
      <c r="F147" s="2748" t="s">
        <v>861</v>
      </c>
      <c r="G147" s="2748" t="s">
        <v>862</v>
      </c>
      <c r="H147" s="2748" t="s">
        <v>863</v>
      </c>
      <c r="I147" s="2754" t="s">
        <v>864</v>
      </c>
    </row>
    <row r="148" spans="1:9">
      <c r="A148" s="2746"/>
      <c r="C148" s="2749"/>
      <c r="D148" s="2749"/>
      <c r="E148" s="2749" t="s">
        <v>865</v>
      </c>
      <c r="F148" s="2749"/>
      <c r="G148" s="2749"/>
      <c r="H148" s="2749"/>
      <c r="I148" s="2755"/>
    </row>
    <row r="149" spans="1:9">
      <c r="A149" s="2746"/>
      <c r="C149" s="2748" t="s">
        <v>866</v>
      </c>
      <c r="D149" s="2748" t="s">
        <v>867</v>
      </c>
      <c r="E149" s="2748" t="s">
        <v>868</v>
      </c>
      <c r="F149" s="2748" t="s">
        <v>869</v>
      </c>
      <c r="G149" s="2748" t="s">
        <v>870</v>
      </c>
      <c r="H149" s="2748" t="s">
        <v>871</v>
      </c>
      <c r="I149" s="2754" t="s">
        <v>872</v>
      </c>
    </row>
    <row r="150" spans="1:9">
      <c r="A150" s="2757" t="s">
        <v>873</v>
      </c>
      <c r="C150" s="2749"/>
      <c r="D150" s="2749"/>
      <c r="E150" s="2749" t="s">
        <v>874</v>
      </c>
      <c r="F150" s="2749"/>
      <c r="G150" s="2749"/>
      <c r="H150" s="2749"/>
      <c r="I150" s="2755"/>
    </row>
    <row r="151" spans="1:9">
      <c r="A151" s="2746"/>
      <c r="C151" s="2748" t="s">
        <v>875</v>
      </c>
      <c r="D151" s="2748" t="s">
        <v>876</v>
      </c>
      <c r="E151" s="2748" t="s">
        <v>877</v>
      </c>
      <c r="F151" s="2748" t="s">
        <v>878</v>
      </c>
      <c r="G151" s="2748" t="s">
        <v>879</v>
      </c>
      <c r="H151" s="2748" t="s">
        <v>880</v>
      </c>
      <c r="I151" s="2754" t="s">
        <v>881</v>
      </c>
    </row>
    <row r="152" spans="1:9">
      <c r="A152" s="2746"/>
      <c r="C152" s="2749"/>
      <c r="D152" s="2749"/>
      <c r="E152" s="2749" t="s">
        <v>882</v>
      </c>
      <c r="F152" s="2749"/>
      <c r="G152" s="2749"/>
      <c r="H152" s="2749"/>
      <c r="I152" s="2755"/>
    </row>
    <row r="153" spans="1:9">
      <c r="A153" s="2746"/>
      <c r="C153" s="2748" t="s">
        <v>883</v>
      </c>
      <c r="D153" s="2748" t="s">
        <v>884</v>
      </c>
      <c r="E153" s="2748" t="s">
        <v>885</v>
      </c>
      <c r="F153" s="2748" t="s">
        <v>886</v>
      </c>
      <c r="G153" s="2748" t="s">
        <v>887</v>
      </c>
      <c r="H153" s="2748" t="s">
        <v>888</v>
      </c>
      <c r="I153" s="2754" t="s">
        <v>889</v>
      </c>
    </row>
    <row r="154" spans="1:9">
      <c r="A154" s="2746"/>
      <c r="C154" s="2749"/>
      <c r="D154" s="2749"/>
      <c r="E154" s="2749" t="s">
        <v>890</v>
      </c>
      <c r="F154" s="2749"/>
      <c r="G154" s="2749"/>
      <c r="H154" s="2749"/>
      <c r="I154" s="2755"/>
    </row>
    <row r="155" spans="1:9">
      <c r="A155" s="2746"/>
      <c r="C155" s="2732" t="s">
        <v>891</v>
      </c>
      <c r="D155" s="2732" t="s">
        <v>892</v>
      </c>
      <c r="F155" s="2732" t="s">
        <v>893</v>
      </c>
      <c r="G155" s="2732" t="s">
        <v>894</v>
      </c>
    </row>
    <row r="156" spans="1:9">
      <c r="A156" s="2746"/>
      <c r="C156" s="2748" t="s">
        <v>895</v>
      </c>
      <c r="D156" s="2748"/>
      <c r="E156" s="2748" t="s">
        <v>896</v>
      </c>
      <c r="F156" s="2748"/>
      <c r="G156" s="2748" t="s">
        <v>897</v>
      </c>
      <c r="H156" s="2748"/>
      <c r="I156" s="2754"/>
    </row>
    <row r="157" spans="1:9">
      <c r="A157" s="2746"/>
      <c r="C157" s="2749"/>
      <c r="D157" s="2749"/>
      <c r="E157" s="2749" t="s">
        <v>898</v>
      </c>
      <c r="F157" s="2749"/>
      <c r="G157" s="2749"/>
      <c r="H157" s="2749"/>
      <c r="I157" s="2755"/>
    </row>
    <row r="158" spans="1:9">
      <c r="A158" s="2746"/>
      <c r="C158" s="2748" t="s">
        <v>899</v>
      </c>
      <c r="D158" s="2748" t="s">
        <v>900</v>
      </c>
      <c r="E158" s="2748" t="s">
        <v>901</v>
      </c>
      <c r="F158" s="2748"/>
      <c r="G158" s="2748" t="s">
        <v>902</v>
      </c>
      <c r="H158" s="2748" t="s">
        <v>903</v>
      </c>
      <c r="I158" s="2754" t="s">
        <v>904</v>
      </c>
    </row>
    <row r="159" spans="1:9">
      <c r="A159" s="2749"/>
      <c r="C159" s="2749"/>
      <c r="D159" s="2749"/>
      <c r="E159" s="2749" t="s">
        <v>905</v>
      </c>
      <c r="F159" s="2749"/>
      <c r="G159" s="2749"/>
      <c r="H159" s="2749"/>
      <c r="I159" s="2755"/>
    </row>
    <row r="160" spans="1:9" ht="3" customHeight="1">
      <c r="A160" s="2733"/>
      <c r="C160" s="2733"/>
      <c r="D160" s="2733"/>
      <c r="E160" s="2733"/>
      <c r="F160" s="2733"/>
      <c r="G160" s="2733"/>
      <c r="H160" s="2733"/>
      <c r="I160" s="2753"/>
    </row>
    <row r="161" spans="1:9">
      <c r="A161" s="2748"/>
      <c r="C161" s="2748" t="s">
        <v>906</v>
      </c>
      <c r="D161" s="2748" t="s">
        <v>907</v>
      </c>
      <c r="E161" s="2748" t="s">
        <v>908</v>
      </c>
      <c r="F161" s="2748" t="s">
        <v>909</v>
      </c>
      <c r="G161" s="2748" t="s">
        <v>910</v>
      </c>
      <c r="H161" s="2748" t="s">
        <v>911</v>
      </c>
      <c r="I161" s="2754"/>
    </row>
    <row r="162" spans="1:9">
      <c r="A162" s="2746"/>
      <c r="C162" s="2749" t="s">
        <v>272</v>
      </c>
      <c r="D162" s="2749"/>
      <c r="E162" s="2749" t="s">
        <v>912</v>
      </c>
      <c r="F162" s="2749"/>
      <c r="G162" s="2749"/>
      <c r="H162" s="2749"/>
      <c r="I162" s="2755"/>
    </row>
    <row r="163" spans="1:9">
      <c r="A163" s="2746"/>
      <c r="C163" s="2748" t="s">
        <v>913</v>
      </c>
      <c r="D163" s="2748" t="s">
        <v>914</v>
      </c>
      <c r="E163" s="2748" t="s">
        <v>915</v>
      </c>
      <c r="F163" s="2748" t="s">
        <v>916</v>
      </c>
      <c r="G163" s="2748" t="s">
        <v>917</v>
      </c>
      <c r="H163" s="2748" t="s">
        <v>918</v>
      </c>
      <c r="I163" s="2754" t="s">
        <v>919</v>
      </c>
    </row>
    <row r="164" spans="1:9">
      <c r="A164" s="2746" t="s">
        <v>920</v>
      </c>
      <c r="C164" s="2749"/>
      <c r="D164" s="2749"/>
      <c r="E164" s="2749" t="s">
        <v>921</v>
      </c>
      <c r="F164" s="2749"/>
      <c r="G164" s="2749"/>
      <c r="H164" s="2749"/>
      <c r="I164" s="2755"/>
    </row>
    <row r="165" spans="1:9">
      <c r="A165" s="2746"/>
      <c r="C165" s="2748" t="s">
        <v>922</v>
      </c>
      <c r="D165" s="2748"/>
      <c r="E165" s="2748" t="s">
        <v>923</v>
      </c>
      <c r="F165" s="2748"/>
      <c r="G165" s="2748" t="s">
        <v>924</v>
      </c>
      <c r="H165" s="2748"/>
      <c r="I165" s="2754"/>
    </row>
    <row r="166" spans="1:9">
      <c r="A166" s="2746"/>
      <c r="C166" s="2749"/>
      <c r="D166" s="2749"/>
      <c r="E166" s="2749" t="s">
        <v>925</v>
      </c>
      <c r="F166" s="2749"/>
      <c r="G166" s="2749"/>
      <c r="H166" s="2749"/>
      <c r="I166" s="2755"/>
    </row>
    <row r="167" spans="1:9">
      <c r="A167" s="2746" t="s">
        <v>926</v>
      </c>
      <c r="C167" s="2748" t="s">
        <v>927</v>
      </c>
      <c r="D167" s="2748" t="s">
        <v>928</v>
      </c>
      <c r="E167" s="2748" t="s">
        <v>929</v>
      </c>
      <c r="F167" s="2748" t="s">
        <v>930</v>
      </c>
      <c r="G167" s="2748" t="s">
        <v>931</v>
      </c>
      <c r="H167" s="2748" t="s">
        <v>932</v>
      </c>
      <c r="I167" s="2754" t="s">
        <v>933</v>
      </c>
    </row>
    <row r="168" spans="1:9">
      <c r="A168" s="2746"/>
      <c r="C168" s="2749"/>
      <c r="D168" s="2749"/>
      <c r="E168" s="2749" t="s">
        <v>934</v>
      </c>
      <c r="F168" s="2749"/>
      <c r="G168" s="2749"/>
      <c r="H168" s="2749"/>
      <c r="I168" s="2755"/>
    </row>
    <row r="169" spans="1:9">
      <c r="A169" s="2746"/>
      <c r="C169" s="2748" t="s">
        <v>935</v>
      </c>
      <c r="D169" s="2748" t="s">
        <v>936</v>
      </c>
      <c r="E169" s="2748" t="s">
        <v>937</v>
      </c>
      <c r="F169" s="2748" t="s">
        <v>938</v>
      </c>
      <c r="G169" s="2748" t="s">
        <v>939</v>
      </c>
      <c r="H169" s="2748" t="s">
        <v>940</v>
      </c>
      <c r="I169" s="2754" t="s">
        <v>941</v>
      </c>
    </row>
    <row r="170" spans="1:9">
      <c r="A170" s="2746" t="s">
        <v>368</v>
      </c>
      <c r="C170" s="2749"/>
      <c r="D170" s="2749"/>
      <c r="E170" s="2749" t="s">
        <v>942</v>
      </c>
      <c r="F170" s="2749"/>
      <c r="G170" s="2749"/>
      <c r="H170" s="2749"/>
      <c r="I170" s="2755"/>
    </row>
    <row r="171" spans="1:9">
      <c r="A171" s="2746"/>
      <c r="C171" s="2732" t="s">
        <v>943</v>
      </c>
      <c r="G171" s="2732" t="s">
        <v>944</v>
      </c>
    </row>
    <row r="172" spans="1:9">
      <c r="A172" s="2746"/>
      <c r="C172" s="2748" t="s">
        <v>945</v>
      </c>
      <c r="D172" s="2748" t="s">
        <v>946</v>
      </c>
      <c r="E172" s="2748" t="s">
        <v>947</v>
      </c>
      <c r="F172" s="2748" t="s">
        <v>948</v>
      </c>
      <c r="G172" s="2748" t="s">
        <v>949</v>
      </c>
      <c r="H172" s="2748" t="s">
        <v>950</v>
      </c>
      <c r="I172" s="2754" t="s">
        <v>951</v>
      </c>
    </row>
    <row r="173" spans="1:9">
      <c r="A173" s="2746"/>
      <c r="C173" s="2749"/>
      <c r="D173" s="2749"/>
      <c r="E173" s="2749" t="s">
        <v>952</v>
      </c>
      <c r="F173" s="2749"/>
      <c r="G173" s="2749"/>
      <c r="H173" s="2749"/>
      <c r="I173" s="2755"/>
    </row>
    <row r="174" spans="1:9">
      <c r="A174" s="2746"/>
      <c r="C174" s="2748" t="s">
        <v>899</v>
      </c>
      <c r="D174" s="2748" t="s">
        <v>900</v>
      </c>
      <c r="E174" s="2748" t="s">
        <v>901</v>
      </c>
      <c r="F174" s="2748"/>
      <c r="G174" s="2748" t="s">
        <v>902</v>
      </c>
      <c r="H174" s="2748" t="s">
        <v>903</v>
      </c>
      <c r="I174" s="2754" t="s">
        <v>904</v>
      </c>
    </row>
    <row r="175" spans="1:9">
      <c r="A175" s="2749"/>
      <c r="C175" s="2749"/>
      <c r="D175" s="2749"/>
      <c r="E175" s="2749" t="s">
        <v>905</v>
      </c>
      <c r="F175" s="2749"/>
      <c r="G175" s="2749"/>
      <c r="H175" s="2749"/>
      <c r="I175" s="2755"/>
    </row>
    <row r="176" spans="1:9" ht="2.25" customHeight="1">
      <c r="A176" s="2733"/>
      <c r="C176" s="2733"/>
      <c r="D176" s="2733"/>
      <c r="E176" s="2733"/>
      <c r="F176" s="2733"/>
      <c r="G176" s="2733"/>
      <c r="H176" s="2733"/>
      <c r="I176" s="2753"/>
    </row>
    <row r="177" spans="1:9">
      <c r="A177" s="2758"/>
      <c r="B177" s="2758"/>
      <c r="C177" s="2758"/>
      <c r="D177" s="2759" t="s">
        <v>953</v>
      </c>
      <c r="E177" s="2758"/>
      <c r="F177" s="2758"/>
      <c r="G177" s="2758"/>
      <c r="H177" s="2758"/>
      <c r="I177" s="2761"/>
    </row>
    <row r="178" spans="1:9" s="2731" customFormat="1" ht="3" customHeight="1">
      <c r="A178" s="2760"/>
      <c r="B178" s="2760"/>
      <c r="C178" s="2760"/>
      <c r="D178" s="2760"/>
      <c r="E178" s="2760"/>
      <c r="F178" s="2760"/>
      <c r="G178" s="2760"/>
      <c r="H178" s="2760"/>
      <c r="I178" s="2762"/>
    </row>
  </sheetData>
  <sheetProtection password="C787" sheet="1" objects="1" scenarios="1"/>
  <phoneticPr fontId="378" type="noConversion"/>
  <pageMargins left="0.75" right="0.75" top="1" bottom="1" header="0.5" footer="0.5"/>
  <pageSetup paperSize="9" orientation="landscape"/>
  <headerFooter scaleWithDoc="0"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3"/>
  <sheetViews>
    <sheetView workbookViewId="0">
      <pane ySplit="3" topLeftCell="A4" activePane="bottomLeft" state="frozen"/>
      <selection activeCell="K3" sqref="K3"/>
      <selection pane="bottomLeft" activeCell="M1" sqref="M1:M3"/>
    </sheetView>
  </sheetViews>
  <sheetFormatPr defaultColWidth="8.75" defaultRowHeight="14.25"/>
  <cols>
    <col min="1" max="1" width="16.875" style="2713" customWidth="1"/>
    <col min="2" max="2" width="11.5" style="2714" customWidth="1"/>
    <col min="3" max="3" width="11.5" style="2715" customWidth="1"/>
    <col min="4" max="12" width="11.5" style="2642" customWidth="1"/>
    <col min="13" max="32" width="9" style="2642"/>
    <col min="33" max="256" width="8.75" style="2642"/>
    <col min="257" max="16384" width="8.75" style="2643"/>
  </cols>
  <sheetData>
    <row r="1" spans="1:13" ht="36.950000000000003" customHeight="1">
      <c r="A1" s="3192" t="s">
        <v>954</v>
      </c>
      <c r="B1" s="3192"/>
      <c r="C1" s="3192"/>
      <c r="D1" s="3192"/>
      <c r="E1" s="3192"/>
      <c r="F1" s="3192"/>
      <c r="G1" s="3192"/>
      <c r="H1" s="3192"/>
      <c r="I1" s="3192"/>
      <c r="J1" s="3192"/>
      <c r="K1" s="3192"/>
      <c r="L1" s="3192"/>
      <c r="M1" s="3191" t="s">
        <v>12704</v>
      </c>
    </row>
    <row r="2" spans="1:13" ht="23.85" customHeight="1">
      <c r="A2" s="3194" t="s">
        <v>955</v>
      </c>
      <c r="B2" s="3195" t="s">
        <v>956</v>
      </c>
      <c r="C2" s="3196" t="s">
        <v>957</v>
      </c>
      <c r="D2" s="3193" t="s">
        <v>958</v>
      </c>
      <c r="E2" s="3193" t="s">
        <v>959</v>
      </c>
      <c r="F2" s="3193" t="s">
        <v>960</v>
      </c>
      <c r="G2" s="3193"/>
      <c r="H2" s="3193" t="s">
        <v>961</v>
      </c>
      <c r="I2" s="3193"/>
      <c r="J2" s="3193" t="s">
        <v>962</v>
      </c>
      <c r="K2" s="3193" t="s">
        <v>963</v>
      </c>
      <c r="L2" s="3193" t="s">
        <v>964</v>
      </c>
      <c r="M2" s="3191"/>
    </row>
    <row r="3" spans="1:13" ht="23.85" customHeight="1">
      <c r="A3" s="3194"/>
      <c r="B3" s="3195"/>
      <c r="C3" s="3196"/>
      <c r="D3" s="3193"/>
      <c r="E3" s="3193"/>
      <c r="F3" s="2717" t="s">
        <v>965</v>
      </c>
      <c r="G3" s="2718" t="s">
        <v>966</v>
      </c>
      <c r="H3" s="2717" t="s">
        <v>967</v>
      </c>
      <c r="I3" s="2716" t="s">
        <v>966</v>
      </c>
      <c r="J3" s="3193"/>
      <c r="K3" s="3193"/>
      <c r="L3" s="3193"/>
      <c r="M3" s="3191"/>
    </row>
    <row r="4" spans="1:13" ht="15.75">
      <c r="A4" s="2719" t="s">
        <v>968</v>
      </c>
      <c r="B4" s="2720">
        <v>120000000000</v>
      </c>
      <c r="C4" s="2721">
        <v>0.31</v>
      </c>
      <c r="D4" s="2720">
        <v>7900</v>
      </c>
      <c r="E4" s="2722">
        <v>77000000000</v>
      </c>
      <c r="F4" s="2722">
        <v>861695000</v>
      </c>
      <c r="G4" s="2723">
        <f t="shared" ref="G4:G67" si="0">F4/1000000</f>
        <v>861.69500000000005</v>
      </c>
      <c r="H4" s="2722">
        <v>551485000</v>
      </c>
      <c r="I4" s="2723">
        <f t="shared" ref="I4:I67" si="1">H4/1000000</f>
        <v>551.48500000000001</v>
      </c>
      <c r="J4" s="2722">
        <v>1.1E-5</v>
      </c>
      <c r="K4" s="2722">
        <v>450</v>
      </c>
      <c r="L4" s="2729">
        <v>75</v>
      </c>
    </row>
    <row r="5" spans="1:13" ht="15.75">
      <c r="A5" s="2724" t="s">
        <v>969</v>
      </c>
      <c r="B5" s="2725">
        <v>190000000000</v>
      </c>
      <c r="C5" s="2726">
        <v>0.27</v>
      </c>
      <c r="D5" s="2725">
        <v>7300</v>
      </c>
      <c r="E5" s="2727">
        <v>86000000000</v>
      </c>
      <c r="F5" s="2727">
        <v>300000000</v>
      </c>
      <c r="G5" s="2728">
        <f t="shared" si="0"/>
        <v>300</v>
      </c>
      <c r="H5" s="2727">
        <v>0</v>
      </c>
      <c r="I5" s="2728">
        <f t="shared" si="1"/>
        <v>0</v>
      </c>
      <c r="J5" s="2727">
        <v>1.2E-5</v>
      </c>
      <c r="K5" s="2727">
        <v>510</v>
      </c>
      <c r="L5" s="2730">
        <v>47</v>
      </c>
    </row>
    <row r="6" spans="1:13" ht="15.75">
      <c r="A6" s="2719" t="s">
        <v>970</v>
      </c>
      <c r="B6" s="2720">
        <v>190000000000</v>
      </c>
      <c r="C6" s="2721">
        <v>0.27</v>
      </c>
      <c r="D6" s="2720">
        <v>7300</v>
      </c>
      <c r="E6" s="2722">
        <v>86000000000</v>
      </c>
      <c r="F6" s="2722">
        <v>350000000</v>
      </c>
      <c r="G6" s="2723">
        <f t="shared" si="0"/>
        <v>350</v>
      </c>
      <c r="H6" s="2722">
        <v>200000000</v>
      </c>
      <c r="I6" s="2723">
        <f t="shared" si="1"/>
        <v>200</v>
      </c>
      <c r="J6" s="2722">
        <v>1.2E-5</v>
      </c>
      <c r="K6" s="2722">
        <v>510</v>
      </c>
      <c r="L6" s="2729">
        <v>47</v>
      </c>
    </row>
    <row r="7" spans="1:13" ht="15.75">
      <c r="A7" s="2724" t="s">
        <v>971</v>
      </c>
      <c r="B7" s="2725">
        <v>190000000000</v>
      </c>
      <c r="C7" s="2726">
        <v>0.27</v>
      </c>
      <c r="D7" s="2725">
        <v>7300</v>
      </c>
      <c r="E7" s="2727">
        <v>86000000000</v>
      </c>
      <c r="F7" s="2727">
        <v>450000000</v>
      </c>
      <c r="G7" s="2728">
        <f t="shared" si="0"/>
        <v>450</v>
      </c>
      <c r="H7" s="2727">
        <v>270000000</v>
      </c>
      <c r="I7" s="2728">
        <f t="shared" si="1"/>
        <v>270</v>
      </c>
      <c r="J7" s="2727">
        <v>1.2E-5</v>
      </c>
      <c r="K7" s="2727">
        <v>510</v>
      </c>
      <c r="L7" s="2730">
        <v>47</v>
      </c>
    </row>
    <row r="8" spans="1:13" ht="15.75">
      <c r="A8" s="2719" t="s">
        <v>972</v>
      </c>
      <c r="B8" s="2720">
        <v>190000000000</v>
      </c>
      <c r="C8" s="2721">
        <v>0.27</v>
      </c>
      <c r="D8" s="2720">
        <v>7300</v>
      </c>
      <c r="E8" s="2722">
        <v>86000000000</v>
      </c>
      <c r="F8" s="2722">
        <v>550000000</v>
      </c>
      <c r="G8" s="2723">
        <f t="shared" si="0"/>
        <v>550</v>
      </c>
      <c r="H8" s="2722">
        <v>340000000</v>
      </c>
      <c r="I8" s="2723">
        <f t="shared" si="1"/>
        <v>340</v>
      </c>
      <c r="J8" s="2722">
        <v>1.2E-5</v>
      </c>
      <c r="K8" s="2722">
        <v>510</v>
      </c>
      <c r="L8" s="2729">
        <v>47</v>
      </c>
    </row>
    <row r="9" spans="1:13" ht="15.75">
      <c r="A9" s="2724" t="s">
        <v>973</v>
      </c>
      <c r="B9" s="2725">
        <v>190000000000</v>
      </c>
      <c r="C9" s="2726">
        <v>0.27</v>
      </c>
      <c r="D9" s="2725">
        <v>7300</v>
      </c>
      <c r="E9" s="2727">
        <v>86000000000</v>
      </c>
      <c r="F9" s="2727">
        <v>650000000</v>
      </c>
      <c r="G9" s="2728">
        <f t="shared" si="0"/>
        <v>650</v>
      </c>
      <c r="H9" s="2727">
        <v>430000000</v>
      </c>
      <c r="I9" s="2728">
        <f t="shared" si="1"/>
        <v>430</v>
      </c>
      <c r="J9" s="2727">
        <v>1.2E-5</v>
      </c>
      <c r="K9" s="2727">
        <v>510</v>
      </c>
      <c r="L9" s="2730">
        <v>47</v>
      </c>
    </row>
    <row r="10" spans="1:13" ht="15.75">
      <c r="A10" s="2719" t="s">
        <v>974</v>
      </c>
      <c r="B10" s="2720">
        <v>190000000000</v>
      </c>
      <c r="C10" s="2721">
        <v>0.27</v>
      </c>
      <c r="D10" s="2720">
        <v>7300</v>
      </c>
      <c r="E10" s="2722">
        <v>86000000000</v>
      </c>
      <c r="F10" s="2722">
        <v>700000000</v>
      </c>
      <c r="G10" s="2723">
        <f t="shared" si="0"/>
        <v>700</v>
      </c>
      <c r="H10" s="2722">
        <v>530000000</v>
      </c>
      <c r="I10" s="2723">
        <f t="shared" si="1"/>
        <v>530</v>
      </c>
      <c r="J10" s="2722">
        <v>1.2E-5</v>
      </c>
      <c r="K10" s="2722">
        <v>510</v>
      </c>
      <c r="L10" s="2729">
        <v>47</v>
      </c>
    </row>
    <row r="11" spans="1:13" ht="15.75">
      <c r="A11" s="2724" t="s">
        <v>975</v>
      </c>
      <c r="B11" s="2725">
        <v>120000000000</v>
      </c>
      <c r="C11" s="2726">
        <v>0.31</v>
      </c>
      <c r="D11" s="2725">
        <v>7900</v>
      </c>
      <c r="E11" s="2727">
        <v>77000000000</v>
      </c>
      <c r="F11" s="2727">
        <v>350000000</v>
      </c>
      <c r="G11" s="2728">
        <f t="shared" si="0"/>
        <v>350</v>
      </c>
      <c r="H11" s="2727">
        <v>0</v>
      </c>
      <c r="I11" s="2728">
        <f t="shared" si="1"/>
        <v>0</v>
      </c>
      <c r="J11" s="2727">
        <v>1.1E-5</v>
      </c>
      <c r="K11" s="2727">
        <v>450</v>
      </c>
      <c r="L11" s="2730">
        <v>75</v>
      </c>
    </row>
    <row r="12" spans="1:13" ht="15.75">
      <c r="A12" s="2719" t="s">
        <v>976</v>
      </c>
      <c r="B12" s="2720">
        <v>120000000000</v>
      </c>
      <c r="C12" s="2721">
        <v>0.31</v>
      </c>
      <c r="D12" s="2720">
        <v>7900</v>
      </c>
      <c r="E12" s="2722">
        <v>77000000000</v>
      </c>
      <c r="F12" s="2722">
        <v>380000000</v>
      </c>
      <c r="G12" s="2723">
        <f t="shared" si="0"/>
        <v>380</v>
      </c>
      <c r="H12" s="2722">
        <v>170000000</v>
      </c>
      <c r="I12" s="2723">
        <f t="shared" si="1"/>
        <v>170</v>
      </c>
      <c r="J12" s="2722">
        <v>1.1E-5</v>
      </c>
      <c r="K12" s="2722">
        <v>450</v>
      </c>
      <c r="L12" s="2729">
        <v>75</v>
      </c>
    </row>
    <row r="13" spans="1:13" ht="15.75">
      <c r="A13" s="2724" t="s">
        <v>977</v>
      </c>
      <c r="B13" s="2725">
        <v>120000000000</v>
      </c>
      <c r="C13" s="2726">
        <v>0.31</v>
      </c>
      <c r="D13" s="2725">
        <v>7900</v>
      </c>
      <c r="E13" s="2727">
        <v>77000000000</v>
      </c>
      <c r="F13" s="2727">
        <v>440000000</v>
      </c>
      <c r="G13" s="2728">
        <f t="shared" si="0"/>
        <v>440</v>
      </c>
      <c r="H13" s="2727">
        <v>220000000</v>
      </c>
      <c r="I13" s="2728">
        <f t="shared" si="1"/>
        <v>220</v>
      </c>
      <c r="J13" s="2727">
        <v>1.1E-5</v>
      </c>
      <c r="K13" s="2727">
        <v>450</v>
      </c>
      <c r="L13" s="2730">
        <v>75</v>
      </c>
    </row>
    <row r="14" spans="1:13" ht="15.75">
      <c r="A14" s="2719" t="s">
        <v>978</v>
      </c>
      <c r="B14" s="2720">
        <v>120000000000</v>
      </c>
      <c r="C14" s="2721">
        <v>0.31</v>
      </c>
      <c r="D14" s="2720">
        <v>7900</v>
      </c>
      <c r="E14" s="2722">
        <v>77000000000</v>
      </c>
      <c r="F14" s="2722">
        <v>450000000</v>
      </c>
      <c r="G14" s="2723">
        <f t="shared" si="0"/>
        <v>450</v>
      </c>
      <c r="H14" s="2722">
        <v>260000000</v>
      </c>
      <c r="I14" s="2723">
        <f t="shared" si="1"/>
        <v>260</v>
      </c>
      <c r="J14" s="2722">
        <v>1.1E-5</v>
      </c>
      <c r="K14" s="2722">
        <v>450</v>
      </c>
      <c r="L14" s="2729">
        <v>75</v>
      </c>
    </row>
    <row r="15" spans="1:13" ht="15.75">
      <c r="A15" s="2724" t="s">
        <v>979</v>
      </c>
      <c r="B15" s="2725">
        <v>66178100000</v>
      </c>
      <c r="C15" s="2726">
        <v>0.27</v>
      </c>
      <c r="D15" s="2725">
        <v>7200</v>
      </c>
      <c r="E15" s="2727">
        <v>50000000000</v>
      </c>
      <c r="F15" s="2727">
        <v>151658000</v>
      </c>
      <c r="G15" s="2728">
        <f t="shared" si="0"/>
        <v>151.65799999999999</v>
      </c>
      <c r="H15" s="2727">
        <v>0</v>
      </c>
      <c r="I15" s="2728">
        <f t="shared" si="1"/>
        <v>0</v>
      </c>
      <c r="J15" s="2727">
        <v>1.2E-5</v>
      </c>
      <c r="K15" s="2727">
        <v>510</v>
      </c>
      <c r="L15" s="2730">
        <v>45</v>
      </c>
    </row>
    <row r="16" spans="1:13" ht="15.75">
      <c r="A16" s="2719" t="s">
        <v>980</v>
      </c>
      <c r="B16" s="2720">
        <v>108000000000</v>
      </c>
      <c r="C16" s="2721">
        <v>0.123</v>
      </c>
      <c r="D16" s="2720">
        <v>7100</v>
      </c>
      <c r="E16" s="2722">
        <v>48000000000</v>
      </c>
      <c r="F16" s="2722">
        <v>150000000</v>
      </c>
      <c r="G16" s="2723">
        <f t="shared" si="0"/>
        <v>150</v>
      </c>
      <c r="H16" s="2722">
        <v>0</v>
      </c>
      <c r="I16" s="2723">
        <f t="shared" si="1"/>
        <v>0</v>
      </c>
      <c r="J16" s="2722">
        <v>8.1999999999999994E-6</v>
      </c>
      <c r="K16" s="2722">
        <v>510</v>
      </c>
      <c r="L16" s="2729">
        <v>45</v>
      </c>
    </row>
    <row r="17" spans="1:12" ht="15.75">
      <c r="A17" s="2724" t="s">
        <v>981</v>
      </c>
      <c r="B17" s="2725">
        <v>116000000000</v>
      </c>
      <c r="C17" s="2726">
        <v>0.19400000000000001</v>
      </c>
      <c r="D17" s="2725">
        <v>7000</v>
      </c>
      <c r="E17" s="2727">
        <v>48600000000</v>
      </c>
      <c r="F17" s="2727">
        <v>150000000</v>
      </c>
      <c r="G17" s="2728">
        <f t="shared" si="0"/>
        <v>150</v>
      </c>
      <c r="H17" s="2727">
        <v>0</v>
      </c>
      <c r="I17" s="2728">
        <f t="shared" si="1"/>
        <v>0</v>
      </c>
      <c r="J17" s="2727">
        <v>1.01E-5</v>
      </c>
      <c r="K17" s="2727">
        <v>510</v>
      </c>
      <c r="L17" s="2730">
        <v>45</v>
      </c>
    </row>
    <row r="18" spans="1:12" ht="15.75">
      <c r="A18" s="2719" t="s">
        <v>982</v>
      </c>
      <c r="B18" s="2720">
        <v>148000000000</v>
      </c>
      <c r="C18" s="2721">
        <v>0.31</v>
      </c>
      <c r="D18" s="2720">
        <v>7200</v>
      </c>
      <c r="E18" s="2722">
        <v>56600000000</v>
      </c>
      <c r="F18" s="2722">
        <v>200000000</v>
      </c>
      <c r="G18" s="2723">
        <f t="shared" si="0"/>
        <v>200</v>
      </c>
      <c r="H18" s="2722">
        <v>0</v>
      </c>
      <c r="I18" s="2723">
        <f t="shared" si="1"/>
        <v>0</v>
      </c>
      <c r="J18" s="2722">
        <v>1.098E-5</v>
      </c>
      <c r="K18" s="2722">
        <v>510</v>
      </c>
      <c r="L18" s="2729">
        <v>45</v>
      </c>
    </row>
    <row r="19" spans="1:12" ht="15.75">
      <c r="A19" s="2724" t="s">
        <v>983</v>
      </c>
      <c r="B19" s="2725">
        <v>138000000000</v>
      </c>
      <c r="C19" s="2726">
        <v>0.156</v>
      </c>
      <c r="D19" s="2725">
        <v>7280</v>
      </c>
      <c r="E19" s="2727">
        <v>59800000000</v>
      </c>
      <c r="F19" s="2727">
        <v>250000000</v>
      </c>
      <c r="G19" s="2728">
        <f t="shared" si="0"/>
        <v>250</v>
      </c>
      <c r="H19" s="2727">
        <v>0</v>
      </c>
      <c r="I19" s="2728">
        <f t="shared" si="1"/>
        <v>0</v>
      </c>
      <c r="J19" s="2727">
        <v>8.1999999999999994E-6</v>
      </c>
      <c r="K19" s="2727">
        <v>510</v>
      </c>
      <c r="L19" s="2730">
        <v>45</v>
      </c>
    </row>
    <row r="20" spans="1:12" ht="15.75">
      <c r="A20" s="2719" t="s">
        <v>984</v>
      </c>
      <c r="B20" s="2720">
        <v>143000000000</v>
      </c>
      <c r="C20" s="2721">
        <v>0.27</v>
      </c>
      <c r="D20" s="2720">
        <v>7300</v>
      </c>
      <c r="E20" s="2722">
        <v>56600000000</v>
      </c>
      <c r="F20" s="2722">
        <v>300000000</v>
      </c>
      <c r="G20" s="2723">
        <f t="shared" si="0"/>
        <v>300</v>
      </c>
      <c r="H20" s="2722">
        <v>0</v>
      </c>
      <c r="I20" s="2723">
        <f t="shared" si="1"/>
        <v>0</v>
      </c>
      <c r="J20" s="2722">
        <v>1.1219999999999999E-5</v>
      </c>
      <c r="K20" s="2722">
        <v>510</v>
      </c>
      <c r="L20" s="2729">
        <v>45</v>
      </c>
    </row>
    <row r="21" spans="1:12" ht="15.75">
      <c r="A21" s="2724" t="s">
        <v>985</v>
      </c>
      <c r="B21" s="2725">
        <v>145000000000</v>
      </c>
      <c r="C21" s="2726">
        <v>0.27</v>
      </c>
      <c r="D21" s="2725">
        <v>7300</v>
      </c>
      <c r="E21" s="2727">
        <v>56600000000</v>
      </c>
      <c r="F21" s="2727">
        <v>350000000</v>
      </c>
      <c r="G21" s="2728">
        <f t="shared" si="0"/>
        <v>350</v>
      </c>
      <c r="H21" s="2727">
        <v>0</v>
      </c>
      <c r="I21" s="2728">
        <f t="shared" si="1"/>
        <v>0</v>
      </c>
      <c r="J21" s="2727">
        <v>1.1219999999999999E-5</v>
      </c>
      <c r="K21" s="2727">
        <v>510</v>
      </c>
      <c r="L21" s="2730">
        <v>45</v>
      </c>
    </row>
    <row r="22" spans="1:12" ht="15.75">
      <c r="A22" s="2719" t="s">
        <v>986</v>
      </c>
      <c r="B22" s="2720">
        <v>190000000000</v>
      </c>
      <c r="C22" s="2721">
        <v>0.27</v>
      </c>
      <c r="D22" s="2720">
        <v>7300</v>
      </c>
      <c r="E22" s="2722">
        <v>86000000000</v>
      </c>
      <c r="F22" s="2722">
        <v>413613000</v>
      </c>
      <c r="G22" s="2723">
        <f t="shared" si="0"/>
        <v>413.613</v>
      </c>
      <c r="H22" s="2722">
        <v>275742000</v>
      </c>
      <c r="I22" s="2723">
        <f t="shared" si="1"/>
        <v>275.74200000000002</v>
      </c>
      <c r="J22" s="2722">
        <v>1.2E-5</v>
      </c>
      <c r="K22" s="2722">
        <v>510</v>
      </c>
      <c r="L22" s="2729">
        <v>47</v>
      </c>
    </row>
    <row r="23" spans="1:12" ht="15.75">
      <c r="A23" s="2724" t="s">
        <v>987</v>
      </c>
      <c r="B23" s="2725">
        <v>161000000000</v>
      </c>
      <c r="C23" s="2726">
        <v>0.27400000000000002</v>
      </c>
      <c r="D23" s="2725">
        <v>7010</v>
      </c>
      <c r="E23" s="2727">
        <v>63200000000</v>
      </c>
      <c r="F23" s="2727">
        <v>400000000</v>
      </c>
      <c r="G23" s="2728">
        <f t="shared" si="0"/>
        <v>400</v>
      </c>
      <c r="H23" s="2727">
        <v>250000000</v>
      </c>
      <c r="I23" s="2728">
        <f t="shared" si="1"/>
        <v>250</v>
      </c>
      <c r="J23" s="2727">
        <v>1.29E-5</v>
      </c>
      <c r="K23" s="2727">
        <v>510</v>
      </c>
      <c r="L23" s="2730">
        <v>47</v>
      </c>
    </row>
    <row r="24" spans="1:12" ht="15.75">
      <c r="A24" s="2719" t="s">
        <v>988</v>
      </c>
      <c r="B24" s="2720">
        <v>161000000000</v>
      </c>
      <c r="C24" s="2721">
        <v>0.27400000000000002</v>
      </c>
      <c r="D24" s="2720">
        <v>7010</v>
      </c>
      <c r="E24" s="2722">
        <v>63200000000</v>
      </c>
      <c r="F24" s="2722">
        <v>400000000</v>
      </c>
      <c r="G24" s="2723">
        <f t="shared" si="0"/>
        <v>400</v>
      </c>
      <c r="H24" s="2722">
        <v>250000000</v>
      </c>
      <c r="I24" s="2723">
        <f t="shared" si="1"/>
        <v>250</v>
      </c>
      <c r="J24" s="2722">
        <v>1.29E-5</v>
      </c>
      <c r="K24" s="2722">
        <v>510</v>
      </c>
      <c r="L24" s="2729">
        <v>47</v>
      </c>
    </row>
    <row r="25" spans="1:12" ht="15.75">
      <c r="A25" s="2724" t="s">
        <v>989</v>
      </c>
      <c r="B25" s="2725">
        <v>169000000000</v>
      </c>
      <c r="C25" s="2726">
        <v>0.25700000000000001</v>
      </c>
      <c r="D25" s="2725">
        <v>7060</v>
      </c>
      <c r="E25" s="2727">
        <v>67600000000</v>
      </c>
      <c r="F25" s="2727">
        <v>450000000</v>
      </c>
      <c r="G25" s="2728">
        <f t="shared" si="0"/>
        <v>450</v>
      </c>
      <c r="H25" s="2727">
        <v>310000000</v>
      </c>
      <c r="I25" s="2728">
        <f t="shared" si="1"/>
        <v>310</v>
      </c>
      <c r="J25" s="2727">
        <v>1.01E-5</v>
      </c>
      <c r="K25" s="2727">
        <v>510</v>
      </c>
      <c r="L25" s="2730">
        <v>47</v>
      </c>
    </row>
    <row r="26" spans="1:12" ht="15.75">
      <c r="A26" s="2719" t="s">
        <v>990</v>
      </c>
      <c r="B26" s="2720">
        <v>162000000000</v>
      </c>
      <c r="C26" s="2721">
        <v>0.29299999999999998</v>
      </c>
      <c r="D26" s="2720">
        <v>7000</v>
      </c>
      <c r="E26" s="2722">
        <v>62700000000</v>
      </c>
      <c r="F26" s="2722">
        <v>500000000</v>
      </c>
      <c r="G26" s="2723">
        <f t="shared" si="0"/>
        <v>500</v>
      </c>
      <c r="H26" s="2722">
        <v>320000000</v>
      </c>
      <c r="I26" s="2723">
        <f t="shared" si="1"/>
        <v>320</v>
      </c>
      <c r="J26" s="2722">
        <v>9.0999999999999993E-6</v>
      </c>
      <c r="K26" s="2722">
        <v>510</v>
      </c>
      <c r="L26" s="2729">
        <v>47</v>
      </c>
    </row>
    <row r="27" spans="1:12" ht="15.75">
      <c r="A27" s="2724" t="s">
        <v>991</v>
      </c>
      <c r="B27" s="2725">
        <v>169000000000</v>
      </c>
      <c r="C27" s="2726">
        <v>0.28599999999999998</v>
      </c>
      <c r="D27" s="2725">
        <v>7120</v>
      </c>
      <c r="E27" s="2727">
        <v>65600000000</v>
      </c>
      <c r="F27" s="2727">
        <v>600000000</v>
      </c>
      <c r="G27" s="2728">
        <f t="shared" si="0"/>
        <v>600</v>
      </c>
      <c r="H27" s="2727">
        <v>370000000</v>
      </c>
      <c r="I27" s="2728">
        <f t="shared" si="1"/>
        <v>370</v>
      </c>
      <c r="J27" s="2727">
        <v>1.1800000000000001E-5</v>
      </c>
      <c r="K27" s="2727">
        <v>510</v>
      </c>
      <c r="L27" s="2730">
        <v>47</v>
      </c>
    </row>
    <row r="28" spans="1:12" ht="15.75">
      <c r="A28" s="2719" t="s">
        <v>992</v>
      </c>
      <c r="B28" s="2720">
        <v>169000000000</v>
      </c>
      <c r="C28" s="2721">
        <v>0.30499999999999999</v>
      </c>
      <c r="D28" s="2720">
        <v>7090</v>
      </c>
      <c r="E28" s="2722">
        <v>64700000000</v>
      </c>
      <c r="F28" s="2722">
        <v>700000000</v>
      </c>
      <c r="G28" s="2723">
        <f t="shared" si="0"/>
        <v>700</v>
      </c>
      <c r="H28" s="2722">
        <v>420000000</v>
      </c>
      <c r="I28" s="2723">
        <f t="shared" si="1"/>
        <v>420</v>
      </c>
      <c r="J28" s="2722">
        <v>1.08E-5</v>
      </c>
      <c r="K28" s="2722">
        <v>510</v>
      </c>
      <c r="L28" s="2729">
        <v>47</v>
      </c>
    </row>
    <row r="29" spans="1:12" ht="15.75">
      <c r="A29" s="2724" t="s">
        <v>993</v>
      </c>
      <c r="B29" s="2725">
        <v>174000000000</v>
      </c>
      <c r="C29" s="2726">
        <v>0.27</v>
      </c>
      <c r="D29" s="2725">
        <v>7300</v>
      </c>
      <c r="E29" s="2727">
        <v>68400000000</v>
      </c>
      <c r="F29" s="2727">
        <v>800000000</v>
      </c>
      <c r="G29" s="2728">
        <f t="shared" si="0"/>
        <v>800</v>
      </c>
      <c r="H29" s="2727">
        <v>480000000</v>
      </c>
      <c r="I29" s="2728">
        <f t="shared" si="1"/>
        <v>480</v>
      </c>
      <c r="J29" s="2727">
        <v>1.01E-5</v>
      </c>
      <c r="K29" s="2727">
        <v>510</v>
      </c>
      <c r="L29" s="2730">
        <v>47</v>
      </c>
    </row>
    <row r="30" spans="1:12" ht="15.75">
      <c r="A30" s="2719" t="s">
        <v>994</v>
      </c>
      <c r="B30" s="2720">
        <v>181000000000</v>
      </c>
      <c r="C30" s="2721">
        <v>0.27</v>
      </c>
      <c r="D30" s="2720">
        <v>7180</v>
      </c>
      <c r="E30" s="2722">
        <v>71000000000</v>
      </c>
      <c r="F30" s="2722">
        <v>900000000</v>
      </c>
      <c r="G30" s="2723">
        <f t="shared" si="0"/>
        <v>900</v>
      </c>
      <c r="H30" s="2722">
        <v>600000000</v>
      </c>
      <c r="I30" s="2723">
        <f t="shared" si="1"/>
        <v>600</v>
      </c>
      <c r="J30" s="2722">
        <v>1.1E-5</v>
      </c>
      <c r="K30" s="2722">
        <v>510</v>
      </c>
      <c r="L30" s="2729">
        <v>47</v>
      </c>
    </row>
    <row r="31" spans="1:12" ht="15.75">
      <c r="A31" s="2724" t="s">
        <v>995</v>
      </c>
      <c r="B31" s="2725">
        <v>212000000000</v>
      </c>
      <c r="C31" s="2726">
        <v>0.28599999999999998</v>
      </c>
      <c r="D31" s="2725">
        <v>7690</v>
      </c>
      <c r="E31" s="2727">
        <v>82400000000</v>
      </c>
      <c r="F31" s="2727">
        <v>350000000</v>
      </c>
      <c r="G31" s="2728">
        <f t="shared" si="0"/>
        <v>350</v>
      </c>
      <c r="H31" s="2727">
        <v>195000000</v>
      </c>
      <c r="I31" s="2728">
        <f t="shared" si="1"/>
        <v>195</v>
      </c>
      <c r="J31" s="2727">
        <v>8.8000000000000004E-6</v>
      </c>
      <c r="K31" s="2727">
        <v>440</v>
      </c>
      <c r="L31" s="2730">
        <v>43</v>
      </c>
    </row>
    <row r="32" spans="1:12" ht="15.75">
      <c r="A32" s="2719" t="s">
        <v>996</v>
      </c>
      <c r="B32" s="2720">
        <v>212000000000</v>
      </c>
      <c r="C32" s="2721">
        <v>0.28799999999999998</v>
      </c>
      <c r="D32" s="2720">
        <v>7690</v>
      </c>
      <c r="E32" s="2722">
        <v>82500000000</v>
      </c>
      <c r="F32" s="2722">
        <v>350000000</v>
      </c>
      <c r="G32" s="2723">
        <f t="shared" si="0"/>
        <v>350</v>
      </c>
      <c r="H32" s="2722">
        <v>215000000</v>
      </c>
      <c r="I32" s="2723">
        <f t="shared" si="1"/>
        <v>215</v>
      </c>
      <c r="J32" s="2722">
        <v>8.8000000000000004E-6</v>
      </c>
      <c r="K32" s="2722">
        <v>440</v>
      </c>
      <c r="L32" s="2729">
        <v>43</v>
      </c>
    </row>
    <row r="33" spans="1:12" ht="15.75">
      <c r="A33" s="2724" t="s">
        <v>997</v>
      </c>
      <c r="B33" s="2725">
        <v>208000000000</v>
      </c>
      <c r="C33" s="2726">
        <v>0.27700000000000002</v>
      </c>
      <c r="D33" s="2725">
        <v>7860</v>
      </c>
      <c r="E33" s="2727">
        <v>81400000000</v>
      </c>
      <c r="F33" s="2727">
        <v>390000000</v>
      </c>
      <c r="G33" s="2728">
        <f t="shared" si="0"/>
        <v>390</v>
      </c>
      <c r="H33" s="2727">
        <v>235000000</v>
      </c>
      <c r="I33" s="2728">
        <f t="shared" si="1"/>
        <v>235</v>
      </c>
      <c r="J33" s="2727">
        <v>8.6999999999999997E-6</v>
      </c>
      <c r="K33" s="2727">
        <v>440</v>
      </c>
      <c r="L33" s="2730">
        <v>43</v>
      </c>
    </row>
    <row r="34" spans="1:12" ht="15.75">
      <c r="A34" s="2719" t="s">
        <v>998</v>
      </c>
      <c r="B34" s="2720">
        <v>212000000000</v>
      </c>
      <c r="C34" s="2721">
        <v>0.28799999999999998</v>
      </c>
      <c r="D34" s="2720">
        <v>7860</v>
      </c>
      <c r="E34" s="2722">
        <v>82300000000</v>
      </c>
      <c r="F34" s="2722">
        <v>390000000</v>
      </c>
      <c r="G34" s="2723">
        <f t="shared" si="0"/>
        <v>390</v>
      </c>
      <c r="H34" s="2722">
        <v>235000000</v>
      </c>
      <c r="I34" s="2723">
        <f t="shared" si="1"/>
        <v>235</v>
      </c>
      <c r="J34" s="2722">
        <v>1.2E-5</v>
      </c>
      <c r="K34" s="2722">
        <v>440</v>
      </c>
      <c r="L34" s="2729">
        <v>43</v>
      </c>
    </row>
    <row r="35" spans="1:12" ht="15.75">
      <c r="A35" s="2724" t="s">
        <v>999</v>
      </c>
      <c r="B35" s="2725">
        <v>210000000000</v>
      </c>
      <c r="C35" s="2726">
        <v>0.27400000000000002</v>
      </c>
      <c r="D35" s="2725">
        <v>7830</v>
      </c>
      <c r="E35" s="2727">
        <v>82400000000</v>
      </c>
      <c r="F35" s="2727">
        <v>390000000</v>
      </c>
      <c r="G35" s="2728">
        <f t="shared" si="0"/>
        <v>390</v>
      </c>
      <c r="H35" s="2727">
        <v>235000000</v>
      </c>
      <c r="I35" s="2728">
        <f t="shared" si="1"/>
        <v>235</v>
      </c>
      <c r="J35" s="2727">
        <v>7.9999999999999996E-6</v>
      </c>
      <c r="K35" s="2727">
        <v>440</v>
      </c>
      <c r="L35" s="2730">
        <v>43</v>
      </c>
    </row>
    <row r="36" spans="1:12" ht="15.75">
      <c r="A36" s="2719" t="s">
        <v>1000</v>
      </c>
      <c r="B36" s="2720">
        <v>210000000000</v>
      </c>
      <c r="C36" s="2721">
        <v>0.27400000000000002</v>
      </c>
      <c r="D36" s="2720">
        <v>7830</v>
      </c>
      <c r="E36" s="2722">
        <v>82400000000</v>
      </c>
      <c r="F36" s="2722">
        <v>450000000</v>
      </c>
      <c r="G36" s="2723">
        <f t="shared" si="0"/>
        <v>450</v>
      </c>
      <c r="H36" s="2722">
        <v>255000000</v>
      </c>
      <c r="I36" s="2723">
        <f t="shared" si="1"/>
        <v>255</v>
      </c>
      <c r="J36" s="2722">
        <v>7.9999999999999996E-6</v>
      </c>
      <c r="K36" s="2722">
        <v>440</v>
      </c>
      <c r="L36" s="2729">
        <v>43</v>
      </c>
    </row>
    <row r="37" spans="1:12" ht="15.75">
      <c r="A37" s="2724" t="s">
        <v>1001</v>
      </c>
      <c r="B37" s="2725">
        <v>210000000000</v>
      </c>
      <c r="C37" s="2726">
        <v>0.27400000000000002</v>
      </c>
      <c r="D37" s="2725">
        <v>7830</v>
      </c>
      <c r="E37" s="2727">
        <v>82400000000</v>
      </c>
      <c r="F37" s="2727">
        <v>490000000</v>
      </c>
      <c r="G37" s="2728">
        <f t="shared" si="0"/>
        <v>490</v>
      </c>
      <c r="H37" s="2727">
        <v>250000000</v>
      </c>
      <c r="I37" s="2728">
        <f t="shared" si="1"/>
        <v>250</v>
      </c>
      <c r="J37" s="2727">
        <v>7.9999999999999996E-6</v>
      </c>
      <c r="K37" s="2727">
        <v>440</v>
      </c>
      <c r="L37" s="2730">
        <v>43</v>
      </c>
    </row>
    <row r="38" spans="1:12" ht="15.75">
      <c r="A38" s="2719" t="s">
        <v>1002</v>
      </c>
      <c r="B38" s="2720">
        <v>219000000000</v>
      </c>
      <c r="C38" s="2721">
        <v>0.26700000000000002</v>
      </c>
      <c r="D38" s="2720">
        <v>7830</v>
      </c>
      <c r="E38" s="2722">
        <v>86200000000</v>
      </c>
      <c r="F38" s="2722">
        <v>295000000</v>
      </c>
      <c r="G38" s="2723">
        <f t="shared" si="0"/>
        <v>295</v>
      </c>
      <c r="H38" s="2722">
        <v>175000000</v>
      </c>
      <c r="I38" s="2723">
        <f t="shared" si="1"/>
        <v>175</v>
      </c>
      <c r="J38" s="2722">
        <v>8.6999999999999997E-6</v>
      </c>
      <c r="K38" s="2722">
        <v>440</v>
      </c>
      <c r="L38" s="2729">
        <v>48</v>
      </c>
    </row>
    <row r="39" spans="1:12" ht="15.75">
      <c r="A39" s="2724">
        <v>8</v>
      </c>
      <c r="B39" s="2725">
        <v>211000000000</v>
      </c>
      <c r="C39" s="2726">
        <v>0.27900000000000003</v>
      </c>
      <c r="D39" s="2725">
        <v>7820</v>
      </c>
      <c r="E39" s="2727">
        <v>82500000000</v>
      </c>
      <c r="F39" s="2727">
        <v>295000000</v>
      </c>
      <c r="G39" s="2728">
        <f t="shared" si="0"/>
        <v>295</v>
      </c>
      <c r="H39" s="2727">
        <v>175000000</v>
      </c>
      <c r="I39" s="2728">
        <f t="shared" si="1"/>
        <v>175</v>
      </c>
      <c r="J39" s="2727">
        <v>1.22E-5</v>
      </c>
      <c r="K39" s="2727">
        <v>440</v>
      </c>
      <c r="L39" s="2730">
        <v>48</v>
      </c>
    </row>
    <row r="40" spans="1:12" ht="15.75">
      <c r="A40" s="2719" t="s">
        <v>1003</v>
      </c>
      <c r="B40" s="2720">
        <v>212000000000</v>
      </c>
      <c r="C40" s="2721">
        <v>0.27</v>
      </c>
      <c r="D40" s="2720">
        <v>7850</v>
      </c>
      <c r="E40" s="2722">
        <v>82600000000</v>
      </c>
      <c r="F40" s="2722">
        <v>315000000</v>
      </c>
      <c r="G40" s="2723">
        <f t="shared" si="0"/>
        <v>315</v>
      </c>
      <c r="H40" s="2722">
        <v>185000000</v>
      </c>
      <c r="I40" s="2723">
        <f t="shared" si="1"/>
        <v>185</v>
      </c>
      <c r="J40" s="2722">
        <v>1.2500000000000001E-5</v>
      </c>
      <c r="K40" s="2722">
        <v>440</v>
      </c>
      <c r="L40" s="2729">
        <v>48</v>
      </c>
    </row>
    <row r="41" spans="1:12" ht="15.75">
      <c r="A41" s="2724">
        <v>10</v>
      </c>
      <c r="B41" s="2725">
        <v>210000000000</v>
      </c>
      <c r="C41" s="2726">
        <v>0.27</v>
      </c>
      <c r="D41" s="2725">
        <v>7860</v>
      </c>
      <c r="E41" s="2727">
        <v>82600000000</v>
      </c>
      <c r="F41" s="2727">
        <v>315000000</v>
      </c>
      <c r="G41" s="2728">
        <f t="shared" si="0"/>
        <v>315</v>
      </c>
      <c r="H41" s="2727">
        <v>185000000</v>
      </c>
      <c r="I41" s="2728">
        <f t="shared" si="1"/>
        <v>185</v>
      </c>
      <c r="J41" s="2727">
        <v>1.26E-5</v>
      </c>
      <c r="K41" s="2727">
        <v>440</v>
      </c>
      <c r="L41" s="2730">
        <v>48</v>
      </c>
    </row>
    <row r="42" spans="1:12" ht="15.75">
      <c r="A42" s="2719" t="s">
        <v>1004</v>
      </c>
      <c r="B42" s="2720">
        <v>212000000000</v>
      </c>
      <c r="C42" s="2721">
        <v>0.28799999999999998</v>
      </c>
      <c r="D42" s="2720">
        <v>7850</v>
      </c>
      <c r="E42" s="2722">
        <v>82400000000</v>
      </c>
      <c r="F42" s="2722">
        <v>355000000</v>
      </c>
      <c r="G42" s="2723">
        <f t="shared" si="0"/>
        <v>355</v>
      </c>
      <c r="H42" s="2722">
        <v>205000000</v>
      </c>
      <c r="I42" s="2723">
        <f t="shared" si="1"/>
        <v>205</v>
      </c>
      <c r="J42" s="2722">
        <v>1.188E-5</v>
      </c>
      <c r="K42" s="2722">
        <v>440</v>
      </c>
      <c r="L42" s="2729">
        <v>48</v>
      </c>
    </row>
    <row r="43" spans="1:12" ht="15.75">
      <c r="A43" s="2724">
        <v>15</v>
      </c>
      <c r="B43" s="2725">
        <v>213000000000</v>
      </c>
      <c r="C43" s="2726">
        <v>0.28899999999999998</v>
      </c>
      <c r="D43" s="2725">
        <v>7850</v>
      </c>
      <c r="E43" s="2727">
        <v>82600000000</v>
      </c>
      <c r="F43" s="2727">
        <v>375000000</v>
      </c>
      <c r="G43" s="2728">
        <f t="shared" si="0"/>
        <v>375</v>
      </c>
      <c r="H43" s="2727">
        <v>225000000</v>
      </c>
      <c r="I43" s="2728">
        <f t="shared" si="1"/>
        <v>225</v>
      </c>
      <c r="J43" s="2727">
        <v>1.187E-5</v>
      </c>
      <c r="K43" s="2727">
        <v>440</v>
      </c>
      <c r="L43" s="2730">
        <v>48</v>
      </c>
    </row>
    <row r="44" spans="1:12" ht="15.75">
      <c r="A44" s="2719">
        <v>20</v>
      </c>
      <c r="B44" s="2720">
        <v>213000000000</v>
      </c>
      <c r="C44" s="2721">
        <v>0.28199999999999997</v>
      </c>
      <c r="D44" s="2720">
        <v>7800</v>
      </c>
      <c r="E44" s="2722">
        <v>83100000000</v>
      </c>
      <c r="F44" s="2722">
        <v>410000000</v>
      </c>
      <c r="G44" s="2723">
        <f t="shared" si="0"/>
        <v>410</v>
      </c>
      <c r="H44" s="2722">
        <v>245000000</v>
      </c>
      <c r="I44" s="2723">
        <f t="shared" si="1"/>
        <v>245</v>
      </c>
      <c r="J44" s="2722">
        <v>1.1919999999999999E-5</v>
      </c>
      <c r="K44" s="2722">
        <v>440</v>
      </c>
      <c r="L44" s="2729">
        <v>48</v>
      </c>
    </row>
    <row r="45" spans="1:12" ht="15.75">
      <c r="A45" s="2724" t="s">
        <v>1005</v>
      </c>
      <c r="B45" s="2725">
        <v>211000000000</v>
      </c>
      <c r="C45" s="2726">
        <v>0.28599999999999998</v>
      </c>
      <c r="D45" s="2725">
        <v>7800</v>
      </c>
      <c r="E45" s="2727">
        <v>82310000000</v>
      </c>
      <c r="F45" s="2727">
        <v>425000000</v>
      </c>
      <c r="G45" s="2728">
        <f t="shared" si="0"/>
        <v>425</v>
      </c>
      <c r="H45" s="2727">
        <v>245000000</v>
      </c>
      <c r="I45" s="2728">
        <f t="shared" si="1"/>
        <v>245</v>
      </c>
      <c r="J45" s="2727">
        <v>1.239E-5</v>
      </c>
      <c r="K45" s="2727">
        <v>440</v>
      </c>
      <c r="L45" s="2730">
        <v>48</v>
      </c>
    </row>
    <row r="46" spans="1:12" ht="15.75">
      <c r="A46" s="2719" t="s">
        <v>1006</v>
      </c>
      <c r="B46" s="2720">
        <v>211000000000</v>
      </c>
      <c r="C46" s="2721">
        <v>0.28599999999999998</v>
      </c>
      <c r="D46" s="2720">
        <v>7800</v>
      </c>
      <c r="E46" s="2722">
        <v>82300000000</v>
      </c>
      <c r="F46" s="2722">
        <v>400000000</v>
      </c>
      <c r="G46" s="2723">
        <f t="shared" si="0"/>
        <v>400</v>
      </c>
      <c r="H46" s="2722">
        <v>245000000</v>
      </c>
      <c r="I46" s="2723">
        <f t="shared" si="1"/>
        <v>245</v>
      </c>
      <c r="J46" s="2722">
        <v>1.239E-5</v>
      </c>
      <c r="K46" s="2722">
        <v>440</v>
      </c>
      <c r="L46" s="2729">
        <v>48</v>
      </c>
    </row>
    <row r="47" spans="1:12" ht="15.75">
      <c r="A47" s="2724">
        <v>25</v>
      </c>
      <c r="B47" s="2725">
        <v>206000000000</v>
      </c>
      <c r="C47" s="2726">
        <v>0.28100000000000003</v>
      </c>
      <c r="D47" s="2725">
        <v>7850</v>
      </c>
      <c r="E47" s="2727">
        <v>80400000000</v>
      </c>
      <c r="F47" s="2727">
        <v>450000000</v>
      </c>
      <c r="G47" s="2728">
        <f t="shared" si="0"/>
        <v>450</v>
      </c>
      <c r="H47" s="2727">
        <v>275000000</v>
      </c>
      <c r="I47" s="2728">
        <f t="shared" si="1"/>
        <v>275</v>
      </c>
      <c r="J47" s="2727">
        <v>1.1E-5</v>
      </c>
      <c r="K47" s="2727">
        <v>440</v>
      </c>
      <c r="L47" s="2730">
        <v>48</v>
      </c>
    </row>
    <row r="48" spans="1:12" ht="15.75">
      <c r="A48" s="2719">
        <v>30</v>
      </c>
      <c r="B48" s="2720">
        <v>217000000000</v>
      </c>
      <c r="C48" s="2721">
        <v>0.317</v>
      </c>
      <c r="D48" s="2720">
        <v>7860</v>
      </c>
      <c r="E48" s="2722">
        <v>82000000000</v>
      </c>
      <c r="F48" s="2722">
        <v>490000000</v>
      </c>
      <c r="G48" s="2723">
        <f t="shared" si="0"/>
        <v>490</v>
      </c>
      <c r="H48" s="2722">
        <v>295000000</v>
      </c>
      <c r="I48" s="2723">
        <f t="shared" si="1"/>
        <v>295</v>
      </c>
      <c r="J48" s="2722">
        <v>1.08E-5</v>
      </c>
      <c r="K48" s="2722">
        <v>440</v>
      </c>
      <c r="L48" s="2729">
        <v>48</v>
      </c>
    </row>
    <row r="49" spans="1:12" ht="15.75">
      <c r="A49" s="2724">
        <v>35</v>
      </c>
      <c r="B49" s="2725">
        <v>212000000000</v>
      </c>
      <c r="C49" s="2726">
        <v>0.29099999999999998</v>
      </c>
      <c r="D49" s="2725">
        <v>7870</v>
      </c>
      <c r="E49" s="2727">
        <v>82100000000</v>
      </c>
      <c r="F49" s="2727">
        <v>530000000</v>
      </c>
      <c r="G49" s="2728">
        <f t="shared" si="0"/>
        <v>530</v>
      </c>
      <c r="H49" s="2727">
        <v>315000000</v>
      </c>
      <c r="I49" s="2728">
        <f t="shared" si="1"/>
        <v>315</v>
      </c>
      <c r="J49" s="2727">
        <v>1.2449999999999999E-5</v>
      </c>
      <c r="K49" s="2727">
        <v>440</v>
      </c>
      <c r="L49" s="2730">
        <v>48</v>
      </c>
    </row>
    <row r="50" spans="1:12" ht="15.75">
      <c r="A50" s="2719">
        <v>40</v>
      </c>
      <c r="B50" s="2720">
        <v>209000000000</v>
      </c>
      <c r="C50" s="2721">
        <v>0.27</v>
      </c>
      <c r="D50" s="2720">
        <v>7810</v>
      </c>
      <c r="E50" s="2722">
        <v>82300000000</v>
      </c>
      <c r="F50" s="2722">
        <v>570000000</v>
      </c>
      <c r="G50" s="2723">
        <f t="shared" si="0"/>
        <v>570</v>
      </c>
      <c r="H50" s="2722">
        <v>335000000</v>
      </c>
      <c r="I50" s="2723">
        <f t="shared" si="1"/>
        <v>335</v>
      </c>
      <c r="J50" s="2722">
        <v>9.0000000000000002E-6</v>
      </c>
      <c r="K50" s="2722">
        <v>440</v>
      </c>
      <c r="L50" s="2729">
        <v>48</v>
      </c>
    </row>
    <row r="51" spans="1:12" ht="15.75">
      <c r="A51" s="2724">
        <v>45</v>
      </c>
      <c r="B51" s="2725">
        <v>209000000000</v>
      </c>
      <c r="C51" s="2726">
        <v>0.26900000000000002</v>
      </c>
      <c r="D51" s="2725">
        <v>7890</v>
      </c>
      <c r="E51" s="2727">
        <v>82300000000</v>
      </c>
      <c r="F51" s="2727">
        <v>600000000</v>
      </c>
      <c r="G51" s="2728">
        <f t="shared" si="0"/>
        <v>600</v>
      </c>
      <c r="H51" s="2727">
        <v>355000000</v>
      </c>
      <c r="I51" s="2728">
        <f t="shared" si="1"/>
        <v>355</v>
      </c>
      <c r="J51" s="2727">
        <v>1.17E-5</v>
      </c>
      <c r="K51" s="2727">
        <v>450</v>
      </c>
      <c r="L51" s="2730">
        <v>48</v>
      </c>
    </row>
    <row r="52" spans="1:12" ht="15.75">
      <c r="A52" s="2719">
        <v>50</v>
      </c>
      <c r="B52" s="2720">
        <v>207000000000</v>
      </c>
      <c r="C52" s="2721">
        <v>0.27600000000000002</v>
      </c>
      <c r="D52" s="2720">
        <v>7860</v>
      </c>
      <c r="E52" s="2722">
        <v>81100000000</v>
      </c>
      <c r="F52" s="2722">
        <v>630000000</v>
      </c>
      <c r="G52" s="2723">
        <f t="shared" si="0"/>
        <v>630</v>
      </c>
      <c r="H52" s="2722">
        <v>375000000</v>
      </c>
      <c r="I52" s="2723">
        <f t="shared" si="1"/>
        <v>375</v>
      </c>
      <c r="J52" s="2722">
        <v>1.206E-5</v>
      </c>
      <c r="K52" s="2722">
        <v>450</v>
      </c>
      <c r="L52" s="2729">
        <v>48</v>
      </c>
    </row>
    <row r="53" spans="1:12" ht="15.75">
      <c r="A53" s="2724">
        <v>55</v>
      </c>
      <c r="B53" s="2725">
        <v>217000000000</v>
      </c>
      <c r="C53" s="2726">
        <v>0.27</v>
      </c>
      <c r="D53" s="2725">
        <v>7830</v>
      </c>
      <c r="E53" s="2727">
        <v>85300000000</v>
      </c>
      <c r="F53" s="2727">
        <v>645000000</v>
      </c>
      <c r="G53" s="2728">
        <f t="shared" si="0"/>
        <v>645</v>
      </c>
      <c r="H53" s="2727">
        <v>380000000</v>
      </c>
      <c r="I53" s="2728">
        <f t="shared" si="1"/>
        <v>380</v>
      </c>
      <c r="J53" s="2727">
        <v>9.9000000000000001E-6</v>
      </c>
      <c r="K53" s="2727">
        <v>450</v>
      </c>
      <c r="L53" s="2730">
        <v>48</v>
      </c>
    </row>
    <row r="54" spans="1:12" ht="15.75">
      <c r="A54" s="2719">
        <v>60</v>
      </c>
      <c r="B54" s="2720">
        <v>212000000000</v>
      </c>
      <c r="C54" s="2721">
        <v>0.26400000000000001</v>
      </c>
      <c r="D54" s="2720">
        <v>8500</v>
      </c>
      <c r="E54" s="2722">
        <v>84000000000</v>
      </c>
      <c r="F54" s="2722">
        <v>675000000</v>
      </c>
      <c r="G54" s="2723">
        <f t="shared" si="0"/>
        <v>675</v>
      </c>
      <c r="H54" s="2722">
        <v>400000000</v>
      </c>
      <c r="I54" s="2723">
        <f t="shared" si="1"/>
        <v>400</v>
      </c>
      <c r="J54" s="2722">
        <v>9.5999999999999996E-6</v>
      </c>
      <c r="K54" s="2722">
        <v>450</v>
      </c>
      <c r="L54" s="2729">
        <v>48</v>
      </c>
    </row>
    <row r="55" spans="1:12" ht="15.75">
      <c r="A55" s="2724">
        <v>70</v>
      </c>
      <c r="B55" s="2725">
        <v>206000000000</v>
      </c>
      <c r="C55" s="2726">
        <v>0.30399999999999999</v>
      </c>
      <c r="D55" s="2725">
        <v>7810</v>
      </c>
      <c r="E55" s="2727">
        <v>79000000000</v>
      </c>
      <c r="F55" s="2727">
        <v>715000000</v>
      </c>
      <c r="G55" s="2728">
        <f t="shared" si="0"/>
        <v>715</v>
      </c>
      <c r="H55" s="2727">
        <v>420000000</v>
      </c>
      <c r="I55" s="2728">
        <f t="shared" si="1"/>
        <v>420</v>
      </c>
      <c r="J55" s="2727">
        <v>1.15E-5</v>
      </c>
      <c r="K55" s="2727">
        <v>450</v>
      </c>
      <c r="L55" s="2730">
        <v>48</v>
      </c>
    </row>
    <row r="56" spans="1:12" ht="15.75">
      <c r="A56" s="2719">
        <v>80</v>
      </c>
      <c r="B56" s="2720">
        <v>216000000000</v>
      </c>
      <c r="C56" s="2721">
        <v>0.31</v>
      </c>
      <c r="D56" s="2720">
        <v>7850</v>
      </c>
      <c r="E56" s="2722">
        <v>79500000000</v>
      </c>
      <c r="F56" s="2722">
        <v>1080000000</v>
      </c>
      <c r="G56" s="2723">
        <f t="shared" si="0"/>
        <v>1080</v>
      </c>
      <c r="H56" s="2722">
        <v>930000000</v>
      </c>
      <c r="I56" s="2723">
        <f t="shared" si="1"/>
        <v>930</v>
      </c>
      <c r="J56" s="2722">
        <v>1.1800000000000001E-5</v>
      </c>
      <c r="K56" s="2722">
        <v>450</v>
      </c>
      <c r="L56" s="2729">
        <v>48</v>
      </c>
    </row>
    <row r="57" spans="1:12" ht="15.75">
      <c r="A57" s="2724" t="s">
        <v>1007</v>
      </c>
      <c r="B57" s="2725">
        <v>210000000000</v>
      </c>
      <c r="C57" s="2726">
        <v>0.28000000000000003</v>
      </c>
      <c r="D57" s="2725">
        <v>8000</v>
      </c>
      <c r="E57" s="2727">
        <v>80000000000</v>
      </c>
      <c r="F57" s="2727">
        <v>410000000</v>
      </c>
      <c r="G57" s="2728">
        <f t="shared" si="0"/>
        <v>410</v>
      </c>
      <c r="H57" s="2727">
        <v>245000000</v>
      </c>
      <c r="I57" s="2728">
        <f t="shared" si="1"/>
        <v>245</v>
      </c>
      <c r="J57" s="2727">
        <v>1.2999999999999999E-5</v>
      </c>
      <c r="K57" s="2727">
        <v>450</v>
      </c>
      <c r="L57" s="2730">
        <v>48</v>
      </c>
    </row>
    <row r="58" spans="1:12" ht="15.75">
      <c r="A58" s="2719" t="s">
        <v>1008</v>
      </c>
      <c r="B58" s="2720">
        <v>212000000000</v>
      </c>
      <c r="C58" s="2721">
        <v>0.31</v>
      </c>
      <c r="D58" s="2720">
        <v>7870</v>
      </c>
      <c r="E58" s="2722">
        <v>80700000000</v>
      </c>
      <c r="F58" s="2722">
        <v>420000000</v>
      </c>
      <c r="G58" s="2723">
        <f t="shared" si="0"/>
        <v>420</v>
      </c>
      <c r="H58" s="2722">
        <v>250000000</v>
      </c>
      <c r="I58" s="2723">
        <f t="shared" si="1"/>
        <v>250</v>
      </c>
      <c r="J58" s="2722">
        <v>1.2799999999999999E-5</v>
      </c>
      <c r="K58" s="2722">
        <v>450</v>
      </c>
      <c r="L58" s="2729">
        <v>48</v>
      </c>
    </row>
    <row r="59" spans="1:12" ht="15.75">
      <c r="A59" s="2724" t="s">
        <v>1009</v>
      </c>
      <c r="B59" s="2725">
        <v>210000000000</v>
      </c>
      <c r="C59" s="2726">
        <v>0.28000000000000003</v>
      </c>
      <c r="D59" s="2725">
        <v>8000</v>
      </c>
      <c r="E59" s="2727">
        <v>80000000000</v>
      </c>
      <c r="F59" s="2727">
        <v>490000000</v>
      </c>
      <c r="G59" s="2728">
        <f t="shared" si="0"/>
        <v>490</v>
      </c>
      <c r="H59" s="2727">
        <v>295000000</v>
      </c>
      <c r="I59" s="2728">
        <f t="shared" si="1"/>
        <v>295</v>
      </c>
      <c r="J59" s="2727">
        <v>1.2999999999999999E-5</v>
      </c>
      <c r="K59" s="2727">
        <v>450</v>
      </c>
      <c r="L59" s="2730">
        <v>48</v>
      </c>
    </row>
    <row r="60" spans="1:12" ht="15.75">
      <c r="A60" s="2719" t="s">
        <v>1010</v>
      </c>
      <c r="B60" s="2720">
        <v>210000000000</v>
      </c>
      <c r="C60" s="2721">
        <v>0.28000000000000003</v>
      </c>
      <c r="D60" s="2720">
        <v>8000</v>
      </c>
      <c r="E60" s="2722">
        <v>80000000000</v>
      </c>
      <c r="F60" s="2722">
        <v>560000000</v>
      </c>
      <c r="G60" s="2723">
        <f t="shared" si="0"/>
        <v>560</v>
      </c>
      <c r="H60" s="2722">
        <v>335000000</v>
      </c>
      <c r="I60" s="2723">
        <f t="shared" si="1"/>
        <v>335</v>
      </c>
      <c r="J60" s="2722">
        <v>1.2999999999999999E-5</v>
      </c>
      <c r="K60" s="2722">
        <v>450</v>
      </c>
      <c r="L60" s="2729">
        <v>48</v>
      </c>
    </row>
    <row r="61" spans="1:12" ht="15.75">
      <c r="A61" s="2724" t="s">
        <v>1011</v>
      </c>
      <c r="B61" s="2725">
        <v>210000000000</v>
      </c>
      <c r="C61" s="2726">
        <v>0.28000000000000003</v>
      </c>
      <c r="D61" s="2725">
        <v>8000</v>
      </c>
      <c r="E61" s="2727">
        <v>80000000000</v>
      </c>
      <c r="F61" s="2727">
        <v>620000000</v>
      </c>
      <c r="G61" s="2728">
        <f t="shared" si="0"/>
        <v>620</v>
      </c>
      <c r="H61" s="2727">
        <v>375000000</v>
      </c>
      <c r="I61" s="2728">
        <f t="shared" si="1"/>
        <v>375</v>
      </c>
      <c r="J61" s="2727">
        <v>1.2999999999999999E-5</v>
      </c>
      <c r="K61" s="2727">
        <v>450</v>
      </c>
      <c r="L61" s="2730">
        <v>48</v>
      </c>
    </row>
    <row r="62" spans="1:12" ht="15.75">
      <c r="A62" s="2719" t="s">
        <v>1012</v>
      </c>
      <c r="B62" s="2720">
        <v>210000000000</v>
      </c>
      <c r="C62" s="2721">
        <v>0.28799999999999998</v>
      </c>
      <c r="D62" s="2720">
        <v>7820</v>
      </c>
      <c r="E62" s="2722">
        <v>81900000000</v>
      </c>
      <c r="F62" s="2722">
        <v>695000000</v>
      </c>
      <c r="G62" s="2723">
        <f t="shared" si="0"/>
        <v>695</v>
      </c>
      <c r="H62" s="2722">
        <v>410000000</v>
      </c>
      <c r="I62" s="2723">
        <f t="shared" si="1"/>
        <v>410</v>
      </c>
      <c r="J62" s="2722">
        <v>1.2099999999999999E-5</v>
      </c>
      <c r="K62" s="2722">
        <v>450</v>
      </c>
      <c r="L62" s="2729">
        <v>48</v>
      </c>
    </row>
    <row r="63" spans="1:12" ht="15.75">
      <c r="A63" s="2724" t="s">
        <v>1013</v>
      </c>
      <c r="B63" s="2725">
        <v>211000000000</v>
      </c>
      <c r="C63" s="2726">
        <v>0.28799999999999998</v>
      </c>
      <c r="D63" s="2725">
        <v>7820</v>
      </c>
      <c r="E63" s="2727">
        <v>81900000000</v>
      </c>
      <c r="F63" s="2727">
        <v>735000000</v>
      </c>
      <c r="G63" s="2728">
        <f t="shared" si="0"/>
        <v>735</v>
      </c>
      <c r="H63" s="2727">
        <v>430000000</v>
      </c>
      <c r="I63" s="2728">
        <f t="shared" si="1"/>
        <v>430</v>
      </c>
      <c r="J63" s="2727">
        <v>1.2E-5</v>
      </c>
      <c r="K63" s="2727">
        <v>450</v>
      </c>
      <c r="L63" s="2730">
        <v>48</v>
      </c>
    </row>
    <row r="64" spans="1:12" ht="15.75">
      <c r="A64" s="2719" t="s">
        <v>1014</v>
      </c>
      <c r="B64" s="2720">
        <v>215000000000</v>
      </c>
      <c r="C64" s="2721">
        <v>0.28999999999999998</v>
      </c>
      <c r="D64" s="2720">
        <v>7840</v>
      </c>
      <c r="E64" s="2722">
        <v>82000000000</v>
      </c>
      <c r="F64" s="2722">
        <v>785000000</v>
      </c>
      <c r="G64" s="2723">
        <f t="shared" si="0"/>
        <v>785</v>
      </c>
      <c r="H64" s="2722">
        <v>450000000</v>
      </c>
      <c r="I64" s="2723">
        <f t="shared" si="1"/>
        <v>450</v>
      </c>
      <c r="J64" s="2722">
        <v>1.19E-5</v>
      </c>
      <c r="K64" s="2722">
        <v>450</v>
      </c>
      <c r="L64" s="2729">
        <v>48</v>
      </c>
    </row>
    <row r="65" spans="1:12" ht="15.75">
      <c r="A65" s="2724" t="s">
        <v>1015</v>
      </c>
      <c r="B65" s="2725">
        <v>137000000000</v>
      </c>
      <c r="C65" s="2726">
        <v>0.31</v>
      </c>
      <c r="D65" s="2725">
        <v>8980</v>
      </c>
      <c r="E65" s="2727">
        <v>52000000000</v>
      </c>
      <c r="F65" s="2727">
        <v>715000000</v>
      </c>
      <c r="G65" s="2728">
        <f t="shared" si="0"/>
        <v>715</v>
      </c>
      <c r="H65" s="2727">
        <v>420000000</v>
      </c>
      <c r="I65" s="2728">
        <f t="shared" si="1"/>
        <v>420</v>
      </c>
      <c r="J65" s="2727">
        <v>1.7280000000000001E-5</v>
      </c>
      <c r="K65" s="2727">
        <v>450</v>
      </c>
      <c r="L65" s="2730">
        <v>48</v>
      </c>
    </row>
    <row r="66" spans="1:12" ht="15.75">
      <c r="A66" s="2719" t="s">
        <v>1016</v>
      </c>
      <c r="B66" s="2720">
        <v>107900000000</v>
      </c>
      <c r="C66" s="2721">
        <v>0.35</v>
      </c>
      <c r="D66" s="2720">
        <v>8910</v>
      </c>
      <c r="E66" s="2722">
        <v>44100000000</v>
      </c>
      <c r="F66" s="2722">
        <v>715000000</v>
      </c>
      <c r="G66" s="2723">
        <f t="shared" si="0"/>
        <v>715</v>
      </c>
      <c r="H66" s="2722">
        <v>420000000</v>
      </c>
      <c r="I66" s="2723">
        <f t="shared" si="1"/>
        <v>420</v>
      </c>
      <c r="J66" s="2722">
        <v>1.6920000000000001E-5</v>
      </c>
      <c r="K66" s="2722">
        <v>450</v>
      </c>
      <c r="L66" s="2729">
        <v>48</v>
      </c>
    </row>
    <row r="67" spans="1:12" ht="15.75">
      <c r="A67" s="2724" t="s">
        <v>1017</v>
      </c>
      <c r="B67" s="2725">
        <v>210000000000</v>
      </c>
      <c r="C67" s="2726">
        <v>0.27500000000000002</v>
      </c>
      <c r="D67" s="2725">
        <v>7900</v>
      </c>
      <c r="E67" s="2727">
        <v>80000000000</v>
      </c>
      <c r="F67" s="2727">
        <v>715000000</v>
      </c>
      <c r="G67" s="2728">
        <f t="shared" si="0"/>
        <v>715</v>
      </c>
      <c r="H67" s="2727">
        <v>420000000</v>
      </c>
      <c r="I67" s="2728">
        <f t="shared" si="1"/>
        <v>420</v>
      </c>
      <c r="J67" s="2727">
        <v>1.2999999999999999E-5</v>
      </c>
      <c r="K67" s="2727">
        <v>450</v>
      </c>
      <c r="L67" s="2730">
        <v>48</v>
      </c>
    </row>
    <row r="68" spans="1:12" ht="15.75">
      <c r="A68" s="2719" t="s">
        <v>1018</v>
      </c>
      <c r="B68" s="2720">
        <v>223000000000</v>
      </c>
      <c r="C68" s="2721">
        <v>0.27700000000000002</v>
      </c>
      <c r="D68" s="2720">
        <v>7840</v>
      </c>
      <c r="E68" s="2722">
        <v>87200000000</v>
      </c>
      <c r="F68" s="2722">
        <v>1080000000</v>
      </c>
      <c r="G68" s="2723">
        <f t="shared" ref="G68:G131" si="2">F68/1000000</f>
        <v>1080</v>
      </c>
      <c r="H68" s="2722">
        <v>930000000</v>
      </c>
      <c r="I68" s="2723">
        <f t="shared" ref="I68:I131" si="3">H68/1000000</f>
        <v>930</v>
      </c>
      <c r="J68" s="2722">
        <v>1.06E-5</v>
      </c>
      <c r="K68" s="2722">
        <v>450</v>
      </c>
      <c r="L68" s="2729">
        <v>48</v>
      </c>
    </row>
    <row r="69" spans="1:12" ht="15.75">
      <c r="A69" s="2724" t="s">
        <v>1019</v>
      </c>
      <c r="B69" s="2725">
        <v>210000000000</v>
      </c>
      <c r="C69" s="2726">
        <v>0.27500000000000002</v>
      </c>
      <c r="D69" s="2725">
        <v>7900</v>
      </c>
      <c r="E69" s="2727">
        <v>80000000000</v>
      </c>
      <c r="F69" s="2727">
        <v>1080000000</v>
      </c>
      <c r="G69" s="2728">
        <f t="shared" si="2"/>
        <v>1080</v>
      </c>
      <c r="H69" s="2727">
        <v>930000000</v>
      </c>
      <c r="I69" s="2728">
        <f t="shared" si="3"/>
        <v>930</v>
      </c>
      <c r="J69" s="2727">
        <v>1.2999999999999999E-5</v>
      </c>
      <c r="K69" s="2727">
        <v>450</v>
      </c>
      <c r="L69" s="2730">
        <v>48</v>
      </c>
    </row>
    <row r="70" spans="1:12" ht="15.75">
      <c r="A70" s="2719" t="s">
        <v>1020</v>
      </c>
      <c r="B70" s="2720">
        <v>210000000000</v>
      </c>
      <c r="C70" s="2721">
        <v>0.27500000000000002</v>
      </c>
      <c r="D70" s="2720">
        <v>7900</v>
      </c>
      <c r="E70" s="2722">
        <v>80000000000</v>
      </c>
      <c r="F70" s="2722">
        <v>1130000000</v>
      </c>
      <c r="G70" s="2723">
        <f t="shared" si="2"/>
        <v>1130</v>
      </c>
      <c r="H70" s="2722">
        <v>980000000</v>
      </c>
      <c r="I70" s="2723">
        <f t="shared" si="3"/>
        <v>980</v>
      </c>
      <c r="J70" s="2722">
        <v>1.2999999999999999E-5</v>
      </c>
      <c r="K70" s="2722">
        <v>450</v>
      </c>
      <c r="L70" s="2729">
        <v>48</v>
      </c>
    </row>
    <row r="71" spans="1:12" ht="15.75">
      <c r="A71" s="2724" t="s">
        <v>1021</v>
      </c>
      <c r="B71" s="2725">
        <v>210000000000</v>
      </c>
      <c r="C71" s="2726">
        <v>0.27500000000000002</v>
      </c>
      <c r="D71" s="2725">
        <v>7900</v>
      </c>
      <c r="E71" s="2727">
        <v>80000000000</v>
      </c>
      <c r="F71" s="2727">
        <v>1150000000</v>
      </c>
      <c r="G71" s="2728">
        <f t="shared" si="2"/>
        <v>1150</v>
      </c>
      <c r="H71" s="2727">
        <v>990000000</v>
      </c>
      <c r="I71" s="2728">
        <f t="shared" si="3"/>
        <v>990</v>
      </c>
      <c r="J71" s="2727">
        <v>1.2999999999999999E-5</v>
      </c>
      <c r="K71" s="2727">
        <v>450</v>
      </c>
      <c r="L71" s="2730">
        <v>48</v>
      </c>
    </row>
    <row r="72" spans="1:12" ht="15.75">
      <c r="A72" s="2719" t="s">
        <v>1022</v>
      </c>
      <c r="B72" s="2720">
        <v>211000000000</v>
      </c>
      <c r="C72" s="2721">
        <v>0.311</v>
      </c>
      <c r="D72" s="2720">
        <v>7830</v>
      </c>
      <c r="E72" s="2722">
        <v>80400000000</v>
      </c>
      <c r="F72" s="2722">
        <v>482549000</v>
      </c>
      <c r="G72" s="2723">
        <f t="shared" si="2"/>
        <v>482.54899999999998</v>
      </c>
      <c r="H72" s="2722">
        <v>248168000</v>
      </c>
      <c r="I72" s="2723">
        <f t="shared" si="3"/>
        <v>248.16800000000001</v>
      </c>
      <c r="J72" s="2722">
        <v>9.5999999999999996E-6</v>
      </c>
      <c r="K72" s="2722">
        <v>500</v>
      </c>
      <c r="L72" s="2729">
        <v>30</v>
      </c>
    </row>
    <row r="73" spans="1:12" ht="15.75">
      <c r="A73" s="2724" t="s">
        <v>1023</v>
      </c>
      <c r="B73" s="2725">
        <v>211000000000</v>
      </c>
      <c r="C73" s="2726">
        <v>0.28999999999999998</v>
      </c>
      <c r="D73" s="2725">
        <v>7860</v>
      </c>
      <c r="E73" s="2727">
        <v>82100000000</v>
      </c>
      <c r="F73" s="2727">
        <v>482549000</v>
      </c>
      <c r="G73" s="2728">
        <f t="shared" si="2"/>
        <v>482.54899999999998</v>
      </c>
      <c r="H73" s="2727">
        <v>248168000</v>
      </c>
      <c r="I73" s="2728">
        <f t="shared" si="3"/>
        <v>248.16800000000001</v>
      </c>
      <c r="J73" s="2727">
        <v>1.2649999999999999E-5</v>
      </c>
      <c r="K73" s="2727">
        <v>500</v>
      </c>
      <c r="L73" s="2730">
        <v>30</v>
      </c>
    </row>
    <row r="74" spans="1:12" ht="15.75">
      <c r="A74" s="2719" t="s">
        <v>1024</v>
      </c>
      <c r="B74" s="2720">
        <v>215000000000</v>
      </c>
      <c r="C74" s="2721">
        <v>0.27</v>
      </c>
      <c r="D74" s="2720">
        <v>7720</v>
      </c>
      <c r="E74" s="2722">
        <v>84210000000</v>
      </c>
      <c r="F74" s="2722">
        <v>482549000</v>
      </c>
      <c r="G74" s="2723">
        <f t="shared" si="2"/>
        <v>482.54899999999998</v>
      </c>
      <c r="H74" s="2722">
        <v>248168000</v>
      </c>
      <c r="I74" s="2723">
        <f t="shared" si="3"/>
        <v>248.16800000000001</v>
      </c>
      <c r="J74" s="2722">
        <v>1.2265E-5</v>
      </c>
      <c r="K74" s="2722">
        <v>500</v>
      </c>
      <c r="L74" s="2729">
        <v>30</v>
      </c>
    </row>
    <row r="75" spans="1:12" ht="15.75">
      <c r="A75" s="2724" t="s">
        <v>1025</v>
      </c>
      <c r="B75" s="2725">
        <v>206000000000</v>
      </c>
      <c r="C75" s="2726">
        <v>0.28000000000000003</v>
      </c>
      <c r="D75" s="2725">
        <v>7850</v>
      </c>
      <c r="E75" s="2727">
        <v>79000000000</v>
      </c>
      <c r="F75" s="2727">
        <v>390000000</v>
      </c>
      <c r="G75" s="2728">
        <f t="shared" si="2"/>
        <v>390</v>
      </c>
      <c r="H75" s="2727">
        <v>295000000</v>
      </c>
      <c r="I75" s="2728">
        <f t="shared" si="3"/>
        <v>295</v>
      </c>
      <c r="J75" s="2727">
        <v>1.2999999999999999E-5</v>
      </c>
      <c r="K75" s="2727">
        <v>460</v>
      </c>
      <c r="L75" s="2730">
        <v>44</v>
      </c>
    </row>
    <row r="76" spans="1:12" ht="15.75">
      <c r="A76" s="2719" t="s">
        <v>1026</v>
      </c>
      <c r="B76" s="2720">
        <v>206000000000</v>
      </c>
      <c r="C76" s="2721">
        <v>0.28000000000000003</v>
      </c>
      <c r="D76" s="2720">
        <v>7850</v>
      </c>
      <c r="E76" s="2722">
        <v>79000000000</v>
      </c>
      <c r="F76" s="2722">
        <v>470000000</v>
      </c>
      <c r="G76" s="2723">
        <f t="shared" si="2"/>
        <v>470</v>
      </c>
      <c r="H76" s="2722">
        <v>345000000</v>
      </c>
      <c r="I76" s="2723">
        <f t="shared" si="3"/>
        <v>345</v>
      </c>
      <c r="J76" s="2722">
        <v>1.2999999999999999E-5</v>
      </c>
      <c r="K76" s="2722">
        <v>460</v>
      </c>
      <c r="L76" s="2729">
        <v>44</v>
      </c>
    </row>
    <row r="77" spans="1:12" ht="15.75">
      <c r="A77" s="2724" t="s">
        <v>1027</v>
      </c>
      <c r="B77" s="2725">
        <v>206000000000</v>
      </c>
      <c r="C77" s="2726">
        <v>0.28000000000000003</v>
      </c>
      <c r="D77" s="2725">
        <v>7850</v>
      </c>
      <c r="E77" s="2727">
        <v>79000000000</v>
      </c>
      <c r="F77" s="2727">
        <v>490000000</v>
      </c>
      <c r="G77" s="2728">
        <f t="shared" si="2"/>
        <v>490</v>
      </c>
      <c r="H77" s="2727">
        <v>390000000</v>
      </c>
      <c r="I77" s="2728">
        <f t="shared" si="3"/>
        <v>390</v>
      </c>
      <c r="J77" s="2727">
        <v>1.2999999999999999E-5</v>
      </c>
      <c r="K77" s="2727">
        <v>460</v>
      </c>
      <c r="L77" s="2730">
        <v>44</v>
      </c>
    </row>
    <row r="78" spans="1:12" ht="15.75">
      <c r="A78" s="2719" t="s">
        <v>1028</v>
      </c>
      <c r="B78" s="2720">
        <v>206000000000</v>
      </c>
      <c r="C78" s="2721">
        <v>0.28000000000000003</v>
      </c>
      <c r="D78" s="2720">
        <v>7850</v>
      </c>
      <c r="E78" s="2722">
        <v>79000000000</v>
      </c>
      <c r="F78" s="2722">
        <v>520000000</v>
      </c>
      <c r="G78" s="2723">
        <f t="shared" si="2"/>
        <v>520</v>
      </c>
      <c r="H78" s="2722">
        <v>420000000</v>
      </c>
      <c r="I78" s="2723">
        <f t="shared" si="3"/>
        <v>420</v>
      </c>
      <c r="J78" s="2722">
        <v>1.2999999999999999E-5</v>
      </c>
      <c r="K78" s="2722">
        <v>460</v>
      </c>
      <c r="L78" s="2729">
        <v>44</v>
      </c>
    </row>
    <row r="79" spans="1:12" ht="15.75">
      <c r="A79" s="2724" t="s">
        <v>1029</v>
      </c>
      <c r="B79" s="2725">
        <v>206000000000</v>
      </c>
      <c r="C79" s="2726">
        <v>0.28000000000000003</v>
      </c>
      <c r="D79" s="2725">
        <v>7850</v>
      </c>
      <c r="E79" s="2727">
        <v>79000000000</v>
      </c>
      <c r="F79" s="2727">
        <v>550000000</v>
      </c>
      <c r="G79" s="2728">
        <f t="shared" si="2"/>
        <v>550</v>
      </c>
      <c r="H79" s="2727">
        <v>460000000</v>
      </c>
      <c r="I79" s="2728">
        <f t="shared" si="3"/>
        <v>460</v>
      </c>
      <c r="J79" s="2727">
        <v>1.2999999999999999E-5</v>
      </c>
      <c r="K79" s="2727">
        <v>460</v>
      </c>
      <c r="L79" s="2730">
        <v>44</v>
      </c>
    </row>
    <row r="80" spans="1:12" ht="15.75">
      <c r="A80" s="2719">
        <v>4140</v>
      </c>
      <c r="B80" s="2720">
        <v>200000000000</v>
      </c>
      <c r="C80" s="2721">
        <v>0.28999999999999998</v>
      </c>
      <c r="D80" s="2720">
        <v>7830</v>
      </c>
      <c r="E80" s="2722">
        <v>76000000000</v>
      </c>
      <c r="F80" s="2722">
        <v>795000000</v>
      </c>
      <c r="G80" s="2723">
        <f t="shared" si="2"/>
        <v>795</v>
      </c>
      <c r="H80" s="2722">
        <v>610000000</v>
      </c>
      <c r="I80" s="2723">
        <f t="shared" si="3"/>
        <v>610</v>
      </c>
      <c r="J80" s="2722">
        <v>1.1800000000000001E-5</v>
      </c>
      <c r="K80" s="2722">
        <v>460</v>
      </c>
      <c r="L80" s="2729">
        <v>44</v>
      </c>
    </row>
    <row r="81" spans="1:12" ht="15.75">
      <c r="A81" s="2724" t="s">
        <v>1030</v>
      </c>
      <c r="B81" s="2725">
        <v>207000000000</v>
      </c>
      <c r="C81" s="2726">
        <v>0.254</v>
      </c>
      <c r="D81" s="2725">
        <v>7830</v>
      </c>
      <c r="E81" s="2727">
        <v>82500000000</v>
      </c>
      <c r="F81" s="2727">
        <v>835000000</v>
      </c>
      <c r="G81" s="2728">
        <f t="shared" si="2"/>
        <v>835</v>
      </c>
      <c r="H81" s="2727">
        <v>540000000</v>
      </c>
      <c r="I81" s="2728">
        <f t="shared" si="3"/>
        <v>540</v>
      </c>
      <c r="J81" s="2727">
        <v>1.13E-5</v>
      </c>
      <c r="K81" s="2727">
        <v>460</v>
      </c>
      <c r="L81" s="2730">
        <v>44</v>
      </c>
    </row>
    <row r="82" spans="1:12" ht="15.75">
      <c r="A82" s="2719" t="s">
        <v>1031</v>
      </c>
      <c r="B82" s="2720">
        <v>206000000000</v>
      </c>
      <c r="C82" s="2721">
        <v>0.28999999999999998</v>
      </c>
      <c r="D82" s="2720">
        <v>7820</v>
      </c>
      <c r="E82" s="2722">
        <v>79000000000</v>
      </c>
      <c r="F82" s="2722">
        <v>885000000</v>
      </c>
      <c r="G82" s="2723">
        <f t="shared" si="2"/>
        <v>885</v>
      </c>
      <c r="H82" s="2722">
        <v>685000000</v>
      </c>
      <c r="I82" s="2723">
        <f t="shared" si="3"/>
        <v>685</v>
      </c>
      <c r="J82" s="2722">
        <v>1.2999999999999999E-5</v>
      </c>
      <c r="K82" s="2722">
        <v>460</v>
      </c>
      <c r="L82" s="2729">
        <v>44</v>
      </c>
    </row>
    <row r="83" spans="1:12" ht="15.75">
      <c r="A83" s="2724" t="s">
        <v>1032</v>
      </c>
      <c r="B83" s="2725">
        <v>211000000000</v>
      </c>
      <c r="C83" s="2726">
        <v>0.27700000000000002</v>
      </c>
      <c r="D83" s="2725">
        <v>7870</v>
      </c>
      <c r="E83" s="2727">
        <v>82800000000</v>
      </c>
      <c r="F83" s="2727">
        <v>980000000</v>
      </c>
      <c r="G83" s="2728">
        <f t="shared" si="2"/>
        <v>980</v>
      </c>
      <c r="H83" s="2727">
        <v>785000000</v>
      </c>
      <c r="I83" s="2728">
        <f t="shared" si="3"/>
        <v>785</v>
      </c>
      <c r="J83" s="2727">
        <v>1.199E-5</v>
      </c>
      <c r="K83" s="2727">
        <v>460</v>
      </c>
      <c r="L83" s="2730">
        <v>44</v>
      </c>
    </row>
    <row r="84" spans="1:12" ht="15.75">
      <c r="A84" s="2719" t="s">
        <v>1033</v>
      </c>
      <c r="B84" s="2720">
        <v>206000000000</v>
      </c>
      <c r="C84" s="2721">
        <v>0.28999999999999998</v>
      </c>
      <c r="D84" s="2720">
        <v>7820</v>
      </c>
      <c r="E84" s="2722">
        <v>79000000000</v>
      </c>
      <c r="F84" s="2722">
        <v>1030000000</v>
      </c>
      <c r="G84" s="2723">
        <f t="shared" si="2"/>
        <v>1030</v>
      </c>
      <c r="H84" s="2722">
        <v>835000000</v>
      </c>
      <c r="I84" s="2723">
        <f t="shared" si="3"/>
        <v>835</v>
      </c>
      <c r="J84" s="2722">
        <v>1.2999999999999999E-5</v>
      </c>
      <c r="K84" s="2722">
        <v>460</v>
      </c>
      <c r="L84" s="2729">
        <v>44</v>
      </c>
    </row>
    <row r="85" spans="1:12" ht="15.75">
      <c r="A85" s="2724" t="s">
        <v>1034</v>
      </c>
      <c r="B85" s="2725">
        <v>206000000000</v>
      </c>
      <c r="C85" s="2726">
        <v>0.28999999999999998</v>
      </c>
      <c r="D85" s="2725">
        <v>7820</v>
      </c>
      <c r="E85" s="2727">
        <v>79000000000</v>
      </c>
      <c r="F85" s="2727">
        <v>1080000000</v>
      </c>
      <c r="G85" s="2728">
        <f t="shared" si="2"/>
        <v>1080</v>
      </c>
      <c r="H85" s="2727">
        <v>930000000</v>
      </c>
      <c r="I85" s="2728">
        <f t="shared" si="3"/>
        <v>930</v>
      </c>
      <c r="J85" s="2727">
        <v>1.2999999999999999E-5</v>
      </c>
      <c r="K85" s="2727">
        <v>460</v>
      </c>
      <c r="L85" s="2730">
        <v>44</v>
      </c>
    </row>
    <row r="86" spans="1:12" ht="15.75">
      <c r="A86" s="2719" t="s">
        <v>1035</v>
      </c>
      <c r="B86" s="2720">
        <v>212000000000</v>
      </c>
      <c r="C86" s="2721">
        <v>0.28399999999999997</v>
      </c>
      <c r="D86" s="2720">
        <v>7880</v>
      </c>
      <c r="E86" s="2722">
        <v>82500000000</v>
      </c>
      <c r="F86" s="2722">
        <v>440000000</v>
      </c>
      <c r="G86" s="2723">
        <f t="shared" si="2"/>
        <v>440</v>
      </c>
      <c r="H86" s="2722">
        <v>295000000</v>
      </c>
      <c r="I86" s="2723">
        <f t="shared" si="3"/>
        <v>295</v>
      </c>
      <c r="J86" s="2722">
        <v>1.3370000000000001E-5</v>
      </c>
      <c r="K86" s="2722">
        <v>460</v>
      </c>
      <c r="L86" s="2729">
        <v>44</v>
      </c>
    </row>
    <row r="87" spans="1:12" ht="15.75">
      <c r="A87" s="2724" t="s">
        <v>1036</v>
      </c>
      <c r="B87" s="2725">
        <v>210000000000</v>
      </c>
      <c r="C87" s="2726">
        <v>0.27800000000000002</v>
      </c>
      <c r="D87" s="2725">
        <v>7840</v>
      </c>
      <c r="E87" s="2727">
        <v>82200000000</v>
      </c>
      <c r="F87" s="2727">
        <v>885000000</v>
      </c>
      <c r="G87" s="2728">
        <f t="shared" si="2"/>
        <v>885</v>
      </c>
      <c r="H87" s="2727">
        <v>685000000</v>
      </c>
      <c r="I87" s="2728">
        <f t="shared" si="3"/>
        <v>685</v>
      </c>
      <c r="J87" s="2727">
        <v>1.27E-5</v>
      </c>
      <c r="K87" s="2727">
        <v>460</v>
      </c>
      <c r="L87" s="2730">
        <v>44</v>
      </c>
    </row>
    <row r="88" spans="1:12" ht="15.75">
      <c r="A88" s="2719" t="s">
        <v>1037</v>
      </c>
      <c r="B88" s="2720">
        <v>210000000000</v>
      </c>
      <c r="C88" s="2721">
        <v>0.27800000000000002</v>
      </c>
      <c r="D88" s="2720">
        <v>7840</v>
      </c>
      <c r="E88" s="2722">
        <v>82200000000</v>
      </c>
      <c r="F88" s="2722">
        <v>1258000000</v>
      </c>
      <c r="G88" s="2723">
        <f t="shared" si="2"/>
        <v>1258</v>
      </c>
      <c r="H88" s="2722">
        <v>1079000000</v>
      </c>
      <c r="I88" s="2723">
        <f t="shared" si="3"/>
        <v>1079</v>
      </c>
      <c r="J88" s="2722">
        <v>1.27E-5</v>
      </c>
      <c r="K88" s="2722">
        <v>460</v>
      </c>
      <c r="L88" s="2729">
        <v>44</v>
      </c>
    </row>
    <row r="89" spans="1:12" ht="15.75">
      <c r="A89" s="2724" t="s">
        <v>1038</v>
      </c>
      <c r="B89" s="2725">
        <v>211000000000</v>
      </c>
      <c r="C89" s="2726">
        <v>0.3</v>
      </c>
      <c r="D89" s="2725">
        <v>7620</v>
      </c>
      <c r="E89" s="2727">
        <v>81000000000</v>
      </c>
      <c r="F89" s="2727">
        <v>1090000000</v>
      </c>
      <c r="G89" s="2728">
        <f t="shared" si="2"/>
        <v>1090</v>
      </c>
      <c r="H89" s="2727">
        <v>1042000000</v>
      </c>
      <c r="I89" s="2728">
        <f t="shared" si="3"/>
        <v>1042</v>
      </c>
      <c r="J89" s="2727">
        <v>1.1800000000000001E-5</v>
      </c>
      <c r="K89" s="2727">
        <v>460</v>
      </c>
      <c r="L89" s="2730">
        <v>44</v>
      </c>
    </row>
    <row r="90" spans="1:12" ht="15.75">
      <c r="A90" s="2719" t="s">
        <v>1039</v>
      </c>
      <c r="B90" s="2720">
        <v>211000000000</v>
      </c>
      <c r="C90" s="2721">
        <v>0.3</v>
      </c>
      <c r="D90" s="2720">
        <v>7620</v>
      </c>
      <c r="E90" s="2722">
        <v>81000000000</v>
      </c>
      <c r="F90" s="2722">
        <v>930000000</v>
      </c>
      <c r="G90" s="2723">
        <f t="shared" si="2"/>
        <v>930</v>
      </c>
      <c r="H90" s="2722">
        <v>785000000</v>
      </c>
      <c r="I90" s="2723">
        <f t="shared" si="3"/>
        <v>785</v>
      </c>
      <c r="J90" s="2722">
        <v>1.1800000000000001E-5</v>
      </c>
      <c r="K90" s="2722">
        <v>460</v>
      </c>
      <c r="L90" s="2729">
        <v>44</v>
      </c>
    </row>
    <row r="91" spans="1:12" ht="15.75">
      <c r="A91" s="2724" t="s">
        <v>1040</v>
      </c>
      <c r="B91" s="2725">
        <v>220000000000</v>
      </c>
      <c r="C91" s="2726">
        <v>0.28000000000000003</v>
      </c>
      <c r="D91" s="2725">
        <v>7810</v>
      </c>
      <c r="E91" s="2727">
        <v>85500000000</v>
      </c>
      <c r="F91" s="2727">
        <v>885000000</v>
      </c>
      <c r="G91" s="2728">
        <f t="shared" si="2"/>
        <v>885</v>
      </c>
      <c r="H91" s="2727">
        <v>685000000</v>
      </c>
      <c r="I91" s="2728">
        <f t="shared" si="3"/>
        <v>685</v>
      </c>
      <c r="J91" s="2727">
        <v>1.007E-5</v>
      </c>
      <c r="K91" s="2727">
        <v>460</v>
      </c>
      <c r="L91" s="2730">
        <v>44</v>
      </c>
    </row>
    <row r="92" spans="1:12" ht="15.75">
      <c r="A92" s="2719" t="s">
        <v>1041</v>
      </c>
      <c r="B92" s="2720">
        <v>211000000000</v>
      </c>
      <c r="C92" s="2721">
        <v>0.27900000000000003</v>
      </c>
      <c r="D92" s="2720">
        <v>7850</v>
      </c>
      <c r="E92" s="2722">
        <v>82200000000</v>
      </c>
      <c r="F92" s="2722">
        <v>9300000000</v>
      </c>
      <c r="G92" s="2723">
        <f t="shared" si="2"/>
        <v>9300</v>
      </c>
      <c r="H92" s="2722">
        <v>785000000</v>
      </c>
      <c r="I92" s="2723">
        <f t="shared" si="3"/>
        <v>785</v>
      </c>
      <c r="J92" s="2722">
        <v>1.27E-5</v>
      </c>
      <c r="K92" s="2722">
        <v>460</v>
      </c>
      <c r="L92" s="2729">
        <v>44</v>
      </c>
    </row>
    <row r="93" spans="1:12" ht="15.75">
      <c r="A93" s="2724" t="s">
        <v>1042</v>
      </c>
      <c r="B93" s="2725">
        <v>213000000000</v>
      </c>
      <c r="C93" s="2726">
        <v>0.28599999999999998</v>
      </c>
      <c r="D93" s="2725">
        <v>7870</v>
      </c>
      <c r="E93" s="2727">
        <v>82400000000</v>
      </c>
      <c r="F93" s="2727">
        <v>980000000</v>
      </c>
      <c r="G93" s="2728">
        <f t="shared" si="2"/>
        <v>980</v>
      </c>
      <c r="H93" s="2727">
        <v>835000000</v>
      </c>
      <c r="I93" s="2728">
        <f t="shared" si="3"/>
        <v>835</v>
      </c>
      <c r="J93" s="2727">
        <v>1.2500000000000001E-5</v>
      </c>
      <c r="K93" s="2727">
        <v>460</v>
      </c>
      <c r="L93" s="2730">
        <v>44</v>
      </c>
    </row>
    <row r="94" spans="1:12" ht="15.75">
      <c r="A94" s="2719" t="s">
        <v>1043</v>
      </c>
      <c r="B94" s="2720">
        <v>212000000000</v>
      </c>
      <c r="C94" s="2721">
        <v>0.28000000000000003</v>
      </c>
      <c r="D94" s="2720">
        <v>7850</v>
      </c>
      <c r="E94" s="2722">
        <v>82500000000</v>
      </c>
      <c r="F94" s="2722">
        <v>1080000000</v>
      </c>
      <c r="G94" s="2723">
        <f t="shared" si="2"/>
        <v>1080</v>
      </c>
      <c r="H94" s="2722">
        <v>930000000</v>
      </c>
      <c r="I94" s="2723">
        <f t="shared" si="3"/>
        <v>930</v>
      </c>
      <c r="J94" s="2722">
        <v>1.243E-5</v>
      </c>
      <c r="K94" s="2722">
        <v>460</v>
      </c>
      <c r="L94" s="2729">
        <v>44</v>
      </c>
    </row>
    <row r="95" spans="1:12" ht="15.75">
      <c r="A95" s="2724" t="s">
        <v>1044</v>
      </c>
      <c r="B95" s="2725">
        <v>225000000000</v>
      </c>
      <c r="C95" s="2726">
        <v>0.36</v>
      </c>
      <c r="D95" s="2725">
        <v>7720</v>
      </c>
      <c r="E95" s="2727">
        <v>82200000000</v>
      </c>
      <c r="F95" s="2727">
        <v>1080000000</v>
      </c>
      <c r="G95" s="2728">
        <f t="shared" si="2"/>
        <v>1080</v>
      </c>
      <c r="H95" s="2727">
        <v>930000000</v>
      </c>
      <c r="I95" s="2728">
        <f t="shared" si="3"/>
        <v>930</v>
      </c>
      <c r="J95" s="2727">
        <v>1.11E-5</v>
      </c>
      <c r="K95" s="2727">
        <v>460</v>
      </c>
      <c r="L95" s="2730">
        <v>44</v>
      </c>
    </row>
    <row r="96" spans="1:12" ht="15.75">
      <c r="A96" s="2719" t="s">
        <v>1045</v>
      </c>
      <c r="B96" s="2720">
        <v>236000000000</v>
      </c>
      <c r="C96" s="2721">
        <v>0.3</v>
      </c>
      <c r="D96" s="2720">
        <v>7810</v>
      </c>
      <c r="E96" s="2722">
        <v>90700000000</v>
      </c>
      <c r="F96" s="2722">
        <v>1080000000</v>
      </c>
      <c r="G96" s="2723">
        <f t="shared" si="2"/>
        <v>1080</v>
      </c>
      <c r="H96" s="2722">
        <v>930000000</v>
      </c>
      <c r="I96" s="2723">
        <f t="shared" si="3"/>
        <v>930</v>
      </c>
      <c r="J96" s="2722">
        <v>1.15E-5</v>
      </c>
      <c r="K96" s="2722">
        <v>460</v>
      </c>
      <c r="L96" s="2729">
        <v>44</v>
      </c>
    </row>
    <row r="97" spans="1:12" ht="15.75">
      <c r="A97" s="2724" t="s">
        <v>1046</v>
      </c>
      <c r="B97" s="2725">
        <v>218000000000</v>
      </c>
      <c r="C97" s="2726">
        <v>0.28000000000000003</v>
      </c>
      <c r="D97" s="2725">
        <v>7850</v>
      </c>
      <c r="E97" s="2727">
        <v>85300000000</v>
      </c>
      <c r="F97" s="2727">
        <v>920000000</v>
      </c>
      <c r="G97" s="2728">
        <f t="shared" si="2"/>
        <v>920</v>
      </c>
      <c r="H97" s="2727">
        <v>750000000</v>
      </c>
      <c r="I97" s="2728">
        <f t="shared" si="3"/>
        <v>750</v>
      </c>
      <c r="J97" s="2727">
        <v>1.04E-5</v>
      </c>
      <c r="K97" s="2727">
        <v>460</v>
      </c>
      <c r="L97" s="2730">
        <v>44</v>
      </c>
    </row>
    <row r="98" spans="1:12" ht="15.75">
      <c r="A98" s="2719" t="s">
        <v>1047</v>
      </c>
      <c r="B98" s="2720">
        <v>218000000000</v>
      </c>
      <c r="C98" s="2721">
        <v>0.28999999999999998</v>
      </c>
      <c r="D98" s="2720">
        <v>7870</v>
      </c>
      <c r="E98" s="2722">
        <v>84100000000</v>
      </c>
      <c r="F98" s="2722">
        <v>1080000000</v>
      </c>
      <c r="G98" s="2723">
        <f t="shared" si="2"/>
        <v>1080</v>
      </c>
      <c r="H98" s="2722">
        <v>930000000</v>
      </c>
      <c r="I98" s="2723">
        <f t="shared" si="3"/>
        <v>930</v>
      </c>
      <c r="J98" s="2722">
        <v>1.0879999999999999E-5</v>
      </c>
      <c r="K98" s="2722">
        <v>460</v>
      </c>
      <c r="L98" s="2729">
        <v>44</v>
      </c>
    </row>
    <row r="99" spans="1:12" ht="15.75">
      <c r="A99" s="2724" t="s">
        <v>1048</v>
      </c>
      <c r="B99" s="2725">
        <v>220000000000</v>
      </c>
      <c r="C99" s="2726">
        <v>0.28999999999999998</v>
      </c>
      <c r="D99" s="2725">
        <v>7930</v>
      </c>
      <c r="E99" s="2727">
        <v>85600000000</v>
      </c>
      <c r="F99" s="2727">
        <v>925000000</v>
      </c>
      <c r="G99" s="2728">
        <f t="shared" si="2"/>
        <v>925</v>
      </c>
      <c r="H99" s="2727">
        <v>750000000</v>
      </c>
      <c r="I99" s="2728">
        <f t="shared" si="3"/>
        <v>750</v>
      </c>
      <c r="J99" s="2727">
        <v>1.172E-5</v>
      </c>
      <c r="K99" s="2727">
        <v>460</v>
      </c>
      <c r="L99" s="2730">
        <v>44</v>
      </c>
    </row>
    <row r="100" spans="1:12" ht="15.75">
      <c r="A100" s="2719" t="s">
        <v>1049</v>
      </c>
      <c r="B100" s="2720">
        <v>207000000000</v>
      </c>
      <c r="C100" s="2721">
        <v>0.254</v>
      </c>
      <c r="D100" s="2720">
        <v>7870</v>
      </c>
      <c r="E100" s="2722">
        <v>82500000000</v>
      </c>
      <c r="F100" s="2722">
        <v>1175000000</v>
      </c>
      <c r="G100" s="2723">
        <f t="shared" si="2"/>
        <v>1175</v>
      </c>
      <c r="H100" s="2722">
        <v>885000000</v>
      </c>
      <c r="I100" s="2723">
        <f t="shared" si="3"/>
        <v>885</v>
      </c>
      <c r="J100" s="2722">
        <v>1.1199999999999999E-5</v>
      </c>
      <c r="K100" s="2722">
        <v>460</v>
      </c>
      <c r="L100" s="2729">
        <v>44</v>
      </c>
    </row>
    <row r="101" spans="1:12" ht="15.75">
      <c r="A101" s="2724" t="s">
        <v>1050</v>
      </c>
      <c r="B101" s="2725">
        <v>207000000000</v>
      </c>
      <c r="C101" s="2726">
        <v>0.254</v>
      </c>
      <c r="D101" s="2725">
        <v>7870</v>
      </c>
      <c r="E101" s="2727">
        <v>82500000000</v>
      </c>
      <c r="F101" s="2727">
        <v>9800000000</v>
      </c>
      <c r="G101" s="2728">
        <f t="shared" si="2"/>
        <v>9800</v>
      </c>
      <c r="H101" s="2727">
        <v>785000000</v>
      </c>
      <c r="I101" s="2728">
        <f t="shared" si="3"/>
        <v>785</v>
      </c>
      <c r="J101" s="2727">
        <v>1.1199999999999999E-5</v>
      </c>
      <c r="K101" s="2727">
        <v>460</v>
      </c>
      <c r="L101" s="2730">
        <v>44</v>
      </c>
    </row>
    <row r="102" spans="1:12" ht="15.75">
      <c r="A102" s="2719" t="s">
        <v>1051</v>
      </c>
      <c r="B102" s="2720">
        <v>212000000000</v>
      </c>
      <c r="C102" s="2721">
        <v>0.28899999999999998</v>
      </c>
      <c r="D102" s="2720">
        <v>7860</v>
      </c>
      <c r="E102" s="2722">
        <v>81700000000</v>
      </c>
      <c r="F102" s="2722">
        <v>1080000000</v>
      </c>
      <c r="G102" s="2723">
        <f t="shared" si="2"/>
        <v>1080</v>
      </c>
      <c r="H102" s="2722">
        <v>835000000</v>
      </c>
      <c r="I102" s="2723">
        <f t="shared" si="3"/>
        <v>835</v>
      </c>
      <c r="J102" s="2722">
        <v>1.27E-5</v>
      </c>
      <c r="K102" s="2722">
        <v>460</v>
      </c>
      <c r="L102" s="2729">
        <v>44</v>
      </c>
    </row>
    <row r="103" spans="1:12" ht="15.75">
      <c r="A103" s="2724" t="s">
        <v>1052</v>
      </c>
      <c r="B103" s="2725">
        <v>205000000000</v>
      </c>
      <c r="C103" s="2726">
        <v>0.25</v>
      </c>
      <c r="D103" s="2725">
        <v>7850</v>
      </c>
      <c r="E103" s="2727">
        <v>82000000000</v>
      </c>
      <c r="F103" s="2727">
        <v>1470000000</v>
      </c>
      <c r="G103" s="2728">
        <f t="shared" si="2"/>
        <v>1470</v>
      </c>
      <c r="H103" s="2727">
        <v>121000000</v>
      </c>
      <c r="I103" s="2728">
        <f t="shared" si="3"/>
        <v>121</v>
      </c>
      <c r="J103" s="2727">
        <v>1.0720000000000001E-5</v>
      </c>
      <c r="K103" s="2727">
        <v>460</v>
      </c>
      <c r="L103" s="2730">
        <v>44</v>
      </c>
    </row>
    <row r="104" spans="1:12" ht="15.75">
      <c r="A104" s="2719" t="s">
        <v>1053</v>
      </c>
      <c r="B104" s="2720">
        <v>210000000000</v>
      </c>
      <c r="C104" s="2721">
        <v>0.27600000000000002</v>
      </c>
      <c r="D104" s="2720">
        <v>7800</v>
      </c>
      <c r="E104" s="2722">
        <v>82300000000</v>
      </c>
      <c r="F104" s="2722">
        <v>785000000</v>
      </c>
      <c r="G104" s="2723">
        <f t="shared" si="2"/>
        <v>785</v>
      </c>
      <c r="H104" s="2722">
        <v>635000000</v>
      </c>
      <c r="I104" s="2723">
        <f t="shared" si="3"/>
        <v>635</v>
      </c>
      <c r="J104" s="2722">
        <v>1.29E-5</v>
      </c>
      <c r="K104" s="2722">
        <v>460</v>
      </c>
      <c r="L104" s="2729">
        <v>44</v>
      </c>
    </row>
    <row r="105" spans="1:12" ht="15.75">
      <c r="A105" s="2724" t="s">
        <v>1054</v>
      </c>
      <c r="B105" s="2725">
        <v>193000000000</v>
      </c>
      <c r="C105" s="2726">
        <v>0.26</v>
      </c>
      <c r="D105" s="2725">
        <v>7780</v>
      </c>
      <c r="E105" s="2727">
        <v>81000000000</v>
      </c>
      <c r="F105" s="2727">
        <v>1988000000</v>
      </c>
      <c r="G105" s="2728">
        <f t="shared" si="2"/>
        <v>1988</v>
      </c>
      <c r="H105" s="2727">
        <v>1945000000</v>
      </c>
      <c r="I105" s="2728">
        <f t="shared" si="3"/>
        <v>1945</v>
      </c>
      <c r="J105" s="2727">
        <v>1.2500000000000001E-5</v>
      </c>
      <c r="K105" s="2727">
        <v>460</v>
      </c>
      <c r="L105" s="2730">
        <v>44</v>
      </c>
    </row>
    <row r="106" spans="1:12" ht="15.75">
      <c r="A106" s="2719" t="s">
        <v>1055</v>
      </c>
      <c r="B106" s="2720">
        <v>205000000000</v>
      </c>
      <c r="C106" s="2721">
        <v>0.26500000000000001</v>
      </c>
      <c r="D106" s="2720">
        <v>7730</v>
      </c>
      <c r="E106" s="2722">
        <v>81000000000</v>
      </c>
      <c r="F106" s="2722">
        <v>1090000000</v>
      </c>
      <c r="G106" s="2723">
        <f t="shared" si="2"/>
        <v>1090</v>
      </c>
      <c r="H106" s="2722">
        <v>598000000</v>
      </c>
      <c r="I106" s="2723">
        <f t="shared" si="3"/>
        <v>598</v>
      </c>
      <c r="J106" s="2722">
        <v>1.6799999999999998E-5</v>
      </c>
      <c r="K106" s="2722">
        <v>460</v>
      </c>
      <c r="L106" s="2729">
        <v>44</v>
      </c>
    </row>
    <row r="107" spans="1:12" ht="15.75">
      <c r="A107" s="2724" t="s">
        <v>1056</v>
      </c>
      <c r="B107" s="2725">
        <v>198000000000</v>
      </c>
      <c r="C107" s="2726">
        <v>0.27</v>
      </c>
      <c r="D107" s="2725">
        <v>7730</v>
      </c>
      <c r="E107" s="2727">
        <v>77600000000</v>
      </c>
      <c r="F107" s="2727">
        <v>870000000</v>
      </c>
      <c r="G107" s="2728">
        <f t="shared" si="2"/>
        <v>870</v>
      </c>
      <c r="H107" s="2727">
        <v>464000000</v>
      </c>
      <c r="I107" s="2728">
        <f t="shared" si="3"/>
        <v>464</v>
      </c>
      <c r="J107" s="2727">
        <v>1.8499999999999999E-5</v>
      </c>
      <c r="K107" s="2727">
        <v>460</v>
      </c>
      <c r="L107" s="2730">
        <v>44</v>
      </c>
    </row>
    <row r="108" spans="1:12" ht="15.75">
      <c r="A108" s="2719" t="s">
        <v>1057</v>
      </c>
      <c r="B108" s="2720">
        <v>208000000000</v>
      </c>
      <c r="C108" s="2721">
        <v>0.29499999999999998</v>
      </c>
      <c r="D108" s="2720">
        <v>7870</v>
      </c>
      <c r="E108" s="2722">
        <v>80900000000</v>
      </c>
      <c r="F108" s="2722">
        <v>980000000</v>
      </c>
      <c r="G108" s="2723">
        <f t="shared" si="2"/>
        <v>980</v>
      </c>
      <c r="H108" s="2722">
        <v>785000000</v>
      </c>
      <c r="I108" s="2723">
        <f t="shared" si="3"/>
        <v>785</v>
      </c>
      <c r="J108" s="2722">
        <v>1.2799999999999999E-5</v>
      </c>
      <c r="K108" s="2722">
        <v>460</v>
      </c>
      <c r="L108" s="2729">
        <v>44</v>
      </c>
    </row>
    <row r="109" spans="1:12" ht="15.75">
      <c r="A109" s="2724" t="s">
        <v>1058</v>
      </c>
      <c r="B109" s="2725">
        <v>210000000000</v>
      </c>
      <c r="C109" s="2726">
        <v>0.27500000000000002</v>
      </c>
      <c r="D109" s="2725">
        <v>7870</v>
      </c>
      <c r="E109" s="2727">
        <v>85000000000</v>
      </c>
      <c r="F109" s="2727">
        <v>1150000000</v>
      </c>
      <c r="G109" s="2728">
        <f t="shared" si="2"/>
        <v>1150</v>
      </c>
      <c r="H109" s="2727">
        <v>835000000</v>
      </c>
      <c r="I109" s="2728">
        <f t="shared" si="3"/>
        <v>835</v>
      </c>
      <c r="J109" s="2727">
        <v>1.0720000000000001E-5</v>
      </c>
      <c r="K109" s="2727">
        <v>460</v>
      </c>
      <c r="L109" s="2730">
        <v>44</v>
      </c>
    </row>
    <row r="110" spans="1:12" ht="15.75">
      <c r="A110" s="2719" t="s">
        <v>1059</v>
      </c>
      <c r="B110" s="2720">
        <v>216000000000</v>
      </c>
      <c r="C110" s="2721">
        <v>0.27</v>
      </c>
      <c r="D110" s="2720">
        <v>7840</v>
      </c>
      <c r="E110" s="2722">
        <v>84400000000</v>
      </c>
      <c r="F110" s="2722">
        <v>885000000</v>
      </c>
      <c r="G110" s="2723">
        <f t="shared" si="2"/>
        <v>885</v>
      </c>
      <c r="H110" s="2722">
        <v>735000000</v>
      </c>
      <c r="I110" s="2723">
        <f t="shared" si="3"/>
        <v>735</v>
      </c>
      <c r="J110" s="2722">
        <v>1.0380000000000001E-5</v>
      </c>
      <c r="K110" s="2722">
        <v>460</v>
      </c>
      <c r="L110" s="2729">
        <v>44</v>
      </c>
    </row>
    <row r="111" spans="1:12" ht="15.75">
      <c r="A111" s="2724" t="s">
        <v>1060</v>
      </c>
      <c r="B111" s="2725">
        <v>214000000000</v>
      </c>
      <c r="C111" s="2726">
        <v>0.28000000000000003</v>
      </c>
      <c r="D111" s="2725">
        <v>7870</v>
      </c>
      <c r="E111" s="2727">
        <v>82900000000</v>
      </c>
      <c r="F111" s="2727">
        <v>1150000000</v>
      </c>
      <c r="G111" s="2728">
        <f t="shared" si="2"/>
        <v>1150</v>
      </c>
      <c r="H111" s="2727">
        <v>835000000</v>
      </c>
      <c r="I111" s="2728">
        <f t="shared" si="3"/>
        <v>835</v>
      </c>
      <c r="J111" s="2727">
        <v>1.2E-5</v>
      </c>
      <c r="K111" s="2727">
        <v>460</v>
      </c>
      <c r="L111" s="2730">
        <v>44</v>
      </c>
    </row>
    <row r="112" spans="1:12" ht="15.75">
      <c r="A112" s="2719" t="s">
        <v>1061</v>
      </c>
      <c r="B112" s="2720">
        <v>204000000000</v>
      </c>
      <c r="C112" s="2721">
        <v>0.28599999999999998</v>
      </c>
      <c r="D112" s="2720">
        <v>7860</v>
      </c>
      <c r="E112" s="2722">
        <v>79400000000</v>
      </c>
      <c r="F112" s="2722">
        <v>1150000000</v>
      </c>
      <c r="G112" s="2723">
        <f t="shared" si="2"/>
        <v>1150</v>
      </c>
      <c r="H112" s="2722">
        <v>835000000</v>
      </c>
      <c r="I112" s="2723">
        <f t="shared" si="3"/>
        <v>835</v>
      </c>
      <c r="J112" s="2722">
        <v>1.17E-5</v>
      </c>
      <c r="K112" s="2722">
        <v>460</v>
      </c>
      <c r="L112" s="2729">
        <v>44</v>
      </c>
    </row>
    <row r="113" spans="1:12" ht="15.75">
      <c r="A113" s="2724" t="s">
        <v>1062</v>
      </c>
      <c r="B113" s="2725">
        <v>209000000000</v>
      </c>
      <c r="C113" s="2726">
        <v>0.29499999999999998</v>
      </c>
      <c r="D113" s="2725">
        <v>7870</v>
      </c>
      <c r="E113" s="2727">
        <v>80700000000</v>
      </c>
      <c r="F113" s="2727">
        <v>980000000</v>
      </c>
      <c r="G113" s="2728">
        <f t="shared" si="2"/>
        <v>980</v>
      </c>
      <c r="H113" s="2727">
        <v>800000000</v>
      </c>
      <c r="I113" s="2728">
        <f t="shared" si="3"/>
        <v>800</v>
      </c>
      <c r="J113" s="2727">
        <v>1.2799999999999999E-5</v>
      </c>
      <c r="K113" s="2727">
        <v>460</v>
      </c>
      <c r="L113" s="2730">
        <v>44</v>
      </c>
    </row>
    <row r="114" spans="1:12" ht="15.75">
      <c r="A114" s="2719" t="s">
        <v>1063</v>
      </c>
      <c r="B114" s="2720">
        <v>209000000000</v>
      </c>
      <c r="C114" s="2721">
        <v>0.29499999999999998</v>
      </c>
      <c r="D114" s="2720">
        <v>7870</v>
      </c>
      <c r="E114" s="2722">
        <v>80700000000</v>
      </c>
      <c r="F114" s="2722">
        <v>980000000</v>
      </c>
      <c r="G114" s="2723">
        <f t="shared" si="2"/>
        <v>980</v>
      </c>
      <c r="H114" s="2722">
        <v>835000000</v>
      </c>
      <c r="I114" s="2723">
        <f t="shared" si="3"/>
        <v>835</v>
      </c>
      <c r="J114" s="2722">
        <v>1.2799999999999999E-5</v>
      </c>
      <c r="K114" s="2722">
        <v>460</v>
      </c>
      <c r="L114" s="2729">
        <v>44</v>
      </c>
    </row>
    <row r="115" spans="1:12" ht="15.75">
      <c r="A115" s="2724" t="s">
        <v>1064</v>
      </c>
      <c r="B115" s="2725">
        <v>214000000000</v>
      </c>
      <c r="C115" s="2726">
        <v>0.28999999999999998</v>
      </c>
      <c r="D115" s="2725">
        <v>7830</v>
      </c>
      <c r="E115" s="2727">
        <v>82800000000</v>
      </c>
      <c r="F115" s="2727">
        <v>1553000000</v>
      </c>
      <c r="G115" s="2728">
        <f t="shared" si="2"/>
        <v>1553</v>
      </c>
      <c r="H115" s="2727">
        <v>1374000000</v>
      </c>
      <c r="I115" s="2728">
        <f t="shared" si="3"/>
        <v>1374</v>
      </c>
      <c r="J115" s="2727">
        <v>1.2109999999999999E-5</v>
      </c>
      <c r="K115" s="2727">
        <v>460</v>
      </c>
      <c r="L115" s="2730">
        <v>44</v>
      </c>
    </row>
    <row r="116" spans="1:12" ht="15.75">
      <c r="A116" s="2719" t="s">
        <v>1065</v>
      </c>
      <c r="B116" s="2720">
        <v>214000000000</v>
      </c>
      <c r="C116" s="2721">
        <v>0.28999999999999998</v>
      </c>
      <c r="D116" s="2720">
        <v>7830</v>
      </c>
      <c r="E116" s="2722">
        <v>82800000000</v>
      </c>
      <c r="F116" s="2722">
        <v>1470000000</v>
      </c>
      <c r="G116" s="2723">
        <f t="shared" si="2"/>
        <v>1470</v>
      </c>
      <c r="H116" s="2722">
        <v>1325000000</v>
      </c>
      <c r="I116" s="2723">
        <f t="shared" si="3"/>
        <v>1325</v>
      </c>
      <c r="J116" s="2722">
        <v>1.2109999999999999E-5</v>
      </c>
      <c r="K116" s="2722">
        <v>460</v>
      </c>
      <c r="L116" s="2729">
        <v>44</v>
      </c>
    </row>
    <row r="117" spans="1:12" ht="15.75">
      <c r="A117" s="2724" t="s">
        <v>1066</v>
      </c>
      <c r="B117" s="2725">
        <v>201000000000</v>
      </c>
      <c r="C117" s="2726">
        <v>0.29099999999999998</v>
      </c>
      <c r="D117" s="2725">
        <v>7830</v>
      </c>
      <c r="E117" s="2727">
        <v>79800000000</v>
      </c>
      <c r="F117" s="2727">
        <v>1250000000</v>
      </c>
      <c r="G117" s="2728">
        <f t="shared" si="2"/>
        <v>1250</v>
      </c>
      <c r="H117" s="2727">
        <v>1050000000</v>
      </c>
      <c r="I117" s="2728">
        <f t="shared" si="3"/>
        <v>1050</v>
      </c>
      <c r="J117" s="2727">
        <v>1.11E-5</v>
      </c>
      <c r="K117" s="2727">
        <v>0</v>
      </c>
      <c r="L117" s="2730">
        <v>0</v>
      </c>
    </row>
    <row r="118" spans="1:12" ht="15.75">
      <c r="A118" s="2719" t="s">
        <v>1067</v>
      </c>
      <c r="B118" s="2720">
        <v>220000000000</v>
      </c>
      <c r="C118" s="2721">
        <v>0.28999999999999998</v>
      </c>
      <c r="D118" s="2720">
        <v>7780</v>
      </c>
      <c r="E118" s="2722">
        <v>85000000000</v>
      </c>
      <c r="F118" s="2722">
        <v>1250000000</v>
      </c>
      <c r="G118" s="2723">
        <f t="shared" si="2"/>
        <v>1250</v>
      </c>
      <c r="H118" s="2722">
        <v>1050000000</v>
      </c>
      <c r="I118" s="2723">
        <f t="shared" si="3"/>
        <v>1050</v>
      </c>
      <c r="J118" s="2722">
        <v>1.17E-5</v>
      </c>
      <c r="K118" s="2722">
        <v>0</v>
      </c>
      <c r="L118" s="2729">
        <v>0</v>
      </c>
    </row>
    <row r="119" spans="1:12" ht="15.75">
      <c r="A119" s="2724" t="s">
        <v>1068</v>
      </c>
      <c r="B119" s="2725">
        <v>216000000000</v>
      </c>
      <c r="C119" s="2726">
        <v>0.28299999999999997</v>
      </c>
      <c r="D119" s="2725">
        <v>7870</v>
      </c>
      <c r="E119" s="2727">
        <v>84200000000</v>
      </c>
      <c r="F119" s="2727">
        <v>1250000000</v>
      </c>
      <c r="G119" s="2728">
        <f t="shared" si="2"/>
        <v>1250</v>
      </c>
      <c r="H119" s="2727">
        <v>1050000000</v>
      </c>
      <c r="I119" s="2728">
        <f t="shared" si="3"/>
        <v>1050</v>
      </c>
      <c r="J119" s="2727">
        <v>1.22E-5</v>
      </c>
      <c r="K119" s="2727">
        <v>0</v>
      </c>
      <c r="L119" s="2730">
        <v>0</v>
      </c>
    </row>
    <row r="120" spans="1:12" ht="15.75">
      <c r="A120" s="2719" t="s">
        <v>1069</v>
      </c>
      <c r="B120" s="2720">
        <v>214000000000</v>
      </c>
      <c r="C120" s="2721">
        <v>0.28599999999999998</v>
      </c>
      <c r="D120" s="2720">
        <v>7860</v>
      </c>
      <c r="E120" s="2722">
        <v>83500000000</v>
      </c>
      <c r="F120" s="2722">
        <v>450000000</v>
      </c>
      <c r="G120" s="2723">
        <f t="shared" si="2"/>
        <v>450</v>
      </c>
      <c r="H120" s="2722">
        <v>255000000</v>
      </c>
      <c r="I120" s="2723">
        <f t="shared" si="3"/>
        <v>255</v>
      </c>
      <c r="J120" s="2722">
        <v>1.3030000000000001E-5</v>
      </c>
      <c r="K120" s="2722">
        <v>0</v>
      </c>
      <c r="L120" s="2729">
        <v>0</v>
      </c>
    </row>
    <row r="121" spans="1:12" ht="15.75">
      <c r="A121" s="2724" t="s">
        <v>1070</v>
      </c>
      <c r="B121" s="2725">
        <v>210000000000</v>
      </c>
      <c r="C121" s="2726">
        <v>0.27</v>
      </c>
      <c r="D121" s="2725">
        <v>7830</v>
      </c>
      <c r="E121" s="2727">
        <v>82000000000</v>
      </c>
      <c r="F121" s="2727">
        <v>1250000000</v>
      </c>
      <c r="G121" s="2728">
        <f t="shared" si="2"/>
        <v>1250</v>
      </c>
      <c r="H121" s="2727">
        <v>1050000000</v>
      </c>
      <c r="I121" s="2728">
        <f t="shared" si="3"/>
        <v>1050</v>
      </c>
      <c r="J121" s="2727">
        <v>1.269E-5</v>
      </c>
      <c r="K121" s="2727">
        <v>0</v>
      </c>
      <c r="L121" s="2730">
        <v>0</v>
      </c>
    </row>
    <row r="122" spans="1:12" ht="15.75">
      <c r="A122" s="2719" t="s">
        <v>1071</v>
      </c>
      <c r="B122" s="2720">
        <v>218000000000</v>
      </c>
      <c r="C122" s="2721">
        <v>0.27</v>
      </c>
      <c r="D122" s="2720">
        <v>7780</v>
      </c>
      <c r="E122" s="2722">
        <v>86100000000</v>
      </c>
      <c r="F122" s="2722">
        <v>1250000000</v>
      </c>
      <c r="G122" s="2723">
        <f t="shared" si="2"/>
        <v>1250</v>
      </c>
      <c r="H122" s="2722">
        <v>1050000000</v>
      </c>
      <c r="I122" s="2723">
        <f t="shared" si="3"/>
        <v>1050</v>
      </c>
      <c r="J122" s="2722">
        <v>1.216E-5</v>
      </c>
      <c r="K122" s="2722">
        <v>0</v>
      </c>
      <c r="L122" s="2729">
        <v>0</v>
      </c>
    </row>
    <row r="123" spans="1:12" ht="15.75">
      <c r="A123" s="2724" t="s">
        <v>1072</v>
      </c>
      <c r="B123" s="2725">
        <v>212000000000</v>
      </c>
      <c r="C123" s="2726">
        <v>0.31</v>
      </c>
      <c r="D123" s="2725">
        <v>7840</v>
      </c>
      <c r="E123" s="2727">
        <v>80900000000</v>
      </c>
      <c r="F123" s="2727">
        <v>930000000</v>
      </c>
      <c r="G123" s="2728">
        <f t="shared" si="2"/>
        <v>930</v>
      </c>
      <c r="H123" s="2727">
        <v>685000000</v>
      </c>
      <c r="I123" s="2728">
        <f t="shared" si="3"/>
        <v>685</v>
      </c>
      <c r="J123" s="2727">
        <v>1.19E-5</v>
      </c>
      <c r="K123" s="2727">
        <v>0</v>
      </c>
      <c r="L123" s="2730">
        <v>0</v>
      </c>
    </row>
    <row r="124" spans="1:12" ht="15.75">
      <c r="A124" s="2719" t="s">
        <v>1073</v>
      </c>
      <c r="B124" s="2720">
        <v>207000000000</v>
      </c>
      <c r="C124" s="2721">
        <v>0.29799999999999999</v>
      </c>
      <c r="D124" s="2720">
        <v>7840</v>
      </c>
      <c r="E124" s="2722">
        <v>79700000000</v>
      </c>
      <c r="F124" s="2722">
        <v>1080000000</v>
      </c>
      <c r="G124" s="2723">
        <f t="shared" si="2"/>
        <v>1080</v>
      </c>
      <c r="H124" s="2722">
        <v>835000000</v>
      </c>
      <c r="I124" s="2723">
        <f t="shared" si="3"/>
        <v>835</v>
      </c>
      <c r="J124" s="2722">
        <v>1.289E-5</v>
      </c>
      <c r="K124" s="2722">
        <v>0</v>
      </c>
      <c r="L124" s="2729">
        <v>0</v>
      </c>
    </row>
    <row r="125" spans="1:12" ht="15.75">
      <c r="A125" s="2724" t="s">
        <v>1074</v>
      </c>
      <c r="B125" s="2725">
        <v>207000000000</v>
      </c>
      <c r="C125" s="2726">
        <v>0.29799999999999999</v>
      </c>
      <c r="D125" s="2725">
        <v>7840</v>
      </c>
      <c r="E125" s="2727">
        <v>79700000000</v>
      </c>
      <c r="F125" s="2727">
        <v>1080000000</v>
      </c>
      <c r="G125" s="2728">
        <f t="shared" si="2"/>
        <v>1080</v>
      </c>
      <c r="H125" s="2727">
        <v>835000000</v>
      </c>
      <c r="I125" s="2728">
        <f t="shared" si="3"/>
        <v>835</v>
      </c>
      <c r="J125" s="2727">
        <v>1.289E-5</v>
      </c>
      <c r="K125" s="2727">
        <v>0</v>
      </c>
      <c r="L125" s="2730">
        <v>0</v>
      </c>
    </row>
    <row r="126" spans="1:12" ht="15.75">
      <c r="A126" s="2719" t="s">
        <v>1075</v>
      </c>
      <c r="B126" s="2720">
        <v>207000000000</v>
      </c>
      <c r="C126" s="2721">
        <v>0.29799999999999999</v>
      </c>
      <c r="D126" s="2720">
        <v>7840</v>
      </c>
      <c r="E126" s="2722">
        <v>79700000000</v>
      </c>
      <c r="F126" s="2722">
        <v>1080000000</v>
      </c>
      <c r="G126" s="2723">
        <f t="shared" si="2"/>
        <v>1080</v>
      </c>
      <c r="H126" s="2722">
        <v>835000000</v>
      </c>
      <c r="I126" s="2723">
        <f t="shared" si="3"/>
        <v>835</v>
      </c>
      <c r="J126" s="2722">
        <v>1.289E-5</v>
      </c>
      <c r="K126" s="2722">
        <v>0</v>
      </c>
      <c r="L126" s="2729">
        <v>0</v>
      </c>
    </row>
    <row r="127" spans="1:12" ht="15.75">
      <c r="A127" s="2724" t="s">
        <v>1076</v>
      </c>
      <c r="B127" s="2725">
        <v>184000000000</v>
      </c>
      <c r="C127" s="2726">
        <v>0.24299999999999999</v>
      </c>
      <c r="D127" s="2725">
        <v>7920</v>
      </c>
      <c r="E127" s="2727">
        <v>74000000000</v>
      </c>
      <c r="F127" s="2727">
        <v>1250000000</v>
      </c>
      <c r="G127" s="2728">
        <f t="shared" si="2"/>
        <v>1250</v>
      </c>
      <c r="H127" s="2727">
        <v>1050000000</v>
      </c>
      <c r="I127" s="2728">
        <f t="shared" si="3"/>
        <v>1050</v>
      </c>
      <c r="J127" s="2727">
        <v>1.5500000000000001E-5</v>
      </c>
      <c r="K127" s="2727">
        <v>0</v>
      </c>
      <c r="L127" s="2730">
        <v>0</v>
      </c>
    </row>
    <row r="128" spans="1:12" ht="15.75">
      <c r="A128" s="2719" t="s">
        <v>1077</v>
      </c>
      <c r="B128" s="2720">
        <v>217000000000</v>
      </c>
      <c r="C128" s="2721">
        <v>0.27</v>
      </c>
      <c r="D128" s="2720">
        <v>7810</v>
      </c>
      <c r="E128" s="2722">
        <v>85100000000</v>
      </c>
      <c r="F128" s="2722">
        <v>1250000000</v>
      </c>
      <c r="G128" s="2723">
        <f t="shared" si="2"/>
        <v>1250</v>
      </c>
      <c r="H128" s="2722">
        <v>1050000000</v>
      </c>
      <c r="I128" s="2723">
        <f t="shared" si="3"/>
        <v>1050</v>
      </c>
      <c r="J128" s="2722">
        <v>1.0699999999999999E-5</v>
      </c>
      <c r="K128" s="2722">
        <v>0</v>
      </c>
      <c r="L128" s="2729">
        <v>0</v>
      </c>
    </row>
    <row r="129" spans="1:12" ht="15.75">
      <c r="A129" s="2724" t="s">
        <v>1078</v>
      </c>
      <c r="B129" s="2725">
        <v>219000000000</v>
      </c>
      <c r="C129" s="2726">
        <v>0.31</v>
      </c>
      <c r="D129" s="2725">
        <v>7750</v>
      </c>
      <c r="E129" s="2727">
        <v>79000000000</v>
      </c>
      <c r="F129" s="2727">
        <v>1250000000</v>
      </c>
      <c r="G129" s="2728">
        <f t="shared" si="2"/>
        <v>1250</v>
      </c>
      <c r="H129" s="2727">
        <v>1050000000</v>
      </c>
      <c r="I129" s="2728">
        <f t="shared" si="3"/>
        <v>1050</v>
      </c>
      <c r="J129" s="2727">
        <v>1.04E-5</v>
      </c>
      <c r="K129" s="2727">
        <v>0</v>
      </c>
      <c r="L129" s="2730">
        <v>0</v>
      </c>
    </row>
    <row r="130" spans="1:12" ht="15.75">
      <c r="A130" s="2719" t="s">
        <v>1079</v>
      </c>
      <c r="B130" s="2720">
        <v>216000000000</v>
      </c>
      <c r="C130" s="2721">
        <v>0.28000000000000003</v>
      </c>
      <c r="D130" s="2720">
        <v>7770</v>
      </c>
      <c r="E130" s="2722">
        <v>84100000000</v>
      </c>
      <c r="F130" s="2722">
        <v>540000000</v>
      </c>
      <c r="G130" s="2723">
        <f t="shared" si="2"/>
        <v>540</v>
      </c>
      <c r="H130" s="2722">
        <v>345000000</v>
      </c>
      <c r="I130" s="2723">
        <f t="shared" si="3"/>
        <v>345</v>
      </c>
      <c r="J130" s="2722">
        <v>1.13E-5</v>
      </c>
      <c r="K130" s="2722">
        <v>0</v>
      </c>
      <c r="L130" s="2729">
        <v>0</v>
      </c>
    </row>
    <row r="131" spans="1:12" ht="15.75">
      <c r="A131" s="2724" t="s">
        <v>1080</v>
      </c>
      <c r="B131" s="2725">
        <v>184000000000</v>
      </c>
      <c r="C131" s="2726">
        <v>0.24299999999999999</v>
      </c>
      <c r="D131" s="2725">
        <v>7920</v>
      </c>
      <c r="E131" s="2727">
        <v>74000000000</v>
      </c>
      <c r="F131" s="2727">
        <v>520000000</v>
      </c>
      <c r="G131" s="2728">
        <f t="shared" si="2"/>
        <v>520</v>
      </c>
      <c r="H131" s="2727">
        <v>250000000</v>
      </c>
      <c r="I131" s="2728">
        <f t="shared" si="3"/>
        <v>250</v>
      </c>
      <c r="J131" s="2727">
        <v>1.5500000000000001E-5</v>
      </c>
      <c r="K131" s="2727">
        <v>0</v>
      </c>
      <c r="L131" s="2730">
        <v>0</v>
      </c>
    </row>
    <row r="132" spans="1:12" ht="15.75">
      <c r="A132" s="2719" t="s">
        <v>1081</v>
      </c>
      <c r="B132" s="2720">
        <v>202000000000</v>
      </c>
      <c r="C132" s="2721">
        <v>0.27</v>
      </c>
      <c r="D132" s="2720">
        <v>7910</v>
      </c>
      <c r="E132" s="2722">
        <v>79400000000</v>
      </c>
      <c r="F132" s="2722">
        <v>1039000000</v>
      </c>
      <c r="G132" s="2723">
        <f t="shared" ref="G132:G195" si="4">F132/1000000</f>
        <v>1039</v>
      </c>
      <c r="H132" s="2722">
        <v>952000000</v>
      </c>
      <c r="I132" s="2723">
        <f t="shared" ref="I132:I195" si="5">H132/1000000</f>
        <v>952</v>
      </c>
      <c r="J132" s="2722">
        <v>1.24E-5</v>
      </c>
      <c r="K132" s="2722">
        <v>0</v>
      </c>
      <c r="L132" s="2729">
        <v>0</v>
      </c>
    </row>
    <row r="133" spans="1:12" ht="15.75">
      <c r="A133" s="2724" t="s">
        <v>1082</v>
      </c>
      <c r="B133" s="2725">
        <v>202000000000</v>
      </c>
      <c r="C133" s="2726">
        <v>0.27</v>
      </c>
      <c r="D133" s="2725">
        <v>7910</v>
      </c>
      <c r="E133" s="2727">
        <v>79400000000</v>
      </c>
      <c r="F133" s="2727">
        <v>1175000000</v>
      </c>
      <c r="G133" s="2728">
        <f t="shared" si="4"/>
        <v>1175</v>
      </c>
      <c r="H133" s="2727">
        <v>835000000</v>
      </c>
      <c r="I133" s="2728">
        <f t="shared" si="5"/>
        <v>835</v>
      </c>
      <c r="J133" s="2727">
        <v>1.24E-5</v>
      </c>
      <c r="K133" s="2727">
        <v>0</v>
      </c>
      <c r="L133" s="2730">
        <v>0</v>
      </c>
    </row>
    <row r="134" spans="1:12" ht="15.75">
      <c r="A134" s="2719" t="s">
        <v>1083</v>
      </c>
      <c r="B134" s="2720">
        <v>213000000000</v>
      </c>
      <c r="C134" s="2721">
        <v>0.27</v>
      </c>
      <c r="D134" s="2720">
        <v>7880</v>
      </c>
      <c r="E134" s="2722">
        <v>84000000000</v>
      </c>
      <c r="F134" s="2722">
        <v>1250000000</v>
      </c>
      <c r="G134" s="2723">
        <f t="shared" si="4"/>
        <v>1250</v>
      </c>
      <c r="H134" s="2722">
        <v>1050000000</v>
      </c>
      <c r="I134" s="2723">
        <f t="shared" si="5"/>
        <v>1050</v>
      </c>
      <c r="J134" s="2722">
        <v>1.234E-5</v>
      </c>
      <c r="K134" s="2722">
        <v>0</v>
      </c>
      <c r="L134" s="2729">
        <v>0</v>
      </c>
    </row>
    <row r="135" spans="1:12" ht="15.75">
      <c r="A135" s="2724" t="s">
        <v>1084</v>
      </c>
      <c r="B135" s="2725">
        <v>213000000000</v>
      </c>
      <c r="C135" s="2726">
        <v>0.27900000000000003</v>
      </c>
      <c r="D135" s="2725">
        <v>7880</v>
      </c>
      <c r="E135" s="2727">
        <v>83800000000</v>
      </c>
      <c r="F135" s="2727">
        <v>1250000000</v>
      </c>
      <c r="G135" s="2728">
        <f t="shared" si="4"/>
        <v>1250</v>
      </c>
      <c r="H135" s="2727">
        <v>1050000000</v>
      </c>
      <c r="I135" s="2728">
        <f t="shared" si="5"/>
        <v>1050</v>
      </c>
      <c r="J135" s="2727">
        <v>1.26E-5</v>
      </c>
      <c r="K135" s="2727">
        <v>0</v>
      </c>
      <c r="L135" s="2730">
        <v>0</v>
      </c>
    </row>
    <row r="136" spans="1:12" ht="15.75">
      <c r="A136" s="2719" t="s">
        <v>1085</v>
      </c>
      <c r="B136" s="2720">
        <v>218000000000</v>
      </c>
      <c r="C136" s="2721">
        <v>0.28999999999999998</v>
      </c>
      <c r="D136" s="2720">
        <v>7820</v>
      </c>
      <c r="E136" s="2722">
        <v>84100000000</v>
      </c>
      <c r="F136" s="2722">
        <v>1250000000</v>
      </c>
      <c r="G136" s="2723">
        <f t="shared" si="4"/>
        <v>1250</v>
      </c>
      <c r="H136" s="2722">
        <v>1050000000</v>
      </c>
      <c r="I136" s="2723">
        <f t="shared" si="5"/>
        <v>1050</v>
      </c>
      <c r="J136" s="2722">
        <v>1.03E-5</v>
      </c>
      <c r="K136" s="2722">
        <v>0</v>
      </c>
      <c r="L136" s="2729">
        <v>0</v>
      </c>
    </row>
    <row r="137" spans="1:12" ht="15.75">
      <c r="A137" s="2724" t="s">
        <v>1086</v>
      </c>
      <c r="B137" s="2725">
        <v>221000000000</v>
      </c>
      <c r="C137" s="2726">
        <v>0.28999999999999998</v>
      </c>
      <c r="D137" s="2725">
        <v>7770</v>
      </c>
      <c r="E137" s="2727">
        <v>86300000000</v>
      </c>
      <c r="F137" s="2727">
        <v>1250000000</v>
      </c>
      <c r="G137" s="2728">
        <f t="shared" si="4"/>
        <v>1250</v>
      </c>
      <c r="H137" s="2727">
        <v>1050000000</v>
      </c>
      <c r="I137" s="2728">
        <f t="shared" si="5"/>
        <v>1050</v>
      </c>
      <c r="J137" s="2727">
        <v>1.0000000000000001E-5</v>
      </c>
      <c r="K137" s="2727">
        <v>0</v>
      </c>
      <c r="L137" s="2730">
        <v>0</v>
      </c>
    </row>
    <row r="138" spans="1:12" ht="15.75">
      <c r="A138" s="2719" t="s">
        <v>1087</v>
      </c>
      <c r="B138" s="2720">
        <v>207000000000</v>
      </c>
      <c r="C138" s="2721">
        <v>0.28999999999999998</v>
      </c>
      <c r="D138" s="2720">
        <v>7880</v>
      </c>
      <c r="E138" s="2722">
        <v>80400000000</v>
      </c>
      <c r="F138" s="2722">
        <v>1250000000</v>
      </c>
      <c r="G138" s="2723">
        <f t="shared" si="4"/>
        <v>1250</v>
      </c>
      <c r="H138" s="2722">
        <v>1050000000</v>
      </c>
      <c r="I138" s="2723">
        <f t="shared" si="5"/>
        <v>1050</v>
      </c>
      <c r="J138" s="2722">
        <v>1.2109999999999999E-5</v>
      </c>
      <c r="K138" s="2722">
        <v>0</v>
      </c>
      <c r="L138" s="2729">
        <v>0</v>
      </c>
    </row>
    <row r="139" spans="1:12" ht="15.75">
      <c r="A139" s="2724" t="s">
        <v>1088</v>
      </c>
      <c r="B139" s="2725">
        <v>226000000000</v>
      </c>
      <c r="C139" s="2726">
        <v>0.31</v>
      </c>
      <c r="D139" s="2725">
        <v>8350</v>
      </c>
      <c r="E139" s="2727">
        <v>86000000000</v>
      </c>
      <c r="F139" s="2727">
        <v>920000000</v>
      </c>
      <c r="G139" s="2728">
        <f t="shared" si="4"/>
        <v>920</v>
      </c>
      <c r="H139" s="2727">
        <v>750000000</v>
      </c>
      <c r="I139" s="2728">
        <f t="shared" si="5"/>
        <v>750</v>
      </c>
      <c r="J139" s="2727">
        <v>1.2099999999999999E-5</v>
      </c>
      <c r="K139" s="2727">
        <v>0</v>
      </c>
      <c r="L139" s="2730">
        <v>0</v>
      </c>
    </row>
    <row r="140" spans="1:12" ht="15.75">
      <c r="A140" s="2719" t="s">
        <v>1089</v>
      </c>
      <c r="B140" s="2720">
        <v>211000000000</v>
      </c>
      <c r="C140" s="2721">
        <v>0.28000000000000003</v>
      </c>
      <c r="D140" s="2720">
        <v>7890</v>
      </c>
      <c r="E140" s="2722">
        <v>82600000000</v>
      </c>
      <c r="F140" s="2722">
        <v>1313000000</v>
      </c>
      <c r="G140" s="2723">
        <f t="shared" si="4"/>
        <v>1313</v>
      </c>
      <c r="H140" s="2722">
        <v>1187000000</v>
      </c>
      <c r="I140" s="2723">
        <f t="shared" si="5"/>
        <v>1187</v>
      </c>
      <c r="J140" s="2722">
        <v>1.259E-5</v>
      </c>
      <c r="K140" s="2722">
        <v>460</v>
      </c>
      <c r="L140" s="2729">
        <v>44</v>
      </c>
    </row>
    <row r="141" spans="1:12" ht="15.75">
      <c r="A141" s="2724" t="s">
        <v>1090</v>
      </c>
      <c r="B141" s="2725">
        <v>208000000000</v>
      </c>
      <c r="C141" s="2726">
        <v>0.26</v>
      </c>
      <c r="D141" s="2725">
        <v>7850</v>
      </c>
      <c r="E141" s="2727">
        <v>82000000000</v>
      </c>
      <c r="F141" s="2727">
        <v>785000000</v>
      </c>
      <c r="G141" s="2728">
        <f t="shared" si="4"/>
        <v>785</v>
      </c>
      <c r="H141" s="2727">
        <v>450000000</v>
      </c>
      <c r="I141" s="2728">
        <f t="shared" si="5"/>
        <v>450</v>
      </c>
      <c r="J141" s="2727">
        <v>1.3699999999999999E-5</v>
      </c>
      <c r="K141" s="2727">
        <v>450</v>
      </c>
      <c r="L141" s="2730">
        <v>48</v>
      </c>
    </row>
    <row r="142" spans="1:12" ht="15.75">
      <c r="A142" s="2719" t="s">
        <v>1091</v>
      </c>
      <c r="B142" s="2720">
        <v>212000000000</v>
      </c>
      <c r="C142" s="2721">
        <v>0.31</v>
      </c>
      <c r="D142" s="2720">
        <v>7870</v>
      </c>
      <c r="E142" s="2722">
        <v>80700000000</v>
      </c>
      <c r="F142" s="2722">
        <v>785000000</v>
      </c>
      <c r="G142" s="2723">
        <f t="shared" si="4"/>
        <v>785</v>
      </c>
      <c r="H142" s="2722">
        <v>450000000</v>
      </c>
      <c r="I142" s="2723">
        <f t="shared" si="5"/>
        <v>450</v>
      </c>
      <c r="J142" s="2722">
        <v>1.2799999999999999E-5</v>
      </c>
      <c r="K142" s="2722">
        <v>450</v>
      </c>
      <c r="L142" s="2729">
        <v>48</v>
      </c>
    </row>
    <row r="143" spans="1:12" ht="15.75">
      <c r="A143" s="2724" t="s">
        <v>1092</v>
      </c>
      <c r="B143" s="2725">
        <v>209000000000</v>
      </c>
      <c r="C143" s="2726">
        <v>0.28000000000000003</v>
      </c>
      <c r="D143" s="2725">
        <v>7850</v>
      </c>
      <c r="E143" s="2727">
        <v>82000000000</v>
      </c>
      <c r="F143" s="2727">
        <v>785000000</v>
      </c>
      <c r="G143" s="2728">
        <f t="shared" si="4"/>
        <v>785</v>
      </c>
      <c r="H143" s="2727">
        <v>450000000</v>
      </c>
      <c r="I143" s="2728">
        <f t="shared" si="5"/>
        <v>450</v>
      </c>
      <c r="J143" s="2727">
        <v>1.26E-5</v>
      </c>
      <c r="K143" s="2727">
        <v>450</v>
      </c>
      <c r="L143" s="2730">
        <v>48</v>
      </c>
    </row>
    <row r="144" spans="1:12" ht="15.75">
      <c r="A144" s="2719" t="s">
        <v>1093</v>
      </c>
      <c r="B144" s="2720">
        <v>202000000000</v>
      </c>
      <c r="C144" s="2721">
        <v>0.27</v>
      </c>
      <c r="D144" s="2720">
        <v>7910</v>
      </c>
      <c r="E144" s="2722">
        <v>79400000000</v>
      </c>
      <c r="F144" s="2722">
        <v>559000000</v>
      </c>
      <c r="G144" s="2723">
        <f t="shared" si="4"/>
        <v>559</v>
      </c>
      <c r="H144" s="2722">
        <v>382000000</v>
      </c>
      <c r="I144" s="2723">
        <f t="shared" si="5"/>
        <v>382</v>
      </c>
      <c r="J144" s="2722">
        <v>1.24E-5</v>
      </c>
      <c r="K144" s="2722">
        <v>450</v>
      </c>
      <c r="L144" s="2729">
        <v>48</v>
      </c>
    </row>
    <row r="145" spans="1:12" ht="15.75">
      <c r="A145" s="2724" t="s">
        <v>1094</v>
      </c>
      <c r="B145" s="2725">
        <v>206000000000</v>
      </c>
      <c r="C145" s="2726">
        <v>0.3</v>
      </c>
      <c r="D145" s="2725">
        <v>7650</v>
      </c>
      <c r="E145" s="2727">
        <v>79300000000</v>
      </c>
      <c r="F145" s="2727">
        <v>835000000</v>
      </c>
      <c r="G145" s="2728">
        <f t="shared" si="4"/>
        <v>835</v>
      </c>
      <c r="H145" s="2727">
        <v>685000000</v>
      </c>
      <c r="I145" s="2728">
        <f t="shared" si="5"/>
        <v>685</v>
      </c>
      <c r="J145" s="2727">
        <v>1.22E-5</v>
      </c>
      <c r="K145" s="2727">
        <v>450</v>
      </c>
      <c r="L145" s="2730">
        <v>48</v>
      </c>
    </row>
    <row r="146" spans="1:12" ht="15.75">
      <c r="A146" s="2719" t="s">
        <v>1095</v>
      </c>
      <c r="B146" s="2720">
        <v>209000000000</v>
      </c>
      <c r="C146" s="2721">
        <v>0.28000000000000003</v>
      </c>
      <c r="D146" s="2720">
        <v>7870</v>
      </c>
      <c r="E146" s="2722">
        <v>81400000000</v>
      </c>
      <c r="F146" s="2722">
        <v>980000000</v>
      </c>
      <c r="G146" s="2723">
        <f t="shared" si="4"/>
        <v>980</v>
      </c>
      <c r="H146" s="2722">
        <v>785000000</v>
      </c>
      <c r="I146" s="2723">
        <f t="shared" si="5"/>
        <v>785</v>
      </c>
      <c r="J146" s="2722">
        <v>1.22E-5</v>
      </c>
      <c r="K146" s="2722">
        <v>450</v>
      </c>
      <c r="L146" s="2729">
        <v>48</v>
      </c>
    </row>
    <row r="147" spans="1:12" ht="15.75">
      <c r="A147" s="2724" t="s">
        <v>1096</v>
      </c>
      <c r="B147" s="2725">
        <v>209000000000</v>
      </c>
      <c r="C147" s="2726">
        <v>0.28000000000000003</v>
      </c>
      <c r="D147" s="2725">
        <v>7870</v>
      </c>
      <c r="E147" s="2727">
        <v>81400000000</v>
      </c>
      <c r="F147" s="2727">
        <v>980000000</v>
      </c>
      <c r="G147" s="2728">
        <f t="shared" si="4"/>
        <v>980</v>
      </c>
      <c r="H147" s="2727">
        <v>785000000</v>
      </c>
      <c r="I147" s="2728">
        <f t="shared" si="5"/>
        <v>785</v>
      </c>
      <c r="J147" s="2727">
        <v>1.22E-5</v>
      </c>
      <c r="K147" s="2727">
        <v>450</v>
      </c>
      <c r="L147" s="2730">
        <v>48</v>
      </c>
    </row>
    <row r="148" spans="1:12" ht="15.75">
      <c r="A148" s="2719" t="s">
        <v>1097</v>
      </c>
      <c r="B148" s="2720">
        <v>209000000000</v>
      </c>
      <c r="C148" s="2721">
        <v>0.28000000000000003</v>
      </c>
      <c r="D148" s="2720">
        <v>7870</v>
      </c>
      <c r="E148" s="2722">
        <v>81400000000</v>
      </c>
      <c r="F148" s="2722">
        <v>980000000</v>
      </c>
      <c r="G148" s="2723">
        <f t="shared" si="4"/>
        <v>980</v>
      </c>
      <c r="H148" s="2722">
        <v>785000000</v>
      </c>
      <c r="I148" s="2723">
        <f t="shared" si="5"/>
        <v>785</v>
      </c>
      <c r="J148" s="2722">
        <v>1.22E-5</v>
      </c>
      <c r="K148" s="2722">
        <v>450</v>
      </c>
      <c r="L148" s="2729">
        <v>48</v>
      </c>
    </row>
    <row r="149" spans="1:12" ht="15.75">
      <c r="A149" s="2724" t="s">
        <v>1098</v>
      </c>
      <c r="B149" s="2725">
        <v>204000000000</v>
      </c>
      <c r="C149" s="2726">
        <v>0.23</v>
      </c>
      <c r="D149" s="2725">
        <v>7800</v>
      </c>
      <c r="E149" s="2727">
        <v>82800000000</v>
      </c>
      <c r="F149" s="2727">
        <v>885000000</v>
      </c>
      <c r="G149" s="2728">
        <f t="shared" si="4"/>
        <v>885</v>
      </c>
      <c r="H149" s="2727">
        <v>735000000</v>
      </c>
      <c r="I149" s="2728">
        <f t="shared" si="5"/>
        <v>735</v>
      </c>
      <c r="J149" s="2727">
        <v>1.13E-5</v>
      </c>
      <c r="K149" s="2727">
        <v>450</v>
      </c>
      <c r="L149" s="2730">
        <v>48</v>
      </c>
    </row>
    <row r="150" spans="1:12" ht="15.75">
      <c r="A150" s="2719" t="s">
        <v>1099</v>
      </c>
      <c r="B150" s="2720">
        <v>209000000000</v>
      </c>
      <c r="C150" s="2721">
        <v>0.28000000000000003</v>
      </c>
      <c r="D150" s="2720">
        <v>7810</v>
      </c>
      <c r="E150" s="2722">
        <v>82100000000</v>
      </c>
      <c r="F150" s="2722">
        <v>1482000000</v>
      </c>
      <c r="G150" s="2723">
        <f t="shared" si="4"/>
        <v>1482</v>
      </c>
      <c r="H150" s="2722">
        <v>1232000000</v>
      </c>
      <c r="I150" s="2723">
        <f t="shared" si="5"/>
        <v>1232</v>
      </c>
      <c r="J150" s="2722">
        <v>1.305E-5</v>
      </c>
      <c r="K150" s="2722">
        <v>450</v>
      </c>
      <c r="L150" s="2729">
        <v>48</v>
      </c>
    </row>
    <row r="151" spans="1:12" ht="15.75">
      <c r="A151" s="2724" t="s">
        <v>1100</v>
      </c>
      <c r="B151" s="2725">
        <v>210000000000</v>
      </c>
      <c r="C151" s="2726">
        <v>0.28000000000000003</v>
      </c>
      <c r="D151" s="2725">
        <v>7830</v>
      </c>
      <c r="E151" s="2727">
        <v>82000000000</v>
      </c>
      <c r="F151" s="2727">
        <v>1587000000</v>
      </c>
      <c r="G151" s="2728">
        <f t="shared" si="4"/>
        <v>1587</v>
      </c>
      <c r="H151" s="2727">
        <v>1213000000</v>
      </c>
      <c r="I151" s="2728">
        <f t="shared" si="5"/>
        <v>1213</v>
      </c>
      <c r="J151" s="2727">
        <v>1.2439999999999999E-5</v>
      </c>
      <c r="K151" s="2727">
        <v>450</v>
      </c>
      <c r="L151" s="2730">
        <v>48</v>
      </c>
    </row>
    <row r="152" spans="1:12" ht="15.75">
      <c r="A152" s="2719" t="s">
        <v>1101</v>
      </c>
      <c r="B152" s="2720">
        <v>212000000000</v>
      </c>
      <c r="C152" s="2721">
        <v>0.28000000000000003</v>
      </c>
      <c r="D152" s="2720">
        <v>7850</v>
      </c>
      <c r="E152" s="2722">
        <v>82800000000</v>
      </c>
      <c r="F152" s="2722">
        <v>1307000000</v>
      </c>
      <c r="G152" s="2723">
        <f t="shared" si="4"/>
        <v>1307</v>
      </c>
      <c r="H152" s="2722">
        <v>982000000</v>
      </c>
      <c r="I152" s="2723">
        <f t="shared" si="5"/>
        <v>982</v>
      </c>
      <c r="J152" s="2722">
        <v>1.1960000000000001E-5</v>
      </c>
      <c r="K152" s="2722">
        <v>450</v>
      </c>
      <c r="L152" s="2729">
        <v>48</v>
      </c>
    </row>
    <row r="153" spans="1:12" ht="15.75">
      <c r="A153" s="2724" t="s">
        <v>1102</v>
      </c>
      <c r="B153" s="2725">
        <v>212000000000</v>
      </c>
      <c r="C153" s="2726">
        <v>0.27</v>
      </c>
      <c r="D153" s="2725">
        <v>7900</v>
      </c>
      <c r="E153" s="2727">
        <v>83100000000</v>
      </c>
      <c r="F153" s="2727">
        <v>1080000000</v>
      </c>
      <c r="G153" s="2728">
        <f t="shared" si="4"/>
        <v>1080</v>
      </c>
      <c r="H153" s="2727">
        <v>885000000</v>
      </c>
      <c r="I153" s="2728">
        <f t="shared" si="5"/>
        <v>885</v>
      </c>
      <c r="J153" s="2727">
        <v>1.2500000000000001E-5</v>
      </c>
      <c r="K153" s="2727">
        <v>450</v>
      </c>
      <c r="L153" s="2730">
        <v>48</v>
      </c>
    </row>
    <row r="154" spans="1:12" ht="15.75">
      <c r="A154" s="2719" t="s">
        <v>1103</v>
      </c>
      <c r="B154" s="2720">
        <v>212000000000</v>
      </c>
      <c r="C154" s="2721">
        <v>0.27</v>
      </c>
      <c r="D154" s="2720">
        <v>7900</v>
      </c>
      <c r="E154" s="2722">
        <v>83100000000</v>
      </c>
      <c r="F154" s="2722">
        <v>1080000000</v>
      </c>
      <c r="G154" s="2723">
        <f t="shared" si="4"/>
        <v>1080</v>
      </c>
      <c r="H154" s="2722">
        <v>885000000</v>
      </c>
      <c r="I154" s="2723">
        <f t="shared" si="5"/>
        <v>885</v>
      </c>
      <c r="J154" s="2722">
        <v>1.2500000000000001E-5</v>
      </c>
      <c r="K154" s="2722">
        <v>450</v>
      </c>
      <c r="L154" s="2729">
        <v>48</v>
      </c>
    </row>
    <row r="155" spans="1:12" ht="15.75">
      <c r="A155" s="2724" t="s">
        <v>1104</v>
      </c>
      <c r="B155" s="2725">
        <v>212000000000</v>
      </c>
      <c r="C155" s="2726">
        <v>0.27</v>
      </c>
      <c r="D155" s="2725">
        <v>7900</v>
      </c>
      <c r="E155" s="2727">
        <v>83100000000</v>
      </c>
      <c r="F155" s="2727">
        <v>1080000000</v>
      </c>
      <c r="G155" s="2728">
        <f t="shared" si="4"/>
        <v>1080</v>
      </c>
      <c r="H155" s="2727">
        <v>885000000</v>
      </c>
      <c r="I155" s="2728">
        <f t="shared" si="5"/>
        <v>885</v>
      </c>
      <c r="J155" s="2727">
        <v>1.2500000000000001E-5</v>
      </c>
      <c r="K155" s="2727">
        <v>450</v>
      </c>
      <c r="L155" s="2730">
        <v>48</v>
      </c>
    </row>
    <row r="156" spans="1:12" ht="15.75">
      <c r="A156" s="2719" t="s">
        <v>1105</v>
      </c>
      <c r="B156" s="2720">
        <v>205000000000</v>
      </c>
      <c r="C156" s="2721">
        <v>0.25</v>
      </c>
      <c r="D156" s="2720">
        <v>7850</v>
      </c>
      <c r="E156" s="2722">
        <v>82000000000</v>
      </c>
      <c r="F156" s="2722">
        <v>785000000</v>
      </c>
      <c r="G156" s="2723">
        <f t="shared" si="4"/>
        <v>785</v>
      </c>
      <c r="H156" s="2722">
        <v>450000000</v>
      </c>
      <c r="I156" s="2723">
        <f t="shared" si="5"/>
        <v>450</v>
      </c>
      <c r="J156" s="2722">
        <v>1.0499999999999999E-5</v>
      </c>
      <c r="K156" s="2722">
        <v>450</v>
      </c>
      <c r="L156" s="2729">
        <v>48</v>
      </c>
    </row>
    <row r="157" spans="1:12" ht="15.75">
      <c r="A157" s="2724" t="s">
        <v>1106</v>
      </c>
      <c r="B157" s="2725">
        <v>207000000000</v>
      </c>
      <c r="C157" s="2726">
        <v>0.25600000000000001</v>
      </c>
      <c r="D157" s="2725">
        <v>7870</v>
      </c>
      <c r="E157" s="2727">
        <v>82600000000</v>
      </c>
      <c r="F157" s="2727">
        <v>1080000000</v>
      </c>
      <c r="G157" s="2728">
        <f t="shared" si="4"/>
        <v>1080</v>
      </c>
      <c r="H157" s="2727">
        <v>885000000</v>
      </c>
      <c r="I157" s="2728">
        <f t="shared" si="5"/>
        <v>885</v>
      </c>
      <c r="J157" s="2727">
        <v>1.1205E-5</v>
      </c>
      <c r="K157" s="2727">
        <v>450</v>
      </c>
      <c r="L157" s="2730">
        <v>48</v>
      </c>
    </row>
    <row r="158" spans="1:12" ht="15.75">
      <c r="A158" s="2719" t="s">
        <v>1107</v>
      </c>
      <c r="B158" s="2720">
        <v>207000000000</v>
      </c>
      <c r="C158" s="2721">
        <v>0.25600000000000001</v>
      </c>
      <c r="D158" s="2720">
        <v>7870</v>
      </c>
      <c r="E158" s="2722">
        <v>82600000000</v>
      </c>
      <c r="F158" s="2722">
        <v>1080000000</v>
      </c>
      <c r="G158" s="2723">
        <f t="shared" si="4"/>
        <v>1080</v>
      </c>
      <c r="H158" s="2722">
        <v>885000000</v>
      </c>
      <c r="I158" s="2723">
        <f t="shared" si="5"/>
        <v>885</v>
      </c>
      <c r="J158" s="2722">
        <v>1.1205E-5</v>
      </c>
      <c r="K158" s="2722">
        <v>450</v>
      </c>
      <c r="L158" s="2729">
        <v>48</v>
      </c>
    </row>
    <row r="159" spans="1:12" ht="15.75">
      <c r="A159" s="2724" t="s">
        <v>1108</v>
      </c>
      <c r="B159" s="2725">
        <v>207000000000</v>
      </c>
      <c r="C159" s="2726">
        <v>0.25600000000000001</v>
      </c>
      <c r="D159" s="2725">
        <v>7870</v>
      </c>
      <c r="E159" s="2727">
        <v>82600000000</v>
      </c>
      <c r="F159" s="2727">
        <v>1080000000</v>
      </c>
      <c r="G159" s="2728">
        <f t="shared" si="4"/>
        <v>1080</v>
      </c>
      <c r="H159" s="2727">
        <v>885000000</v>
      </c>
      <c r="I159" s="2728">
        <f t="shared" si="5"/>
        <v>885</v>
      </c>
      <c r="J159" s="2727">
        <v>1.1205E-5</v>
      </c>
      <c r="K159" s="2727">
        <v>450</v>
      </c>
      <c r="L159" s="2730">
        <v>48</v>
      </c>
    </row>
    <row r="160" spans="1:12" ht="15.75">
      <c r="A160" s="2719" t="s">
        <v>1109</v>
      </c>
      <c r="B160" s="2720">
        <v>206000000000</v>
      </c>
      <c r="C160" s="2721">
        <v>0.3</v>
      </c>
      <c r="D160" s="2720">
        <v>7620</v>
      </c>
      <c r="E160" s="2722">
        <v>79300000000</v>
      </c>
      <c r="F160" s="2722">
        <v>651000000</v>
      </c>
      <c r="G160" s="2723">
        <f t="shared" si="4"/>
        <v>651</v>
      </c>
      <c r="H160" s="2722">
        <v>485000000</v>
      </c>
      <c r="I160" s="2723">
        <f t="shared" si="5"/>
        <v>485</v>
      </c>
      <c r="J160" s="2722">
        <v>1.15E-5</v>
      </c>
      <c r="K160" s="2722">
        <v>450</v>
      </c>
      <c r="L160" s="2729">
        <v>48</v>
      </c>
    </row>
    <row r="161" spans="1:12" ht="15.75">
      <c r="A161" s="2724" t="s">
        <v>1110</v>
      </c>
      <c r="B161" s="2725">
        <v>213000000000</v>
      </c>
      <c r="C161" s="2726">
        <v>0.28999999999999998</v>
      </c>
      <c r="D161" s="2725">
        <v>7850</v>
      </c>
      <c r="E161" s="2727">
        <v>82000000000</v>
      </c>
      <c r="F161" s="2727">
        <v>1447000000</v>
      </c>
      <c r="G161" s="2728">
        <f t="shared" si="4"/>
        <v>1447</v>
      </c>
      <c r="H161" s="2727">
        <v>1003000000</v>
      </c>
      <c r="I161" s="2728">
        <f t="shared" si="5"/>
        <v>1003</v>
      </c>
      <c r="J161" s="2727">
        <v>1.29E-5</v>
      </c>
      <c r="K161" s="2727">
        <v>450</v>
      </c>
      <c r="L161" s="2730">
        <v>48</v>
      </c>
    </row>
    <row r="162" spans="1:12" ht="15.75">
      <c r="A162" s="2719" t="s">
        <v>1111</v>
      </c>
      <c r="B162" s="2720">
        <v>210000000000</v>
      </c>
      <c r="C162" s="2721">
        <v>0.28000000000000003</v>
      </c>
      <c r="D162" s="2720">
        <v>7830</v>
      </c>
      <c r="E162" s="2722">
        <v>81900000000</v>
      </c>
      <c r="F162" s="2722">
        <v>1250000000</v>
      </c>
      <c r="G162" s="2723">
        <f t="shared" si="4"/>
        <v>1250</v>
      </c>
      <c r="H162" s="2722">
        <v>1050000000</v>
      </c>
      <c r="I162" s="2723">
        <f t="shared" si="5"/>
        <v>1050</v>
      </c>
      <c r="J162" s="2722">
        <v>1.15E-5</v>
      </c>
      <c r="K162" s="2722">
        <v>0</v>
      </c>
      <c r="L162" s="2729">
        <v>0</v>
      </c>
    </row>
    <row r="163" spans="1:12" ht="15.75">
      <c r="A163" s="2724" t="s">
        <v>1112</v>
      </c>
      <c r="B163" s="2725">
        <v>206000000000</v>
      </c>
      <c r="C163" s="2726">
        <v>0.25</v>
      </c>
      <c r="D163" s="2725">
        <v>7870</v>
      </c>
      <c r="E163" s="2727">
        <v>82100000000</v>
      </c>
      <c r="F163" s="2727">
        <v>762000000</v>
      </c>
      <c r="G163" s="2728">
        <f t="shared" si="4"/>
        <v>762</v>
      </c>
      <c r="H163" s="2727">
        <v>522000000</v>
      </c>
      <c r="I163" s="2728">
        <f t="shared" si="5"/>
        <v>522</v>
      </c>
      <c r="J163" s="2727">
        <v>1.26E-5</v>
      </c>
      <c r="K163" s="2727">
        <v>0</v>
      </c>
      <c r="L163" s="2730">
        <v>0</v>
      </c>
    </row>
    <row r="164" spans="1:12" ht="15.75">
      <c r="A164" s="2719" t="s">
        <v>1113</v>
      </c>
      <c r="B164" s="2720">
        <v>213000000000</v>
      </c>
      <c r="C164" s="2721">
        <v>0.28299999999999997</v>
      </c>
      <c r="D164" s="2720">
        <v>7840</v>
      </c>
      <c r="E164" s="2722">
        <v>83000000000</v>
      </c>
      <c r="F164" s="2722">
        <v>885000000</v>
      </c>
      <c r="G164" s="2723">
        <f t="shared" si="4"/>
        <v>885</v>
      </c>
      <c r="H164" s="2722">
        <v>635000000</v>
      </c>
      <c r="I164" s="2723">
        <f t="shared" si="5"/>
        <v>635</v>
      </c>
      <c r="J164" s="2722">
        <v>1.27E-5</v>
      </c>
      <c r="K164" s="2722">
        <v>460</v>
      </c>
      <c r="L164" s="2729">
        <v>44</v>
      </c>
    </row>
    <row r="165" spans="1:12" ht="15.75">
      <c r="A165" s="2724" t="s">
        <v>1114</v>
      </c>
      <c r="B165" s="2725">
        <v>213000000000</v>
      </c>
      <c r="C165" s="2726">
        <v>0.28299999999999997</v>
      </c>
      <c r="D165" s="2725">
        <v>7840</v>
      </c>
      <c r="E165" s="2727">
        <v>83000000000</v>
      </c>
      <c r="F165" s="2727">
        <v>1079000000</v>
      </c>
      <c r="G165" s="2728">
        <f t="shared" si="4"/>
        <v>1079</v>
      </c>
      <c r="H165" s="2727">
        <v>883000000</v>
      </c>
      <c r="I165" s="2728">
        <f t="shared" si="5"/>
        <v>883</v>
      </c>
      <c r="J165" s="2727">
        <v>1.27E-5</v>
      </c>
      <c r="K165" s="2727">
        <v>460</v>
      </c>
      <c r="L165" s="2730">
        <v>44</v>
      </c>
    </row>
    <row r="166" spans="1:12" ht="15.75">
      <c r="A166" s="2719" t="s">
        <v>1115</v>
      </c>
      <c r="B166" s="2720">
        <v>211000000000</v>
      </c>
      <c r="C166" s="2721">
        <v>0.27</v>
      </c>
      <c r="D166" s="2720">
        <v>7830</v>
      </c>
      <c r="E166" s="2722">
        <v>83000000000</v>
      </c>
      <c r="F166" s="2722">
        <v>791000000</v>
      </c>
      <c r="G166" s="2723">
        <f t="shared" si="4"/>
        <v>791</v>
      </c>
      <c r="H166" s="2722">
        <v>585000000</v>
      </c>
      <c r="I166" s="2723">
        <f t="shared" si="5"/>
        <v>585</v>
      </c>
      <c r="J166" s="2722">
        <v>1.6399999999999999E-5</v>
      </c>
      <c r="K166" s="2722">
        <v>460</v>
      </c>
      <c r="L166" s="2729">
        <v>44</v>
      </c>
    </row>
    <row r="167" spans="1:12" ht="15.75">
      <c r="A167" s="2724" t="s">
        <v>1116</v>
      </c>
      <c r="B167" s="2725">
        <v>207000000000</v>
      </c>
      <c r="C167" s="2726">
        <v>0.27</v>
      </c>
      <c r="D167" s="2725">
        <v>7730</v>
      </c>
      <c r="E167" s="2727">
        <v>81300000000</v>
      </c>
      <c r="F167" s="2727">
        <v>1274000000</v>
      </c>
      <c r="G167" s="2728">
        <f t="shared" si="4"/>
        <v>1274</v>
      </c>
      <c r="H167" s="2727">
        <v>1176000000</v>
      </c>
      <c r="I167" s="2728">
        <f t="shared" si="5"/>
        <v>1176</v>
      </c>
      <c r="J167" s="2727">
        <v>1.184E-5</v>
      </c>
      <c r="K167" s="2727">
        <v>460</v>
      </c>
      <c r="L167" s="2730">
        <v>44</v>
      </c>
    </row>
    <row r="168" spans="1:12" ht="15.75">
      <c r="A168" s="2719" t="s">
        <v>1117</v>
      </c>
      <c r="B168" s="2720">
        <v>207000000000</v>
      </c>
      <c r="C168" s="2721">
        <v>0.27</v>
      </c>
      <c r="D168" s="2720">
        <v>7730</v>
      </c>
      <c r="E168" s="2722">
        <v>81300000000</v>
      </c>
      <c r="F168" s="2722">
        <v>1274000000</v>
      </c>
      <c r="G168" s="2723">
        <f t="shared" si="4"/>
        <v>1274</v>
      </c>
      <c r="H168" s="2722">
        <v>1176000000</v>
      </c>
      <c r="I168" s="2723">
        <f t="shared" si="5"/>
        <v>1176</v>
      </c>
      <c r="J168" s="2722">
        <v>1.184E-5</v>
      </c>
      <c r="K168" s="2722">
        <v>460</v>
      </c>
      <c r="L168" s="2729">
        <v>44</v>
      </c>
    </row>
    <row r="169" spans="1:12" ht="15.75">
      <c r="A169" s="2724" t="s">
        <v>1118</v>
      </c>
      <c r="B169" s="2725">
        <v>209000000000</v>
      </c>
      <c r="C169" s="2726">
        <v>0.28000000000000003</v>
      </c>
      <c r="D169" s="2725">
        <v>7860</v>
      </c>
      <c r="E169" s="2727">
        <v>81700000000</v>
      </c>
      <c r="F169" s="2727">
        <v>1372000000</v>
      </c>
      <c r="G169" s="2728">
        <f t="shared" si="4"/>
        <v>1372</v>
      </c>
      <c r="H169" s="2727">
        <v>1225000000</v>
      </c>
      <c r="I169" s="2728">
        <f t="shared" si="5"/>
        <v>1225</v>
      </c>
      <c r="J169" s="2727">
        <v>1.1759999999999999E-5</v>
      </c>
      <c r="K169" s="2727">
        <v>460</v>
      </c>
      <c r="L169" s="2730">
        <v>44</v>
      </c>
    </row>
    <row r="170" spans="1:12" ht="15.75">
      <c r="A170" s="2719" t="s">
        <v>1119</v>
      </c>
      <c r="B170" s="2720">
        <v>210000000000</v>
      </c>
      <c r="C170" s="2721">
        <v>0.28499999999999998</v>
      </c>
      <c r="D170" s="2720">
        <v>7730</v>
      </c>
      <c r="E170" s="2722">
        <v>81700000000</v>
      </c>
      <c r="F170" s="2722">
        <v>885000000</v>
      </c>
      <c r="G170" s="2723">
        <f t="shared" si="4"/>
        <v>885</v>
      </c>
      <c r="H170" s="2722">
        <v>685000000</v>
      </c>
      <c r="I170" s="2723">
        <f t="shared" si="5"/>
        <v>685</v>
      </c>
      <c r="J170" s="2722">
        <v>1.221E-5</v>
      </c>
      <c r="K170" s="2722">
        <v>460</v>
      </c>
      <c r="L170" s="2729">
        <v>44</v>
      </c>
    </row>
    <row r="171" spans="1:12" ht="15.75">
      <c r="A171" s="2724" t="s">
        <v>1120</v>
      </c>
      <c r="B171" s="2725">
        <v>206000000000</v>
      </c>
      <c r="C171" s="2726">
        <v>0.28999999999999998</v>
      </c>
      <c r="D171" s="2725">
        <v>7740</v>
      </c>
      <c r="E171" s="2727">
        <v>79900000000</v>
      </c>
      <c r="F171" s="2727">
        <v>1274000000</v>
      </c>
      <c r="G171" s="2728">
        <f t="shared" si="4"/>
        <v>1274</v>
      </c>
      <c r="H171" s="2727">
        <v>1176000000</v>
      </c>
      <c r="I171" s="2728">
        <f t="shared" si="5"/>
        <v>1176</v>
      </c>
      <c r="J171" s="2727">
        <v>1.26E-5</v>
      </c>
      <c r="K171" s="2727">
        <v>460</v>
      </c>
      <c r="L171" s="2730">
        <v>44</v>
      </c>
    </row>
    <row r="172" spans="1:12" ht="15.75">
      <c r="A172" s="2719" t="s">
        <v>1121</v>
      </c>
      <c r="B172" s="2720">
        <v>206000000000</v>
      </c>
      <c r="C172" s="2721">
        <v>0.28999999999999998</v>
      </c>
      <c r="D172" s="2720">
        <v>7740</v>
      </c>
      <c r="E172" s="2722">
        <v>79900000000</v>
      </c>
      <c r="F172" s="2722">
        <v>1568000000</v>
      </c>
      <c r="G172" s="2723">
        <f t="shared" si="4"/>
        <v>1568</v>
      </c>
      <c r="H172" s="2722">
        <v>1372000000</v>
      </c>
      <c r="I172" s="2723">
        <f t="shared" si="5"/>
        <v>1372</v>
      </c>
      <c r="J172" s="2722">
        <v>1.26E-5</v>
      </c>
      <c r="K172" s="2722">
        <v>460</v>
      </c>
      <c r="L172" s="2729">
        <v>44</v>
      </c>
    </row>
    <row r="173" spans="1:12" ht="15.75">
      <c r="A173" s="2724" t="s">
        <v>1122</v>
      </c>
      <c r="B173" s="2725">
        <v>209000000000</v>
      </c>
      <c r="C173" s="2726">
        <v>0.28999999999999998</v>
      </c>
      <c r="D173" s="2725">
        <v>7840</v>
      </c>
      <c r="E173" s="2727">
        <v>80900000000</v>
      </c>
      <c r="F173" s="2727">
        <v>885000000</v>
      </c>
      <c r="G173" s="2728">
        <f t="shared" si="4"/>
        <v>885</v>
      </c>
      <c r="H173" s="2727">
        <v>685000000</v>
      </c>
      <c r="I173" s="2728">
        <f t="shared" si="5"/>
        <v>685</v>
      </c>
      <c r="J173" s="2727">
        <v>1.26E-5</v>
      </c>
      <c r="K173" s="2727">
        <v>460</v>
      </c>
      <c r="L173" s="2730">
        <v>44</v>
      </c>
    </row>
    <row r="174" spans="1:12" ht="15.75">
      <c r="A174" s="2719" t="s">
        <v>1123</v>
      </c>
      <c r="B174" s="2720">
        <v>196000000000</v>
      </c>
      <c r="C174" s="2721">
        <v>0.22</v>
      </c>
      <c r="D174" s="2720">
        <v>8180</v>
      </c>
      <c r="E174" s="2722">
        <v>81000000000</v>
      </c>
      <c r="F174" s="2722">
        <v>885000000</v>
      </c>
      <c r="G174" s="2723">
        <f t="shared" si="4"/>
        <v>885</v>
      </c>
      <c r="H174" s="2722">
        <v>685000000</v>
      </c>
      <c r="I174" s="2723">
        <f t="shared" si="5"/>
        <v>685</v>
      </c>
      <c r="J174" s="2722">
        <v>1.22E-5</v>
      </c>
      <c r="K174" s="2722">
        <v>460</v>
      </c>
      <c r="L174" s="2729">
        <v>44</v>
      </c>
    </row>
    <row r="175" spans="1:12" ht="15.75">
      <c r="A175" s="2724" t="s">
        <v>1124</v>
      </c>
      <c r="B175" s="2725">
        <v>207000000000</v>
      </c>
      <c r="C175" s="2726">
        <v>0.27</v>
      </c>
      <c r="D175" s="2725">
        <v>8160</v>
      </c>
      <c r="E175" s="2727">
        <v>82000000000</v>
      </c>
      <c r="F175" s="2727">
        <v>885000000</v>
      </c>
      <c r="G175" s="2728">
        <f t="shared" si="4"/>
        <v>885</v>
      </c>
      <c r="H175" s="2727">
        <v>685000000</v>
      </c>
      <c r="I175" s="2728">
        <f t="shared" si="5"/>
        <v>685</v>
      </c>
      <c r="J175" s="2727">
        <v>9.7999999999999993E-6</v>
      </c>
      <c r="K175" s="2727">
        <v>460</v>
      </c>
      <c r="L175" s="2730">
        <v>44</v>
      </c>
    </row>
    <row r="176" spans="1:12" ht="15.75">
      <c r="A176" s="2719" t="s">
        <v>1125</v>
      </c>
      <c r="B176" s="2720">
        <v>219000000000</v>
      </c>
      <c r="C176" s="2721">
        <v>0.3</v>
      </c>
      <c r="D176" s="2720">
        <v>7830</v>
      </c>
      <c r="E176" s="2722">
        <v>84700000000</v>
      </c>
      <c r="F176" s="2722">
        <v>1617000000</v>
      </c>
      <c r="G176" s="2723">
        <f t="shared" si="4"/>
        <v>1617</v>
      </c>
      <c r="H176" s="2722">
        <v>0</v>
      </c>
      <c r="I176" s="2723">
        <f t="shared" si="5"/>
        <v>0</v>
      </c>
      <c r="J176" s="2722">
        <v>1.203E-5</v>
      </c>
      <c r="K176" s="2722">
        <v>460</v>
      </c>
      <c r="L176" s="2729">
        <v>44</v>
      </c>
    </row>
    <row r="177" spans="1:12" ht="15.75">
      <c r="A177" s="2724" t="s">
        <v>1126</v>
      </c>
      <c r="B177" s="2725">
        <v>219000000000</v>
      </c>
      <c r="C177" s="2726">
        <v>0.3</v>
      </c>
      <c r="D177" s="2725">
        <v>7830</v>
      </c>
      <c r="E177" s="2727">
        <v>84700000000</v>
      </c>
      <c r="F177" s="2727">
        <v>1902000000</v>
      </c>
      <c r="G177" s="2728">
        <f t="shared" si="4"/>
        <v>1902</v>
      </c>
      <c r="H177" s="2727">
        <v>0</v>
      </c>
      <c r="I177" s="2728">
        <f t="shared" si="5"/>
        <v>0</v>
      </c>
      <c r="J177" s="2727">
        <v>1.203E-5</v>
      </c>
      <c r="K177" s="2727">
        <v>460</v>
      </c>
      <c r="L177" s="2730">
        <v>44</v>
      </c>
    </row>
    <row r="178" spans="1:12" ht="15.75">
      <c r="A178" s="2719" t="s">
        <v>1127</v>
      </c>
      <c r="B178" s="2720">
        <v>216000000000</v>
      </c>
      <c r="C178" s="2721">
        <v>0.3</v>
      </c>
      <c r="D178" s="2720">
        <v>7820</v>
      </c>
      <c r="E178" s="2722">
        <v>83200000000</v>
      </c>
      <c r="F178" s="2722">
        <v>1831000000</v>
      </c>
      <c r="G178" s="2723">
        <f t="shared" si="4"/>
        <v>1831</v>
      </c>
      <c r="H178" s="2722">
        <v>0</v>
      </c>
      <c r="I178" s="2723">
        <f t="shared" si="5"/>
        <v>0</v>
      </c>
      <c r="J178" s="2722">
        <v>1.2E-5</v>
      </c>
      <c r="K178" s="2722">
        <v>460</v>
      </c>
      <c r="L178" s="2729">
        <v>44</v>
      </c>
    </row>
    <row r="179" spans="1:12" ht="15.75">
      <c r="A179" s="2724" t="s">
        <v>1128</v>
      </c>
      <c r="B179" s="2725">
        <v>216000000000</v>
      </c>
      <c r="C179" s="2726">
        <v>0.3</v>
      </c>
      <c r="D179" s="2725">
        <v>7820</v>
      </c>
      <c r="E179" s="2727">
        <v>83200000000</v>
      </c>
      <c r="F179" s="2727">
        <v>1906000000</v>
      </c>
      <c r="G179" s="2728">
        <f t="shared" si="4"/>
        <v>1906</v>
      </c>
      <c r="H179" s="2727">
        <v>0</v>
      </c>
      <c r="I179" s="2728">
        <f t="shared" si="5"/>
        <v>0</v>
      </c>
      <c r="J179" s="2727">
        <v>1.2E-5</v>
      </c>
      <c r="K179" s="2727">
        <v>460</v>
      </c>
      <c r="L179" s="2730">
        <v>44</v>
      </c>
    </row>
    <row r="180" spans="1:12" ht="15.75">
      <c r="A180" s="2719" t="s">
        <v>1129</v>
      </c>
      <c r="B180" s="2720">
        <v>221000000000</v>
      </c>
      <c r="C180" s="2721">
        <v>0.28999999999999998</v>
      </c>
      <c r="D180" s="2720">
        <v>8190</v>
      </c>
      <c r="E180" s="2722">
        <v>83000000000</v>
      </c>
      <c r="F180" s="2722">
        <v>885000000</v>
      </c>
      <c r="G180" s="2723">
        <f t="shared" si="4"/>
        <v>885</v>
      </c>
      <c r="H180" s="2722">
        <v>685000000</v>
      </c>
      <c r="I180" s="2723">
        <f t="shared" si="5"/>
        <v>685</v>
      </c>
      <c r="J180" s="2722">
        <v>1.0900000000000001E-5</v>
      </c>
      <c r="K180" s="2722">
        <v>460</v>
      </c>
      <c r="L180" s="2729">
        <v>44</v>
      </c>
    </row>
    <row r="181" spans="1:12" ht="15.75">
      <c r="A181" s="2724" t="s">
        <v>1130</v>
      </c>
      <c r="B181" s="2725">
        <v>221000000000</v>
      </c>
      <c r="C181" s="2726">
        <v>0.27</v>
      </c>
      <c r="D181" s="2725">
        <v>7700</v>
      </c>
      <c r="E181" s="2727">
        <v>87300000000</v>
      </c>
      <c r="F181" s="2727">
        <v>885000000</v>
      </c>
      <c r="G181" s="2728">
        <f t="shared" si="4"/>
        <v>885</v>
      </c>
      <c r="H181" s="2727">
        <v>685000000</v>
      </c>
      <c r="I181" s="2728">
        <f t="shared" si="5"/>
        <v>685</v>
      </c>
      <c r="J181" s="2727">
        <v>1.1399999999999999E-5</v>
      </c>
      <c r="K181" s="2727">
        <v>460</v>
      </c>
      <c r="L181" s="2730">
        <v>44</v>
      </c>
    </row>
    <row r="182" spans="1:12" ht="15.75">
      <c r="A182" s="2719" t="s">
        <v>1131</v>
      </c>
      <c r="B182" s="2720">
        <v>212000000000</v>
      </c>
      <c r="C182" s="2721">
        <v>0.28000000000000003</v>
      </c>
      <c r="D182" s="2720">
        <v>7840</v>
      </c>
      <c r="E182" s="2722">
        <v>82600000000</v>
      </c>
      <c r="F182" s="2722">
        <v>886000000</v>
      </c>
      <c r="G182" s="2723">
        <f t="shared" si="4"/>
        <v>886</v>
      </c>
      <c r="H182" s="2722">
        <v>587000000</v>
      </c>
      <c r="I182" s="2723">
        <f t="shared" si="5"/>
        <v>587</v>
      </c>
      <c r="J182" s="2722">
        <v>1.0200000000000001E-5</v>
      </c>
      <c r="K182" s="2722">
        <v>460</v>
      </c>
      <c r="L182" s="2729">
        <v>44</v>
      </c>
    </row>
    <row r="183" spans="1:12" ht="15.75">
      <c r="A183" s="2724" t="s">
        <v>1132</v>
      </c>
      <c r="B183" s="2725">
        <v>207000000000</v>
      </c>
      <c r="C183" s="2726">
        <v>0.28999999999999998</v>
      </c>
      <c r="D183" s="2725">
        <v>7830</v>
      </c>
      <c r="E183" s="2727">
        <v>79300000000</v>
      </c>
      <c r="F183" s="2727">
        <v>885000000</v>
      </c>
      <c r="G183" s="2728">
        <f t="shared" si="4"/>
        <v>885</v>
      </c>
      <c r="H183" s="2727">
        <v>685000000</v>
      </c>
      <c r="I183" s="2728">
        <f t="shared" si="5"/>
        <v>685</v>
      </c>
      <c r="J183" s="2727">
        <v>1.4039999999999999E-5</v>
      </c>
      <c r="K183" s="2727">
        <v>460</v>
      </c>
      <c r="L183" s="2730">
        <v>44</v>
      </c>
    </row>
    <row r="184" spans="1:12" ht="15.75">
      <c r="A184" s="2719" t="s">
        <v>1133</v>
      </c>
      <c r="B184" s="2720">
        <v>215000000000</v>
      </c>
      <c r="C184" s="2721">
        <v>0.28100000000000003</v>
      </c>
      <c r="D184" s="2720">
        <v>7810</v>
      </c>
      <c r="E184" s="2722">
        <v>83900000000</v>
      </c>
      <c r="F184" s="2722">
        <v>885000000</v>
      </c>
      <c r="G184" s="2723">
        <f t="shared" si="4"/>
        <v>885</v>
      </c>
      <c r="H184" s="2722">
        <v>685000000</v>
      </c>
      <c r="I184" s="2723">
        <f t="shared" si="5"/>
        <v>685</v>
      </c>
      <c r="J184" s="2722">
        <v>1.26E-5</v>
      </c>
      <c r="K184" s="2722">
        <v>460</v>
      </c>
      <c r="L184" s="2729">
        <v>44</v>
      </c>
    </row>
    <row r="185" spans="1:12" ht="15.75">
      <c r="A185" s="2724" t="s">
        <v>1134</v>
      </c>
      <c r="B185" s="2725">
        <v>213000000000</v>
      </c>
      <c r="C185" s="2726">
        <v>0.27900000000000003</v>
      </c>
      <c r="D185" s="2725">
        <v>7880</v>
      </c>
      <c r="E185" s="2727">
        <v>83300000000</v>
      </c>
      <c r="F185" s="2727">
        <v>885000000</v>
      </c>
      <c r="G185" s="2728">
        <f t="shared" si="4"/>
        <v>885</v>
      </c>
      <c r="H185" s="2727">
        <v>685000000</v>
      </c>
      <c r="I185" s="2728">
        <f t="shared" si="5"/>
        <v>685</v>
      </c>
      <c r="J185" s="2727">
        <v>1.3149999999999999E-5</v>
      </c>
      <c r="K185" s="2727">
        <v>460</v>
      </c>
      <c r="L185" s="2730">
        <v>44</v>
      </c>
    </row>
    <row r="186" spans="1:12" ht="15.75">
      <c r="A186" s="2719" t="s">
        <v>1135</v>
      </c>
      <c r="B186" s="2720">
        <v>219000000000</v>
      </c>
      <c r="C186" s="2721">
        <v>0.28100000000000003</v>
      </c>
      <c r="D186" s="2720">
        <v>7720</v>
      </c>
      <c r="E186" s="2722">
        <v>85500000000</v>
      </c>
      <c r="F186" s="2722">
        <v>885000000</v>
      </c>
      <c r="G186" s="2723">
        <f t="shared" si="4"/>
        <v>885</v>
      </c>
      <c r="H186" s="2722">
        <v>685000000</v>
      </c>
      <c r="I186" s="2723">
        <f t="shared" si="5"/>
        <v>685</v>
      </c>
      <c r="J186" s="2722">
        <v>1.022E-5</v>
      </c>
      <c r="K186" s="2722">
        <v>460</v>
      </c>
      <c r="L186" s="2729">
        <v>44</v>
      </c>
    </row>
    <row r="187" spans="1:12" ht="15.75">
      <c r="A187" s="2724" t="s">
        <v>1136</v>
      </c>
      <c r="B187" s="2725">
        <v>205000000000</v>
      </c>
      <c r="C187" s="2726">
        <v>0.28999999999999998</v>
      </c>
      <c r="D187" s="2725">
        <v>7880</v>
      </c>
      <c r="E187" s="2727">
        <v>79300000000</v>
      </c>
      <c r="F187" s="2727">
        <v>980000000</v>
      </c>
      <c r="G187" s="2728">
        <f t="shared" si="4"/>
        <v>980</v>
      </c>
      <c r="H187" s="2727">
        <v>0</v>
      </c>
      <c r="I187" s="2728">
        <f t="shared" si="5"/>
        <v>0</v>
      </c>
      <c r="J187" s="2727">
        <v>1.218E-5</v>
      </c>
      <c r="K187" s="2727">
        <v>460</v>
      </c>
      <c r="L187" s="2730">
        <v>44</v>
      </c>
    </row>
    <row r="188" spans="1:12" ht="15.75">
      <c r="A188" s="2719" t="s">
        <v>1137</v>
      </c>
      <c r="B188" s="2720">
        <v>205000000000</v>
      </c>
      <c r="C188" s="2721">
        <v>0.28999999999999998</v>
      </c>
      <c r="D188" s="2720">
        <v>7880</v>
      </c>
      <c r="E188" s="2722">
        <v>79300000000</v>
      </c>
      <c r="F188" s="2722">
        <v>980000000</v>
      </c>
      <c r="G188" s="2723">
        <f t="shared" si="4"/>
        <v>980</v>
      </c>
      <c r="H188" s="2722">
        <v>0</v>
      </c>
      <c r="I188" s="2723">
        <f t="shared" si="5"/>
        <v>0</v>
      </c>
      <c r="J188" s="2722">
        <v>1.218E-5</v>
      </c>
      <c r="K188" s="2722">
        <v>460</v>
      </c>
      <c r="L188" s="2729">
        <v>44</v>
      </c>
    </row>
    <row r="189" spans="1:12" ht="15.75">
      <c r="A189" s="2724" t="s">
        <v>1138</v>
      </c>
      <c r="B189" s="2725">
        <v>198000000000</v>
      </c>
      <c r="C189" s="2726">
        <v>0.27</v>
      </c>
      <c r="D189" s="2725">
        <v>7880</v>
      </c>
      <c r="E189" s="2727">
        <v>77700000000</v>
      </c>
      <c r="F189" s="2727">
        <v>885000000</v>
      </c>
      <c r="G189" s="2728">
        <f t="shared" si="4"/>
        <v>885</v>
      </c>
      <c r="H189" s="2727">
        <v>0</v>
      </c>
      <c r="I189" s="2728">
        <f t="shared" si="5"/>
        <v>0</v>
      </c>
      <c r="J189" s="2727">
        <v>1.239E-5</v>
      </c>
      <c r="K189" s="2727">
        <v>460</v>
      </c>
      <c r="L189" s="2730">
        <v>44</v>
      </c>
    </row>
    <row r="190" spans="1:12" ht="15.75">
      <c r="A190" s="2719" t="s">
        <v>1139</v>
      </c>
      <c r="B190" s="2720">
        <v>213000000000</v>
      </c>
      <c r="C190" s="2721">
        <v>0.29199999999999998</v>
      </c>
      <c r="D190" s="2720">
        <v>7800</v>
      </c>
      <c r="E190" s="2722">
        <v>82400000000</v>
      </c>
      <c r="F190" s="2722">
        <v>1176000000</v>
      </c>
      <c r="G190" s="2723">
        <f t="shared" si="4"/>
        <v>1176</v>
      </c>
      <c r="H190" s="2722">
        <v>0</v>
      </c>
      <c r="I190" s="2723">
        <f t="shared" si="5"/>
        <v>0</v>
      </c>
      <c r="J190" s="2722">
        <v>1.208E-5</v>
      </c>
      <c r="K190" s="2722">
        <v>460</v>
      </c>
      <c r="L190" s="2729">
        <v>44</v>
      </c>
    </row>
    <row r="191" spans="1:12" ht="15.75">
      <c r="A191" s="2724" t="s">
        <v>1140</v>
      </c>
      <c r="B191" s="2725">
        <v>213000000000</v>
      </c>
      <c r="C191" s="2726">
        <v>0.29199999999999998</v>
      </c>
      <c r="D191" s="2725">
        <v>7800</v>
      </c>
      <c r="E191" s="2727">
        <v>82400000000</v>
      </c>
      <c r="F191" s="2727">
        <v>1176000000</v>
      </c>
      <c r="G191" s="2728">
        <f t="shared" si="4"/>
        <v>1176</v>
      </c>
      <c r="H191" s="2727">
        <v>0</v>
      </c>
      <c r="I191" s="2728">
        <f t="shared" si="5"/>
        <v>0</v>
      </c>
      <c r="J191" s="2727">
        <v>1.208E-5</v>
      </c>
      <c r="K191" s="2727">
        <v>460</v>
      </c>
      <c r="L191" s="2730">
        <v>44</v>
      </c>
    </row>
    <row r="192" spans="1:12" ht="15.75">
      <c r="A192" s="2719" t="s">
        <v>1141</v>
      </c>
      <c r="B192" s="2720">
        <v>206000000000</v>
      </c>
      <c r="C192" s="2721">
        <v>0.28000000000000003</v>
      </c>
      <c r="D192" s="2720">
        <v>8000</v>
      </c>
      <c r="E192" s="2722">
        <v>80300000000</v>
      </c>
      <c r="F192" s="2722">
        <v>500000000</v>
      </c>
      <c r="G192" s="2723">
        <f t="shared" si="4"/>
        <v>500</v>
      </c>
      <c r="H192" s="2722">
        <v>250000000</v>
      </c>
      <c r="I192" s="2723">
        <f t="shared" si="5"/>
        <v>250</v>
      </c>
      <c r="J192" s="2722">
        <v>1.6699999999999999E-5</v>
      </c>
      <c r="K192" s="2722">
        <v>500</v>
      </c>
      <c r="L192" s="2729">
        <v>16</v>
      </c>
    </row>
    <row r="193" spans="1:12" ht="15.75">
      <c r="A193" s="2724" t="s">
        <v>1142</v>
      </c>
      <c r="B193" s="2725">
        <v>200000000000</v>
      </c>
      <c r="C193" s="2726">
        <v>0.28000000000000003</v>
      </c>
      <c r="D193" s="2725">
        <v>7800</v>
      </c>
      <c r="E193" s="2727">
        <v>77000000000</v>
      </c>
      <c r="F193" s="2727">
        <v>410000000</v>
      </c>
      <c r="G193" s="2728">
        <f t="shared" si="4"/>
        <v>410</v>
      </c>
      <c r="H193" s="2727">
        <v>177000000</v>
      </c>
      <c r="I193" s="2728">
        <f t="shared" si="5"/>
        <v>177</v>
      </c>
      <c r="J193" s="2727">
        <v>1.1E-5</v>
      </c>
      <c r="K193" s="2727">
        <v>460</v>
      </c>
      <c r="L193" s="2730">
        <v>18</v>
      </c>
    </row>
    <row r="194" spans="1:12" ht="15.75">
      <c r="A194" s="2719" t="s">
        <v>1143</v>
      </c>
      <c r="B194" s="2720">
        <v>204000000000</v>
      </c>
      <c r="C194" s="2721">
        <v>0.28499999999999998</v>
      </c>
      <c r="D194" s="2720">
        <v>7930</v>
      </c>
      <c r="E194" s="2722">
        <v>79400000000</v>
      </c>
      <c r="F194" s="2722">
        <v>520000000</v>
      </c>
      <c r="G194" s="2723">
        <f t="shared" si="4"/>
        <v>520</v>
      </c>
      <c r="H194" s="2722">
        <v>205000000</v>
      </c>
      <c r="I194" s="2723">
        <f t="shared" si="5"/>
        <v>205</v>
      </c>
      <c r="J194" s="2722">
        <v>1.6699999999999999E-5</v>
      </c>
      <c r="K194" s="2722">
        <v>500</v>
      </c>
      <c r="L194" s="2729">
        <v>16</v>
      </c>
    </row>
    <row r="195" spans="1:12" ht="15.75">
      <c r="A195" s="2724" t="s">
        <v>1144</v>
      </c>
      <c r="B195" s="2725">
        <v>213000000000</v>
      </c>
      <c r="C195" s="2726">
        <v>0.27</v>
      </c>
      <c r="D195" s="2725">
        <v>7780</v>
      </c>
      <c r="E195" s="2727">
        <v>77300000000</v>
      </c>
      <c r="F195" s="2727">
        <v>1000000000</v>
      </c>
      <c r="G195" s="2728">
        <f t="shared" si="4"/>
        <v>1000</v>
      </c>
      <c r="H195" s="2727">
        <v>865000000</v>
      </c>
      <c r="I195" s="2728">
        <f t="shared" si="5"/>
        <v>865</v>
      </c>
      <c r="J195" s="2727">
        <v>1.11E-5</v>
      </c>
      <c r="K195" s="2727">
        <v>500</v>
      </c>
      <c r="L195" s="2730">
        <v>16</v>
      </c>
    </row>
    <row r="196" spans="1:12" ht="15.75">
      <c r="A196" s="2719" t="s">
        <v>1145</v>
      </c>
      <c r="B196" s="2720">
        <v>192999997366.672</v>
      </c>
      <c r="C196" s="2721">
        <v>0.27</v>
      </c>
      <c r="D196" s="2720">
        <v>8000.0001329999996</v>
      </c>
      <c r="E196" s="2722">
        <v>0</v>
      </c>
      <c r="F196" s="2722">
        <v>530000000</v>
      </c>
      <c r="G196" s="2723">
        <f t="shared" ref="G196:G259" si="6">F196/1000000</f>
        <v>530</v>
      </c>
      <c r="H196" s="2722">
        <v>205000000</v>
      </c>
      <c r="I196" s="2723">
        <f t="shared" ref="I196:I259" si="7">H196/1000000</f>
        <v>205</v>
      </c>
      <c r="J196" s="2722">
        <v>1.5999999999999999E-5</v>
      </c>
      <c r="K196" s="2722">
        <v>499.99999300000002</v>
      </c>
      <c r="L196" s="2729">
        <v>16.3</v>
      </c>
    </row>
    <row r="197" spans="1:12" ht="15.75">
      <c r="A197" s="2724" t="s">
        <v>1146</v>
      </c>
      <c r="B197" s="2725">
        <v>192999997366.672</v>
      </c>
      <c r="C197" s="2726">
        <v>0.27</v>
      </c>
      <c r="D197" s="2725">
        <v>8000.0001329999996</v>
      </c>
      <c r="E197" s="2727">
        <v>0</v>
      </c>
      <c r="F197" s="2727">
        <v>480000000</v>
      </c>
      <c r="G197" s="2728">
        <f t="shared" si="6"/>
        <v>480</v>
      </c>
      <c r="H197" s="2727">
        <v>177000000</v>
      </c>
      <c r="I197" s="2728">
        <f t="shared" si="7"/>
        <v>177</v>
      </c>
      <c r="J197" s="2727">
        <v>1.7E-5</v>
      </c>
      <c r="K197" s="2727">
        <v>499.99999300000002</v>
      </c>
      <c r="L197" s="2730">
        <v>16.100000000000001</v>
      </c>
    </row>
    <row r="198" spans="1:12" ht="15.75">
      <c r="A198" s="2719" t="s">
        <v>1147</v>
      </c>
      <c r="B198" s="2720">
        <v>195000000983.245</v>
      </c>
      <c r="C198" s="2721">
        <v>0.27</v>
      </c>
      <c r="D198" s="2720">
        <v>8000.0001329999996</v>
      </c>
      <c r="E198" s="2722">
        <v>77000001342.914597</v>
      </c>
      <c r="F198" s="2722">
        <v>520000000</v>
      </c>
      <c r="G198" s="2723">
        <f t="shared" si="6"/>
        <v>520</v>
      </c>
      <c r="H198" s="2722">
        <v>205000000</v>
      </c>
      <c r="I198" s="2723">
        <f t="shared" si="7"/>
        <v>205</v>
      </c>
      <c r="J198" s="2722">
        <v>1.7E-5</v>
      </c>
      <c r="K198" s="2722">
        <v>499.99999300000002</v>
      </c>
      <c r="L198" s="2729">
        <v>16.3</v>
      </c>
    </row>
    <row r="199" spans="1:12" ht="15.75">
      <c r="A199" s="2724" t="s">
        <v>1148</v>
      </c>
      <c r="B199" s="2725">
        <v>207000000000</v>
      </c>
      <c r="C199" s="2726">
        <v>0.27</v>
      </c>
      <c r="D199" s="2725">
        <v>7859.9998999999998</v>
      </c>
      <c r="E199" s="2727">
        <v>0</v>
      </c>
      <c r="F199" s="2727">
        <v>520000000</v>
      </c>
      <c r="G199" s="2728">
        <f t="shared" si="6"/>
        <v>520</v>
      </c>
      <c r="H199" s="2727">
        <v>275000000</v>
      </c>
      <c r="I199" s="2728">
        <f t="shared" si="7"/>
        <v>275</v>
      </c>
      <c r="J199" s="2727">
        <v>1.7E-5</v>
      </c>
      <c r="K199" s="2727">
        <v>501.99997999999999</v>
      </c>
      <c r="L199" s="2730">
        <v>16.3</v>
      </c>
    </row>
    <row r="200" spans="1:12" ht="15.75">
      <c r="A200" s="2719" t="s">
        <v>1149</v>
      </c>
      <c r="B200" s="2720">
        <v>190000000000</v>
      </c>
      <c r="C200" s="2721">
        <v>0.26</v>
      </c>
      <c r="D200" s="2720">
        <v>7700</v>
      </c>
      <c r="E200" s="2722">
        <v>79000000000</v>
      </c>
      <c r="F200" s="2722">
        <v>588000000</v>
      </c>
      <c r="G200" s="2723">
        <f t="shared" si="6"/>
        <v>588</v>
      </c>
      <c r="H200" s="2722">
        <v>392000000</v>
      </c>
      <c r="I200" s="2723">
        <f t="shared" si="7"/>
        <v>392</v>
      </c>
      <c r="J200" s="2722">
        <v>1.5E-5</v>
      </c>
      <c r="K200" s="2722">
        <v>520</v>
      </c>
      <c r="L200" s="2729">
        <v>37</v>
      </c>
    </row>
    <row r="201" spans="1:12" ht="15.75">
      <c r="A201" s="2724" t="s">
        <v>1150</v>
      </c>
      <c r="B201" s="2725">
        <v>203000000000</v>
      </c>
      <c r="C201" s="2726">
        <v>0.29099999999999998</v>
      </c>
      <c r="D201" s="2725">
        <v>7730</v>
      </c>
      <c r="E201" s="2727">
        <v>78600000000</v>
      </c>
      <c r="F201" s="2727">
        <v>588000000</v>
      </c>
      <c r="G201" s="2728">
        <f t="shared" si="6"/>
        <v>588</v>
      </c>
      <c r="H201" s="2727">
        <v>392000000</v>
      </c>
      <c r="I201" s="2728">
        <f t="shared" si="7"/>
        <v>392</v>
      </c>
      <c r="J201" s="2727">
        <v>1.078E-5</v>
      </c>
      <c r="K201" s="2727">
        <v>520</v>
      </c>
      <c r="L201" s="2730">
        <v>37</v>
      </c>
    </row>
    <row r="202" spans="1:12" ht="15.75">
      <c r="A202" s="2719" t="s">
        <v>1151</v>
      </c>
      <c r="B202" s="2720">
        <v>110000000000</v>
      </c>
      <c r="C202" s="2721">
        <v>0.3</v>
      </c>
      <c r="D202" s="2720">
        <v>7400</v>
      </c>
      <c r="E202" s="2722">
        <v>43000000000</v>
      </c>
      <c r="F202" s="2722">
        <v>551485000</v>
      </c>
      <c r="G202" s="2723">
        <f t="shared" si="6"/>
        <v>551.48500000000001</v>
      </c>
      <c r="H202" s="2722">
        <v>275742000</v>
      </c>
      <c r="I202" s="2723">
        <f t="shared" si="7"/>
        <v>275.74200000000002</v>
      </c>
      <c r="J202" s="2722">
        <v>1.7E-5</v>
      </c>
      <c r="K202" s="2722">
        <v>380</v>
      </c>
      <c r="L202" s="2729">
        <v>56</v>
      </c>
    </row>
    <row r="203" spans="1:12" ht="15.75">
      <c r="A203" s="2724" t="s">
        <v>1152</v>
      </c>
      <c r="B203" s="2725">
        <v>115000000000</v>
      </c>
      <c r="C203" s="2726">
        <v>0.3</v>
      </c>
      <c r="D203" s="2725">
        <v>8260</v>
      </c>
      <c r="E203" s="2727">
        <v>50000000000</v>
      </c>
      <c r="F203" s="2727">
        <v>483000000</v>
      </c>
      <c r="G203" s="2728">
        <f t="shared" si="6"/>
        <v>483</v>
      </c>
      <c r="H203" s="2727">
        <v>221000000</v>
      </c>
      <c r="I203" s="2728">
        <f t="shared" si="7"/>
        <v>221</v>
      </c>
      <c r="J203" s="2727">
        <v>1.6699999999999999E-5</v>
      </c>
      <c r="K203" s="2727">
        <v>0</v>
      </c>
      <c r="L203" s="2730">
        <v>118</v>
      </c>
    </row>
    <row r="204" spans="1:12" ht="15.75">
      <c r="A204" s="2719" t="s">
        <v>1153</v>
      </c>
      <c r="B204" s="2720">
        <v>125000000000</v>
      </c>
      <c r="C204" s="2721">
        <v>0.3</v>
      </c>
      <c r="D204" s="2720">
        <v>8250</v>
      </c>
      <c r="E204" s="2722">
        <v>50000000000</v>
      </c>
      <c r="F204" s="2722">
        <v>469000000</v>
      </c>
      <c r="G204" s="2723">
        <f t="shared" si="6"/>
        <v>469</v>
      </c>
      <c r="H204" s="2722">
        <v>172000000</v>
      </c>
      <c r="I204" s="2723">
        <f t="shared" si="7"/>
        <v>172</v>
      </c>
      <c r="J204" s="2722">
        <v>1.6699999999999999E-5</v>
      </c>
      <c r="K204" s="2722">
        <v>0</v>
      </c>
      <c r="L204" s="2729">
        <v>105</v>
      </c>
    </row>
    <row r="205" spans="1:12" ht="15.75">
      <c r="A205" s="2724" t="s">
        <v>1154</v>
      </c>
      <c r="B205" s="2725">
        <v>100000000000</v>
      </c>
      <c r="C205" s="2726">
        <v>0.33</v>
      </c>
      <c r="D205" s="2725">
        <v>8500</v>
      </c>
      <c r="E205" s="2727">
        <v>37000000000</v>
      </c>
      <c r="F205" s="2727">
        <v>448413000</v>
      </c>
      <c r="G205" s="2728">
        <f t="shared" si="6"/>
        <v>448.41300000000001</v>
      </c>
      <c r="H205" s="2727">
        <v>239689000</v>
      </c>
      <c r="I205" s="2728">
        <f t="shared" si="7"/>
        <v>239.68899999999999</v>
      </c>
      <c r="J205" s="2727">
        <v>1.8E-5</v>
      </c>
      <c r="K205" s="2727">
        <v>390</v>
      </c>
      <c r="L205" s="2730">
        <v>110</v>
      </c>
    </row>
    <row r="206" spans="1:12" ht="15.75">
      <c r="A206" s="2719" t="s">
        <v>1155</v>
      </c>
      <c r="B206" s="2720">
        <v>105000000000</v>
      </c>
      <c r="C206" s="2721">
        <v>0</v>
      </c>
      <c r="D206" s="2720">
        <v>8500</v>
      </c>
      <c r="E206" s="2722">
        <v>39000000000</v>
      </c>
      <c r="F206" s="2722">
        <v>338000000</v>
      </c>
      <c r="G206" s="2723">
        <f t="shared" si="6"/>
        <v>338</v>
      </c>
      <c r="H206" s="2722">
        <v>117000000</v>
      </c>
      <c r="I206" s="2723">
        <f t="shared" si="7"/>
        <v>117</v>
      </c>
      <c r="J206" s="2722">
        <v>2.0299999999999999E-5</v>
      </c>
      <c r="K206" s="2722">
        <v>0</v>
      </c>
      <c r="L206" s="2729">
        <v>115</v>
      </c>
    </row>
    <row r="207" spans="1:12" ht="15.75">
      <c r="A207" s="2724" t="s">
        <v>1156</v>
      </c>
      <c r="B207" s="2725">
        <v>130000000000</v>
      </c>
      <c r="C207" s="2726">
        <v>0</v>
      </c>
      <c r="D207" s="2725">
        <v>8890</v>
      </c>
      <c r="E207" s="2727">
        <v>50000000000</v>
      </c>
      <c r="F207" s="2727">
        <v>234000000</v>
      </c>
      <c r="G207" s="2728">
        <f t="shared" si="6"/>
        <v>234</v>
      </c>
      <c r="H207" s="2727">
        <v>97000000</v>
      </c>
      <c r="I207" s="2728">
        <f t="shared" si="7"/>
        <v>97</v>
      </c>
      <c r="J207" s="2727">
        <v>1.7600000000000001E-5</v>
      </c>
      <c r="K207" s="2727">
        <v>0</v>
      </c>
      <c r="L207" s="2730">
        <v>171</v>
      </c>
    </row>
    <row r="208" spans="1:12" ht="15.75">
      <c r="A208" s="2719" t="s">
        <v>1157</v>
      </c>
      <c r="B208" s="2720">
        <v>110000000000</v>
      </c>
      <c r="C208" s="2721">
        <v>0.37</v>
      </c>
      <c r="D208" s="2720">
        <v>8900</v>
      </c>
      <c r="E208" s="2722">
        <v>40000000000</v>
      </c>
      <c r="F208" s="2722">
        <v>394380000</v>
      </c>
      <c r="G208" s="2723">
        <f t="shared" si="6"/>
        <v>394.38</v>
      </c>
      <c r="H208" s="2722">
        <v>258646000</v>
      </c>
      <c r="I208" s="2723">
        <f t="shared" si="7"/>
        <v>258.64600000000002</v>
      </c>
      <c r="J208" s="2722">
        <v>2.4000000000000001E-5</v>
      </c>
      <c r="K208" s="2722">
        <v>390</v>
      </c>
      <c r="L208" s="2729">
        <v>390</v>
      </c>
    </row>
    <row r="209" spans="1:12" ht="15.75">
      <c r="A209" s="2724" t="s">
        <v>1158</v>
      </c>
      <c r="B209" s="2725">
        <v>110000000000</v>
      </c>
      <c r="C209" s="2726">
        <v>0.37</v>
      </c>
      <c r="D209" s="2725">
        <v>8300</v>
      </c>
      <c r="E209" s="2727">
        <v>39000000000</v>
      </c>
      <c r="F209" s="2727">
        <v>448081000</v>
      </c>
      <c r="G209" s="2728">
        <f t="shared" si="6"/>
        <v>448.08100000000002</v>
      </c>
      <c r="H209" s="2727">
        <v>206807000</v>
      </c>
      <c r="I209" s="2728">
        <f t="shared" si="7"/>
        <v>206.80699999999999</v>
      </c>
      <c r="J209" s="2727">
        <v>2.1999999999999999E-5</v>
      </c>
      <c r="K209" s="2727">
        <v>380</v>
      </c>
      <c r="L209" s="2730">
        <v>9.6</v>
      </c>
    </row>
    <row r="210" spans="1:12" ht="15.75">
      <c r="A210" s="2719" t="s">
        <v>1159</v>
      </c>
      <c r="B210" s="2720">
        <v>1100000000000</v>
      </c>
      <c r="C210" s="2721">
        <v>0.33</v>
      </c>
      <c r="D210" s="2720">
        <v>8800</v>
      </c>
      <c r="E210" s="2722">
        <v>37000000000</v>
      </c>
      <c r="F210" s="2722">
        <v>261955000</v>
      </c>
      <c r="G210" s="2723">
        <f t="shared" si="6"/>
        <v>261.95499999999998</v>
      </c>
      <c r="H210" s="2722">
        <v>110297000</v>
      </c>
      <c r="I210" s="2723">
        <f t="shared" si="7"/>
        <v>110.297</v>
      </c>
      <c r="J210" s="2722">
        <v>1.8E-5</v>
      </c>
      <c r="K210" s="2722">
        <v>380</v>
      </c>
      <c r="L210" s="2729">
        <v>47</v>
      </c>
    </row>
    <row r="211" spans="1:12" ht="15.75">
      <c r="A211" s="2724" t="s">
        <v>1160</v>
      </c>
      <c r="B211" s="2725">
        <v>110000000000</v>
      </c>
      <c r="C211" s="2726">
        <v>0</v>
      </c>
      <c r="D211" s="2725">
        <v>8780</v>
      </c>
      <c r="E211" s="2727">
        <v>41000000000</v>
      </c>
      <c r="F211" s="2727">
        <v>455000000</v>
      </c>
      <c r="G211" s="2728">
        <f t="shared" si="6"/>
        <v>455</v>
      </c>
      <c r="H211" s="2727">
        <v>193000000</v>
      </c>
      <c r="I211" s="2728">
        <f t="shared" si="7"/>
        <v>193</v>
      </c>
      <c r="J211" s="2727">
        <v>1.84E-5</v>
      </c>
      <c r="K211" s="2727">
        <v>0</v>
      </c>
      <c r="L211" s="2730">
        <v>50</v>
      </c>
    </row>
    <row r="212" spans="1:12" ht="15.75">
      <c r="A212" s="2719" t="s">
        <v>1161</v>
      </c>
      <c r="B212" s="2720">
        <v>36200000000</v>
      </c>
      <c r="C212" s="2721">
        <v>0.32</v>
      </c>
      <c r="D212" s="2720">
        <v>9280</v>
      </c>
      <c r="E212" s="2722">
        <v>13700000000</v>
      </c>
      <c r="F212" s="2722">
        <v>261955000</v>
      </c>
      <c r="G212" s="2723">
        <f t="shared" si="6"/>
        <v>261.95499999999998</v>
      </c>
      <c r="H212" s="2722">
        <v>110297000</v>
      </c>
      <c r="I212" s="2723">
        <f t="shared" si="7"/>
        <v>110.297</v>
      </c>
      <c r="J212" s="2722">
        <v>2.3300000000000001E-5</v>
      </c>
      <c r="K212" s="2722">
        <v>380</v>
      </c>
      <c r="L212" s="2729">
        <v>47</v>
      </c>
    </row>
    <row r="213" spans="1:12" ht="15.75">
      <c r="A213" s="2724" t="s">
        <v>1162</v>
      </c>
      <c r="B213" s="2725">
        <v>58800000000</v>
      </c>
      <c r="C213" s="2726">
        <v>0.36</v>
      </c>
      <c r="D213" s="2725">
        <v>7170</v>
      </c>
      <c r="E213" s="2727">
        <v>13700000000</v>
      </c>
      <c r="F213" s="2727">
        <v>261955000</v>
      </c>
      <c r="G213" s="2728">
        <f t="shared" si="6"/>
        <v>261.95499999999998</v>
      </c>
      <c r="H213" s="2727">
        <v>110297000</v>
      </c>
      <c r="I213" s="2728">
        <f t="shared" si="7"/>
        <v>110.297</v>
      </c>
      <c r="J213" s="2727">
        <v>2.26E-5</v>
      </c>
      <c r="K213" s="2727">
        <v>380</v>
      </c>
      <c r="L213" s="2730">
        <v>47</v>
      </c>
    </row>
    <row r="214" spans="1:12" ht="15.75">
      <c r="A214" s="2719" t="s">
        <v>1163</v>
      </c>
      <c r="B214" s="2720">
        <v>55900000000</v>
      </c>
      <c r="C214" s="2721">
        <v>0.36</v>
      </c>
      <c r="D214" s="2720">
        <v>7160</v>
      </c>
      <c r="E214" s="2722">
        <v>13700000000</v>
      </c>
      <c r="F214" s="2722">
        <v>261955000</v>
      </c>
      <c r="G214" s="2723">
        <f t="shared" si="6"/>
        <v>261.95499999999998</v>
      </c>
      <c r="H214" s="2722">
        <v>110297000</v>
      </c>
      <c r="I214" s="2723">
        <f t="shared" si="7"/>
        <v>110.297</v>
      </c>
      <c r="J214" s="2722">
        <v>2.23E-5</v>
      </c>
      <c r="K214" s="2722">
        <v>380</v>
      </c>
      <c r="L214" s="2729">
        <v>47</v>
      </c>
    </row>
    <row r="215" spans="1:12" ht="15.75">
      <c r="A215" s="2724" t="s">
        <v>1164</v>
      </c>
      <c r="B215" s="2725">
        <v>119000000000</v>
      </c>
      <c r="C215" s="2726">
        <v>0.33</v>
      </c>
      <c r="D215" s="2725">
        <v>7750</v>
      </c>
      <c r="E215" s="2727">
        <v>44900000000</v>
      </c>
      <c r="F215" s="2727">
        <v>261955000</v>
      </c>
      <c r="G215" s="2728">
        <f t="shared" si="6"/>
        <v>261.95499999999998</v>
      </c>
      <c r="H215" s="2727">
        <v>110297000</v>
      </c>
      <c r="I215" s="2728">
        <f t="shared" si="7"/>
        <v>110.297</v>
      </c>
      <c r="J215" s="2727">
        <v>1.702E-5</v>
      </c>
      <c r="K215" s="2727">
        <v>380</v>
      </c>
      <c r="L215" s="2730">
        <v>47</v>
      </c>
    </row>
    <row r="216" spans="1:12" ht="15.75">
      <c r="A216" s="2719" t="s">
        <v>1165</v>
      </c>
      <c r="B216" s="2720">
        <v>108000000000</v>
      </c>
      <c r="C216" s="2721">
        <v>0.3</v>
      </c>
      <c r="D216" s="2720">
        <v>7550</v>
      </c>
      <c r="E216" s="2722">
        <v>41000000000</v>
      </c>
      <c r="F216" s="2722">
        <v>261955000</v>
      </c>
      <c r="G216" s="2723">
        <f t="shared" si="6"/>
        <v>261.95499999999998</v>
      </c>
      <c r="H216" s="2722">
        <v>110297000</v>
      </c>
      <c r="I216" s="2723">
        <f t="shared" si="7"/>
        <v>110.297</v>
      </c>
      <c r="J216" s="2722">
        <v>1.694E-5</v>
      </c>
      <c r="K216" s="2722">
        <v>380</v>
      </c>
      <c r="L216" s="2729">
        <v>47</v>
      </c>
    </row>
    <row r="217" spans="1:12" ht="15.75">
      <c r="A217" s="2724" t="s">
        <v>1166</v>
      </c>
      <c r="B217" s="2725">
        <v>82000000000</v>
      </c>
      <c r="C217" s="2726">
        <v>0.32</v>
      </c>
      <c r="D217" s="2725">
        <v>9620</v>
      </c>
      <c r="E217" s="2727">
        <v>31000000000</v>
      </c>
      <c r="F217" s="2727">
        <v>950000000</v>
      </c>
      <c r="G217" s="2728">
        <f t="shared" si="6"/>
        <v>950</v>
      </c>
      <c r="H217" s="2727">
        <v>0</v>
      </c>
      <c r="I217" s="2728">
        <f t="shared" si="7"/>
        <v>0</v>
      </c>
      <c r="J217" s="2727">
        <v>1.95E-5</v>
      </c>
      <c r="K217" s="2727">
        <v>380</v>
      </c>
      <c r="L217" s="2730">
        <v>47</v>
      </c>
    </row>
    <row r="218" spans="1:12" ht="15.75">
      <c r="A218" s="2719" t="s">
        <v>1167</v>
      </c>
      <c r="B218" s="2720">
        <v>85300000000</v>
      </c>
      <c r="C218" s="2721">
        <v>0.32</v>
      </c>
      <c r="D218" s="2720">
        <v>8410</v>
      </c>
      <c r="E218" s="2722">
        <v>32400000000</v>
      </c>
      <c r="F218" s="2722">
        <v>250000000</v>
      </c>
      <c r="G218" s="2723">
        <f t="shared" si="6"/>
        <v>250</v>
      </c>
      <c r="H218" s="2722">
        <v>110000000</v>
      </c>
      <c r="I218" s="2723">
        <f t="shared" si="7"/>
        <v>110</v>
      </c>
      <c r="J218" s="2722">
        <v>1.7799999999999999E-5</v>
      </c>
      <c r="K218" s="2722">
        <v>380</v>
      </c>
      <c r="L218" s="2729">
        <v>47</v>
      </c>
    </row>
    <row r="219" spans="1:12" ht="15.75">
      <c r="A219" s="2724" t="s">
        <v>1168</v>
      </c>
      <c r="B219" s="2725">
        <v>69580000000</v>
      </c>
      <c r="C219" s="2726">
        <v>0.31</v>
      </c>
      <c r="D219" s="2725">
        <v>2700</v>
      </c>
      <c r="E219" s="2727">
        <v>2700000000</v>
      </c>
      <c r="F219" s="2727">
        <v>885000000</v>
      </c>
      <c r="G219" s="2728">
        <f t="shared" si="6"/>
        <v>885</v>
      </c>
      <c r="H219" s="2727">
        <v>685000000</v>
      </c>
      <c r="I219" s="2728">
        <f t="shared" si="7"/>
        <v>685</v>
      </c>
      <c r="J219" s="2727">
        <v>2.3600000000000001E-5</v>
      </c>
      <c r="K219" s="2727">
        <v>460</v>
      </c>
      <c r="L219" s="2730">
        <v>44</v>
      </c>
    </row>
    <row r="220" spans="1:12" ht="15.75">
      <c r="A220" s="2719" t="s">
        <v>1169</v>
      </c>
      <c r="B220" s="2720">
        <v>75000000000</v>
      </c>
      <c r="C220" s="2721">
        <v>0.35</v>
      </c>
      <c r="D220" s="2720">
        <v>2820</v>
      </c>
      <c r="E220" s="2722">
        <v>2760000000</v>
      </c>
      <c r="F220" s="2722">
        <v>885000000</v>
      </c>
      <c r="G220" s="2723">
        <f t="shared" si="6"/>
        <v>885</v>
      </c>
      <c r="H220" s="2722">
        <v>685000000</v>
      </c>
      <c r="I220" s="2723">
        <f t="shared" si="7"/>
        <v>685</v>
      </c>
      <c r="J220" s="2722">
        <v>2.4280000000000001E-5</v>
      </c>
      <c r="K220" s="2722">
        <v>460</v>
      </c>
      <c r="L220" s="2729">
        <v>44</v>
      </c>
    </row>
    <row r="221" spans="1:12" ht="15.75">
      <c r="A221" s="2724" t="s">
        <v>1170</v>
      </c>
      <c r="B221" s="2725">
        <v>75500000000</v>
      </c>
      <c r="C221" s="2726">
        <v>0.4</v>
      </c>
      <c r="D221" s="2725">
        <v>2770</v>
      </c>
      <c r="E221" s="2727">
        <v>2692000000</v>
      </c>
      <c r="F221" s="2727">
        <v>885000000</v>
      </c>
      <c r="G221" s="2728">
        <f t="shared" si="6"/>
        <v>885</v>
      </c>
      <c r="H221" s="2727">
        <v>685000000</v>
      </c>
      <c r="I221" s="2728">
        <f t="shared" si="7"/>
        <v>685</v>
      </c>
      <c r="J221" s="2727">
        <v>2.3640000000000001E-5</v>
      </c>
      <c r="K221" s="2727">
        <v>460</v>
      </c>
      <c r="L221" s="2730">
        <v>44</v>
      </c>
    </row>
    <row r="222" spans="1:12" ht="15.75">
      <c r="A222" s="2719" t="s">
        <v>1171</v>
      </c>
      <c r="B222" s="2720">
        <v>74000000000</v>
      </c>
      <c r="C222" s="2721">
        <v>0.34</v>
      </c>
      <c r="D222" s="2720">
        <v>2800</v>
      </c>
      <c r="E222" s="2722">
        <v>28000000000</v>
      </c>
      <c r="F222" s="2722">
        <v>420507000</v>
      </c>
      <c r="G222" s="2723">
        <f t="shared" si="6"/>
        <v>420.50700000000001</v>
      </c>
      <c r="H222" s="2722">
        <v>317104000</v>
      </c>
      <c r="I222" s="2723">
        <f t="shared" si="7"/>
        <v>317.10399999999998</v>
      </c>
      <c r="J222" s="2722">
        <v>2.1999999999999999E-5</v>
      </c>
      <c r="K222" s="2722">
        <v>1000</v>
      </c>
      <c r="L222" s="2729">
        <v>150</v>
      </c>
    </row>
    <row r="223" spans="1:12" ht="15.75">
      <c r="A223" s="2724" t="s">
        <v>1172</v>
      </c>
      <c r="B223" s="2725">
        <v>74800000000</v>
      </c>
      <c r="C223" s="2726">
        <v>0.35</v>
      </c>
      <c r="D223" s="2725">
        <v>2820</v>
      </c>
      <c r="E223" s="2727">
        <v>2840000000</v>
      </c>
      <c r="F223" s="2727">
        <v>885000000</v>
      </c>
      <c r="G223" s="2728">
        <f t="shared" si="6"/>
        <v>885</v>
      </c>
      <c r="H223" s="2727">
        <v>685000000</v>
      </c>
      <c r="I223" s="2728">
        <f t="shared" si="7"/>
        <v>685</v>
      </c>
      <c r="J223" s="2727">
        <v>2.2739999999999999E-5</v>
      </c>
      <c r="K223" s="2727">
        <v>460</v>
      </c>
      <c r="L223" s="2730">
        <v>44</v>
      </c>
    </row>
    <row r="224" spans="1:12" ht="15.75">
      <c r="A224" s="2719" t="s">
        <v>1173</v>
      </c>
      <c r="B224" s="2720">
        <v>74200000000</v>
      </c>
      <c r="C224" s="2721">
        <v>0.36</v>
      </c>
      <c r="D224" s="2720">
        <v>2850</v>
      </c>
      <c r="E224" s="2722">
        <v>2730000000</v>
      </c>
      <c r="F224" s="2722">
        <v>885000000</v>
      </c>
      <c r="G224" s="2723">
        <f t="shared" si="6"/>
        <v>885</v>
      </c>
      <c r="H224" s="2722">
        <v>685000000</v>
      </c>
      <c r="I224" s="2723">
        <f t="shared" si="7"/>
        <v>685</v>
      </c>
      <c r="J224" s="2722">
        <v>2.3839999999999999E-5</v>
      </c>
      <c r="K224" s="2722">
        <v>460</v>
      </c>
      <c r="L224" s="2729">
        <v>44</v>
      </c>
    </row>
    <row r="225" spans="1:12" ht="15.75">
      <c r="A225" s="2724" t="s">
        <v>1174</v>
      </c>
      <c r="B225" s="2725">
        <v>77500000000</v>
      </c>
      <c r="C225" s="2726">
        <v>0.33</v>
      </c>
      <c r="D225" s="2725">
        <v>2570</v>
      </c>
      <c r="E225" s="2727">
        <v>2840000000</v>
      </c>
      <c r="F225" s="2727">
        <v>885000000</v>
      </c>
      <c r="G225" s="2728">
        <f t="shared" si="6"/>
        <v>885</v>
      </c>
      <c r="H225" s="2727">
        <v>685000000</v>
      </c>
      <c r="I225" s="2728">
        <f t="shared" si="7"/>
        <v>685</v>
      </c>
      <c r="J225" s="2727">
        <v>2.3300000000000001E-5</v>
      </c>
      <c r="K225" s="2727">
        <v>460</v>
      </c>
      <c r="L225" s="2730">
        <v>44</v>
      </c>
    </row>
    <row r="226" spans="1:12" ht="15.75">
      <c r="A226" s="2719" t="s">
        <v>1175</v>
      </c>
      <c r="B226" s="2720">
        <v>72520000000</v>
      </c>
      <c r="C226" s="2721">
        <v>0.32</v>
      </c>
      <c r="D226" s="2720">
        <v>2500</v>
      </c>
      <c r="E226" s="2722">
        <v>2744000000</v>
      </c>
      <c r="F226" s="2722">
        <v>885000000</v>
      </c>
      <c r="G226" s="2723">
        <f t="shared" si="6"/>
        <v>885</v>
      </c>
      <c r="H226" s="2722">
        <v>685000000</v>
      </c>
      <c r="I226" s="2723">
        <f t="shared" si="7"/>
        <v>685</v>
      </c>
      <c r="J226" s="2722">
        <v>2.12E-5</v>
      </c>
      <c r="K226" s="2722">
        <v>460</v>
      </c>
      <c r="L226" s="2729">
        <v>44</v>
      </c>
    </row>
    <row r="227" spans="1:12" ht="15.75">
      <c r="A227" s="2724" t="s">
        <v>1176</v>
      </c>
      <c r="B227" s="2725">
        <v>69000000000</v>
      </c>
      <c r="C227" s="2726">
        <v>0.33</v>
      </c>
      <c r="D227" s="2725">
        <v>2700</v>
      </c>
      <c r="E227" s="2727">
        <v>27000000000</v>
      </c>
      <c r="F227" s="2727">
        <v>68935600</v>
      </c>
      <c r="G227" s="2728">
        <f t="shared" si="6"/>
        <v>68.935599999999994</v>
      </c>
      <c r="H227" s="2727">
        <v>27574200</v>
      </c>
      <c r="I227" s="2728">
        <f t="shared" si="7"/>
        <v>27.574200000000001</v>
      </c>
      <c r="J227" s="2727">
        <v>2.4000000000000001E-5</v>
      </c>
      <c r="K227" s="2727">
        <v>900</v>
      </c>
      <c r="L227" s="2730">
        <v>200</v>
      </c>
    </row>
    <row r="228" spans="1:12" ht="15.75">
      <c r="A228" s="2719" t="s">
        <v>1177</v>
      </c>
      <c r="B228" s="2720">
        <v>69000000000</v>
      </c>
      <c r="C228" s="2721">
        <v>0.33</v>
      </c>
      <c r="D228" s="2720">
        <v>2705</v>
      </c>
      <c r="E228" s="2722">
        <v>26000000000</v>
      </c>
      <c r="F228" s="2722">
        <v>60000000</v>
      </c>
      <c r="G228" s="2723">
        <f t="shared" si="6"/>
        <v>60</v>
      </c>
      <c r="H228" s="2722">
        <v>30000000</v>
      </c>
      <c r="I228" s="2723">
        <f t="shared" si="7"/>
        <v>30</v>
      </c>
      <c r="J228" s="2722">
        <v>2.4000000000000001E-5</v>
      </c>
      <c r="K228" s="2722">
        <v>900</v>
      </c>
      <c r="L228" s="2729">
        <v>234</v>
      </c>
    </row>
    <row r="229" spans="1:12" ht="15.75">
      <c r="A229" s="2724" t="s">
        <v>1178</v>
      </c>
      <c r="B229" s="2725">
        <v>69000000000</v>
      </c>
      <c r="C229" s="2726">
        <v>0.33</v>
      </c>
      <c r="D229" s="2725">
        <v>2705</v>
      </c>
      <c r="E229" s="2727">
        <v>26000000000</v>
      </c>
      <c r="F229" s="2727">
        <v>80000000</v>
      </c>
      <c r="G229" s="2728">
        <f t="shared" si="6"/>
        <v>80</v>
      </c>
      <c r="H229" s="2727">
        <v>70000000</v>
      </c>
      <c r="I229" s="2728">
        <f t="shared" si="7"/>
        <v>70</v>
      </c>
      <c r="J229" s="2727">
        <v>2.3600000000000001E-5</v>
      </c>
      <c r="K229" s="2727">
        <v>900</v>
      </c>
      <c r="L229" s="2730">
        <v>230</v>
      </c>
    </row>
    <row r="230" spans="1:12" ht="15.75">
      <c r="A230" s="2719" t="s">
        <v>1179</v>
      </c>
      <c r="B230" s="2720">
        <v>69000000000</v>
      </c>
      <c r="C230" s="2721">
        <v>0.33</v>
      </c>
      <c r="D230" s="2720">
        <v>2705</v>
      </c>
      <c r="E230" s="2722">
        <v>26000000000</v>
      </c>
      <c r="F230" s="2722">
        <v>80000000</v>
      </c>
      <c r="G230" s="2723">
        <f t="shared" si="6"/>
        <v>80</v>
      </c>
      <c r="H230" s="2722">
        <v>57000000</v>
      </c>
      <c r="I230" s="2723">
        <f t="shared" si="7"/>
        <v>57</v>
      </c>
      <c r="J230" s="2722">
        <v>2.4000000000000001E-5</v>
      </c>
      <c r="K230" s="2722">
        <v>900</v>
      </c>
      <c r="L230" s="2729">
        <v>230</v>
      </c>
    </row>
    <row r="231" spans="1:12" ht="15.75">
      <c r="A231" s="2724" t="s">
        <v>1180</v>
      </c>
      <c r="B231" s="2725">
        <v>69000000000</v>
      </c>
      <c r="C231" s="2726">
        <v>0.33</v>
      </c>
      <c r="D231" s="2725">
        <v>2705</v>
      </c>
      <c r="E231" s="2727">
        <v>26000000000</v>
      </c>
      <c r="F231" s="2727">
        <v>95000000</v>
      </c>
      <c r="G231" s="2728">
        <f t="shared" si="6"/>
        <v>95</v>
      </c>
      <c r="H231" s="2727">
        <v>80000000</v>
      </c>
      <c r="I231" s="2728">
        <f t="shared" si="7"/>
        <v>80</v>
      </c>
      <c r="J231" s="2727">
        <v>2.3600000000000001E-5</v>
      </c>
      <c r="K231" s="2727">
        <v>900</v>
      </c>
      <c r="L231" s="2730">
        <v>230</v>
      </c>
    </row>
    <row r="232" spans="1:12" ht="15.75">
      <c r="A232" s="2719" t="s">
        <v>1181</v>
      </c>
      <c r="B232" s="2720">
        <v>69000000000</v>
      </c>
      <c r="C232" s="2721">
        <v>0.33</v>
      </c>
      <c r="D232" s="2720">
        <v>2705</v>
      </c>
      <c r="E232" s="2722">
        <v>26000000000</v>
      </c>
      <c r="F232" s="2722">
        <v>1200000000</v>
      </c>
      <c r="G232" s="2723">
        <f t="shared" si="6"/>
        <v>1200</v>
      </c>
      <c r="H232" s="2722">
        <v>105000000</v>
      </c>
      <c r="I232" s="2723">
        <f t="shared" si="7"/>
        <v>105</v>
      </c>
      <c r="J232" s="2722">
        <v>2.3600000000000001E-5</v>
      </c>
      <c r="K232" s="2722">
        <v>900</v>
      </c>
      <c r="L232" s="2729">
        <v>230</v>
      </c>
    </row>
    <row r="233" spans="1:12" ht="15.75">
      <c r="A233" s="2724" t="s">
        <v>1182</v>
      </c>
      <c r="B233" s="2725">
        <v>69000000000</v>
      </c>
      <c r="C233" s="2726">
        <v>0.33</v>
      </c>
      <c r="D233" s="2725">
        <v>2705</v>
      </c>
      <c r="E233" s="2727">
        <v>26000000000</v>
      </c>
      <c r="F233" s="2727">
        <v>125000000</v>
      </c>
      <c r="G233" s="2728">
        <f t="shared" si="6"/>
        <v>125</v>
      </c>
      <c r="H233" s="2727">
        <v>100000000</v>
      </c>
      <c r="I233" s="2728">
        <f t="shared" si="7"/>
        <v>100</v>
      </c>
      <c r="J233" s="2727">
        <v>2.3600000000000001E-5</v>
      </c>
      <c r="K233" s="2727">
        <v>900</v>
      </c>
      <c r="L233" s="2730">
        <v>230</v>
      </c>
    </row>
    <row r="234" spans="1:12" ht="15.75">
      <c r="A234" s="2719" t="s">
        <v>1183</v>
      </c>
      <c r="B234" s="2720">
        <v>69000000000</v>
      </c>
      <c r="C234" s="2721">
        <v>0.33</v>
      </c>
      <c r="D234" s="2720">
        <v>2705</v>
      </c>
      <c r="E234" s="2722">
        <v>26000000000</v>
      </c>
      <c r="F234" s="2722">
        <v>125000000</v>
      </c>
      <c r="G234" s="2723">
        <f t="shared" si="6"/>
        <v>125</v>
      </c>
      <c r="H234" s="2722">
        <v>108000000</v>
      </c>
      <c r="I234" s="2723">
        <f t="shared" si="7"/>
        <v>108</v>
      </c>
      <c r="J234" s="2722">
        <v>2.4000000000000001E-5</v>
      </c>
      <c r="K234" s="2722">
        <v>900</v>
      </c>
      <c r="L234" s="2729">
        <v>230</v>
      </c>
    </row>
    <row r="235" spans="1:12" ht="15.75">
      <c r="A235" s="2724" t="s">
        <v>1184</v>
      </c>
      <c r="B235" s="2725">
        <v>68900000000</v>
      </c>
      <c r="C235" s="2726">
        <v>0.33</v>
      </c>
      <c r="D235" s="2725">
        <v>2710</v>
      </c>
      <c r="E235" s="2727">
        <v>26000000000</v>
      </c>
      <c r="F235" s="2727">
        <v>89600000</v>
      </c>
      <c r="G235" s="2728">
        <f t="shared" si="6"/>
        <v>89.6</v>
      </c>
      <c r="H235" s="2727">
        <v>34500000</v>
      </c>
      <c r="I235" s="2728">
        <f t="shared" si="7"/>
        <v>34.5</v>
      </c>
      <c r="J235" s="2727">
        <v>2.4000000000000001E-5</v>
      </c>
      <c r="K235" s="2727">
        <v>904.00001999999995</v>
      </c>
      <c r="L235" s="2730">
        <v>222</v>
      </c>
    </row>
    <row r="236" spans="1:12" ht="15.75">
      <c r="A236" s="2719" t="s">
        <v>1185</v>
      </c>
      <c r="B236" s="2720">
        <v>68899999795.832794</v>
      </c>
      <c r="C236" s="2721">
        <v>0.33</v>
      </c>
      <c r="D236" s="2720">
        <v>2710.0000009999999</v>
      </c>
      <c r="E236" s="2722">
        <v>26000000131.0994</v>
      </c>
      <c r="F236" s="2722">
        <v>109999998.96355399</v>
      </c>
      <c r="G236" s="2723">
        <f t="shared" si="6"/>
        <v>109.99999896355401</v>
      </c>
      <c r="H236" s="2722">
        <v>99284505.021619007</v>
      </c>
      <c r="I236" s="2723">
        <f t="shared" si="7"/>
        <v>99.284505021618997</v>
      </c>
      <c r="J236" s="2722">
        <v>2.4000000000000001E-5</v>
      </c>
      <c r="K236" s="2722">
        <v>904.00002099999995</v>
      </c>
      <c r="L236" s="2729">
        <v>219.99999800000001</v>
      </c>
    </row>
    <row r="237" spans="1:12" ht="15.75">
      <c r="A237" s="2724" t="s">
        <v>1186</v>
      </c>
      <c r="B237" s="2725">
        <v>68899999795.832794</v>
      </c>
      <c r="C237" s="2726">
        <v>0.33</v>
      </c>
      <c r="D237" s="2725">
        <v>2709.8622099999998</v>
      </c>
      <c r="E237" s="2727">
        <v>26000000131.0994</v>
      </c>
      <c r="F237" s="2727">
        <v>130000000.655497</v>
      </c>
      <c r="G237" s="2728">
        <f t="shared" si="6"/>
        <v>130.00000065549699</v>
      </c>
      <c r="H237" s="2727">
        <v>122726679.81839</v>
      </c>
      <c r="I237" s="2728">
        <f t="shared" si="7"/>
        <v>122.72667981839</v>
      </c>
      <c r="J237" s="2727">
        <v>2.4000000000000001E-5</v>
      </c>
      <c r="K237" s="2727">
        <v>904.00002099999995</v>
      </c>
      <c r="L237" s="2730">
        <v>219.99999800000001</v>
      </c>
    </row>
    <row r="238" spans="1:12" ht="15.75">
      <c r="A238" s="2719" t="s">
        <v>1187</v>
      </c>
      <c r="B238" s="2720">
        <v>69000000666.137207</v>
      </c>
      <c r="C238" s="2721">
        <v>0.33</v>
      </c>
      <c r="D238" s="2720">
        <v>2704.9999859999998</v>
      </c>
      <c r="E238" s="2722">
        <v>26000000131.0994</v>
      </c>
      <c r="F238" s="2722">
        <v>130000000.655497</v>
      </c>
      <c r="G238" s="2723">
        <f t="shared" si="6"/>
        <v>130.00000065549699</v>
      </c>
      <c r="H238" s="2722">
        <v>118589825.44249</v>
      </c>
      <c r="I238" s="2723">
        <f t="shared" si="7"/>
        <v>118.58982544249</v>
      </c>
      <c r="J238" s="2722">
        <v>0</v>
      </c>
      <c r="K238" s="2722">
        <v>900.00000499999999</v>
      </c>
      <c r="L238" s="2729">
        <v>229.99999800000001</v>
      </c>
    </row>
    <row r="239" spans="1:12" ht="15.75">
      <c r="A239" s="2724" t="s">
        <v>1188</v>
      </c>
      <c r="B239" s="2725">
        <v>69000000000</v>
      </c>
      <c r="C239" s="2726">
        <v>0.33</v>
      </c>
      <c r="D239" s="2725">
        <v>2700</v>
      </c>
      <c r="E239" s="2727">
        <v>27000000000</v>
      </c>
      <c r="F239" s="2727">
        <v>82722700</v>
      </c>
      <c r="G239" s="2728">
        <f t="shared" si="6"/>
        <v>82.722700000000003</v>
      </c>
      <c r="H239" s="2727">
        <v>27574200</v>
      </c>
      <c r="I239" s="2728">
        <f t="shared" si="7"/>
        <v>27.574200000000001</v>
      </c>
      <c r="J239" s="2727">
        <v>2.4000000000000001E-5</v>
      </c>
      <c r="K239" s="2727">
        <v>1000</v>
      </c>
      <c r="L239" s="2730">
        <v>230</v>
      </c>
    </row>
    <row r="240" spans="1:12" ht="15.75">
      <c r="A240" s="2719" t="s">
        <v>1189</v>
      </c>
      <c r="B240" s="2720">
        <v>73000000000</v>
      </c>
      <c r="C240" s="2721">
        <v>0.33</v>
      </c>
      <c r="D240" s="2720">
        <v>2800</v>
      </c>
      <c r="E240" s="2722">
        <v>28000000000</v>
      </c>
      <c r="F240" s="2722">
        <v>165445000</v>
      </c>
      <c r="G240" s="2723">
        <f t="shared" si="6"/>
        <v>165.44499999999999</v>
      </c>
      <c r="H240" s="2722">
        <v>96509800</v>
      </c>
      <c r="I240" s="2723">
        <f t="shared" si="7"/>
        <v>96.509799999999998</v>
      </c>
      <c r="J240" s="2722">
        <v>2.3E-5</v>
      </c>
      <c r="K240" s="2722">
        <v>960</v>
      </c>
      <c r="L240" s="2729">
        <v>160</v>
      </c>
    </row>
    <row r="241" spans="1:12" ht="15.75">
      <c r="A241" s="2724" t="s">
        <v>1190</v>
      </c>
      <c r="B241" s="2725">
        <v>72400000000</v>
      </c>
      <c r="C241" s="2726">
        <v>0.33</v>
      </c>
      <c r="D241" s="2725">
        <v>2800</v>
      </c>
      <c r="E241" s="2727">
        <v>28000000000</v>
      </c>
      <c r="F241" s="2727">
        <v>205000000</v>
      </c>
      <c r="G241" s="2728">
        <f t="shared" si="6"/>
        <v>205</v>
      </c>
      <c r="H241" s="2727">
        <v>95000000</v>
      </c>
      <c r="I241" s="2728">
        <f t="shared" si="7"/>
        <v>95</v>
      </c>
      <c r="J241" s="2727">
        <v>2.3E-5</v>
      </c>
      <c r="K241" s="2727">
        <v>880</v>
      </c>
      <c r="L241" s="2730">
        <v>192</v>
      </c>
    </row>
    <row r="242" spans="1:12" ht="15.75">
      <c r="A242" s="2719" t="s">
        <v>1191</v>
      </c>
      <c r="B242" s="2720">
        <v>72400000000</v>
      </c>
      <c r="C242" s="2721">
        <v>0.33</v>
      </c>
      <c r="D242" s="2720">
        <v>2800</v>
      </c>
      <c r="E242" s="2722">
        <v>28000000000</v>
      </c>
      <c r="F242" s="2722">
        <v>425000000</v>
      </c>
      <c r="G242" s="2723">
        <f t="shared" si="6"/>
        <v>425</v>
      </c>
      <c r="H242" s="2722">
        <v>290000000</v>
      </c>
      <c r="I242" s="2723">
        <f t="shared" si="7"/>
        <v>290</v>
      </c>
      <c r="J242" s="2722">
        <v>2.3E-5</v>
      </c>
      <c r="K242" s="2722">
        <v>880</v>
      </c>
      <c r="L242" s="2729">
        <v>134</v>
      </c>
    </row>
    <row r="243" spans="1:12" ht="15.75">
      <c r="A243" s="2724" t="s">
        <v>1192</v>
      </c>
      <c r="B243" s="2725">
        <v>72400000000</v>
      </c>
      <c r="C243" s="2726">
        <v>0.33</v>
      </c>
      <c r="D243" s="2725">
        <v>2800</v>
      </c>
      <c r="E243" s="2727">
        <v>28000000000</v>
      </c>
      <c r="F243" s="2727">
        <v>440000000</v>
      </c>
      <c r="G243" s="2728">
        <f t="shared" si="6"/>
        <v>440</v>
      </c>
      <c r="H243" s="2727">
        <v>395000000</v>
      </c>
      <c r="I243" s="2728">
        <f t="shared" si="7"/>
        <v>395</v>
      </c>
      <c r="J243" s="2727">
        <v>2.3E-5</v>
      </c>
      <c r="K243" s="2727">
        <v>880</v>
      </c>
      <c r="L243" s="2730">
        <v>155</v>
      </c>
    </row>
    <row r="244" spans="1:12" ht="15.75">
      <c r="A244" s="2719" t="s">
        <v>1193</v>
      </c>
      <c r="B244" s="2720">
        <v>72400000000</v>
      </c>
      <c r="C244" s="2721">
        <v>0.33</v>
      </c>
      <c r="D244" s="2720">
        <v>2800</v>
      </c>
      <c r="E244" s="2722">
        <v>28000000000</v>
      </c>
      <c r="F244" s="2722">
        <v>440000000</v>
      </c>
      <c r="G244" s="2723">
        <f t="shared" si="6"/>
        <v>440</v>
      </c>
      <c r="H244" s="2722">
        <v>395000000</v>
      </c>
      <c r="I244" s="2723">
        <f t="shared" si="7"/>
        <v>395</v>
      </c>
      <c r="J244" s="2722">
        <v>2.3E-5</v>
      </c>
      <c r="K244" s="2722">
        <v>880</v>
      </c>
      <c r="L244" s="2729">
        <v>155</v>
      </c>
    </row>
    <row r="245" spans="1:12" ht="15.75">
      <c r="A245" s="2724" t="s">
        <v>1194</v>
      </c>
      <c r="B245" s="2725">
        <v>72400000000</v>
      </c>
      <c r="C245" s="2726">
        <v>0.33</v>
      </c>
      <c r="D245" s="2725">
        <v>2800</v>
      </c>
      <c r="E245" s="2727">
        <v>28000000000</v>
      </c>
      <c r="F245" s="2727">
        <v>460000000</v>
      </c>
      <c r="G245" s="2728">
        <f t="shared" si="6"/>
        <v>460</v>
      </c>
      <c r="H245" s="2727">
        <v>405000000</v>
      </c>
      <c r="I245" s="2728">
        <f t="shared" si="7"/>
        <v>405</v>
      </c>
      <c r="J245" s="2727">
        <v>2.3E-5</v>
      </c>
      <c r="K245" s="2727">
        <v>880</v>
      </c>
      <c r="L245" s="2730">
        <v>155</v>
      </c>
    </row>
    <row r="246" spans="1:12" ht="15.75">
      <c r="A246" s="2719" t="s">
        <v>1195</v>
      </c>
      <c r="B246" s="2720">
        <v>74000000000</v>
      </c>
      <c r="C246" s="2721">
        <v>0.33</v>
      </c>
      <c r="D246" s="2720">
        <v>2800</v>
      </c>
      <c r="E246" s="2722">
        <v>27000000000</v>
      </c>
      <c r="F246" s="2722">
        <v>420507000</v>
      </c>
      <c r="G246" s="2723">
        <f t="shared" si="6"/>
        <v>420.50700000000001</v>
      </c>
      <c r="H246" s="2722">
        <v>317104000</v>
      </c>
      <c r="I246" s="2723">
        <f t="shared" si="7"/>
        <v>317.10399999999998</v>
      </c>
      <c r="J246" s="2722">
        <v>2.1999999999999999E-5</v>
      </c>
      <c r="K246" s="2722">
        <v>1000</v>
      </c>
      <c r="L246" s="2729">
        <v>150</v>
      </c>
    </row>
    <row r="247" spans="1:12" ht="15.75">
      <c r="A247" s="2724" t="s">
        <v>1196</v>
      </c>
      <c r="B247" s="2725">
        <v>73000000000</v>
      </c>
      <c r="C247" s="2726">
        <v>0.33</v>
      </c>
      <c r="D247" s="2725">
        <v>2800</v>
      </c>
      <c r="E247" s="2727">
        <v>28000000000</v>
      </c>
      <c r="F247" s="2727">
        <v>186126000</v>
      </c>
      <c r="G247" s="2728">
        <f t="shared" si="6"/>
        <v>186.126</v>
      </c>
      <c r="H247" s="2727">
        <v>758291000</v>
      </c>
      <c r="I247" s="2728">
        <f t="shared" si="7"/>
        <v>758.29100000000005</v>
      </c>
      <c r="J247" s="2727">
        <v>2.3E-5</v>
      </c>
      <c r="K247" s="2727">
        <v>800</v>
      </c>
      <c r="L247" s="2730">
        <v>140</v>
      </c>
    </row>
    <row r="248" spans="1:12" ht="15.75">
      <c r="A248" s="2719" t="s">
        <v>1197</v>
      </c>
      <c r="B248" s="2720">
        <v>72400000000</v>
      </c>
      <c r="C248" s="2721">
        <v>0.33</v>
      </c>
      <c r="D248" s="2720">
        <v>2780</v>
      </c>
      <c r="E248" s="2722">
        <v>28000000000</v>
      </c>
      <c r="F248" s="2722">
        <v>185000000</v>
      </c>
      <c r="G248" s="2723">
        <f t="shared" si="6"/>
        <v>185</v>
      </c>
      <c r="H248" s="2722">
        <v>75000000</v>
      </c>
      <c r="I248" s="2723">
        <f t="shared" si="7"/>
        <v>75</v>
      </c>
      <c r="J248" s="2722">
        <v>2.3200000000000001E-5</v>
      </c>
      <c r="K248" s="2722">
        <v>875</v>
      </c>
      <c r="L248" s="2729">
        <v>193</v>
      </c>
    </row>
    <row r="249" spans="1:12" ht="15.75">
      <c r="A249" s="2724" t="s">
        <v>1198</v>
      </c>
      <c r="B249" s="2725">
        <v>72400000000</v>
      </c>
      <c r="C249" s="2726">
        <v>0.33</v>
      </c>
      <c r="D249" s="2725">
        <v>2780</v>
      </c>
      <c r="E249" s="2727">
        <v>28000000000</v>
      </c>
      <c r="F249" s="2727">
        <v>405000000</v>
      </c>
      <c r="G249" s="2728">
        <f t="shared" si="6"/>
        <v>405</v>
      </c>
      <c r="H249" s="2727">
        <v>275000000</v>
      </c>
      <c r="I249" s="2728">
        <f t="shared" si="7"/>
        <v>275</v>
      </c>
      <c r="J249" s="2727">
        <v>2.3200000000000001E-5</v>
      </c>
      <c r="K249" s="2727">
        <v>875</v>
      </c>
      <c r="L249" s="2730">
        <v>120</v>
      </c>
    </row>
    <row r="250" spans="1:12" ht="15.75">
      <c r="A250" s="2719" t="s">
        <v>1199</v>
      </c>
      <c r="B250" s="2720">
        <v>72400000000</v>
      </c>
      <c r="C250" s="2721">
        <v>0.33</v>
      </c>
      <c r="D250" s="2720">
        <v>2780</v>
      </c>
      <c r="E250" s="2722">
        <v>28000000000</v>
      </c>
      <c r="F250" s="2722">
        <v>400000000</v>
      </c>
      <c r="G250" s="2723">
        <f t="shared" si="6"/>
        <v>400</v>
      </c>
      <c r="H250" s="2722">
        <v>260000000</v>
      </c>
      <c r="I250" s="2723">
        <f t="shared" si="7"/>
        <v>260</v>
      </c>
      <c r="J250" s="2722">
        <v>2.3200000000000001E-5</v>
      </c>
      <c r="K250" s="2722">
        <v>875</v>
      </c>
      <c r="L250" s="2729">
        <v>120</v>
      </c>
    </row>
    <row r="251" spans="1:12" ht="15.75">
      <c r="A251" s="2724" t="s">
        <v>1200</v>
      </c>
      <c r="B251" s="2725">
        <v>72000000000</v>
      </c>
      <c r="C251" s="2726">
        <v>0.33</v>
      </c>
      <c r="D251" s="2725">
        <v>2840</v>
      </c>
      <c r="E251" s="2727">
        <v>27000000000</v>
      </c>
      <c r="F251" s="2727">
        <v>170000000</v>
      </c>
      <c r="G251" s="2728">
        <f t="shared" si="6"/>
        <v>170</v>
      </c>
      <c r="H251" s="2727">
        <v>70000000</v>
      </c>
      <c r="I251" s="2728">
        <f t="shared" si="7"/>
        <v>70</v>
      </c>
      <c r="J251" s="2727">
        <v>2.23E-5</v>
      </c>
      <c r="K251" s="2727">
        <v>864</v>
      </c>
      <c r="L251" s="2730">
        <v>170</v>
      </c>
    </row>
    <row r="252" spans="1:12" ht="15.75">
      <c r="A252" s="2719" t="s">
        <v>1201</v>
      </c>
      <c r="B252" s="2720">
        <v>72000000000</v>
      </c>
      <c r="C252" s="2721">
        <v>0.33</v>
      </c>
      <c r="D252" s="2720">
        <v>2840</v>
      </c>
      <c r="E252" s="2722">
        <v>27000000000</v>
      </c>
      <c r="F252" s="2722">
        <v>360000000</v>
      </c>
      <c r="G252" s="2723">
        <f t="shared" si="6"/>
        <v>360</v>
      </c>
      <c r="H252" s="2722">
        <v>250000000</v>
      </c>
      <c r="I252" s="2723">
        <f t="shared" si="7"/>
        <v>250</v>
      </c>
      <c r="J252" s="2722">
        <v>2.23E-5</v>
      </c>
      <c r="K252" s="2722">
        <v>864</v>
      </c>
      <c r="L252" s="2729">
        <v>116</v>
      </c>
    </row>
    <row r="253" spans="1:12" ht="15.75">
      <c r="A253" s="2724" t="s">
        <v>1202</v>
      </c>
      <c r="B253" s="2725">
        <v>72000000000</v>
      </c>
      <c r="C253" s="2726">
        <v>0.33</v>
      </c>
      <c r="D253" s="2725">
        <v>2840</v>
      </c>
      <c r="E253" s="2727">
        <v>27000000000</v>
      </c>
      <c r="F253" s="2727">
        <v>395000000</v>
      </c>
      <c r="G253" s="2728">
        <f t="shared" si="6"/>
        <v>395</v>
      </c>
      <c r="H253" s="2727">
        <v>315000000</v>
      </c>
      <c r="I253" s="2728">
        <f t="shared" si="7"/>
        <v>315</v>
      </c>
      <c r="J253" s="2727">
        <v>2.23E-5</v>
      </c>
      <c r="K253" s="2727">
        <v>864</v>
      </c>
      <c r="L253" s="2730">
        <v>116</v>
      </c>
    </row>
    <row r="254" spans="1:12" ht="15.75">
      <c r="A254" s="2719" t="s">
        <v>1203</v>
      </c>
      <c r="B254" s="2720">
        <v>72000000000</v>
      </c>
      <c r="C254" s="2721">
        <v>0.33</v>
      </c>
      <c r="D254" s="2720">
        <v>2840</v>
      </c>
      <c r="E254" s="2722">
        <v>27000000000</v>
      </c>
      <c r="F254" s="2722">
        <v>415000000</v>
      </c>
      <c r="G254" s="2723">
        <f t="shared" si="6"/>
        <v>415</v>
      </c>
      <c r="H254" s="2722">
        <v>290000000</v>
      </c>
      <c r="I254" s="2723">
        <f t="shared" si="7"/>
        <v>290</v>
      </c>
      <c r="J254" s="2722">
        <v>2.23E-5</v>
      </c>
      <c r="K254" s="2722">
        <v>864</v>
      </c>
      <c r="L254" s="2729">
        <v>120</v>
      </c>
    </row>
    <row r="255" spans="1:12" ht="15.75">
      <c r="A255" s="2724" t="s">
        <v>1204</v>
      </c>
      <c r="B255" s="2725">
        <v>72000000000</v>
      </c>
      <c r="C255" s="2726">
        <v>0.33</v>
      </c>
      <c r="D255" s="2725">
        <v>2840</v>
      </c>
      <c r="E255" s="2727">
        <v>27000000000</v>
      </c>
      <c r="F255" s="2727">
        <v>455000000</v>
      </c>
      <c r="G255" s="2728">
        <f t="shared" si="6"/>
        <v>455</v>
      </c>
      <c r="H255" s="2727">
        <v>350000000</v>
      </c>
      <c r="I255" s="2728">
        <f t="shared" si="7"/>
        <v>350</v>
      </c>
      <c r="J255" s="2727">
        <v>2.23E-5</v>
      </c>
      <c r="K255" s="2727">
        <v>864</v>
      </c>
      <c r="L255" s="2730">
        <v>120</v>
      </c>
    </row>
    <row r="256" spans="1:12" ht="15.75">
      <c r="A256" s="2719" t="s">
        <v>1205</v>
      </c>
      <c r="B256" s="2720">
        <v>72000000000</v>
      </c>
      <c r="C256" s="2721">
        <v>0.33</v>
      </c>
      <c r="D256" s="2720">
        <v>2840</v>
      </c>
      <c r="E256" s="2722">
        <v>27000000000</v>
      </c>
      <c r="F256" s="2722">
        <v>475000000</v>
      </c>
      <c r="G256" s="2723">
        <f t="shared" si="6"/>
        <v>475</v>
      </c>
      <c r="H256" s="2722">
        <v>395000000</v>
      </c>
      <c r="I256" s="2723">
        <f t="shared" si="7"/>
        <v>395</v>
      </c>
      <c r="J256" s="2722">
        <v>2.23E-5</v>
      </c>
      <c r="K256" s="2722">
        <v>864</v>
      </c>
      <c r="L256" s="2729">
        <v>120</v>
      </c>
    </row>
    <row r="257" spans="1:12" ht="15.75">
      <c r="A257" s="2724" t="s">
        <v>1206</v>
      </c>
      <c r="B257" s="2725">
        <v>74499996822.198395</v>
      </c>
      <c r="C257" s="2726">
        <v>0.33</v>
      </c>
      <c r="D257" s="2725">
        <v>2760.0000030000001</v>
      </c>
      <c r="E257" s="2727">
        <v>26999999870.958698</v>
      </c>
      <c r="F257" s="2727">
        <v>440999997.66250098</v>
      </c>
      <c r="G257" s="2728">
        <f t="shared" si="6"/>
        <v>440.99999766250102</v>
      </c>
      <c r="H257" s="2727">
        <v>371999996.99636298</v>
      </c>
      <c r="I257" s="2728">
        <f t="shared" si="7"/>
        <v>371.999996996363</v>
      </c>
      <c r="J257" s="2727">
        <v>2.1999999999999999E-5</v>
      </c>
      <c r="K257" s="2727">
        <v>874.999999</v>
      </c>
      <c r="L257" s="2730">
        <v>145.999999</v>
      </c>
    </row>
    <row r="258" spans="1:12" ht="15.75">
      <c r="A258" s="2719" t="s">
        <v>1207</v>
      </c>
      <c r="B258" s="2720">
        <v>69000000000</v>
      </c>
      <c r="C258" s="2721">
        <v>0.33</v>
      </c>
      <c r="D258" s="2720">
        <v>2700</v>
      </c>
      <c r="E258" s="2722">
        <v>27000000000</v>
      </c>
      <c r="F258" s="2722">
        <v>110297000</v>
      </c>
      <c r="G258" s="2723">
        <f t="shared" si="6"/>
        <v>110.297</v>
      </c>
      <c r="H258" s="2722">
        <v>41361300</v>
      </c>
      <c r="I258" s="2723">
        <f t="shared" si="7"/>
        <v>41.3613</v>
      </c>
      <c r="J258" s="2722">
        <v>2.3E-5</v>
      </c>
      <c r="K258" s="2722">
        <v>1000</v>
      </c>
      <c r="L258" s="2729">
        <v>170</v>
      </c>
    </row>
    <row r="259" spans="1:12" ht="15.75">
      <c r="A259" s="2724" t="s">
        <v>1208</v>
      </c>
      <c r="B259" s="2725">
        <v>69000000000</v>
      </c>
      <c r="C259" s="2726">
        <v>0.33</v>
      </c>
      <c r="D259" s="2725">
        <v>2730</v>
      </c>
      <c r="E259" s="2727">
        <v>25000000000</v>
      </c>
      <c r="F259" s="2727">
        <v>110000000</v>
      </c>
      <c r="G259" s="2728">
        <f t="shared" si="6"/>
        <v>110</v>
      </c>
      <c r="H259" s="2727">
        <v>40000000</v>
      </c>
      <c r="I259" s="2728">
        <f t="shared" si="7"/>
        <v>40</v>
      </c>
      <c r="J259" s="2727">
        <v>2.3200000000000001E-5</v>
      </c>
      <c r="K259" s="2727">
        <v>893</v>
      </c>
      <c r="L259" s="2730">
        <v>193</v>
      </c>
    </row>
    <row r="260" spans="1:12" ht="15.75">
      <c r="A260" s="2719" t="s">
        <v>1209</v>
      </c>
      <c r="B260" s="2720">
        <v>69000000666.137207</v>
      </c>
      <c r="C260" s="2721">
        <v>0.33</v>
      </c>
      <c r="D260" s="2720">
        <v>2730.0000020000002</v>
      </c>
      <c r="E260" s="2722">
        <v>24999999701.764301</v>
      </c>
      <c r="F260" s="2722">
        <v>105000000</v>
      </c>
      <c r="G260" s="2723">
        <f t="shared" ref="G260:G323" si="8">F260/1000000</f>
        <v>105</v>
      </c>
      <c r="H260" s="2722">
        <v>36000000</v>
      </c>
      <c r="I260" s="2723">
        <f t="shared" ref="I260:I323" si="9">H260/1000000</f>
        <v>36</v>
      </c>
      <c r="J260" s="2722">
        <v>2.3E-5</v>
      </c>
      <c r="K260" s="2722">
        <v>893.00000799999998</v>
      </c>
      <c r="L260" s="2729">
        <v>193.00000199999999</v>
      </c>
    </row>
    <row r="261" spans="1:12" ht="15.75">
      <c r="A261" s="2724" t="s">
        <v>1210</v>
      </c>
      <c r="B261" s="2725">
        <v>69000000000</v>
      </c>
      <c r="C261" s="2726">
        <v>0.33</v>
      </c>
      <c r="D261" s="2725">
        <v>2730</v>
      </c>
      <c r="E261" s="2727">
        <v>25000000000</v>
      </c>
      <c r="F261" s="2727">
        <v>130000000</v>
      </c>
      <c r="G261" s="2728">
        <f t="shared" si="8"/>
        <v>130</v>
      </c>
      <c r="H261" s="2727">
        <v>125000000</v>
      </c>
      <c r="I261" s="2728">
        <f t="shared" si="9"/>
        <v>125</v>
      </c>
      <c r="J261" s="2727">
        <v>2.3200000000000001E-5</v>
      </c>
      <c r="K261" s="2727">
        <v>893</v>
      </c>
      <c r="L261" s="2730">
        <v>162</v>
      </c>
    </row>
    <row r="262" spans="1:12" ht="15.75">
      <c r="A262" s="2719" t="s">
        <v>1211</v>
      </c>
      <c r="B262" s="2720">
        <v>69000000666.137207</v>
      </c>
      <c r="C262" s="2721">
        <v>0.33</v>
      </c>
      <c r="D262" s="2720">
        <v>2730.0000020000002</v>
      </c>
      <c r="E262" s="2722">
        <v>24999999701.764301</v>
      </c>
      <c r="F262" s="2722">
        <v>130000000.655497</v>
      </c>
      <c r="G262" s="2723">
        <f t="shared" si="8"/>
        <v>130.00000065549699</v>
      </c>
      <c r="H262" s="2722">
        <v>124999998.50882199</v>
      </c>
      <c r="I262" s="2723">
        <f t="shared" si="9"/>
        <v>124.999998508822</v>
      </c>
      <c r="J262" s="2722">
        <v>2.3E-5</v>
      </c>
      <c r="K262" s="2722">
        <v>893.00000799999998</v>
      </c>
      <c r="L262" s="2729">
        <v>161.999999</v>
      </c>
    </row>
    <row r="263" spans="1:12" ht="15.75">
      <c r="A263" s="2724" t="s">
        <v>1212</v>
      </c>
      <c r="B263" s="2725">
        <v>69000000000</v>
      </c>
      <c r="C263" s="2726">
        <v>0.33</v>
      </c>
      <c r="D263" s="2725">
        <v>2730</v>
      </c>
      <c r="E263" s="2727">
        <v>25000000000</v>
      </c>
      <c r="F263" s="2727">
        <v>150000000</v>
      </c>
      <c r="G263" s="2728">
        <f t="shared" si="8"/>
        <v>150</v>
      </c>
      <c r="H263" s="2727">
        <v>145000000</v>
      </c>
      <c r="I263" s="2728">
        <f t="shared" si="9"/>
        <v>145</v>
      </c>
      <c r="J263" s="2727">
        <v>2.3200000000000001E-5</v>
      </c>
      <c r="K263" s="2727">
        <v>893</v>
      </c>
      <c r="L263" s="2730">
        <v>159</v>
      </c>
    </row>
    <row r="264" spans="1:12" ht="15.75">
      <c r="A264" s="2719" t="s">
        <v>1213</v>
      </c>
      <c r="B264" s="2720">
        <v>69000000666.137207</v>
      </c>
      <c r="C264" s="2721">
        <v>0.33</v>
      </c>
      <c r="D264" s="2720">
        <v>2730.0000020000002</v>
      </c>
      <c r="E264" s="2722">
        <v>24999999701.764301</v>
      </c>
      <c r="F264" s="2722">
        <v>150000002.34744099</v>
      </c>
      <c r="G264" s="2723">
        <f t="shared" si="8"/>
        <v>150.00000234744101</v>
      </c>
      <c r="H264" s="2722">
        <v>145000000.20076501</v>
      </c>
      <c r="I264" s="2723">
        <f t="shared" si="9"/>
        <v>145.00000020076499</v>
      </c>
      <c r="J264" s="2722">
        <v>2.3E-5</v>
      </c>
      <c r="K264" s="2722">
        <v>893.00000799999998</v>
      </c>
      <c r="L264" s="2729">
        <v>159.00000199999999</v>
      </c>
    </row>
    <row r="265" spans="1:12" ht="15.75">
      <c r="A265" s="2724" t="s">
        <v>1214</v>
      </c>
      <c r="B265" s="2725">
        <v>69000000000</v>
      </c>
      <c r="C265" s="2726">
        <v>0.33</v>
      </c>
      <c r="D265" s="2725">
        <v>2730</v>
      </c>
      <c r="E265" s="2727">
        <v>25000000000</v>
      </c>
      <c r="F265" s="2727">
        <v>180000000</v>
      </c>
      <c r="G265" s="2728">
        <f t="shared" si="8"/>
        <v>180</v>
      </c>
      <c r="H265" s="2727">
        <v>170000000</v>
      </c>
      <c r="I265" s="2728">
        <f t="shared" si="9"/>
        <v>170</v>
      </c>
      <c r="J265" s="2727">
        <v>2.3200000000000001E-5</v>
      </c>
      <c r="K265" s="2727">
        <v>893</v>
      </c>
      <c r="L265" s="2730">
        <v>157</v>
      </c>
    </row>
    <row r="266" spans="1:12" ht="15.75">
      <c r="A266" s="2719" t="s">
        <v>1215</v>
      </c>
      <c r="B266" s="2720">
        <v>69000000000</v>
      </c>
      <c r="C266" s="2721">
        <v>0.33</v>
      </c>
      <c r="D266" s="2720">
        <v>2730</v>
      </c>
      <c r="E266" s="2722">
        <v>25000000000</v>
      </c>
      <c r="F266" s="2722">
        <v>200000000</v>
      </c>
      <c r="G266" s="2723">
        <f t="shared" si="8"/>
        <v>200</v>
      </c>
      <c r="H266" s="2722">
        <v>185000000</v>
      </c>
      <c r="I266" s="2723">
        <f t="shared" si="9"/>
        <v>185</v>
      </c>
      <c r="J266" s="2722">
        <v>2.3200000000000001E-5</v>
      </c>
      <c r="K266" s="2722">
        <v>893</v>
      </c>
      <c r="L266" s="2729">
        <v>155</v>
      </c>
    </row>
    <row r="267" spans="1:12" ht="15.75">
      <c r="A267" s="2724" t="s">
        <v>1216</v>
      </c>
      <c r="B267" s="2725">
        <v>69000000666.137207</v>
      </c>
      <c r="C267" s="2726">
        <v>0.33</v>
      </c>
      <c r="D267" s="2725">
        <v>2730.0000020000002</v>
      </c>
      <c r="E267" s="2727">
        <v>24999999701.764301</v>
      </c>
      <c r="F267" s="2727">
        <v>200000003.12992099</v>
      </c>
      <c r="G267" s="2728">
        <f t="shared" si="8"/>
        <v>200.000003129921</v>
      </c>
      <c r="H267" s="2727">
        <v>184999996.689895</v>
      </c>
      <c r="I267" s="2728">
        <f t="shared" si="9"/>
        <v>184.999996689895</v>
      </c>
      <c r="J267" s="2727">
        <v>2.3E-5</v>
      </c>
      <c r="K267" s="2727">
        <v>893.00000799999998</v>
      </c>
      <c r="L267" s="2730">
        <v>155.00000199999999</v>
      </c>
    </row>
    <row r="268" spans="1:12" ht="15.75">
      <c r="A268" s="2719" t="s">
        <v>1217</v>
      </c>
      <c r="B268" s="2720">
        <v>68899999795.832794</v>
      </c>
      <c r="C268" s="2721">
        <v>0.35</v>
      </c>
      <c r="D268" s="2720">
        <v>2720.0000009999999</v>
      </c>
      <c r="E268" s="2722">
        <v>24999999701.764301</v>
      </c>
      <c r="F268" s="2722">
        <v>241000001.42733699</v>
      </c>
      <c r="G268" s="2723">
        <f t="shared" si="8"/>
        <v>241.000001427337</v>
      </c>
      <c r="H268" s="2722">
        <v>200000003.12992099</v>
      </c>
      <c r="I268" s="2723">
        <f t="shared" si="9"/>
        <v>200.000003129921</v>
      </c>
      <c r="J268" s="2722">
        <v>2.4000000000000001E-5</v>
      </c>
      <c r="K268" s="2722">
        <v>893.00000799999998</v>
      </c>
      <c r="L268" s="2729">
        <v>163.00000199999999</v>
      </c>
    </row>
    <row r="269" spans="1:12" ht="15.75">
      <c r="A269" s="2724" t="s">
        <v>1218</v>
      </c>
      <c r="B269" s="2725">
        <v>68899999795.832794</v>
      </c>
      <c r="C269" s="2726">
        <v>0.35</v>
      </c>
      <c r="D269" s="2725">
        <v>2720.0000009999999</v>
      </c>
      <c r="E269" s="2727">
        <v>24999999701.764301</v>
      </c>
      <c r="F269" s="2727">
        <v>178999999.629691</v>
      </c>
      <c r="G269" s="2728">
        <f t="shared" si="8"/>
        <v>178.99999962969099</v>
      </c>
      <c r="H269" s="2727">
        <v>69000000.666136995</v>
      </c>
      <c r="I269" s="2728">
        <f t="shared" si="9"/>
        <v>69.000000666136998</v>
      </c>
      <c r="J269" s="2727">
        <v>2.4000000000000001E-5</v>
      </c>
      <c r="K269" s="2727">
        <v>893.00000799999998</v>
      </c>
      <c r="L269" s="2730">
        <v>163.00000199999999</v>
      </c>
    </row>
    <row r="270" spans="1:12" ht="15.75">
      <c r="A270" s="2719" t="s">
        <v>1219</v>
      </c>
      <c r="B270" s="2720">
        <v>79000000000</v>
      </c>
      <c r="C270" s="2721">
        <v>0.34</v>
      </c>
      <c r="D270" s="2720">
        <v>2680</v>
      </c>
      <c r="E270" s="2722">
        <v>26000000000</v>
      </c>
      <c r="F270" s="2722">
        <v>380000000</v>
      </c>
      <c r="G270" s="2723">
        <f t="shared" si="8"/>
        <v>380</v>
      </c>
      <c r="H270" s="2722">
        <v>315000000</v>
      </c>
      <c r="I270" s="2723">
        <f t="shared" si="9"/>
        <v>315</v>
      </c>
      <c r="J270" s="2722">
        <v>1.9400000000000001E-5</v>
      </c>
      <c r="K270" s="2722">
        <v>850</v>
      </c>
      <c r="L270" s="2729">
        <v>138</v>
      </c>
    </row>
    <row r="271" spans="1:12" ht="15.75">
      <c r="A271" s="2724" t="s">
        <v>1220</v>
      </c>
      <c r="B271" s="2725">
        <v>70000000000</v>
      </c>
      <c r="C271" s="2726">
        <v>0.33</v>
      </c>
      <c r="D271" s="2725">
        <v>2680</v>
      </c>
      <c r="E271" s="2727">
        <v>25900000000</v>
      </c>
      <c r="F271" s="2727">
        <v>195000000</v>
      </c>
      <c r="G271" s="2728">
        <f t="shared" si="8"/>
        <v>195</v>
      </c>
      <c r="H271" s="2727">
        <v>90000000</v>
      </c>
      <c r="I271" s="2728">
        <f t="shared" si="9"/>
        <v>90</v>
      </c>
      <c r="J271" s="2727">
        <v>2.3799999999999999E-5</v>
      </c>
      <c r="K271" s="2727">
        <v>880</v>
      </c>
      <c r="L271" s="2730">
        <v>137</v>
      </c>
    </row>
    <row r="272" spans="1:12" ht="15.75">
      <c r="A272" s="2719" t="s">
        <v>1221</v>
      </c>
      <c r="B272" s="2720">
        <v>70000002474.423706</v>
      </c>
      <c r="C272" s="2721">
        <v>0.33</v>
      </c>
      <c r="D272" s="2720">
        <v>2679.9999990000001</v>
      </c>
      <c r="E272" s="2722">
        <v>25899999950.270699</v>
      </c>
      <c r="F272" s="2722">
        <v>195000000.983246</v>
      </c>
      <c r="G272" s="2723">
        <f t="shared" si="8"/>
        <v>195.000000983246</v>
      </c>
      <c r="H272" s="2722">
        <v>72394951.578263998</v>
      </c>
      <c r="I272" s="2723">
        <f t="shared" si="9"/>
        <v>72.394951578263999</v>
      </c>
      <c r="J272" s="2722">
        <v>2.4000000000000001E-5</v>
      </c>
      <c r="K272" s="2722">
        <v>880.00000799999998</v>
      </c>
      <c r="L272" s="2729">
        <v>137.00000299999999</v>
      </c>
    </row>
    <row r="273" spans="1:12" ht="15.75">
      <c r="A273" s="2724" t="s">
        <v>1222</v>
      </c>
      <c r="B273" s="2725">
        <v>70000000000</v>
      </c>
      <c r="C273" s="2726">
        <v>0.33</v>
      </c>
      <c r="D273" s="2725">
        <v>2680</v>
      </c>
      <c r="E273" s="2727">
        <v>25900000000</v>
      </c>
      <c r="F273" s="2727">
        <v>230000000</v>
      </c>
      <c r="G273" s="2728">
        <f t="shared" si="8"/>
        <v>230</v>
      </c>
      <c r="H273" s="2727">
        <v>195000000</v>
      </c>
      <c r="I273" s="2728">
        <f t="shared" si="9"/>
        <v>195</v>
      </c>
      <c r="J273" s="2727">
        <v>2.3799999999999999E-5</v>
      </c>
      <c r="K273" s="2727">
        <v>880</v>
      </c>
      <c r="L273" s="2730">
        <v>137</v>
      </c>
    </row>
    <row r="274" spans="1:12" ht="15.75">
      <c r="A274" s="2719" t="s">
        <v>1223</v>
      </c>
      <c r="B274" s="2720">
        <v>70000000000</v>
      </c>
      <c r="C274" s="2721">
        <v>0.33</v>
      </c>
      <c r="D274" s="2720">
        <v>2680</v>
      </c>
      <c r="E274" s="2722">
        <v>25900000000</v>
      </c>
      <c r="F274" s="2722">
        <v>2250000000</v>
      </c>
      <c r="G274" s="2723">
        <f t="shared" si="8"/>
        <v>2250</v>
      </c>
      <c r="H274" s="2722">
        <v>215000000</v>
      </c>
      <c r="I274" s="2723">
        <f t="shared" si="9"/>
        <v>215</v>
      </c>
      <c r="J274" s="2722">
        <v>2.3799999999999999E-5</v>
      </c>
      <c r="K274" s="2722">
        <v>880</v>
      </c>
      <c r="L274" s="2729">
        <v>137</v>
      </c>
    </row>
    <row r="275" spans="1:12" ht="15.75">
      <c r="A275" s="2724" t="s">
        <v>1224</v>
      </c>
      <c r="B275" s="2725">
        <v>70000000000</v>
      </c>
      <c r="C275" s="2726">
        <v>0.33</v>
      </c>
      <c r="D275" s="2725">
        <v>2680</v>
      </c>
      <c r="E275" s="2727">
        <v>25900000000</v>
      </c>
      <c r="F275" s="2727">
        <v>275000000</v>
      </c>
      <c r="G275" s="2728">
        <f t="shared" si="8"/>
        <v>275</v>
      </c>
      <c r="H275" s="2727">
        <v>240000000</v>
      </c>
      <c r="I275" s="2728">
        <f t="shared" si="9"/>
        <v>240</v>
      </c>
      <c r="J275" s="2727">
        <v>2.3799999999999999E-5</v>
      </c>
      <c r="K275" s="2727">
        <v>880</v>
      </c>
      <c r="L275" s="2730">
        <v>127</v>
      </c>
    </row>
    <row r="276" spans="1:12" ht="15.75">
      <c r="A276" s="2719" t="s">
        <v>1225</v>
      </c>
      <c r="B276" s="2720">
        <v>70000000000</v>
      </c>
      <c r="C276" s="2721">
        <v>0.33</v>
      </c>
      <c r="D276" s="2720">
        <v>2680</v>
      </c>
      <c r="E276" s="2722">
        <v>25900000000</v>
      </c>
      <c r="F276" s="2722">
        <v>290000000</v>
      </c>
      <c r="G276" s="2723">
        <f t="shared" si="8"/>
        <v>290</v>
      </c>
      <c r="H276" s="2722">
        <v>255000000</v>
      </c>
      <c r="I276" s="2723">
        <f t="shared" si="9"/>
        <v>255</v>
      </c>
      <c r="J276" s="2722">
        <v>2.3799999999999999E-5</v>
      </c>
      <c r="K276" s="2722">
        <v>880</v>
      </c>
      <c r="L276" s="2729">
        <v>137</v>
      </c>
    </row>
    <row r="277" spans="1:12" ht="15.75">
      <c r="A277" s="2724" t="s">
        <v>1226</v>
      </c>
      <c r="B277" s="2725">
        <v>70000002474.423706</v>
      </c>
      <c r="C277" s="2726">
        <v>0.33</v>
      </c>
      <c r="D277" s="2725">
        <v>2679.9999990000001</v>
      </c>
      <c r="E277" s="2727">
        <v>25899999950.270699</v>
      </c>
      <c r="F277" s="2727">
        <v>285000000.40153098</v>
      </c>
      <c r="G277" s="2728">
        <f t="shared" si="8"/>
        <v>285.000000401531</v>
      </c>
      <c r="H277" s="2727">
        <v>245999999.16431901</v>
      </c>
      <c r="I277" s="2728">
        <f t="shared" si="9"/>
        <v>245.99999916431901</v>
      </c>
      <c r="J277" s="2727">
        <v>2.4000000000000001E-5</v>
      </c>
      <c r="K277" s="2727">
        <v>880.00000799999998</v>
      </c>
      <c r="L277" s="2730">
        <v>137.00000299999999</v>
      </c>
    </row>
    <row r="278" spans="1:12" ht="15.75">
      <c r="A278" s="2719" t="s">
        <v>1227</v>
      </c>
      <c r="B278" s="2720">
        <v>70300000259.006699</v>
      </c>
      <c r="C278" s="2721">
        <v>0.33</v>
      </c>
      <c r="D278" s="2720">
        <v>2659.9999979999998</v>
      </c>
      <c r="E278" s="2722">
        <v>25899999950.270699</v>
      </c>
      <c r="F278" s="2722">
        <v>241000001.42733699</v>
      </c>
      <c r="G278" s="2723">
        <f t="shared" si="8"/>
        <v>241.000001427337</v>
      </c>
      <c r="H278" s="2722">
        <v>139274097.32199401</v>
      </c>
      <c r="I278" s="2723">
        <f t="shared" si="9"/>
        <v>139.27409732199399</v>
      </c>
      <c r="J278" s="2722">
        <v>2.4000000000000001E-5</v>
      </c>
      <c r="K278" s="2722">
        <v>900.00000499999999</v>
      </c>
      <c r="L278" s="2729">
        <v>125.00000300000001</v>
      </c>
    </row>
    <row r="279" spans="1:12" ht="15.75">
      <c r="A279" s="2724" t="s">
        <v>1228</v>
      </c>
      <c r="B279" s="2725">
        <v>70999997387.952896</v>
      </c>
      <c r="C279" s="2726">
        <v>0.33</v>
      </c>
      <c r="D279" s="2725">
        <v>2659.9999979999998</v>
      </c>
      <c r="E279" s="2727">
        <v>26400000164.938202</v>
      </c>
      <c r="F279" s="2727">
        <v>290000000.40153098</v>
      </c>
      <c r="G279" s="2728">
        <f t="shared" si="8"/>
        <v>290.000000401531</v>
      </c>
      <c r="H279" s="2727">
        <v>68947572.931679994</v>
      </c>
      <c r="I279" s="2728">
        <f t="shared" si="9"/>
        <v>68.94757293168</v>
      </c>
      <c r="J279" s="2727">
        <v>2.4000000000000001E-5</v>
      </c>
      <c r="K279" s="2727">
        <v>900.00000499999999</v>
      </c>
      <c r="L279" s="2730">
        <v>125.00000300000001</v>
      </c>
    </row>
    <row r="280" spans="1:12" ht="15.75">
      <c r="A280" s="2719" t="s">
        <v>1229</v>
      </c>
      <c r="B280" s="2720">
        <v>70000000000</v>
      </c>
      <c r="C280" s="2721">
        <v>0.33</v>
      </c>
      <c r="D280" s="2720">
        <v>2690</v>
      </c>
      <c r="E280" s="2722">
        <v>26000000000</v>
      </c>
      <c r="F280" s="2722">
        <v>250000000</v>
      </c>
      <c r="G280" s="2723">
        <f t="shared" si="8"/>
        <v>250</v>
      </c>
      <c r="H280" s="2722">
        <v>115000000</v>
      </c>
      <c r="I280" s="2723">
        <f t="shared" si="9"/>
        <v>115</v>
      </c>
      <c r="J280" s="2722">
        <v>2.3600000000000001E-5</v>
      </c>
      <c r="K280" s="2722">
        <v>900</v>
      </c>
      <c r="L280" s="2729">
        <v>134</v>
      </c>
    </row>
    <row r="281" spans="1:12" ht="15.75">
      <c r="A281" s="2724" t="s">
        <v>1230</v>
      </c>
      <c r="B281" s="2725">
        <v>70000000000</v>
      </c>
      <c r="C281" s="2726">
        <v>0.33</v>
      </c>
      <c r="D281" s="2725">
        <v>2690</v>
      </c>
      <c r="E281" s="2727">
        <v>26000000000</v>
      </c>
      <c r="F281" s="2727">
        <v>275000000</v>
      </c>
      <c r="G281" s="2728">
        <f t="shared" si="8"/>
        <v>275</v>
      </c>
      <c r="H281" s="2727">
        <v>205000000</v>
      </c>
      <c r="I281" s="2728">
        <f t="shared" si="9"/>
        <v>205</v>
      </c>
      <c r="J281" s="2727">
        <v>2.3600000000000001E-5</v>
      </c>
      <c r="K281" s="2727">
        <v>900</v>
      </c>
      <c r="L281" s="2730">
        <v>134</v>
      </c>
    </row>
    <row r="282" spans="1:12" ht="15.75">
      <c r="A282" s="2719" t="s">
        <v>1231</v>
      </c>
      <c r="B282" s="2720">
        <v>70000000000</v>
      </c>
      <c r="C282" s="2721">
        <v>0.33</v>
      </c>
      <c r="D282" s="2720">
        <v>2690</v>
      </c>
      <c r="E282" s="2722">
        <v>26000000000</v>
      </c>
      <c r="F282" s="2722">
        <v>305000000</v>
      </c>
      <c r="G282" s="2723">
        <f t="shared" si="8"/>
        <v>305</v>
      </c>
      <c r="H282" s="2722">
        <v>240000000</v>
      </c>
      <c r="I282" s="2723">
        <f t="shared" si="9"/>
        <v>240</v>
      </c>
      <c r="J282" s="2722">
        <v>2.3600000000000001E-5</v>
      </c>
      <c r="K282" s="2722">
        <v>900</v>
      </c>
      <c r="L282" s="2729">
        <v>134</v>
      </c>
    </row>
    <row r="283" spans="1:12" ht="15.75">
      <c r="A283" s="2724" t="s">
        <v>1232</v>
      </c>
      <c r="B283" s="2725">
        <v>70000000000</v>
      </c>
      <c r="C283" s="2726">
        <v>0.33</v>
      </c>
      <c r="D283" s="2725">
        <v>2690</v>
      </c>
      <c r="E283" s="2727">
        <v>26000000000</v>
      </c>
      <c r="F283" s="2727">
        <v>260000000</v>
      </c>
      <c r="G283" s="2728">
        <f t="shared" si="8"/>
        <v>260</v>
      </c>
      <c r="H283" s="2727">
        <v>180000000</v>
      </c>
      <c r="I283" s="2728">
        <f t="shared" si="9"/>
        <v>180</v>
      </c>
      <c r="J283" s="2727">
        <v>2.3600000000000001E-5</v>
      </c>
      <c r="K283" s="2727">
        <v>900</v>
      </c>
      <c r="L283" s="2730">
        <v>134</v>
      </c>
    </row>
    <row r="284" spans="1:12" ht="15.75">
      <c r="A284" s="2719" t="s">
        <v>1233</v>
      </c>
      <c r="B284" s="2720">
        <v>70000000000</v>
      </c>
      <c r="C284" s="2721">
        <v>0.33</v>
      </c>
      <c r="D284" s="2720">
        <v>2690</v>
      </c>
      <c r="E284" s="2722">
        <v>26000000000</v>
      </c>
      <c r="F284" s="2722">
        <v>250000000</v>
      </c>
      <c r="G284" s="2723">
        <f t="shared" si="8"/>
        <v>250</v>
      </c>
      <c r="H284" s="2722">
        <v>125000000</v>
      </c>
      <c r="I284" s="2723">
        <f t="shared" si="9"/>
        <v>125</v>
      </c>
      <c r="J284" s="2722">
        <v>2.3600000000000001E-5</v>
      </c>
      <c r="K284" s="2722">
        <v>900</v>
      </c>
      <c r="L284" s="2729">
        <v>134</v>
      </c>
    </row>
    <row r="285" spans="1:12" ht="15.75">
      <c r="A285" s="2724" t="s">
        <v>1234</v>
      </c>
      <c r="B285" s="2725">
        <v>69000000000</v>
      </c>
      <c r="C285" s="2726">
        <v>0.33</v>
      </c>
      <c r="D285" s="2725">
        <v>2700</v>
      </c>
      <c r="E285" s="2727">
        <v>26000000000</v>
      </c>
      <c r="F285" s="2727">
        <v>124084000</v>
      </c>
      <c r="G285" s="2728">
        <f t="shared" si="8"/>
        <v>124.084</v>
      </c>
      <c r="H285" s="2727">
        <v>55148500</v>
      </c>
      <c r="I285" s="2728">
        <f t="shared" si="9"/>
        <v>55.148499999999999</v>
      </c>
      <c r="J285" s="2727">
        <v>2.4000000000000001E-5</v>
      </c>
      <c r="K285" s="2727">
        <v>1300</v>
      </c>
      <c r="L285" s="2730">
        <v>170</v>
      </c>
    </row>
    <row r="286" spans="1:12" ht="15.75">
      <c r="A286" s="2719" t="s">
        <v>1235</v>
      </c>
      <c r="B286" s="2720">
        <v>69000000666.137207</v>
      </c>
      <c r="C286" s="2721">
        <v>0.33</v>
      </c>
      <c r="D286" s="2720">
        <v>2700</v>
      </c>
      <c r="E286" s="2722">
        <v>26000000131.0994</v>
      </c>
      <c r="F286" s="2722">
        <v>124999998.50882199</v>
      </c>
      <c r="G286" s="2723">
        <f t="shared" si="8"/>
        <v>124.999998508822</v>
      </c>
      <c r="H286" s="2722">
        <v>62052815.638512</v>
      </c>
      <c r="I286" s="2723">
        <f t="shared" si="9"/>
        <v>62.052815638512001</v>
      </c>
      <c r="J286" s="2722">
        <v>2.4000000000000001E-5</v>
      </c>
      <c r="K286" s="2722">
        <v>895.99998900000003</v>
      </c>
      <c r="L286" s="2729">
        <v>179.99999800000001</v>
      </c>
    </row>
    <row r="287" spans="1:12" ht="15.75">
      <c r="A287" s="2724" t="s">
        <v>1236</v>
      </c>
      <c r="B287" s="2725">
        <v>69000000666.137207</v>
      </c>
      <c r="C287" s="2726">
        <v>0.33</v>
      </c>
      <c r="D287" s="2725">
        <v>2700</v>
      </c>
      <c r="E287" s="2727">
        <v>26000000131.0994</v>
      </c>
      <c r="F287" s="2727">
        <v>239999999.61905101</v>
      </c>
      <c r="G287" s="2728">
        <f t="shared" si="8"/>
        <v>239.99999961905101</v>
      </c>
      <c r="H287" s="2727">
        <v>227526990.67454401</v>
      </c>
      <c r="I287" s="2728">
        <f t="shared" si="9"/>
        <v>227.52699067454401</v>
      </c>
      <c r="J287" s="2727">
        <v>2.4000000000000001E-5</v>
      </c>
      <c r="K287" s="2727">
        <v>895.99998900000003</v>
      </c>
      <c r="L287" s="2730">
        <v>153.999999</v>
      </c>
    </row>
    <row r="288" spans="1:12" ht="15.75">
      <c r="A288" s="2719" t="s">
        <v>1237</v>
      </c>
      <c r="B288" s="2720">
        <v>69000000666.137207</v>
      </c>
      <c r="C288" s="2721">
        <v>0.33</v>
      </c>
      <c r="D288" s="2720">
        <v>2700</v>
      </c>
      <c r="E288" s="2722">
        <v>26000000131.0994</v>
      </c>
      <c r="F288" s="2722">
        <v>310000002.09347397</v>
      </c>
      <c r="G288" s="2723">
        <f t="shared" si="8"/>
        <v>310.000002093474</v>
      </c>
      <c r="H288" s="2722">
        <v>275000000.85626203</v>
      </c>
      <c r="I288" s="2723">
        <f t="shared" si="9"/>
        <v>275.00000085626198</v>
      </c>
      <c r="J288" s="2722">
        <v>2.4000000000000001E-5</v>
      </c>
      <c r="K288" s="2722">
        <v>895.99998900000003</v>
      </c>
      <c r="L288" s="2729">
        <v>166.9</v>
      </c>
    </row>
    <row r="289" spans="1:12" ht="15.75">
      <c r="A289" s="2724" t="s">
        <v>1238</v>
      </c>
      <c r="B289" s="2725">
        <v>69000000000</v>
      </c>
      <c r="C289" s="2726">
        <v>0.33</v>
      </c>
      <c r="D289" s="2725">
        <v>2700</v>
      </c>
      <c r="E289" s="2727">
        <v>25800000000</v>
      </c>
      <c r="F289" s="2727">
        <v>90000000</v>
      </c>
      <c r="G289" s="2728">
        <f t="shared" si="8"/>
        <v>90</v>
      </c>
      <c r="H289" s="2727">
        <v>50000000</v>
      </c>
      <c r="I289" s="2728">
        <f t="shared" si="9"/>
        <v>50</v>
      </c>
      <c r="J289" s="2727">
        <v>2.34E-5</v>
      </c>
      <c r="K289" s="2727">
        <v>900</v>
      </c>
      <c r="L289" s="2730">
        <v>218</v>
      </c>
    </row>
    <row r="290" spans="1:12" ht="15.75">
      <c r="A290" s="2719" t="s">
        <v>1239</v>
      </c>
      <c r="B290" s="2720">
        <v>69000000666.137207</v>
      </c>
      <c r="C290" s="2721">
        <v>0.33</v>
      </c>
      <c r="D290" s="2720">
        <v>2700</v>
      </c>
      <c r="E290" s="2722">
        <v>25799999769.442101</v>
      </c>
      <c r="F290" s="2722">
        <v>89999997.271610007</v>
      </c>
      <c r="G290" s="2723">
        <f t="shared" si="8"/>
        <v>89.999997271609999</v>
      </c>
      <c r="H290" s="2722">
        <v>41368543.759007998</v>
      </c>
      <c r="I290" s="2723">
        <f t="shared" si="9"/>
        <v>41.368543759007999</v>
      </c>
      <c r="J290" s="2722">
        <v>2.3E-5</v>
      </c>
      <c r="K290" s="2722">
        <v>900.00000499999999</v>
      </c>
      <c r="L290" s="2729">
        <v>217.99999800000001</v>
      </c>
    </row>
    <row r="291" spans="1:12" ht="15.75">
      <c r="A291" s="2724" t="s">
        <v>1240</v>
      </c>
      <c r="B291" s="2725">
        <v>69000000000</v>
      </c>
      <c r="C291" s="2726">
        <v>0.33</v>
      </c>
      <c r="D291" s="2725">
        <v>2700</v>
      </c>
      <c r="E291" s="2727">
        <v>25800000000</v>
      </c>
      <c r="F291" s="2727">
        <v>150000000</v>
      </c>
      <c r="G291" s="2728">
        <f t="shared" si="8"/>
        <v>150</v>
      </c>
      <c r="H291" s="2727">
        <v>90000000</v>
      </c>
      <c r="I291" s="2728">
        <f t="shared" si="9"/>
        <v>90</v>
      </c>
      <c r="J291" s="2727">
        <v>2.34E-5</v>
      </c>
      <c r="K291" s="2727">
        <v>900</v>
      </c>
      <c r="L291" s="2730">
        <v>193</v>
      </c>
    </row>
    <row r="292" spans="1:12" ht="15.75">
      <c r="A292" s="2719" t="s">
        <v>1241</v>
      </c>
      <c r="B292" s="2720">
        <v>69000000000</v>
      </c>
      <c r="C292" s="2721">
        <v>0.33</v>
      </c>
      <c r="D292" s="2720">
        <v>2700</v>
      </c>
      <c r="E292" s="2722">
        <v>25800000000</v>
      </c>
      <c r="F292" s="2722">
        <v>170000000</v>
      </c>
      <c r="G292" s="2723">
        <f t="shared" si="8"/>
        <v>170</v>
      </c>
      <c r="H292" s="2722">
        <v>90000000</v>
      </c>
      <c r="I292" s="2723">
        <f t="shared" si="9"/>
        <v>90</v>
      </c>
      <c r="J292" s="2722">
        <v>2.34E-5</v>
      </c>
      <c r="K292" s="2722">
        <v>900</v>
      </c>
      <c r="L292" s="2729">
        <v>200</v>
      </c>
    </row>
    <row r="293" spans="1:12" ht="15.75">
      <c r="A293" s="2724" t="s">
        <v>1242</v>
      </c>
      <c r="B293" s="2725">
        <v>69000000000</v>
      </c>
      <c r="C293" s="2726">
        <v>0.33</v>
      </c>
      <c r="D293" s="2725">
        <v>2700</v>
      </c>
      <c r="E293" s="2727">
        <v>25800000000</v>
      </c>
      <c r="F293" s="2727">
        <v>185000000</v>
      </c>
      <c r="G293" s="2728">
        <f t="shared" si="8"/>
        <v>185</v>
      </c>
      <c r="H293" s="2727">
        <v>145000000</v>
      </c>
      <c r="I293" s="2728">
        <f t="shared" si="9"/>
        <v>145</v>
      </c>
      <c r="J293" s="2727">
        <v>2.34E-5</v>
      </c>
      <c r="K293" s="2727">
        <v>900</v>
      </c>
      <c r="L293" s="2730">
        <v>209</v>
      </c>
    </row>
    <row r="294" spans="1:12" ht="15.75">
      <c r="A294" s="2719" t="s">
        <v>1243</v>
      </c>
      <c r="B294" s="2720">
        <v>69000000000</v>
      </c>
      <c r="C294" s="2721">
        <v>0.33</v>
      </c>
      <c r="D294" s="2720">
        <v>2700</v>
      </c>
      <c r="E294" s="2722">
        <v>25800000000</v>
      </c>
      <c r="F294" s="2722">
        <v>240000000</v>
      </c>
      <c r="G294" s="2723">
        <f t="shared" si="8"/>
        <v>240</v>
      </c>
      <c r="H294" s="2722">
        <v>215000000</v>
      </c>
      <c r="I294" s="2723">
        <f t="shared" si="9"/>
        <v>215</v>
      </c>
      <c r="J294" s="2722">
        <v>2.34E-5</v>
      </c>
      <c r="K294" s="2722">
        <v>900</v>
      </c>
      <c r="L294" s="2729">
        <v>209</v>
      </c>
    </row>
    <row r="295" spans="1:12" ht="15.75">
      <c r="A295" s="2724" t="s">
        <v>1244</v>
      </c>
      <c r="B295" s="2725">
        <v>69000000666.137207</v>
      </c>
      <c r="C295" s="2726">
        <v>0.33</v>
      </c>
      <c r="D295" s="2725">
        <v>2700</v>
      </c>
      <c r="E295" s="2727">
        <v>25799999769.442101</v>
      </c>
      <c r="F295" s="2727">
        <v>239999999.61905101</v>
      </c>
      <c r="G295" s="2728">
        <f t="shared" si="8"/>
        <v>239.99999961905101</v>
      </c>
      <c r="H295" s="2727">
        <v>215000002.67518899</v>
      </c>
      <c r="I295" s="2728">
        <f t="shared" si="9"/>
        <v>215.00000267518899</v>
      </c>
      <c r="J295" s="2727">
        <v>2.3E-5</v>
      </c>
      <c r="K295" s="2727">
        <v>900.00000499999999</v>
      </c>
      <c r="L295" s="2730">
        <v>209.00000199999999</v>
      </c>
    </row>
    <row r="296" spans="1:12" ht="15.75">
      <c r="A296" s="2719" t="s">
        <v>1245</v>
      </c>
      <c r="B296" s="2720">
        <v>69000000000</v>
      </c>
      <c r="C296" s="2721">
        <v>0.33</v>
      </c>
      <c r="D296" s="2720">
        <v>2700</v>
      </c>
      <c r="E296" s="2722">
        <v>25800000000</v>
      </c>
      <c r="F296" s="2722">
        <v>255000000</v>
      </c>
      <c r="G296" s="2723">
        <f t="shared" si="8"/>
        <v>255</v>
      </c>
      <c r="H296" s="2722">
        <v>240000000</v>
      </c>
      <c r="I296" s="2723">
        <f t="shared" si="9"/>
        <v>240</v>
      </c>
      <c r="J296" s="2722">
        <v>2.34E-5</v>
      </c>
      <c r="K296" s="2722">
        <v>900</v>
      </c>
      <c r="L296" s="2729">
        <v>201</v>
      </c>
    </row>
    <row r="297" spans="1:12" ht="15.75">
      <c r="A297" s="2724" t="s">
        <v>1246</v>
      </c>
      <c r="B297" s="2725">
        <v>71999999196.239395</v>
      </c>
      <c r="C297" s="2726">
        <v>0.33</v>
      </c>
      <c r="D297" s="2725">
        <v>2810.0000610000002</v>
      </c>
      <c r="E297" s="2727">
        <v>26899999690.130001</v>
      </c>
      <c r="F297" s="2727">
        <v>219999997.92710701</v>
      </c>
      <c r="G297" s="2728">
        <f t="shared" si="8"/>
        <v>219.99999792710699</v>
      </c>
      <c r="H297" s="2727">
        <v>94999999.418284997</v>
      </c>
      <c r="I297" s="2728">
        <f t="shared" si="9"/>
        <v>94.999999418285</v>
      </c>
      <c r="J297" s="2727">
        <v>2.4000000000000001E-5</v>
      </c>
      <c r="K297" s="2727">
        <v>959.99999400000002</v>
      </c>
      <c r="L297" s="2730">
        <v>173.00000199999999</v>
      </c>
    </row>
    <row r="298" spans="1:12" ht="15.75">
      <c r="A298" s="2719" t="s">
        <v>1247</v>
      </c>
      <c r="B298" s="2720">
        <v>72000000000</v>
      </c>
      <c r="C298" s="2721">
        <v>0.33</v>
      </c>
      <c r="D298" s="2720">
        <v>2810</v>
      </c>
      <c r="E298" s="2722">
        <v>26900000000</v>
      </c>
      <c r="F298" s="2722">
        <v>570000000</v>
      </c>
      <c r="G298" s="2723">
        <f t="shared" si="8"/>
        <v>570</v>
      </c>
      <c r="H298" s="2722">
        <v>505000000</v>
      </c>
      <c r="I298" s="2723">
        <f t="shared" si="9"/>
        <v>505</v>
      </c>
      <c r="J298" s="2722">
        <v>2.3600000000000001E-5</v>
      </c>
      <c r="K298" s="2722">
        <v>960</v>
      </c>
      <c r="L298" s="2729">
        <v>130</v>
      </c>
    </row>
    <row r="299" spans="1:12" ht="15.75">
      <c r="A299" s="2724" t="s">
        <v>1248</v>
      </c>
      <c r="B299" s="2725">
        <v>71999999196.239395</v>
      </c>
      <c r="C299" s="2726">
        <v>0.33</v>
      </c>
      <c r="D299" s="2725">
        <v>2810.0000610000002</v>
      </c>
      <c r="E299" s="2727">
        <v>26899999690.130001</v>
      </c>
      <c r="F299" s="2727">
        <v>570000003.40446901</v>
      </c>
      <c r="G299" s="2728">
        <f t="shared" si="8"/>
        <v>570.000003404469</v>
      </c>
      <c r="H299" s="2727">
        <v>505000003.07672</v>
      </c>
      <c r="I299" s="2728">
        <f t="shared" si="9"/>
        <v>505.00000307672002</v>
      </c>
      <c r="J299" s="2727">
        <v>2.4000000000000001E-5</v>
      </c>
      <c r="K299" s="2727">
        <v>959.99999400000002</v>
      </c>
      <c r="L299" s="2730">
        <v>129.999999</v>
      </c>
    </row>
    <row r="300" spans="1:12" ht="15.75">
      <c r="A300" s="2719" t="s">
        <v>1249</v>
      </c>
      <c r="B300" s="2720">
        <v>72000000000</v>
      </c>
      <c r="C300" s="2721">
        <v>0.33</v>
      </c>
      <c r="D300" s="2720">
        <v>2700</v>
      </c>
      <c r="E300" s="2722">
        <v>27000000000</v>
      </c>
      <c r="F300" s="2722">
        <v>0</v>
      </c>
      <c r="G300" s="2723">
        <f t="shared" si="8"/>
        <v>0</v>
      </c>
      <c r="H300" s="2722">
        <v>505000000</v>
      </c>
      <c r="I300" s="2723">
        <f t="shared" si="9"/>
        <v>505</v>
      </c>
      <c r="J300" s="2722">
        <v>2.5000000000000001E-5</v>
      </c>
      <c r="K300" s="2722">
        <v>960</v>
      </c>
      <c r="L300" s="2729">
        <v>120</v>
      </c>
    </row>
    <row r="301" spans="1:12" ht="15.75">
      <c r="A301" s="2724" t="s">
        <v>1250</v>
      </c>
      <c r="B301" s="2725">
        <v>204999998381.83801</v>
      </c>
      <c r="C301" s="2726">
        <v>0.28999999999999998</v>
      </c>
      <c r="D301" s="2725">
        <v>7858.0000319999999</v>
      </c>
      <c r="E301" s="2727">
        <v>79999999873.0168</v>
      </c>
      <c r="F301" s="2727">
        <v>425000003.20370299</v>
      </c>
      <c r="G301" s="2728">
        <f t="shared" si="8"/>
        <v>425.00000320370299</v>
      </c>
      <c r="H301" s="2727">
        <v>282685049.01988798</v>
      </c>
      <c r="I301" s="2728">
        <f t="shared" si="9"/>
        <v>282.68504901988803</v>
      </c>
      <c r="J301" s="2727">
        <v>1.2E-5</v>
      </c>
      <c r="K301" s="2727">
        <v>486</v>
      </c>
      <c r="L301" s="2730">
        <v>52</v>
      </c>
    </row>
    <row r="302" spans="1:12" ht="15.75">
      <c r="A302" s="2719" t="s">
        <v>1251</v>
      </c>
      <c r="B302" s="2720">
        <v>207000000000</v>
      </c>
      <c r="C302" s="2721">
        <v>0.27</v>
      </c>
      <c r="D302" s="2720">
        <v>7859.9998999999998</v>
      </c>
      <c r="E302" s="2722">
        <v>0</v>
      </c>
      <c r="F302" s="2722">
        <v>685000000</v>
      </c>
      <c r="G302" s="2723">
        <f t="shared" si="8"/>
        <v>685</v>
      </c>
      <c r="H302" s="2722">
        <v>292000000</v>
      </c>
      <c r="I302" s="2723">
        <f t="shared" si="9"/>
        <v>292</v>
      </c>
      <c r="J302" s="2722">
        <v>1.7E-5</v>
      </c>
      <c r="K302" s="2722">
        <v>501.99997999999999</v>
      </c>
      <c r="L302" s="2729">
        <v>16.3</v>
      </c>
    </row>
    <row r="303" spans="1:12" ht="15.75">
      <c r="A303" s="2724" t="s">
        <v>1252</v>
      </c>
      <c r="B303" s="2725">
        <v>205000000000</v>
      </c>
      <c r="C303" s="2726">
        <v>0.28999999999999998</v>
      </c>
      <c r="D303" s="2725">
        <v>7870</v>
      </c>
      <c r="E303" s="2727">
        <v>80000000000</v>
      </c>
      <c r="F303" s="2727">
        <v>385000000</v>
      </c>
      <c r="G303" s="2728">
        <f t="shared" si="8"/>
        <v>385</v>
      </c>
      <c r="H303" s="2727">
        <v>325000000</v>
      </c>
      <c r="I303" s="2728">
        <f t="shared" si="9"/>
        <v>325</v>
      </c>
      <c r="J303" s="2727">
        <v>1.2E-5</v>
      </c>
      <c r="K303" s="2727">
        <v>486</v>
      </c>
      <c r="L303" s="2730">
        <v>52</v>
      </c>
    </row>
    <row r="304" spans="1:12" ht="15.75">
      <c r="A304" s="2719" t="s">
        <v>1253</v>
      </c>
      <c r="B304" s="2720">
        <v>204999998381.83801</v>
      </c>
      <c r="C304" s="2721">
        <v>0.28999999999999998</v>
      </c>
      <c r="D304" s="2720">
        <v>7849.9999870000001</v>
      </c>
      <c r="E304" s="2722">
        <v>79999999873.0168</v>
      </c>
      <c r="F304" s="2722">
        <v>585000002.94973695</v>
      </c>
      <c r="G304" s="2723">
        <f t="shared" si="8"/>
        <v>585.000002949737</v>
      </c>
      <c r="H304" s="2722">
        <v>282685049.01988798</v>
      </c>
      <c r="I304" s="2723">
        <f t="shared" si="9"/>
        <v>282.68504901988803</v>
      </c>
      <c r="J304" s="2722">
        <v>1.1E-5</v>
      </c>
      <c r="K304" s="2722">
        <v>486</v>
      </c>
      <c r="L304" s="2729">
        <v>52</v>
      </c>
    </row>
    <row r="305" spans="1:12" ht="15.75">
      <c r="A305" s="2724" t="s">
        <v>1254</v>
      </c>
      <c r="B305" s="2725">
        <v>200000000000</v>
      </c>
      <c r="C305" s="2726">
        <v>0.28999999999999998</v>
      </c>
      <c r="D305" s="2725">
        <v>7900</v>
      </c>
      <c r="E305" s="2727">
        <v>77000000000</v>
      </c>
      <c r="F305" s="2727">
        <v>420507000</v>
      </c>
      <c r="G305" s="2728">
        <f t="shared" si="8"/>
        <v>420.50700000000001</v>
      </c>
      <c r="H305" s="2727">
        <v>351571000</v>
      </c>
      <c r="I305" s="2728">
        <f t="shared" si="9"/>
        <v>351.57100000000003</v>
      </c>
      <c r="J305" s="2727">
        <v>1.5E-5</v>
      </c>
      <c r="K305" s="2727">
        <v>420</v>
      </c>
      <c r="L305" s="2730">
        <v>47</v>
      </c>
    </row>
    <row r="306" spans="1:12" ht="15.75">
      <c r="A306" s="2719" t="s">
        <v>1255</v>
      </c>
      <c r="B306" s="2720">
        <v>200000000000</v>
      </c>
      <c r="C306" s="2721">
        <v>0.28999999999999998</v>
      </c>
      <c r="D306" s="2720">
        <v>7870</v>
      </c>
      <c r="E306" s="2722">
        <v>80000000000</v>
      </c>
      <c r="F306" s="2722">
        <v>325000000</v>
      </c>
      <c r="G306" s="2723">
        <f t="shared" si="8"/>
        <v>325</v>
      </c>
      <c r="H306" s="2722">
        <v>180000000</v>
      </c>
      <c r="I306" s="2723">
        <f t="shared" si="9"/>
        <v>180</v>
      </c>
      <c r="J306" s="2722">
        <v>1.22E-5</v>
      </c>
      <c r="K306" s="2722">
        <v>448</v>
      </c>
      <c r="L306" s="2729">
        <v>51.9</v>
      </c>
    </row>
    <row r="307" spans="1:12" ht="15.75">
      <c r="A307" s="2724" t="s">
        <v>1256</v>
      </c>
      <c r="B307" s="2725">
        <v>205000000000</v>
      </c>
      <c r="C307" s="2726">
        <v>0.28999999999999998</v>
      </c>
      <c r="D307" s="2725">
        <v>7870</v>
      </c>
      <c r="E307" s="2727">
        <v>80000000000</v>
      </c>
      <c r="F307" s="2727">
        <v>420000000</v>
      </c>
      <c r="G307" s="2728">
        <f t="shared" si="8"/>
        <v>420</v>
      </c>
      <c r="H307" s="2727">
        <v>350000000</v>
      </c>
      <c r="I307" s="2728">
        <f t="shared" si="9"/>
        <v>350</v>
      </c>
      <c r="J307" s="2727">
        <v>1.17E-5</v>
      </c>
      <c r="K307" s="2727">
        <v>486</v>
      </c>
      <c r="L307" s="2730">
        <v>51.9</v>
      </c>
    </row>
    <row r="308" spans="1:12" ht="15.75">
      <c r="A308" s="2719" t="s">
        <v>1257</v>
      </c>
      <c r="B308" s="2720">
        <v>205000000000</v>
      </c>
      <c r="C308" s="2721">
        <v>0.28999999999999998</v>
      </c>
      <c r="D308" s="2720">
        <v>7850</v>
      </c>
      <c r="E308" s="2722">
        <v>80000000000</v>
      </c>
      <c r="F308" s="2722">
        <v>625000000</v>
      </c>
      <c r="G308" s="2723">
        <f t="shared" si="8"/>
        <v>625</v>
      </c>
      <c r="H308" s="2722">
        <v>530000000</v>
      </c>
      <c r="I308" s="2723">
        <f t="shared" si="9"/>
        <v>530</v>
      </c>
      <c r="J308" s="2722">
        <v>1.15E-5</v>
      </c>
      <c r="K308" s="2722">
        <v>486</v>
      </c>
      <c r="L308" s="2729">
        <v>49.8</v>
      </c>
    </row>
    <row r="309" spans="1:12" ht="15.75">
      <c r="A309" s="2724" t="s">
        <v>1258</v>
      </c>
      <c r="B309" s="2725">
        <v>190000000000</v>
      </c>
      <c r="C309" s="2726">
        <v>0.28999999999999998</v>
      </c>
      <c r="D309" s="2725">
        <v>8000</v>
      </c>
      <c r="E309" s="2727">
        <v>75000000000</v>
      </c>
      <c r="F309" s="2727">
        <v>517017000</v>
      </c>
      <c r="G309" s="2728">
        <f t="shared" si="8"/>
        <v>517.01700000000005</v>
      </c>
      <c r="H309" s="2727">
        <v>206807000</v>
      </c>
      <c r="I309" s="2728">
        <f t="shared" si="9"/>
        <v>206.80699999999999</v>
      </c>
      <c r="J309" s="2727">
        <v>1.8E-5</v>
      </c>
      <c r="K309" s="2727">
        <v>500</v>
      </c>
      <c r="L309" s="2730">
        <v>16</v>
      </c>
    </row>
    <row r="310" spans="1:12" ht="15.75">
      <c r="A310" s="2719" t="s">
        <v>1259</v>
      </c>
      <c r="B310" s="2720">
        <v>192999997366.672</v>
      </c>
      <c r="C310" s="2721">
        <v>0.3</v>
      </c>
      <c r="D310" s="2720">
        <v>8000.0001329999996</v>
      </c>
      <c r="E310" s="2722">
        <v>0</v>
      </c>
      <c r="F310" s="2722">
        <v>550000001.71252501</v>
      </c>
      <c r="G310" s="2723">
        <f t="shared" si="8"/>
        <v>550.00000171252498</v>
      </c>
      <c r="H310" s="2722">
        <v>137895145.86335999</v>
      </c>
      <c r="I310" s="2723">
        <f t="shared" si="9"/>
        <v>137.89514586336</v>
      </c>
      <c r="J310" s="2722">
        <v>1.5999999999999999E-5</v>
      </c>
      <c r="K310" s="2722">
        <v>499.99999300000002</v>
      </c>
      <c r="L310" s="2729">
        <v>16.3</v>
      </c>
    </row>
    <row r="311" spans="1:12" ht="15.75">
      <c r="A311" s="2724" t="s">
        <v>1260</v>
      </c>
      <c r="B311" s="2725">
        <v>192999997366.672</v>
      </c>
      <c r="C311" s="2726">
        <v>0.27</v>
      </c>
      <c r="D311" s="2725">
        <v>8000.0001329999996</v>
      </c>
      <c r="E311" s="2727">
        <v>0</v>
      </c>
      <c r="F311" s="2727">
        <v>580000000.80306196</v>
      </c>
      <c r="G311" s="2728">
        <f t="shared" si="8"/>
        <v>580.00000080306199</v>
      </c>
      <c r="H311" s="2727">
        <v>172368932.3292</v>
      </c>
      <c r="I311" s="2728">
        <f t="shared" si="9"/>
        <v>172.36893232919999</v>
      </c>
      <c r="J311" s="2727">
        <v>1.5999999999999999E-5</v>
      </c>
      <c r="K311" s="2727">
        <v>499.99999300000002</v>
      </c>
      <c r="L311" s="2730">
        <v>16.3</v>
      </c>
    </row>
    <row r="312" spans="1:12" ht="15.75">
      <c r="A312" s="2719" t="s">
        <v>1261</v>
      </c>
      <c r="B312" s="2720">
        <v>192999997366.672</v>
      </c>
      <c r="C312" s="2721">
        <v>0.27</v>
      </c>
      <c r="D312" s="2720">
        <v>8000.0001329999996</v>
      </c>
      <c r="E312" s="2722">
        <v>0</v>
      </c>
      <c r="F312" s="2722">
        <v>619999997.29219103</v>
      </c>
      <c r="G312" s="2723">
        <f t="shared" si="8"/>
        <v>619.99999729219098</v>
      </c>
      <c r="H312" s="2722">
        <v>234421747.96771199</v>
      </c>
      <c r="I312" s="2723">
        <f t="shared" si="9"/>
        <v>234.42174796771201</v>
      </c>
      <c r="J312" s="2722">
        <v>1.7E-5</v>
      </c>
      <c r="K312" s="2722">
        <v>499.99999300000002</v>
      </c>
      <c r="L312" s="2729">
        <v>16.100000000000001</v>
      </c>
    </row>
    <row r="313" spans="1:12" ht="15.75">
      <c r="A313" s="2724" t="s">
        <v>1262</v>
      </c>
      <c r="B313" s="2725">
        <v>195000000983.245</v>
      </c>
      <c r="C313" s="2726">
        <v>0.27</v>
      </c>
      <c r="D313" s="2725">
        <v>8000.0001329999996</v>
      </c>
      <c r="E313" s="2727">
        <v>77000001342.914597</v>
      </c>
      <c r="F313" s="2727">
        <v>654999998.52940297</v>
      </c>
      <c r="G313" s="2728">
        <f t="shared" si="8"/>
        <v>654.999998529403</v>
      </c>
      <c r="H313" s="2727">
        <v>275000000.85626203</v>
      </c>
      <c r="I313" s="2728">
        <f t="shared" si="9"/>
        <v>275.00000085626198</v>
      </c>
      <c r="J313" s="2727">
        <v>1.7E-5</v>
      </c>
      <c r="K313" s="2727">
        <v>499.99999300000002</v>
      </c>
      <c r="L313" s="2730">
        <v>16.3</v>
      </c>
    </row>
    <row r="314" spans="1:12" ht="15.75">
      <c r="A314" s="2719" t="s">
        <v>1263</v>
      </c>
      <c r="B314" s="2720">
        <v>205000000000</v>
      </c>
      <c r="C314" s="2721">
        <v>0</v>
      </c>
      <c r="D314" s="2720">
        <v>7850</v>
      </c>
      <c r="E314" s="2722">
        <v>80000000000</v>
      </c>
      <c r="F314" s="2722">
        <v>560000000</v>
      </c>
      <c r="G314" s="2723">
        <f t="shared" si="8"/>
        <v>560</v>
      </c>
      <c r="H314" s="2722">
        <v>460000000</v>
      </c>
      <c r="I314" s="2723">
        <f t="shared" si="9"/>
        <v>460</v>
      </c>
      <c r="J314" s="2722">
        <v>0</v>
      </c>
      <c r="K314" s="2722">
        <v>477</v>
      </c>
      <c r="L314" s="2729">
        <v>42.7</v>
      </c>
    </row>
    <row r="315" spans="1:12" ht="15.75">
      <c r="A315" s="2724" t="s">
        <v>1264</v>
      </c>
      <c r="B315" s="2725">
        <v>205000000000</v>
      </c>
      <c r="C315" s="2726">
        <v>0</v>
      </c>
      <c r="D315" s="2725">
        <v>7850</v>
      </c>
      <c r="E315" s="2727">
        <v>80000000000</v>
      </c>
      <c r="F315" s="2727">
        <v>731000000</v>
      </c>
      <c r="G315" s="2728">
        <f t="shared" si="8"/>
        <v>731</v>
      </c>
      <c r="H315" s="2727">
        <v>460000000</v>
      </c>
      <c r="I315" s="2728">
        <f t="shared" si="9"/>
        <v>460</v>
      </c>
      <c r="J315" s="2727">
        <v>0</v>
      </c>
      <c r="K315" s="2727">
        <v>477</v>
      </c>
      <c r="L315" s="2730">
        <v>42.7</v>
      </c>
    </row>
    <row r="316" spans="1:12" ht="15.75">
      <c r="A316" s="2719" t="s">
        <v>1265</v>
      </c>
      <c r="B316" s="2720">
        <v>205000000000</v>
      </c>
      <c r="C316" s="2721">
        <v>0</v>
      </c>
      <c r="D316" s="2720">
        <v>7850</v>
      </c>
      <c r="E316" s="2722">
        <v>80000000000</v>
      </c>
      <c r="F316" s="2722">
        <v>745000000</v>
      </c>
      <c r="G316" s="2723">
        <f t="shared" si="8"/>
        <v>745</v>
      </c>
      <c r="H316" s="2722">
        <v>470000000</v>
      </c>
      <c r="I316" s="2723">
        <f t="shared" si="9"/>
        <v>470</v>
      </c>
      <c r="J316" s="2722">
        <v>1.2300000000000001E-5</v>
      </c>
      <c r="K316" s="2722">
        <v>475</v>
      </c>
      <c r="L316" s="2729">
        <v>44.5</v>
      </c>
    </row>
    <row r="317" spans="1:12" ht="15.75">
      <c r="A317" s="2724" t="s">
        <v>1266</v>
      </c>
      <c r="B317" s="2725">
        <v>205000000000</v>
      </c>
      <c r="C317" s="2726">
        <v>0</v>
      </c>
      <c r="D317" s="2725">
        <v>7850</v>
      </c>
      <c r="E317" s="2727">
        <v>80000000000</v>
      </c>
      <c r="F317" s="2727">
        <v>1110000000</v>
      </c>
      <c r="G317" s="2728">
        <f t="shared" si="8"/>
        <v>1110</v>
      </c>
      <c r="H317" s="2727">
        <v>710000000</v>
      </c>
      <c r="I317" s="2728">
        <f t="shared" si="9"/>
        <v>710</v>
      </c>
      <c r="J317" s="2727">
        <v>1.2300000000000001E-5</v>
      </c>
      <c r="K317" s="2727">
        <v>475</v>
      </c>
      <c r="L317" s="2730">
        <v>44.5</v>
      </c>
    </row>
    <row r="318" spans="1:12" ht="15.75">
      <c r="A318" s="2719" t="s">
        <v>1267</v>
      </c>
      <c r="B318" s="2720">
        <v>203000000000</v>
      </c>
      <c r="C318" s="2721">
        <v>0</v>
      </c>
      <c r="D318" s="2720">
        <v>7860</v>
      </c>
      <c r="E318" s="2722">
        <v>78000000000</v>
      </c>
      <c r="F318" s="2722">
        <v>0</v>
      </c>
      <c r="G318" s="2723">
        <f t="shared" si="8"/>
        <v>0</v>
      </c>
      <c r="H318" s="2722">
        <v>0</v>
      </c>
      <c r="I318" s="2723">
        <f t="shared" si="9"/>
        <v>0</v>
      </c>
      <c r="J318" s="2722">
        <v>1.1E-5</v>
      </c>
      <c r="K318" s="2722">
        <v>0</v>
      </c>
      <c r="L318" s="2729">
        <v>0</v>
      </c>
    </row>
    <row r="319" spans="1:12" ht="15.75">
      <c r="A319" s="2724" t="s">
        <v>1268</v>
      </c>
      <c r="B319" s="2725">
        <v>200000000000</v>
      </c>
      <c r="C319" s="2726">
        <v>0</v>
      </c>
      <c r="D319" s="2725">
        <v>8027</v>
      </c>
      <c r="E319" s="2727">
        <v>82000000000</v>
      </c>
      <c r="F319" s="2727">
        <v>485000000</v>
      </c>
      <c r="G319" s="2728">
        <f t="shared" si="8"/>
        <v>485</v>
      </c>
      <c r="H319" s="2727">
        <v>170000000</v>
      </c>
      <c r="I319" s="2728">
        <f t="shared" si="9"/>
        <v>170</v>
      </c>
      <c r="J319" s="2727">
        <v>1.6500000000000001E-5</v>
      </c>
      <c r="K319" s="2727">
        <v>450</v>
      </c>
      <c r="L319" s="2730">
        <v>14.6</v>
      </c>
    </row>
    <row r="320" spans="1:12" ht="15.75">
      <c r="A320" s="2719" t="s">
        <v>1269</v>
      </c>
      <c r="B320" s="2720">
        <v>201000000000</v>
      </c>
      <c r="C320" s="2721">
        <v>0</v>
      </c>
      <c r="D320" s="2720">
        <v>7920</v>
      </c>
      <c r="E320" s="2722">
        <v>77000000000</v>
      </c>
      <c r="F320" s="2722">
        <v>620000000</v>
      </c>
      <c r="G320" s="2723">
        <f t="shared" si="8"/>
        <v>620</v>
      </c>
      <c r="H320" s="2722">
        <v>275000000</v>
      </c>
      <c r="I320" s="2723">
        <f t="shared" si="9"/>
        <v>275</v>
      </c>
      <c r="J320" s="2722">
        <v>1.6500000000000001E-5</v>
      </c>
      <c r="K320" s="2722">
        <v>420</v>
      </c>
      <c r="L320" s="2729">
        <v>15.1</v>
      </c>
    </row>
    <row r="321" spans="1:12" ht="15.75">
      <c r="A321" s="2724" t="s">
        <v>1270</v>
      </c>
      <c r="B321" s="2725">
        <v>200000000000</v>
      </c>
      <c r="C321" s="2726">
        <v>0.26</v>
      </c>
      <c r="D321" s="2725">
        <v>7850</v>
      </c>
      <c r="E321" s="2727">
        <v>79300000000</v>
      </c>
      <c r="F321" s="2727">
        <v>400000000</v>
      </c>
      <c r="G321" s="2728">
        <f t="shared" si="8"/>
        <v>400</v>
      </c>
      <c r="H321" s="2727">
        <v>250000000</v>
      </c>
      <c r="I321" s="2728">
        <f t="shared" si="9"/>
        <v>250</v>
      </c>
      <c r="J321" s="2727">
        <v>0</v>
      </c>
      <c r="K321" s="2727">
        <v>0</v>
      </c>
      <c r="L321" s="2730">
        <v>0</v>
      </c>
    </row>
    <row r="322" spans="1:12" ht="15.75">
      <c r="A322" s="2719" t="s">
        <v>1271</v>
      </c>
      <c r="B322" s="2720">
        <v>210000000528.513</v>
      </c>
      <c r="C322" s="2721">
        <v>0.28000000000000003</v>
      </c>
      <c r="D322" s="2720">
        <v>7700.0001179999999</v>
      </c>
      <c r="E322" s="2722">
        <v>78999998064.730301</v>
      </c>
      <c r="F322" s="2722">
        <v>723825616.99408197</v>
      </c>
      <c r="G322" s="2723">
        <f t="shared" si="8"/>
        <v>723.825616994082</v>
      </c>
      <c r="H322" s="2722">
        <v>620421997.80707705</v>
      </c>
      <c r="I322" s="2723">
        <f t="shared" si="9"/>
        <v>620.42199780707699</v>
      </c>
      <c r="J322" s="2722">
        <v>1.2999999999999999E-5</v>
      </c>
      <c r="K322" s="2722">
        <v>460</v>
      </c>
      <c r="L322" s="2729">
        <v>50</v>
      </c>
    </row>
    <row r="323" spans="1:12" ht="15.75">
      <c r="A323" s="2724" t="s">
        <v>1272</v>
      </c>
      <c r="B323" s="2725">
        <v>190000000000</v>
      </c>
      <c r="C323" s="2726">
        <v>0.26</v>
      </c>
      <c r="D323" s="2725">
        <v>7300</v>
      </c>
      <c r="E323" s="2727">
        <v>78000000000</v>
      </c>
      <c r="F323" s="2727">
        <v>448082500</v>
      </c>
      <c r="G323" s="2728">
        <f t="shared" si="8"/>
        <v>448.08249999999998</v>
      </c>
      <c r="H323" s="2727">
        <v>241275200</v>
      </c>
      <c r="I323" s="2728">
        <f t="shared" si="9"/>
        <v>241.27520000000001</v>
      </c>
      <c r="J323" s="2727">
        <v>1.5E-5</v>
      </c>
      <c r="K323" s="2727">
        <v>440</v>
      </c>
      <c r="L323" s="2730">
        <v>38</v>
      </c>
    </row>
    <row r="324" spans="1:12" ht="15.75">
      <c r="A324" s="2719" t="s">
        <v>1273</v>
      </c>
      <c r="B324" s="2720">
        <v>200000000000</v>
      </c>
      <c r="C324" s="2721">
        <v>0.32</v>
      </c>
      <c r="D324" s="2720">
        <v>7800</v>
      </c>
      <c r="E324" s="2722">
        <v>76000000000</v>
      </c>
      <c r="F324" s="2722">
        <v>482549000</v>
      </c>
      <c r="G324" s="2723">
        <f t="shared" ref="G324:G387" si="10">F324/1000000</f>
        <v>482.54899999999998</v>
      </c>
      <c r="H324" s="2722">
        <v>248168000</v>
      </c>
      <c r="I324" s="2723">
        <f t="shared" ref="I324:I387" si="11">H324/1000000</f>
        <v>248.16800000000001</v>
      </c>
      <c r="J324" s="2722">
        <v>1.2E-5</v>
      </c>
      <c r="K324" s="2722">
        <v>500</v>
      </c>
      <c r="L324" s="2729">
        <v>30</v>
      </c>
    </row>
    <row r="325" spans="1:12" ht="15.75">
      <c r="A325" s="2724" t="s">
        <v>1274</v>
      </c>
      <c r="B325" s="2725">
        <v>190000000000</v>
      </c>
      <c r="C325" s="2726">
        <v>0.26</v>
      </c>
      <c r="D325" s="2725">
        <v>7700</v>
      </c>
      <c r="E325" s="2727">
        <v>79000000000</v>
      </c>
      <c r="F325" s="2727">
        <v>0</v>
      </c>
      <c r="G325" s="2728">
        <f t="shared" si="10"/>
        <v>0</v>
      </c>
      <c r="H325" s="2727">
        <v>0</v>
      </c>
      <c r="I325" s="2728">
        <f t="shared" si="11"/>
        <v>0</v>
      </c>
      <c r="J325" s="2727">
        <v>1.5E-5</v>
      </c>
      <c r="K325" s="2727">
        <v>520</v>
      </c>
      <c r="L325" s="2730">
        <v>37</v>
      </c>
    </row>
    <row r="326" spans="1:12" ht="15.75">
      <c r="A326" s="2719" t="s">
        <v>1275</v>
      </c>
      <c r="B326" s="2720">
        <v>200000000000</v>
      </c>
      <c r="C326" s="2721">
        <v>0.28000000000000003</v>
      </c>
      <c r="D326" s="2720">
        <v>7800</v>
      </c>
      <c r="E326" s="2722">
        <v>77000000000</v>
      </c>
      <c r="F326" s="2722">
        <v>413613000</v>
      </c>
      <c r="G326" s="2723">
        <f t="shared" si="10"/>
        <v>413.613</v>
      </c>
      <c r="H326" s="2722">
        <v>172339000</v>
      </c>
      <c r="I326" s="2723">
        <f t="shared" si="11"/>
        <v>172.339</v>
      </c>
      <c r="J326" s="2722">
        <v>1.1E-5</v>
      </c>
      <c r="K326" s="2722">
        <v>460</v>
      </c>
      <c r="L326" s="2729">
        <v>18</v>
      </c>
    </row>
    <row r="327" spans="1:12" ht="15.75">
      <c r="A327" s="2724" t="s">
        <v>1276</v>
      </c>
      <c r="B327" s="2725">
        <v>200000000000</v>
      </c>
      <c r="C327" s="2726">
        <v>0</v>
      </c>
      <c r="D327" s="2725">
        <v>7870</v>
      </c>
      <c r="E327" s="2727">
        <v>0</v>
      </c>
      <c r="F327" s="2727">
        <v>356900674.542</v>
      </c>
      <c r="G327" s="2728">
        <f t="shared" si="10"/>
        <v>356.90067454199999</v>
      </c>
      <c r="H327" s="2727">
        <v>203943242.59599999</v>
      </c>
      <c r="I327" s="2728">
        <f t="shared" si="11"/>
        <v>203.943242596</v>
      </c>
      <c r="J327" s="2727">
        <v>0</v>
      </c>
      <c r="K327" s="2727">
        <v>0</v>
      </c>
      <c r="L327" s="2730">
        <v>0</v>
      </c>
    </row>
    <row r="328" spans="1:12" ht="15.75">
      <c r="A328" s="2719" t="s">
        <v>1277</v>
      </c>
      <c r="B328" s="2720">
        <v>210000000000</v>
      </c>
      <c r="C328" s="2721">
        <v>0.28000000000000003</v>
      </c>
      <c r="D328" s="2720">
        <v>7800</v>
      </c>
      <c r="E328" s="2722">
        <v>79000000000</v>
      </c>
      <c r="F328" s="2722">
        <v>399826000</v>
      </c>
      <c r="G328" s="2723">
        <f t="shared" si="10"/>
        <v>399.82600000000002</v>
      </c>
      <c r="H328" s="2722">
        <v>220594000</v>
      </c>
      <c r="I328" s="2723">
        <f t="shared" si="11"/>
        <v>220.59399999999999</v>
      </c>
      <c r="J328" s="2722">
        <v>1.2999999999999999E-5</v>
      </c>
      <c r="K328" s="2722">
        <v>440</v>
      </c>
      <c r="L328" s="2729">
        <v>43</v>
      </c>
    </row>
    <row r="329" spans="1:12" ht="15.75">
      <c r="A329" s="2724" t="s">
        <v>1278</v>
      </c>
      <c r="B329" s="2725">
        <v>200000000000</v>
      </c>
      <c r="C329" s="2726">
        <v>0.26</v>
      </c>
      <c r="D329" s="2725">
        <v>8000</v>
      </c>
      <c r="E329" s="2727">
        <v>79000000000</v>
      </c>
      <c r="F329" s="2727">
        <v>517017000</v>
      </c>
      <c r="G329" s="2728">
        <f t="shared" si="10"/>
        <v>517.01700000000005</v>
      </c>
      <c r="H329" s="2727">
        <v>206807000</v>
      </c>
      <c r="I329" s="2728">
        <f t="shared" si="11"/>
        <v>206.80699999999999</v>
      </c>
      <c r="J329" s="2727">
        <v>1.1E-5</v>
      </c>
      <c r="K329" s="2727">
        <v>500</v>
      </c>
      <c r="L329" s="2730">
        <v>19</v>
      </c>
    </row>
    <row r="330" spans="1:12" ht="15.75">
      <c r="A330" s="2719" t="s">
        <v>1279</v>
      </c>
      <c r="B330" s="2720">
        <v>200000000000</v>
      </c>
      <c r="C330" s="2721">
        <v>0.28000000000000003</v>
      </c>
      <c r="D330" s="2720">
        <v>7800</v>
      </c>
      <c r="E330" s="2722">
        <v>77000000000</v>
      </c>
      <c r="F330" s="2722">
        <v>513613000</v>
      </c>
      <c r="G330" s="2723">
        <f t="shared" si="10"/>
        <v>513.61300000000006</v>
      </c>
      <c r="H330" s="2722">
        <v>172339000</v>
      </c>
      <c r="I330" s="2723">
        <f t="shared" si="11"/>
        <v>172.339</v>
      </c>
      <c r="J330" s="2722">
        <v>1.1E-5</v>
      </c>
      <c r="K330" s="2722">
        <v>460</v>
      </c>
      <c r="L330" s="2729">
        <v>18</v>
      </c>
    </row>
    <row r="331" spans="1:12" ht="15.75">
      <c r="A331" s="2724" t="s">
        <v>1280</v>
      </c>
      <c r="B331" s="2725">
        <v>69000000000</v>
      </c>
      <c r="C331" s="2726">
        <v>0.33</v>
      </c>
      <c r="D331" s="2725">
        <v>2700</v>
      </c>
      <c r="E331" s="2727">
        <v>27000000000</v>
      </c>
      <c r="F331" s="2727">
        <v>68935600</v>
      </c>
      <c r="G331" s="2728">
        <f t="shared" si="10"/>
        <v>68.935599999999994</v>
      </c>
      <c r="H331" s="2727">
        <v>27574200</v>
      </c>
      <c r="I331" s="2728">
        <f t="shared" si="11"/>
        <v>27.574200000000001</v>
      </c>
      <c r="J331" s="2727">
        <v>2.4000000000000001E-5</v>
      </c>
      <c r="K331" s="2727">
        <v>900</v>
      </c>
      <c r="L331" s="2730">
        <v>200</v>
      </c>
    </row>
    <row r="332" spans="1:12" ht="15.75">
      <c r="A332" s="2719" t="s">
        <v>1281</v>
      </c>
      <c r="B332" s="2720">
        <v>69000000000</v>
      </c>
      <c r="C332" s="2721">
        <v>0.33</v>
      </c>
      <c r="D332" s="2720">
        <v>2705</v>
      </c>
      <c r="E332" s="2722">
        <v>26000000000</v>
      </c>
      <c r="F332" s="2722">
        <v>70000000</v>
      </c>
      <c r="G332" s="2723">
        <f t="shared" si="10"/>
        <v>70</v>
      </c>
      <c r="H332" s="2722">
        <v>30000000</v>
      </c>
      <c r="I332" s="2723">
        <f t="shared" si="11"/>
        <v>30</v>
      </c>
      <c r="J332" s="2722">
        <v>2.4000000000000001E-5</v>
      </c>
      <c r="K332" s="2722">
        <v>900</v>
      </c>
      <c r="L332" s="2729">
        <v>234</v>
      </c>
    </row>
    <row r="333" spans="1:12" ht="15.75">
      <c r="A333" s="2724" t="s">
        <v>1282</v>
      </c>
      <c r="B333" s="2725">
        <v>69000000000</v>
      </c>
      <c r="C333" s="2726">
        <v>0.33</v>
      </c>
      <c r="D333" s="2725">
        <v>2705</v>
      </c>
      <c r="E333" s="2727">
        <v>26000000000</v>
      </c>
      <c r="F333" s="2727">
        <v>85000000</v>
      </c>
      <c r="G333" s="2728">
        <f t="shared" si="10"/>
        <v>85</v>
      </c>
      <c r="H333" s="2727">
        <v>75000000</v>
      </c>
      <c r="I333" s="2728">
        <f t="shared" si="11"/>
        <v>75</v>
      </c>
      <c r="J333" s="2727">
        <v>2.3600000000000001E-5</v>
      </c>
      <c r="K333" s="2727">
        <v>900</v>
      </c>
      <c r="L333" s="2730">
        <v>230</v>
      </c>
    </row>
    <row r="334" spans="1:12" ht="15.75">
      <c r="A334" s="2719" t="s">
        <v>1283</v>
      </c>
      <c r="B334" s="2720">
        <v>69000000000</v>
      </c>
      <c r="C334" s="2721">
        <v>0.33</v>
      </c>
      <c r="D334" s="2720">
        <v>2705</v>
      </c>
      <c r="E334" s="2722">
        <v>26000000000</v>
      </c>
      <c r="F334" s="2722">
        <v>85000000</v>
      </c>
      <c r="G334" s="2723">
        <f t="shared" si="10"/>
        <v>85</v>
      </c>
      <c r="H334" s="2722">
        <v>57000000</v>
      </c>
      <c r="I334" s="2723">
        <f t="shared" si="11"/>
        <v>57</v>
      </c>
      <c r="J334" s="2722">
        <v>2.4000000000000001E-5</v>
      </c>
      <c r="K334" s="2722">
        <v>900</v>
      </c>
      <c r="L334" s="2729">
        <v>230</v>
      </c>
    </row>
    <row r="335" spans="1:12" ht="15.75">
      <c r="A335" s="2724" t="s">
        <v>1284</v>
      </c>
      <c r="B335" s="2725">
        <v>69000000000</v>
      </c>
      <c r="C335" s="2726">
        <v>0.33</v>
      </c>
      <c r="D335" s="2725">
        <v>2705</v>
      </c>
      <c r="E335" s="2727">
        <v>26000000000</v>
      </c>
      <c r="F335" s="2727">
        <v>95000000</v>
      </c>
      <c r="G335" s="2728">
        <f t="shared" si="10"/>
        <v>95</v>
      </c>
      <c r="H335" s="2727">
        <v>90000000</v>
      </c>
      <c r="I335" s="2728">
        <f t="shared" si="11"/>
        <v>90</v>
      </c>
      <c r="J335" s="2727">
        <v>2.3600000000000001E-5</v>
      </c>
      <c r="K335" s="2727">
        <v>900</v>
      </c>
      <c r="L335" s="2730">
        <v>230</v>
      </c>
    </row>
    <row r="336" spans="1:12" ht="15.75">
      <c r="A336" s="2719" t="s">
        <v>1285</v>
      </c>
      <c r="B336" s="2720">
        <v>69000000000</v>
      </c>
      <c r="C336" s="2721">
        <v>0.33</v>
      </c>
      <c r="D336" s="2720">
        <v>2705</v>
      </c>
      <c r="E336" s="2722">
        <v>26000000000</v>
      </c>
      <c r="F336" s="2722">
        <v>110000000</v>
      </c>
      <c r="G336" s="2723">
        <f t="shared" si="10"/>
        <v>110</v>
      </c>
      <c r="H336" s="2722">
        <v>105000000</v>
      </c>
      <c r="I336" s="2723">
        <f t="shared" si="11"/>
        <v>105</v>
      </c>
      <c r="J336" s="2722">
        <v>2.3600000000000001E-5</v>
      </c>
      <c r="K336" s="2722">
        <v>900</v>
      </c>
      <c r="L336" s="2729">
        <v>230</v>
      </c>
    </row>
    <row r="337" spans="1:12" ht="15.75">
      <c r="A337" s="2724" t="s">
        <v>1286</v>
      </c>
      <c r="B337" s="2725">
        <v>69000000000</v>
      </c>
      <c r="C337" s="2726">
        <v>0.33</v>
      </c>
      <c r="D337" s="2725">
        <v>2705</v>
      </c>
      <c r="E337" s="2727">
        <v>26000000000</v>
      </c>
      <c r="F337" s="2727">
        <v>130000000</v>
      </c>
      <c r="G337" s="2728">
        <f t="shared" si="10"/>
        <v>130</v>
      </c>
      <c r="H337" s="2727">
        <v>125000000</v>
      </c>
      <c r="I337" s="2728">
        <f t="shared" si="11"/>
        <v>125</v>
      </c>
      <c r="J337" s="2727">
        <v>2.3600000000000001E-5</v>
      </c>
      <c r="K337" s="2727">
        <v>900</v>
      </c>
      <c r="L337" s="2730">
        <v>230</v>
      </c>
    </row>
    <row r="338" spans="1:12" ht="15.75">
      <c r="A338" s="2719" t="s">
        <v>1287</v>
      </c>
      <c r="B338" s="2720">
        <v>69000000000</v>
      </c>
      <c r="C338" s="2721">
        <v>0.33</v>
      </c>
      <c r="D338" s="2720">
        <v>2705</v>
      </c>
      <c r="E338" s="2722">
        <v>26000000000</v>
      </c>
      <c r="F338" s="2722">
        <v>130000000</v>
      </c>
      <c r="G338" s="2723">
        <f t="shared" si="10"/>
        <v>130</v>
      </c>
      <c r="H338" s="2722">
        <v>108000000</v>
      </c>
      <c r="I338" s="2723">
        <f t="shared" si="11"/>
        <v>108</v>
      </c>
      <c r="J338" s="2722">
        <v>2.4000000000000001E-5</v>
      </c>
      <c r="K338" s="2722">
        <v>900</v>
      </c>
      <c r="L338" s="2729">
        <v>230</v>
      </c>
    </row>
    <row r="339" spans="1:12" ht="15.75">
      <c r="A339" s="2724" t="s">
        <v>1288</v>
      </c>
      <c r="B339" s="2725">
        <v>68900000000</v>
      </c>
      <c r="C339" s="2726">
        <v>0.33</v>
      </c>
      <c r="D339" s="2725">
        <v>2710</v>
      </c>
      <c r="E339" s="2727">
        <v>26000000000</v>
      </c>
      <c r="F339" s="2727">
        <v>89600000</v>
      </c>
      <c r="G339" s="2728">
        <f t="shared" si="10"/>
        <v>89.6</v>
      </c>
      <c r="H339" s="2727">
        <v>34500000</v>
      </c>
      <c r="I339" s="2728">
        <f t="shared" si="11"/>
        <v>34.5</v>
      </c>
      <c r="J339" s="2727">
        <v>2.4000000000000001E-5</v>
      </c>
      <c r="K339" s="2727">
        <v>904.00001999999995</v>
      </c>
      <c r="L339" s="2730">
        <v>222</v>
      </c>
    </row>
    <row r="340" spans="1:12" ht="15.75">
      <c r="A340" s="2719" t="s">
        <v>1289</v>
      </c>
      <c r="B340" s="2720">
        <v>68899999795.832794</v>
      </c>
      <c r="C340" s="2721">
        <v>0.33</v>
      </c>
      <c r="D340" s="2720">
        <v>2710.0000009999999</v>
      </c>
      <c r="E340" s="2722">
        <v>26000000131.0994</v>
      </c>
      <c r="F340" s="2722">
        <v>109999998.96355399</v>
      </c>
      <c r="G340" s="2723">
        <f t="shared" si="10"/>
        <v>109.99999896355401</v>
      </c>
      <c r="H340" s="2722">
        <v>99284505.021619007</v>
      </c>
      <c r="I340" s="2723">
        <f t="shared" si="11"/>
        <v>99.284505021618997</v>
      </c>
      <c r="J340" s="2722">
        <v>2.4000000000000001E-5</v>
      </c>
      <c r="K340" s="2722">
        <v>904.00002099999995</v>
      </c>
      <c r="L340" s="2729">
        <v>219.99999800000001</v>
      </c>
    </row>
    <row r="341" spans="1:12" ht="15.75">
      <c r="A341" s="2724" t="s">
        <v>1290</v>
      </c>
      <c r="B341" s="2725">
        <v>68899999795.832794</v>
      </c>
      <c r="C341" s="2726">
        <v>0.33</v>
      </c>
      <c r="D341" s="2725">
        <v>2709.8622099999998</v>
      </c>
      <c r="E341" s="2727">
        <v>26000000131.0994</v>
      </c>
      <c r="F341" s="2727">
        <v>130000000.655497</v>
      </c>
      <c r="G341" s="2728">
        <f t="shared" si="10"/>
        <v>130.00000065549699</v>
      </c>
      <c r="H341" s="2727">
        <v>122726679.81839</v>
      </c>
      <c r="I341" s="2728">
        <f t="shared" si="11"/>
        <v>122.72667981839</v>
      </c>
      <c r="J341" s="2727">
        <v>2.4000000000000001E-5</v>
      </c>
      <c r="K341" s="2727">
        <v>904.00002099999995</v>
      </c>
      <c r="L341" s="2730">
        <v>219.99999800000001</v>
      </c>
    </row>
    <row r="342" spans="1:12" ht="15.75">
      <c r="A342" s="2719" t="s">
        <v>1291</v>
      </c>
      <c r="B342" s="2720">
        <v>69000000666.137207</v>
      </c>
      <c r="C342" s="2721">
        <v>0.33</v>
      </c>
      <c r="D342" s="2720">
        <v>2704.9999859999998</v>
      </c>
      <c r="E342" s="2722">
        <v>26000000131.0994</v>
      </c>
      <c r="F342" s="2722">
        <v>130000000.655497</v>
      </c>
      <c r="G342" s="2723">
        <f t="shared" si="10"/>
        <v>130.00000065549699</v>
      </c>
      <c r="H342" s="2722">
        <v>118589825.44249</v>
      </c>
      <c r="I342" s="2723">
        <f t="shared" si="11"/>
        <v>118.58982544249</v>
      </c>
      <c r="J342" s="2722">
        <v>0</v>
      </c>
      <c r="K342" s="2722">
        <v>900.00000499999999</v>
      </c>
      <c r="L342" s="2729">
        <v>229.99999800000001</v>
      </c>
    </row>
    <row r="343" spans="1:12" ht="15.75">
      <c r="A343" s="2724" t="s">
        <v>1292</v>
      </c>
      <c r="B343" s="2725">
        <v>69000000000</v>
      </c>
      <c r="C343" s="2726">
        <v>0.33</v>
      </c>
      <c r="D343" s="2725">
        <v>2700</v>
      </c>
      <c r="E343" s="2727">
        <v>27000000000</v>
      </c>
      <c r="F343" s="2727">
        <v>82722700</v>
      </c>
      <c r="G343" s="2728">
        <f t="shared" si="10"/>
        <v>82.722700000000003</v>
      </c>
      <c r="H343" s="2727">
        <v>27574200</v>
      </c>
      <c r="I343" s="2728">
        <f t="shared" si="11"/>
        <v>27.574200000000001</v>
      </c>
      <c r="J343" s="2727">
        <v>2.4000000000000001E-5</v>
      </c>
      <c r="K343" s="2727">
        <v>1000</v>
      </c>
      <c r="L343" s="2730">
        <v>220</v>
      </c>
    </row>
    <row r="344" spans="1:12" ht="15.75">
      <c r="A344" s="2719" t="s">
        <v>1293</v>
      </c>
      <c r="B344" s="2720">
        <v>69000000000</v>
      </c>
      <c r="C344" s="2721">
        <v>0.33</v>
      </c>
      <c r="D344" s="2720">
        <v>2700</v>
      </c>
      <c r="E344" s="2722">
        <v>27000000000</v>
      </c>
      <c r="F344" s="2722">
        <v>82722700</v>
      </c>
      <c r="G344" s="2723">
        <f t="shared" si="10"/>
        <v>82.722700000000003</v>
      </c>
      <c r="H344" s="2722">
        <v>27574200</v>
      </c>
      <c r="I344" s="2723">
        <f t="shared" si="11"/>
        <v>27.574200000000001</v>
      </c>
      <c r="J344" s="2722">
        <v>2.4000000000000001E-5</v>
      </c>
      <c r="K344" s="2722">
        <v>1000</v>
      </c>
      <c r="L344" s="2729">
        <v>230</v>
      </c>
    </row>
    <row r="345" spans="1:12" ht="15.75">
      <c r="A345" s="2724" t="s">
        <v>1294</v>
      </c>
      <c r="B345" s="2725">
        <v>70999997000</v>
      </c>
      <c r="C345" s="2726">
        <v>0.33</v>
      </c>
      <c r="D345" s="2725">
        <v>2799.9998999999998</v>
      </c>
      <c r="E345" s="2727">
        <v>23000000000</v>
      </c>
      <c r="F345" s="2727">
        <v>359000000</v>
      </c>
      <c r="G345" s="2728">
        <f t="shared" si="10"/>
        <v>359</v>
      </c>
      <c r="H345" s="2727">
        <v>349000000</v>
      </c>
      <c r="I345" s="2728">
        <f t="shared" si="11"/>
        <v>349</v>
      </c>
      <c r="J345" s="2727">
        <v>3.4999999999999997E-5</v>
      </c>
      <c r="K345" s="2727">
        <v>963.00001999999995</v>
      </c>
      <c r="L345" s="2730">
        <v>121</v>
      </c>
    </row>
    <row r="346" spans="1:12" ht="15.75">
      <c r="A346" s="2719" t="s">
        <v>1295</v>
      </c>
      <c r="B346" s="2720">
        <v>70999997387.952896</v>
      </c>
      <c r="C346" s="2721">
        <v>0.33</v>
      </c>
      <c r="D346" s="2720">
        <v>2799.999867</v>
      </c>
      <c r="E346" s="2722">
        <v>23000000222.0457</v>
      </c>
      <c r="F346" s="2722">
        <v>344999997.10206598</v>
      </c>
      <c r="G346" s="2723">
        <f t="shared" si="10"/>
        <v>344.999997102066</v>
      </c>
      <c r="H346" s="2722">
        <v>344000003.33068597</v>
      </c>
      <c r="I346" s="2723">
        <f t="shared" si="11"/>
        <v>344.00000333068601</v>
      </c>
      <c r="J346" s="2722">
        <v>1.9000000000000001E-5</v>
      </c>
      <c r="K346" s="2722">
        <v>963.00001599999996</v>
      </c>
      <c r="L346" s="2729">
        <v>121.00000300000001</v>
      </c>
    </row>
    <row r="347" spans="1:12" ht="15.75">
      <c r="A347" s="2724" t="s">
        <v>1296</v>
      </c>
      <c r="B347" s="2725">
        <v>70999997387.952896</v>
      </c>
      <c r="C347" s="2726">
        <v>0.33</v>
      </c>
      <c r="D347" s="2725">
        <v>2799.999867</v>
      </c>
      <c r="E347" s="2727">
        <v>23000000222.0457</v>
      </c>
      <c r="F347" s="2727">
        <v>273000000</v>
      </c>
      <c r="G347" s="2728">
        <f t="shared" si="10"/>
        <v>273</v>
      </c>
      <c r="H347" s="2727">
        <v>225000000</v>
      </c>
      <c r="I347" s="2728">
        <f t="shared" si="11"/>
        <v>225</v>
      </c>
      <c r="J347" s="2727">
        <v>1.9000000000000001E-5</v>
      </c>
      <c r="K347" s="2727">
        <v>963.00001599999996</v>
      </c>
      <c r="L347" s="2730">
        <v>121.00000300000001</v>
      </c>
    </row>
    <row r="348" spans="1:12" ht="15.75">
      <c r="A348" s="2719" t="s">
        <v>1297</v>
      </c>
      <c r="B348" s="2720">
        <v>73000000000</v>
      </c>
      <c r="C348" s="2721">
        <v>0.33</v>
      </c>
      <c r="D348" s="2720">
        <v>2800</v>
      </c>
      <c r="E348" s="2722">
        <v>28000000000</v>
      </c>
      <c r="F348" s="2722">
        <v>165445000</v>
      </c>
      <c r="G348" s="2723">
        <f t="shared" si="10"/>
        <v>165.44499999999999</v>
      </c>
      <c r="H348" s="2722">
        <v>96509800</v>
      </c>
      <c r="I348" s="2723">
        <f t="shared" si="11"/>
        <v>96.509799999999998</v>
      </c>
      <c r="J348" s="2722">
        <v>2.3E-5</v>
      </c>
      <c r="K348" s="2722">
        <v>960</v>
      </c>
      <c r="L348" s="2729">
        <v>160</v>
      </c>
    </row>
    <row r="349" spans="1:12" ht="15.75">
      <c r="A349" s="2724" t="s">
        <v>1298</v>
      </c>
      <c r="B349" s="2725">
        <v>72400000000</v>
      </c>
      <c r="C349" s="2726">
        <v>0.33</v>
      </c>
      <c r="D349" s="2725">
        <v>2800</v>
      </c>
      <c r="E349" s="2727">
        <v>28000000000</v>
      </c>
      <c r="F349" s="2727">
        <v>185000000</v>
      </c>
      <c r="G349" s="2728">
        <f t="shared" si="10"/>
        <v>185</v>
      </c>
      <c r="H349" s="2727">
        <v>95000000</v>
      </c>
      <c r="I349" s="2728">
        <f t="shared" si="11"/>
        <v>95</v>
      </c>
      <c r="J349" s="2727">
        <v>2.3E-5</v>
      </c>
      <c r="K349" s="2727">
        <v>880</v>
      </c>
      <c r="L349" s="2730">
        <v>192</v>
      </c>
    </row>
    <row r="350" spans="1:12" ht="15.75">
      <c r="A350" s="2719" t="s">
        <v>1299</v>
      </c>
      <c r="B350" s="2720">
        <v>72400000000</v>
      </c>
      <c r="C350" s="2721">
        <v>0.33</v>
      </c>
      <c r="D350" s="2720">
        <v>2800</v>
      </c>
      <c r="E350" s="2722">
        <v>28000000000</v>
      </c>
      <c r="F350" s="2722">
        <v>425000000</v>
      </c>
      <c r="G350" s="2723">
        <f t="shared" si="10"/>
        <v>425</v>
      </c>
      <c r="H350" s="2722">
        <v>290000000</v>
      </c>
      <c r="I350" s="2723">
        <f t="shared" si="11"/>
        <v>290</v>
      </c>
      <c r="J350" s="2722">
        <v>2.3E-5</v>
      </c>
      <c r="K350" s="2722">
        <v>880</v>
      </c>
      <c r="L350" s="2729">
        <v>134</v>
      </c>
    </row>
    <row r="351" spans="1:12" ht="15.75">
      <c r="A351" s="2724" t="s">
        <v>1300</v>
      </c>
      <c r="B351" s="2725">
        <v>72400000000</v>
      </c>
      <c r="C351" s="2726">
        <v>0.33</v>
      </c>
      <c r="D351" s="2725">
        <v>2800</v>
      </c>
      <c r="E351" s="2727">
        <v>28000000000</v>
      </c>
      <c r="F351" s="2727">
        <v>470000000</v>
      </c>
      <c r="G351" s="2728">
        <f t="shared" si="10"/>
        <v>470</v>
      </c>
      <c r="H351" s="2727">
        <v>415000000</v>
      </c>
      <c r="I351" s="2728">
        <f t="shared" si="11"/>
        <v>415</v>
      </c>
      <c r="J351" s="2727">
        <v>2.3E-5</v>
      </c>
      <c r="K351" s="2727">
        <v>880</v>
      </c>
      <c r="L351" s="2730">
        <v>155</v>
      </c>
    </row>
    <row r="352" spans="1:12" ht="15.75">
      <c r="A352" s="2719" t="s">
        <v>1301</v>
      </c>
      <c r="B352" s="2720">
        <v>74000000000</v>
      </c>
      <c r="C352" s="2721">
        <v>0.33</v>
      </c>
      <c r="D352" s="2720">
        <v>2800</v>
      </c>
      <c r="E352" s="2722">
        <v>27000000000</v>
      </c>
      <c r="F352" s="2722">
        <v>420507000</v>
      </c>
      <c r="G352" s="2723">
        <f t="shared" si="10"/>
        <v>420.50700000000001</v>
      </c>
      <c r="H352" s="2722">
        <v>317104000</v>
      </c>
      <c r="I352" s="2723">
        <f t="shared" si="11"/>
        <v>317.10399999999998</v>
      </c>
      <c r="J352" s="2722">
        <v>2.1999999999999999E-5</v>
      </c>
      <c r="K352" s="2722">
        <v>1000</v>
      </c>
      <c r="L352" s="2729">
        <v>150</v>
      </c>
    </row>
    <row r="353" spans="1:12" ht="15.75">
      <c r="A353" s="2724" t="s">
        <v>1302</v>
      </c>
      <c r="B353" s="2725">
        <v>73000000000</v>
      </c>
      <c r="C353" s="2726">
        <v>0.33</v>
      </c>
      <c r="D353" s="2725">
        <v>2800</v>
      </c>
      <c r="E353" s="2727">
        <v>28000000000</v>
      </c>
      <c r="F353" s="2727">
        <v>186126000</v>
      </c>
      <c r="G353" s="2728">
        <f t="shared" si="10"/>
        <v>186.126</v>
      </c>
      <c r="H353" s="2727">
        <v>758291000</v>
      </c>
      <c r="I353" s="2728">
        <f t="shared" si="11"/>
        <v>758.29100000000005</v>
      </c>
      <c r="J353" s="2727">
        <v>2.3E-5</v>
      </c>
      <c r="K353" s="2727">
        <v>800</v>
      </c>
      <c r="L353" s="2730">
        <v>140</v>
      </c>
    </row>
    <row r="354" spans="1:12" ht="15.75">
      <c r="A354" s="2719" t="s">
        <v>1303</v>
      </c>
      <c r="B354" s="2720">
        <v>72400000000</v>
      </c>
      <c r="C354" s="2721">
        <v>0.33</v>
      </c>
      <c r="D354" s="2720">
        <v>2780</v>
      </c>
      <c r="E354" s="2722">
        <v>28000000000</v>
      </c>
      <c r="F354" s="2722">
        <v>185000000</v>
      </c>
      <c r="G354" s="2723">
        <f t="shared" si="10"/>
        <v>185</v>
      </c>
      <c r="H354" s="2722">
        <v>75000000</v>
      </c>
      <c r="I354" s="2723">
        <f t="shared" si="11"/>
        <v>75</v>
      </c>
      <c r="J354" s="2722">
        <v>2.3200000000000001E-5</v>
      </c>
      <c r="K354" s="2722">
        <v>875</v>
      </c>
      <c r="L354" s="2729">
        <v>193</v>
      </c>
    </row>
    <row r="355" spans="1:12" ht="15.75">
      <c r="A355" s="2724" t="s">
        <v>1304</v>
      </c>
      <c r="B355" s="2725">
        <v>72400000000</v>
      </c>
      <c r="C355" s="2726">
        <v>0.33</v>
      </c>
      <c r="D355" s="2725">
        <v>2780</v>
      </c>
      <c r="E355" s="2727">
        <v>28000000000</v>
      </c>
      <c r="F355" s="2727">
        <v>485000000</v>
      </c>
      <c r="G355" s="2728">
        <f t="shared" si="10"/>
        <v>485</v>
      </c>
      <c r="H355" s="2727">
        <v>345000000</v>
      </c>
      <c r="I355" s="2728">
        <f t="shared" si="11"/>
        <v>345</v>
      </c>
      <c r="J355" s="2727">
        <v>2.3200000000000001E-5</v>
      </c>
      <c r="K355" s="2727">
        <v>875</v>
      </c>
      <c r="L355" s="2730">
        <v>120</v>
      </c>
    </row>
    <row r="356" spans="1:12" ht="15.75">
      <c r="A356" s="2719" t="s">
        <v>1305</v>
      </c>
      <c r="B356" s="2720">
        <v>72400000000</v>
      </c>
      <c r="C356" s="2721">
        <v>0.33</v>
      </c>
      <c r="D356" s="2720">
        <v>2780</v>
      </c>
      <c r="E356" s="2722">
        <v>28000000000</v>
      </c>
      <c r="F356" s="2722">
        <v>470000000</v>
      </c>
      <c r="G356" s="2723">
        <f t="shared" si="10"/>
        <v>470</v>
      </c>
      <c r="H356" s="2722">
        <v>325000000</v>
      </c>
      <c r="I356" s="2723">
        <f t="shared" si="11"/>
        <v>325</v>
      </c>
      <c r="J356" s="2722">
        <v>2.3200000000000001E-5</v>
      </c>
      <c r="K356" s="2722">
        <v>875</v>
      </c>
      <c r="L356" s="2729">
        <v>120</v>
      </c>
    </row>
    <row r="357" spans="1:12" ht="15.75">
      <c r="A357" s="2724" t="s">
        <v>1306</v>
      </c>
      <c r="B357" s="2725">
        <v>72400000000</v>
      </c>
      <c r="C357" s="2726">
        <v>0.33</v>
      </c>
      <c r="D357" s="2725">
        <v>2780</v>
      </c>
      <c r="E357" s="2727">
        <v>28000000000</v>
      </c>
      <c r="F357" s="2727">
        <v>495000000</v>
      </c>
      <c r="G357" s="2728">
        <f t="shared" si="10"/>
        <v>495</v>
      </c>
      <c r="H357" s="2727">
        <v>395000000</v>
      </c>
      <c r="I357" s="2728">
        <f t="shared" si="11"/>
        <v>395</v>
      </c>
      <c r="J357" s="2727">
        <v>2.3200000000000001E-5</v>
      </c>
      <c r="K357" s="2727">
        <v>875</v>
      </c>
      <c r="L357" s="2730">
        <v>120</v>
      </c>
    </row>
    <row r="358" spans="1:12" ht="15.75">
      <c r="A358" s="2719" t="s">
        <v>1307</v>
      </c>
      <c r="B358" s="2720">
        <v>72000000000</v>
      </c>
      <c r="C358" s="2721">
        <v>0.33</v>
      </c>
      <c r="D358" s="2720">
        <v>2840</v>
      </c>
      <c r="E358" s="2722">
        <v>27000000000</v>
      </c>
      <c r="F358" s="2722">
        <v>170000000</v>
      </c>
      <c r="G358" s="2723">
        <f t="shared" si="10"/>
        <v>170</v>
      </c>
      <c r="H358" s="2722">
        <v>70000000</v>
      </c>
      <c r="I358" s="2723">
        <f t="shared" si="11"/>
        <v>70</v>
      </c>
      <c r="J358" s="2722">
        <v>2.23E-5</v>
      </c>
      <c r="K358" s="2722">
        <v>864</v>
      </c>
      <c r="L358" s="2729">
        <v>170</v>
      </c>
    </row>
    <row r="359" spans="1:12" ht="15.75">
      <c r="A359" s="2724" t="s">
        <v>1308</v>
      </c>
      <c r="B359" s="2725">
        <v>72000000000</v>
      </c>
      <c r="C359" s="2726">
        <v>0.33</v>
      </c>
      <c r="D359" s="2725">
        <v>2840</v>
      </c>
      <c r="E359" s="2727">
        <v>27000000000</v>
      </c>
      <c r="F359" s="2727">
        <v>360000000</v>
      </c>
      <c r="G359" s="2728">
        <f t="shared" si="10"/>
        <v>360</v>
      </c>
      <c r="H359" s="2727">
        <v>250000000</v>
      </c>
      <c r="I359" s="2728">
        <f t="shared" si="11"/>
        <v>250</v>
      </c>
      <c r="J359" s="2727">
        <v>2.23E-5</v>
      </c>
      <c r="K359" s="2727">
        <v>864</v>
      </c>
      <c r="L359" s="2730">
        <v>116</v>
      </c>
    </row>
    <row r="360" spans="1:12" ht="15.75">
      <c r="A360" s="2719" t="s">
        <v>1309</v>
      </c>
      <c r="B360" s="2720">
        <v>72000000000</v>
      </c>
      <c r="C360" s="2721">
        <v>0.33</v>
      </c>
      <c r="D360" s="2720">
        <v>2840</v>
      </c>
      <c r="E360" s="2722">
        <v>27000000000</v>
      </c>
      <c r="F360" s="2722">
        <v>395000000</v>
      </c>
      <c r="G360" s="2723">
        <f t="shared" si="10"/>
        <v>395</v>
      </c>
      <c r="H360" s="2722">
        <v>315000000</v>
      </c>
      <c r="I360" s="2723">
        <f t="shared" si="11"/>
        <v>315</v>
      </c>
      <c r="J360" s="2722">
        <v>2.23E-5</v>
      </c>
      <c r="K360" s="2722">
        <v>864</v>
      </c>
      <c r="L360" s="2729">
        <v>116</v>
      </c>
    </row>
    <row r="361" spans="1:12" ht="15.75">
      <c r="A361" s="2724" t="s">
        <v>1310</v>
      </c>
      <c r="B361" s="2725">
        <v>72000000000</v>
      </c>
      <c r="C361" s="2726">
        <v>0.33</v>
      </c>
      <c r="D361" s="2725">
        <v>2840</v>
      </c>
      <c r="E361" s="2727">
        <v>27000000000</v>
      </c>
      <c r="F361" s="2727">
        <v>415000000</v>
      </c>
      <c r="G361" s="2728">
        <f t="shared" si="10"/>
        <v>415</v>
      </c>
      <c r="H361" s="2727">
        <v>290000000</v>
      </c>
      <c r="I361" s="2728">
        <f t="shared" si="11"/>
        <v>290</v>
      </c>
      <c r="J361" s="2727">
        <v>2.23E-5</v>
      </c>
      <c r="K361" s="2727">
        <v>864</v>
      </c>
      <c r="L361" s="2730">
        <v>120</v>
      </c>
    </row>
    <row r="362" spans="1:12" ht="15.75">
      <c r="A362" s="2719" t="s">
        <v>1311</v>
      </c>
      <c r="B362" s="2720">
        <v>72000000000</v>
      </c>
      <c r="C362" s="2721">
        <v>0.33</v>
      </c>
      <c r="D362" s="2720">
        <v>2840</v>
      </c>
      <c r="E362" s="2722">
        <v>27000000000</v>
      </c>
      <c r="F362" s="2722">
        <v>455000000</v>
      </c>
      <c r="G362" s="2723">
        <f t="shared" si="10"/>
        <v>455</v>
      </c>
      <c r="H362" s="2722">
        <v>350000000</v>
      </c>
      <c r="I362" s="2723">
        <f t="shared" si="11"/>
        <v>350</v>
      </c>
      <c r="J362" s="2722">
        <v>2.23E-5</v>
      </c>
      <c r="K362" s="2722">
        <v>864</v>
      </c>
      <c r="L362" s="2729">
        <v>120</v>
      </c>
    </row>
    <row r="363" spans="1:12" ht="15.75">
      <c r="A363" s="2724" t="s">
        <v>1312</v>
      </c>
      <c r="B363" s="2725">
        <v>72000000000</v>
      </c>
      <c r="C363" s="2726">
        <v>0.33</v>
      </c>
      <c r="D363" s="2725">
        <v>2840</v>
      </c>
      <c r="E363" s="2727">
        <v>27000000000</v>
      </c>
      <c r="F363" s="2727">
        <v>475000000</v>
      </c>
      <c r="G363" s="2728">
        <f t="shared" si="10"/>
        <v>475</v>
      </c>
      <c r="H363" s="2727">
        <v>395000000</v>
      </c>
      <c r="I363" s="2728">
        <f t="shared" si="11"/>
        <v>395</v>
      </c>
      <c r="J363" s="2727">
        <v>2.23E-5</v>
      </c>
      <c r="K363" s="2727">
        <v>864</v>
      </c>
      <c r="L363" s="2730">
        <v>120</v>
      </c>
    </row>
    <row r="364" spans="1:12" ht="15.75">
      <c r="A364" s="2719" t="s">
        <v>1313</v>
      </c>
      <c r="B364" s="2720">
        <v>74499996822.198395</v>
      </c>
      <c r="C364" s="2721">
        <v>0.33</v>
      </c>
      <c r="D364" s="2720">
        <v>2760.0000030000001</v>
      </c>
      <c r="E364" s="2722">
        <v>26999999870.958698</v>
      </c>
      <c r="F364" s="2722">
        <v>440999997.66250098</v>
      </c>
      <c r="G364" s="2723">
        <f t="shared" si="10"/>
        <v>440.99999766250102</v>
      </c>
      <c r="H364" s="2722">
        <v>371999996.99636298</v>
      </c>
      <c r="I364" s="2723">
        <f t="shared" si="11"/>
        <v>371.999996996363</v>
      </c>
      <c r="J364" s="2722">
        <v>2.1999999999999999E-5</v>
      </c>
      <c r="K364" s="2722">
        <v>874.999999</v>
      </c>
      <c r="L364" s="2729">
        <v>145.999999</v>
      </c>
    </row>
    <row r="365" spans="1:12" ht="15.75">
      <c r="A365" s="2724" t="s">
        <v>1314</v>
      </c>
      <c r="B365" s="2725">
        <v>69000000000</v>
      </c>
      <c r="C365" s="2726">
        <v>0.33</v>
      </c>
      <c r="D365" s="2725">
        <v>2700</v>
      </c>
      <c r="E365" s="2727">
        <v>27000000000</v>
      </c>
      <c r="F365" s="2727">
        <v>110297000</v>
      </c>
      <c r="G365" s="2728">
        <f t="shared" si="10"/>
        <v>110.297</v>
      </c>
      <c r="H365" s="2727">
        <v>41361300</v>
      </c>
      <c r="I365" s="2728">
        <f t="shared" si="11"/>
        <v>41.3613</v>
      </c>
      <c r="J365" s="2727">
        <v>2.3E-5</v>
      </c>
      <c r="K365" s="2727">
        <v>1000</v>
      </c>
      <c r="L365" s="2730">
        <v>170</v>
      </c>
    </row>
    <row r="366" spans="1:12" ht="15.75">
      <c r="A366" s="2719" t="s">
        <v>1315</v>
      </c>
      <c r="B366" s="2720">
        <v>69000000000</v>
      </c>
      <c r="C366" s="2721">
        <v>0.33</v>
      </c>
      <c r="D366" s="2720">
        <v>2730</v>
      </c>
      <c r="E366" s="2722">
        <v>25000000000</v>
      </c>
      <c r="F366" s="2722">
        <v>110000000</v>
      </c>
      <c r="G366" s="2723">
        <f t="shared" si="10"/>
        <v>110</v>
      </c>
      <c r="H366" s="2722">
        <v>40000000</v>
      </c>
      <c r="I366" s="2723">
        <f t="shared" si="11"/>
        <v>40</v>
      </c>
      <c r="J366" s="2722">
        <v>2.3200000000000001E-5</v>
      </c>
      <c r="K366" s="2722">
        <v>893</v>
      </c>
      <c r="L366" s="2729">
        <v>193</v>
      </c>
    </row>
    <row r="367" spans="1:12" ht="15.75">
      <c r="A367" s="2724" t="s">
        <v>1316</v>
      </c>
      <c r="B367" s="2725">
        <v>69000000666.137207</v>
      </c>
      <c r="C367" s="2726">
        <v>0.33</v>
      </c>
      <c r="D367" s="2725">
        <v>2730.0000020000002</v>
      </c>
      <c r="E367" s="2727">
        <v>24999999701.764301</v>
      </c>
      <c r="F367" s="2727">
        <v>105000000</v>
      </c>
      <c r="G367" s="2728">
        <f t="shared" si="10"/>
        <v>105</v>
      </c>
      <c r="H367" s="2727">
        <v>36000000</v>
      </c>
      <c r="I367" s="2728">
        <f t="shared" si="11"/>
        <v>36</v>
      </c>
      <c r="J367" s="2727">
        <v>2.3E-5</v>
      </c>
      <c r="K367" s="2727">
        <v>893.00000799999998</v>
      </c>
      <c r="L367" s="2730">
        <v>193.00000199999999</v>
      </c>
    </row>
    <row r="368" spans="1:12" ht="15.75">
      <c r="A368" s="2719" t="s">
        <v>1317</v>
      </c>
      <c r="B368" s="2720">
        <v>69000000000</v>
      </c>
      <c r="C368" s="2721">
        <v>0.33</v>
      </c>
      <c r="D368" s="2720">
        <v>2730</v>
      </c>
      <c r="E368" s="2722">
        <v>25000000000</v>
      </c>
      <c r="F368" s="2722">
        <v>130000000</v>
      </c>
      <c r="G368" s="2723">
        <f t="shared" si="10"/>
        <v>130</v>
      </c>
      <c r="H368" s="2722">
        <v>125000000</v>
      </c>
      <c r="I368" s="2723">
        <f t="shared" si="11"/>
        <v>125</v>
      </c>
      <c r="J368" s="2722">
        <v>2.3200000000000001E-5</v>
      </c>
      <c r="K368" s="2722">
        <v>893</v>
      </c>
      <c r="L368" s="2729">
        <v>162</v>
      </c>
    </row>
    <row r="369" spans="1:12" ht="15.75">
      <c r="A369" s="2724" t="s">
        <v>1318</v>
      </c>
      <c r="B369" s="2725">
        <v>69000000666.137207</v>
      </c>
      <c r="C369" s="2726">
        <v>0.33</v>
      </c>
      <c r="D369" s="2725">
        <v>2730.0000020000002</v>
      </c>
      <c r="E369" s="2727">
        <v>24999999701.764301</v>
      </c>
      <c r="F369" s="2727">
        <v>130000000.655497</v>
      </c>
      <c r="G369" s="2728">
        <f t="shared" si="10"/>
        <v>130.00000065549699</v>
      </c>
      <c r="H369" s="2727">
        <v>124999998.50882199</v>
      </c>
      <c r="I369" s="2728">
        <f t="shared" si="11"/>
        <v>124.999998508822</v>
      </c>
      <c r="J369" s="2727">
        <v>2.3E-5</v>
      </c>
      <c r="K369" s="2727">
        <v>893.00000799999998</v>
      </c>
      <c r="L369" s="2730">
        <v>161.999999</v>
      </c>
    </row>
    <row r="370" spans="1:12" ht="15.75">
      <c r="A370" s="2719" t="s">
        <v>1319</v>
      </c>
      <c r="B370" s="2720">
        <v>69000000000</v>
      </c>
      <c r="C370" s="2721">
        <v>0.33</v>
      </c>
      <c r="D370" s="2720">
        <v>2730</v>
      </c>
      <c r="E370" s="2722">
        <v>25000000000</v>
      </c>
      <c r="F370" s="2722">
        <v>150000000</v>
      </c>
      <c r="G370" s="2723">
        <f t="shared" si="10"/>
        <v>150</v>
      </c>
      <c r="H370" s="2722">
        <v>145000000</v>
      </c>
      <c r="I370" s="2723">
        <f t="shared" si="11"/>
        <v>145</v>
      </c>
      <c r="J370" s="2722">
        <v>2.3200000000000001E-5</v>
      </c>
      <c r="K370" s="2722">
        <v>893</v>
      </c>
      <c r="L370" s="2729">
        <v>159</v>
      </c>
    </row>
    <row r="371" spans="1:12" ht="15.75">
      <c r="A371" s="2724" t="s">
        <v>1320</v>
      </c>
      <c r="B371" s="2725">
        <v>69000000666.137207</v>
      </c>
      <c r="C371" s="2726">
        <v>0.33</v>
      </c>
      <c r="D371" s="2725">
        <v>2730.0000020000002</v>
      </c>
      <c r="E371" s="2727">
        <v>24999999701.764301</v>
      </c>
      <c r="F371" s="2727">
        <v>150000002.34744099</v>
      </c>
      <c r="G371" s="2728">
        <f t="shared" si="10"/>
        <v>150.00000234744101</v>
      </c>
      <c r="H371" s="2727">
        <v>145000000.20076501</v>
      </c>
      <c r="I371" s="2728">
        <f t="shared" si="11"/>
        <v>145.00000020076499</v>
      </c>
      <c r="J371" s="2727">
        <v>2.3E-5</v>
      </c>
      <c r="K371" s="2727">
        <v>893.00000799999998</v>
      </c>
      <c r="L371" s="2730">
        <v>159.00000199999999</v>
      </c>
    </row>
    <row r="372" spans="1:12" ht="15.75">
      <c r="A372" s="2719" t="s">
        <v>1321</v>
      </c>
      <c r="B372" s="2720">
        <v>69000000000</v>
      </c>
      <c r="C372" s="2721">
        <v>0.33</v>
      </c>
      <c r="D372" s="2720">
        <v>2730</v>
      </c>
      <c r="E372" s="2722">
        <v>25000000000</v>
      </c>
      <c r="F372" s="2722">
        <v>180000000</v>
      </c>
      <c r="G372" s="2723">
        <f t="shared" si="10"/>
        <v>180</v>
      </c>
      <c r="H372" s="2722">
        <v>170000000</v>
      </c>
      <c r="I372" s="2723">
        <f t="shared" si="11"/>
        <v>170</v>
      </c>
      <c r="J372" s="2722">
        <v>2.3200000000000001E-5</v>
      </c>
      <c r="K372" s="2722">
        <v>893</v>
      </c>
      <c r="L372" s="2729">
        <v>157</v>
      </c>
    </row>
    <row r="373" spans="1:12" ht="15.75">
      <c r="A373" s="2724" t="s">
        <v>1322</v>
      </c>
      <c r="B373" s="2725">
        <v>69000000000</v>
      </c>
      <c r="C373" s="2726">
        <v>0.33</v>
      </c>
      <c r="D373" s="2725">
        <v>2730</v>
      </c>
      <c r="E373" s="2727">
        <v>25000000000</v>
      </c>
      <c r="F373" s="2727">
        <v>200000000</v>
      </c>
      <c r="G373" s="2728">
        <f t="shared" si="10"/>
        <v>200</v>
      </c>
      <c r="H373" s="2727">
        <v>185000000</v>
      </c>
      <c r="I373" s="2728">
        <f t="shared" si="11"/>
        <v>185</v>
      </c>
      <c r="J373" s="2727">
        <v>2.3200000000000001E-5</v>
      </c>
      <c r="K373" s="2727">
        <v>893</v>
      </c>
      <c r="L373" s="2730">
        <v>155</v>
      </c>
    </row>
    <row r="374" spans="1:12" ht="15.75">
      <c r="A374" s="2719" t="s">
        <v>1323</v>
      </c>
      <c r="B374" s="2720">
        <v>69000000666.137207</v>
      </c>
      <c r="C374" s="2721">
        <v>0.33</v>
      </c>
      <c r="D374" s="2720">
        <v>2730.0000020000002</v>
      </c>
      <c r="E374" s="2722">
        <v>24999999701.764301</v>
      </c>
      <c r="F374" s="2722">
        <v>200000003.12992099</v>
      </c>
      <c r="G374" s="2723">
        <f t="shared" si="10"/>
        <v>200.000003129921</v>
      </c>
      <c r="H374" s="2722">
        <v>184999996.689895</v>
      </c>
      <c r="I374" s="2723">
        <f t="shared" si="11"/>
        <v>184.999996689895</v>
      </c>
      <c r="J374" s="2722">
        <v>2.3E-5</v>
      </c>
      <c r="K374" s="2722">
        <v>893.00000799999998</v>
      </c>
      <c r="L374" s="2729">
        <v>155.00000199999999</v>
      </c>
    </row>
    <row r="375" spans="1:12" ht="15.75">
      <c r="A375" s="2724" t="s">
        <v>1324</v>
      </c>
      <c r="B375" s="2725">
        <v>68899999795.832794</v>
      </c>
      <c r="C375" s="2726">
        <v>0.35</v>
      </c>
      <c r="D375" s="2725">
        <v>2720.0000009999999</v>
      </c>
      <c r="E375" s="2727">
        <v>24999999701.764301</v>
      </c>
      <c r="F375" s="2727">
        <v>241000001.42733699</v>
      </c>
      <c r="G375" s="2728">
        <f t="shared" si="10"/>
        <v>241.000001427337</v>
      </c>
      <c r="H375" s="2727">
        <v>200000003.12992099</v>
      </c>
      <c r="I375" s="2728">
        <f t="shared" si="11"/>
        <v>200.000003129921</v>
      </c>
      <c r="J375" s="2727">
        <v>2.4000000000000001E-5</v>
      </c>
      <c r="K375" s="2727">
        <v>893.00000799999998</v>
      </c>
      <c r="L375" s="2730">
        <v>163.00000199999999</v>
      </c>
    </row>
    <row r="376" spans="1:12" ht="15.75">
      <c r="A376" s="2719" t="s">
        <v>1325</v>
      </c>
      <c r="B376" s="2720">
        <v>68899999795.832794</v>
      </c>
      <c r="C376" s="2721">
        <v>0.35</v>
      </c>
      <c r="D376" s="2720">
        <v>2720.0000009999999</v>
      </c>
      <c r="E376" s="2722">
        <v>24999999701.764301</v>
      </c>
      <c r="F376" s="2722">
        <v>178999999.629691</v>
      </c>
      <c r="G376" s="2723">
        <f t="shared" si="10"/>
        <v>178.99999962969099</v>
      </c>
      <c r="H376" s="2722">
        <v>69000000.666136995</v>
      </c>
      <c r="I376" s="2723">
        <f t="shared" si="11"/>
        <v>69.000000666136998</v>
      </c>
      <c r="J376" s="2722">
        <v>2.4000000000000001E-5</v>
      </c>
      <c r="K376" s="2722">
        <v>893.00000799999998</v>
      </c>
      <c r="L376" s="2729">
        <v>163.00000199999999</v>
      </c>
    </row>
    <row r="377" spans="1:12" ht="15.75">
      <c r="A377" s="2724" t="s">
        <v>1326</v>
      </c>
      <c r="B377" s="2725">
        <v>72400000000</v>
      </c>
      <c r="C377" s="2726">
        <v>0.33</v>
      </c>
      <c r="D377" s="2725">
        <v>2680</v>
      </c>
      <c r="E377" s="2727">
        <v>27200000000</v>
      </c>
      <c r="F377" s="2727">
        <v>228000000</v>
      </c>
      <c r="G377" s="2728">
        <f t="shared" si="10"/>
        <v>228</v>
      </c>
      <c r="H377" s="2727">
        <v>152000000</v>
      </c>
      <c r="I377" s="2728">
        <f t="shared" si="11"/>
        <v>152</v>
      </c>
      <c r="J377" s="2727">
        <v>2.0999999999999999E-5</v>
      </c>
      <c r="K377" s="2727">
        <v>963</v>
      </c>
      <c r="L377" s="2730">
        <v>151</v>
      </c>
    </row>
    <row r="378" spans="1:12" ht="15.75">
      <c r="A378" s="2719" t="s">
        <v>1327</v>
      </c>
      <c r="B378" s="2720">
        <v>79000000000</v>
      </c>
      <c r="C378" s="2721">
        <v>0.34</v>
      </c>
      <c r="D378" s="2720">
        <v>2680</v>
      </c>
      <c r="E378" s="2722">
        <v>26000000000</v>
      </c>
      <c r="F378" s="2722">
        <v>380000000</v>
      </c>
      <c r="G378" s="2723">
        <f t="shared" si="10"/>
        <v>380</v>
      </c>
      <c r="H378" s="2722">
        <v>315000000</v>
      </c>
      <c r="I378" s="2723">
        <f t="shared" si="11"/>
        <v>315</v>
      </c>
      <c r="J378" s="2722">
        <v>1.9400000000000001E-5</v>
      </c>
      <c r="K378" s="2722">
        <v>850</v>
      </c>
      <c r="L378" s="2729">
        <v>138</v>
      </c>
    </row>
    <row r="379" spans="1:12" ht="15.75">
      <c r="A379" s="2724" t="s">
        <v>1328</v>
      </c>
      <c r="B379" s="2725">
        <v>70000000000</v>
      </c>
      <c r="C379" s="2726">
        <v>0.33</v>
      </c>
      <c r="D379" s="2725">
        <v>2680</v>
      </c>
      <c r="E379" s="2727">
        <v>25900000000</v>
      </c>
      <c r="F379" s="2727">
        <v>195000000</v>
      </c>
      <c r="G379" s="2728">
        <f t="shared" si="10"/>
        <v>195</v>
      </c>
      <c r="H379" s="2727">
        <v>90000000</v>
      </c>
      <c r="I379" s="2728">
        <f t="shared" si="11"/>
        <v>90</v>
      </c>
      <c r="J379" s="2727">
        <v>2.3799999999999999E-5</v>
      </c>
      <c r="K379" s="2727">
        <v>880</v>
      </c>
      <c r="L379" s="2730">
        <v>137</v>
      </c>
    </row>
    <row r="380" spans="1:12" ht="15.75">
      <c r="A380" s="2719" t="s">
        <v>1329</v>
      </c>
      <c r="B380" s="2720">
        <v>70000002474.423706</v>
      </c>
      <c r="C380" s="2721">
        <v>0.33</v>
      </c>
      <c r="D380" s="2720">
        <v>2679.9999990000001</v>
      </c>
      <c r="E380" s="2722">
        <v>25899999950.270699</v>
      </c>
      <c r="F380" s="2722">
        <v>195000000.983246</v>
      </c>
      <c r="G380" s="2723">
        <f t="shared" si="10"/>
        <v>195.000000983246</v>
      </c>
      <c r="H380" s="2722">
        <v>72394951.578263998</v>
      </c>
      <c r="I380" s="2723">
        <f t="shared" si="11"/>
        <v>72.394951578263999</v>
      </c>
      <c r="J380" s="2722">
        <v>2.4000000000000001E-5</v>
      </c>
      <c r="K380" s="2722">
        <v>880.00000799999998</v>
      </c>
      <c r="L380" s="2729">
        <v>137.00000299999999</v>
      </c>
    </row>
    <row r="381" spans="1:12" ht="15.75">
      <c r="A381" s="2724" t="s">
        <v>1330</v>
      </c>
      <c r="B381" s="2725">
        <v>70000000000</v>
      </c>
      <c r="C381" s="2726">
        <v>0.33</v>
      </c>
      <c r="D381" s="2725">
        <v>2680</v>
      </c>
      <c r="E381" s="2727">
        <v>25900000000</v>
      </c>
      <c r="F381" s="2727">
        <v>230000000</v>
      </c>
      <c r="G381" s="2728">
        <f t="shared" si="10"/>
        <v>230</v>
      </c>
      <c r="H381" s="2727">
        <v>195000000</v>
      </c>
      <c r="I381" s="2728">
        <f t="shared" si="11"/>
        <v>195</v>
      </c>
      <c r="J381" s="2727">
        <v>2.3799999999999999E-5</v>
      </c>
      <c r="K381" s="2727">
        <v>880</v>
      </c>
      <c r="L381" s="2730">
        <v>137</v>
      </c>
    </row>
    <row r="382" spans="1:12" ht="15.75">
      <c r="A382" s="2719" t="s">
        <v>1331</v>
      </c>
      <c r="B382" s="2720">
        <v>70000000000</v>
      </c>
      <c r="C382" s="2721">
        <v>0.33</v>
      </c>
      <c r="D382" s="2720">
        <v>2680</v>
      </c>
      <c r="E382" s="2722">
        <v>25900000000</v>
      </c>
      <c r="F382" s="2722">
        <v>260000000</v>
      </c>
      <c r="G382" s="2723">
        <f t="shared" si="10"/>
        <v>260</v>
      </c>
      <c r="H382" s="2722">
        <v>215000000</v>
      </c>
      <c r="I382" s="2723">
        <f t="shared" si="11"/>
        <v>215</v>
      </c>
      <c r="J382" s="2722">
        <v>2.3799999999999999E-5</v>
      </c>
      <c r="K382" s="2722">
        <v>880</v>
      </c>
      <c r="L382" s="2729">
        <v>137</v>
      </c>
    </row>
    <row r="383" spans="1:12" ht="15.75">
      <c r="A383" s="2724" t="s">
        <v>1332</v>
      </c>
      <c r="B383" s="2725">
        <v>70000000000</v>
      </c>
      <c r="C383" s="2726">
        <v>0.33</v>
      </c>
      <c r="D383" s="2725">
        <v>2680</v>
      </c>
      <c r="E383" s="2727">
        <v>25900000000</v>
      </c>
      <c r="F383" s="2727">
        <v>275000000</v>
      </c>
      <c r="G383" s="2728">
        <f t="shared" si="10"/>
        <v>275</v>
      </c>
      <c r="H383" s="2727">
        <v>240000000</v>
      </c>
      <c r="I383" s="2728">
        <f t="shared" si="11"/>
        <v>240</v>
      </c>
      <c r="J383" s="2727">
        <v>2.3799999999999999E-5</v>
      </c>
      <c r="K383" s="2727">
        <v>880</v>
      </c>
      <c r="L383" s="2730">
        <v>127</v>
      </c>
    </row>
    <row r="384" spans="1:12" ht="15.75">
      <c r="A384" s="2719" t="s">
        <v>1333</v>
      </c>
      <c r="B384" s="2720">
        <v>70000000000</v>
      </c>
      <c r="C384" s="2721">
        <v>0.33</v>
      </c>
      <c r="D384" s="2720">
        <v>2680</v>
      </c>
      <c r="E384" s="2722">
        <v>25900000000</v>
      </c>
      <c r="F384" s="2722">
        <v>290000000</v>
      </c>
      <c r="G384" s="2723">
        <f t="shared" si="10"/>
        <v>290</v>
      </c>
      <c r="H384" s="2722">
        <v>255000000</v>
      </c>
      <c r="I384" s="2723">
        <f t="shared" si="11"/>
        <v>255</v>
      </c>
      <c r="J384" s="2722">
        <v>2.3799999999999999E-5</v>
      </c>
      <c r="K384" s="2722">
        <v>880</v>
      </c>
      <c r="L384" s="2729">
        <v>137</v>
      </c>
    </row>
    <row r="385" spans="1:12" ht="15.75">
      <c r="A385" s="2724" t="s">
        <v>1334</v>
      </c>
      <c r="B385" s="2725">
        <v>70000002474.423706</v>
      </c>
      <c r="C385" s="2726">
        <v>0.33</v>
      </c>
      <c r="D385" s="2725">
        <v>2679.9999990000001</v>
      </c>
      <c r="E385" s="2727">
        <v>25899999950.270699</v>
      </c>
      <c r="F385" s="2727">
        <v>290000000.40153098</v>
      </c>
      <c r="G385" s="2728">
        <f t="shared" si="10"/>
        <v>290.000000401531</v>
      </c>
      <c r="H385" s="2727">
        <v>254999999.16431901</v>
      </c>
      <c r="I385" s="2728">
        <f t="shared" si="11"/>
        <v>254.99999916431901</v>
      </c>
      <c r="J385" s="2727">
        <v>2.4000000000000001E-5</v>
      </c>
      <c r="K385" s="2727">
        <v>880.00000799999998</v>
      </c>
      <c r="L385" s="2730">
        <v>137.00000299999999</v>
      </c>
    </row>
    <row r="386" spans="1:12" ht="15.75">
      <c r="A386" s="2719" t="s">
        <v>1335</v>
      </c>
      <c r="B386" s="2720">
        <v>70300000259.006699</v>
      </c>
      <c r="C386" s="2721">
        <v>0.33</v>
      </c>
      <c r="D386" s="2720">
        <v>2659.9999979999998</v>
      </c>
      <c r="E386" s="2722">
        <v>25899999950.270699</v>
      </c>
      <c r="F386" s="2722">
        <v>241000001.42733699</v>
      </c>
      <c r="G386" s="2723">
        <f t="shared" si="10"/>
        <v>241.000001427337</v>
      </c>
      <c r="H386" s="2722">
        <v>139274097.32199401</v>
      </c>
      <c r="I386" s="2723">
        <f t="shared" si="11"/>
        <v>139.27409732199399</v>
      </c>
      <c r="J386" s="2722">
        <v>2.4000000000000001E-5</v>
      </c>
      <c r="K386" s="2722">
        <v>900.00000499999999</v>
      </c>
      <c r="L386" s="2729">
        <v>125.00000300000001</v>
      </c>
    </row>
    <row r="387" spans="1:12" ht="15.75">
      <c r="A387" s="2724" t="s">
        <v>1336</v>
      </c>
      <c r="B387" s="2725">
        <v>70999997387.952896</v>
      </c>
      <c r="C387" s="2726">
        <v>0.33</v>
      </c>
      <c r="D387" s="2725">
        <v>2659.9999979999998</v>
      </c>
      <c r="E387" s="2727">
        <v>26400000164.938202</v>
      </c>
      <c r="F387" s="2727">
        <v>290000000.40153098</v>
      </c>
      <c r="G387" s="2728">
        <f t="shared" si="10"/>
        <v>290.000000401531</v>
      </c>
      <c r="H387" s="2727">
        <v>68947572.931679994</v>
      </c>
      <c r="I387" s="2728">
        <f t="shared" si="11"/>
        <v>68.94757293168</v>
      </c>
      <c r="J387" s="2727">
        <v>2.4000000000000001E-5</v>
      </c>
      <c r="K387" s="2727">
        <v>900.00000499999999</v>
      </c>
      <c r="L387" s="2730">
        <v>125.00000300000001</v>
      </c>
    </row>
    <row r="388" spans="1:12" ht="15.75">
      <c r="A388" s="2719" t="s">
        <v>1337</v>
      </c>
      <c r="B388" s="2720">
        <v>70000000000</v>
      </c>
      <c r="C388" s="2721">
        <v>0.33</v>
      </c>
      <c r="D388" s="2720">
        <v>2690</v>
      </c>
      <c r="E388" s="2722">
        <v>26000000000</v>
      </c>
      <c r="F388" s="2722">
        <v>250000000</v>
      </c>
      <c r="G388" s="2723">
        <f t="shared" ref="G388:G451" si="12">F388/1000000</f>
        <v>250</v>
      </c>
      <c r="H388" s="2722">
        <v>115000000</v>
      </c>
      <c r="I388" s="2723">
        <f t="shared" ref="I388:I451" si="13">H388/1000000</f>
        <v>115</v>
      </c>
      <c r="J388" s="2722">
        <v>2.3600000000000001E-5</v>
      </c>
      <c r="K388" s="2722">
        <v>900</v>
      </c>
      <c r="L388" s="2729">
        <v>134</v>
      </c>
    </row>
    <row r="389" spans="1:12" ht="15.75">
      <c r="A389" s="2724" t="s">
        <v>1338</v>
      </c>
      <c r="B389" s="2725">
        <v>70000000000</v>
      </c>
      <c r="C389" s="2726">
        <v>0.33</v>
      </c>
      <c r="D389" s="2725">
        <v>2690</v>
      </c>
      <c r="E389" s="2727">
        <v>26000000000</v>
      </c>
      <c r="F389" s="2727">
        <v>275000000</v>
      </c>
      <c r="G389" s="2728">
        <f t="shared" si="12"/>
        <v>275</v>
      </c>
      <c r="H389" s="2727">
        <v>205000000</v>
      </c>
      <c r="I389" s="2728">
        <f t="shared" si="13"/>
        <v>205</v>
      </c>
      <c r="J389" s="2727">
        <v>2.3600000000000001E-5</v>
      </c>
      <c r="K389" s="2727">
        <v>900</v>
      </c>
      <c r="L389" s="2730">
        <v>134</v>
      </c>
    </row>
    <row r="390" spans="1:12" ht="15.75">
      <c r="A390" s="2719" t="s">
        <v>1339</v>
      </c>
      <c r="B390" s="2720">
        <v>70000000000</v>
      </c>
      <c r="C390" s="2721">
        <v>0.33</v>
      </c>
      <c r="D390" s="2720">
        <v>2690</v>
      </c>
      <c r="E390" s="2722">
        <v>26000000000</v>
      </c>
      <c r="F390" s="2722">
        <v>305000000</v>
      </c>
      <c r="G390" s="2723">
        <f t="shared" si="12"/>
        <v>305</v>
      </c>
      <c r="H390" s="2722">
        <v>240000000</v>
      </c>
      <c r="I390" s="2723">
        <f t="shared" si="13"/>
        <v>240</v>
      </c>
      <c r="J390" s="2722">
        <v>2.3600000000000001E-5</v>
      </c>
      <c r="K390" s="2722">
        <v>900</v>
      </c>
      <c r="L390" s="2729">
        <v>134</v>
      </c>
    </row>
    <row r="391" spans="1:12" ht="15.75">
      <c r="A391" s="2724" t="s">
        <v>1340</v>
      </c>
      <c r="B391" s="2725">
        <v>70000000000</v>
      </c>
      <c r="C391" s="2726">
        <v>0.33</v>
      </c>
      <c r="D391" s="2725">
        <v>2690</v>
      </c>
      <c r="E391" s="2727">
        <v>26000000000</v>
      </c>
      <c r="F391" s="2727">
        <v>260000000</v>
      </c>
      <c r="G391" s="2728">
        <f t="shared" si="12"/>
        <v>260</v>
      </c>
      <c r="H391" s="2727">
        <v>180000000</v>
      </c>
      <c r="I391" s="2728">
        <f t="shared" si="13"/>
        <v>180</v>
      </c>
      <c r="J391" s="2727">
        <v>2.3600000000000001E-5</v>
      </c>
      <c r="K391" s="2727">
        <v>900</v>
      </c>
      <c r="L391" s="2730">
        <v>134</v>
      </c>
    </row>
    <row r="392" spans="1:12" ht="15.75">
      <c r="A392" s="2719" t="s">
        <v>1341</v>
      </c>
      <c r="B392" s="2720">
        <v>70000000000</v>
      </c>
      <c r="C392" s="2721">
        <v>0.33</v>
      </c>
      <c r="D392" s="2720">
        <v>2690</v>
      </c>
      <c r="E392" s="2722">
        <v>26000000000</v>
      </c>
      <c r="F392" s="2722">
        <v>250000000</v>
      </c>
      <c r="G392" s="2723">
        <f t="shared" si="12"/>
        <v>250</v>
      </c>
      <c r="H392" s="2722">
        <v>125000000</v>
      </c>
      <c r="I392" s="2723">
        <f t="shared" si="13"/>
        <v>125</v>
      </c>
      <c r="J392" s="2722">
        <v>2.3600000000000001E-5</v>
      </c>
      <c r="K392" s="2722">
        <v>900</v>
      </c>
      <c r="L392" s="2729">
        <v>134</v>
      </c>
    </row>
    <row r="393" spans="1:12" ht="15.75">
      <c r="A393" s="2724" t="s">
        <v>1342</v>
      </c>
      <c r="B393" s="2725">
        <v>69000000000</v>
      </c>
      <c r="C393" s="2726">
        <v>0.33</v>
      </c>
      <c r="D393" s="2725">
        <v>2700</v>
      </c>
      <c r="E393" s="2727">
        <v>26000000000</v>
      </c>
      <c r="F393" s="2727">
        <v>124084000</v>
      </c>
      <c r="G393" s="2728">
        <f t="shared" si="12"/>
        <v>124.084</v>
      </c>
      <c r="H393" s="2727">
        <v>55148500</v>
      </c>
      <c r="I393" s="2728">
        <f t="shared" si="13"/>
        <v>55.148499999999999</v>
      </c>
      <c r="J393" s="2727">
        <v>2.4000000000000001E-5</v>
      </c>
      <c r="K393" s="2727">
        <v>1300</v>
      </c>
      <c r="L393" s="2730">
        <v>170</v>
      </c>
    </row>
    <row r="394" spans="1:12" ht="15.75">
      <c r="A394" s="2719" t="s">
        <v>1343</v>
      </c>
      <c r="B394" s="2720">
        <v>69000000666.137207</v>
      </c>
      <c r="C394" s="2721">
        <v>0.33</v>
      </c>
      <c r="D394" s="2720">
        <v>2700</v>
      </c>
      <c r="E394" s="2722">
        <v>26000000131.0994</v>
      </c>
      <c r="F394" s="2722">
        <v>124999998.50882199</v>
      </c>
      <c r="G394" s="2723">
        <f t="shared" si="12"/>
        <v>124.999998508822</v>
      </c>
      <c r="H394" s="2722">
        <v>62052815.638512</v>
      </c>
      <c r="I394" s="2723">
        <f t="shared" si="13"/>
        <v>62.052815638512001</v>
      </c>
      <c r="J394" s="2722">
        <v>2.4000000000000001E-5</v>
      </c>
      <c r="K394" s="2722">
        <v>895.99998900000003</v>
      </c>
      <c r="L394" s="2729">
        <v>179.99999800000001</v>
      </c>
    </row>
    <row r="395" spans="1:12" ht="15.75">
      <c r="A395" s="2724" t="s">
        <v>1344</v>
      </c>
      <c r="B395" s="2725">
        <v>69000000666.137207</v>
      </c>
      <c r="C395" s="2726">
        <v>0.33</v>
      </c>
      <c r="D395" s="2725">
        <v>2700</v>
      </c>
      <c r="E395" s="2727">
        <v>26000000131.0994</v>
      </c>
      <c r="F395" s="2727">
        <v>239999999.61905101</v>
      </c>
      <c r="G395" s="2728">
        <f t="shared" si="12"/>
        <v>239.99999961905101</v>
      </c>
      <c r="H395" s="2727">
        <v>227526990.67454401</v>
      </c>
      <c r="I395" s="2728">
        <f t="shared" si="13"/>
        <v>227.52699067454401</v>
      </c>
      <c r="J395" s="2727">
        <v>2.4000000000000001E-5</v>
      </c>
      <c r="K395" s="2727">
        <v>895.99998900000003</v>
      </c>
      <c r="L395" s="2730">
        <v>153.999999</v>
      </c>
    </row>
    <row r="396" spans="1:12" ht="15.75">
      <c r="A396" s="2719" t="s">
        <v>1345</v>
      </c>
      <c r="B396" s="2720">
        <v>69000000666.137207</v>
      </c>
      <c r="C396" s="2721">
        <v>0.33</v>
      </c>
      <c r="D396" s="2720">
        <v>2700</v>
      </c>
      <c r="E396" s="2722">
        <v>26000000131.0994</v>
      </c>
      <c r="F396" s="2722">
        <v>310000002.09347397</v>
      </c>
      <c r="G396" s="2723">
        <f t="shared" si="12"/>
        <v>310.000002093474</v>
      </c>
      <c r="H396" s="2722">
        <v>275000000.85626203</v>
      </c>
      <c r="I396" s="2723">
        <f t="shared" si="13"/>
        <v>275.00000085626198</v>
      </c>
      <c r="J396" s="2722">
        <v>2.4000000000000001E-5</v>
      </c>
      <c r="K396" s="2722">
        <v>895.99998900000003</v>
      </c>
      <c r="L396" s="2729">
        <v>166.9</v>
      </c>
    </row>
    <row r="397" spans="1:12" ht="15.75">
      <c r="A397" s="2724" t="s">
        <v>1346</v>
      </c>
      <c r="B397" s="2725">
        <v>69000000000</v>
      </c>
      <c r="C397" s="2726">
        <v>0.33</v>
      </c>
      <c r="D397" s="2725">
        <v>2700</v>
      </c>
      <c r="E397" s="2727">
        <v>25800000000</v>
      </c>
      <c r="F397" s="2727">
        <v>90000000</v>
      </c>
      <c r="G397" s="2728">
        <f t="shared" si="12"/>
        <v>90</v>
      </c>
      <c r="H397" s="2727">
        <v>50000000</v>
      </c>
      <c r="I397" s="2728">
        <f t="shared" si="13"/>
        <v>50</v>
      </c>
      <c r="J397" s="2727">
        <v>2.34E-5</v>
      </c>
      <c r="K397" s="2727">
        <v>900</v>
      </c>
      <c r="L397" s="2730">
        <v>218</v>
      </c>
    </row>
    <row r="398" spans="1:12" ht="15.75">
      <c r="A398" s="2719" t="s">
        <v>1347</v>
      </c>
      <c r="B398" s="2720">
        <v>69000000666.137207</v>
      </c>
      <c r="C398" s="2721">
        <v>0.33</v>
      </c>
      <c r="D398" s="2720">
        <v>2700</v>
      </c>
      <c r="E398" s="2722">
        <v>25799999769.442101</v>
      </c>
      <c r="F398" s="2722">
        <v>89999997.271610007</v>
      </c>
      <c r="G398" s="2723">
        <f t="shared" si="12"/>
        <v>89.999997271609999</v>
      </c>
      <c r="H398" s="2722">
        <v>41368543.759007998</v>
      </c>
      <c r="I398" s="2723">
        <f t="shared" si="13"/>
        <v>41.368543759007999</v>
      </c>
      <c r="J398" s="2722">
        <v>2.3E-5</v>
      </c>
      <c r="K398" s="2722">
        <v>900.00000499999999</v>
      </c>
      <c r="L398" s="2729">
        <v>217.99999800000001</v>
      </c>
    </row>
    <row r="399" spans="1:12" ht="15.75">
      <c r="A399" s="2724" t="s">
        <v>1348</v>
      </c>
      <c r="B399" s="2725">
        <v>69000000000</v>
      </c>
      <c r="C399" s="2726">
        <v>0.33</v>
      </c>
      <c r="D399" s="2725">
        <v>2700</v>
      </c>
      <c r="E399" s="2727">
        <v>25800000000</v>
      </c>
      <c r="F399" s="2727">
        <v>150000000</v>
      </c>
      <c r="G399" s="2728">
        <f t="shared" si="12"/>
        <v>150</v>
      </c>
      <c r="H399" s="2727">
        <v>90000000</v>
      </c>
      <c r="I399" s="2728">
        <f t="shared" si="13"/>
        <v>90</v>
      </c>
      <c r="J399" s="2727">
        <v>2.34E-5</v>
      </c>
      <c r="K399" s="2727">
        <v>900</v>
      </c>
      <c r="L399" s="2730">
        <v>193</v>
      </c>
    </row>
    <row r="400" spans="1:12" ht="15.75">
      <c r="A400" s="2719" t="s">
        <v>1349</v>
      </c>
      <c r="B400" s="2720">
        <v>69000000000</v>
      </c>
      <c r="C400" s="2721">
        <v>0.33</v>
      </c>
      <c r="D400" s="2720">
        <v>2700</v>
      </c>
      <c r="E400" s="2722">
        <v>25800000000</v>
      </c>
      <c r="F400" s="2722">
        <v>170000000</v>
      </c>
      <c r="G400" s="2723">
        <f t="shared" si="12"/>
        <v>170</v>
      </c>
      <c r="H400" s="2722">
        <v>90000000</v>
      </c>
      <c r="I400" s="2723">
        <f t="shared" si="13"/>
        <v>90</v>
      </c>
      <c r="J400" s="2722">
        <v>2.34E-5</v>
      </c>
      <c r="K400" s="2722">
        <v>900</v>
      </c>
      <c r="L400" s="2729">
        <v>200</v>
      </c>
    </row>
    <row r="401" spans="1:12" ht="15.75">
      <c r="A401" s="2724" t="s">
        <v>1350</v>
      </c>
      <c r="B401" s="2725">
        <v>69000000000</v>
      </c>
      <c r="C401" s="2726">
        <v>0.33</v>
      </c>
      <c r="D401" s="2725">
        <v>2700</v>
      </c>
      <c r="E401" s="2727">
        <v>25800000000</v>
      </c>
      <c r="F401" s="2727">
        <v>185000000</v>
      </c>
      <c r="G401" s="2728">
        <f t="shared" si="12"/>
        <v>185</v>
      </c>
      <c r="H401" s="2727">
        <v>145000000</v>
      </c>
      <c r="I401" s="2728">
        <f t="shared" si="13"/>
        <v>145</v>
      </c>
      <c r="J401" s="2727">
        <v>2.34E-5</v>
      </c>
      <c r="K401" s="2727">
        <v>900</v>
      </c>
      <c r="L401" s="2730">
        <v>209</v>
      </c>
    </row>
    <row r="402" spans="1:12" ht="15.75">
      <c r="A402" s="2719" t="s">
        <v>1351</v>
      </c>
      <c r="B402" s="2720">
        <v>69000000000</v>
      </c>
      <c r="C402" s="2721">
        <v>0.33</v>
      </c>
      <c r="D402" s="2720">
        <v>2700</v>
      </c>
      <c r="E402" s="2722">
        <v>25800000000</v>
      </c>
      <c r="F402" s="2722">
        <v>240000000</v>
      </c>
      <c r="G402" s="2723">
        <f t="shared" si="12"/>
        <v>240</v>
      </c>
      <c r="H402" s="2722">
        <v>215000000</v>
      </c>
      <c r="I402" s="2723">
        <f t="shared" si="13"/>
        <v>215</v>
      </c>
      <c r="J402" s="2722">
        <v>2.34E-5</v>
      </c>
      <c r="K402" s="2722">
        <v>900</v>
      </c>
      <c r="L402" s="2729">
        <v>209</v>
      </c>
    </row>
    <row r="403" spans="1:12" ht="15.75">
      <c r="A403" s="2724" t="s">
        <v>1352</v>
      </c>
      <c r="B403" s="2725">
        <v>69000000666.137207</v>
      </c>
      <c r="C403" s="2726">
        <v>0.33</v>
      </c>
      <c r="D403" s="2725">
        <v>2700</v>
      </c>
      <c r="E403" s="2727">
        <v>25799999769.442101</v>
      </c>
      <c r="F403" s="2727">
        <v>239999999.61905101</v>
      </c>
      <c r="G403" s="2728">
        <f t="shared" si="12"/>
        <v>239.99999961905101</v>
      </c>
      <c r="H403" s="2727">
        <v>215000002.67518899</v>
      </c>
      <c r="I403" s="2728">
        <f t="shared" si="13"/>
        <v>215.00000267518899</v>
      </c>
      <c r="J403" s="2727">
        <v>2.3E-5</v>
      </c>
      <c r="K403" s="2727">
        <v>900.00000499999999</v>
      </c>
      <c r="L403" s="2730">
        <v>209.00000199999999</v>
      </c>
    </row>
    <row r="404" spans="1:12" ht="15.75">
      <c r="A404" s="2719" t="s">
        <v>1353</v>
      </c>
      <c r="B404" s="2720">
        <v>69000000000</v>
      </c>
      <c r="C404" s="2721">
        <v>0.33</v>
      </c>
      <c r="D404" s="2720">
        <v>2700</v>
      </c>
      <c r="E404" s="2722">
        <v>25800000000</v>
      </c>
      <c r="F404" s="2722">
        <v>255000000</v>
      </c>
      <c r="G404" s="2723">
        <f t="shared" si="12"/>
        <v>255</v>
      </c>
      <c r="H404" s="2722">
        <v>240000000</v>
      </c>
      <c r="I404" s="2723">
        <f t="shared" si="13"/>
        <v>240</v>
      </c>
      <c r="J404" s="2722">
        <v>2.34E-5</v>
      </c>
      <c r="K404" s="2722">
        <v>900</v>
      </c>
      <c r="L404" s="2729">
        <v>201</v>
      </c>
    </row>
    <row r="405" spans="1:12" ht="15.75">
      <c r="A405" s="2724" t="s">
        <v>1354</v>
      </c>
      <c r="B405" s="2725">
        <v>72000000000</v>
      </c>
      <c r="C405" s="2726">
        <v>0.33</v>
      </c>
      <c r="D405" s="2725">
        <v>2830</v>
      </c>
      <c r="E405" s="2727">
        <v>26900000000</v>
      </c>
      <c r="F405" s="2727">
        <v>495000000</v>
      </c>
      <c r="G405" s="2728">
        <f t="shared" si="12"/>
        <v>495</v>
      </c>
      <c r="H405" s="2727">
        <v>435000000</v>
      </c>
      <c r="I405" s="2728">
        <f t="shared" si="13"/>
        <v>435</v>
      </c>
      <c r="J405" s="2727">
        <v>2.3600000000000001E-5</v>
      </c>
      <c r="K405" s="2727">
        <v>860</v>
      </c>
      <c r="L405" s="2730">
        <v>155</v>
      </c>
    </row>
    <row r="406" spans="1:12" ht="15.75">
      <c r="A406" s="2719" t="s">
        <v>1355</v>
      </c>
      <c r="B406" s="2720">
        <v>72000000000</v>
      </c>
      <c r="C406" s="2721">
        <v>0.33</v>
      </c>
      <c r="D406" s="2720">
        <v>2830</v>
      </c>
      <c r="E406" s="2722">
        <v>26900000000</v>
      </c>
      <c r="F406" s="2722">
        <v>525000000</v>
      </c>
      <c r="G406" s="2723">
        <f t="shared" si="12"/>
        <v>525</v>
      </c>
      <c r="H406" s="2722">
        <v>470000000</v>
      </c>
      <c r="I406" s="2723">
        <f t="shared" si="13"/>
        <v>470</v>
      </c>
      <c r="J406" s="2722">
        <v>2.3600000000000001E-5</v>
      </c>
      <c r="K406" s="2722">
        <v>860</v>
      </c>
      <c r="L406" s="2729">
        <v>157</v>
      </c>
    </row>
    <row r="407" spans="1:12" ht="15.75">
      <c r="A407" s="2724" t="s">
        <v>1356</v>
      </c>
      <c r="B407" s="2725">
        <v>72000000000</v>
      </c>
      <c r="C407" s="2726">
        <v>0.33</v>
      </c>
      <c r="D407" s="2725">
        <v>2830</v>
      </c>
      <c r="E407" s="2727">
        <v>26900000000</v>
      </c>
      <c r="F407" s="2727">
        <v>550000000</v>
      </c>
      <c r="G407" s="2728">
        <f t="shared" si="12"/>
        <v>550</v>
      </c>
      <c r="H407" s="2727">
        <v>490000000</v>
      </c>
      <c r="I407" s="2728">
        <f t="shared" si="13"/>
        <v>490</v>
      </c>
      <c r="J407" s="2727">
        <v>2.3600000000000001E-5</v>
      </c>
      <c r="K407" s="2727">
        <v>860</v>
      </c>
      <c r="L407" s="2730">
        <v>153</v>
      </c>
    </row>
    <row r="408" spans="1:12" ht="15.75">
      <c r="A408" s="2719" t="s">
        <v>1357</v>
      </c>
      <c r="B408" s="2720">
        <v>71999999196.239395</v>
      </c>
      <c r="C408" s="2721">
        <v>0.33</v>
      </c>
      <c r="D408" s="2720">
        <v>2810.0000610000002</v>
      </c>
      <c r="E408" s="2722">
        <v>26899999690.130001</v>
      </c>
      <c r="F408" s="2722">
        <v>219999997.92710701</v>
      </c>
      <c r="G408" s="2723">
        <f t="shared" si="12"/>
        <v>219.99999792710699</v>
      </c>
      <c r="H408" s="2722">
        <v>94999999.418284997</v>
      </c>
      <c r="I408" s="2723">
        <f t="shared" si="13"/>
        <v>94.999999418285</v>
      </c>
      <c r="J408" s="2722">
        <v>2.4000000000000001E-5</v>
      </c>
      <c r="K408" s="2722">
        <v>959.99999400000002</v>
      </c>
      <c r="L408" s="2729">
        <v>173.00000199999999</v>
      </c>
    </row>
    <row r="409" spans="1:12" ht="15.75">
      <c r="A409" s="2724" t="s">
        <v>1358</v>
      </c>
      <c r="B409" s="2725">
        <v>72000000000</v>
      </c>
      <c r="C409" s="2726">
        <v>0.33</v>
      </c>
      <c r="D409" s="2725">
        <v>2810</v>
      </c>
      <c r="E409" s="2727">
        <v>26900000000</v>
      </c>
      <c r="F409" s="2727">
        <v>570000000</v>
      </c>
      <c r="G409" s="2728">
        <f t="shared" si="12"/>
        <v>570</v>
      </c>
      <c r="H409" s="2727">
        <v>505000000</v>
      </c>
      <c r="I409" s="2728">
        <f t="shared" si="13"/>
        <v>505</v>
      </c>
      <c r="J409" s="2727">
        <v>2.3600000000000001E-5</v>
      </c>
      <c r="K409" s="2727">
        <v>960</v>
      </c>
      <c r="L409" s="2730">
        <v>130</v>
      </c>
    </row>
    <row r="410" spans="1:12" ht="15.75">
      <c r="A410" s="2719" t="s">
        <v>1359</v>
      </c>
      <c r="B410" s="2720">
        <v>71999999196.239395</v>
      </c>
      <c r="C410" s="2721">
        <v>0.33</v>
      </c>
      <c r="D410" s="2720">
        <v>2810.0000610000002</v>
      </c>
      <c r="E410" s="2722">
        <v>26899999690.130001</v>
      </c>
      <c r="F410" s="2722">
        <v>570000003.40446901</v>
      </c>
      <c r="G410" s="2723">
        <f t="shared" si="12"/>
        <v>570.000003404469</v>
      </c>
      <c r="H410" s="2722">
        <v>505000003.07672</v>
      </c>
      <c r="I410" s="2723">
        <f t="shared" si="13"/>
        <v>505.00000307672002</v>
      </c>
      <c r="J410" s="2722">
        <v>2.4000000000000001E-5</v>
      </c>
      <c r="K410" s="2722">
        <v>959.99999400000002</v>
      </c>
      <c r="L410" s="2729">
        <v>129.999999</v>
      </c>
    </row>
    <row r="411" spans="1:12" ht="15.75">
      <c r="A411" s="2724" t="s">
        <v>1360</v>
      </c>
      <c r="B411" s="2725">
        <v>72000000000</v>
      </c>
      <c r="C411" s="2726">
        <v>0.33</v>
      </c>
      <c r="D411" s="2725">
        <v>2700</v>
      </c>
      <c r="E411" s="2727">
        <v>27000000000</v>
      </c>
      <c r="F411" s="2727">
        <v>0</v>
      </c>
      <c r="G411" s="2728">
        <f t="shared" si="12"/>
        <v>0</v>
      </c>
      <c r="H411" s="2727">
        <v>505000000</v>
      </c>
      <c r="I411" s="2728">
        <f t="shared" si="13"/>
        <v>505</v>
      </c>
      <c r="J411" s="2727">
        <v>2.5000000000000001E-5</v>
      </c>
      <c r="K411" s="2727">
        <v>960</v>
      </c>
      <c r="L411" s="2730">
        <v>120</v>
      </c>
    </row>
    <row r="412" spans="1:12" ht="15.75">
      <c r="A412" s="2719" t="s">
        <v>1361</v>
      </c>
      <c r="B412" s="2720">
        <v>370000000000</v>
      </c>
      <c r="C412" s="2721">
        <v>0.22</v>
      </c>
      <c r="D412" s="2720">
        <v>3960</v>
      </c>
      <c r="E412" s="2722">
        <v>150000000000</v>
      </c>
      <c r="F412" s="2722">
        <v>300000000</v>
      </c>
      <c r="G412" s="2723">
        <f t="shared" si="12"/>
        <v>300</v>
      </c>
      <c r="H412" s="2722">
        <v>0</v>
      </c>
      <c r="I412" s="2723">
        <f t="shared" si="13"/>
        <v>0</v>
      </c>
      <c r="J412" s="2722">
        <v>7.4000000000000003E-6</v>
      </c>
      <c r="K412" s="2722">
        <v>850</v>
      </c>
      <c r="L412" s="2729">
        <v>30</v>
      </c>
    </row>
    <row r="413" spans="1:12" ht="15.75">
      <c r="A413" s="2724" t="s">
        <v>1362</v>
      </c>
      <c r="B413" s="2725">
        <v>72400000000</v>
      </c>
      <c r="C413" s="2726">
        <v>0.33</v>
      </c>
      <c r="D413" s="2725">
        <v>2680</v>
      </c>
      <c r="E413" s="2727">
        <v>27200000000</v>
      </c>
      <c r="F413" s="2727">
        <v>145000000</v>
      </c>
      <c r="G413" s="2728">
        <f t="shared" si="12"/>
        <v>145</v>
      </c>
      <c r="H413" s="2727">
        <v>0</v>
      </c>
      <c r="I413" s="2728">
        <f t="shared" si="13"/>
        <v>0</v>
      </c>
      <c r="J413" s="2727">
        <v>2.1399999999999998E-5</v>
      </c>
      <c r="K413" s="2727">
        <v>963</v>
      </c>
      <c r="L413" s="2730">
        <v>167</v>
      </c>
    </row>
    <row r="414" spans="1:12" ht="15.75">
      <c r="A414" s="2719" t="s">
        <v>1363</v>
      </c>
      <c r="B414" s="2720">
        <v>71000000000</v>
      </c>
      <c r="C414" s="2721">
        <v>0.33</v>
      </c>
      <c r="D414" s="2720">
        <v>2760</v>
      </c>
      <c r="E414" s="2722">
        <v>26500000000</v>
      </c>
      <c r="F414" s="2722">
        <v>317000000</v>
      </c>
      <c r="G414" s="2723">
        <f t="shared" si="12"/>
        <v>317</v>
      </c>
      <c r="H414" s="2722">
        <v>159000000</v>
      </c>
      <c r="I414" s="2723">
        <f t="shared" si="13"/>
        <v>159</v>
      </c>
      <c r="J414" s="2722">
        <v>2.12E-5</v>
      </c>
      <c r="K414" s="2722">
        <v>963</v>
      </c>
      <c r="L414" s="2729">
        <v>109</v>
      </c>
    </row>
    <row r="415" spans="1:12" ht="15.75">
      <c r="A415" s="2724" t="s">
        <v>1364</v>
      </c>
      <c r="B415" s="2725">
        <v>69600000000</v>
      </c>
      <c r="C415" s="2726">
        <v>0.33</v>
      </c>
      <c r="D415" s="2725">
        <v>2710</v>
      </c>
      <c r="E415" s="2727">
        <v>26500000000</v>
      </c>
      <c r="F415" s="2727">
        <v>276000000</v>
      </c>
      <c r="G415" s="2728">
        <f t="shared" si="12"/>
        <v>276</v>
      </c>
      <c r="H415" s="2727">
        <v>207000000</v>
      </c>
      <c r="I415" s="2728">
        <f t="shared" si="13"/>
        <v>207</v>
      </c>
      <c r="J415" s="2727">
        <v>2.1999999999999999E-5</v>
      </c>
      <c r="K415" s="2727">
        <v>963</v>
      </c>
      <c r="L415" s="2730">
        <v>151</v>
      </c>
    </row>
    <row r="416" spans="1:12" ht="15.75">
      <c r="A416" s="2719" t="s">
        <v>1365</v>
      </c>
      <c r="B416" s="2720">
        <v>110000000000</v>
      </c>
      <c r="C416" s="2721">
        <v>0.3</v>
      </c>
      <c r="D416" s="2720">
        <v>7400</v>
      </c>
      <c r="E416" s="2722">
        <v>43000000000</v>
      </c>
      <c r="F416" s="2722">
        <v>551485000</v>
      </c>
      <c r="G416" s="2723">
        <f t="shared" si="12"/>
        <v>551.48500000000001</v>
      </c>
      <c r="H416" s="2722">
        <v>275742000</v>
      </c>
      <c r="I416" s="2723">
        <f t="shared" si="13"/>
        <v>275.74200000000002</v>
      </c>
      <c r="J416" s="2722">
        <v>1.7E-5</v>
      </c>
      <c r="K416" s="2722">
        <v>380</v>
      </c>
      <c r="L416" s="2729">
        <v>56</v>
      </c>
    </row>
    <row r="417" spans="1:12" ht="15.75">
      <c r="A417" s="2724" t="s">
        <v>1366</v>
      </c>
      <c r="B417" s="2725">
        <v>115000000000</v>
      </c>
      <c r="C417" s="2726">
        <v>0.3</v>
      </c>
      <c r="D417" s="2725">
        <v>8260</v>
      </c>
      <c r="E417" s="2727">
        <v>50000000000</v>
      </c>
      <c r="F417" s="2727">
        <v>483000000</v>
      </c>
      <c r="G417" s="2728">
        <f t="shared" si="12"/>
        <v>483</v>
      </c>
      <c r="H417" s="2727">
        <v>221000000</v>
      </c>
      <c r="I417" s="2728">
        <f t="shared" si="13"/>
        <v>221</v>
      </c>
      <c r="J417" s="2727">
        <v>1.6699999999999999E-5</v>
      </c>
      <c r="K417" s="2727">
        <v>0</v>
      </c>
      <c r="L417" s="2730">
        <v>118</v>
      </c>
    </row>
    <row r="418" spans="1:12" ht="15.75">
      <c r="A418" s="2719" t="s">
        <v>1367</v>
      </c>
      <c r="B418" s="2720">
        <v>125000000000</v>
      </c>
      <c r="C418" s="2721">
        <v>0.3</v>
      </c>
      <c r="D418" s="2720">
        <v>8250</v>
      </c>
      <c r="E418" s="2722">
        <v>50000000000</v>
      </c>
      <c r="F418" s="2722">
        <v>469000000</v>
      </c>
      <c r="G418" s="2723">
        <f t="shared" si="12"/>
        <v>469</v>
      </c>
      <c r="H418" s="2722">
        <v>172000000</v>
      </c>
      <c r="I418" s="2723">
        <f t="shared" si="13"/>
        <v>172</v>
      </c>
      <c r="J418" s="2722">
        <v>1.6699999999999999E-5</v>
      </c>
      <c r="K418" s="2722">
        <v>0</v>
      </c>
      <c r="L418" s="2729">
        <v>105</v>
      </c>
    </row>
    <row r="419" spans="1:12" ht="15.75">
      <c r="A419" s="2724" t="s">
        <v>1368</v>
      </c>
      <c r="B419" s="2725">
        <v>125000000000</v>
      </c>
      <c r="C419" s="2726">
        <v>0.3</v>
      </c>
      <c r="D419" s="2725">
        <v>8250</v>
      </c>
      <c r="E419" s="2727">
        <v>50000000000</v>
      </c>
      <c r="F419" s="2727">
        <v>469000000</v>
      </c>
      <c r="G419" s="2728">
        <f t="shared" si="12"/>
        <v>469</v>
      </c>
      <c r="H419" s="2727">
        <v>172000000</v>
      </c>
      <c r="I419" s="2728">
        <f t="shared" si="13"/>
        <v>172</v>
      </c>
      <c r="J419" s="2727">
        <v>1.6699999999999999E-5</v>
      </c>
      <c r="K419" s="2727">
        <v>0</v>
      </c>
      <c r="L419" s="2730">
        <v>105</v>
      </c>
    </row>
    <row r="420" spans="1:12" ht="15.75">
      <c r="A420" s="2719" t="s">
        <v>1369</v>
      </c>
      <c r="B420" s="2720">
        <v>303000000000</v>
      </c>
      <c r="C420" s="2721">
        <v>7.0000000000000007E-2</v>
      </c>
      <c r="D420" s="2720">
        <v>1844</v>
      </c>
      <c r="E420" s="2722">
        <v>135000000000</v>
      </c>
      <c r="F420" s="2722">
        <v>290000000</v>
      </c>
      <c r="G420" s="2723">
        <f t="shared" si="12"/>
        <v>290</v>
      </c>
      <c r="H420" s="2722">
        <v>207000000</v>
      </c>
      <c r="I420" s="2723">
        <f t="shared" si="13"/>
        <v>207</v>
      </c>
      <c r="J420" s="2722">
        <v>1.15E-5</v>
      </c>
      <c r="K420" s="2722">
        <v>0</v>
      </c>
      <c r="L420" s="2729">
        <v>216</v>
      </c>
    </row>
    <row r="421" spans="1:12" ht="15.75">
      <c r="A421" s="2724" t="s">
        <v>1370</v>
      </c>
      <c r="B421" s="2725">
        <v>303400000000</v>
      </c>
      <c r="C421" s="2726">
        <v>0.18</v>
      </c>
      <c r="D421" s="2725">
        <v>1850</v>
      </c>
      <c r="E421" s="2727">
        <v>135000000000</v>
      </c>
      <c r="F421" s="2727">
        <v>324000000</v>
      </c>
      <c r="G421" s="2728">
        <f t="shared" si="12"/>
        <v>324</v>
      </c>
      <c r="H421" s="2727">
        <v>241000000</v>
      </c>
      <c r="I421" s="2728">
        <f t="shared" si="13"/>
        <v>241</v>
      </c>
      <c r="J421" s="2727">
        <v>1.1399999999999999E-5</v>
      </c>
      <c r="K421" s="2727">
        <v>0</v>
      </c>
      <c r="L421" s="2730">
        <v>216.3</v>
      </c>
    </row>
    <row r="422" spans="1:12" ht="15.75">
      <c r="A422" s="2719" t="s">
        <v>1371</v>
      </c>
      <c r="B422" s="2720">
        <v>100000000000</v>
      </c>
      <c r="C422" s="2721">
        <v>0.33</v>
      </c>
      <c r="D422" s="2720">
        <v>8500</v>
      </c>
      <c r="E422" s="2722">
        <v>37000000000</v>
      </c>
      <c r="F422" s="2722">
        <v>478413000</v>
      </c>
      <c r="G422" s="2723">
        <f t="shared" si="12"/>
        <v>478.41300000000001</v>
      </c>
      <c r="H422" s="2722">
        <v>239689000</v>
      </c>
      <c r="I422" s="2723">
        <f t="shared" si="13"/>
        <v>239.68899999999999</v>
      </c>
      <c r="J422" s="2722">
        <v>1.8E-5</v>
      </c>
      <c r="K422" s="2722">
        <v>390</v>
      </c>
      <c r="L422" s="2729">
        <v>110</v>
      </c>
    </row>
    <row r="423" spans="1:12" ht="15.75">
      <c r="A423" s="2724" t="s">
        <v>1372</v>
      </c>
      <c r="B423" s="2725">
        <v>130000000000</v>
      </c>
      <c r="C423" s="2726">
        <v>0</v>
      </c>
      <c r="D423" s="2725">
        <v>8890</v>
      </c>
      <c r="E423" s="2727">
        <v>50000000000</v>
      </c>
      <c r="F423" s="2727">
        <v>234000000</v>
      </c>
      <c r="G423" s="2728">
        <f t="shared" si="12"/>
        <v>234</v>
      </c>
      <c r="H423" s="2727">
        <v>97000000</v>
      </c>
      <c r="I423" s="2728">
        <f t="shared" si="13"/>
        <v>97</v>
      </c>
      <c r="J423" s="2727">
        <v>1.7600000000000001E-5</v>
      </c>
      <c r="K423" s="2727">
        <v>0</v>
      </c>
      <c r="L423" s="2730">
        <v>171</v>
      </c>
    </row>
    <row r="424" spans="1:12" ht="15.75">
      <c r="A424" s="2719" t="s">
        <v>1373</v>
      </c>
      <c r="B424" s="2720">
        <v>110000000000</v>
      </c>
      <c r="C424" s="2721">
        <v>0.37</v>
      </c>
      <c r="D424" s="2720">
        <v>8900</v>
      </c>
      <c r="E424" s="2722">
        <v>40000000000</v>
      </c>
      <c r="F424" s="2722">
        <v>394380000</v>
      </c>
      <c r="G424" s="2723">
        <f t="shared" si="12"/>
        <v>394.38</v>
      </c>
      <c r="H424" s="2722">
        <v>258646000</v>
      </c>
      <c r="I424" s="2723">
        <f t="shared" si="13"/>
        <v>258.64600000000002</v>
      </c>
      <c r="J424" s="2722">
        <v>2.4000000000000001E-5</v>
      </c>
      <c r="K424" s="2722">
        <v>390</v>
      </c>
      <c r="L424" s="2729">
        <v>390</v>
      </c>
    </row>
    <row r="425" spans="1:12" ht="15.75">
      <c r="A425" s="2724" t="s">
        <v>1374</v>
      </c>
      <c r="B425" s="2725">
        <v>115000000000</v>
      </c>
      <c r="C425" s="2726">
        <v>0</v>
      </c>
      <c r="D425" s="2725">
        <v>8800</v>
      </c>
      <c r="E425" s="2727">
        <v>44000000000</v>
      </c>
      <c r="F425" s="2727">
        <v>255000000</v>
      </c>
      <c r="G425" s="2728">
        <f t="shared" si="12"/>
        <v>255</v>
      </c>
      <c r="H425" s="2727">
        <v>69000000</v>
      </c>
      <c r="I425" s="2728">
        <f t="shared" si="13"/>
        <v>69</v>
      </c>
      <c r="J425" s="2727">
        <v>1.84E-5</v>
      </c>
      <c r="K425" s="2727">
        <v>0</v>
      </c>
      <c r="L425" s="2730">
        <v>189</v>
      </c>
    </row>
    <row r="426" spans="1:12" ht="15.75">
      <c r="A426" s="2719" t="s">
        <v>1375</v>
      </c>
      <c r="B426" s="2720">
        <v>125000000000</v>
      </c>
      <c r="C426" s="2721">
        <v>0</v>
      </c>
      <c r="D426" s="2720">
        <v>8750</v>
      </c>
      <c r="E426" s="2722">
        <v>0</v>
      </c>
      <c r="F426" s="2722">
        <v>310000000</v>
      </c>
      <c r="G426" s="2723">
        <f t="shared" si="12"/>
        <v>310</v>
      </c>
      <c r="H426" s="2722">
        <v>172000000</v>
      </c>
      <c r="I426" s="2723">
        <f t="shared" si="13"/>
        <v>172</v>
      </c>
      <c r="J426" s="2722">
        <v>1.7600000000000001E-5</v>
      </c>
      <c r="K426" s="2722">
        <v>0</v>
      </c>
      <c r="L426" s="2729">
        <v>0</v>
      </c>
    </row>
    <row r="427" spans="1:12" ht="15.75">
      <c r="A427" s="2724" t="s">
        <v>1376</v>
      </c>
      <c r="B427" s="2725">
        <v>97000000000</v>
      </c>
      <c r="C427" s="2726">
        <v>0</v>
      </c>
      <c r="D427" s="2725">
        <v>8490</v>
      </c>
      <c r="E427" s="2727">
        <v>37000000000</v>
      </c>
      <c r="F427" s="2727">
        <v>338000000</v>
      </c>
      <c r="G427" s="2728">
        <f t="shared" si="12"/>
        <v>338</v>
      </c>
      <c r="H427" s="2727">
        <v>124000000</v>
      </c>
      <c r="I427" s="2728">
        <f t="shared" si="13"/>
        <v>124</v>
      </c>
      <c r="J427" s="2727">
        <v>2.05E-5</v>
      </c>
      <c r="K427" s="2727">
        <v>0</v>
      </c>
      <c r="L427" s="2730">
        <v>115</v>
      </c>
    </row>
    <row r="428" spans="1:12" ht="15.75">
      <c r="A428" s="2719" t="s">
        <v>1377</v>
      </c>
      <c r="B428" s="2720">
        <v>105000000000</v>
      </c>
      <c r="C428" s="2721">
        <v>0</v>
      </c>
      <c r="D428" s="2720">
        <v>8500</v>
      </c>
      <c r="E428" s="2722">
        <v>39000000000</v>
      </c>
      <c r="F428" s="2722">
        <v>338000000</v>
      </c>
      <c r="G428" s="2723">
        <f t="shared" si="12"/>
        <v>338</v>
      </c>
      <c r="H428" s="2722">
        <v>117000000</v>
      </c>
      <c r="I428" s="2723">
        <f t="shared" si="13"/>
        <v>117</v>
      </c>
      <c r="J428" s="2722">
        <v>2.0299999999999999E-5</v>
      </c>
      <c r="K428" s="2722">
        <v>0</v>
      </c>
      <c r="L428" s="2729">
        <v>115</v>
      </c>
    </row>
    <row r="429" spans="1:12" ht="15.75">
      <c r="A429" s="2724" t="s">
        <v>1378</v>
      </c>
      <c r="B429" s="2725">
        <v>110000000000</v>
      </c>
      <c r="C429" s="2726">
        <v>0.37</v>
      </c>
      <c r="D429" s="2725">
        <v>8700</v>
      </c>
      <c r="E429" s="2727">
        <v>41000000000</v>
      </c>
      <c r="F429" s="2727">
        <v>255062000</v>
      </c>
      <c r="G429" s="2728">
        <f t="shared" si="12"/>
        <v>255.06200000000001</v>
      </c>
      <c r="H429" s="2727">
        <v>82722700</v>
      </c>
      <c r="I429" s="2728">
        <f t="shared" si="13"/>
        <v>82.722700000000003</v>
      </c>
      <c r="J429" s="2727">
        <v>3.1999999999999999E-5</v>
      </c>
      <c r="K429" s="2727">
        <v>340</v>
      </c>
      <c r="L429" s="2730">
        <v>26</v>
      </c>
    </row>
    <row r="430" spans="1:12" ht="15.75">
      <c r="A430" s="2719" t="s">
        <v>1379</v>
      </c>
      <c r="B430" s="2720">
        <v>110000000000</v>
      </c>
      <c r="C430" s="2721">
        <v>0.37</v>
      </c>
      <c r="D430" s="2720">
        <v>8300</v>
      </c>
      <c r="E430" s="2722">
        <v>39000000000</v>
      </c>
      <c r="F430" s="2722">
        <v>448081000</v>
      </c>
      <c r="G430" s="2723">
        <f t="shared" si="12"/>
        <v>448.08100000000002</v>
      </c>
      <c r="H430" s="2722">
        <v>206807000</v>
      </c>
      <c r="I430" s="2723">
        <f t="shared" si="13"/>
        <v>206.80699999999999</v>
      </c>
      <c r="J430" s="2722">
        <v>2.1999999999999999E-5</v>
      </c>
      <c r="K430" s="2722">
        <v>380</v>
      </c>
      <c r="L430" s="2729">
        <v>9.6</v>
      </c>
    </row>
    <row r="431" spans="1:12" ht="15.75">
      <c r="A431" s="2724" t="s">
        <v>1380</v>
      </c>
      <c r="B431" s="2725">
        <v>125000000000</v>
      </c>
      <c r="C431" s="2726">
        <v>0</v>
      </c>
      <c r="D431" s="2725">
        <v>8690</v>
      </c>
      <c r="E431" s="2727">
        <v>47000000000</v>
      </c>
      <c r="F431" s="2727">
        <v>359000000</v>
      </c>
      <c r="G431" s="2728">
        <f t="shared" si="12"/>
        <v>359</v>
      </c>
      <c r="H431" s="2727">
        <v>124000000</v>
      </c>
      <c r="I431" s="2728">
        <f t="shared" si="13"/>
        <v>124</v>
      </c>
      <c r="J431" s="2727">
        <v>1.6200000000000001E-5</v>
      </c>
      <c r="K431" s="2727">
        <v>0</v>
      </c>
      <c r="L431" s="2730">
        <v>40</v>
      </c>
    </row>
    <row r="432" spans="1:12" ht="15.75">
      <c r="A432" s="2719" t="s">
        <v>1381</v>
      </c>
      <c r="B432" s="2720">
        <v>110000000000</v>
      </c>
      <c r="C432" s="2721">
        <v>0</v>
      </c>
      <c r="D432" s="2720">
        <v>8780</v>
      </c>
      <c r="E432" s="2722">
        <v>41000000000</v>
      </c>
      <c r="F432" s="2722">
        <v>455000000</v>
      </c>
      <c r="G432" s="2723">
        <f t="shared" si="12"/>
        <v>455</v>
      </c>
      <c r="H432" s="2722">
        <v>193000000</v>
      </c>
      <c r="I432" s="2723">
        <f t="shared" si="13"/>
        <v>193</v>
      </c>
      <c r="J432" s="2722">
        <v>1.84E-5</v>
      </c>
      <c r="K432" s="2722">
        <v>0</v>
      </c>
      <c r="L432" s="2729">
        <v>50</v>
      </c>
    </row>
    <row r="433" spans="1:12" ht="15.75">
      <c r="A433" s="2724" t="s">
        <v>1382</v>
      </c>
      <c r="B433" s="2725">
        <v>1100000000000</v>
      </c>
      <c r="C433" s="2726">
        <v>0.33</v>
      </c>
      <c r="D433" s="2725">
        <v>8300</v>
      </c>
      <c r="E433" s="2727">
        <v>37000000000</v>
      </c>
      <c r="F433" s="2727">
        <v>261955000</v>
      </c>
      <c r="G433" s="2728">
        <f t="shared" si="12"/>
        <v>261.95499999999998</v>
      </c>
      <c r="H433" s="2727">
        <v>110297000</v>
      </c>
      <c r="I433" s="2728">
        <f t="shared" si="13"/>
        <v>110.297</v>
      </c>
      <c r="J433" s="2727">
        <v>1.8E-5</v>
      </c>
      <c r="K433" s="2727">
        <v>380</v>
      </c>
      <c r="L433" s="2730">
        <v>47</v>
      </c>
    </row>
    <row r="434" spans="1:12" ht="15.75">
      <c r="A434" s="2719" t="s">
        <v>1383</v>
      </c>
      <c r="B434" s="2720">
        <v>110000000000</v>
      </c>
      <c r="C434" s="2721">
        <v>0.33</v>
      </c>
      <c r="D434" s="2720">
        <v>8400</v>
      </c>
      <c r="E434" s="2722">
        <v>40000000000</v>
      </c>
      <c r="F434" s="2722">
        <v>0</v>
      </c>
      <c r="G434" s="2723">
        <f t="shared" si="12"/>
        <v>0</v>
      </c>
      <c r="H434" s="2722">
        <v>0</v>
      </c>
      <c r="I434" s="2723">
        <f t="shared" si="13"/>
        <v>0</v>
      </c>
      <c r="J434" s="2722">
        <v>2.0000000000000002E-5</v>
      </c>
      <c r="K434" s="2722">
        <v>380</v>
      </c>
      <c r="L434" s="2729">
        <v>230</v>
      </c>
    </row>
    <row r="435" spans="1:12" ht="15.75">
      <c r="A435" s="2724" t="s">
        <v>1384</v>
      </c>
      <c r="B435" s="2725">
        <v>105000000000</v>
      </c>
      <c r="C435" s="2726">
        <v>0.37</v>
      </c>
      <c r="D435" s="2725">
        <v>4500</v>
      </c>
      <c r="E435" s="2727">
        <v>45000000000</v>
      </c>
      <c r="F435" s="2727">
        <v>440000000</v>
      </c>
      <c r="G435" s="2728">
        <f t="shared" si="12"/>
        <v>440</v>
      </c>
      <c r="H435" s="2727">
        <v>377000000</v>
      </c>
      <c r="I435" s="2728">
        <f t="shared" si="13"/>
        <v>377</v>
      </c>
      <c r="J435" s="2727">
        <v>9.0000000000000002E-6</v>
      </c>
      <c r="K435" s="2727">
        <v>523</v>
      </c>
      <c r="L435" s="2730">
        <v>19.899999999999999</v>
      </c>
    </row>
    <row r="436" spans="1:12" ht="15.75">
      <c r="A436" s="2719" t="s">
        <v>1385</v>
      </c>
      <c r="B436" s="2720">
        <v>105000000000</v>
      </c>
      <c r="C436" s="2721">
        <v>0.37</v>
      </c>
      <c r="D436" s="2720">
        <v>4510</v>
      </c>
      <c r="E436" s="2722">
        <v>45000000000</v>
      </c>
      <c r="F436" s="2722">
        <v>550000000</v>
      </c>
      <c r="G436" s="2723">
        <f t="shared" si="12"/>
        <v>550</v>
      </c>
      <c r="H436" s="2722">
        <v>500000000</v>
      </c>
      <c r="I436" s="2723">
        <f t="shared" si="13"/>
        <v>500</v>
      </c>
      <c r="J436" s="2722">
        <v>9.0000000000000002E-6</v>
      </c>
      <c r="K436" s="2722">
        <v>530</v>
      </c>
      <c r="L436" s="2729">
        <v>17.2</v>
      </c>
    </row>
    <row r="437" spans="1:12" ht="15.75">
      <c r="A437" s="2724" t="s">
        <v>1386</v>
      </c>
      <c r="B437" s="2725">
        <v>105000000000</v>
      </c>
      <c r="C437" s="2726">
        <v>0.37</v>
      </c>
      <c r="D437" s="2725">
        <v>4510</v>
      </c>
      <c r="E437" s="2727">
        <v>45000000000</v>
      </c>
      <c r="F437" s="2727">
        <v>344000000</v>
      </c>
      <c r="G437" s="2728">
        <f t="shared" si="12"/>
        <v>344</v>
      </c>
      <c r="H437" s="2727">
        <v>370000000</v>
      </c>
      <c r="I437" s="2728">
        <f t="shared" si="13"/>
        <v>370</v>
      </c>
      <c r="J437" s="2727">
        <v>9.0000000000000002E-6</v>
      </c>
      <c r="K437" s="2727">
        <v>0</v>
      </c>
      <c r="L437" s="2730">
        <v>16.399999999999999</v>
      </c>
    </row>
    <row r="438" spans="1:12" ht="15.75">
      <c r="A438" s="2719" t="s">
        <v>1387</v>
      </c>
      <c r="B438" s="2720">
        <v>105000000000</v>
      </c>
      <c r="C438" s="2721">
        <v>0.33</v>
      </c>
      <c r="D438" s="2720">
        <v>4510</v>
      </c>
      <c r="E438" s="2722">
        <v>0</v>
      </c>
      <c r="F438" s="2722">
        <v>485000000</v>
      </c>
      <c r="G438" s="2723">
        <f t="shared" si="12"/>
        <v>485</v>
      </c>
      <c r="H438" s="2722">
        <v>345000000</v>
      </c>
      <c r="I438" s="2723">
        <f t="shared" si="13"/>
        <v>345</v>
      </c>
      <c r="J438" s="2722">
        <v>9.0000000000000002E-6</v>
      </c>
      <c r="K438" s="2722">
        <v>0</v>
      </c>
      <c r="L438" s="2729">
        <v>21.79</v>
      </c>
    </row>
    <row r="439" spans="1:12" ht="15.75">
      <c r="A439" s="2724" t="s">
        <v>1388</v>
      </c>
      <c r="B439" s="2725">
        <v>105000000000</v>
      </c>
      <c r="C439" s="2726">
        <v>0.33</v>
      </c>
      <c r="D439" s="2725">
        <v>4510</v>
      </c>
      <c r="E439" s="2727">
        <v>0</v>
      </c>
      <c r="F439" s="2727">
        <v>485000000</v>
      </c>
      <c r="G439" s="2728">
        <f t="shared" si="12"/>
        <v>485</v>
      </c>
      <c r="H439" s="2727">
        <v>345000000</v>
      </c>
      <c r="I439" s="2728">
        <f t="shared" si="13"/>
        <v>345</v>
      </c>
      <c r="J439" s="2727">
        <v>9.0000000000000002E-6</v>
      </c>
      <c r="K439" s="2727">
        <v>0</v>
      </c>
      <c r="L439" s="2730">
        <v>21.79</v>
      </c>
    </row>
    <row r="440" spans="1:12" ht="15.75">
      <c r="A440" s="2719" t="s">
        <v>1389</v>
      </c>
      <c r="B440" s="2720">
        <v>104000001903.349</v>
      </c>
      <c r="C440" s="2721">
        <v>0.33</v>
      </c>
      <c r="D440" s="2720">
        <v>4820.0000810000001</v>
      </c>
      <c r="E440" s="2722">
        <v>39999999936.5084</v>
      </c>
      <c r="F440" s="2722">
        <v>1219999999.78719</v>
      </c>
      <c r="G440" s="2723">
        <f t="shared" si="12"/>
        <v>1219.9999997871901</v>
      </c>
      <c r="H440" s="2722">
        <v>1034213593.9752001</v>
      </c>
      <c r="I440" s="2723">
        <f t="shared" si="13"/>
        <v>1034.2135939752</v>
      </c>
      <c r="J440" s="2722">
        <v>7.9999999999999996E-6</v>
      </c>
      <c r="K440" s="2722">
        <v>514.99998000000005</v>
      </c>
      <c r="L440" s="2729">
        <v>6.2</v>
      </c>
    </row>
    <row r="441" spans="1:12" ht="15.75">
      <c r="A441" s="2724" t="s">
        <v>1390</v>
      </c>
      <c r="B441" s="2725">
        <v>110300000000</v>
      </c>
      <c r="C441" s="2726">
        <v>0.31</v>
      </c>
      <c r="D441" s="2725">
        <v>4480.0001000000002</v>
      </c>
      <c r="E441" s="2727">
        <v>47999999923.810097</v>
      </c>
      <c r="F441" s="2727">
        <v>860999984.93001401</v>
      </c>
      <c r="G441" s="2728">
        <f t="shared" si="12"/>
        <v>860.99998493001397</v>
      </c>
      <c r="H441" s="2727">
        <v>744633790</v>
      </c>
      <c r="I441" s="2728">
        <f t="shared" si="13"/>
        <v>744.63378999999998</v>
      </c>
      <c r="J441" s="2727">
        <v>9.0000000000000002E-6</v>
      </c>
      <c r="K441" s="2727">
        <v>530.00000899999998</v>
      </c>
      <c r="L441" s="2730">
        <v>7.8</v>
      </c>
    </row>
    <row r="442" spans="1:12" ht="15.75">
      <c r="A442" s="2719" t="s">
        <v>1391</v>
      </c>
      <c r="B442" s="2720">
        <v>123000001787.006</v>
      </c>
      <c r="C442" s="2721">
        <v>0.33</v>
      </c>
      <c r="D442" s="2720">
        <v>4650.0001000000002</v>
      </c>
      <c r="E442" s="2722">
        <v>45999999754.6157</v>
      </c>
      <c r="F442" s="2722">
        <v>1160000029.1851499</v>
      </c>
      <c r="G442" s="2723">
        <f t="shared" si="12"/>
        <v>1160.00002918515</v>
      </c>
      <c r="H442" s="2722">
        <v>1070000004.33451</v>
      </c>
      <c r="I442" s="2723">
        <f t="shared" si="13"/>
        <v>1070.0000043345101</v>
      </c>
      <c r="J442" s="2722">
        <v>9.0000000000000002E-6</v>
      </c>
      <c r="K442" s="2722">
        <v>499.99999300000002</v>
      </c>
      <c r="L442" s="2729">
        <v>7.8</v>
      </c>
    </row>
    <row r="443" spans="1:12" ht="15.75">
      <c r="A443" s="2724" t="s">
        <v>1392</v>
      </c>
      <c r="B443" s="2725">
        <v>104800310000</v>
      </c>
      <c r="C443" s="2726">
        <v>0.31</v>
      </c>
      <c r="D443" s="2725">
        <v>4428.7839999999997</v>
      </c>
      <c r="E443" s="2727">
        <v>41023807000</v>
      </c>
      <c r="F443" s="2727">
        <v>827370880</v>
      </c>
      <c r="G443" s="2728">
        <f t="shared" si="12"/>
        <v>827.37088000000006</v>
      </c>
      <c r="H443" s="2727">
        <v>1050000000</v>
      </c>
      <c r="I443" s="2728">
        <f t="shared" si="13"/>
        <v>1050</v>
      </c>
      <c r="J443" s="2727">
        <v>9.0000000000000002E-6</v>
      </c>
      <c r="K443" s="2727">
        <v>586.04</v>
      </c>
      <c r="L443" s="2730">
        <v>6.7</v>
      </c>
    </row>
    <row r="444" spans="1:12" ht="15.75">
      <c r="A444" s="2719" t="s">
        <v>1393</v>
      </c>
      <c r="B444" s="2720">
        <v>120000003256.903</v>
      </c>
      <c r="C444" s="2721">
        <v>0.32</v>
      </c>
      <c r="D444" s="2720">
        <v>4369.9999200000002</v>
      </c>
      <c r="E444" s="2722">
        <v>45999999754.6157</v>
      </c>
      <c r="F444" s="2722">
        <v>936999998.25415695</v>
      </c>
      <c r="G444" s="2723">
        <f t="shared" si="12"/>
        <v>936.99999825415705</v>
      </c>
      <c r="H444" s="2722">
        <v>930792234.57767999</v>
      </c>
      <c r="I444" s="2723">
        <f t="shared" si="13"/>
        <v>930.79223457768001</v>
      </c>
      <c r="J444" s="2722">
        <v>7.9999999999999996E-6</v>
      </c>
      <c r="K444" s="2722">
        <v>501.99997999999999</v>
      </c>
      <c r="L444" s="2729">
        <v>6</v>
      </c>
    </row>
    <row r="445" spans="1:12" ht="15.75">
      <c r="A445" s="2724" t="s">
        <v>1394</v>
      </c>
      <c r="B445" s="2725">
        <v>115000000000</v>
      </c>
      <c r="C445" s="2726">
        <v>0.33</v>
      </c>
      <c r="D445" s="2725">
        <v>4730</v>
      </c>
      <c r="E445" s="2727">
        <v>48999999663.669403</v>
      </c>
      <c r="F445" s="2727">
        <v>899999972.71609998</v>
      </c>
      <c r="G445" s="2728">
        <f t="shared" si="12"/>
        <v>899.99997271610005</v>
      </c>
      <c r="H445" s="2727">
        <v>792897.09</v>
      </c>
      <c r="I445" s="2728">
        <f t="shared" si="13"/>
        <v>0.79289708999999997</v>
      </c>
      <c r="J445" s="2727">
        <v>9.0000000000000002E-6</v>
      </c>
      <c r="K445" s="2727">
        <v>494.99998399999998</v>
      </c>
      <c r="L445" s="2730">
        <v>10.9</v>
      </c>
    </row>
    <row r="446" spans="1:12" ht="15.75">
      <c r="A446" s="2719" t="s">
        <v>1395</v>
      </c>
      <c r="B446" s="2720">
        <v>109999998963.55299</v>
      </c>
      <c r="C446" s="2721">
        <v>0.33</v>
      </c>
      <c r="D446" s="2720">
        <v>4650.0001000000002</v>
      </c>
      <c r="E446" s="2722">
        <v>40999999676.367699</v>
      </c>
      <c r="F446" s="2722">
        <v>1000000015.6496</v>
      </c>
      <c r="G446" s="2723">
        <f t="shared" si="12"/>
        <v>1000.0000156496</v>
      </c>
      <c r="H446" s="2722">
        <v>827370875.18016005</v>
      </c>
      <c r="I446" s="2723">
        <f t="shared" si="13"/>
        <v>827.37087518016006</v>
      </c>
      <c r="J446" s="2722">
        <v>1.0000000000000001E-5</v>
      </c>
      <c r="K446" s="2722">
        <v>524.999999</v>
      </c>
      <c r="L446" s="2729">
        <v>7.8</v>
      </c>
    </row>
    <row r="447" spans="1:12" ht="15.75">
      <c r="A447" s="2724" t="s">
        <v>1396</v>
      </c>
      <c r="B447" s="2725">
        <v>105000000000</v>
      </c>
      <c r="C447" s="2726">
        <v>0.34</v>
      </c>
      <c r="D447" s="2725">
        <v>4510</v>
      </c>
      <c r="E447" s="2727">
        <v>0</v>
      </c>
      <c r="F447" s="2727">
        <v>345000000</v>
      </c>
      <c r="G447" s="2728">
        <f t="shared" si="12"/>
        <v>345</v>
      </c>
      <c r="H447" s="2727">
        <v>220000000</v>
      </c>
      <c r="I447" s="2728">
        <f t="shared" si="13"/>
        <v>220</v>
      </c>
      <c r="J447" s="2727">
        <v>8.6000000000000007E-6</v>
      </c>
      <c r="K447" s="2727">
        <v>0</v>
      </c>
      <c r="L447" s="2730">
        <v>21.97</v>
      </c>
    </row>
    <row r="448" spans="1:12" ht="15.75">
      <c r="A448" s="2719" t="s">
        <v>1397</v>
      </c>
      <c r="B448" s="2720">
        <v>110300000000</v>
      </c>
      <c r="C448" s="2721">
        <v>0.31</v>
      </c>
      <c r="D448" s="2720">
        <v>4480</v>
      </c>
      <c r="E448" s="2722">
        <v>48000000000</v>
      </c>
      <c r="F448" s="2722">
        <v>861000000</v>
      </c>
      <c r="G448" s="2723">
        <f t="shared" si="12"/>
        <v>861</v>
      </c>
      <c r="H448" s="2722">
        <v>827000000</v>
      </c>
      <c r="I448" s="2723">
        <f t="shared" si="13"/>
        <v>827</v>
      </c>
      <c r="J448" s="2722">
        <v>9.3999999999999998E-6</v>
      </c>
      <c r="K448" s="2722">
        <v>530</v>
      </c>
      <c r="L448" s="2729">
        <v>7.8</v>
      </c>
    </row>
    <row r="449" spans="1:12" ht="15.75">
      <c r="A449" s="2724" t="s">
        <v>1398</v>
      </c>
      <c r="B449" s="2725">
        <v>120000000000</v>
      </c>
      <c r="C449" s="2726">
        <v>0.32</v>
      </c>
      <c r="D449" s="2725">
        <v>4370</v>
      </c>
      <c r="E449" s="2727">
        <v>46000000000</v>
      </c>
      <c r="F449" s="2727">
        <v>937000000</v>
      </c>
      <c r="G449" s="2728">
        <f t="shared" si="12"/>
        <v>937</v>
      </c>
      <c r="H449" s="2727">
        <v>910000000</v>
      </c>
      <c r="I449" s="2728">
        <f t="shared" si="13"/>
        <v>910</v>
      </c>
      <c r="J449" s="2727">
        <v>8.4999999999999999E-6</v>
      </c>
      <c r="K449" s="2727">
        <v>502</v>
      </c>
      <c r="L449" s="2730">
        <v>6</v>
      </c>
    </row>
    <row r="450" spans="1:12" ht="15.75">
      <c r="A450" s="2719" t="s">
        <v>1399</v>
      </c>
      <c r="B450" s="2720">
        <v>115000000000</v>
      </c>
      <c r="C450" s="2721">
        <v>0.33</v>
      </c>
      <c r="D450" s="2720">
        <v>4730</v>
      </c>
      <c r="E450" s="2722">
        <v>49000000000</v>
      </c>
      <c r="F450" s="2722">
        <v>900000000</v>
      </c>
      <c r="G450" s="2723">
        <f t="shared" si="12"/>
        <v>900</v>
      </c>
      <c r="H450" s="2722">
        <v>810000000</v>
      </c>
      <c r="I450" s="2723">
        <f t="shared" si="13"/>
        <v>810</v>
      </c>
      <c r="J450" s="2722">
        <v>8.6000000000000007E-6</v>
      </c>
      <c r="K450" s="2722">
        <v>495</v>
      </c>
      <c r="L450" s="2729">
        <v>10.9</v>
      </c>
    </row>
    <row r="451" spans="1:12" ht="15.75">
      <c r="A451" s="2724" t="s">
        <v>1400</v>
      </c>
      <c r="B451" s="2725">
        <v>99000000000</v>
      </c>
      <c r="C451" s="2726">
        <v>0.3</v>
      </c>
      <c r="D451" s="2725">
        <v>4820</v>
      </c>
      <c r="E451" s="2727">
        <v>43000000000</v>
      </c>
      <c r="F451" s="2727">
        <v>990000000</v>
      </c>
      <c r="G451" s="2728">
        <f t="shared" si="12"/>
        <v>990</v>
      </c>
      <c r="H451" s="2727">
        <v>830000000</v>
      </c>
      <c r="I451" s="2728">
        <f t="shared" si="13"/>
        <v>830</v>
      </c>
      <c r="J451" s="2727">
        <v>9.6700000000000006E-6</v>
      </c>
      <c r="K451" s="2727">
        <v>545</v>
      </c>
      <c r="L451" s="2730">
        <v>6.9</v>
      </c>
    </row>
    <row r="452" spans="1:12" ht="15.75">
      <c r="A452" s="2719" t="s">
        <v>1401</v>
      </c>
      <c r="B452" s="2720">
        <v>85500000000</v>
      </c>
      <c r="C452" s="2721">
        <v>0.3</v>
      </c>
      <c r="D452" s="2720">
        <v>6600</v>
      </c>
      <c r="E452" s="2722">
        <v>0</v>
      </c>
      <c r="F452" s="2722">
        <v>358000000</v>
      </c>
      <c r="G452" s="2723">
        <f t="shared" ref="G452:G493" si="14">F452/1000000</f>
        <v>358</v>
      </c>
      <c r="H452" s="2722">
        <v>0</v>
      </c>
      <c r="I452" s="2723">
        <f t="shared" ref="I452:I493" si="15">H452/1000000</f>
        <v>0</v>
      </c>
      <c r="J452" s="2722">
        <v>2.7800000000000001E-5</v>
      </c>
      <c r="K452" s="2722">
        <v>418.7</v>
      </c>
      <c r="L452" s="2729">
        <v>104.7</v>
      </c>
    </row>
    <row r="453" spans="1:12" ht="15.75">
      <c r="A453" s="2724" t="s">
        <v>1402</v>
      </c>
      <c r="B453" s="2725">
        <v>85000000000</v>
      </c>
      <c r="C453" s="2726">
        <v>0.3</v>
      </c>
      <c r="D453" s="2725">
        <v>6600</v>
      </c>
      <c r="E453" s="2727">
        <v>0</v>
      </c>
      <c r="F453" s="2727">
        <v>285000000</v>
      </c>
      <c r="G453" s="2728">
        <f t="shared" si="14"/>
        <v>285</v>
      </c>
      <c r="H453" s="2727">
        <v>0</v>
      </c>
      <c r="I453" s="2728">
        <f t="shared" si="15"/>
        <v>0</v>
      </c>
      <c r="J453" s="2727">
        <v>2.7399999999999999E-5</v>
      </c>
      <c r="K453" s="2727">
        <v>420</v>
      </c>
      <c r="L453" s="2730">
        <v>113</v>
      </c>
    </row>
    <row r="454" spans="1:12" ht="15.75">
      <c r="A454" s="2719" t="s">
        <v>1403</v>
      </c>
      <c r="B454" s="2720">
        <v>85000000000</v>
      </c>
      <c r="C454" s="2721">
        <v>0.3</v>
      </c>
      <c r="D454" s="2720">
        <v>6700</v>
      </c>
      <c r="E454" s="2722">
        <v>0</v>
      </c>
      <c r="F454" s="2722">
        <v>330000000</v>
      </c>
      <c r="G454" s="2723">
        <f t="shared" si="14"/>
        <v>330</v>
      </c>
      <c r="H454" s="2722">
        <v>0</v>
      </c>
      <c r="I454" s="2723">
        <f t="shared" si="15"/>
        <v>0</v>
      </c>
      <c r="J454" s="2722">
        <v>2.7399999999999999E-5</v>
      </c>
      <c r="K454" s="2722">
        <v>420</v>
      </c>
      <c r="L454" s="2729">
        <v>108.9</v>
      </c>
    </row>
    <row r="455" spans="1:12" ht="15.75">
      <c r="A455" s="2724" t="s">
        <v>1404</v>
      </c>
      <c r="B455" s="2725">
        <v>85000000000</v>
      </c>
      <c r="C455" s="2726">
        <v>0.3</v>
      </c>
      <c r="D455" s="2725">
        <v>6600</v>
      </c>
      <c r="E455" s="2727">
        <v>0</v>
      </c>
      <c r="F455" s="2727">
        <v>285000000</v>
      </c>
      <c r="G455" s="2728">
        <f t="shared" si="14"/>
        <v>285</v>
      </c>
      <c r="H455" s="2727">
        <v>285000000</v>
      </c>
      <c r="I455" s="2728">
        <f t="shared" si="15"/>
        <v>285</v>
      </c>
      <c r="J455" s="2727">
        <v>2.7399999999999999E-5</v>
      </c>
      <c r="K455" s="2727">
        <v>418.7</v>
      </c>
      <c r="L455" s="2730">
        <v>113</v>
      </c>
    </row>
    <row r="456" spans="1:12" ht="15.75">
      <c r="A456" s="2719" t="s">
        <v>1405</v>
      </c>
      <c r="B456" s="2720">
        <v>210000000000</v>
      </c>
      <c r="C456" s="2721">
        <v>0.34</v>
      </c>
      <c r="D456" s="2720">
        <v>8200</v>
      </c>
      <c r="E456" s="2722">
        <v>77000000000</v>
      </c>
      <c r="F456" s="2722">
        <v>620420000</v>
      </c>
      <c r="G456" s="2723">
        <f t="shared" si="14"/>
        <v>620.41999999999996</v>
      </c>
      <c r="H456" s="2722">
        <v>344678000</v>
      </c>
      <c r="I456" s="2723">
        <f t="shared" si="15"/>
        <v>344.678</v>
      </c>
      <c r="J456" s="2722">
        <v>1.5E-5</v>
      </c>
      <c r="K456" s="2722">
        <v>590</v>
      </c>
      <c r="L456" s="2729">
        <v>24</v>
      </c>
    </row>
    <row r="457" spans="1:12" ht="15.75">
      <c r="A457" s="2724" t="s">
        <v>1406</v>
      </c>
      <c r="B457" s="2725">
        <v>210000000000</v>
      </c>
      <c r="C457" s="2726">
        <v>0.34</v>
      </c>
      <c r="D457" s="2725">
        <v>8200</v>
      </c>
      <c r="E457" s="2727">
        <v>77000000000</v>
      </c>
      <c r="F457" s="2727">
        <v>0</v>
      </c>
      <c r="G457" s="2728">
        <f t="shared" si="14"/>
        <v>0</v>
      </c>
      <c r="H457" s="2727">
        <v>0</v>
      </c>
      <c r="I457" s="2728">
        <f t="shared" si="15"/>
        <v>0</v>
      </c>
      <c r="J457" s="2727">
        <v>1.5E-5</v>
      </c>
      <c r="K457" s="2727">
        <v>590</v>
      </c>
      <c r="L457" s="2730">
        <v>24</v>
      </c>
    </row>
    <row r="458" spans="1:12" ht="15.75">
      <c r="A458" s="2719" t="s">
        <v>1407</v>
      </c>
      <c r="B458" s="2720">
        <v>180000000000</v>
      </c>
      <c r="C458" s="2721">
        <v>0.34</v>
      </c>
      <c r="D458" s="2720">
        <v>8800</v>
      </c>
      <c r="E458" s="2722">
        <v>67000000000</v>
      </c>
      <c r="F458" s="2722">
        <v>448081000</v>
      </c>
      <c r="G458" s="2723">
        <f t="shared" si="14"/>
        <v>448.08100000000002</v>
      </c>
      <c r="H458" s="2722">
        <v>220594000</v>
      </c>
      <c r="I458" s="2723">
        <f t="shared" si="15"/>
        <v>220.59399999999999</v>
      </c>
      <c r="J458" s="2722">
        <v>1.4E-5</v>
      </c>
      <c r="K458" s="2722">
        <v>430</v>
      </c>
      <c r="L458" s="2729">
        <v>22</v>
      </c>
    </row>
    <row r="459" spans="1:12" ht="15.75">
      <c r="A459" s="2724" t="s">
        <v>1408</v>
      </c>
      <c r="B459" s="2725">
        <v>1000000000</v>
      </c>
      <c r="C459" s="2726">
        <v>0.3</v>
      </c>
      <c r="D459" s="2725">
        <v>1150</v>
      </c>
      <c r="E459" s="2727">
        <v>0</v>
      </c>
      <c r="F459" s="2727">
        <v>79289709</v>
      </c>
      <c r="G459" s="2728">
        <f t="shared" si="14"/>
        <v>79.289709000000002</v>
      </c>
      <c r="H459" s="2727">
        <v>60000000</v>
      </c>
      <c r="I459" s="2728">
        <f t="shared" si="15"/>
        <v>60</v>
      </c>
      <c r="J459" s="2727">
        <v>9.9999999999999995E-7</v>
      </c>
      <c r="K459" s="2727">
        <v>1500</v>
      </c>
      <c r="L459" s="2730">
        <v>0.53</v>
      </c>
    </row>
    <row r="460" spans="1:12" ht="15.75">
      <c r="A460" s="2719" t="s">
        <v>1409</v>
      </c>
      <c r="B460" s="2720">
        <v>2000000000</v>
      </c>
      <c r="C460" s="2721">
        <v>0.39400000000000002</v>
      </c>
      <c r="D460" s="2720">
        <v>1020</v>
      </c>
      <c r="E460" s="2722">
        <v>318900000</v>
      </c>
      <c r="F460" s="2722">
        <v>30000000</v>
      </c>
      <c r="G460" s="2723">
        <f t="shared" si="14"/>
        <v>30</v>
      </c>
      <c r="H460" s="2722">
        <v>0</v>
      </c>
      <c r="I460" s="2723">
        <f t="shared" si="15"/>
        <v>0</v>
      </c>
      <c r="J460" s="2722">
        <v>0</v>
      </c>
      <c r="K460" s="2722">
        <v>1386</v>
      </c>
      <c r="L460" s="2729">
        <v>0.22559999999999999</v>
      </c>
    </row>
    <row r="461" spans="1:12" ht="15.75">
      <c r="A461" s="2724" t="s">
        <v>1410</v>
      </c>
      <c r="B461" s="2725">
        <v>2410000000</v>
      </c>
      <c r="C461" s="2726">
        <v>0.38969999999999999</v>
      </c>
      <c r="D461" s="2725">
        <v>1070</v>
      </c>
      <c r="E461" s="2727">
        <v>862200000</v>
      </c>
      <c r="F461" s="2727">
        <v>40000000</v>
      </c>
      <c r="G461" s="2728">
        <f t="shared" si="14"/>
        <v>40</v>
      </c>
      <c r="H461" s="2727">
        <v>0</v>
      </c>
      <c r="I461" s="2728">
        <f t="shared" si="15"/>
        <v>0</v>
      </c>
      <c r="J461" s="2727">
        <v>0</v>
      </c>
      <c r="K461" s="2727">
        <v>1900</v>
      </c>
      <c r="L461" s="2730">
        <v>0.26179999999999998</v>
      </c>
    </row>
    <row r="462" spans="1:12" ht="15.75">
      <c r="A462" s="2719" t="s">
        <v>1411</v>
      </c>
      <c r="B462" s="2720">
        <v>2400000000</v>
      </c>
      <c r="C462" s="2721">
        <v>0.35</v>
      </c>
      <c r="D462" s="2720">
        <v>1200</v>
      </c>
      <c r="E462" s="2722">
        <v>890000000</v>
      </c>
      <c r="F462" s="2722">
        <v>48700000</v>
      </c>
      <c r="G462" s="2723">
        <f t="shared" si="14"/>
        <v>48.7</v>
      </c>
      <c r="H462" s="2722">
        <v>48400000</v>
      </c>
      <c r="I462" s="2723">
        <f t="shared" si="15"/>
        <v>48.4</v>
      </c>
      <c r="J462" s="2722">
        <v>5.1999999999999997E-5</v>
      </c>
      <c r="K462" s="2722">
        <v>1500</v>
      </c>
      <c r="L462" s="2729">
        <v>0.21</v>
      </c>
    </row>
    <row r="463" spans="1:12" ht="15.75">
      <c r="A463" s="2724" t="s">
        <v>1412</v>
      </c>
      <c r="B463" s="2725">
        <v>2900000000</v>
      </c>
      <c r="C463" s="2726">
        <v>0.3</v>
      </c>
      <c r="D463" s="2725">
        <v>141</v>
      </c>
      <c r="E463" s="2727">
        <v>0</v>
      </c>
      <c r="F463" s="2727">
        <v>40700000</v>
      </c>
      <c r="G463" s="2728">
        <f t="shared" si="14"/>
        <v>40.700000000000003</v>
      </c>
      <c r="H463" s="2727">
        <v>63000000</v>
      </c>
      <c r="I463" s="2728">
        <f t="shared" si="15"/>
        <v>63</v>
      </c>
      <c r="J463" s="2727">
        <v>0</v>
      </c>
      <c r="K463" s="2727">
        <v>0</v>
      </c>
      <c r="L463" s="2730">
        <v>0</v>
      </c>
    </row>
    <row r="464" spans="1:12" ht="15.75">
      <c r="A464" s="2719" t="s">
        <v>1413</v>
      </c>
      <c r="B464" s="2720">
        <v>8300000000</v>
      </c>
      <c r="C464" s="2721">
        <v>0.28000000000000003</v>
      </c>
      <c r="D464" s="2720">
        <v>1400</v>
      </c>
      <c r="E464" s="2722">
        <v>3200000000</v>
      </c>
      <c r="F464" s="2722">
        <v>62100000</v>
      </c>
      <c r="G464" s="2723">
        <f t="shared" si="14"/>
        <v>62.1</v>
      </c>
      <c r="H464" s="2722">
        <v>68900000</v>
      </c>
      <c r="I464" s="2723">
        <f t="shared" si="15"/>
        <v>68.900000000000006</v>
      </c>
      <c r="J464" s="2722">
        <v>3.0000000000000001E-5</v>
      </c>
      <c r="K464" s="2722">
        <v>1500</v>
      </c>
      <c r="L464" s="2729">
        <v>0.53</v>
      </c>
    </row>
    <row r="465" spans="1:12" ht="15.75">
      <c r="A465" s="2724" t="s">
        <v>1414</v>
      </c>
      <c r="B465" s="2725">
        <v>2620000000</v>
      </c>
      <c r="C465" s="2726">
        <v>0.34</v>
      </c>
      <c r="D465" s="2725">
        <v>1120</v>
      </c>
      <c r="E465" s="2727">
        <v>970400000</v>
      </c>
      <c r="F465" s="2727">
        <v>90000000</v>
      </c>
      <c r="G465" s="2728">
        <f t="shared" si="14"/>
        <v>90</v>
      </c>
      <c r="H465" s="2727">
        <v>0</v>
      </c>
      <c r="I465" s="2728">
        <f t="shared" si="15"/>
        <v>0</v>
      </c>
      <c r="J465" s="2727">
        <v>0</v>
      </c>
      <c r="K465" s="2727">
        <v>1601</v>
      </c>
      <c r="L465" s="2730">
        <v>0.23300000000000001</v>
      </c>
    </row>
    <row r="466" spans="1:12" ht="15.75">
      <c r="A466" s="2719" t="s">
        <v>1415</v>
      </c>
      <c r="B466" s="2720">
        <v>1930000000</v>
      </c>
      <c r="C466" s="2721">
        <v>0.39019999999999999</v>
      </c>
      <c r="D466" s="2720">
        <v>1300</v>
      </c>
      <c r="E466" s="2722">
        <v>690200000</v>
      </c>
      <c r="F466" s="2722">
        <v>56500000</v>
      </c>
      <c r="G466" s="2723">
        <f t="shared" si="14"/>
        <v>56.5</v>
      </c>
      <c r="H466" s="2722">
        <v>0</v>
      </c>
      <c r="I466" s="2723">
        <f t="shared" si="15"/>
        <v>0</v>
      </c>
      <c r="J466" s="2722">
        <v>0</v>
      </c>
      <c r="K466" s="2722">
        <v>1421</v>
      </c>
      <c r="L466" s="2729">
        <v>0.27410000000000001</v>
      </c>
    </row>
    <row r="467" spans="1:12" ht="15.75">
      <c r="A467" s="2724" t="s">
        <v>1416</v>
      </c>
      <c r="B467" s="2725">
        <v>2320000000</v>
      </c>
      <c r="C467" s="2726">
        <v>0.39119999999999999</v>
      </c>
      <c r="D467" s="2725">
        <v>1190</v>
      </c>
      <c r="E467" s="2727">
        <v>829100000</v>
      </c>
      <c r="F467" s="2727">
        <v>62700000</v>
      </c>
      <c r="G467" s="2728">
        <f t="shared" si="14"/>
        <v>62.7</v>
      </c>
      <c r="H467" s="2727">
        <v>0</v>
      </c>
      <c r="I467" s="2728">
        <f t="shared" si="15"/>
        <v>0</v>
      </c>
      <c r="J467" s="2727">
        <v>0</v>
      </c>
      <c r="K467" s="2727">
        <v>1535</v>
      </c>
      <c r="L467" s="2730">
        <v>0.189</v>
      </c>
    </row>
    <row r="468" spans="1:12" ht="15.75">
      <c r="A468" s="2719" t="s">
        <v>1417</v>
      </c>
      <c r="B468" s="2720">
        <v>1070000000</v>
      </c>
      <c r="C468" s="2721">
        <v>0.41010000000000002</v>
      </c>
      <c r="D468" s="2720">
        <v>952</v>
      </c>
      <c r="E468" s="2722">
        <v>377200000</v>
      </c>
      <c r="F468" s="2722">
        <v>22100000</v>
      </c>
      <c r="G468" s="2723">
        <f t="shared" si="14"/>
        <v>22.1</v>
      </c>
      <c r="H468" s="2722">
        <v>0</v>
      </c>
      <c r="I468" s="2723">
        <f t="shared" si="15"/>
        <v>0</v>
      </c>
      <c r="J468" s="2722">
        <v>0</v>
      </c>
      <c r="K468" s="2722">
        <v>1796</v>
      </c>
      <c r="L468" s="2729">
        <v>0.46100000000000002</v>
      </c>
    </row>
    <row r="469" spans="1:12" ht="15.75">
      <c r="A469" s="2724" t="s">
        <v>1418</v>
      </c>
      <c r="B469" s="2725">
        <v>172000000</v>
      </c>
      <c r="C469" s="2726">
        <v>0.439</v>
      </c>
      <c r="D469" s="2725">
        <v>917</v>
      </c>
      <c r="E469" s="2727">
        <v>59400000</v>
      </c>
      <c r="F469" s="2727">
        <v>13270000</v>
      </c>
      <c r="G469" s="2728">
        <f t="shared" si="14"/>
        <v>13.27</v>
      </c>
      <c r="H469" s="2727">
        <v>0</v>
      </c>
      <c r="I469" s="2728">
        <f t="shared" si="15"/>
        <v>0</v>
      </c>
      <c r="J469" s="2727">
        <v>0</v>
      </c>
      <c r="K469" s="2727">
        <v>1842</v>
      </c>
      <c r="L469" s="2730">
        <v>0.32200000000000001</v>
      </c>
    </row>
    <row r="470" spans="1:12" ht="15.75">
      <c r="A470" s="2719" t="s">
        <v>1419</v>
      </c>
      <c r="B470" s="2720">
        <v>2600000000</v>
      </c>
      <c r="C470" s="2721">
        <v>0.38590000000000002</v>
      </c>
      <c r="D470" s="2720">
        <v>1390</v>
      </c>
      <c r="E470" s="2722">
        <v>932800000</v>
      </c>
      <c r="F470" s="2722">
        <v>71500000</v>
      </c>
      <c r="G470" s="2723">
        <f t="shared" si="14"/>
        <v>71.5</v>
      </c>
      <c r="H470" s="2722">
        <v>60600000</v>
      </c>
      <c r="I470" s="2723">
        <f t="shared" si="15"/>
        <v>60.6</v>
      </c>
      <c r="J470" s="2722">
        <v>0</v>
      </c>
      <c r="K470" s="2722">
        <v>1378</v>
      </c>
      <c r="L470" s="2729">
        <v>0.221</v>
      </c>
    </row>
    <row r="471" spans="1:12" ht="15.75">
      <c r="A471" s="2724" t="s">
        <v>1420</v>
      </c>
      <c r="B471" s="2725">
        <v>896000000</v>
      </c>
      <c r="C471" s="2726">
        <v>0.4103</v>
      </c>
      <c r="D471" s="2725">
        <v>890</v>
      </c>
      <c r="E471" s="2727">
        <v>315800000</v>
      </c>
      <c r="F471" s="2727">
        <v>27600000</v>
      </c>
      <c r="G471" s="2728">
        <f t="shared" si="14"/>
        <v>27.6</v>
      </c>
      <c r="H471" s="2727">
        <v>0</v>
      </c>
      <c r="I471" s="2728">
        <f t="shared" si="15"/>
        <v>0</v>
      </c>
      <c r="J471" s="2727">
        <v>0</v>
      </c>
      <c r="K471" s="2727">
        <v>1881</v>
      </c>
      <c r="L471" s="2730">
        <v>0.14699999999999999</v>
      </c>
    </row>
    <row r="472" spans="1:12" ht="15.75">
      <c r="A472" s="2719" t="s">
        <v>1421</v>
      </c>
      <c r="B472" s="2720">
        <v>2280000000</v>
      </c>
      <c r="C472" s="2721">
        <v>0.38700000000000001</v>
      </c>
      <c r="D472" s="2720">
        <v>1040</v>
      </c>
      <c r="E472" s="2722">
        <v>817300000</v>
      </c>
      <c r="F472" s="2722">
        <v>35900000</v>
      </c>
      <c r="G472" s="2723">
        <f t="shared" si="14"/>
        <v>35.9</v>
      </c>
      <c r="H472" s="2722">
        <v>0</v>
      </c>
      <c r="I472" s="2723">
        <f t="shared" si="15"/>
        <v>0</v>
      </c>
      <c r="J472" s="2722">
        <v>0</v>
      </c>
      <c r="K472" s="2722">
        <v>1691</v>
      </c>
      <c r="L472" s="2729">
        <v>0.121</v>
      </c>
    </row>
    <row r="473" spans="1:12" ht="15.75">
      <c r="A473" s="2724" t="s">
        <v>1422</v>
      </c>
      <c r="B473" s="2725">
        <v>6000000</v>
      </c>
      <c r="C473" s="2726">
        <v>0.47</v>
      </c>
      <c r="D473" s="2725">
        <v>1290</v>
      </c>
      <c r="E473" s="2727">
        <v>2000000</v>
      </c>
      <c r="F473" s="2727">
        <v>13000000</v>
      </c>
      <c r="G473" s="2728">
        <f t="shared" si="14"/>
        <v>13</v>
      </c>
      <c r="H473" s="2727">
        <v>0</v>
      </c>
      <c r="I473" s="2728">
        <f t="shared" si="15"/>
        <v>0</v>
      </c>
      <c r="J473" s="2727">
        <v>0</v>
      </c>
      <c r="K473" s="2727">
        <v>1600</v>
      </c>
      <c r="L473" s="2730">
        <v>0.16</v>
      </c>
    </row>
    <row r="474" spans="1:12" ht="15.75">
      <c r="A474" s="2719" t="s">
        <v>1423</v>
      </c>
      <c r="B474" s="2720">
        <v>2410000000</v>
      </c>
      <c r="C474" s="2721">
        <v>0.38250000000000001</v>
      </c>
      <c r="D474" s="2720">
        <v>1300</v>
      </c>
      <c r="E474" s="2722">
        <v>866700000</v>
      </c>
      <c r="F474" s="2722">
        <v>40700000</v>
      </c>
      <c r="G474" s="2723">
        <f t="shared" si="14"/>
        <v>40.700000000000003</v>
      </c>
      <c r="H474" s="2722">
        <v>0</v>
      </c>
      <c r="I474" s="2723">
        <f t="shared" si="15"/>
        <v>0</v>
      </c>
      <c r="J474" s="2722">
        <v>0</v>
      </c>
      <c r="K474" s="2722">
        <v>1355</v>
      </c>
      <c r="L474" s="2729">
        <v>0.14699999999999999</v>
      </c>
    </row>
    <row r="475" spans="1:12" ht="15.75">
      <c r="A475" s="2724" t="s">
        <v>1424</v>
      </c>
      <c r="B475" s="2725">
        <v>172368932.3292</v>
      </c>
      <c r="C475" s="2726">
        <v>0.3</v>
      </c>
      <c r="D475" s="2725">
        <v>905.00000499999999</v>
      </c>
      <c r="E475" s="2727">
        <v>0</v>
      </c>
      <c r="F475" s="2727">
        <v>34000000.118400998</v>
      </c>
      <c r="G475" s="2728">
        <f t="shared" si="14"/>
        <v>34.000000118400997</v>
      </c>
      <c r="H475" s="2727">
        <v>6894757.2931679999</v>
      </c>
      <c r="I475" s="2728">
        <f t="shared" si="15"/>
        <v>6.8947572931680003</v>
      </c>
      <c r="J475" s="2727">
        <v>0</v>
      </c>
      <c r="K475" s="2727">
        <v>1841.9999889999999</v>
      </c>
      <c r="L475" s="2730">
        <v>0.32200000000000001</v>
      </c>
    </row>
    <row r="476" spans="1:12" ht="15.75">
      <c r="A476" s="2719" t="s">
        <v>1425</v>
      </c>
      <c r="B476" s="2720">
        <v>0</v>
      </c>
      <c r="C476" s="2721">
        <v>0</v>
      </c>
      <c r="D476" s="2720">
        <v>1190</v>
      </c>
      <c r="E476" s="2722">
        <v>0</v>
      </c>
      <c r="F476" s="2722">
        <v>75000000</v>
      </c>
      <c r="G476" s="2723">
        <f t="shared" si="14"/>
        <v>75</v>
      </c>
      <c r="H476" s="2722">
        <v>0</v>
      </c>
      <c r="I476" s="2723">
        <f t="shared" si="15"/>
        <v>0</v>
      </c>
      <c r="J476" s="2722">
        <v>0</v>
      </c>
      <c r="K476" s="2722">
        <v>0</v>
      </c>
      <c r="L476" s="2729">
        <v>0</v>
      </c>
    </row>
    <row r="477" spans="1:12" ht="15.75">
      <c r="A477" s="2724" t="s">
        <v>1426</v>
      </c>
      <c r="B477" s="2725">
        <v>0</v>
      </c>
      <c r="C477" s="2726">
        <v>0</v>
      </c>
      <c r="D477" s="2725">
        <v>2320</v>
      </c>
      <c r="E477" s="2727">
        <v>0</v>
      </c>
      <c r="F477" s="2727">
        <v>7580000</v>
      </c>
      <c r="G477" s="2728">
        <f t="shared" si="14"/>
        <v>7.58</v>
      </c>
      <c r="H477" s="2727">
        <v>0</v>
      </c>
      <c r="I477" s="2728">
        <f t="shared" si="15"/>
        <v>0</v>
      </c>
      <c r="J477" s="2727">
        <v>0</v>
      </c>
      <c r="K477" s="2727">
        <v>0</v>
      </c>
      <c r="L477" s="2730">
        <v>0</v>
      </c>
    </row>
    <row r="478" spans="1:12" ht="15.75">
      <c r="A478" s="2719" t="s">
        <v>1427</v>
      </c>
      <c r="B478" s="2720">
        <v>303000000000</v>
      </c>
      <c r="C478" s="2721">
        <v>0.7</v>
      </c>
      <c r="D478" s="2720">
        <v>1844</v>
      </c>
      <c r="E478" s="2722">
        <v>135000000000</v>
      </c>
      <c r="F478" s="2722">
        <v>370000000</v>
      </c>
      <c r="G478" s="2723">
        <f t="shared" si="14"/>
        <v>370</v>
      </c>
      <c r="H478" s="2722">
        <v>240000000</v>
      </c>
      <c r="I478" s="2723">
        <f t="shared" si="15"/>
        <v>240</v>
      </c>
      <c r="J478" s="2722">
        <v>1.15E-5</v>
      </c>
      <c r="K478" s="2722">
        <v>0</v>
      </c>
      <c r="L478" s="2729">
        <v>216</v>
      </c>
    </row>
    <row r="479" spans="1:12" ht="15.75">
      <c r="A479" s="2724" t="s">
        <v>1428</v>
      </c>
      <c r="B479" s="2725">
        <v>211000000000</v>
      </c>
      <c r="C479" s="2726">
        <v>0.31</v>
      </c>
      <c r="D479" s="2725">
        <v>8900</v>
      </c>
      <c r="E479" s="2727">
        <v>88000000000</v>
      </c>
      <c r="F479" s="2727">
        <v>235000000</v>
      </c>
      <c r="G479" s="2728">
        <f t="shared" si="14"/>
        <v>235</v>
      </c>
      <c r="H479" s="2727">
        <v>0</v>
      </c>
      <c r="I479" s="2728">
        <f t="shared" si="15"/>
        <v>0</v>
      </c>
      <c r="J479" s="2727">
        <v>1.2E-5</v>
      </c>
      <c r="K479" s="2727">
        <v>410</v>
      </c>
      <c r="L479" s="2730">
        <v>69</v>
      </c>
    </row>
    <row r="480" spans="1:12" ht="15.75">
      <c r="A480" s="2719" t="s">
        <v>1429</v>
      </c>
      <c r="B480" s="2720">
        <v>320000000000</v>
      </c>
      <c r="C480" s="2721">
        <v>0.38</v>
      </c>
      <c r="D480" s="2720">
        <v>10000</v>
      </c>
      <c r="E480" s="2722">
        <v>120000000000</v>
      </c>
      <c r="F480" s="2722">
        <v>500000000</v>
      </c>
      <c r="G480" s="2723">
        <f t="shared" si="14"/>
        <v>500</v>
      </c>
      <c r="H480" s="2722">
        <v>325000000</v>
      </c>
      <c r="I480" s="2723">
        <f t="shared" si="15"/>
        <v>325</v>
      </c>
      <c r="J480" s="2722">
        <v>5.0000000000000004E-6</v>
      </c>
      <c r="K480" s="2722">
        <v>270</v>
      </c>
      <c r="L480" s="2729">
        <v>150</v>
      </c>
    </row>
    <row r="481" spans="1:12" ht="15.75">
      <c r="A481" s="2724" t="s">
        <v>1430</v>
      </c>
      <c r="B481" s="2725">
        <v>210000000000</v>
      </c>
      <c r="C481" s="2726">
        <v>0.31</v>
      </c>
      <c r="D481" s="2725">
        <v>8500</v>
      </c>
      <c r="E481" s="2727">
        <v>79000000000</v>
      </c>
      <c r="F481" s="2727">
        <v>317000000</v>
      </c>
      <c r="G481" s="2728">
        <f t="shared" si="14"/>
        <v>317</v>
      </c>
      <c r="H481" s="2727">
        <v>59000000</v>
      </c>
      <c r="I481" s="2728">
        <f t="shared" si="15"/>
        <v>59</v>
      </c>
      <c r="J481" s="2727">
        <v>1.7E-5</v>
      </c>
      <c r="K481" s="2727">
        <v>460</v>
      </c>
      <c r="L481" s="2730">
        <v>43</v>
      </c>
    </row>
    <row r="482" spans="1:12" ht="15.75">
      <c r="A482" s="2719" t="s">
        <v>1431</v>
      </c>
      <c r="B482" s="2720">
        <v>78000000000</v>
      </c>
      <c r="C482" s="2721">
        <v>0.42</v>
      </c>
      <c r="D482" s="2720">
        <v>19000</v>
      </c>
      <c r="E482" s="2722">
        <v>26000000000</v>
      </c>
      <c r="F482" s="2722">
        <v>103000000</v>
      </c>
      <c r="G482" s="2723">
        <f t="shared" si="14"/>
        <v>103</v>
      </c>
      <c r="H482" s="2722">
        <v>0</v>
      </c>
      <c r="I482" s="2723">
        <f t="shared" si="15"/>
        <v>0</v>
      </c>
      <c r="J482" s="2722">
        <v>1.4E-5</v>
      </c>
      <c r="K482" s="2722">
        <v>130</v>
      </c>
      <c r="L482" s="2729">
        <v>300</v>
      </c>
    </row>
    <row r="483" spans="1:12" ht="15.75">
      <c r="A483" s="2724" t="s">
        <v>1432</v>
      </c>
      <c r="B483" s="2725">
        <v>14000000000</v>
      </c>
      <c r="C483" s="2726">
        <v>0.4</v>
      </c>
      <c r="D483" s="2725">
        <v>11000</v>
      </c>
      <c r="E483" s="2727">
        <v>49000000000</v>
      </c>
      <c r="F483" s="2727">
        <v>0</v>
      </c>
      <c r="G483" s="2728">
        <f t="shared" si="14"/>
        <v>0</v>
      </c>
      <c r="H483" s="2727">
        <v>0</v>
      </c>
      <c r="I483" s="2728">
        <f t="shared" si="15"/>
        <v>0</v>
      </c>
      <c r="J483" s="2727">
        <v>5.3000000000000001E-5</v>
      </c>
      <c r="K483" s="2727">
        <v>130</v>
      </c>
      <c r="L483" s="2730">
        <v>35</v>
      </c>
    </row>
    <row r="484" spans="1:12" ht="15.75">
      <c r="A484" s="2719" t="s">
        <v>1433</v>
      </c>
      <c r="B484" s="2720">
        <v>71000000000</v>
      </c>
      <c r="C484" s="2721">
        <v>0.37</v>
      </c>
      <c r="D484" s="2720">
        <v>11000</v>
      </c>
      <c r="E484" s="2722">
        <v>25000000000</v>
      </c>
      <c r="F484" s="2722">
        <v>125000000</v>
      </c>
      <c r="G484" s="2723">
        <f t="shared" si="14"/>
        <v>125</v>
      </c>
      <c r="H484" s="2722">
        <v>0</v>
      </c>
      <c r="I484" s="2723">
        <f t="shared" si="15"/>
        <v>0</v>
      </c>
      <c r="J484" s="2722">
        <v>2.0000000000000002E-5</v>
      </c>
      <c r="K484" s="2722">
        <v>230</v>
      </c>
      <c r="L484" s="2729">
        <v>420</v>
      </c>
    </row>
    <row r="485" spans="1:12" ht="15.75">
      <c r="A485" s="2724" t="s">
        <v>1434</v>
      </c>
      <c r="B485" s="2725">
        <v>110000000000</v>
      </c>
      <c r="C485" s="2726">
        <v>0.3</v>
      </c>
      <c r="D485" s="2725">
        <v>4600</v>
      </c>
      <c r="E485" s="2727">
        <v>43000000000</v>
      </c>
      <c r="F485" s="2727">
        <v>235000000</v>
      </c>
      <c r="G485" s="2728">
        <f t="shared" si="14"/>
        <v>235</v>
      </c>
      <c r="H485" s="2727">
        <v>140000000</v>
      </c>
      <c r="I485" s="2728">
        <f t="shared" si="15"/>
        <v>140</v>
      </c>
      <c r="J485" s="2727">
        <v>8.8000000000000004E-6</v>
      </c>
      <c r="K485" s="2727">
        <v>460</v>
      </c>
      <c r="L485" s="2730">
        <v>22</v>
      </c>
    </row>
    <row r="486" spans="1:12" ht="15.75">
      <c r="A486" s="2719" t="s">
        <v>1435</v>
      </c>
      <c r="B486" s="2720">
        <v>400000000000</v>
      </c>
      <c r="C486" s="2721">
        <v>0.28000000000000003</v>
      </c>
      <c r="D486" s="2720">
        <v>19000</v>
      </c>
      <c r="E486" s="2722">
        <v>160000000000</v>
      </c>
      <c r="F486" s="2722">
        <v>310000000</v>
      </c>
      <c r="G486" s="2723">
        <f t="shared" si="14"/>
        <v>310</v>
      </c>
      <c r="H486" s="2722">
        <v>750000000</v>
      </c>
      <c r="I486" s="2723">
        <f t="shared" si="15"/>
        <v>750</v>
      </c>
      <c r="J486" s="2722">
        <v>4.5000000000000001E-6</v>
      </c>
      <c r="K486" s="2722">
        <v>130</v>
      </c>
      <c r="L486" s="2729">
        <v>200</v>
      </c>
    </row>
    <row r="487" spans="1:12" ht="15.75">
      <c r="A487" s="2724" t="s">
        <v>1436</v>
      </c>
      <c r="B487" s="2725">
        <v>140000000000</v>
      </c>
      <c r="C487" s="2726">
        <v>0.36</v>
      </c>
      <c r="D487" s="2725">
        <v>6100</v>
      </c>
      <c r="E487" s="2727">
        <v>51000000000</v>
      </c>
      <c r="F487" s="2727">
        <v>53000000</v>
      </c>
      <c r="G487" s="2728">
        <f t="shared" si="14"/>
        <v>53</v>
      </c>
      <c r="H487" s="2727">
        <v>0</v>
      </c>
      <c r="I487" s="2728">
        <f t="shared" si="15"/>
        <v>0</v>
      </c>
      <c r="J487" s="2727">
        <v>8.3000000000000002E-6</v>
      </c>
      <c r="K487" s="2727">
        <v>500</v>
      </c>
      <c r="L487" s="2730">
        <v>31</v>
      </c>
    </row>
    <row r="488" spans="1:12" ht="15.75">
      <c r="A488" s="2719" t="s">
        <v>1437</v>
      </c>
      <c r="B488" s="2720">
        <v>99000000000</v>
      </c>
      <c r="C488" s="2721">
        <v>0.34</v>
      </c>
      <c r="D488" s="2720">
        <v>6600</v>
      </c>
      <c r="E488" s="2722">
        <v>36000000000</v>
      </c>
      <c r="F488" s="2722">
        <v>350000000</v>
      </c>
      <c r="G488" s="2723">
        <f t="shared" si="14"/>
        <v>350</v>
      </c>
      <c r="H488" s="2722">
        <v>59000000</v>
      </c>
      <c r="I488" s="2723">
        <f t="shared" si="15"/>
        <v>59</v>
      </c>
      <c r="J488" s="2722">
        <v>1.1E-5</v>
      </c>
      <c r="K488" s="2722">
        <v>290</v>
      </c>
      <c r="L488" s="2729">
        <v>1.7</v>
      </c>
    </row>
    <row r="489" spans="1:12" ht="15.75">
      <c r="A489" s="2724" t="s">
        <v>1438</v>
      </c>
      <c r="B489" s="2725">
        <v>0</v>
      </c>
      <c r="C489" s="2726">
        <v>0</v>
      </c>
      <c r="D489" s="2725">
        <v>1.1000000000000001</v>
      </c>
      <c r="E489" s="2727">
        <v>0</v>
      </c>
      <c r="F489" s="2727">
        <v>0</v>
      </c>
      <c r="G489" s="2728">
        <f t="shared" si="14"/>
        <v>0</v>
      </c>
      <c r="H489" s="2727">
        <v>0</v>
      </c>
      <c r="I489" s="2728">
        <f t="shared" si="15"/>
        <v>0</v>
      </c>
      <c r="J489" s="2727">
        <v>0</v>
      </c>
      <c r="K489" s="2727">
        <v>1000</v>
      </c>
      <c r="L489" s="2730">
        <v>2.7E-2</v>
      </c>
    </row>
    <row r="490" spans="1:12" ht="15.75">
      <c r="A490" s="2719" t="s">
        <v>1439</v>
      </c>
      <c r="B490" s="2720">
        <v>220590000000</v>
      </c>
      <c r="C490" s="2721">
        <v>0.22</v>
      </c>
      <c r="D490" s="2720">
        <v>2300</v>
      </c>
      <c r="E490" s="2722">
        <v>90407000000</v>
      </c>
      <c r="F490" s="2722">
        <v>172340000</v>
      </c>
      <c r="G490" s="2723">
        <f t="shared" si="14"/>
        <v>172.34</v>
      </c>
      <c r="H490" s="2722">
        <v>0</v>
      </c>
      <c r="I490" s="2723">
        <f t="shared" si="15"/>
        <v>0</v>
      </c>
      <c r="J490" s="2722">
        <v>1.08E-5</v>
      </c>
      <c r="K490" s="2722">
        <v>877.96</v>
      </c>
      <c r="L490" s="2729">
        <v>1.4948999999999999</v>
      </c>
    </row>
    <row r="491" spans="1:12" ht="15.75">
      <c r="A491" s="2724" t="s">
        <v>1440</v>
      </c>
      <c r="B491" s="2725">
        <v>68935000000</v>
      </c>
      <c r="C491" s="2726">
        <v>0.23</v>
      </c>
      <c r="D491" s="2725">
        <v>2457.6</v>
      </c>
      <c r="E491" s="2727">
        <v>28022000000</v>
      </c>
      <c r="F491" s="2727">
        <v>0</v>
      </c>
      <c r="G491" s="2728">
        <f t="shared" si="14"/>
        <v>0</v>
      </c>
      <c r="H491" s="2727">
        <v>0</v>
      </c>
      <c r="I491" s="2728">
        <f t="shared" si="15"/>
        <v>0</v>
      </c>
      <c r="J491" s="2727">
        <v>9.0000000000000002E-6</v>
      </c>
      <c r="K491" s="2727">
        <v>834.61</v>
      </c>
      <c r="L491" s="2730">
        <v>0.74975999999999998</v>
      </c>
    </row>
    <row r="492" spans="1:12" ht="15.75">
      <c r="A492" s="2719" t="s">
        <v>1441</v>
      </c>
      <c r="B492" s="2720">
        <v>6100000</v>
      </c>
      <c r="C492" s="2721">
        <v>0.49</v>
      </c>
      <c r="D492" s="2720">
        <v>1000</v>
      </c>
      <c r="E492" s="2722">
        <v>2900000</v>
      </c>
      <c r="F492" s="2722">
        <v>13787100</v>
      </c>
      <c r="G492" s="2723">
        <f t="shared" si="14"/>
        <v>13.787100000000001</v>
      </c>
      <c r="H492" s="2722">
        <v>9237370</v>
      </c>
      <c r="I492" s="2723">
        <f t="shared" si="15"/>
        <v>9.2373700000000003</v>
      </c>
      <c r="J492" s="2722">
        <v>6.7000000000000002E-4</v>
      </c>
      <c r="K492" s="2722">
        <v>0</v>
      </c>
      <c r="L492" s="2729">
        <v>0.14000000000000001</v>
      </c>
    </row>
    <row r="493" spans="1:12" ht="15.75">
      <c r="A493" s="2724" t="s">
        <v>1442</v>
      </c>
      <c r="B493" s="2725">
        <v>0</v>
      </c>
      <c r="C493" s="2726">
        <v>0</v>
      </c>
      <c r="D493" s="2725">
        <v>1000</v>
      </c>
      <c r="E493" s="2727">
        <v>0</v>
      </c>
      <c r="F493" s="2727">
        <v>0</v>
      </c>
      <c r="G493" s="2728">
        <f t="shared" si="14"/>
        <v>0</v>
      </c>
      <c r="H493" s="2727">
        <v>0</v>
      </c>
      <c r="I493" s="2728">
        <f t="shared" si="15"/>
        <v>0</v>
      </c>
      <c r="J493" s="2727">
        <v>0</v>
      </c>
      <c r="K493" s="2727">
        <v>4200</v>
      </c>
      <c r="L493" s="2730">
        <v>0.61</v>
      </c>
    </row>
  </sheetData>
  <sheetProtection selectLockedCells="1" selectUnlockedCells="1"/>
  <mergeCells count="12">
    <mergeCell ref="M1:M3"/>
    <mergeCell ref="A1:L1"/>
    <mergeCell ref="F2:G2"/>
    <mergeCell ref="H2:I2"/>
    <mergeCell ref="A2:A3"/>
    <mergeCell ref="B2:B3"/>
    <mergeCell ref="C2:C3"/>
    <mergeCell ref="D2:D3"/>
    <mergeCell ref="E2:E3"/>
    <mergeCell ref="J2:J3"/>
    <mergeCell ref="K2:K3"/>
    <mergeCell ref="L2:L3"/>
  </mergeCells>
  <phoneticPr fontId="378" type="noConversion"/>
  <hyperlinks>
    <hyperlink ref="M1:M3" location="总目录!A1" display="返回目录"/>
  </hyperlinks>
  <printOptions horizontalCentered="1" verticalCentered="1"/>
  <pageMargins left="0.235416666666667" right="0.235416666666667" top="0.39374999999999999" bottom="0.39374999999999999" header="0.51041666666666696" footer="0.51041666666666696"/>
  <pageSetup paperSize="9" orientation="landscape"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
  <sheetViews>
    <sheetView workbookViewId="0">
      <pane ySplit="2" topLeftCell="A3" activePane="bottomLeft" state="frozen"/>
      <selection activeCell="K3" sqref="K3"/>
      <selection pane="bottomLeft" activeCell="X3" sqref="X3:X5"/>
    </sheetView>
  </sheetViews>
  <sheetFormatPr defaultColWidth="8.125" defaultRowHeight="15.75"/>
  <cols>
    <col min="1" max="1" width="2.875" style="2705" customWidth="1"/>
    <col min="2" max="2" width="21.25" style="2706" customWidth="1"/>
    <col min="3" max="3" width="11.375" style="2706" customWidth="1"/>
    <col min="4" max="4" width="3.75" style="2705" customWidth="1"/>
    <col min="5" max="5" width="5.125" style="2705" customWidth="1"/>
    <col min="6" max="6" width="8.25" style="2705" customWidth="1"/>
    <col min="7" max="8" width="7.375" style="2705" customWidth="1"/>
    <col min="9" max="9" width="6" style="2705" customWidth="1"/>
    <col min="10" max="10" width="3.75" style="2705" customWidth="1"/>
    <col min="11" max="11" width="5.125" style="2705" customWidth="1"/>
    <col min="12" max="14" width="3.75" style="2705" customWidth="1"/>
    <col min="15" max="15" width="6.375" style="2705" customWidth="1"/>
    <col min="16" max="16" width="3.75" style="2705" customWidth="1"/>
    <col min="17" max="17" width="7.375" style="2705" customWidth="1"/>
    <col min="18" max="18" width="6.875" style="2705" customWidth="1"/>
    <col min="19" max="22" width="3.75" style="2705" customWidth="1"/>
    <col min="23" max="16384" width="8.125" style="2600"/>
  </cols>
  <sheetData>
    <row r="1" spans="1:24" ht="57.95" customHeight="1">
      <c r="A1" s="3197" t="s">
        <v>66</v>
      </c>
      <c r="B1" s="3197"/>
      <c r="C1" s="3197"/>
      <c r="D1" s="3197"/>
      <c r="E1" s="3197"/>
      <c r="F1" s="3197"/>
      <c r="G1" s="3197"/>
      <c r="H1" s="3197"/>
      <c r="I1" s="3197"/>
      <c r="J1" s="3197"/>
      <c r="K1" s="3197"/>
      <c r="L1" s="3197"/>
      <c r="M1" s="3197"/>
      <c r="N1" s="3197"/>
      <c r="O1" s="3197"/>
      <c r="P1" s="3197"/>
      <c r="Q1" s="3197"/>
      <c r="R1" s="3197"/>
      <c r="S1" s="3197"/>
      <c r="T1" s="3197"/>
      <c r="U1" s="3197"/>
      <c r="V1" s="3197"/>
    </row>
    <row r="2" spans="1:24" s="2703" customFormat="1" ht="35.1" customHeight="1" thickBot="1">
      <c r="A2" s="2707" t="s">
        <v>1443</v>
      </c>
      <c r="B2" s="2707" t="s">
        <v>1444</v>
      </c>
      <c r="C2" s="2707" t="s">
        <v>1445</v>
      </c>
      <c r="D2" s="2707" t="s">
        <v>1446</v>
      </c>
      <c r="E2" s="2707" t="s">
        <v>961</v>
      </c>
      <c r="F2" s="2707" t="s">
        <v>1447</v>
      </c>
      <c r="G2" s="2707" t="s">
        <v>1448</v>
      </c>
      <c r="H2" s="2707" t="s">
        <v>1449</v>
      </c>
      <c r="I2" s="2707" t="s">
        <v>1450</v>
      </c>
      <c r="J2" s="2707" t="s">
        <v>1451</v>
      </c>
      <c r="K2" s="2707" t="s">
        <v>1452</v>
      </c>
      <c r="L2" s="2707" t="s">
        <v>1453</v>
      </c>
      <c r="M2" s="2707" t="s">
        <v>1454</v>
      </c>
      <c r="N2" s="2707" t="s">
        <v>1455</v>
      </c>
      <c r="O2" s="2707" t="s">
        <v>1456</v>
      </c>
      <c r="P2" s="2707" t="s">
        <v>1457</v>
      </c>
      <c r="Q2" s="2707" t="s">
        <v>1458</v>
      </c>
      <c r="R2" s="2707" t="s">
        <v>1459</v>
      </c>
      <c r="S2" s="2707" t="s">
        <v>1460</v>
      </c>
      <c r="T2" s="2707" t="s">
        <v>1461</v>
      </c>
      <c r="U2" s="2707" t="s">
        <v>1462</v>
      </c>
      <c r="V2" s="2707" t="s">
        <v>1463</v>
      </c>
    </row>
    <row r="3" spans="1:24" ht="23.1" customHeight="1">
      <c r="A3" s="2708">
        <v>1</v>
      </c>
      <c r="B3" s="2709" t="s">
        <v>1464</v>
      </c>
      <c r="C3" s="2709" t="s">
        <v>1465</v>
      </c>
      <c r="D3" s="2708" t="s">
        <v>1466</v>
      </c>
      <c r="E3" s="2708"/>
      <c r="F3" s="2708" t="s">
        <v>1467</v>
      </c>
      <c r="G3" s="2708" t="s">
        <v>1468</v>
      </c>
      <c r="H3" s="2710" t="s">
        <v>1469</v>
      </c>
      <c r="I3" s="2708">
        <v>8</v>
      </c>
      <c r="J3" s="2708">
        <v>3</v>
      </c>
      <c r="K3" s="2708">
        <v>9800</v>
      </c>
      <c r="L3" s="2708">
        <v>1.05</v>
      </c>
      <c r="M3" s="2708">
        <v>69</v>
      </c>
      <c r="N3" s="2708">
        <v>69</v>
      </c>
      <c r="O3" s="2708" t="s">
        <v>1470</v>
      </c>
      <c r="P3" s="2708"/>
      <c r="Q3" s="2708">
        <v>7</v>
      </c>
      <c r="R3" s="2708" t="s">
        <v>1471</v>
      </c>
      <c r="S3" s="2708">
        <v>86</v>
      </c>
      <c r="T3" s="2708"/>
      <c r="U3" s="2708"/>
      <c r="V3" s="2708">
        <v>18</v>
      </c>
      <c r="X3" s="3198" t="s">
        <v>12704</v>
      </c>
    </row>
    <row r="4" spans="1:24" ht="23.1" customHeight="1">
      <c r="A4" s="2708">
        <v>2</v>
      </c>
      <c r="B4" s="2711" t="s">
        <v>1472</v>
      </c>
      <c r="C4" s="2711" t="s">
        <v>1473</v>
      </c>
      <c r="D4" s="2712"/>
      <c r="E4" s="2712"/>
      <c r="F4" s="2712"/>
      <c r="G4" s="2712"/>
      <c r="H4" s="2712"/>
      <c r="I4" s="2712"/>
      <c r="J4" s="2712">
        <v>3</v>
      </c>
      <c r="K4" s="2712"/>
      <c r="L4" s="2712"/>
      <c r="M4" s="2712"/>
      <c r="N4" s="2712"/>
      <c r="O4" s="2712"/>
      <c r="P4" s="2712"/>
      <c r="Q4" s="2712"/>
      <c r="R4" s="2712"/>
      <c r="S4" s="2712"/>
      <c r="T4" s="2712"/>
      <c r="U4" s="2712"/>
      <c r="V4" s="2712"/>
      <c r="X4" s="3199"/>
    </row>
    <row r="5" spans="1:24" ht="23.1" customHeight="1" thickBot="1">
      <c r="A5" s="2708">
        <v>3</v>
      </c>
      <c r="B5" s="2709" t="s">
        <v>1474</v>
      </c>
      <c r="C5" s="2709" t="s">
        <v>1475</v>
      </c>
      <c r="D5" s="2708"/>
      <c r="E5" s="2708"/>
      <c r="F5" s="2708">
        <v>49</v>
      </c>
      <c r="G5" s="2708">
        <v>0.5</v>
      </c>
      <c r="H5" s="2710">
        <v>0.01</v>
      </c>
      <c r="I5" s="2708"/>
      <c r="J5" s="2708">
        <v>4</v>
      </c>
      <c r="K5" s="2708"/>
      <c r="L5" s="2708">
        <v>1.4</v>
      </c>
      <c r="M5" s="2708">
        <v>65</v>
      </c>
      <c r="N5" s="2708">
        <v>69</v>
      </c>
      <c r="O5" s="2708" t="s">
        <v>1476</v>
      </c>
      <c r="P5" s="2708"/>
      <c r="Q5" s="2708" t="s">
        <v>1477</v>
      </c>
      <c r="R5" s="2708"/>
      <c r="S5" s="2708">
        <v>99</v>
      </c>
      <c r="T5" s="2708">
        <v>0.38</v>
      </c>
      <c r="U5" s="2708"/>
      <c r="V5" s="2708"/>
      <c r="X5" s="3200"/>
    </row>
    <row r="6" spans="1:24" ht="23.1" customHeight="1">
      <c r="A6" s="2708">
        <v>4</v>
      </c>
      <c r="B6" s="2711" t="s">
        <v>1478</v>
      </c>
      <c r="C6" s="2711" t="s">
        <v>1479</v>
      </c>
      <c r="D6" s="2712"/>
      <c r="E6" s="2712"/>
      <c r="F6" s="2712"/>
      <c r="G6" s="2712"/>
      <c r="H6" s="2712"/>
      <c r="I6" s="2712"/>
      <c r="J6" s="2712">
        <v>3</v>
      </c>
      <c r="K6" s="2712"/>
      <c r="L6" s="2712"/>
      <c r="M6" s="2712"/>
      <c r="N6" s="2712"/>
      <c r="O6" s="2712"/>
      <c r="P6" s="2712"/>
      <c r="Q6" s="2712"/>
      <c r="R6" s="2712"/>
      <c r="S6" s="2712"/>
      <c r="T6" s="2712"/>
      <c r="U6" s="2712">
        <v>0.9</v>
      </c>
      <c r="V6" s="2712"/>
    </row>
    <row r="7" spans="1:24" ht="23.1" customHeight="1">
      <c r="A7" s="2708">
        <v>5</v>
      </c>
      <c r="B7" s="2709" t="s">
        <v>1480</v>
      </c>
      <c r="C7" s="2709" t="s">
        <v>1481</v>
      </c>
      <c r="D7" s="2708" t="s">
        <v>1482</v>
      </c>
      <c r="E7" s="2708"/>
      <c r="F7" s="2708">
        <v>37</v>
      </c>
      <c r="G7" s="2708"/>
      <c r="H7" s="2710" t="s">
        <v>1483</v>
      </c>
      <c r="I7" s="2708">
        <v>5.8</v>
      </c>
      <c r="J7" s="2708"/>
      <c r="K7" s="2708"/>
      <c r="L7" s="2708">
        <v>2.13</v>
      </c>
      <c r="M7" s="2708">
        <v>70</v>
      </c>
      <c r="N7" s="2708">
        <v>14</v>
      </c>
      <c r="O7" s="2708">
        <v>125</v>
      </c>
      <c r="P7" s="2708"/>
      <c r="Q7" s="2708">
        <v>17</v>
      </c>
      <c r="R7" s="2708" t="s">
        <v>1484</v>
      </c>
      <c r="S7" s="2708">
        <v>198</v>
      </c>
      <c r="T7" s="2708">
        <v>0.3</v>
      </c>
      <c r="U7" s="2708">
        <v>0.8</v>
      </c>
      <c r="V7" s="2708" t="s">
        <v>1485</v>
      </c>
    </row>
    <row r="8" spans="1:24" ht="23.1" customHeight="1">
      <c r="A8" s="2708">
        <v>6</v>
      </c>
      <c r="B8" s="2711" t="s">
        <v>1486</v>
      </c>
      <c r="C8" s="2711" t="s">
        <v>1487</v>
      </c>
      <c r="D8" s="2712" t="s">
        <v>1482</v>
      </c>
      <c r="E8" s="2712"/>
      <c r="F8" s="2712">
        <v>27.6</v>
      </c>
      <c r="G8" s="2712"/>
      <c r="H8" s="2712" t="s">
        <v>1483</v>
      </c>
      <c r="I8" s="2712">
        <v>10.5</v>
      </c>
      <c r="J8" s="2712"/>
      <c r="K8" s="2712"/>
      <c r="L8" s="2712">
        <v>2.1800000000000002</v>
      </c>
      <c r="M8" s="2712">
        <v>21</v>
      </c>
      <c r="N8" s="2712">
        <v>13</v>
      </c>
      <c r="O8" s="2712">
        <v>233</v>
      </c>
      <c r="P8" s="2712"/>
      <c r="Q8" s="2712">
        <v>2.7</v>
      </c>
      <c r="R8" s="2712"/>
      <c r="S8" s="2712">
        <v>288</v>
      </c>
      <c r="T8" s="2712">
        <v>0.13</v>
      </c>
      <c r="U8" s="2712">
        <v>0.96</v>
      </c>
      <c r="V8" s="2712" t="s">
        <v>1485</v>
      </c>
    </row>
    <row r="9" spans="1:24" ht="23.1" customHeight="1">
      <c r="A9" s="2708">
        <v>7</v>
      </c>
      <c r="B9" s="2709" t="s">
        <v>1488</v>
      </c>
      <c r="C9" s="2709" t="s">
        <v>1489</v>
      </c>
      <c r="D9" s="2708"/>
      <c r="E9" s="2708"/>
      <c r="F9" s="2708">
        <v>17.5</v>
      </c>
      <c r="G9" s="2708"/>
      <c r="H9" s="2710" t="s">
        <v>1483</v>
      </c>
      <c r="I9" s="2708">
        <v>7.1</v>
      </c>
      <c r="J9" s="2708">
        <v>3</v>
      </c>
      <c r="K9" s="2708"/>
      <c r="L9" s="2708">
        <v>2.2599999999999998</v>
      </c>
      <c r="M9" s="2708">
        <v>21</v>
      </c>
      <c r="N9" s="2708">
        <v>17</v>
      </c>
      <c r="O9" s="2708">
        <v>207</v>
      </c>
      <c r="P9" s="2708"/>
      <c r="Q9" s="2708">
        <v>1.8</v>
      </c>
      <c r="R9" s="2708"/>
      <c r="S9" s="2708"/>
      <c r="T9" s="2708">
        <v>0.3</v>
      </c>
      <c r="U9" s="2708"/>
      <c r="V9" s="2708"/>
    </row>
    <row r="10" spans="1:24" ht="23.1" customHeight="1">
      <c r="A10" s="2708">
        <v>8</v>
      </c>
      <c r="B10" s="2711" t="s">
        <v>1490</v>
      </c>
      <c r="C10" s="2711" t="s">
        <v>1491</v>
      </c>
      <c r="D10" s="2712" t="s">
        <v>1482</v>
      </c>
      <c r="E10" s="2712"/>
      <c r="F10" s="2712">
        <v>32</v>
      </c>
      <c r="G10" s="2712"/>
      <c r="H10" s="2712" t="s">
        <v>1483</v>
      </c>
      <c r="I10" s="2712">
        <v>5.8</v>
      </c>
      <c r="J10" s="2712"/>
      <c r="K10" s="2712"/>
      <c r="L10" s="2712">
        <v>2.11</v>
      </c>
      <c r="M10" s="2712">
        <v>55</v>
      </c>
      <c r="N10" s="2712">
        <v>12</v>
      </c>
      <c r="O10" s="2712">
        <v>190</v>
      </c>
      <c r="P10" s="2712"/>
      <c r="Q10" s="2712">
        <v>37</v>
      </c>
      <c r="R10" s="2712" t="s">
        <v>1492</v>
      </c>
      <c r="S10" s="2712">
        <v>198</v>
      </c>
      <c r="T10" s="2712"/>
      <c r="U10" s="2712"/>
      <c r="V10" s="2712" t="s">
        <v>1485</v>
      </c>
    </row>
    <row r="11" spans="1:24" ht="23.1" customHeight="1">
      <c r="A11" s="2708">
        <v>9</v>
      </c>
      <c r="B11" s="2709" t="s">
        <v>1493</v>
      </c>
      <c r="C11" s="2709" t="s">
        <v>1494</v>
      </c>
      <c r="D11" s="2708" t="s">
        <v>1495</v>
      </c>
      <c r="E11" s="2708" t="s">
        <v>1496</v>
      </c>
      <c r="F11" s="2708">
        <v>27</v>
      </c>
      <c r="G11" s="2708" t="s">
        <v>1497</v>
      </c>
      <c r="H11" s="2710" t="s">
        <v>1483</v>
      </c>
      <c r="I11" s="2708">
        <v>12.5</v>
      </c>
      <c r="J11" s="2708">
        <v>5</v>
      </c>
      <c r="K11" s="2708">
        <v>7150</v>
      </c>
      <c r="L11" s="2708">
        <v>0.95</v>
      </c>
      <c r="M11" s="2708">
        <v>11</v>
      </c>
      <c r="N11" s="2708">
        <v>10</v>
      </c>
      <c r="O11" s="2708" t="s">
        <v>1498</v>
      </c>
      <c r="P11" s="2708"/>
      <c r="Q11" s="2708" t="s">
        <v>1499</v>
      </c>
      <c r="R11" s="2708" t="s">
        <v>1500</v>
      </c>
      <c r="S11" s="2708">
        <v>78</v>
      </c>
      <c r="T11" s="2708"/>
      <c r="U11" s="2708"/>
      <c r="V11" s="2708">
        <v>20</v>
      </c>
    </row>
    <row r="12" spans="1:24" ht="23.1" customHeight="1">
      <c r="A12" s="2708">
        <v>10</v>
      </c>
      <c r="B12" s="2711" t="s">
        <v>1501</v>
      </c>
      <c r="C12" s="2711" t="s">
        <v>1502</v>
      </c>
      <c r="D12" s="2712"/>
      <c r="E12" s="2712"/>
      <c r="F12" s="2712">
        <v>20</v>
      </c>
      <c r="G12" s="2712" t="s">
        <v>1503</v>
      </c>
      <c r="H12" s="2712">
        <v>0.2</v>
      </c>
      <c r="I12" s="2712" t="s">
        <v>1504</v>
      </c>
      <c r="J12" s="2712"/>
      <c r="K12" s="2712">
        <v>7800</v>
      </c>
      <c r="L12" s="2712">
        <v>1.05</v>
      </c>
      <c r="M12" s="2712"/>
      <c r="N12" s="2712"/>
      <c r="O12" s="2712">
        <v>3.5</v>
      </c>
      <c r="P12" s="2712"/>
      <c r="Q12" s="2712"/>
      <c r="R12" s="2712"/>
      <c r="S12" s="2712"/>
      <c r="T12" s="2712"/>
      <c r="U12" s="2712"/>
      <c r="V12" s="2712"/>
    </row>
    <row r="13" spans="1:24" ht="23.1" customHeight="1">
      <c r="A13" s="2708">
        <v>11</v>
      </c>
      <c r="B13" s="2709" t="s">
        <v>1505</v>
      </c>
      <c r="C13" s="2709" t="s">
        <v>1506</v>
      </c>
      <c r="D13" s="2708" t="s">
        <v>1482</v>
      </c>
      <c r="E13" s="2708"/>
      <c r="F13" s="2708">
        <v>45.7</v>
      </c>
      <c r="G13" s="2708" t="s">
        <v>1507</v>
      </c>
      <c r="H13" s="2710" t="s">
        <v>1508</v>
      </c>
      <c r="I13" s="2708">
        <v>5</v>
      </c>
      <c r="J13" s="2708">
        <v>4</v>
      </c>
      <c r="K13" s="2708"/>
      <c r="L13" s="2708">
        <v>1.5</v>
      </c>
      <c r="M13" s="2708">
        <v>100</v>
      </c>
      <c r="N13" s="2708">
        <v>20.5</v>
      </c>
      <c r="O13" s="2708"/>
      <c r="P13" s="2708"/>
      <c r="Q13" s="2708" t="s">
        <v>1509</v>
      </c>
      <c r="R13" s="2708" t="s">
        <v>1510</v>
      </c>
      <c r="S13" s="2708"/>
      <c r="T13" s="2708"/>
      <c r="U13" s="2708"/>
      <c r="V13" s="2708"/>
    </row>
    <row r="14" spans="1:24" ht="23.1" customHeight="1">
      <c r="A14" s="2708">
        <v>12</v>
      </c>
      <c r="B14" s="2711" t="s">
        <v>1511</v>
      </c>
      <c r="C14" s="2711" t="s">
        <v>1512</v>
      </c>
      <c r="D14" s="2712"/>
      <c r="E14" s="2712"/>
      <c r="F14" s="2712"/>
      <c r="G14" s="2712">
        <v>6.0000000000000001E-3</v>
      </c>
      <c r="H14" s="2712"/>
      <c r="I14" s="2712"/>
      <c r="J14" s="2712"/>
      <c r="K14" s="2712"/>
      <c r="L14" s="2712"/>
      <c r="M14" s="2712"/>
      <c r="N14" s="2712"/>
      <c r="O14" s="2712"/>
      <c r="P14" s="2712"/>
      <c r="Q14" s="2712"/>
      <c r="R14" s="2712"/>
      <c r="S14" s="2712">
        <v>315</v>
      </c>
      <c r="T14" s="2712"/>
      <c r="U14" s="2712"/>
      <c r="V14" s="2712"/>
    </row>
    <row r="15" spans="1:24" ht="23.1" customHeight="1">
      <c r="A15" s="2708">
        <v>13</v>
      </c>
      <c r="B15" s="2709" t="s">
        <v>1513</v>
      </c>
      <c r="C15" s="2709" t="s">
        <v>1514</v>
      </c>
      <c r="D15" s="2708" t="s">
        <v>1495</v>
      </c>
      <c r="E15" s="2708"/>
      <c r="F15" s="2708" t="s">
        <v>1515</v>
      </c>
      <c r="G15" s="2708" t="s">
        <v>1516</v>
      </c>
      <c r="H15" s="2710" t="s">
        <v>1483</v>
      </c>
      <c r="I15" s="2708">
        <v>22</v>
      </c>
      <c r="J15" s="2708">
        <v>6</v>
      </c>
      <c r="K15" s="2708">
        <v>7200</v>
      </c>
      <c r="L15" s="2708">
        <v>0.92</v>
      </c>
      <c r="M15" s="2708">
        <v>34</v>
      </c>
      <c r="N15" s="2708">
        <v>28</v>
      </c>
      <c r="O15" s="2708" t="s">
        <v>1517</v>
      </c>
      <c r="P15" s="2708"/>
      <c r="Q15" s="2708" t="s">
        <v>1518</v>
      </c>
      <c r="R15" s="2708" t="s">
        <v>1519</v>
      </c>
      <c r="S15" s="2708">
        <v>50</v>
      </c>
      <c r="T15" s="2708"/>
      <c r="U15" s="2708"/>
      <c r="V15" s="2708">
        <v>20</v>
      </c>
    </row>
    <row r="16" spans="1:24" ht="23.1" customHeight="1">
      <c r="A16" s="2708">
        <v>14</v>
      </c>
      <c r="B16" s="2711" t="s">
        <v>1520</v>
      </c>
      <c r="C16" s="2711" t="s">
        <v>1521</v>
      </c>
      <c r="D16" s="2712"/>
      <c r="E16" s="2712"/>
      <c r="F16" s="2712"/>
      <c r="G16" s="2712"/>
      <c r="H16" s="2712"/>
      <c r="I16" s="2712"/>
      <c r="J16" s="2712"/>
      <c r="K16" s="2712"/>
      <c r="L16" s="2712"/>
      <c r="M16" s="2712"/>
      <c r="N16" s="2712"/>
      <c r="O16" s="2712"/>
      <c r="P16" s="2712"/>
      <c r="Q16" s="2712"/>
      <c r="R16" s="2712"/>
      <c r="S16" s="2712"/>
      <c r="T16" s="2712"/>
      <c r="U16" s="2712"/>
      <c r="V16" s="2712"/>
    </row>
    <row r="17" spans="1:24" ht="23.1" customHeight="1">
      <c r="A17" s="2708">
        <v>15</v>
      </c>
      <c r="B17" s="2709" t="s">
        <v>1522</v>
      </c>
      <c r="C17" s="2709" t="s">
        <v>1523</v>
      </c>
      <c r="D17" s="2708" t="s">
        <v>1495</v>
      </c>
      <c r="E17" s="2708"/>
      <c r="F17" s="2708">
        <v>74</v>
      </c>
      <c r="G17" s="2708" t="s">
        <v>1524</v>
      </c>
      <c r="H17" s="2710">
        <v>3</v>
      </c>
      <c r="I17" s="2708">
        <v>8.3000000000000007</v>
      </c>
      <c r="J17" s="2708">
        <v>4</v>
      </c>
      <c r="K17" s="2708">
        <v>15000</v>
      </c>
      <c r="L17" s="2708">
        <v>1.1399999999999999</v>
      </c>
      <c r="M17" s="2708">
        <v>120</v>
      </c>
      <c r="N17" s="2708"/>
      <c r="O17" s="2708">
        <v>70</v>
      </c>
      <c r="P17" s="2708">
        <v>33</v>
      </c>
      <c r="Q17" s="2708">
        <v>8.3000000000000007</v>
      </c>
      <c r="R17" s="2708" t="s">
        <v>1525</v>
      </c>
      <c r="S17" s="2708">
        <v>58</v>
      </c>
      <c r="T17" s="2708">
        <v>0.6</v>
      </c>
      <c r="U17" s="2708"/>
      <c r="V17" s="2708"/>
    </row>
    <row r="18" spans="1:24" ht="23.1" customHeight="1">
      <c r="A18" s="2708">
        <v>16</v>
      </c>
      <c r="B18" s="2711" t="s">
        <v>1526</v>
      </c>
      <c r="C18" s="2711" t="s">
        <v>1527</v>
      </c>
      <c r="D18" s="2712"/>
      <c r="E18" s="2712"/>
      <c r="F18" s="2712">
        <v>110</v>
      </c>
      <c r="G18" s="2712" t="s">
        <v>1528</v>
      </c>
      <c r="H18" s="2712">
        <v>1.1000000000000001</v>
      </c>
      <c r="I18" s="2712">
        <v>2.2000000000000002</v>
      </c>
      <c r="J18" s="2712">
        <v>3</v>
      </c>
      <c r="K18" s="2712"/>
      <c r="L18" s="2712">
        <v>1.37</v>
      </c>
      <c r="M18" s="2712">
        <v>210</v>
      </c>
      <c r="N18" s="2712"/>
      <c r="O18" s="2712">
        <v>3</v>
      </c>
      <c r="P18" s="2712">
        <v>76</v>
      </c>
      <c r="Q18" s="2712"/>
      <c r="R18" s="2712"/>
      <c r="S18" s="2712">
        <v>190</v>
      </c>
      <c r="T18" s="2712"/>
      <c r="U18" s="2712"/>
      <c r="V18" s="2712"/>
    </row>
    <row r="19" spans="1:24" ht="23.1" customHeight="1">
      <c r="A19" s="2708">
        <v>17</v>
      </c>
      <c r="B19" s="2709" t="s">
        <v>1529</v>
      </c>
      <c r="C19" s="2709" t="s">
        <v>1530</v>
      </c>
      <c r="D19" s="2708" t="s">
        <v>1495</v>
      </c>
      <c r="E19" s="2708"/>
      <c r="F19" s="2708">
        <v>80</v>
      </c>
      <c r="G19" s="2708" t="s">
        <v>1531</v>
      </c>
      <c r="H19" s="2710" t="s">
        <v>1532</v>
      </c>
      <c r="I19" s="2708">
        <v>7</v>
      </c>
      <c r="J19" s="2708">
        <v>4</v>
      </c>
      <c r="K19" s="2708">
        <v>16000</v>
      </c>
      <c r="L19" s="2708">
        <v>1.1499999999999999</v>
      </c>
      <c r="M19" s="2708">
        <v>130</v>
      </c>
      <c r="N19" s="2708"/>
      <c r="O19" s="2708">
        <v>60</v>
      </c>
      <c r="P19" s="2708">
        <v>39</v>
      </c>
      <c r="Q19" s="2708">
        <v>9.5</v>
      </c>
      <c r="R19" s="2708" t="s">
        <v>1533</v>
      </c>
      <c r="S19" s="2708">
        <v>60</v>
      </c>
      <c r="T19" s="2708">
        <v>0.5</v>
      </c>
      <c r="U19" s="2708"/>
      <c r="V19" s="2708"/>
    </row>
    <row r="20" spans="1:24" ht="23.1" customHeight="1">
      <c r="A20" s="2708">
        <v>18</v>
      </c>
      <c r="B20" s="2711" t="s">
        <v>1534</v>
      </c>
      <c r="C20" s="2711" t="s">
        <v>1535</v>
      </c>
      <c r="D20" s="2712"/>
      <c r="E20" s="2712"/>
      <c r="F20" s="2712">
        <v>189</v>
      </c>
      <c r="G20" s="2712" t="s">
        <v>1536</v>
      </c>
      <c r="H20" s="2712" t="s">
        <v>1537</v>
      </c>
      <c r="I20" s="2712"/>
      <c r="J20" s="2712">
        <v>3</v>
      </c>
      <c r="K20" s="2712"/>
      <c r="L20" s="2712">
        <v>1.38</v>
      </c>
      <c r="M20" s="2712">
        <v>262</v>
      </c>
      <c r="N20" s="2712"/>
      <c r="O20" s="2712">
        <v>3</v>
      </c>
      <c r="P20" s="2712">
        <v>102</v>
      </c>
      <c r="Q20" s="2712"/>
      <c r="R20" s="2712"/>
      <c r="S20" s="2712">
        <v>248</v>
      </c>
      <c r="T20" s="2712"/>
      <c r="U20" s="2712"/>
      <c r="V20" s="2712"/>
    </row>
    <row r="21" spans="1:24" ht="23.1" customHeight="1">
      <c r="A21" s="2708">
        <v>19</v>
      </c>
      <c r="B21" s="2709" t="s">
        <v>1538</v>
      </c>
      <c r="C21" s="2709" t="s">
        <v>1539</v>
      </c>
      <c r="D21" s="2708"/>
      <c r="E21" s="2708"/>
      <c r="F21" s="2708">
        <v>91</v>
      </c>
      <c r="G21" s="2708">
        <v>0.8</v>
      </c>
      <c r="H21" s="2710">
        <v>1.8</v>
      </c>
      <c r="I21" s="2708">
        <v>3.6</v>
      </c>
      <c r="J21" s="2708"/>
      <c r="K21" s="2708"/>
      <c r="L21" s="2708">
        <v>1.37</v>
      </c>
      <c r="M21" s="2708">
        <v>121</v>
      </c>
      <c r="N21" s="2708">
        <v>126</v>
      </c>
      <c r="O21" s="2708">
        <v>13</v>
      </c>
      <c r="P21" s="2708">
        <v>243</v>
      </c>
      <c r="Q21" s="2708">
        <v>8.6999999999999993</v>
      </c>
      <c r="R21" s="2708" t="s">
        <v>1540</v>
      </c>
      <c r="S21" s="2708">
        <v>274</v>
      </c>
      <c r="T21" s="2708"/>
      <c r="U21" s="2708"/>
      <c r="V21" s="2708"/>
    </row>
    <row r="22" spans="1:24" ht="23.1" customHeight="1">
      <c r="A22" s="2708">
        <v>20</v>
      </c>
      <c r="B22" s="2711" t="s">
        <v>1541</v>
      </c>
      <c r="C22" s="2711" t="s">
        <v>1542</v>
      </c>
      <c r="D22" s="2712"/>
      <c r="E22" s="2712"/>
      <c r="F22" s="2712">
        <v>55</v>
      </c>
      <c r="G22" s="2712">
        <v>0.44</v>
      </c>
      <c r="H22" s="2712">
        <v>0.09</v>
      </c>
      <c r="I22" s="2712">
        <v>9.1999999999999993</v>
      </c>
      <c r="J22" s="2712"/>
      <c r="K22" s="2712">
        <v>16000</v>
      </c>
      <c r="L22" s="2712">
        <v>1.31</v>
      </c>
      <c r="M22" s="2712">
        <v>85</v>
      </c>
      <c r="N22" s="2712"/>
      <c r="O22" s="2712" t="s">
        <v>1543</v>
      </c>
      <c r="P22" s="2712"/>
      <c r="Q22" s="2712">
        <v>4.3</v>
      </c>
      <c r="R22" s="2712" t="s">
        <v>1544</v>
      </c>
      <c r="S22" s="2712">
        <v>66</v>
      </c>
      <c r="T22" s="2712"/>
      <c r="U22" s="2712"/>
      <c r="V22" s="2712"/>
    </row>
    <row r="23" spans="1:24" ht="23.1" customHeight="1">
      <c r="A23" s="2708">
        <v>21</v>
      </c>
      <c r="B23" s="2709" t="s">
        <v>1545</v>
      </c>
      <c r="C23" s="2709" t="s">
        <v>1546</v>
      </c>
      <c r="D23" s="2708"/>
      <c r="E23" s="2708"/>
      <c r="F23" s="2708">
        <v>137</v>
      </c>
      <c r="G23" s="2708">
        <v>0.2</v>
      </c>
      <c r="H23" s="2710">
        <v>7.0000000000000007E-2</v>
      </c>
      <c r="I23" s="2708">
        <v>2.7</v>
      </c>
      <c r="J23" s="2708">
        <v>3</v>
      </c>
      <c r="K23" s="2708"/>
      <c r="L23" s="2708">
        <v>1.53</v>
      </c>
      <c r="M23" s="2708">
        <v>196</v>
      </c>
      <c r="N23" s="2708"/>
      <c r="O23" s="2708">
        <v>4</v>
      </c>
      <c r="P23" s="2708"/>
      <c r="Q23" s="2708">
        <v>7.8</v>
      </c>
      <c r="R23" s="2708" t="s">
        <v>1547</v>
      </c>
      <c r="S23" s="2708">
        <v>220</v>
      </c>
      <c r="T23" s="2708"/>
      <c r="U23" s="2708"/>
      <c r="V23" s="2708"/>
    </row>
    <row r="24" spans="1:24" ht="23.1" customHeight="1" thickBot="1">
      <c r="A24" s="2708">
        <v>22</v>
      </c>
      <c r="B24" s="2711" t="s">
        <v>1548</v>
      </c>
      <c r="C24" s="2711" t="s">
        <v>1549</v>
      </c>
      <c r="D24" s="2712"/>
      <c r="E24" s="2712"/>
      <c r="F24" s="2712">
        <v>61</v>
      </c>
      <c r="G24" s="2712">
        <v>0.5</v>
      </c>
      <c r="H24" s="2712">
        <v>0.15</v>
      </c>
      <c r="I24" s="2712">
        <v>7.2</v>
      </c>
      <c r="J24" s="2712">
        <v>3</v>
      </c>
      <c r="K24" s="2712">
        <v>19000</v>
      </c>
      <c r="L24" s="2712">
        <v>1.2</v>
      </c>
      <c r="M24" s="2712">
        <v>82</v>
      </c>
      <c r="N24" s="2712">
        <v>78</v>
      </c>
      <c r="O24" s="2712">
        <v>90</v>
      </c>
      <c r="P24" s="2712"/>
      <c r="Q24" s="2712">
        <v>20</v>
      </c>
      <c r="R24" s="2712" t="s">
        <v>1550</v>
      </c>
      <c r="S24" s="2712">
        <v>133</v>
      </c>
      <c r="T24" s="2712">
        <v>0.37</v>
      </c>
      <c r="U24" s="2712">
        <v>0.93</v>
      </c>
      <c r="V24" s="2712"/>
    </row>
    <row r="25" spans="1:24" ht="23.1" customHeight="1">
      <c r="A25" s="2708">
        <v>23</v>
      </c>
      <c r="B25" s="2709" t="s">
        <v>1551</v>
      </c>
      <c r="C25" s="2709" t="s">
        <v>1552</v>
      </c>
      <c r="D25" s="2708" t="s">
        <v>1482</v>
      </c>
      <c r="E25" s="2708"/>
      <c r="F25" s="2708">
        <v>132</v>
      </c>
      <c r="G25" s="2708">
        <v>0.2</v>
      </c>
      <c r="H25" s="2710">
        <v>0.1</v>
      </c>
      <c r="I25" s="2708">
        <v>2.7</v>
      </c>
      <c r="J25" s="2708">
        <v>3</v>
      </c>
      <c r="K25" s="2708"/>
      <c r="L25" s="2708">
        <v>1.45</v>
      </c>
      <c r="M25" s="2708">
        <v>170</v>
      </c>
      <c r="N25" s="2708">
        <v>125</v>
      </c>
      <c r="O25" s="2708" t="s">
        <v>1553</v>
      </c>
      <c r="P25" s="2708"/>
      <c r="Q25" s="2708">
        <v>8</v>
      </c>
      <c r="R25" s="2708" t="s">
        <v>1554</v>
      </c>
      <c r="S25" s="2708">
        <v>146</v>
      </c>
      <c r="T25" s="2708"/>
      <c r="U25" s="2708"/>
      <c r="V25" s="2708"/>
      <c r="X25" s="3198" t="s">
        <v>12704</v>
      </c>
    </row>
    <row r="26" spans="1:24" ht="23.1" customHeight="1">
      <c r="A26" s="2708">
        <v>24</v>
      </c>
      <c r="B26" s="2711" t="s">
        <v>1555</v>
      </c>
      <c r="C26" s="2711" t="s">
        <v>1556</v>
      </c>
      <c r="D26" s="2712"/>
      <c r="E26" s="2712"/>
      <c r="F26" s="2712">
        <v>103</v>
      </c>
      <c r="G26" s="2712"/>
      <c r="H26" s="2712"/>
      <c r="I26" s="2712">
        <v>10</v>
      </c>
      <c r="J26" s="2712"/>
      <c r="K26" s="2712"/>
      <c r="L26" s="2712">
        <v>1.3</v>
      </c>
      <c r="M26" s="2712"/>
      <c r="N26" s="2712"/>
      <c r="O26" s="2712">
        <v>11</v>
      </c>
      <c r="P26" s="2712"/>
      <c r="Q26" s="2712">
        <v>1387</v>
      </c>
      <c r="R26" s="2712"/>
      <c r="S26" s="2712">
        <v>145</v>
      </c>
      <c r="T26" s="2712"/>
      <c r="U26" s="2712"/>
      <c r="V26" s="2712">
        <v>35</v>
      </c>
      <c r="X26" s="3199"/>
    </row>
    <row r="27" spans="1:24" ht="23.1" customHeight="1" thickBot="1">
      <c r="A27" s="2708">
        <v>25</v>
      </c>
      <c r="B27" s="2709" t="s">
        <v>1557</v>
      </c>
      <c r="C27" s="2709" t="s">
        <v>1558</v>
      </c>
      <c r="D27" s="2708"/>
      <c r="E27" s="2708"/>
      <c r="F27" s="2708"/>
      <c r="G27" s="2708"/>
      <c r="H27" s="2710"/>
      <c r="I27" s="2708">
        <v>8.4</v>
      </c>
      <c r="J27" s="2708"/>
      <c r="K27" s="2708"/>
      <c r="L27" s="2708"/>
      <c r="M27" s="2708"/>
      <c r="N27" s="2708"/>
      <c r="O27" s="2708"/>
      <c r="P27" s="2708"/>
      <c r="Q27" s="2708"/>
      <c r="R27" s="2708"/>
      <c r="S27" s="2708">
        <v>185</v>
      </c>
      <c r="T27" s="2708"/>
      <c r="U27" s="2708"/>
      <c r="V27" s="2708"/>
      <c r="X27" s="3200"/>
    </row>
    <row r="28" spans="1:24" ht="23.1" customHeight="1">
      <c r="A28" s="2708">
        <v>26</v>
      </c>
      <c r="B28" s="2711" t="s">
        <v>1559</v>
      </c>
      <c r="C28" s="2711" t="s">
        <v>1560</v>
      </c>
      <c r="D28" s="2712"/>
      <c r="E28" s="2712"/>
      <c r="F28" s="2712">
        <v>102</v>
      </c>
      <c r="G28" s="2712"/>
      <c r="H28" s="2712"/>
      <c r="I28" s="2712"/>
      <c r="J28" s="2712"/>
      <c r="K28" s="2712"/>
      <c r="L28" s="2712">
        <v>1.3</v>
      </c>
      <c r="M28" s="2712"/>
      <c r="N28" s="2712"/>
      <c r="O28" s="2712">
        <v>4</v>
      </c>
      <c r="P28" s="2712"/>
      <c r="Q28" s="2712"/>
      <c r="R28" s="2712"/>
      <c r="S28" s="2712"/>
      <c r="T28" s="2712"/>
      <c r="U28" s="2712"/>
      <c r="V28" s="2712">
        <v>40</v>
      </c>
    </row>
    <row r="29" spans="1:24" ht="23.1" customHeight="1">
      <c r="A29" s="2708">
        <v>27</v>
      </c>
      <c r="B29" s="2709" t="s">
        <v>1561</v>
      </c>
      <c r="C29" s="2709" t="s">
        <v>1562</v>
      </c>
      <c r="D29" s="2708"/>
      <c r="E29" s="2708"/>
      <c r="F29" s="2708">
        <v>85</v>
      </c>
      <c r="G29" s="2708">
        <v>0.6</v>
      </c>
      <c r="H29" s="2710">
        <v>0.25</v>
      </c>
      <c r="I29" s="2708">
        <v>5.5</v>
      </c>
      <c r="J29" s="2708"/>
      <c r="K29" s="2708"/>
      <c r="L29" s="2708">
        <v>1.1399999999999999</v>
      </c>
      <c r="M29" s="2708">
        <v>89</v>
      </c>
      <c r="N29" s="2708">
        <v>110</v>
      </c>
      <c r="O29" s="2708">
        <v>80</v>
      </c>
      <c r="P29" s="2708">
        <v>296</v>
      </c>
      <c r="Q29" s="2708">
        <v>12.1</v>
      </c>
      <c r="R29" s="2708" t="s">
        <v>1563</v>
      </c>
      <c r="S29" s="2708">
        <v>210</v>
      </c>
      <c r="T29" s="2708"/>
      <c r="U29" s="2708">
        <v>0.88</v>
      </c>
      <c r="V29" s="2708"/>
    </row>
    <row r="30" spans="1:24" ht="23.1" customHeight="1">
      <c r="A30" s="2708">
        <v>28</v>
      </c>
      <c r="B30" s="2711" t="s">
        <v>1564</v>
      </c>
      <c r="C30" s="2711" t="s">
        <v>1565</v>
      </c>
      <c r="D30" s="2712"/>
      <c r="E30" s="2712"/>
      <c r="F30" s="2712">
        <v>78</v>
      </c>
      <c r="G30" s="2712">
        <v>1.8</v>
      </c>
      <c r="H30" s="2712">
        <v>0.26</v>
      </c>
      <c r="I30" s="2712">
        <v>10</v>
      </c>
      <c r="J30" s="2712"/>
      <c r="K30" s="2712"/>
      <c r="L30" s="2712">
        <v>1.38</v>
      </c>
      <c r="M30" s="2712">
        <v>115</v>
      </c>
      <c r="N30" s="2712"/>
      <c r="O30" s="2712">
        <v>50</v>
      </c>
      <c r="P30" s="2712"/>
      <c r="Q30" s="2712">
        <v>4</v>
      </c>
      <c r="R30" s="2712"/>
      <c r="S30" s="2712">
        <v>70</v>
      </c>
      <c r="T30" s="2712"/>
      <c r="U30" s="2712">
        <v>0.9</v>
      </c>
      <c r="V30" s="2712"/>
    </row>
    <row r="31" spans="1:24" ht="23.1" customHeight="1">
      <c r="A31" s="2708">
        <v>29</v>
      </c>
      <c r="B31" s="2709" t="s">
        <v>1566</v>
      </c>
      <c r="C31" s="2709" t="s">
        <v>1567</v>
      </c>
      <c r="D31" s="2708"/>
      <c r="E31" s="2708"/>
      <c r="F31" s="2708">
        <v>124</v>
      </c>
      <c r="G31" s="2708" t="s">
        <v>1568</v>
      </c>
      <c r="H31" s="2710">
        <v>0.05</v>
      </c>
      <c r="I31" s="2708">
        <v>2.9</v>
      </c>
      <c r="J31" s="2708">
        <v>3</v>
      </c>
      <c r="K31" s="2708"/>
      <c r="L31" s="2708">
        <v>1.6</v>
      </c>
      <c r="M31" s="2708">
        <v>196</v>
      </c>
      <c r="N31" s="2708"/>
      <c r="O31" s="2708">
        <v>3</v>
      </c>
      <c r="P31" s="2708"/>
      <c r="Q31" s="2708">
        <v>80</v>
      </c>
      <c r="R31" s="2708" t="s">
        <v>1569</v>
      </c>
      <c r="S31" s="2708">
        <v>215</v>
      </c>
      <c r="T31" s="2708"/>
      <c r="U31" s="2708"/>
      <c r="V31" s="2708"/>
    </row>
    <row r="32" spans="1:24" ht="23.1" customHeight="1">
      <c r="A32" s="2708">
        <v>30</v>
      </c>
      <c r="B32" s="2711" t="s">
        <v>1570</v>
      </c>
      <c r="C32" s="2711" t="s">
        <v>1571</v>
      </c>
      <c r="D32" s="2712"/>
      <c r="E32" s="2712"/>
      <c r="F32" s="2712"/>
      <c r="G32" s="2712"/>
      <c r="H32" s="2712"/>
      <c r="I32" s="2712"/>
      <c r="J32" s="2712">
        <v>3</v>
      </c>
      <c r="K32" s="2712"/>
      <c r="L32" s="2712"/>
      <c r="M32" s="2712"/>
      <c r="N32" s="2712"/>
      <c r="O32" s="2712"/>
      <c r="P32" s="2712"/>
      <c r="Q32" s="2712"/>
      <c r="R32" s="2712"/>
      <c r="S32" s="2712"/>
      <c r="T32" s="2712"/>
      <c r="U32" s="2712">
        <v>0.85</v>
      </c>
      <c r="V32" s="2712"/>
    </row>
    <row r="33" spans="1:22" ht="23.1" customHeight="1">
      <c r="A33" s="2708">
        <v>31</v>
      </c>
      <c r="B33" s="2709" t="s">
        <v>1572</v>
      </c>
      <c r="C33" s="2709" t="s">
        <v>1573</v>
      </c>
      <c r="D33" s="2708"/>
      <c r="E33" s="2708"/>
      <c r="F33" s="2708">
        <v>100</v>
      </c>
      <c r="G33" s="2708">
        <v>0.75</v>
      </c>
      <c r="H33" s="2710">
        <v>0.3</v>
      </c>
      <c r="I33" s="2708">
        <v>3</v>
      </c>
      <c r="J33" s="2708"/>
      <c r="K33" s="2708"/>
      <c r="L33" s="2708">
        <v>1.38</v>
      </c>
      <c r="M33" s="2708">
        <v>205</v>
      </c>
      <c r="N33" s="2708">
        <v>166</v>
      </c>
      <c r="O33" s="2708"/>
      <c r="P33" s="2708">
        <v>53</v>
      </c>
      <c r="Q33" s="2708">
        <v>4</v>
      </c>
      <c r="R33" s="2708"/>
      <c r="S33" s="2708">
        <v>360</v>
      </c>
      <c r="T33" s="2708">
        <v>0.36</v>
      </c>
      <c r="U33" s="2708"/>
      <c r="V33" s="2708"/>
    </row>
    <row r="34" spans="1:22" ht="23.1" customHeight="1">
      <c r="A34" s="2708">
        <v>32</v>
      </c>
      <c r="B34" s="2711" t="s">
        <v>1574</v>
      </c>
      <c r="C34" s="2711" t="s">
        <v>1575</v>
      </c>
      <c r="D34" s="2712" t="s">
        <v>1466</v>
      </c>
      <c r="E34" s="2712"/>
      <c r="F34" s="2712" t="s">
        <v>1576</v>
      </c>
      <c r="G34" s="2712" t="s">
        <v>1536</v>
      </c>
      <c r="H34" s="2712">
        <v>0.34</v>
      </c>
      <c r="I34" s="2712">
        <v>7</v>
      </c>
      <c r="J34" s="2712">
        <v>3</v>
      </c>
      <c r="K34" s="2712"/>
      <c r="L34" s="2712">
        <v>1.19</v>
      </c>
      <c r="M34" s="2712">
        <v>110</v>
      </c>
      <c r="N34" s="2712">
        <v>130</v>
      </c>
      <c r="O34" s="2712" t="s">
        <v>1577</v>
      </c>
      <c r="P34" s="2712"/>
      <c r="Q34" s="2712">
        <v>21</v>
      </c>
      <c r="R34" s="2712" t="s">
        <v>1533</v>
      </c>
      <c r="S34" s="2712">
        <v>100</v>
      </c>
      <c r="T34" s="2712"/>
      <c r="U34" s="2712">
        <v>0.93</v>
      </c>
      <c r="V34" s="2712">
        <v>17.3</v>
      </c>
    </row>
    <row r="35" spans="1:22" ht="23.1" customHeight="1">
      <c r="A35" s="2708">
        <v>33</v>
      </c>
      <c r="B35" s="2709" t="s">
        <v>1578</v>
      </c>
      <c r="C35" s="2709" t="s">
        <v>1579</v>
      </c>
      <c r="D35" s="2708" t="s">
        <v>1466</v>
      </c>
      <c r="E35" s="2708"/>
      <c r="F35" s="2708">
        <v>62</v>
      </c>
      <c r="G35" s="2708" t="s">
        <v>1580</v>
      </c>
      <c r="H35" s="2710">
        <v>0.21</v>
      </c>
      <c r="I35" s="2708">
        <v>8.5</v>
      </c>
      <c r="J35" s="2708"/>
      <c r="K35" s="2708">
        <v>14000</v>
      </c>
      <c r="L35" s="2708">
        <v>1.41</v>
      </c>
      <c r="M35" s="2708">
        <v>98</v>
      </c>
      <c r="N35" s="2708">
        <v>110</v>
      </c>
      <c r="O35" s="2708"/>
      <c r="P35" s="2708"/>
      <c r="Q35" s="2708">
        <v>65</v>
      </c>
      <c r="R35" s="2708" t="s">
        <v>1550</v>
      </c>
      <c r="S35" s="2708">
        <v>110</v>
      </c>
      <c r="T35" s="2708">
        <v>0.31</v>
      </c>
      <c r="U35" s="2708"/>
      <c r="V35" s="2708"/>
    </row>
    <row r="36" spans="1:22" ht="23.1" customHeight="1">
      <c r="A36" s="2708">
        <v>34</v>
      </c>
      <c r="B36" s="2711" t="s">
        <v>1581</v>
      </c>
      <c r="C36" s="2711" t="s">
        <v>1582</v>
      </c>
      <c r="D36" s="2712"/>
      <c r="E36" s="2712"/>
      <c r="F36" s="2712">
        <v>130</v>
      </c>
      <c r="G36" s="2712"/>
      <c r="H36" s="2712"/>
      <c r="I36" s="2712">
        <v>2.6</v>
      </c>
      <c r="J36" s="2712">
        <v>3</v>
      </c>
      <c r="K36" s="2712"/>
      <c r="L36" s="2712">
        <v>1.61</v>
      </c>
      <c r="M36" s="2712">
        <v>182</v>
      </c>
      <c r="N36" s="2712"/>
      <c r="O36" s="2712"/>
      <c r="P36" s="2712"/>
      <c r="Q36" s="2712">
        <v>86</v>
      </c>
      <c r="R36" s="2712"/>
      <c r="S36" s="2712">
        <v>163</v>
      </c>
      <c r="T36" s="2712"/>
      <c r="U36" s="2712"/>
      <c r="V36" s="2712"/>
    </row>
    <row r="37" spans="1:22" ht="23.1" customHeight="1">
      <c r="A37" s="2708">
        <v>35</v>
      </c>
      <c r="B37" s="2709" t="s">
        <v>1583</v>
      </c>
      <c r="C37" s="2709" t="s">
        <v>1584</v>
      </c>
      <c r="D37" s="2708" t="s">
        <v>1466</v>
      </c>
      <c r="E37" s="2708"/>
      <c r="F37" s="2708">
        <v>70</v>
      </c>
      <c r="G37" s="2708" t="s">
        <v>1585</v>
      </c>
      <c r="H37" s="2710">
        <v>0.25</v>
      </c>
      <c r="I37" s="2708">
        <v>7.5</v>
      </c>
      <c r="J37" s="2708">
        <v>5</v>
      </c>
      <c r="K37" s="2708"/>
      <c r="L37" s="2708">
        <v>1.43</v>
      </c>
      <c r="M37" s="2708">
        <v>90</v>
      </c>
      <c r="N37" s="2708">
        <v>127</v>
      </c>
      <c r="O37" s="2708"/>
      <c r="P37" s="2708"/>
      <c r="Q37" s="2708">
        <v>76</v>
      </c>
      <c r="R37" s="2708" t="s">
        <v>1586</v>
      </c>
      <c r="S37" s="2708">
        <v>124</v>
      </c>
      <c r="T37" s="2708"/>
      <c r="U37" s="2708"/>
      <c r="V37" s="2708"/>
    </row>
    <row r="38" spans="1:22" ht="23.1" customHeight="1">
      <c r="A38" s="2708">
        <v>36</v>
      </c>
      <c r="B38" s="2711" t="s">
        <v>1587</v>
      </c>
      <c r="C38" s="2711" t="s">
        <v>1588</v>
      </c>
      <c r="D38" s="2712" t="s">
        <v>1495</v>
      </c>
      <c r="E38" s="2712"/>
      <c r="F38" s="2712">
        <v>29</v>
      </c>
      <c r="G38" s="2712" t="s">
        <v>1589</v>
      </c>
      <c r="H38" s="2712">
        <v>0.01</v>
      </c>
      <c r="I38" s="2712">
        <v>8</v>
      </c>
      <c r="J38" s="2712">
        <v>5</v>
      </c>
      <c r="K38" s="2712">
        <v>7300</v>
      </c>
      <c r="L38" s="2712">
        <v>0.9</v>
      </c>
      <c r="M38" s="2712">
        <v>50</v>
      </c>
      <c r="N38" s="2712">
        <v>45</v>
      </c>
      <c r="O38" s="2712" t="s">
        <v>1590</v>
      </c>
      <c r="P38" s="2712"/>
      <c r="Q38" s="2712">
        <v>0.5</v>
      </c>
      <c r="R38" s="2712" t="s">
        <v>1591</v>
      </c>
      <c r="S38" s="2712">
        <v>102</v>
      </c>
      <c r="T38" s="2712">
        <v>0.51</v>
      </c>
      <c r="U38" s="2712"/>
      <c r="V38" s="2712">
        <v>18</v>
      </c>
    </row>
    <row r="39" spans="1:22" ht="23.1" customHeight="1">
      <c r="A39" s="2708">
        <v>37</v>
      </c>
      <c r="B39" s="2709" t="s">
        <v>1592</v>
      </c>
      <c r="C39" s="2709" t="s">
        <v>1593</v>
      </c>
      <c r="D39" s="2708"/>
      <c r="E39" s="2708"/>
      <c r="F39" s="2708"/>
      <c r="G39" s="2708" t="s">
        <v>1594</v>
      </c>
      <c r="H39" s="2710">
        <v>0.05</v>
      </c>
      <c r="I39" s="2708">
        <v>4</v>
      </c>
      <c r="J39" s="2708"/>
      <c r="K39" s="2708"/>
      <c r="L39" s="2708"/>
      <c r="M39" s="2708"/>
      <c r="N39" s="2708"/>
      <c r="O39" s="2708"/>
      <c r="P39" s="2708"/>
      <c r="Q39" s="2708"/>
      <c r="R39" s="2708"/>
      <c r="S39" s="2708"/>
      <c r="T39" s="2708"/>
      <c r="U39" s="2708"/>
      <c r="V39" s="2708"/>
    </row>
    <row r="40" spans="1:22" ht="23.1" customHeight="1">
      <c r="A40" s="2708">
        <v>38</v>
      </c>
      <c r="B40" s="2711" t="s">
        <v>1595</v>
      </c>
      <c r="C40" s="2711" t="s">
        <v>1596</v>
      </c>
      <c r="D40" s="2712" t="s">
        <v>1482</v>
      </c>
      <c r="E40" s="2712"/>
      <c r="F40" s="2712">
        <v>76</v>
      </c>
      <c r="G40" s="2712">
        <v>0.7</v>
      </c>
      <c r="H40" s="2712">
        <v>0.03</v>
      </c>
      <c r="I40" s="2712">
        <v>4</v>
      </c>
      <c r="J40" s="2712">
        <v>3</v>
      </c>
      <c r="K40" s="2712">
        <v>32000</v>
      </c>
      <c r="L40" s="2712">
        <v>1.06</v>
      </c>
      <c r="M40" s="2712">
        <v>114</v>
      </c>
      <c r="N40" s="2712"/>
      <c r="O40" s="2712">
        <v>60</v>
      </c>
      <c r="P40" s="2712">
        <v>127</v>
      </c>
      <c r="Q40" s="2712"/>
      <c r="R40" s="2712" t="s">
        <v>1597</v>
      </c>
      <c r="S40" s="2712">
        <v>173</v>
      </c>
      <c r="T40" s="2712"/>
      <c r="U40" s="2712">
        <v>0.39</v>
      </c>
      <c r="V40" s="2712"/>
    </row>
    <row r="41" spans="1:22" ht="23.1" customHeight="1">
      <c r="A41" s="2708">
        <v>39</v>
      </c>
      <c r="B41" s="2709" t="s">
        <v>1598</v>
      </c>
      <c r="C41" s="2709" t="s">
        <v>1599</v>
      </c>
      <c r="D41" s="2708"/>
      <c r="E41" s="2708"/>
      <c r="F41" s="2708">
        <v>137</v>
      </c>
      <c r="G41" s="2708" t="s">
        <v>1600</v>
      </c>
      <c r="H41" s="2710" t="s">
        <v>1601</v>
      </c>
      <c r="I41" s="2708">
        <v>3</v>
      </c>
      <c r="J41" s="2708">
        <v>3</v>
      </c>
      <c r="K41" s="2708">
        <v>87000</v>
      </c>
      <c r="L41" s="2708">
        <v>1.6</v>
      </c>
      <c r="M41" s="2708">
        <v>204</v>
      </c>
      <c r="N41" s="2708"/>
      <c r="O41" s="2708">
        <v>1.3</v>
      </c>
      <c r="P41" s="2708"/>
      <c r="Q41" s="2708">
        <v>76</v>
      </c>
      <c r="R41" s="2708" t="s">
        <v>1602</v>
      </c>
      <c r="S41" s="2708">
        <v>260</v>
      </c>
      <c r="T41" s="2708"/>
      <c r="U41" s="2708"/>
      <c r="V41" s="2708">
        <v>44</v>
      </c>
    </row>
    <row r="42" spans="1:22" ht="23.1" customHeight="1">
      <c r="A42" s="2708">
        <v>40</v>
      </c>
      <c r="B42" s="2711" t="s">
        <v>1603</v>
      </c>
      <c r="C42" s="2711" t="s">
        <v>1604</v>
      </c>
      <c r="D42" s="2712" t="s">
        <v>1495</v>
      </c>
      <c r="E42" s="2712"/>
      <c r="F42" s="2712">
        <v>50</v>
      </c>
      <c r="G42" s="2712" t="s">
        <v>1605</v>
      </c>
      <c r="H42" s="2712">
        <v>0.05</v>
      </c>
      <c r="I42" s="2712">
        <v>8</v>
      </c>
      <c r="J42" s="2712">
        <v>3</v>
      </c>
      <c r="K42" s="2712">
        <v>7500</v>
      </c>
      <c r="L42" s="2712">
        <v>1.05</v>
      </c>
      <c r="M42" s="2712">
        <v>105</v>
      </c>
      <c r="N42" s="2712">
        <v>115</v>
      </c>
      <c r="O42" s="2712">
        <v>2</v>
      </c>
      <c r="P42" s="2712"/>
      <c r="Q42" s="2712">
        <v>16</v>
      </c>
      <c r="R42" s="2712" t="s">
        <v>1606</v>
      </c>
      <c r="S42" s="2712">
        <v>85</v>
      </c>
      <c r="T42" s="2712"/>
      <c r="U42" s="2712">
        <v>0.9</v>
      </c>
      <c r="V42" s="2712">
        <v>20</v>
      </c>
    </row>
    <row r="43" spans="1:22" ht="23.1" customHeight="1">
      <c r="A43" s="2708">
        <v>41</v>
      </c>
      <c r="B43" s="2709" t="s">
        <v>1607</v>
      </c>
      <c r="C43" s="2709" t="s">
        <v>1608</v>
      </c>
      <c r="D43" s="2708" t="s">
        <v>1482</v>
      </c>
      <c r="E43" s="2708"/>
      <c r="F43" s="2708">
        <v>75</v>
      </c>
      <c r="G43" s="2708">
        <v>0.6</v>
      </c>
      <c r="H43" s="2710">
        <v>0.22</v>
      </c>
      <c r="I43" s="2708">
        <v>5.7</v>
      </c>
      <c r="J43" s="2708">
        <v>3</v>
      </c>
      <c r="K43" s="2708"/>
      <c r="L43" s="2708">
        <v>1.24</v>
      </c>
      <c r="M43" s="2708">
        <v>128</v>
      </c>
      <c r="N43" s="2708">
        <v>98</v>
      </c>
      <c r="O43" s="2708" t="s">
        <v>1609</v>
      </c>
      <c r="P43" s="2708">
        <v>310</v>
      </c>
      <c r="Q43" s="2708">
        <v>14.2</v>
      </c>
      <c r="R43" s="2708" t="s">
        <v>1610</v>
      </c>
      <c r="S43" s="2708">
        <v>185</v>
      </c>
      <c r="T43" s="2708"/>
      <c r="U43" s="2708"/>
      <c r="V43" s="2708"/>
    </row>
    <row r="44" spans="1:22" ht="23.1" customHeight="1">
      <c r="A44" s="2708">
        <v>42</v>
      </c>
      <c r="B44" s="2711" t="s">
        <v>1611</v>
      </c>
      <c r="C44" s="2711" t="s">
        <v>1612</v>
      </c>
      <c r="D44" s="2712"/>
      <c r="E44" s="2712"/>
      <c r="F44" s="2712"/>
      <c r="G44" s="2712"/>
      <c r="H44" s="2712"/>
      <c r="I44" s="2712"/>
      <c r="J44" s="2712"/>
      <c r="K44" s="2712"/>
      <c r="L44" s="2712"/>
      <c r="M44" s="2712"/>
      <c r="N44" s="2712"/>
      <c r="O44" s="2712"/>
      <c r="P44" s="2712"/>
      <c r="Q44" s="2712"/>
      <c r="R44" s="2712"/>
      <c r="S44" s="2712"/>
      <c r="T44" s="2712"/>
      <c r="U44" s="2712"/>
      <c r="V44" s="2712"/>
    </row>
    <row r="45" spans="1:22" ht="23.1" customHeight="1">
      <c r="A45" s="2708">
        <v>43</v>
      </c>
      <c r="B45" s="2709" t="s">
        <v>1613</v>
      </c>
      <c r="C45" s="2709" t="s">
        <v>1614</v>
      </c>
      <c r="D45" s="2708"/>
      <c r="E45" s="2708"/>
      <c r="F45" s="2708" t="s">
        <v>1615</v>
      </c>
      <c r="G45" s="2708" t="s">
        <v>1616</v>
      </c>
      <c r="H45" s="2710">
        <v>0.25</v>
      </c>
      <c r="I45" s="2708">
        <v>1</v>
      </c>
      <c r="J45" s="2708">
        <v>6</v>
      </c>
      <c r="K45" s="2708">
        <v>6500</v>
      </c>
      <c r="L45" s="2708">
        <v>1.4</v>
      </c>
      <c r="M45" s="2708"/>
      <c r="N45" s="2708">
        <v>8.8000000000000007</v>
      </c>
      <c r="O45" s="2708"/>
      <c r="P45" s="2708"/>
      <c r="Q45" s="2708"/>
      <c r="R45" s="2708"/>
      <c r="S45" s="2708"/>
      <c r="T45" s="2708"/>
      <c r="U45" s="2708">
        <v>0.86</v>
      </c>
      <c r="V45" s="2708"/>
    </row>
    <row r="46" spans="1:22" ht="23.1" customHeight="1">
      <c r="A46" s="2708">
        <v>44</v>
      </c>
      <c r="B46" s="2711" t="s">
        <v>1617</v>
      </c>
      <c r="C46" s="2711" t="s">
        <v>1618</v>
      </c>
      <c r="D46" s="2712"/>
      <c r="E46" s="2712"/>
      <c r="F46" s="2712" t="s">
        <v>1619</v>
      </c>
      <c r="G46" s="2712" t="s">
        <v>1620</v>
      </c>
      <c r="H46" s="2712" t="s">
        <v>1483</v>
      </c>
      <c r="I46" s="2712">
        <v>12.5</v>
      </c>
      <c r="J46" s="2712"/>
      <c r="K46" s="2712"/>
      <c r="L46" s="2712">
        <v>0.94</v>
      </c>
      <c r="M46" s="2712">
        <v>11</v>
      </c>
      <c r="N46" s="2712">
        <v>10</v>
      </c>
      <c r="O46" s="2712" t="s">
        <v>1498</v>
      </c>
      <c r="P46" s="2712"/>
      <c r="Q46" s="2712" t="s">
        <v>1621</v>
      </c>
      <c r="R46" s="2712" t="s">
        <v>1622</v>
      </c>
      <c r="S46" s="2712">
        <v>95</v>
      </c>
      <c r="T46" s="2712">
        <v>0.19</v>
      </c>
      <c r="U46" s="2712"/>
      <c r="V46" s="2712">
        <v>20</v>
      </c>
    </row>
    <row r="47" spans="1:22" ht="23.1" customHeight="1">
      <c r="A47" s="2708">
        <v>45</v>
      </c>
      <c r="B47" s="2709" t="s">
        <v>1623</v>
      </c>
      <c r="C47" s="2709"/>
      <c r="D47" s="2708" t="s">
        <v>1495</v>
      </c>
      <c r="E47" s="2708"/>
      <c r="F47" s="2708"/>
      <c r="G47" s="2708"/>
      <c r="H47" s="2710"/>
      <c r="I47" s="2708"/>
      <c r="J47" s="2708"/>
      <c r="K47" s="2708"/>
      <c r="L47" s="2708"/>
      <c r="M47" s="2708"/>
      <c r="N47" s="2708"/>
      <c r="O47" s="2708"/>
      <c r="P47" s="2708"/>
      <c r="Q47" s="2708"/>
      <c r="R47" s="2708"/>
      <c r="S47" s="2708"/>
      <c r="T47" s="2708"/>
      <c r="U47" s="2708"/>
      <c r="V47" s="2708"/>
    </row>
    <row r="48" spans="1:22" s="2704" customFormat="1" ht="23.1" customHeight="1">
      <c r="A48" s="2708">
        <v>46</v>
      </c>
      <c r="B48" s="2711" t="s">
        <v>1464</v>
      </c>
      <c r="C48" s="2711" t="s">
        <v>1465</v>
      </c>
      <c r="D48" s="2712" t="s">
        <v>1466</v>
      </c>
      <c r="E48" s="2712"/>
      <c r="F48" s="2712" t="s">
        <v>1467</v>
      </c>
      <c r="G48" s="2712" t="s">
        <v>1468</v>
      </c>
      <c r="H48" s="2712" t="s">
        <v>1469</v>
      </c>
      <c r="I48" s="2712">
        <v>8</v>
      </c>
      <c r="J48" s="2712">
        <v>3</v>
      </c>
      <c r="K48" s="2712">
        <v>9800</v>
      </c>
      <c r="L48" s="2712">
        <v>1.05</v>
      </c>
      <c r="M48" s="2712">
        <v>69</v>
      </c>
      <c r="N48" s="2712">
        <v>69</v>
      </c>
      <c r="O48" s="2712" t="s">
        <v>1470</v>
      </c>
      <c r="P48" s="2712"/>
      <c r="Q48" s="2712">
        <v>7</v>
      </c>
      <c r="R48" s="2712" t="s">
        <v>1471</v>
      </c>
      <c r="S48" s="2712">
        <v>86</v>
      </c>
      <c r="T48" s="2712"/>
      <c r="U48" s="2712"/>
      <c r="V48" s="2712">
        <v>18</v>
      </c>
    </row>
    <row r="49" spans="1:24" s="2704" customFormat="1" ht="23.1" customHeight="1">
      <c r="A49" s="2708">
        <v>47</v>
      </c>
      <c r="B49" s="2709" t="s">
        <v>1493</v>
      </c>
      <c r="C49" s="2709" t="s">
        <v>1494</v>
      </c>
      <c r="D49" s="2708" t="s">
        <v>1495</v>
      </c>
      <c r="E49" s="2708" t="s">
        <v>1496</v>
      </c>
      <c r="F49" s="2708">
        <v>27</v>
      </c>
      <c r="G49" s="2708" t="s">
        <v>1497</v>
      </c>
      <c r="H49" s="2710" t="s">
        <v>1483</v>
      </c>
      <c r="I49" s="2708">
        <v>12.5</v>
      </c>
      <c r="J49" s="2708">
        <v>5</v>
      </c>
      <c r="K49" s="2708">
        <v>7150</v>
      </c>
      <c r="L49" s="2708">
        <v>0.95</v>
      </c>
      <c r="M49" s="2708">
        <v>11</v>
      </c>
      <c r="N49" s="2708">
        <v>10</v>
      </c>
      <c r="O49" s="2708" t="s">
        <v>1498</v>
      </c>
      <c r="P49" s="2708"/>
      <c r="Q49" s="2708" t="s">
        <v>1499</v>
      </c>
      <c r="R49" s="2708" t="s">
        <v>1500</v>
      </c>
      <c r="S49" s="2708">
        <v>78</v>
      </c>
      <c r="T49" s="2708"/>
      <c r="U49" s="2708"/>
      <c r="V49" s="2708">
        <v>20</v>
      </c>
    </row>
    <row r="50" spans="1:24" s="2704" customFormat="1" ht="23.1" customHeight="1" thickBot="1">
      <c r="A50" s="2708">
        <v>48</v>
      </c>
      <c r="B50" s="2711" t="s">
        <v>1522</v>
      </c>
      <c r="C50" s="2711" t="s">
        <v>1523</v>
      </c>
      <c r="D50" s="2712" t="s">
        <v>1495</v>
      </c>
      <c r="E50" s="2712"/>
      <c r="F50" s="2712">
        <v>74</v>
      </c>
      <c r="G50" s="2712" t="s">
        <v>1524</v>
      </c>
      <c r="H50" s="2712">
        <v>3</v>
      </c>
      <c r="I50" s="2712">
        <v>8.3000000000000007</v>
      </c>
      <c r="J50" s="2712">
        <v>4</v>
      </c>
      <c r="K50" s="2712">
        <v>15000</v>
      </c>
      <c r="L50" s="2712">
        <v>1.1399999999999999</v>
      </c>
      <c r="M50" s="2712">
        <v>120</v>
      </c>
      <c r="N50" s="2712"/>
      <c r="O50" s="2712">
        <v>70</v>
      </c>
      <c r="P50" s="2712">
        <v>33</v>
      </c>
      <c r="Q50" s="2712">
        <v>8.3000000000000007</v>
      </c>
      <c r="R50" s="2712" t="s">
        <v>1525</v>
      </c>
      <c r="S50" s="2712">
        <v>58</v>
      </c>
      <c r="T50" s="2712">
        <v>0.6</v>
      </c>
      <c r="U50" s="2712"/>
      <c r="V50" s="2712"/>
    </row>
    <row r="51" spans="1:24" s="2704" customFormat="1" ht="23.1" customHeight="1">
      <c r="A51" s="2708">
        <v>49</v>
      </c>
      <c r="B51" s="2709" t="s">
        <v>1526</v>
      </c>
      <c r="C51" s="2709" t="s">
        <v>1527</v>
      </c>
      <c r="D51" s="2708"/>
      <c r="E51" s="2708"/>
      <c r="F51" s="2708">
        <v>110</v>
      </c>
      <c r="G51" s="2708" t="s">
        <v>1528</v>
      </c>
      <c r="H51" s="2710">
        <v>1.1000000000000001</v>
      </c>
      <c r="I51" s="2708">
        <v>2.2000000000000002</v>
      </c>
      <c r="J51" s="2708">
        <v>3</v>
      </c>
      <c r="K51" s="2708"/>
      <c r="L51" s="2708">
        <v>1.37</v>
      </c>
      <c r="M51" s="2708">
        <v>210</v>
      </c>
      <c r="N51" s="2708"/>
      <c r="O51" s="2708">
        <v>3</v>
      </c>
      <c r="P51" s="2708">
        <v>76</v>
      </c>
      <c r="Q51" s="2708"/>
      <c r="R51" s="2708"/>
      <c r="S51" s="2708">
        <v>190</v>
      </c>
      <c r="T51" s="2708"/>
      <c r="U51" s="2708"/>
      <c r="V51" s="2708"/>
      <c r="X51" s="3198" t="s">
        <v>12704</v>
      </c>
    </row>
    <row r="52" spans="1:24" s="2704" customFormat="1" ht="23.1" customHeight="1">
      <c r="A52" s="2708">
        <v>50</v>
      </c>
      <c r="B52" s="2711" t="s">
        <v>1529</v>
      </c>
      <c r="C52" s="2711" t="s">
        <v>1530</v>
      </c>
      <c r="D52" s="2712" t="s">
        <v>1495</v>
      </c>
      <c r="E52" s="2712"/>
      <c r="F52" s="2712">
        <v>80</v>
      </c>
      <c r="G52" s="2712" t="s">
        <v>1531</v>
      </c>
      <c r="H52" s="2712" t="s">
        <v>1532</v>
      </c>
      <c r="I52" s="2712">
        <v>7</v>
      </c>
      <c r="J52" s="2712">
        <v>4</v>
      </c>
      <c r="K52" s="2712">
        <v>16000</v>
      </c>
      <c r="L52" s="2712">
        <v>1.1499999999999999</v>
      </c>
      <c r="M52" s="2712">
        <v>130</v>
      </c>
      <c r="N52" s="2712"/>
      <c r="O52" s="2712">
        <v>60</v>
      </c>
      <c r="P52" s="2712">
        <v>39</v>
      </c>
      <c r="Q52" s="2712">
        <v>9.5</v>
      </c>
      <c r="R52" s="2712" t="s">
        <v>1533</v>
      </c>
      <c r="S52" s="2712">
        <v>60</v>
      </c>
      <c r="T52" s="2712">
        <v>0.5</v>
      </c>
      <c r="U52" s="2712"/>
      <c r="V52" s="2712"/>
      <c r="X52" s="3199"/>
    </row>
    <row r="53" spans="1:24" s="2704" customFormat="1" ht="23.1" customHeight="1" thickBot="1">
      <c r="A53" s="2708">
        <v>51</v>
      </c>
      <c r="B53" s="2709" t="s">
        <v>1534</v>
      </c>
      <c r="C53" s="2709" t="s">
        <v>1535</v>
      </c>
      <c r="D53" s="2708"/>
      <c r="E53" s="2708"/>
      <c r="F53" s="2708">
        <v>189</v>
      </c>
      <c r="G53" s="2708" t="s">
        <v>1536</v>
      </c>
      <c r="H53" s="2710" t="s">
        <v>1537</v>
      </c>
      <c r="I53" s="2708"/>
      <c r="J53" s="2708">
        <v>3</v>
      </c>
      <c r="K53" s="2708"/>
      <c r="L53" s="2708">
        <v>1.38</v>
      </c>
      <c r="M53" s="2708">
        <v>262</v>
      </c>
      <c r="N53" s="2708"/>
      <c r="O53" s="2708">
        <v>3</v>
      </c>
      <c r="P53" s="2708">
        <v>102</v>
      </c>
      <c r="Q53" s="2708"/>
      <c r="R53" s="2708"/>
      <c r="S53" s="2708">
        <v>248</v>
      </c>
      <c r="T53" s="2708"/>
      <c r="U53" s="2708"/>
      <c r="V53" s="2708"/>
      <c r="X53" s="3200"/>
    </row>
    <row r="54" spans="1:24" s="2704" customFormat="1" ht="23.1" customHeight="1">
      <c r="A54" s="2708">
        <v>52</v>
      </c>
      <c r="B54" s="2711" t="s">
        <v>1541</v>
      </c>
      <c r="C54" s="2711" t="s">
        <v>1542</v>
      </c>
      <c r="D54" s="2712"/>
      <c r="E54" s="2712"/>
      <c r="F54" s="2712">
        <v>55</v>
      </c>
      <c r="G54" s="2712">
        <v>0.44</v>
      </c>
      <c r="H54" s="2712">
        <v>0.09</v>
      </c>
      <c r="I54" s="2712">
        <v>9.1999999999999993</v>
      </c>
      <c r="J54" s="2712"/>
      <c r="K54" s="2712">
        <v>16000</v>
      </c>
      <c r="L54" s="2712">
        <v>1.31</v>
      </c>
      <c r="M54" s="2712">
        <v>85</v>
      </c>
      <c r="N54" s="2712"/>
      <c r="O54" s="2712" t="s">
        <v>1543</v>
      </c>
      <c r="P54" s="2712"/>
      <c r="Q54" s="2712">
        <v>4.3</v>
      </c>
      <c r="R54" s="2712" t="s">
        <v>1544</v>
      </c>
      <c r="S54" s="2712">
        <v>66</v>
      </c>
      <c r="T54" s="2712"/>
      <c r="U54" s="2712"/>
      <c r="V54" s="2712"/>
    </row>
    <row r="55" spans="1:24" s="2704" customFormat="1" ht="23.1" customHeight="1">
      <c r="A55" s="2708">
        <v>53</v>
      </c>
      <c r="B55" s="2709" t="s">
        <v>1545</v>
      </c>
      <c r="C55" s="2709" t="s">
        <v>1546</v>
      </c>
      <c r="D55" s="2708"/>
      <c r="E55" s="2708"/>
      <c r="F55" s="2708">
        <v>137</v>
      </c>
      <c r="G55" s="2708">
        <v>0.2</v>
      </c>
      <c r="H55" s="2710">
        <v>7.0000000000000007E-2</v>
      </c>
      <c r="I55" s="2708">
        <v>2.7</v>
      </c>
      <c r="J55" s="2708">
        <v>3</v>
      </c>
      <c r="K55" s="2708"/>
      <c r="L55" s="2708">
        <v>1.53</v>
      </c>
      <c r="M55" s="2708">
        <v>196</v>
      </c>
      <c r="N55" s="2708"/>
      <c r="O55" s="2708">
        <v>4</v>
      </c>
      <c r="P55" s="2708"/>
      <c r="Q55" s="2708">
        <v>7.8</v>
      </c>
      <c r="R55" s="2708" t="s">
        <v>1547</v>
      </c>
      <c r="S55" s="2708">
        <v>220</v>
      </c>
      <c r="T55" s="2708"/>
      <c r="U55" s="2708"/>
      <c r="V55" s="2708"/>
    </row>
    <row r="56" spans="1:24" s="2704" customFormat="1" ht="23.1" customHeight="1">
      <c r="A56" s="2708">
        <v>54</v>
      </c>
      <c r="B56" s="2711" t="s">
        <v>1578</v>
      </c>
      <c r="C56" s="2711" t="s">
        <v>1579</v>
      </c>
      <c r="D56" s="2712" t="s">
        <v>1466</v>
      </c>
      <c r="E56" s="2712"/>
      <c r="F56" s="2712">
        <v>62</v>
      </c>
      <c r="G56" s="2712" t="s">
        <v>1580</v>
      </c>
      <c r="H56" s="2712">
        <v>0.21</v>
      </c>
      <c r="I56" s="2712">
        <v>8.5</v>
      </c>
      <c r="J56" s="2712"/>
      <c r="K56" s="2712">
        <v>14000</v>
      </c>
      <c r="L56" s="2712">
        <v>1.41</v>
      </c>
      <c r="M56" s="2712">
        <v>98</v>
      </c>
      <c r="N56" s="2712">
        <v>110</v>
      </c>
      <c r="O56" s="2712"/>
      <c r="P56" s="2712"/>
      <c r="Q56" s="2712">
        <v>65</v>
      </c>
      <c r="R56" s="2712" t="s">
        <v>1550</v>
      </c>
      <c r="S56" s="2712">
        <v>110</v>
      </c>
      <c r="T56" s="2712">
        <v>0.31</v>
      </c>
      <c r="U56" s="2712"/>
      <c r="V56" s="2712"/>
    </row>
    <row r="57" spans="1:24" s="2704" customFormat="1" ht="23.1" customHeight="1">
      <c r="A57" s="2708">
        <v>55</v>
      </c>
      <c r="B57" s="2709" t="s">
        <v>1581</v>
      </c>
      <c r="C57" s="2709" t="s">
        <v>1582</v>
      </c>
      <c r="D57" s="2708"/>
      <c r="E57" s="2708"/>
      <c r="F57" s="2708">
        <v>130</v>
      </c>
      <c r="G57" s="2708"/>
      <c r="H57" s="2710"/>
      <c r="I57" s="2708">
        <v>2.6</v>
      </c>
      <c r="J57" s="2708">
        <v>3</v>
      </c>
      <c r="K57" s="2708"/>
      <c r="L57" s="2708">
        <v>1.61</v>
      </c>
      <c r="M57" s="2708">
        <v>182</v>
      </c>
      <c r="N57" s="2708"/>
      <c r="O57" s="2708"/>
      <c r="P57" s="2708"/>
      <c r="Q57" s="2708">
        <v>86</v>
      </c>
      <c r="R57" s="2708"/>
      <c r="S57" s="2708">
        <v>163</v>
      </c>
      <c r="T57" s="2708"/>
      <c r="U57" s="2708"/>
      <c r="V57" s="2708"/>
    </row>
    <row r="58" spans="1:24" s="2704" customFormat="1" ht="23.1" customHeight="1">
      <c r="A58" s="2708">
        <v>56</v>
      </c>
      <c r="B58" s="2711" t="s">
        <v>1583</v>
      </c>
      <c r="C58" s="2711" t="s">
        <v>1584</v>
      </c>
      <c r="D58" s="2712" t="s">
        <v>1466</v>
      </c>
      <c r="E58" s="2712"/>
      <c r="F58" s="2712">
        <v>70</v>
      </c>
      <c r="G58" s="2712" t="s">
        <v>1585</v>
      </c>
      <c r="H58" s="2712">
        <v>0.25</v>
      </c>
      <c r="I58" s="2712">
        <v>7.5</v>
      </c>
      <c r="J58" s="2712">
        <v>5</v>
      </c>
      <c r="K58" s="2712"/>
      <c r="L58" s="2712">
        <v>1.43</v>
      </c>
      <c r="M58" s="2712">
        <v>90</v>
      </c>
      <c r="N58" s="2712">
        <v>127</v>
      </c>
      <c r="O58" s="2712"/>
      <c r="P58" s="2712"/>
      <c r="Q58" s="2712">
        <v>76</v>
      </c>
      <c r="R58" s="2712" t="s">
        <v>1586</v>
      </c>
      <c r="S58" s="2712">
        <v>124</v>
      </c>
      <c r="T58" s="2712"/>
      <c r="U58" s="2712"/>
      <c r="V58" s="2712"/>
    </row>
    <row r="59" spans="1:24" s="2704" customFormat="1" ht="23.1" customHeight="1">
      <c r="A59" s="2708">
        <v>57</v>
      </c>
      <c r="B59" s="2709" t="s">
        <v>1587</v>
      </c>
      <c r="C59" s="2709" t="s">
        <v>1588</v>
      </c>
      <c r="D59" s="2708" t="s">
        <v>1495</v>
      </c>
      <c r="E59" s="2708"/>
      <c r="F59" s="2708">
        <v>29</v>
      </c>
      <c r="G59" s="2708" t="s">
        <v>1589</v>
      </c>
      <c r="H59" s="2710">
        <v>0.01</v>
      </c>
      <c r="I59" s="2708">
        <v>8</v>
      </c>
      <c r="J59" s="2708">
        <v>5</v>
      </c>
      <c r="K59" s="2708">
        <v>7300</v>
      </c>
      <c r="L59" s="2708">
        <v>0.9</v>
      </c>
      <c r="M59" s="2708">
        <v>50</v>
      </c>
      <c r="N59" s="2708">
        <v>45</v>
      </c>
      <c r="O59" s="2708" t="s">
        <v>1590</v>
      </c>
      <c r="P59" s="2708"/>
      <c r="Q59" s="2708">
        <v>0.5</v>
      </c>
      <c r="R59" s="2708" t="s">
        <v>1591</v>
      </c>
      <c r="S59" s="2708">
        <v>102</v>
      </c>
      <c r="T59" s="2708">
        <v>0.51</v>
      </c>
      <c r="U59" s="2708"/>
      <c r="V59" s="2708">
        <v>18</v>
      </c>
    </row>
    <row r="60" spans="1:24" s="2704" customFormat="1" ht="23.1" customHeight="1">
      <c r="A60" s="2708">
        <v>58</v>
      </c>
      <c r="B60" s="2711" t="s">
        <v>1592</v>
      </c>
      <c r="C60" s="2711" t="s">
        <v>1593</v>
      </c>
      <c r="D60" s="2712"/>
      <c r="E60" s="2712"/>
      <c r="F60" s="2712"/>
      <c r="G60" s="2712" t="s">
        <v>1594</v>
      </c>
      <c r="H60" s="2712">
        <v>0.05</v>
      </c>
      <c r="I60" s="2712">
        <v>4</v>
      </c>
      <c r="J60" s="2712"/>
      <c r="K60" s="2712"/>
      <c r="L60" s="2712"/>
      <c r="M60" s="2712"/>
      <c r="N60" s="2712"/>
      <c r="O60" s="2712"/>
      <c r="P60" s="2712"/>
      <c r="Q60" s="2712"/>
      <c r="R60" s="2712"/>
      <c r="S60" s="2712"/>
      <c r="T60" s="2712"/>
      <c r="U60" s="2712"/>
      <c r="V60" s="2712"/>
    </row>
  </sheetData>
  <mergeCells count="4">
    <mergeCell ref="A1:V1"/>
    <mergeCell ref="X3:X5"/>
    <mergeCell ref="X51:X53"/>
    <mergeCell ref="X25:X27"/>
  </mergeCells>
  <phoneticPr fontId="378" type="noConversion"/>
  <hyperlinks>
    <hyperlink ref="X3:X5" location="总目录!A1" display="返回目录"/>
    <hyperlink ref="X51:X53" location="总目录!A1" display="返回目录"/>
    <hyperlink ref="X25:X27" location="总目录!A1" display="返回目录"/>
  </hyperlinks>
  <pageMargins left="0.196527777777778" right="0.196527777777778" top="0.78680555555555598" bottom="0.39305555555555599" header="0.31388888888888899" footer="0.31388888888888899"/>
  <pageSetup paperSize="9" orientation="landscape"/>
  <headerFooter>
    <oddHeader>&amp;C&amp;"微软雅黑,常规"&amp;20塑料材料的性能对比表</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4"/>
  <sheetViews>
    <sheetView workbookViewId="0">
      <selection activeCell="J9" sqref="J9:J11"/>
    </sheetView>
  </sheetViews>
  <sheetFormatPr defaultColWidth="8.125" defaultRowHeight="16.5"/>
  <cols>
    <col min="1" max="1" width="0.25" style="2672" customWidth="1"/>
    <col min="2" max="2" width="22.75" style="2672" customWidth="1"/>
    <col min="3" max="3" width="10.75" style="2673" customWidth="1"/>
    <col min="4" max="4" width="8.25" style="2672" customWidth="1"/>
    <col min="5" max="5" width="22" style="2672" customWidth="1"/>
    <col min="6" max="6" width="15.625" style="2672" customWidth="1"/>
    <col min="7" max="7" width="9" style="2674" customWidth="1"/>
    <col min="8" max="8" width="8.25" style="2672" customWidth="1"/>
    <col min="9" max="16384" width="8.125" style="2672"/>
  </cols>
  <sheetData>
    <row r="1" spans="2:10" ht="3" customHeight="1"/>
    <row r="2" spans="2:10">
      <c r="B2" s="2675" t="s">
        <v>1624</v>
      </c>
      <c r="C2" s="2675"/>
      <c r="D2" s="2675"/>
      <c r="E2" s="2676"/>
    </row>
    <row r="4" spans="2:10">
      <c r="B4" s="3231" t="s">
        <v>1625</v>
      </c>
      <c r="C4" s="3232"/>
      <c r="D4" s="3232"/>
      <c r="E4" s="3232"/>
      <c r="F4" s="3232"/>
      <c r="G4" s="3232"/>
      <c r="H4" s="3233"/>
    </row>
    <row r="5" spans="2:10" ht="17.25" customHeight="1">
      <c r="B5" s="3234"/>
      <c r="C5" s="3235"/>
      <c r="D5" s="3235"/>
      <c r="E5" s="3235"/>
      <c r="F5" s="3235"/>
      <c r="G5" s="3235"/>
      <c r="H5" s="3236"/>
    </row>
    <row r="6" spans="2:10" ht="6" customHeight="1"/>
    <row r="7" spans="2:10" ht="13.5" customHeight="1">
      <c r="B7" s="3237" t="s">
        <v>1626</v>
      </c>
      <c r="C7" s="3238"/>
      <c r="D7" s="3239"/>
      <c r="E7" s="3237" t="s">
        <v>1627</v>
      </c>
      <c r="F7" s="3238"/>
      <c r="G7" s="3238"/>
      <c r="H7" s="3239"/>
    </row>
    <row r="8" spans="2:10" ht="14.25" customHeight="1" thickBot="1">
      <c r="B8" s="3240"/>
      <c r="C8" s="3241"/>
      <c r="D8" s="3242"/>
      <c r="E8" s="3240"/>
      <c r="F8" s="3241"/>
      <c r="G8" s="3241"/>
      <c r="H8" s="3242"/>
    </row>
    <row r="9" spans="2:10" ht="15" customHeight="1">
      <c r="B9" s="3245" t="s">
        <v>1628</v>
      </c>
      <c r="C9" s="3247" t="s">
        <v>1629</v>
      </c>
      <c r="D9" s="3249" t="s">
        <v>1630</v>
      </c>
      <c r="E9" s="3213" t="s">
        <v>1631</v>
      </c>
      <c r="F9" s="3207" t="s">
        <v>1632</v>
      </c>
      <c r="G9" s="3223" t="s">
        <v>1633</v>
      </c>
      <c r="H9" s="3243" t="s">
        <v>1630</v>
      </c>
      <c r="J9" s="3198" t="s">
        <v>12704</v>
      </c>
    </row>
    <row r="10" spans="2:10" ht="13.5" customHeight="1" thickBot="1">
      <c r="B10" s="3246"/>
      <c r="C10" s="3248"/>
      <c r="D10" s="3250"/>
      <c r="E10" s="3214"/>
      <c r="F10" s="3208"/>
      <c r="G10" s="3224"/>
      <c r="H10" s="3244"/>
      <c r="J10" s="3199"/>
    </row>
    <row r="11" spans="2:10" ht="20.25" thickBot="1">
      <c r="B11" s="2677" t="s">
        <v>1634</v>
      </c>
      <c r="C11" s="2678">
        <v>4</v>
      </c>
      <c r="D11" s="2679"/>
      <c r="E11" s="3215" t="s">
        <v>1635</v>
      </c>
      <c r="F11" s="3209"/>
      <c r="G11" s="3225">
        <f>POWER(C11/C12,1/2)/POWER(1+C11*C13/(C15*C14),1/2)</f>
        <v>0.66666666666666696</v>
      </c>
      <c r="H11" s="3219"/>
      <c r="J11" s="3200"/>
    </row>
    <row r="12" spans="2:10" ht="18.75">
      <c r="B12" s="2680" t="s">
        <v>1636</v>
      </c>
      <c r="C12" s="2681">
        <v>1</v>
      </c>
      <c r="D12" s="2682"/>
      <c r="E12" s="3209"/>
      <c r="F12" s="3209"/>
      <c r="G12" s="3225"/>
      <c r="H12" s="3219"/>
    </row>
    <row r="13" spans="2:10" ht="16.5" customHeight="1">
      <c r="B13" s="2680" t="s">
        <v>1637</v>
      </c>
      <c r="C13" s="2681">
        <v>4</v>
      </c>
      <c r="D13" s="2682"/>
      <c r="E13" s="3209"/>
      <c r="F13" s="3209"/>
      <c r="G13" s="3225"/>
      <c r="H13" s="3219"/>
    </row>
    <row r="14" spans="2:10" ht="16.5" customHeight="1">
      <c r="B14" s="2680" t="s">
        <v>1638</v>
      </c>
      <c r="C14" s="2681">
        <v>1</v>
      </c>
      <c r="D14" s="2682"/>
      <c r="E14" s="3209"/>
      <c r="F14" s="3209"/>
      <c r="G14" s="3225"/>
      <c r="H14" s="3219"/>
    </row>
    <row r="15" spans="2:10" ht="16.5" customHeight="1">
      <c r="B15" s="2683" t="s">
        <v>1639</v>
      </c>
      <c r="C15" s="2684">
        <v>2</v>
      </c>
      <c r="D15" s="2685"/>
      <c r="E15" s="3210"/>
      <c r="F15" s="3210"/>
      <c r="G15" s="3226"/>
      <c r="H15" s="3220"/>
    </row>
    <row r="16" spans="2:10" ht="6" customHeight="1">
      <c r="C16" s="2686"/>
    </row>
    <row r="17" spans="2:8" ht="16.5" customHeight="1">
      <c r="B17" s="2687" t="s">
        <v>1640</v>
      </c>
      <c r="C17" s="2688">
        <v>15</v>
      </c>
      <c r="D17" s="2689"/>
      <c r="E17" s="3201" t="s">
        <v>1641</v>
      </c>
      <c r="F17" s="3201" t="s">
        <v>1642</v>
      </c>
      <c r="G17" s="3227">
        <f>2*C18/C17</f>
        <v>0.4</v>
      </c>
      <c r="H17" s="3216"/>
    </row>
    <row r="18" spans="2:8" ht="16.5" customHeight="1">
      <c r="B18" s="2690" t="s">
        <v>1643</v>
      </c>
      <c r="C18" s="2691">
        <v>3</v>
      </c>
      <c r="D18" s="2692"/>
      <c r="E18" s="3202"/>
      <c r="F18" s="3202"/>
      <c r="G18" s="3228"/>
      <c r="H18" s="3217"/>
    </row>
    <row r="19" spans="2:8" ht="6" customHeight="1">
      <c r="C19" s="2686"/>
    </row>
    <row r="20" spans="2:8" ht="16.5" customHeight="1">
      <c r="B20" s="2677" t="s">
        <v>1644</v>
      </c>
      <c r="C20" s="2678">
        <v>9</v>
      </c>
      <c r="D20" s="2679"/>
      <c r="E20" s="3203" t="s">
        <v>1645</v>
      </c>
      <c r="F20" s="3211" t="s">
        <v>1646</v>
      </c>
      <c r="G20" s="3229">
        <f>C21*C20*(C22-C23)</f>
        <v>18</v>
      </c>
      <c r="H20" s="3218"/>
    </row>
    <row r="21" spans="2:8" ht="16.5" customHeight="1">
      <c r="B21" s="2693" t="s">
        <v>1640</v>
      </c>
      <c r="C21" s="2681">
        <v>1</v>
      </c>
      <c r="D21" s="2682"/>
      <c r="E21" s="3204"/>
      <c r="F21" s="3204"/>
      <c r="G21" s="3225"/>
      <c r="H21" s="3219"/>
    </row>
    <row r="22" spans="2:8" ht="19.5">
      <c r="B22" s="2694" t="s">
        <v>1647</v>
      </c>
      <c r="C22" s="2695">
        <v>4</v>
      </c>
      <c r="D22" s="2682"/>
      <c r="E22" s="3204"/>
      <c r="F22" s="3204"/>
      <c r="G22" s="3225"/>
      <c r="H22" s="3219"/>
    </row>
    <row r="23" spans="2:8" ht="19.5">
      <c r="B23" s="2683" t="s">
        <v>1648</v>
      </c>
      <c r="C23" s="2684">
        <v>2</v>
      </c>
      <c r="D23" s="2685"/>
      <c r="E23" s="3205"/>
      <c r="F23" s="3205"/>
      <c r="G23" s="3226"/>
      <c r="H23" s="3220"/>
    </row>
    <row r="24" spans="2:8" ht="6" customHeight="1">
      <c r="C24" s="2686"/>
    </row>
    <row r="25" spans="2:8" ht="18.75">
      <c r="B25" s="2696" t="s">
        <v>1636</v>
      </c>
      <c r="C25" s="2688">
        <v>1</v>
      </c>
      <c r="D25" s="2689"/>
      <c r="E25" s="3201" t="s">
        <v>1649</v>
      </c>
      <c r="F25" s="3212" t="s">
        <v>1650</v>
      </c>
      <c r="G25" s="3227">
        <f>C26*C25*(C27-C28)*(2*C30/C26)/C29</f>
        <v>2.4</v>
      </c>
      <c r="H25" s="3221"/>
    </row>
    <row r="26" spans="2:8">
      <c r="B26" s="2697" t="s">
        <v>1640</v>
      </c>
      <c r="C26" s="2698">
        <v>2</v>
      </c>
      <c r="D26" s="2699"/>
      <c r="E26" s="3206"/>
      <c r="F26" s="3206"/>
      <c r="G26" s="3230"/>
      <c r="H26" s="3222"/>
    </row>
    <row r="27" spans="2:8" ht="19.5">
      <c r="B27" s="2700" t="s">
        <v>1647</v>
      </c>
      <c r="C27" s="2698">
        <v>4</v>
      </c>
      <c r="D27" s="2699"/>
      <c r="E27" s="3206"/>
      <c r="F27" s="3206"/>
      <c r="G27" s="3230"/>
      <c r="H27" s="3222"/>
    </row>
    <row r="28" spans="2:8" ht="19.5">
      <c r="B28" s="2700" t="s">
        <v>1648</v>
      </c>
      <c r="C28" s="2698">
        <v>3</v>
      </c>
      <c r="D28" s="2699"/>
      <c r="E28" s="3206"/>
      <c r="F28" s="3206"/>
      <c r="G28" s="3230"/>
      <c r="H28" s="3222"/>
    </row>
    <row r="29" spans="2:8">
      <c r="B29" s="2700" t="s">
        <v>1651</v>
      </c>
      <c r="C29" s="2698">
        <v>5</v>
      </c>
      <c r="D29" s="2699"/>
      <c r="E29" s="3206"/>
      <c r="F29" s="3206"/>
      <c r="G29" s="3230"/>
      <c r="H29" s="3222"/>
    </row>
    <row r="30" spans="2:8">
      <c r="B30" s="2690" t="s">
        <v>1652</v>
      </c>
      <c r="C30" s="2691">
        <v>6</v>
      </c>
      <c r="D30" s="2692"/>
      <c r="E30" s="3202"/>
      <c r="F30" s="3202"/>
      <c r="G30" s="3228"/>
      <c r="H30" s="3217"/>
    </row>
    <row r="33" spans="2:6">
      <c r="B33" s="2701" t="s">
        <v>1653</v>
      </c>
      <c r="F33" s="2702"/>
    </row>
    <row r="34" spans="2:6">
      <c r="B34" s="2701" t="s">
        <v>1654</v>
      </c>
    </row>
  </sheetData>
  <mergeCells count="27">
    <mergeCell ref="B4:H5"/>
    <mergeCell ref="B7:D8"/>
    <mergeCell ref="E7:H8"/>
    <mergeCell ref="J9:J11"/>
    <mergeCell ref="H9:H10"/>
    <mergeCell ref="H11:H15"/>
    <mergeCell ref="B9:B10"/>
    <mergeCell ref="C9:C10"/>
    <mergeCell ref="D9:D10"/>
    <mergeCell ref="H17:H18"/>
    <mergeCell ref="H20:H23"/>
    <mergeCell ref="H25:H30"/>
    <mergeCell ref="G9:G10"/>
    <mergeCell ref="G11:G15"/>
    <mergeCell ref="G17:G18"/>
    <mergeCell ref="G20:G23"/>
    <mergeCell ref="G25:G30"/>
    <mergeCell ref="E17:E18"/>
    <mergeCell ref="E20:E23"/>
    <mergeCell ref="E25:E30"/>
    <mergeCell ref="F9:F10"/>
    <mergeCell ref="F11:F15"/>
    <mergeCell ref="F17:F18"/>
    <mergeCell ref="F20:F23"/>
    <mergeCell ref="F25:F30"/>
    <mergeCell ref="E9:E10"/>
    <mergeCell ref="E11:E15"/>
  </mergeCells>
  <phoneticPr fontId="378" type="noConversion"/>
  <hyperlinks>
    <hyperlink ref="J9:J11" location="总目录!A1" display="返回目录"/>
  </hyperlinks>
  <pageMargins left="0.69930555555555596" right="0.69930555555555596" top="0.75" bottom="0.75" header="0.3" footer="0.3"/>
  <pageSetup paperSize="9" orientation="portrait" horizontalDpi="200" verticalDpi="30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27"/>
  <sheetViews>
    <sheetView topLeftCell="A7" zoomScale="115" zoomScaleNormal="115" workbookViewId="0">
      <selection activeCell="L30" sqref="L30:L32"/>
    </sheetView>
  </sheetViews>
  <sheetFormatPr defaultColWidth="8.75" defaultRowHeight="14.25"/>
  <cols>
    <col min="1" max="1" width="5" style="2657" customWidth="1"/>
    <col min="2" max="2" width="3.625" style="2657" customWidth="1"/>
    <col min="3" max="256" width="8.75" style="2657"/>
    <col min="257" max="257" width="5" style="2657" customWidth="1"/>
    <col min="258" max="258" width="3.625" style="2657" customWidth="1"/>
    <col min="259" max="512" width="8.75" style="2657"/>
    <col min="513" max="513" width="5" style="2657" customWidth="1"/>
    <col min="514" max="514" width="3.625" style="2657" customWidth="1"/>
    <col min="515" max="768" width="8.75" style="2657"/>
    <col min="769" max="769" width="5" style="2657" customWidth="1"/>
    <col min="770" max="770" width="3.625" style="2657" customWidth="1"/>
    <col min="771" max="1024" width="8.75" style="2657"/>
    <col min="1025" max="1025" width="5" style="2657" customWidth="1"/>
    <col min="1026" max="1026" width="3.625" style="2657" customWidth="1"/>
    <col min="1027" max="1280" width="8.75" style="2657"/>
    <col min="1281" max="1281" width="5" style="2657" customWidth="1"/>
    <col min="1282" max="1282" width="3.625" style="2657" customWidth="1"/>
    <col min="1283" max="1536" width="8.75" style="2657"/>
    <col min="1537" max="1537" width="5" style="2657" customWidth="1"/>
    <col min="1538" max="1538" width="3.625" style="2657" customWidth="1"/>
    <col min="1539" max="1792" width="8.75" style="2657"/>
    <col min="1793" max="1793" width="5" style="2657" customWidth="1"/>
    <col min="1794" max="1794" width="3.625" style="2657" customWidth="1"/>
    <col min="1795" max="2048" width="8.75" style="2657"/>
    <col min="2049" max="2049" width="5" style="2657" customWidth="1"/>
    <col min="2050" max="2050" width="3.625" style="2657" customWidth="1"/>
    <col min="2051" max="2304" width="8.75" style="2657"/>
    <col min="2305" max="2305" width="5" style="2657" customWidth="1"/>
    <col min="2306" max="2306" width="3.625" style="2657" customWidth="1"/>
    <col min="2307" max="2560" width="8.75" style="2657"/>
    <col min="2561" max="2561" width="5" style="2657" customWidth="1"/>
    <col min="2562" max="2562" width="3.625" style="2657" customWidth="1"/>
    <col min="2563" max="2816" width="8.75" style="2657"/>
    <col min="2817" max="2817" width="5" style="2657" customWidth="1"/>
    <col min="2818" max="2818" width="3.625" style="2657" customWidth="1"/>
    <col min="2819" max="3072" width="8.75" style="2657"/>
    <col min="3073" max="3073" width="5" style="2657" customWidth="1"/>
    <col min="3074" max="3074" width="3.625" style="2657" customWidth="1"/>
    <col min="3075" max="3328" width="8.75" style="2657"/>
    <col min="3329" max="3329" width="5" style="2657" customWidth="1"/>
    <col min="3330" max="3330" width="3.625" style="2657" customWidth="1"/>
    <col min="3331" max="3584" width="8.75" style="2657"/>
    <col min="3585" max="3585" width="5" style="2657" customWidth="1"/>
    <col min="3586" max="3586" width="3.625" style="2657" customWidth="1"/>
    <col min="3587" max="3840" width="8.75" style="2657"/>
    <col min="3841" max="3841" width="5" style="2657" customWidth="1"/>
    <col min="3842" max="3842" width="3.625" style="2657" customWidth="1"/>
    <col min="3843" max="4096" width="8.75" style="2657"/>
    <col min="4097" max="4097" width="5" style="2657" customWidth="1"/>
    <col min="4098" max="4098" width="3.625" style="2657" customWidth="1"/>
    <col min="4099" max="4352" width="8.75" style="2657"/>
    <col min="4353" max="4353" width="5" style="2657" customWidth="1"/>
    <col min="4354" max="4354" width="3.625" style="2657" customWidth="1"/>
    <col min="4355" max="4608" width="8.75" style="2657"/>
    <col min="4609" max="4609" width="5" style="2657" customWidth="1"/>
    <col min="4610" max="4610" width="3.625" style="2657" customWidth="1"/>
    <col min="4611" max="4864" width="8.75" style="2657"/>
    <col min="4865" max="4865" width="5" style="2657" customWidth="1"/>
    <col min="4866" max="4866" width="3.625" style="2657" customWidth="1"/>
    <col min="4867" max="5120" width="8.75" style="2657"/>
    <col min="5121" max="5121" width="5" style="2657" customWidth="1"/>
    <col min="5122" max="5122" width="3.625" style="2657" customWidth="1"/>
    <col min="5123" max="5376" width="8.75" style="2657"/>
    <col min="5377" max="5377" width="5" style="2657" customWidth="1"/>
    <col min="5378" max="5378" width="3.625" style="2657" customWidth="1"/>
    <col min="5379" max="5632" width="8.75" style="2657"/>
    <col min="5633" max="5633" width="5" style="2657" customWidth="1"/>
    <col min="5634" max="5634" width="3.625" style="2657" customWidth="1"/>
    <col min="5635" max="5888" width="8.75" style="2657"/>
    <col min="5889" max="5889" width="5" style="2657" customWidth="1"/>
    <col min="5890" max="5890" width="3.625" style="2657" customWidth="1"/>
    <col min="5891" max="6144" width="8.75" style="2657"/>
    <col min="6145" max="6145" width="5" style="2657" customWidth="1"/>
    <col min="6146" max="6146" width="3.625" style="2657" customWidth="1"/>
    <col min="6147" max="6400" width="8.75" style="2657"/>
    <col min="6401" max="6401" width="5" style="2657" customWidth="1"/>
    <col min="6402" max="6402" width="3.625" style="2657" customWidth="1"/>
    <col min="6403" max="6656" width="8.75" style="2657"/>
    <col min="6657" max="6657" width="5" style="2657" customWidth="1"/>
    <col min="6658" max="6658" width="3.625" style="2657" customWidth="1"/>
    <col min="6659" max="6912" width="8.75" style="2657"/>
    <col min="6913" max="6913" width="5" style="2657" customWidth="1"/>
    <col min="6914" max="6914" width="3.625" style="2657" customWidth="1"/>
    <col min="6915" max="7168" width="8.75" style="2657"/>
    <col min="7169" max="7169" width="5" style="2657" customWidth="1"/>
    <col min="7170" max="7170" width="3.625" style="2657" customWidth="1"/>
    <col min="7171" max="7424" width="8.75" style="2657"/>
    <col min="7425" max="7425" width="5" style="2657" customWidth="1"/>
    <col min="7426" max="7426" width="3.625" style="2657" customWidth="1"/>
    <col min="7427" max="7680" width="8.75" style="2657"/>
    <col min="7681" max="7681" width="5" style="2657" customWidth="1"/>
    <col min="7682" max="7682" width="3.625" style="2657" customWidth="1"/>
    <col min="7683" max="7936" width="8.75" style="2657"/>
    <col min="7937" max="7937" width="5" style="2657" customWidth="1"/>
    <col min="7938" max="7938" width="3.625" style="2657" customWidth="1"/>
    <col min="7939" max="8192" width="8.75" style="2657"/>
    <col min="8193" max="8193" width="5" style="2657" customWidth="1"/>
    <col min="8194" max="8194" width="3.625" style="2657" customWidth="1"/>
    <col min="8195" max="8448" width="8.75" style="2657"/>
    <col min="8449" max="8449" width="5" style="2657" customWidth="1"/>
    <col min="8450" max="8450" width="3.625" style="2657" customWidth="1"/>
    <col min="8451" max="8704" width="8.75" style="2657"/>
    <col min="8705" max="8705" width="5" style="2657" customWidth="1"/>
    <col min="8706" max="8706" width="3.625" style="2657" customWidth="1"/>
    <col min="8707" max="8960" width="8.75" style="2657"/>
    <col min="8961" max="8961" width="5" style="2657" customWidth="1"/>
    <col min="8962" max="8962" width="3.625" style="2657" customWidth="1"/>
    <col min="8963" max="9216" width="8.75" style="2657"/>
    <col min="9217" max="9217" width="5" style="2657" customWidth="1"/>
    <col min="9218" max="9218" width="3.625" style="2657" customWidth="1"/>
    <col min="9219" max="9472" width="8.75" style="2657"/>
    <col min="9473" max="9473" width="5" style="2657" customWidth="1"/>
    <col min="9474" max="9474" width="3.625" style="2657" customWidth="1"/>
    <col min="9475" max="9728" width="8.75" style="2657"/>
    <col min="9729" max="9729" width="5" style="2657" customWidth="1"/>
    <col min="9730" max="9730" width="3.625" style="2657" customWidth="1"/>
    <col min="9731" max="9984" width="8.75" style="2657"/>
    <col min="9985" max="9985" width="5" style="2657" customWidth="1"/>
    <col min="9986" max="9986" width="3.625" style="2657" customWidth="1"/>
    <col min="9987" max="10240" width="8.75" style="2657"/>
    <col min="10241" max="10241" width="5" style="2657" customWidth="1"/>
    <col min="10242" max="10242" width="3.625" style="2657" customWidth="1"/>
    <col min="10243" max="10496" width="8.75" style="2657"/>
    <col min="10497" max="10497" width="5" style="2657" customWidth="1"/>
    <col min="10498" max="10498" width="3.625" style="2657" customWidth="1"/>
    <col min="10499" max="10752" width="8.75" style="2657"/>
    <col min="10753" max="10753" width="5" style="2657" customWidth="1"/>
    <col min="10754" max="10754" width="3.625" style="2657" customWidth="1"/>
    <col min="10755" max="11008" width="8.75" style="2657"/>
    <col min="11009" max="11009" width="5" style="2657" customWidth="1"/>
    <col min="11010" max="11010" width="3.625" style="2657" customWidth="1"/>
    <col min="11011" max="11264" width="8.75" style="2657"/>
    <col min="11265" max="11265" width="5" style="2657" customWidth="1"/>
    <col min="11266" max="11266" width="3.625" style="2657" customWidth="1"/>
    <col min="11267" max="11520" width="8.75" style="2657"/>
    <col min="11521" max="11521" width="5" style="2657" customWidth="1"/>
    <col min="11522" max="11522" width="3.625" style="2657" customWidth="1"/>
    <col min="11523" max="11776" width="8.75" style="2657"/>
    <col min="11777" max="11777" width="5" style="2657" customWidth="1"/>
    <col min="11778" max="11778" width="3.625" style="2657" customWidth="1"/>
    <col min="11779" max="12032" width="8.75" style="2657"/>
    <col min="12033" max="12033" width="5" style="2657" customWidth="1"/>
    <col min="12034" max="12034" width="3.625" style="2657" customWidth="1"/>
    <col min="12035" max="12288" width="8.75" style="2657"/>
    <col min="12289" max="12289" width="5" style="2657" customWidth="1"/>
    <col min="12290" max="12290" width="3.625" style="2657" customWidth="1"/>
    <col min="12291" max="12544" width="8.75" style="2657"/>
    <col min="12545" max="12545" width="5" style="2657" customWidth="1"/>
    <col min="12546" max="12546" width="3.625" style="2657" customWidth="1"/>
    <col min="12547" max="12800" width="8.75" style="2657"/>
    <col min="12801" max="12801" width="5" style="2657" customWidth="1"/>
    <col min="12802" max="12802" width="3.625" style="2657" customWidth="1"/>
    <col min="12803" max="13056" width="8.75" style="2657"/>
    <col min="13057" max="13057" width="5" style="2657" customWidth="1"/>
    <col min="13058" max="13058" width="3.625" style="2657" customWidth="1"/>
    <col min="13059" max="13312" width="8.75" style="2657"/>
    <col min="13313" max="13313" width="5" style="2657" customWidth="1"/>
    <col min="13314" max="13314" width="3.625" style="2657" customWidth="1"/>
    <col min="13315" max="13568" width="8.75" style="2657"/>
    <col min="13569" max="13569" width="5" style="2657" customWidth="1"/>
    <col min="13570" max="13570" width="3.625" style="2657" customWidth="1"/>
    <col min="13571" max="13824" width="8.75" style="2657"/>
    <col min="13825" max="13825" width="5" style="2657" customWidth="1"/>
    <col min="13826" max="13826" width="3.625" style="2657" customWidth="1"/>
    <col min="13827" max="14080" width="8.75" style="2657"/>
    <col min="14081" max="14081" width="5" style="2657" customWidth="1"/>
    <col min="14082" max="14082" width="3.625" style="2657" customWidth="1"/>
    <col min="14083" max="14336" width="8.75" style="2657"/>
    <col min="14337" max="14337" width="5" style="2657" customWidth="1"/>
    <col min="14338" max="14338" width="3.625" style="2657" customWidth="1"/>
    <col min="14339" max="14592" width="8.75" style="2657"/>
    <col min="14593" max="14593" width="5" style="2657" customWidth="1"/>
    <col min="14594" max="14594" width="3.625" style="2657" customWidth="1"/>
    <col min="14595" max="14848" width="8.75" style="2657"/>
    <col min="14849" max="14849" width="5" style="2657" customWidth="1"/>
    <col min="14850" max="14850" width="3.625" style="2657" customWidth="1"/>
    <col min="14851" max="15104" width="8.75" style="2657"/>
    <col min="15105" max="15105" width="5" style="2657" customWidth="1"/>
    <col min="15106" max="15106" width="3.625" style="2657" customWidth="1"/>
    <col min="15107" max="15360" width="8.75" style="2657"/>
    <col min="15361" max="15361" width="5" style="2657" customWidth="1"/>
    <col min="15362" max="15362" width="3.625" style="2657" customWidth="1"/>
    <col min="15363" max="15616" width="8.75" style="2657"/>
    <col min="15617" max="15617" width="5" style="2657" customWidth="1"/>
    <col min="15618" max="15618" width="3.625" style="2657" customWidth="1"/>
    <col min="15619" max="15872" width="8.75" style="2657"/>
    <col min="15873" max="15873" width="5" style="2657" customWidth="1"/>
    <col min="15874" max="15874" width="3.625" style="2657" customWidth="1"/>
    <col min="15875" max="16128" width="8.75" style="2657"/>
    <col min="16129" max="16129" width="5" style="2657" customWidth="1"/>
    <col min="16130" max="16130" width="3.625" style="2657" customWidth="1"/>
    <col min="16131" max="16384" width="8.75" style="2657"/>
  </cols>
  <sheetData>
    <row r="1" spans="1:12" s="2655" customFormat="1" ht="25.5">
      <c r="A1" s="2658" t="s">
        <v>1655</v>
      </c>
    </row>
    <row r="2" spans="1:12" s="2656" customFormat="1" ht="20.25">
      <c r="A2" s="2659" t="s">
        <v>1656</v>
      </c>
      <c r="B2" s="2659" t="s">
        <v>1657</v>
      </c>
      <c r="C2" s="2660"/>
      <c r="D2" s="2660"/>
      <c r="E2" s="2660"/>
      <c r="F2" s="2660"/>
      <c r="G2" s="2660"/>
      <c r="H2" s="2660"/>
      <c r="I2" s="2660"/>
      <c r="J2" s="2660"/>
    </row>
    <row r="3" spans="1:12" ht="15" thickBot="1"/>
    <row r="4" spans="1:12">
      <c r="C4" s="2657" t="s">
        <v>1658</v>
      </c>
      <c r="L4" s="3198" t="s">
        <v>12704</v>
      </c>
    </row>
    <row r="5" spans="1:12">
      <c r="C5" s="2657" t="s">
        <v>1659</v>
      </c>
      <c r="L5" s="3199"/>
    </row>
    <row r="6" spans="1:12" ht="15" thickBot="1">
      <c r="C6" s="2661" t="s">
        <v>1660</v>
      </c>
      <c r="L6" s="3200"/>
    </row>
    <row r="8" spans="1:12" s="2656" customFormat="1" ht="20.25">
      <c r="A8" s="2659" t="s">
        <v>1661</v>
      </c>
      <c r="B8" s="2659" t="s">
        <v>1662</v>
      </c>
      <c r="C8" s="2660"/>
      <c r="D8" s="2660"/>
      <c r="E8" s="2660"/>
      <c r="F8" s="2660"/>
      <c r="G8" s="2660"/>
      <c r="H8" s="2660"/>
      <c r="I8" s="2660"/>
      <c r="J8" s="2660"/>
    </row>
    <row r="10" spans="1:12">
      <c r="C10" s="2657" t="s">
        <v>1663</v>
      </c>
    </row>
    <row r="11" spans="1:12">
      <c r="C11" s="2657" t="s">
        <v>1664</v>
      </c>
    </row>
    <row r="13" spans="1:12" ht="15.75">
      <c r="C13" s="2657" t="s">
        <v>1665</v>
      </c>
    </row>
    <row r="14" spans="1:12" ht="15.75">
      <c r="E14" s="2662" t="s">
        <v>1666</v>
      </c>
    </row>
    <row r="15" spans="1:12" ht="15.75">
      <c r="C15" s="2657" t="s">
        <v>1667</v>
      </c>
      <c r="D15" s="2662" t="s">
        <v>1668</v>
      </c>
    </row>
    <row r="16" spans="1:12" ht="15.75">
      <c r="D16" s="2662" t="s">
        <v>1669</v>
      </c>
    </row>
    <row r="17" spans="1:12" ht="15.75">
      <c r="D17" s="2662" t="s">
        <v>1670</v>
      </c>
    </row>
    <row r="18" spans="1:12" ht="15.75">
      <c r="D18" s="2662" t="s">
        <v>1671</v>
      </c>
    </row>
    <row r="19" spans="1:12">
      <c r="D19" s="2657" t="s">
        <v>1672</v>
      </c>
    </row>
    <row r="20" spans="1:12" ht="15.75">
      <c r="C20" s="2663" t="s">
        <v>1673</v>
      </c>
    </row>
    <row r="21" spans="1:12" ht="15.75">
      <c r="C21" s="2663" t="s">
        <v>1674</v>
      </c>
    </row>
    <row r="23" spans="1:12" s="2656" customFormat="1" ht="21">
      <c r="A23" s="2659" t="s">
        <v>1675</v>
      </c>
      <c r="B23" s="2659" t="s">
        <v>1676</v>
      </c>
      <c r="C23" s="2660"/>
      <c r="D23" s="2660"/>
      <c r="E23" s="2660"/>
      <c r="F23" s="2660"/>
      <c r="G23" s="2660"/>
      <c r="H23" s="2660"/>
      <c r="I23" s="2660"/>
      <c r="J23" s="2660"/>
    </row>
    <row r="25" spans="1:12">
      <c r="B25" s="2663" t="s">
        <v>1677</v>
      </c>
    </row>
    <row r="27" spans="1:12">
      <c r="J27" s="2664" t="s">
        <v>1678</v>
      </c>
    </row>
    <row r="29" spans="1:12" ht="15" thickBot="1"/>
    <row r="30" spans="1:12">
      <c r="A30" s="2663" t="s">
        <v>1679</v>
      </c>
      <c r="B30" s="2663"/>
      <c r="L30" s="3198" t="s">
        <v>12704</v>
      </c>
    </row>
    <row r="31" spans="1:12">
      <c r="L31" s="3199"/>
    </row>
    <row r="32" spans="1:12" ht="15" thickBot="1">
      <c r="L32" s="3200"/>
    </row>
    <row r="34" spans="1:10">
      <c r="A34" s="2663" t="s">
        <v>1680</v>
      </c>
    </row>
    <row r="36" spans="1:10">
      <c r="A36" s="2663" t="s">
        <v>1681</v>
      </c>
    </row>
    <row r="38" spans="1:10">
      <c r="A38" s="2663" t="s">
        <v>1682</v>
      </c>
    </row>
    <row r="41" spans="1:10" ht="15.75">
      <c r="F41" s="2664" t="s">
        <v>1683</v>
      </c>
    </row>
    <row r="42" spans="1:10" ht="15.75">
      <c r="J42" s="2667" t="s">
        <v>1684</v>
      </c>
    </row>
    <row r="43" spans="1:10" ht="15.75">
      <c r="C43" s="2657" t="s">
        <v>1685</v>
      </c>
    </row>
    <row r="44" spans="1:10" ht="15.75">
      <c r="C44" s="2657" t="s">
        <v>1686</v>
      </c>
    </row>
    <row r="46" spans="1:10" ht="15.75">
      <c r="C46" s="2665" t="s">
        <v>1687</v>
      </c>
    </row>
    <row r="47" spans="1:10" ht="15.75">
      <c r="C47" s="2666" t="s">
        <v>1688</v>
      </c>
    </row>
    <row r="49" spans="1:12">
      <c r="J49" s="2664" t="s">
        <v>1678</v>
      </c>
    </row>
    <row r="50" spans="1:12">
      <c r="B50" s="2663" t="s">
        <v>1677</v>
      </c>
    </row>
    <row r="52" spans="1:12" ht="15.75">
      <c r="C52" s="2662"/>
    </row>
    <row r="55" spans="1:12">
      <c r="A55" s="2663" t="s">
        <v>1679</v>
      </c>
    </row>
    <row r="58" spans="1:12" ht="16.5" thickBot="1">
      <c r="A58" s="2663" t="s">
        <v>1680</v>
      </c>
      <c r="J58" s="2666" t="s">
        <v>1689</v>
      </c>
    </row>
    <row r="59" spans="1:12" ht="15.75">
      <c r="J59" s="2666" t="s">
        <v>1690</v>
      </c>
      <c r="L59" s="3198" t="s">
        <v>12704</v>
      </c>
    </row>
    <row r="60" spans="1:12">
      <c r="L60" s="3199"/>
    </row>
    <row r="61" spans="1:12" ht="15" thickBot="1">
      <c r="L61" s="3200"/>
    </row>
    <row r="62" spans="1:12">
      <c r="A62" s="2663" t="s">
        <v>1682</v>
      </c>
    </row>
    <row r="66" spans="1:6">
      <c r="A66" s="2663" t="s">
        <v>1691</v>
      </c>
    </row>
    <row r="71" spans="1:6" ht="15.75">
      <c r="F71" s="2664" t="s">
        <v>1692</v>
      </c>
    </row>
    <row r="72" spans="1:6" ht="15.75">
      <c r="C72" s="2657" t="s">
        <v>1693</v>
      </c>
    </row>
    <row r="74" spans="1:6" ht="15.75">
      <c r="C74" s="2665" t="s">
        <v>1694</v>
      </c>
      <c r="D74" s="2663" t="s">
        <v>1695</v>
      </c>
    </row>
    <row r="75" spans="1:6" ht="15.75">
      <c r="D75" s="2663" t="s">
        <v>1696</v>
      </c>
    </row>
    <row r="76" spans="1:6">
      <c r="D76" s="2663" t="s">
        <v>1697</v>
      </c>
    </row>
    <row r="77" spans="1:6">
      <c r="D77" s="2663"/>
    </row>
    <row r="78" spans="1:6" ht="15.75">
      <c r="C78" s="2663" t="s">
        <v>1698</v>
      </c>
      <c r="D78" s="2663"/>
    </row>
    <row r="79" spans="1:6">
      <c r="D79" s="2668" t="s">
        <v>1699</v>
      </c>
    </row>
    <row r="80" spans="1:6">
      <c r="D80" s="2668" t="s">
        <v>1700</v>
      </c>
    </row>
    <row r="81" spans="1:12">
      <c r="D81" s="2663"/>
    </row>
    <row r="82" spans="1:12" ht="15.75">
      <c r="C82" s="2663" t="s">
        <v>1701</v>
      </c>
      <c r="D82" s="2668" t="s">
        <v>1702</v>
      </c>
    </row>
    <row r="83" spans="1:12">
      <c r="D83" s="2668" t="s">
        <v>1703</v>
      </c>
    </row>
    <row r="84" spans="1:12">
      <c r="D84" s="2668" t="s">
        <v>1704</v>
      </c>
    </row>
    <row r="85" spans="1:12">
      <c r="D85" s="2663"/>
    </row>
    <row r="86" spans="1:12" ht="15.75">
      <c r="C86" s="2663" t="s">
        <v>1705</v>
      </c>
      <c r="D86" s="2669" t="s">
        <v>1706</v>
      </c>
    </row>
    <row r="87" spans="1:12">
      <c r="D87" s="2663"/>
    </row>
    <row r="88" spans="1:12" ht="16.5" thickBot="1">
      <c r="J88" s="2667" t="s">
        <v>1707</v>
      </c>
    </row>
    <row r="89" spans="1:12" s="2656" customFormat="1" ht="20.25">
      <c r="A89" s="2659" t="s">
        <v>1708</v>
      </c>
      <c r="B89" s="2659" t="s">
        <v>1709</v>
      </c>
      <c r="C89" s="2660"/>
      <c r="D89" s="2660"/>
      <c r="E89" s="2660"/>
      <c r="F89" s="2660"/>
      <c r="G89" s="2660"/>
      <c r="H89" s="2660"/>
      <c r="I89" s="2660"/>
      <c r="J89" s="2660"/>
      <c r="L89" s="3198" t="s">
        <v>12704</v>
      </c>
    </row>
    <row r="90" spans="1:12" ht="15.75">
      <c r="B90" s="2662" t="s">
        <v>1710</v>
      </c>
      <c r="C90" s="2657" t="s">
        <v>1711</v>
      </c>
      <c r="L90" s="3199"/>
    </row>
    <row r="91" spans="1:12" ht="15" thickBot="1">
      <c r="L91" s="3200"/>
    </row>
    <row r="92" spans="1:12" ht="18.75">
      <c r="C92" s="2663" t="s">
        <v>1712</v>
      </c>
    </row>
    <row r="93" spans="1:12">
      <c r="C93" s="2663" t="s">
        <v>1713</v>
      </c>
    </row>
    <row r="97" spans="3:8" ht="15.75">
      <c r="F97" s="2664" t="s">
        <v>1714</v>
      </c>
    </row>
    <row r="99" spans="3:8" ht="15.75">
      <c r="C99" s="2663" t="s">
        <v>1715</v>
      </c>
      <c r="G99" s="2663" t="s">
        <v>1716</v>
      </c>
    </row>
    <row r="100" spans="3:8" ht="15.75">
      <c r="D100" s="2662" t="s">
        <v>1717</v>
      </c>
      <c r="G100" s="2663" t="s">
        <v>1718</v>
      </c>
    </row>
    <row r="101" spans="3:8" ht="15.75">
      <c r="D101" s="2662" t="s">
        <v>1719</v>
      </c>
      <c r="G101" s="2663" t="s">
        <v>1720</v>
      </c>
      <c r="H101" s="2663"/>
    </row>
    <row r="102" spans="3:8" ht="15.75">
      <c r="D102" s="2662" t="s">
        <v>1721</v>
      </c>
      <c r="G102" s="2663" t="s">
        <v>1722</v>
      </c>
    </row>
    <row r="104" spans="3:8" ht="15.75">
      <c r="C104" s="2663" t="s">
        <v>1723</v>
      </c>
    </row>
    <row r="105" spans="3:8" ht="15.75">
      <c r="D105" s="2662" t="s">
        <v>1724</v>
      </c>
    </row>
    <row r="106" spans="3:8" ht="15.75">
      <c r="D106" s="2662" t="s">
        <v>1725</v>
      </c>
    </row>
    <row r="108" spans="3:8" ht="15.75">
      <c r="C108" s="2663" t="s">
        <v>1726</v>
      </c>
    </row>
    <row r="109" spans="3:8" ht="15.75">
      <c r="D109" s="2662" t="s">
        <v>1727</v>
      </c>
    </row>
    <row r="110" spans="3:8" ht="15.75">
      <c r="D110" s="2662" t="s">
        <v>1728</v>
      </c>
    </row>
    <row r="112" spans="3:8" ht="15.75">
      <c r="C112" s="2663" t="s">
        <v>1729</v>
      </c>
      <c r="F112" s="2663" t="s">
        <v>1730</v>
      </c>
    </row>
    <row r="113" spans="3:9" ht="15.75">
      <c r="D113" s="2662" t="s">
        <v>1731</v>
      </c>
      <c r="F113" s="2663" t="s">
        <v>1732</v>
      </c>
    </row>
    <row r="114" spans="3:9" ht="15.75">
      <c r="D114" s="2662" t="s">
        <v>1733</v>
      </c>
    </row>
    <row r="116" spans="3:9" ht="15.75">
      <c r="C116" s="2663" t="s">
        <v>1734</v>
      </c>
    </row>
    <row r="117" spans="3:9" ht="15.75">
      <c r="D117" s="2662" t="s">
        <v>1735</v>
      </c>
    </row>
    <row r="119" spans="3:9" ht="15.75">
      <c r="C119" s="2663" t="s">
        <v>1736</v>
      </c>
    </row>
    <row r="120" spans="3:9">
      <c r="C120" s="2657" t="s">
        <v>1737</v>
      </c>
    </row>
    <row r="121" spans="3:9">
      <c r="C121" s="2657" t="s">
        <v>1738</v>
      </c>
    </row>
    <row r="123" spans="3:9" ht="15.75">
      <c r="C123" s="2670" t="s">
        <v>1739</v>
      </c>
    </row>
    <row r="127" spans="3:9">
      <c r="I127" s="2671" t="s">
        <v>1740</v>
      </c>
    </row>
  </sheetData>
  <mergeCells count="4">
    <mergeCell ref="L4:L6"/>
    <mergeCell ref="L30:L32"/>
    <mergeCell ref="L59:L61"/>
    <mergeCell ref="L89:L91"/>
  </mergeCells>
  <phoneticPr fontId="378" type="noConversion"/>
  <hyperlinks>
    <hyperlink ref="L4:L6" location="总目录!A1" display="返回目录"/>
    <hyperlink ref="L30:L32" location="总目录!A1" display="返回目录"/>
    <hyperlink ref="L59:L61" location="总目录!A1" display="返回目录"/>
    <hyperlink ref="L89:L91" location="总目录!A1" display="返回目录"/>
  </hyperlinks>
  <pageMargins left="0.75" right="0.75" top="1" bottom="1" header="0.5" footer="0.5"/>
  <pageSetup paperSize="9" orientation="portrait" horizontalDpi="1200" verticalDpi="1200"/>
  <headerFooter scaleWithDoc="0" alignWithMargins="0"/>
  <drawing r:id="rId1"/>
  <legacyDrawing r:id="rId2"/>
  <oleObjects>
    <mc:AlternateContent xmlns:mc="http://schemas.openxmlformats.org/markup-compatibility/2006">
      <mc:Choice Requires="x14">
        <oleObject progId="AutoCAD.Drawing.16" shapeId="1287169" r:id="rId3">
          <objectPr defaultSize="0" autoPict="0" altText="" r:id="rId4">
            <anchor moveWithCells="1">
              <from>
                <xdr:col>2</xdr:col>
                <xdr:colOff>304800</xdr:colOff>
                <xdr:row>47</xdr:row>
                <xdr:rowOff>47625</xdr:rowOff>
              </from>
              <to>
                <xdr:col>9</xdr:col>
                <xdr:colOff>19050</xdr:colOff>
                <xdr:row>69</xdr:row>
                <xdr:rowOff>104775</xdr:rowOff>
              </to>
            </anchor>
          </objectPr>
        </oleObject>
      </mc:Choice>
      <mc:Fallback>
        <oleObject progId="AutoCAD.Drawing.16" shapeId="1287169" r:id="rId3"/>
      </mc:Fallback>
    </mc:AlternateContent>
    <mc:AlternateContent xmlns:mc="http://schemas.openxmlformats.org/markup-compatibility/2006">
      <mc:Choice Requires="x14">
        <oleObject progId="AutoCAD.Drawing.16" shapeId="1287170" r:id="rId5">
          <objectPr defaultSize="0" autoPict="0" altText="" r:id="rId6">
            <anchor moveWithCells="1">
              <from>
                <xdr:col>2</xdr:col>
                <xdr:colOff>304800</xdr:colOff>
                <xdr:row>23</xdr:row>
                <xdr:rowOff>66675</xdr:rowOff>
              </from>
              <to>
                <xdr:col>9</xdr:col>
                <xdr:colOff>171450</xdr:colOff>
                <xdr:row>40</xdr:row>
                <xdr:rowOff>19050</xdr:rowOff>
              </to>
            </anchor>
          </objectPr>
        </oleObject>
      </mc:Choice>
      <mc:Fallback>
        <oleObject progId="AutoCAD.Drawing.16" shapeId="1287170" r:id="rId5"/>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59"/>
  <sheetViews>
    <sheetView zoomScale="115" zoomScaleNormal="115" workbookViewId="0">
      <selection activeCell="E3" sqref="E3:E5"/>
    </sheetView>
  </sheetViews>
  <sheetFormatPr defaultColWidth="8.75" defaultRowHeight="16.5"/>
  <cols>
    <col min="1" max="1" width="25" customWidth="1"/>
    <col min="2" max="2" width="15.125" customWidth="1"/>
    <col min="3" max="3" width="33.75" customWidth="1"/>
    <col min="4" max="32" width="9"/>
    <col min="257" max="16384" width="8.75" style="2643"/>
  </cols>
  <sheetData>
    <row r="1" spans="1:5">
      <c r="A1" t="s">
        <v>1741</v>
      </c>
      <c r="C1" t="s">
        <v>1742</v>
      </c>
    </row>
    <row r="2" spans="1:5" ht="17.25" thickBot="1">
      <c r="A2" t="s">
        <v>1743</v>
      </c>
      <c r="B2" s="2651">
        <v>1000</v>
      </c>
      <c r="C2" t="s">
        <v>1744</v>
      </c>
    </row>
    <row r="3" spans="1:5">
      <c r="A3" t="s">
        <v>1745</v>
      </c>
      <c r="B3" s="2651">
        <v>200</v>
      </c>
      <c r="C3" t="s">
        <v>1746</v>
      </c>
      <c r="E3" s="3198" t="s">
        <v>12704</v>
      </c>
    </row>
    <row r="4" spans="1:5">
      <c r="A4" t="s">
        <v>1747</v>
      </c>
      <c r="B4">
        <f>B3*B2/7000</f>
        <v>28.571428571428601</v>
      </c>
      <c r="C4" t="s">
        <v>1748</v>
      </c>
      <c r="E4" s="3199"/>
    </row>
    <row r="5" spans="1:5" ht="17.25" thickBot="1">
      <c r="E5" s="3200"/>
    </row>
    <row r="6" spans="1:5">
      <c r="A6" t="s">
        <v>1749</v>
      </c>
    </row>
    <row r="7" spans="1:5" ht="18.75">
      <c r="A7" t="s">
        <v>1750</v>
      </c>
      <c r="B7" s="2651">
        <v>1000</v>
      </c>
      <c r="C7" t="s">
        <v>1751</v>
      </c>
    </row>
    <row r="8" spans="1:5" ht="18">
      <c r="A8" t="s">
        <v>1752</v>
      </c>
      <c r="B8" s="2651">
        <v>30</v>
      </c>
      <c r="C8" t="s">
        <v>1753</v>
      </c>
    </row>
    <row r="9" spans="1:5">
      <c r="A9" t="s">
        <v>1754</v>
      </c>
      <c r="B9">
        <f>B7*(1+0.0007*B8)</f>
        <v>1021</v>
      </c>
    </row>
    <row r="11" spans="1:5" ht="18.75">
      <c r="A11" t="s">
        <v>1755</v>
      </c>
      <c r="C11" t="s">
        <v>1756</v>
      </c>
    </row>
    <row r="12" spans="1:5" ht="18.75">
      <c r="A12" t="s">
        <v>1757</v>
      </c>
      <c r="B12" s="2651">
        <v>30</v>
      </c>
      <c r="C12" t="s">
        <v>1758</v>
      </c>
    </row>
    <row r="13" spans="1:5">
      <c r="A13" t="s">
        <v>1759</v>
      </c>
      <c r="B13" s="2651">
        <v>200</v>
      </c>
      <c r="C13" t="s">
        <v>1760</v>
      </c>
    </row>
    <row r="14" spans="1:5">
      <c r="A14" t="s">
        <v>1761</v>
      </c>
      <c r="B14">
        <f>B12*EXP(B13*0.003)</f>
        <v>54.663564011715302</v>
      </c>
    </row>
    <row r="16" spans="1:5">
      <c r="A16" t="s">
        <v>1762</v>
      </c>
    </row>
    <row r="17" spans="1:3" ht="18.75">
      <c r="A17" t="s">
        <v>1763</v>
      </c>
      <c r="B17" s="2651">
        <v>20</v>
      </c>
    </row>
    <row r="18" spans="1:3">
      <c r="A18" t="s">
        <v>1764</v>
      </c>
      <c r="B18" s="2651">
        <v>10</v>
      </c>
    </row>
    <row r="19" spans="1:3">
      <c r="A19" t="s">
        <v>1765</v>
      </c>
      <c r="B19" s="2651">
        <v>2.13</v>
      </c>
    </row>
    <row r="20" spans="1:3">
      <c r="A20" t="s">
        <v>1766</v>
      </c>
      <c r="B20">
        <f>B17*(50/B18)^B19</f>
        <v>616.36235365218204</v>
      </c>
    </row>
    <row r="27" spans="1:3">
      <c r="A27" t="s">
        <v>1767</v>
      </c>
      <c r="C27" t="s">
        <v>1768</v>
      </c>
    </row>
    <row r="28" spans="1:3">
      <c r="A28" t="s">
        <v>1769</v>
      </c>
      <c r="B28" s="2651">
        <v>5</v>
      </c>
      <c r="C28">
        <f>7.31*B28-6.31/B28</f>
        <v>35.287999999999997</v>
      </c>
    </row>
    <row r="29" spans="1:3">
      <c r="A29" t="s">
        <v>1770</v>
      </c>
      <c r="B29" s="2651">
        <v>100</v>
      </c>
      <c r="C29">
        <f>0.22*B29-180/B29</f>
        <v>20.2</v>
      </c>
    </row>
    <row r="30" spans="1:3">
      <c r="A30" t="s">
        <v>1771</v>
      </c>
      <c r="B30" s="2651">
        <v>100</v>
      </c>
      <c r="C30">
        <f>0.26*B30-172/B30</f>
        <v>24.28</v>
      </c>
    </row>
    <row r="32" spans="1:3">
      <c r="A32" t="s">
        <v>1772</v>
      </c>
    </row>
    <row r="33" spans="1:5">
      <c r="A33" t="s">
        <v>1773</v>
      </c>
      <c r="B33">
        <v>900</v>
      </c>
    </row>
    <row r="34" spans="1:5">
      <c r="A34" t="s">
        <v>1774</v>
      </c>
      <c r="B34">
        <v>500</v>
      </c>
    </row>
    <row r="35" spans="1:5">
      <c r="A35" t="s">
        <v>1775</v>
      </c>
      <c r="B35">
        <f>B34*10*B33/100000000</f>
        <v>4.4999999999999998E-2</v>
      </c>
    </row>
    <row r="37" spans="1:5" ht="18">
      <c r="A37" t="s">
        <v>1776</v>
      </c>
      <c r="B37" t="s">
        <v>1777</v>
      </c>
    </row>
    <row r="38" spans="1:5" ht="17.25" thickBot="1">
      <c r="A38" t="s">
        <v>1778</v>
      </c>
      <c r="B38" t="s">
        <v>1779</v>
      </c>
    </row>
    <row r="39" spans="1:5">
      <c r="E39" s="3198" t="s">
        <v>12704</v>
      </c>
    </row>
    <row r="40" spans="1:5">
      <c r="B40" t="s">
        <v>1780</v>
      </c>
      <c r="E40" s="3199"/>
    </row>
    <row r="41" spans="1:5" ht="18.75" thickBot="1">
      <c r="A41" t="s">
        <v>1781</v>
      </c>
      <c r="B41" t="s">
        <v>1782</v>
      </c>
      <c r="E41" s="3200"/>
    </row>
    <row r="42" spans="1:5" ht="18">
      <c r="A42" t="s">
        <v>1783</v>
      </c>
      <c r="B42" t="s">
        <v>1784</v>
      </c>
    </row>
    <row r="46" spans="1:5">
      <c r="B46" t="s">
        <v>1785</v>
      </c>
    </row>
    <row r="49" spans="1:2">
      <c r="A49" t="s">
        <v>1786</v>
      </c>
    </row>
    <row r="50" spans="1:2">
      <c r="A50" t="s">
        <v>1787</v>
      </c>
    </row>
    <row r="51" spans="1:2">
      <c r="A51" t="s">
        <v>1788</v>
      </c>
    </row>
    <row r="52" spans="1:2" ht="18">
      <c r="A52" t="s">
        <v>1789</v>
      </c>
      <c r="B52" t="s">
        <v>1790</v>
      </c>
    </row>
    <row r="54" spans="1:2">
      <c r="A54" t="s">
        <v>1791</v>
      </c>
    </row>
    <row r="55" spans="1:2" ht="18">
      <c r="A55" t="s">
        <v>1792</v>
      </c>
    </row>
    <row r="56" spans="1:2" ht="18">
      <c r="A56" t="s">
        <v>1793</v>
      </c>
      <c r="B56" t="s">
        <v>1794</v>
      </c>
    </row>
    <row r="58" spans="1:2">
      <c r="A58" t="s">
        <v>1795</v>
      </c>
    </row>
    <row r="59" spans="1:2">
      <c r="A59" t="s">
        <v>1796</v>
      </c>
    </row>
  </sheetData>
  <sheetProtection formatCells="0" formatColumns="0" formatRows="0" insertColumns="0" insertRows="0" insertHyperlinks="0" deleteColumns="0" deleteRows="0" sort="0" autoFilter="0" pivotTables="0"/>
  <protectedRanges>
    <protectedRange sqref="B2:B3 B7:B8 B12:B13 B17:B19 B28:B30" name="区域1" securityDescriptor=""/>
  </protectedRanges>
  <mergeCells count="2">
    <mergeCell ref="E3:E5"/>
    <mergeCell ref="E39:E41"/>
  </mergeCells>
  <phoneticPr fontId="378" type="noConversion"/>
  <hyperlinks>
    <hyperlink ref="E3:E5" location="总目录!A1" display="返回目录"/>
    <hyperlink ref="E39:E41" location="总目录!A1" display="返回目录"/>
  </hyperlinks>
  <pageMargins left="0.75" right="0.75" top="1" bottom="1" header="0.5" footer="0.5"/>
  <pageSetup paperSize="9" orientation="portrait" horizontalDpi="1200" verticalDpi="1200"/>
  <headerFooter scaleWithDoc="0" alignWithMargins="0"/>
  <drawing r:id="rId1"/>
  <legacyDrawing r:id="rId2"/>
  <oleObjects>
    <mc:AlternateContent xmlns:mc="http://schemas.openxmlformats.org/markup-compatibility/2006">
      <mc:Choice Requires="x14">
        <oleObject progId="Equation.3" shapeId="1258497" r:id="rId3">
          <objectPr defaultSize="0" autoPict="0" altText="" r:id="rId4">
            <anchor moveWithCells="1">
              <from>
                <xdr:col>0</xdr:col>
                <xdr:colOff>381000</xdr:colOff>
                <xdr:row>44</xdr:row>
                <xdr:rowOff>76200</xdr:rowOff>
              </from>
              <to>
                <xdr:col>0</xdr:col>
                <xdr:colOff>1314450</xdr:colOff>
                <xdr:row>47</xdr:row>
                <xdr:rowOff>57150</xdr:rowOff>
              </to>
            </anchor>
          </objectPr>
        </oleObject>
      </mc:Choice>
      <mc:Fallback>
        <oleObject progId="Equation.3" shapeId="1258497" r:id="rId3"/>
      </mc:Fallback>
    </mc:AlternateContent>
    <mc:AlternateContent xmlns:mc="http://schemas.openxmlformats.org/markup-compatibility/2006">
      <mc:Choice Requires="x14">
        <oleObject progId="AutoCAD.Drawing.16" shapeId="1258498" r:id="rId5">
          <objectPr defaultSize="0" autoPict="0" altText="" r:id="rId6">
            <anchor moveWithCells="1">
              <from>
                <xdr:col>0</xdr:col>
                <xdr:colOff>104775</xdr:colOff>
                <xdr:row>20</xdr:row>
                <xdr:rowOff>38100</xdr:rowOff>
              </from>
              <to>
                <xdr:col>2</xdr:col>
                <xdr:colOff>1685925</xdr:colOff>
                <xdr:row>24</xdr:row>
                <xdr:rowOff>19050</xdr:rowOff>
              </to>
            </anchor>
          </objectPr>
        </oleObject>
      </mc:Choice>
      <mc:Fallback>
        <oleObject progId="AutoCAD.Drawing.16" shapeId="1258498" r:id="rId5"/>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18"/>
  <sheetViews>
    <sheetView workbookViewId="0">
      <selection activeCell="F9" sqref="F9:F11"/>
    </sheetView>
  </sheetViews>
  <sheetFormatPr defaultColWidth="8.75" defaultRowHeight="14.25"/>
  <cols>
    <col min="1" max="1" width="17.875" style="2643" customWidth="1"/>
    <col min="2" max="2" width="18.375" style="2643"/>
    <col min="3" max="3" width="19.375" style="2643"/>
    <col min="4" max="4" width="20.625" style="2643" customWidth="1"/>
    <col min="5" max="5" width="10.5" style="2643"/>
    <col min="6" max="6" width="12.75" style="2643"/>
    <col min="7" max="32" width="9" style="2643"/>
    <col min="33" max="16384" width="8.75" style="2643"/>
  </cols>
  <sheetData>
    <row r="1" spans="1:6">
      <c r="A1" s="2652" t="s">
        <v>1797</v>
      </c>
      <c r="B1" s="2652" t="s">
        <v>1798</v>
      </c>
      <c r="C1" s="2652" t="s">
        <v>1799</v>
      </c>
      <c r="D1" s="2652" t="s">
        <v>1800</v>
      </c>
    </row>
    <row r="2" spans="1:6">
      <c r="A2" s="2651">
        <v>1</v>
      </c>
      <c r="B2" s="2651">
        <v>70</v>
      </c>
      <c r="C2" s="2651">
        <v>15</v>
      </c>
      <c r="D2" s="2651">
        <v>30</v>
      </c>
    </row>
    <row r="3" spans="1:6">
      <c r="A3" s="2652" t="s">
        <v>1801</v>
      </c>
      <c r="B3" s="2652" t="s">
        <v>1802</v>
      </c>
      <c r="C3" s="2652" t="s">
        <v>1803</v>
      </c>
      <c r="D3" s="2652" t="s">
        <v>1804</v>
      </c>
    </row>
    <row r="4" spans="1:6" ht="16.5">
      <c r="A4">
        <f>(B2/5)^0.5*4.61</f>
        <v>17.2490405530279</v>
      </c>
      <c r="B4">
        <f>(B2/3)^0.5*4.61</f>
        <v>22.2684155999778</v>
      </c>
      <c r="C4">
        <f>(B2/0.8)^0.5*4.61</f>
        <v>43.122601382569698</v>
      </c>
      <c r="D4">
        <f>A2/10*C2*4/(2*410)</f>
        <v>7.3170731707317103E-3</v>
      </c>
    </row>
    <row r="5" spans="1:6">
      <c r="A5" s="2652" t="s">
        <v>1805</v>
      </c>
      <c r="B5" s="2652" t="s">
        <v>1806</v>
      </c>
      <c r="C5" s="2652"/>
      <c r="D5" s="2652"/>
    </row>
    <row r="6" spans="1:6" ht="16.5">
      <c r="A6">
        <f>B2*1000/(3.1416*15*C2^2)</f>
        <v>6.6019673862811104</v>
      </c>
      <c r="B6">
        <f>A6*1000*C2/D2</f>
        <v>3300.9836931405598</v>
      </c>
      <c r="C6" s="2652"/>
      <c r="D6" s="2652"/>
    </row>
    <row r="7" spans="1:6">
      <c r="A7" s="2652"/>
      <c r="B7" s="2652"/>
      <c r="C7" s="2652"/>
      <c r="D7" s="2652"/>
    </row>
    <row r="8" spans="1:6" ht="15" thickBot="1">
      <c r="A8" s="2652"/>
      <c r="B8" s="2652" t="s">
        <v>1807</v>
      </c>
      <c r="C8" s="2652" t="s">
        <v>1808</v>
      </c>
      <c r="D8" s="2652"/>
    </row>
    <row r="9" spans="1:6">
      <c r="A9" s="2652"/>
      <c r="B9" s="2651">
        <v>1</v>
      </c>
      <c r="C9" s="2651">
        <v>1</v>
      </c>
      <c r="D9" s="2652"/>
      <c r="F9" s="3198" t="s">
        <v>12704</v>
      </c>
    </row>
    <row r="10" spans="1:6" ht="16.5">
      <c r="A10" s="2652" t="s">
        <v>1809</v>
      </c>
      <c r="B10">
        <f>B9*900*A6^2*75/(B6*C2*200)</f>
        <v>0.29708853238264998</v>
      </c>
      <c r="C10">
        <f>C9*900*A6^2*80/(B6*C2*200)</f>
        <v>0.31689443454149302</v>
      </c>
      <c r="D10" s="2652"/>
      <c r="F10" s="3199"/>
    </row>
    <row r="11" spans="1:6" ht="17.25" thickBot="1">
      <c r="A11" s="2652" t="s">
        <v>1810</v>
      </c>
      <c r="B11">
        <f>B9*900*A6^2*0.3164*B6^-0.25/(C2*200)</f>
        <v>0.54581269666373999</v>
      </c>
      <c r="C11">
        <f>C9*900*A6^2*0.3164*B6^-0.25/(C2*200)</f>
        <v>0.54581269666373999</v>
      </c>
      <c r="D11" s="2652"/>
      <c r="F11" s="3200"/>
    </row>
    <row r="13" spans="1:6" ht="16.5">
      <c r="A13" t="s">
        <v>1811</v>
      </c>
      <c r="B13"/>
      <c r="C13"/>
      <c r="D13"/>
    </row>
    <row r="14" spans="1:6">
      <c r="A14" s="2652" t="s">
        <v>1812</v>
      </c>
      <c r="B14" s="2651">
        <v>100</v>
      </c>
      <c r="C14" s="2652" t="s">
        <v>1813</v>
      </c>
      <c r="D14" s="2651">
        <v>2</v>
      </c>
    </row>
    <row r="15" spans="1:6" ht="16.5">
      <c r="A15" s="2652" t="s">
        <v>1814</v>
      </c>
      <c r="B15" s="2651">
        <v>10</v>
      </c>
      <c r="C15" s="2652" t="s">
        <v>1815</v>
      </c>
      <c r="D15">
        <f>(B14/(6*0.62*3.14159*B15*D14))^2*45</f>
        <v>8.2369727828466299</v>
      </c>
    </row>
    <row r="16" spans="1:6" ht="16.5">
      <c r="A16" s="2652" t="s">
        <v>1816</v>
      </c>
      <c r="B16" s="2651">
        <v>69</v>
      </c>
      <c r="C16" s="2652" t="s">
        <v>1817</v>
      </c>
      <c r="D16">
        <f>B14^2*COS(B16/180*3.14159)/(3.14159*4*B15*D14)</f>
        <v>14.2590574833094</v>
      </c>
    </row>
    <row r="19" spans="1:4" ht="16.5">
      <c r="A19" t="s">
        <v>1818</v>
      </c>
      <c r="B19" s="2654"/>
      <c r="C19" s="2654"/>
      <c r="D19" s="2654"/>
    </row>
    <row r="20" spans="1:4">
      <c r="A20" s="2654" t="s">
        <v>1819</v>
      </c>
      <c r="B20" s="2654" t="s">
        <v>1820</v>
      </c>
      <c r="C20" s="2654" t="s">
        <v>1821</v>
      </c>
      <c r="D20" s="2654"/>
    </row>
    <row r="21" spans="1:4">
      <c r="A21" s="2651">
        <v>5</v>
      </c>
      <c r="B21" s="2651">
        <v>3</v>
      </c>
      <c r="C21" s="2651">
        <v>0.62</v>
      </c>
      <c r="D21" s="2654"/>
    </row>
    <row r="22" spans="1:4">
      <c r="A22" s="2654" t="s">
        <v>1822</v>
      </c>
      <c r="B22" s="2654"/>
      <c r="C22" s="2654"/>
      <c r="D22" s="2654"/>
    </row>
    <row r="23" spans="1:4" ht="16.5">
      <c r="A23">
        <f>C21*3.14*A21^2*6/400*(2000/9*B21)^0.5</f>
        <v>18.849809945991499</v>
      </c>
      <c r="B23" s="2654"/>
      <c r="C23" s="2654"/>
      <c r="D23" s="2654"/>
    </row>
    <row r="25" spans="1:4" ht="16.5">
      <c r="A25" t="s">
        <v>1823</v>
      </c>
      <c r="B25" s="2652"/>
      <c r="C25" s="2652"/>
      <c r="D25" s="2652"/>
    </row>
    <row r="26" spans="1:4">
      <c r="A26" s="2652" t="s">
        <v>1819</v>
      </c>
      <c r="B26" s="2652" t="s">
        <v>1820</v>
      </c>
      <c r="C26" s="2652" t="s">
        <v>1800</v>
      </c>
      <c r="D26" s="2652" t="s">
        <v>1824</v>
      </c>
    </row>
    <row r="27" spans="1:4">
      <c r="A27" s="2651">
        <v>20</v>
      </c>
      <c r="B27" s="2651">
        <v>0.2</v>
      </c>
      <c r="C27" s="2651">
        <v>20</v>
      </c>
      <c r="D27" s="2651">
        <v>273</v>
      </c>
    </row>
    <row r="28" spans="1:4">
      <c r="A28" s="2652" t="s">
        <v>1822</v>
      </c>
      <c r="B28" s="2652"/>
      <c r="C28" s="2652"/>
      <c r="D28" s="2652"/>
    </row>
    <row r="29" spans="1:4" ht="16.5">
      <c r="A29">
        <f>3.1416*A27^4*600/(1.28*C27*9*D27)*B27</f>
        <v>958.97435897435901</v>
      </c>
      <c r="B29" s="2652"/>
      <c r="C29" s="2652"/>
      <c r="D29" s="2652"/>
    </row>
    <row r="31" spans="1:4" ht="16.5">
      <c r="A31" t="s">
        <v>1825</v>
      </c>
      <c r="B31" s="2654"/>
      <c r="C31" s="2654"/>
      <c r="D31" s="2654"/>
    </row>
    <row r="32" spans="1:4">
      <c r="A32" s="2654" t="s">
        <v>1826</v>
      </c>
      <c r="B32" s="2654" t="s">
        <v>1827</v>
      </c>
      <c r="C32" s="2654" t="s">
        <v>1828</v>
      </c>
      <c r="D32" s="2654" t="s">
        <v>1800</v>
      </c>
    </row>
    <row r="33" spans="1:4">
      <c r="A33" s="2651">
        <v>100</v>
      </c>
      <c r="B33" s="2651">
        <v>0.02</v>
      </c>
      <c r="C33" s="2651">
        <v>0</v>
      </c>
      <c r="D33" s="2651">
        <v>30</v>
      </c>
    </row>
    <row r="34" spans="1:4">
      <c r="A34" s="2654" t="s">
        <v>1820</v>
      </c>
      <c r="B34" s="2654" t="s">
        <v>1824</v>
      </c>
      <c r="C34" s="2654"/>
      <c r="D34" s="2654" t="s">
        <v>1829</v>
      </c>
    </row>
    <row r="35" spans="1:4" ht="16.5">
      <c r="A35" s="2651">
        <v>100</v>
      </c>
      <c r="B35">
        <v>50</v>
      </c>
      <c r="C35" s="2654"/>
      <c r="D35">
        <f>C33/B33</f>
        <v>0</v>
      </c>
    </row>
    <row r="36" spans="1:4">
      <c r="A36" s="2654"/>
      <c r="B36" s="2654"/>
      <c r="C36" s="2654"/>
      <c r="D36" s="2654"/>
    </row>
    <row r="37" spans="1:4" ht="16.5">
      <c r="A37" s="2654" t="s">
        <v>1822</v>
      </c>
      <c r="B37">
        <f>3.1416*A33*B33^3*A35*10000/(18*D33*B35)*(1+1.5*D35^2)</f>
        <v>9.30844444444444E-2</v>
      </c>
      <c r="C37" s="2654"/>
      <c r="D37" s="2654"/>
    </row>
    <row r="39" spans="1:4" ht="16.5">
      <c r="A39" t="s">
        <v>1830</v>
      </c>
      <c r="B39"/>
      <c r="C39" s="2652"/>
      <c r="D39" s="2652"/>
    </row>
    <row r="40" spans="1:4" ht="16.5">
      <c r="A40" s="2652" t="s">
        <v>1831</v>
      </c>
      <c r="B40" s="2652" t="s">
        <v>1832</v>
      </c>
      <c r="C40" t="s">
        <v>1833</v>
      </c>
      <c r="D40" s="2652" t="s">
        <v>1820</v>
      </c>
    </row>
    <row r="41" spans="1:4">
      <c r="A41" s="2651">
        <v>314</v>
      </c>
      <c r="B41" s="2651">
        <v>0.02</v>
      </c>
      <c r="C41" s="2651">
        <v>50</v>
      </c>
      <c r="D41" s="2651">
        <v>100</v>
      </c>
    </row>
    <row r="42" spans="1:4">
      <c r="A42" s="2652"/>
      <c r="B42" s="2652"/>
      <c r="C42" s="2652"/>
      <c r="D42" s="2652"/>
    </row>
    <row r="43" spans="1:4" ht="16.5">
      <c r="A43" s="2652" t="s">
        <v>1822</v>
      </c>
      <c r="B43">
        <f>A41*B41^3*60000/(12*9*A49*C41)*D41</f>
        <v>9.3037037037037099E-2</v>
      </c>
      <c r="C43" s="2652"/>
      <c r="D43" s="2652"/>
    </row>
    <row r="45" spans="1:4" ht="16.5">
      <c r="A45" t="s">
        <v>1834</v>
      </c>
      <c r="B45"/>
      <c r="C45" s="2654"/>
      <c r="D45" s="2654"/>
    </row>
    <row r="46" spans="1:4">
      <c r="A46" s="2654" t="s">
        <v>1832</v>
      </c>
      <c r="B46" s="2654" t="s">
        <v>1820</v>
      </c>
      <c r="C46" s="2654" t="s">
        <v>1835</v>
      </c>
      <c r="D46" s="2654" t="s">
        <v>1836</v>
      </c>
    </row>
    <row r="47" spans="1:4">
      <c r="A47" s="2651">
        <v>0.02</v>
      </c>
      <c r="B47" s="2651">
        <v>100</v>
      </c>
      <c r="C47" s="2651">
        <v>50</v>
      </c>
      <c r="D47" s="2651">
        <v>2</v>
      </c>
    </row>
    <row r="48" spans="1:4" ht="16.5">
      <c r="A48" s="2654" t="s">
        <v>1800</v>
      </c>
      <c r="B48"/>
      <c r="C48" s="2654"/>
      <c r="D48" s="2654"/>
    </row>
    <row r="49" spans="1:6">
      <c r="A49" s="2651">
        <v>30</v>
      </c>
      <c r="B49" s="2654"/>
      <c r="C49" s="2654"/>
      <c r="D49" s="2654"/>
    </row>
    <row r="50" spans="1:6">
      <c r="A50" s="2654"/>
      <c r="B50" s="2654"/>
      <c r="C50" s="2654"/>
      <c r="D50" s="2654"/>
    </row>
    <row r="51" spans="1:6" ht="16.5">
      <c r="A51" s="2654" t="s">
        <v>1822</v>
      </c>
      <c r="B51">
        <f>3.14159*A47^3*B47*10000/(9*A49*LN(C47/D47))</f>
        <v>2.89182165490834E-2</v>
      </c>
      <c r="C51" s="2654"/>
      <c r="D51" s="2654"/>
    </row>
    <row r="54" spans="1:6" ht="16.5">
      <c r="A54" t="s">
        <v>1837</v>
      </c>
      <c r="B54"/>
      <c r="C54"/>
      <c r="D54"/>
      <c r="E54"/>
      <c r="F54"/>
    </row>
    <row r="55" spans="1:6" ht="16.5">
      <c r="A55"/>
      <c r="B55"/>
      <c r="C55"/>
      <c r="D55"/>
      <c r="E55"/>
      <c r="F55"/>
    </row>
    <row r="56" spans="1:6" ht="16.5">
      <c r="A56"/>
      <c r="B56"/>
      <c r="C56"/>
      <c r="D56"/>
      <c r="E56"/>
      <c r="F56"/>
    </row>
    <row r="57" spans="1:6" ht="16.5">
      <c r="A57"/>
      <c r="B57"/>
      <c r="C57"/>
      <c r="D57"/>
      <c r="E57"/>
      <c r="F57"/>
    </row>
    <row r="58" spans="1:6" ht="16.5">
      <c r="A58"/>
      <c r="B58"/>
      <c r="C58"/>
      <c r="D58"/>
      <c r="E58"/>
      <c r="F58"/>
    </row>
    <row r="59" spans="1:6" ht="16.5">
      <c r="A59" t="s">
        <v>1838</v>
      </c>
      <c r="B59"/>
      <c r="C59"/>
      <c r="D59"/>
      <c r="E59"/>
      <c r="F59"/>
    </row>
    <row r="60" spans="1:6" ht="16.5">
      <c r="A60"/>
      <c r="B60"/>
      <c r="C60"/>
      <c r="D60"/>
      <c r="E60"/>
      <c r="F60"/>
    </row>
    <row r="61" spans="1:6" ht="16.5">
      <c r="A61"/>
      <c r="B61"/>
      <c r="C61"/>
      <c r="D61"/>
      <c r="E61"/>
      <c r="F61"/>
    </row>
    <row r="62" spans="1:6" ht="16.5">
      <c r="A62"/>
      <c r="B62"/>
      <c r="C62"/>
      <c r="D62"/>
      <c r="E62"/>
      <c r="F62"/>
    </row>
    <row r="63" spans="1:6" ht="16.5">
      <c r="A63"/>
      <c r="B63"/>
      <c r="C63"/>
      <c r="D63"/>
      <c r="E63"/>
      <c r="F63"/>
    </row>
    <row r="64" spans="1:6" ht="16.5">
      <c r="A64"/>
      <c r="B64"/>
      <c r="C64"/>
      <c r="D64"/>
      <c r="E64"/>
      <c r="F64"/>
    </row>
    <row r="65" spans="1:6" ht="16.5">
      <c r="A65" t="s">
        <v>1839</v>
      </c>
      <c r="B65" t="s">
        <v>1840</v>
      </c>
      <c r="C65"/>
      <c r="D65"/>
      <c r="E65"/>
      <c r="F65"/>
    </row>
    <row r="66" spans="1:6" ht="16.5">
      <c r="A66"/>
      <c r="B66"/>
      <c r="C66"/>
      <c r="D66"/>
      <c r="E66"/>
      <c r="F66"/>
    </row>
    <row r="67" spans="1:6" ht="16.5">
      <c r="A67" t="s">
        <v>1841</v>
      </c>
      <c r="B67"/>
      <c r="C67"/>
      <c r="D67"/>
      <c r="E67"/>
      <c r="F67"/>
    </row>
    <row r="68" spans="1:6" ht="18.75">
      <c r="A68" t="s">
        <v>1842</v>
      </c>
      <c r="B68"/>
      <c r="C68" t="s">
        <v>1843</v>
      </c>
      <c r="D68"/>
      <c r="E68"/>
      <c r="F68"/>
    </row>
    <row r="69" spans="1:6" ht="18.75">
      <c r="A69"/>
      <c r="B69"/>
      <c r="C69" t="s">
        <v>1844</v>
      </c>
      <c r="D69"/>
      <c r="E69"/>
      <c r="F69"/>
    </row>
    <row r="70" spans="1:6" ht="16.5">
      <c r="A70"/>
      <c r="B70"/>
      <c r="C70" t="s">
        <v>1845</v>
      </c>
      <c r="D70"/>
      <c r="E70"/>
      <c r="F70"/>
    </row>
    <row r="71" spans="1:6" ht="16.5">
      <c r="A71"/>
      <c r="B71"/>
      <c r="C71"/>
      <c r="D71"/>
      <c r="E71"/>
      <c r="F71"/>
    </row>
    <row r="72" spans="1:6" ht="16.5">
      <c r="A72"/>
      <c r="B72"/>
      <c r="C72"/>
      <c r="D72"/>
      <c r="E72"/>
      <c r="F72"/>
    </row>
    <row r="73" spans="1:6" ht="18.75">
      <c r="A73" t="s">
        <v>1846</v>
      </c>
      <c r="B73"/>
      <c r="C73" t="s">
        <v>1847</v>
      </c>
      <c r="D73"/>
      <c r="E73"/>
      <c r="F73"/>
    </row>
    <row r="74" spans="1:6" ht="16.5">
      <c r="A74"/>
      <c r="B74"/>
      <c r="C74" t="s">
        <v>1848</v>
      </c>
      <c r="D74"/>
      <c r="E74"/>
      <c r="F74"/>
    </row>
    <row r="75" spans="1:6" ht="16.5">
      <c r="A75"/>
      <c r="B75"/>
      <c r="C75"/>
      <c r="D75"/>
      <c r="E75"/>
      <c r="F75"/>
    </row>
    <row r="76" spans="1:6" ht="16.5">
      <c r="A76"/>
      <c r="B76"/>
      <c r="C76"/>
      <c r="D76"/>
      <c r="E76"/>
      <c r="F76"/>
    </row>
    <row r="77" spans="1:6" ht="16.5">
      <c r="A77"/>
      <c r="B77"/>
      <c r="C77"/>
      <c r="D77"/>
      <c r="E77"/>
      <c r="F77"/>
    </row>
    <row r="78" spans="1:6" ht="16.5">
      <c r="A78"/>
      <c r="B78"/>
      <c r="C78"/>
      <c r="D78"/>
      <c r="E78"/>
      <c r="F78"/>
    </row>
    <row r="79" spans="1:6" ht="16.5">
      <c r="A79"/>
      <c r="B79"/>
      <c r="C79"/>
      <c r="D79"/>
      <c r="E79"/>
      <c r="F79"/>
    </row>
    <row r="80" spans="1:6" ht="16.5">
      <c r="A80" t="s">
        <v>1849</v>
      </c>
      <c r="B80"/>
      <c r="C80"/>
      <c r="D80"/>
      <c r="E80"/>
      <c r="F80"/>
    </row>
    <row r="81" spans="1:6" ht="16.5">
      <c r="A81"/>
      <c r="B81"/>
      <c r="C81" t="s">
        <v>1850</v>
      </c>
      <c r="D81"/>
      <c r="E81"/>
      <c r="F81"/>
    </row>
    <row r="82" spans="1:6" ht="16.5">
      <c r="A82"/>
      <c r="B82"/>
      <c r="C82" t="s">
        <v>1851</v>
      </c>
      <c r="D82"/>
      <c r="E82"/>
      <c r="F82"/>
    </row>
    <row r="83" spans="1:6" ht="16.5">
      <c r="A83"/>
      <c r="B83"/>
      <c r="C83" t="s">
        <v>1852</v>
      </c>
      <c r="D83"/>
      <c r="E83"/>
      <c r="F83"/>
    </row>
    <row r="84" spans="1:6" ht="16.5">
      <c r="A84"/>
      <c r="B84"/>
      <c r="C84" t="s">
        <v>1853</v>
      </c>
      <c r="D84"/>
      <c r="E84"/>
      <c r="F84"/>
    </row>
    <row r="85" spans="1:6" ht="16.5">
      <c r="A85"/>
      <c r="B85"/>
      <c r="C85" t="s">
        <v>1854</v>
      </c>
      <c r="D85"/>
      <c r="E85"/>
      <c r="F85"/>
    </row>
    <row r="86" spans="1:6" ht="16.5">
      <c r="A86"/>
      <c r="B86"/>
      <c r="C86"/>
      <c r="D86"/>
      <c r="E86"/>
      <c r="F86"/>
    </row>
    <row r="87" spans="1:6" ht="16.5">
      <c r="A87" t="s">
        <v>1855</v>
      </c>
      <c r="B87"/>
      <c r="C87"/>
      <c r="D87"/>
      <c r="E87"/>
      <c r="F87"/>
    </row>
    <row r="88" spans="1:6" ht="16.5">
      <c r="A88"/>
      <c r="B88"/>
      <c r="C88"/>
      <c r="D88"/>
      <c r="E88"/>
      <c r="F88"/>
    </row>
    <row r="89" spans="1:6" ht="16.5">
      <c r="A89"/>
      <c r="B89"/>
      <c r="C89" t="s">
        <v>1856</v>
      </c>
      <c r="D89"/>
      <c r="E89"/>
      <c r="F89"/>
    </row>
    <row r="90" spans="1:6" ht="16.5">
      <c r="A90"/>
      <c r="B90"/>
      <c r="C90"/>
      <c r="D90"/>
      <c r="E90"/>
      <c r="F90"/>
    </row>
    <row r="91" spans="1:6" ht="16.5">
      <c r="A91"/>
      <c r="B91"/>
      <c r="C91"/>
      <c r="D91"/>
      <c r="E91"/>
      <c r="F91"/>
    </row>
    <row r="92" spans="1:6" ht="16.5">
      <c r="A92"/>
      <c r="B92"/>
      <c r="C92"/>
      <c r="D92"/>
      <c r="E92"/>
      <c r="F92"/>
    </row>
    <row r="93" spans="1:6" ht="18.75">
      <c r="A93"/>
      <c r="B93"/>
      <c r="C93" t="s">
        <v>1857</v>
      </c>
      <c r="D93" t="s">
        <v>1821</v>
      </c>
      <c r="E93" t="s">
        <v>1858</v>
      </c>
      <c r="F93"/>
    </row>
    <row r="94" spans="1:6" ht="16.5">
      <c r="A94" t="s">
        <v>1818</v>
      </c>
      <c r="B94"/>
      <c r="C94" t="s">
        <v>1859</v>
      </c>
      <c r="D94" t="s">
        <v>1860</v>
      </c>
      <c r="E94" t="s">
        <v>1861</v>
      </c>
      <c r="F94"/>
    </row>
    <row r="95" spans="1:6" ht="16.5">
      <c r="A95"/>
      <c r="B95"/>
      <c r="C95" t="s">
        <v>1862</v>
      </c>
      <c r="D95" t="s">
        <v>1863</v>
      </c>
      <c r="E95">
        <v>0.82</v>
      </c>
      <c r="F95"/>
    </row>
    <row r="96" spans="1:6" ht="16.5">
      <c r="A96"/>
      <c r="B96"/>
      <c r="C96"/>
      <c r="D96"/>
      <c r="E96"/>
      <c r="F96"/>
    </row>
    <row r="97" spans="1:6" ht="16.5">
      <c r="A97"/>
      <c r="B97"/>
      <c r="C97"/>
      <c r="D97"/>
      <c r="E97"/>
      <c r="F97"/>
    </row>
    <row r="98" spans="1:6" ht="16.5">
      <c r="A98" t="s">
        <v>1823</v>
      </c>
      <c r="B98"/>
      <c r="C98"/>
      <c r="D98"/>
      <c r="E98"/>
      <c r="F98"/>
    </row>
    <row r="99" spans="1:6" ht="16.5">
      <c r="A99"/>
      <c r="B99"/>
      <c r="C99"/>
      <c r="D99"/>
      <c r="E99"/>
      <c r="F99"/>
    </row>
    <row r="100" spans="1:6" ht="16.5">
      <c r="A100"/>
      <c r="B100"/>
      <c r="C100"/>
      <c r="D100"/>
      <c r="E100"/>
      <c r="F100"/>
    </row>
    <row r="101" spans="1:6" ht="16.5">
      <c r="A101"/>
      <c r="B101"/>
      <c r="C101"/>
      <c r="D101"/>
      <c r="E101"/>
      <c r="F101"/>
    </row>
    <row r="102" spans="1:6" ht="16.5">
      <c r="A102" t="s">
        <v>1825</v>
      </c>
      <c r="B102"/>
      <c r="C102"/>
      <c r="D102" t="s">
        <v>1864</v>
      </c>
      <c r="E102"/>
      <c r="F102"/>
    </row>
    <row r="103" spans="1:6" ht="16.5">
      <c r="A103"/>
      <c r="B103"/>
      <c r="C103"/>
      <c r="D103" t="s">
        <v>1865</v>
      </c>
      <c r="E103"/>
      <c r="F103"/>
    </row>
    <row r="104" spans="1:6" ht="16.5">
      <c r="A104"/>
      <c r="B104"/>
      <c r="C104"/>
      <c r="D104" t="s">
        <v>1866</v>
      </c>
      <c r="E104"/>
      <c r="F104"/>
    </row>
    <row r="105" spans="1:6" ht="16.5">
      <c r="A105"/>
      <c r="B105"/>
      <c r="C105"/>
      <c r="D105"/>
      <c r="E105"/>
      <c r="F105"/>
    </row>
    <row r="106" spans="1:6" ht="16.5">
      <c r="A106"/>
      <c r="B106" t="s">
        <v>1867</v>
      </c>
      <c r="C106"/>
      <c r="D106"/>
      <c r="E106"/>
      <c r="F106"/>
    </row>
    <row r="107" spans="1:6" ht="16.5">
      <c r="A107"/>
      <c r="B107"/>
      <c r="C107"/>
      <c r="D107"/>
      <c r="E107"/>
      <c r="F107"/>
    </row>
    <row r="108" spans="1:6" ht="16.5">
      <c r="A108"/>
      <c r="B108"/>
      <c r="C108"/>
      <c r="D108"/>
      <c r="E108"/>
      <c r="F108"/>
    </row>
    <row r="109" spans="1:6" ht="16.5">
      <c r="A109" t="s">
        <v>1830</v>
      </c>
      <c r="B109"/>
      <c r="C109"/>
      <c r="D109" t="s">
        <v>1868</v>
      </c>
      <c r="E109"/>
      <c r="F109"/>
    </row>
    <row r="110" spans="1:6" ht="16.5">
      <c r="A110"/>
      <c r="B110"/>
      <c r="C110"/>
      <c r="D110"/>
      <c r="E110"/>
      <c r="F110"/>
    </row>
    <row r="111" spans="1:6" ht="16.5">
      <c r="A111"/>
      <c r="B111"/>
      <c r="C111"/>
      <c r="D111"/>
      <c r="E111"/>
      <c r="F111"/>
    </row>
    <row r="112" spans="1:6" ht="16.5">
      <c r="A112"/>
      <c r="B112"/>
      <c r="C112"/>
      <c r="D112"/>
      <c r="E112"/>
      <c r="F112"/>
    </row>
    <row r="113" spans="1:6" ht="16.5">
      <c r="A113"/>
      <c r="B113"/>
      <c r="C113"/>
      <c r="D113"/>
      <c r="E113"/>
      <c r="F113"/>
    </row>
    <row r="114" spans="1:6" ht="16.5">
      <c r="A114"/>
      <c r="B114"/>
      <c r="C114"/>
      <c r="D114"/>
      <c r="E114"/>
      <c r="F114"/>
    </row>
    <row r="115" spans="1:6" ht="16.5">
      <c r="A115" t="s">
        <v>1834</v>
      </c>
      <c r="B115"/>
      <c r="C115"/>
      <c r="D115" t="s">
        <v>1869</v>
      </c>
      <c r="E115"/>
      <c r="F115"/>
    </row>
    <row r="116" spans="1:6" ht="16.5">
      <c r="A116"/>
      <c r="B116"/>
      <c r="C116"/>
      <c r="D116" t="s">
        <v>1870</v>
      </c>
      <c r="E116"/>
      <c r="F116"/>
    </row>
    <row r="117" spans="1:6" ht="16.5">
      <c r="A117"/>
      <c r="B117"/>
      <c r="C117"/>
      <c r="D117"/>
      <c r="E117"/>
      <c r="F117"/>
    </row>
    <row r="118" spans="1:6" ht="16.5">
      <c r="A118"/>
      <c r="B118"/>
      <c r="C118"/>
      <c r="D118"/>
      <c r="E118"/>
      <c r="F118"/>
    </row>
  </sheetData>
  <sheetProtection formatCells="0" formatColumns="0" formatRows="0" insertColumns="0" insertRows="0" insertHyperlinks="0" deleteColumns="0" deleteRows="0" sort="0" autoFilter="0"/>
  <mergeCells count="1">
    <mergeCell ref="F9:F11"/>
  </mergeCells>
  <phoneticPr fontId="378" type="noConversion"/>
  <hyperlinks>
    <hyperlink ref="F9:F11" location="总目录!A1" display="返回目录"/>
  </hyperlinks>
  <pageMargins left="0.75" right="0.75" top="1" bottom="1" header="0.5" footer="0.5"/>
  <pageSetup paperSize="9" orientation="portrait" horizontalDpi="1200" verticalDpi="1200"/>
  <headerFooter scaleWithDoc="0" alignWithMargins="0"/>
  <drawing r:id="rId1"/>
  <legacyDrawing r:id="rId2"/>
  <oleObjects>
    <mc:AlternateContent xmlns:mc="http://schemas.openxmlformats.org/markup-compatibility/2006">
      <mc:Choice Requires="x14">
        <oleObject progId="Equation.3" shapeId="1257473" r:id="rId3">
          <objectPr defaultSize="0" autoPict="0" altText="" r:id="rId4">
            <anchor moveWithCells="1">
              <from>
                <xdr:col>0</xdr:col>
                <xdr:colOff>0</xdr:colOff>
                <xdr:row>54</xdr:row>
                <xdr:rowOff>95250</xdr:rowOff>
              </from>
              <to>
                <xdr:col>1</xdr:col>
                <xdr:colOff>742950</xdr:colOff>
                <xdr:row>57</xdr:row>
                <xdr:rowOff>152400</xdr:rowOff>
              </to>
            </anchor>
          </objectPr>
        </oleObject>
      </mc:Choice>
      <mc:Fallback>
        <oleObject progId="Equation.3" shapeId="1257473" r:id="rId3"/>
      </mc:Fallback>
    </mc:AlternateContent>
    <mc:AlternateContent xmlns:mc="http://schemas.openxmlformats.org/markup-compatibility/2006">
      <mc:Choice Requires="x14">
        <oleObject progId="Equation.3" shapeId="1257474" r:id="rId5">
          <objectPr defaultSize="0" autoPict="0" altText="" r:id="rId6">
            <anchor moveWithCells="1">
              <from>
                <xdr:col>0</xdr:col>
                <xdr:colOff>0</xdr:colOff>
                <xdr:row>59</xdr:row>
                <xdr:rowOff>57150</xdr:rowOff>
              </from>
              <to>
                <xdr:col>1</xdr:col>
                <xdr:colOff>1123950</xdr:colOff>
                <xdr:row>62</xdr:row>
                <xdr:rowOff>114300</xdr:rowOff>
              </to>
            </anchor>
          </objectPr>
        </oleObject>
      </mc:Choice>
      <mc:Fallback>
        <oleObject progId="Equation.3" shapeId="1257474" r:id="rId5"/>
      </mc:Fallback>
    </mc:AlternateContent>
    <mc:AlternateContent xmlns:mc="http://schemas.openxmlformats.org/markup-compatibility/2006">
      <mc:Choice Requires="x14">
        <oleObject progId="AutoCAD.Drawing.16" shapeId="1257475" r:id="rId7">
          <objectPr defaultSize="0" autoPict="0" altText="" r:id="rId8">
            <anchor moveWithCells="1">
              <from>
                <xdr:col>3</xdr:col>
                <xdr:colOff>400050</xdr:colOff>
                <xdr:row>62</xdr:row>
                <xdr:rowOff>85725</xdr:rowOff>
              </from>
              <to>
                <xdr:col>5</xdr:col>
                <xdr:colOff>428625</xdr:colOff>
                <xdr:row>74</xdr:row>
                <xdr:rowOff>114300</xdr:rowOff>
              </to>
            </anchor>
          </objectPr>
        </oleObject>
      </mc:Choice>
      <mc:Fallback>
        <oleObject progId="AutoCAD.Drawing.16" shapeId="1257475" r:id="rId7"/>
      </mc:Fallback>
    </mc:AlternateContent>
    <mc:AlternateContent xmlns:mc="http://schemas.openxmlformats.org/markup-compatibility/2006">
      <mc:Choice Requires="x14">
        <oleObject progId="Equation.3" shapeId="1257476" r:id="rId9">
          <objectPr defaultSize="0" autoPict="0" altText="" r:id="rId10">
            <anchor moveWithCells="1">
              <from>
                <xdr:col>0</xdr:col>
                <xdr:colOff>9525</xdr:colOff>
                <xdr:row>87</xdr:row>
                <xdr:rowOff>19050</xdr:rowOff>
              </from>
              <to>
                <xdr:col>0</xdr:col>
                <xdr:colOff>1257300</xdr:colOff>
                <xdr:row>89</xdr:row>
                <xdr:rowOff>114300</xdr:rowOff>
              </to>
            </anchor>
          </objectPr>
        </oleObject>
      </mc:Choice>
      <mc:Fallback>
        <oleObject progId="Equation.3" shapeId="1257476" r:id="rId9"/>
      </mc:Fallback>
    </mc:AlternateContent>
    <mc:AlternateContent xmlns:mc="http://schemas.openxmlformats.org/markup-compatibility/2006">
      <mc:Choice Requires="x14">
        <oleObject progId="AutoCAD.Drawing.16" shapeId="1257477" r:id="rId11">
          <objectPr defaultSize="0" autoPict="0" altText="" r:id="rId12">
            <anchor moveWithCells="1">
              <from>
                <xdr:col>3</xdr:col>
                <xdr:colOff>95250</xdr:colOff>
                <xdr:row>77</xdr:row>
                <xdr:rowOff>57150</xdr:rowOff>
              </from>
              <to>
                <xdr:col>5</xdr:col>
                <xdr:colOff>19050</xdr:colOff>
                <xdr:row>86</xdr:row>
                <xdr:rowOff>19050</xdr:rowOff>
              </to>
            </anchor>
          </objectPr>
        </oleObject>
      </mc:Choice>
      <mc:Fallback>
        <oleObject progId="AutoCAD.Drawing.16" shapeId="1257477" r:id="rId11"/>
      </mc:Fallback>
    </mc:AlternateContent>
    <mc:AlternateContent xmlns:mc="http://schemas.openxmlformats.org/markup-compatibility/2006">
      <mc:Choice Requires="x14">
        <oleObject progId="Equation.3" shapeId="1257478" r:id="rId13">
          <objectPr defaultSize="0" autoPict="0" altText="" r:id="rId14">
            <anchor moveWithCells="1">
              <from>
                <xdr:col>0</xdr:col>
                <xdr:colOff>38100</xdr:colOff>
                <xdr:row>80</xdr:row>
                <xdr:rowOff>85725</xdr:rowOff>
              </from>
              <to>
                <xdr:col>0</xdr:col>
                <xdr:colOff>1276350</xdr:colOff>
                <xdr:row>82</xdr:row>
                <xdr:rowOff>171450</xdr:rowOff>
              </to>
            </anchor>
          </objectPr>
        </oleObject>
      </mc:Choice>
      <mc:Fallback>
        <oleObject progId="Equation.3" shapeId="1257478" r:id="rId13"/>
      </mc:Fallback>
    </mc:AlternateContent>
    <mc:AlternateContent xmlns:mc="http://schemas.openxmlformats.org/markup-compatibility/2006">
      <mc:Choice Requires="x14">
        <oleObject progId="Equation.3" shapeId="1257479" r:id="rId15">
          <objectPr defaultSize="0" autoPict="0" altText="" r:id="rId16">
            <anchor moveWithCells="1">
              <from>
                <xdr:col>1</xdr:col>
                <xdr:colOff>19050</xdr:colOff>
                <xdr:row>92</xdr:row>
                <xdr:rowOff>85725</xdr:rowOff>
              </from>
              <to>
                <xdr:col>1</xdr:col>
                <xdr:colOff>1276350</xdr:colOff>
                <xdr:row>95</xdr:row>
                <xdr:rowOff>57150</xdr:rowOff>
              </to>
            </anchor>
          </objectPr>
        </oleObject>
      </mc:Choice>
      <mc:Fallback>
        <oleObject progId="Equation.3" shapeId="1257479" r:id="rId15"/>
      </mc:Fallback>
    </mc:AlternateContent>
    <mc:AlternateContent xmlns:mc="http://schemas.openxmlformats.org/markup-compatibility/2006">
      <mc:Choice Requires="x14">
        <oleObject progId="Equation.3" shapeId="1257480" r:id="rId17">
          <objectPr defaultSize="0" autoPict="0" altText="" r:id="rId18">
            <anchor moveWithCells="1">
              <from>
                <xdr:col>1</xdr:col>
                <xdr:colOff>47625</xdr:colOff>
                <xdr:row>96</xdr:row>
                <xdr:rowOff>57150</xdr:rowOff>
              </from>
              <to>
                <xdr:col>2</xdr:col>
                <xdr:colOff>1123950</xdr:colOff>
                <xdr:row>99</xdr:row>
                <xdr:rowOff>95250</xdr:rowOff>
              </to>
            </anchor>
          </objectPr>
        </oleObject>
      </mc:Choice>
      <mc:Fallback>
        <oleObject progId="Equation.3" shapeId="1257480" r:id="rId17"/>
      </mc:Fallback>
    </mc:AlternateContent>
    <mc:AlternateContent xmlns:mc="http://schemas.openxmlformats.org/markup-compatibility/2006">
      <mc:Choice Requires="x14">
        <oleObject progId="Equation.3" shapeId="1257481" r:id="rId19">
          <objectPr defaultSize="0" autoPict="0" altText="" r:id="rId20">
            <anchor moveWithCells="1">
              <from>
                <xdr:col>0</xdr:col>
                <xdr:colOff>1190625</xdr:colOff>
                <xdr:row>100</xdr:row>
                <xdr:rowOff>133350</xdr:rowOff>
              </from>
              <to>
                <xdr:col>2</xdr:col>
                <xdr:colOff>1428750</xdr:colOff>
                <xdr:row>103</xdr:row>
                <xdr:rowOff>171450</xdr:rowOff>
              </to>
            </anchor>
          </objectPr>
        </oleObject>
      </mc:Choice>
      <mc:Fallback>
        <oleObject progId="Equation.3" shapeId="1257481" r:id="rId19"/>
      </mc:Fallback>
    </mc:AlternateContent>
    <mc:AlternateContent xmlns:mc="http://schemas.openxmlformats.org/markup-compatibility/2006">
      <mc:Choice Requires="x14">
        <oleObject progId="Equation.3" shapeId="1257482" r:id="rId21">
          <objectPr defaultSize="0" autoPict="0" altText="" r:id="rId22">
            <anchor moveWithCells="1">
              <from>
                <xdr:col>1</xdr:col>
                <xdr:colOff>57150</xdr:colOff>
                <xdr:row>108</xdr:row>
                <xdr:rowOff>57150</xdr:rowOff>
              </from>
              <to>
                <xdr:col>3</xdr:col>
                <xdr:colOff>171450</xdr:colOff>
                <xdr:row>111</xdr:row>
                <xdr:rowOff>85725</xdr:rowOff>
              </to>
            </anchor>
          </objectPr>
        </oleObject>
      </mc:Choice>
      <mc:Fallback>
        <oleObject progId="Equation.3" shapeId="1257482" r:id="rId21"/>
      </mc:Fallback>
    </mc:AlternateContent>
    <mc:AlternateContent xmlns:mc="http://schemas.openxmlformats.org/markup-compatibility/2006">
      <mc:Choice Requires="x14">
        <oleObject progId="Equation.3" shapeId="1257483" r:id="rId23">
          <objectPr defaultSize="0" autoPict="0" altText="" r:id="rId24">
            <anchor moveWithCells="1">
              <from>
                <xdr:col>1</xdr:col>
                <xdr:colOff>57150</xdr:colOff>
                <xdr:row>114</xdr:row>
                <xdr:rowOff>19050</xdr:rowOff>
              </from>
              <to>
                <xdr:col>2</xdr:col>
                <xdr:colOff>1238250</xdr:colOff>
                <xdr:row>117</xdr:row>
                <xdr:rowOff>19050</xdr:rowOff>
              </to>
            </anchor>
          </objectPr>
        </oleObject>
      </mc:Choice>
      <mc:Fallback>
        <oleObject progId="Equation.3" shapeId="1257483" r:id="rId2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62"/>
  <sheetViews>
    <sheetView workbookViewId="0">
      <selection activeCell="K3" sqref="K3"/>
    </sheetView>
  </sheetViews>
  <sheetFormatPr defaultColWidth="8.75" defaultRowHeight="14.25"/>
  <cols>
    <col min="1" max="1" width="18.375" style="2643"/>
    <col min="2" max="2" width="12.75" style="2643"/>
    <col min="3" max="3" width="26.875" style="2643" customWidth="1"/>
    <col min="4" max="4" width="10.5" style="2643" customWidth="1"/>
    <col min="5" max="5" width="7.5" style="2643" customWidth="1"/>
    <col min="6" max="7" width="13.875" style="2643"/>
    <col min="8" max="8" width="11.625" style="2643"/>
    <col min="9" max="16384" width="8.75" style="2643"/>
  </cols>
  <sheetData>
    <row r="1" spans="1:10" ht="16.5">
      <c r="A1" t="s">
        <v>117</v>
      </c>
      <c r="B1"/>
      <c r="C1"/>
      <c r="F1"/>
      <c r="G1"/>
      <c r="H1"/>
    </row>
    <row r="2" spans="1:10" ht="17.25" thickBot="1">
      <c r="A2" s="2652" t="s">
        <v>1871</v>
      </c>
      <c r="B2" s="2652" t="s">
        <v>1872</v>
      </c>
      <c r="C2" s="2652" t="s">
        <v>1873</v>
      </c>
      <c r="F2"/>
      <c r="G2"/>
      <c r="H2"/>
    </row>
    <row r="3" spans="1:10" ht="16.5">
      <c r="A3" s="2650">
        <v>1</v>
      </c>
      <c r="B3" s="2651">
        <v>0.183</v>
      </c>
      <c r="C3" s="2651">
        <v>2</v>
      </c>
      <c r="F3"/>
      <c r="G3"/>
      <c r="H3"/>
      <c r="I3" s="3198" t="s">
        <v>12704</v>
      </c>
    </row>
    <row r="4" spans="1:10" ht="16.5">
      <c r="A4" s="2650">
        <v>2</v>
      </c>
      <c r="B4" s="2651">
        <v>0.6</v>
      </c>
      <c r="C4" s="2651">
        <v>2</v>
      </c>
      <c r="F4"/>
      <c r="G4"/>
      <c r="H4"/>
      <c r="I4" s="3199"/>
    </row>
    <row r="5" spans="1:10" ht="17.25" thickBot="1">
      <c r="A5" s="2650">
        <v>3</v>
      </c>
      <c r="B5" s="2651">
        <v>0.317</v>
      </c>
      <c r="C5" s="2651">
        <v>2</v>
      </c>
      <c r="F5"/>
      <c r="G5"/>
      <c r="H5"/>
      <c r="I5" s="3200"/>
    </row>
    <row r="6" spans="1:10" ht="16.5">
      <c r="A6" s="2650">
        <v>4</v>
      </c>
      <c r="B6" s="2651">
        <v>0.25</v>
      </c>
      <c r="C6" s="2651">
        <v>2</v>
      </c>
      <c r="F6"/>
      <c r="G6"/>
      <c r="H6"/>
    </row>
    <row r="7" spans="1:10" ht="16.5">
      <c r="A7" s="2650">
        <v>5</v>
      </c>
      <c r="B7" s="2651">
        <v>0.95</v>
      </c>
      <c r="C7" s="2651">
        <v>2</v>
      </c>
      <c r="F7"/>
      <c r="G7"/>
      <c r="H7"/>
    </row>
    <row r="8" spans="1:10" ht="16.5">
      <c r="A8"/>
      <c r="B8"/>
      <c r="C8"/>
      <c r="F8"/>
      <c r="G8"/>
      <c r="H8"/>
    </row>
    <row r="9" spans="1:10" ht="16.5">
      <c r="A9" s="2652" t="s">
        <v>1874</v>
      </c>
      <c r="B9">
        <f>(B3*C3+B4*C4+B5*C5+B6*C6+B7*C7)/(C3+C4+C5+C6+C7)</f>
        <v>0.46</v>
      </c>
      <c r="C9"/>
    </row>
    <row r="10" spans="1:10" ht="16.5">
      <c r="A10" s="2652" t="s">
        <v>1875</v>
      </c>
      <c r="B10">
        <f>0.5*(ABS(B9-B3)*C3+ABS(B9-B4)*C4+ABS(B9-B5)*C5+ABS(B9-B6)*C6+ABS(B9-B7)*C7)</f>
        <v>1.26</v>
      </c>
      <c r="C10"/>
    </row>
    <row r="12" spans="1:10">
      <c r="A12" s="2654" t="s">
        <v>1876</v>
      </c>
      <c r="B12" s="2651">
        <v>10</v>
      </c>
      <c r="C12" s="2654" t="s">
        <v>1877</v>
      </c>
      <c r="D12" s="2651">
        <v>0.85</v>
      </c>
      <c r="F12" s="2652"/>
      <c r="G12" s="2652" t="s">
        <v>1878</v>
      </c>
      <c r="H12" s="2652" t="s">
        <v>1879</v>
      </c>
      <c r="I12" s="2652" t="s">
        <v>1880</v>
      </c>
      <c r="J12" s="2652" t="s">
        <v>1881</v>
      </c>
    </row>
    <row r="13" spans="1:10" ht="15.75">
      <c r="A13" s="2654" t="s">
        <v>1797</v>
      </c>
      <c r="B13" s="2651">
        <v>140</v>
      </c>
      <c r="C13" s="2654" t="s">
        <v>1882</v>
      </c>
      <c r="D13" s="2651">
        <v>1</v>
      </c>
      <c r="F13" s="2652" t="s">
        <v>1877</v>
      </c>
      <c r="G13" s="2652" t="s">
        <v>1883</v>
      </c>
      <c r="H13" s="2652" t="s">
        <v>1884</v>
      </c>
      <c r="I13" s="2652" t="s">
        <v>1885</v>
      </c>
      <c r="J13" s="2652">
        <v>0.8</v>
      </c>
    </row>
    <row r="14" spans="1:10">
      <c r="A14" s="2654" t="s">
        <v>1886</v>
      </c>
      <c r="B14" s="2651">
        <v>100</v>
      </c>
      <c r="C14" s="2654"/>
      <c r="D14" s="2654"/>
      <c r="E14" s="2642"/>
    </row>
    <row r="15" spans="1:10" ht="18.75">
      <c r="A15" s="2654"/>
      <c r="B15" s="2654"/>
      <c r="C15" s="2654"/>
      <c r="D15" s="2654"/>
      <c r="F15" s="2652" t="s">
        <v>1887</v>
      </c>
      <c r="G15" s="2652" t="s">
        <v>1888</v>
      </c>
    </row>
    <row r="16" spans="1:10" ht="18.75">
      <c r="A16" s="2654" t="s">
        <v>1889</v>
      </c>
      <c r="B16">
        <f>B14*D12</f>
        <v>85</v>
      </c>
      <c r="C16" s="2654"/>
      <c r="D16" s="2654"/>
      <c r="F16" s="2652" t="s">
        <v>1890</v>
      </c>
      <c r="G16" s="2652" t="s">
        <v>1888</v>
      </c>
    </row>
    <row r="17" spans="1:8" ht="16.5">
      <c r="A17" s="2654" t="s">
        <v>1891</v>
      </c>
      <c r="B17">
        <f>B12/(B16^(1/D13)*((1/B14)^(1/D13)-(1/B13)^(1/D13)))</f>
        <v>41.176470588235297</v>
      </c>
      <c r="C17" s="2654"/>
      <c r="D17" s="2654"/>
    </row>
    <row r="18" spans="1:8">
      <c r="F18" s="2652"/>
      <c r="G18" s="2652" t="s">
        <v>1892</v>
      </c>
      <c r="H18" s="2652" t="s">
        <v>1893</v>
      </c>
    </row>
    <row r="19" spans="1:8" ht="16.5">
      <c r="A19" t="s">
        <v>1894</v>
      </c>
      <c r="B19"/>
      <c r="C19" s="2652"/>
      <c r="D19" s="2652"/>
      <c r="F19" s="2652" t="s">
        <v>1882</v>
      </c>
      <c r="G19" s="2652">
        <v>1.4</v>
      </c>
      <c r="H19" s="2652">
        <v>1</v>
      </c>
    </row>
    <row r="20" spans="1:8" ht="16.5">
      <c r="A20" s="2652" t="s">
        <v>1895</v>
      </c>
      <c r="B20" s="2651">
        <v>30</v>
      </c>
      <c r="C20" s="2652" t="s">
        <v>1889</v>
      </c>
      <c r="D20" s="2650">
        <f>D22</f>
        <v>270</v>
      </c>
      <c r="E20"/>
    </row>
    <row r="21" spans="1:8">
      <c r="A21" s="2652" t="s">
        <v>1896</v>
      </c>
      <c r="B21" s="2651">
        <v>40</v>
      </c>
      <c r="C21" s="2652" t="s">
        <v>1897</v>
      </c>
      <c r="D21" s="2651">
        <v>300</v>
      </c>
    </row>
    <row r="22" spans="1:8">
      <c r="A22" s="2652" t="s">
        <v>1898</v>
      </c>
      <c r="B22" s="2651">
        <v>0.05</v>
      </c>
      <c r="C22" s="2652" t="s">
        <v>1886</v>
      </c>
      <c r="D22" s="2651">
        <v>270</v>
      </c>
    </row>
    <row r="23" spans="1:8">
      <c r="A23" s="2652" t="s">
        <v>1798</v>
      </c>
      <c r="B23" s="2651">
        <v>250</v>
      </c>
      <c r="C23" s="2652"/>
      <c r="D23" s="2652"/>
    </row>
    <row r="24" spans="1:8">
      <c r="A24" s="2652"/>
      <c r="B24" s="2652"/>
      <c r="C24" s="2652"/>
      <c r="D24" s="2652"/>
    </row>
    <row r="25" spans="1:8" ht="16.5">
      <c r="A25" s="2652" t="s">
        <v>1899</v>
      </c>
      <c r="B25">
        <f>0.2*900*B21*B23^2/(3.14159*B20^2/400*D20)*(1/((D21/D20)^0.285-1))/100000</f>
        <v>77.349448169041807</v>
      </c>
      <c r="C25" s="2652"/>
      <c r="D25" s="2652"/>
    </row>
    <row r="26" spans="1:8" ht="16.5">
      <c r="A26" s="2652" t="s">
        <v>1900</v>
      </c>
      <c r="B26">
        <f>4*B23*D21*(0.0164*B21-B22)/(D21-D22)/1000</f>
        <v>6.06</v>
      </c>
      <c r="C26" s="2652"/>
      <c r="D26" s="2652"/>
    </row>
    <row r="28" spans="1:8" ht="16.5">
      <c r="A28" t="s">
        <v>1901</v>
      </c>
    </row>
    <row r="29" spans="1:8" ht="15.75">
      <c r="A29" s="2654" t="s">
        <v>1902</v>
      </c>
      <c r="B29" s="2651">
        <v>300</v>
      </c>
      <c r="C29" s="2654" t="s">
        <v>1903</v>
      </c>
      <c r="D29" s="2651">
        <v>100</v>
      </c>
      <c r="F29" s="2652" t="s">
        <v>1904</v>
      </c>
      <c r="G29" s="2652" t="s">
        <v>1905</v>
      </c>
    </row>
    <row r="30" spans="1:8" ht="15.75">
      <c r="A30" s="2654" t="s">
        <v>1906</v>
      </c>
      <c r="B30" s="2651">
        <v>0.01</v>
      </c>
      <c r="C30" s="2654" t="s">
        <v>1907</v>
      </c>
      <c r="D30" s="2651">
        <v>10</v>
      </c>
      <c r="F30" s="2652" t="s">
        <v>1908</v>
      </c>
      <c r="G30" s="2650">
        <v>1670</v>
      </c>
    </row>
    <row r="31" spans="1:8" ht="15.75">
      <c r="A31" s="2654" t="s">
        <v>1909</v>
      </c>
      <c r="B31" s="2651">
        <v>0</v>
      </c>
      <c r="C31" s="2654" t="s">
        <v>1910</v>
      </c>
      <c r="D31" s="2651">
        <v>20</v>
      </c>
      <c r="F31" s="2652" t="s">
        <v>368</v>
      </c>
      <c r="G31" s="2650">
        <v>210000</v>
      </c>
    </row>
    <row r="32" spans="1:8" ht="15.75">
      <c r="A32" s="2654" t="s">
        <v>1911</v>
      </c>
      <c r="B32" s="2651">
        <v>1670</v>
      </c>
      <c r="C32" s="2654" t="s">
        <v>1912</v>
      </c>
      <c r="D32" s="2651">
        <v>210000</v>
      </c>
      <c r="F32" s="2652" t="s">
        <v>1913</v>
      </c>
      <c r="G32" s="2650">
        <v>120000</v>
      </c>
    </row>
    <row r="33" spans="1:7" ht="16.5">
      <c r="A33" s="2654"/>
      <c r="B33"/>
      <c r="C33" s="2654"/>
      <c r="D33"/>
      <c r="F33" s="2652" t="s">
        <v>1914</v>
      </c>
      <c r="G33" s="2650">
        <v>100000</v>
      </c>
    </row>
    <row r="34" spans="1:7" ht="16.5">
      <c r="A34" s="2654" t="s">
        <v>1915</v>
      </c>
      <c r="B34">
        <f>1000*(B32/900)^0.5/(1+B32*D29/D32/D30)^0.5</f>
        <v>1311.05487025251</v>
      </c>
      <c r="C34" s="2654" t="s">
        <v>1916</v>
      </c>
      <c r="D34">
        <f>B34*900*(B36-B37)/100000</f>
        <v>7.5117974224978896</v>
      </c>
      <c r="F34" s="2652" t="s">
        <v>1917</v>
      </c>
      <c r="G34" s="2650" t="s">
        <v>1918</v>
      </c>
    </row>
    <row r="35" spans="1:7" ht="16.5">
      <c r="A35" s="2654" t="s">
        <v>1919</v>
      </c>
      <c r="B35">
        <f>2*D31/B34</f>
        <v>3.0509783310820601E-2</v>
      </c>
      <c r="C35" s="2654" t="s">
        <v>1920</v>
      </c>
      <c r="D35">
        <f>B34*900*(B36-B37)*B35/B30/100000</f>
        <v>22.918331163519099</v>
      </c>
      <c r="F35" s="2652" t="s">
        <v>1921</v>
      </c>
      <c r="G35">
        <v>72000</v>
      </c>
    </row>
    <row r="36" spans="1:7" ht="16.5">
      <c r="A36" t="s">
        <v>1922</v>
      </c>
      <c r="B36">
        <f>B29*400/(3.14159*D29^2*6)</f>
        <v>0.63662031009775299</v>
      </c>
      <c r="C36" s="2654"/>
      <c r="D36" s="2654"/>
    </row>
    <row r="37" spans="1:7" ht="16.5">
      <c r="A37" t="s">
        <v>1923</v>
      </c>
      <c r="B37">
        <f>B31*400/(3.14159*D29^2*6)</f>
        <v>0</v>
      </c>
      <c r="C37" s="2654"/>
      <c r="D37" s="2654"/>
    </row>
    <row r="39" spans="1:7" ht="16.5">
      <c r="A39"/>
      <c r="B39"/>
      <c r="C39"/>
      <c r="D39"/>
    </row>
    <row r="40" spans="1:7" ht="16.5">
      <c r="A40" t="s">
        <v>1924</v>
      </c>
      <c r="B40"/>
      <c r="C40" t="s">
        <v>1925</v>
      </c>
      <c r="D40"/>
    </row>
    <row r="41" spans="1:7" ht="16.5">
      <c r="A41"/>
      <c r="B41"/>
      <c r="C41" t="s">
        <v>1926</v>
      </c>
      <c r="D41"/>
    </row>
    <row r="42" spans="1:7" ht="16.5">
      <c r="A42"/>
      <c r="B42"/>
      <c r="C42" t="s">
        <v>1927</v>
      </c>
      <c r="D42"/>
    </row>
    <row r="43" spans="1:7" ht="16.5">
      <c r="A43"/>
      <c r="B43"/>
      <c r="C43" t="s">
        <v>1928</v>
      </c>
      <c r="D43"/>
    </row>
    <row r="44" spans="1:7" ht="16.5">
      <c r="A44"/>
      <c r="B44"/>
      <c r="C44" t="s">
        <v>1929</v>
      </c>
      <c r="D44"/>
    </row>
    <row r="45" spans="1:7" ht="16.5">
      <c r="A45"/>
      <c r="B45"/>
      <c r="C45" t="s">
        <v>1930</v>
      </c>
      <c r="D45"/>
    </row>
    <row r="46" spans="1:7" ht="16.5">
      <c r="A46"/>
      <c r="B46"/>
      <c r="C46" t="s">
        <v>1931</v>
      </c>
      <c r="D46"/>
    </row>
    <row r="47" spans="1:7" ht="16.5">
      <c r="A47"/>
      <c r="B47"/>
      <c r="C47" t="s">
        <v>1932</v>
      </c>
      <c r="D47"/>
    </row>
    <row r="48" spans="1:7" ht="16.5">
      <c r="A48" t="s">
        <v>1933</v>
      </c>
      <c r="B48"/>
      <c r="C48"/>
      <c r="D48"/>
    </row>
    <row r="49" spans="1:4" ht="16.5">
      <c r="A49"/>
      <c r="B49"/>
      <c r="C49"/>
      <c r="D49"/>
    </row>
    <row r="50" spans="1:4" ht="16.5">
      <c r="A50"/>
      <c r="B50"/>
      <c r="C50"/>
      <c r="D50"/>
    </row>
    <row r="51" spans="1:4" ht="16.5">
      <c r="A51"/>
      <c r="B51"/>
      <c r="C51"/>
      <c r="D51"/>
    </row>
    <row r="52" spans="1:4" ht="16.5">
      <c r="A52" t="s">
        <v>1934</v>
      </c>
      <c r="B52"/>
      <c r="C52" t="s">
        <v>1935</v>
      </c>
      <c r="D52"/>
    </row>
    <row r="53" spans="1:4" ht="16.5">
      <c r="A53"/>
      <c r="B53"/>
      <c r="C53"/>
      <c r="D53"/>
    </row>
    <row r="54" spans="1:4" ht="16.5">
      <c r="A54"/>
      <c r="B54"/>
      <c r="C54"/>
      <c r="D54"/>
    </row>
    <row r="55" spans="1:4" ht="16.5">
      <c r="A55"/>
      <c r="B55"/>
      <c r="C55"/>
      <c r="D55"/>
    </row>
    <row r="56" spans="1:4" ht="16.5">
      <c r="A56"/>
      <c r="B56"/>
      <c r="C56"/>
      <c r="D56"/>
    </row>
    <row r="57" spans="1:4" ht="16.5">
      <c r="A57"/>
      <c r="B57"/>
      <c r="C57"/>
      <c r="D57"/>
    </row>
    <row r="58" spans="1:4" ht="16.5">
      <c r="A58"/>
      <c r="B58"/>
      <c r="C58"/>
      <c r="D58"/>
    </row>
    <row r="59" spans="1:4" ht="16.5">
      <c r="A59" t="s">
        <v>1936</v>
      </c>
      <c r="B59"/>
      <c r="C59" t="s">
        <v>1937</v>
      </c>
      <c r="D59"/>
    </row>
    <row r="60" spans="1:4" ht="16.5">
      <c r="A60"/>
      <c r="B60"/>
      <c r="C60"/>
      <c r="D60"/>
    </row>
    <row r="61" spans="1:4" ht="16.5">
      <c r="A61"/>
      <c r="B61"/>
      <c r="C61"/>
      <c r="D61"/>
    </row>
    <row r="62" spans="1:4" ht="16.5">
      <c r="A62"/>
      <c r="B62"/>
      <c r="C62"/>
      <c r="D62"/>
    </row>
  </sheetData>
  <sheetProtection formatCells="0" formatColumns="0" formatRows="0" insertColumns="0" insertRows="0" insertHyperlinks="0" deleteColumns="0" deleteRows="0" sort="0" autoFilter="0" pivotTables="0"/>
  <mergeCells count="1">
    <mergeCell ref="I3:I5"/>
  </mergeCells>
  <phoneticPr fontId="378" type="noConversion"/>
  <hyperlinks>
    <hyperlink ref="I3:I5" location="总目录!A1" display="返回目录"/>
  </hyperlinks>
  <pageMargins left="0.75" right="0.75" top="1" bottom="1" header="0.5" footer="0.5"/>
  <pageSetup paperSize="9" orientation="portrait" horizontalDpi="1200" verticalDpi="1200"/>
  <headerFooter scaleWithDoc="0" alignWithMargins="0"/>
  <drawing r:id="rId1"/>
  <legacyDrawing r:id="rId2"/>
  <oleObjects>
    <mc:AlternateContent xmlns:mc="http://schemas.openxmlformats.org/markup-compatibility/2006">
      <mc:Choice Requires="x14">
        <oleObject progId="Equation.3" shapeId="1256449" r:id="rId3">
          <objectPr defaultSize="0" autoPict="0" altText="" r:id="rId4">
            <anchor moveWithCells="1" sizeWithCells="1">
              <from>
                <xdr:col>5</xdr:col>
                <xdr:colOff>266700</xdr:colOff>
                <xdr:row>3</xdr:row>
                <xdr:rowOff>133350</xdr:rowOff>
              </from>
              <to>
                <xdr:col>7</xdr:col>
                <xdr:colOff>590550</xdr:colOff>
                <xdr:row>7</xdr:row>
                <xdr:rowOff>171450</xdr:rowOff>
              </to>
            </anchor>
          </objectPr>
        </oleObject>
      </mc:Choice>
      <mc:Fallback>
        <oleObject progId="Equation.3" shapeId="1256449" r:id="rId3"/>
      </mc:Fallback>
    </mc:AlternateContent>
    <mc:AlternateContent xmlns:mc="http://schemas.openxmlformats.org/markup-compatibility/2006">
      <mc:Choice Requires="x14">
        <oleObject progId="Equation.3" shapeId="1256450" r:id="rId5">
          <objectPr defaultSize="0" autoPict="0" altText="" r:id="rId6">
            <anchor moveWithCells="1" sizeWithCells="1">
              <from>
                <xdr:col>5</xdr:col>
                <xdr:colOff>200025</xdr:colOff>
                <xdr:row>1</xdr:row>
                <xdr:rowOff>0</xdr:rowOff>
              </from>
              <to>
                <xdr:col>7</xdr:col>
                <xdr:colOff>552450</xdr:colOff>
                <xdr:row>2</xdr:row>
                <xdr:rowOff>152400</xdr:rowOff>
              </to>
            </anchor>
          </objectPr>
        </oleObject>
      </mc:Choice>
      <mc:Fallback>
        <oleObject progId="Equation.3" shapeId="1256450" r:id="rId5"/>
      </mc:Fallback>
    </mc:AlternateContent>
    <mc:AlternateContent xmlns:mc="http://schemas.openxmlformats.org/markup-compatibility/2006">
      <mc:Choice Requires="x14">
        <oleObject progId="Equation.3" shapeId="1256451" r:id="rId7">
          <objectPr defaultSize="0" autoPict="0" altText="" r:id="rId8">
            <anchor moveWithCells="1">
              <from>
                <xdr:col>0</xdr:col>
                <xdr:colOff>114300</xdr:colOff>
                <xdr:row>40</xdr:row>
                <xdr:rowOff>57150</xdr:rowOff>
              </from>
              <to>
                <xdr:col>1</xdr:col>
                <xdr:colOff>381000</xdr:colOff>
                <xdr:row>45</xdr:row>
                <xdr:rowOff>152400</xdr:rowOff>
              </to>
            </anchor>
          </objectPr>
        </oleObject>
      </mc:Choice>
      <mc:Fallback>
        <oleObject progId="Equation.3" shapeId="1256451" r:id="rId7"/>
      </mc:Fallback>
    </mc:AlternateContent>
    <mc:AlternateContent xmlns:mc="http://schemas.openxmlformats.org/markup-compatibility/2006">
      <mc:Choice Requires="x14">
        <oleObject progId="Equation.3" shapeId="1256452" r:id="rId9">
          <objectPr defaultSize="0" autoPict="0" altText="" r:id="rId10">
            <anchor moveWithCells="1">
              <from>
                <xdr:col>0</xdr:col>
                <xdr:colOff>38100</xdr:colOff>
                <xdr:row>48</xdr:row>
                <xdr:rowOff>19050</xdr:rowOff>
              </from>
              <to>
                <xdr:col>1</xdr:col>
                <xdr:colOff>514350</xdr:colOff>
                <xdr:row>50</xdr:row>
                <xdr:rowOff>57150</xdr:rowOff>
              </to>
            </anchor>
          </objectPr>
        </oleObject>
      </mc:Choice>
      <mc:Fallback>
        <oleObject progId="Equation.3" shapeId="1256452" r:id="rId9"/>
      </mc:Fallback>
    </mc:AlternateContent>
    <mc:AlternateContent xmlns:mc="http://schemas.openxmlformats.org/markup-compatibility/2006">
      <mc:Choice Requires="x14">
        <oleObject progId="Equation.3" shapeId="1256453" r:id="rId11">
          <objectPr defaultSize="0" autoPict="0" altText="" r:id="rId12">
            <anchor moveWithCells="1">
              <from>
                <xdr:col>0</xdr:col>
                <xdr:colOff>76200</xdr:colOff>
                <xdr:row>52</xdr:row>
                <xdr:rowOff>114300</xdr:rowOff>
              </from>
              <to>
                <xdr:col>0</xdr:col>
                <xdr:colOff>1066800</xdr:colOff>
                <xdr:row>57</xdr:row>
                <xdr:rowOff>123825</xdr:rowOff>
              </to>
            </anchor>
          </objectPr>
        </oleObject>
      </mc:Choice>
      <mc:Fallback>
        <oleObject progId="Equation.3" shapeId="1256453" r:id="rId11"/>
      </mc:Fallback>
    </mc:AlternateContent>
    <mc:AlternateContent xmlns:mc="http://schemas.openxmlformats.org/markup-compatibility/2006">
      <mc:Choice Requires="x14">
        <oleObject progId="Equation.3" shapeId="1256454" r:id="rId13">
          <objectPr defaultSize="0" autoPict="0" altText="" r:id="rId14">
            <anchor moveWithCells="1">
              <from>
                <xdr:col>2</xdr:col>
                <xdr:colOff>285750</xdr:colOff>
                <xdr:row>52</xdr:row>
                <xdr:rowOff>95250</xdr:rowOff>
              </from>
              <to>
                <xdr:col>2</xdr:col>
                <xdr:colOff>1276350</xdr:colOff>
                <xdr:row>56</xdr:row>
                <xdr:rowOff>19050</xdr:rowOff>
              </to>
            </anchor>
          </objectPr>
        </oleObject>
      </mc:Choice>
      <mc:Fallback>
        <oleObject progId="Equation.3" shapeId="1256454" r:id="rId13"/>
      </mc:Fallback>
    </mc:AlternateContent>
    <mc:AlternateContent xmlns:mc="http://schemas.openxmlformats.org/markup-compatibility/2006">
      <mc:Choice Requires="x14">
        <oleObject progId="Equation.3" shapeId="1256455" r:id="rId15">
          <objectPr defaultSize="0" autoPict="0" altText="" r:id="rId16">
            <anchor moveWithCells="1">
              <from>
                <xdr:col>2</xdr:col>
                <xdr:colOff>76200</xdr:colOff>
                <xdr:row>58</xdr:row>
                <xdr:rowOff>171450</xdr:rowOff>
              </from>
              <to>
                <xdr:col>2</xdr:col>
                <xdr:colOff>1524000</xdr:colOff>
                <xdr:row>61</xdr:row>
                <xdr:rowOff>161925</xdr:rowOff>
              </to>
            </anchor>
          </objectPr>
        </oleObject>
      </mc:Choice>
      <mc:Fallback>
        <oleObject progId="Equation.3" shapeId="1256455" r:id="rId15"/>
      </mc:Fallback>
    </mc:AlternateContent>
    <mc:AlternateContent xmlns:mc="http://schemas.openxmlformats.org/markup-compatibility/2006">
      <mc:Choice Requires="x14">
        <oleObject progId="Equation.3" shapeId="1256456" r:id="rId17">
          <objectPr defaultSize="0" autoPict="0" altText="" r:id="rId18">
            <anchor moveWithCells="1">
              <from>
                <xdr:col>0</xdr:col>
                <xdr:colOff>133350</xdr:colOff>
                <xdr:row>59</xdr:row>
                <xdr:rowOff>152400</xdr:rowOff>
              </from>
              <to>
                <xdr:col>0</xdr:col>
                <xdr:colOff>1390650</xdr:colOff>
                <xdr:row>61</xdr:row>
                <xdr:rowOff>9525</xdr:rowOff>
              </to>
            </anchor>
          </objectPr>
        </oleObject>
      </mc:Choice>
      <mc:Fallback>
        <oleObject progId="Equation.3" shapeId="1256456" r:id="rId17"/>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53"/>
  <sheetViews>
    <sheetView workbookViewId="0">
      <selection activeCell="F13" sqref="F13:F15"/>
    </sheetView>
  </sheetViews>
  <sheetFormatPr defaultColWidth="8.75" defaultRowHeight="14.25"/>
  <cols>
    <col min="1" max="1" width="27.125" style="2643" customWidth="1"/>
    <col min="2" max="2" width="9.5" style="2643"/>
    <col min="3" max="3" width="18.5" style="2643"/>
    <col min="4" max="4" width="8.75" style="2643"/>
    <col min="5" max="6" width="11.625" style="2643"/>
    <col min="7" max="8" width="8.75" style="2643"/>
    <col min="9" max="9" width="11.625" style="2643"/>
    <col min="10" max="10" width="8.625" style="2643"/>
    <col min="11" max="16384" width="8.75" style="2643"/>
  </cols>
  <sheetData>
    <row r="1" spans="1:7">
      <c r="A1" s="2649" t="s">
        <v>1938</v>
      </c>
    </row>
    <row r="2" spans="1:7" ht="15.75">
      <c r="A2" s="2652" t="s">
        <v>1939</v>
      </c>
      <c r="B2" s="2651">
        <v>3000</v>
      </c>
      <c r="C2" s="2652" t="s">
        <v>1940</v>
      </c>
      <c r="D2" s="2651">
        <v>11</v>
      </c>
      <c r="F2" s="2652" t="s">
        <v>1941</v>
      </c>
      <c r="G2" s="2650" t="s">
        <v>1942</v>
      </c>
    </row>
    <row r="3" spans="1:7" ht="16.5">
      <c r="A3" s="2652" t="s">
        <v>1943</v>
      </c>
      <c r="B3" s="2651">
        <v>8</v>
      </c>
      <c r="C3" s="2652" t="s">
        <v>1944</v>
      </c>
      <c r="D3" s="2651">
        <v>0</v>
      </c>
      <c r="F3" s="2652" t="s">
        <v>1945</v>
      </c>
      <c r="G3" t="s">
        <v>1946</v>
      </c>
    </row>
    <row r="4" spans="1:7" ht="15.75">
      <c r="A4" s="2652" t="s">
        <v>1947</v>
      </c>
      <c r="B4" s="2651">
        <v>1.9</v>
      </c>
      <c r="C4" s="2652" t="s">
        <v>1948</v>
      </c>
      <c r="D4" s="2651">
        <v>0</v>
      </c>
      <c r="F4" s="2652" t="s">
        <v>1949</v>
      </c>
      <c r="G4" s="2650">
        <v>15</v>
      </c>
    </row>
    <row r="5" spans="1:7" ht="18.75">
      <c r="A5" s="2652" t="s">
        <v>1950</v>
      </c>
      <c r="B5" s="2651">
        <v>30</v>
      </c>
      <c r="C5" s="2652" t="s">
        <v>1951</v>
      </c>
      <c r="D5">
        <f>B2*0.9*0.8</f>
        <v>2160</v>
      </c>
      <c r="F5" s="2652" t="s">
        <v>1952</v>
      </c>
      <c r="G5" s="2650">
        <v>23</v>
      </c>
    </row>
    <row r="6" spans="1:7" ht="16.5">
      <c r="A6" s="2652" t="s">
        <v>1953</v>
      </c>
      <c r="B6" s="2651">
        <v>55</v>
      </c>
      <c r="C6" s="2652" t="s">
        <v>1954</v>
      </c>
      <c r="D6">
        <f>6.66*(B2/1000)^(2/3)</f>
        <v>13.853358261525701</v>
      </c>
      <c r="F6" s="2652" t="s">
        <v>1955</v>
      </c>
      <c r="G6" t="s">
        <v>1956</v>
      </c>
    </row>
    <row r="7" spans="1:7">
      <c r="A7" s="2652"/>
      <c r="B7" s="2652"/>
      <c r="C7" s="2652"/>
      <c r="D7" s="2652"/>
    </row>
    <row r="8" spans="1:7" ht="16.5">
      <c r="A8" s="2652" t="s">
        <v>1957</v>
      </c>
      <c r="B8" s="2651">
        <v>16</v>
      </c>
      <c r="C8" s="2652" t="s">
        <v>1958</v>
      </c>
      <c r="D8">
        <f>B8*B3*(B6-B5)/1000</f>
        <v>3.2</v>
      </c>
    </row>
    <row r="9" spans="1:7" ht="16.5">
      <c r="A9" s="2652" t="s">
        <v>1959</v>
      </c>
      <c r="B9">
        <f>LN(1-(B6-B5)*B3*B8/((D3+D2-D4)*1000))*B4*1000*D5/(-B3*B8*60)</f>
        <v>183.702916208072</v>
      </c>
      <c r="C9" s="2652" t="s">
        <v>1960</v>
      </c>
      <c r="D9" s="2651">
        <v>6.5</v>
      </c>
    </row>
    <row r="10" spans="1:7" ht="16.5">
      <c r="A10" s="2652" t="s">
        <v>1961</v>
      </c>
      <c r="B10">
        <f>B5+(D2+D3-D4)*1000/(B3*B8)</f>
        <v>115.9375</v>
      </c>
      <c r="C10" s="2652" t="s">
        <v>1962</v>
      </c>
      <c r="D10">
        <f>D6*D9/1000*7850/0.7</f>
        <v>1009.8108647062101</v>
      </c>
    </row>
    <row r="12" spans="1:7" ht="15" thickBot="1">
      <c r="A12" s="2649" t="s">
        <v>1963</v>
      </c>
      <c r="B12" s="2652"/>
      <c r="C12" s="2652"/>
      <c r="D12" s="2652"/>
    </row>
    <row r="13" spans="1:7" ht="15.75">
      <c r="A13" s="2652" t="s">
        <v>1964</v>
      </c>
      <c r="B13" s="2651">
        <v>4000</v>
      </c>
      <c r="C13" s="2652"/>
      <c r="D13" s="2652"/>
      <c r="F13" s="3198" t="s">
        <v>12704</v>
      </c>
    </row>
    <row r="14" spans="1:7" ht="15.75">
      <c r="A14" s="2652" t="s">
        <v>1965</v>
      </c>
      <c r="B14" s="2651">
        <v>10</v>
      </c>
      <c r="C14" s="2652"/>
      <c r="D14" s="2652"/>
      <c r="F14" s="3199"/>
    </row>
    <row r="15" spans="1:7" ht="17.25" thickBot="1">
      <c r="A15" s="2652" t="s">
        <v>1966</v>
      </c>
      <c r="B15">
        <f>B13*1.29*1008*B14/1000/3600</f>
        <v>14.448</v>
      </c>
      <c r="C15" s="2652"/>
      <c r="D15" s="2652"/>
      <c r="F15" s="3200"/>
    </row>
    <row r="17" spans="1:4">
      <c r="A17" s="2649" t="s">
        <v>1967</v>
      </c>
      <c r="B17" s="2652"/>
      <c r="C17" s="2652"/>
      <c r="D17" s="2652"/>
    </row>
    <row r="18" spans="1:4" ht="15.75">
      <c r="A18" s="2652" t="s">
        <v>1968</v>
      </c>
      <c r="B18" s="2651">
        <v>4</v>
      </c>
      <c r="C18" s="2652"/>
      <c r="D18" s="2652"/>
    </row>
    <row r="19" spans="1:4" ht="15.75">
      <c r="A19" s="2652" t="s">
        <v>1969</v>
      </c>
      <c r="B19" s="2651">
        <v>5</v>
      </c>
      <c r="C19" s="2652"/>
      <c r="D19" s="2652"/>
    </row>
    <row r="20" spans="1:4" ht="16.5">
      <c r="A20" s="2652" t="s">
        <v>1966</v>
      </c>
      <c r="B20">
        <f>B18*1000*4186.8*B19/1000/3600</f>
        <v>23.26</v>
      </c>
      <c r="C20" s="2652"/>
      <c r="D20" s="2652"/>
    </row>
    <row r="22" spans="1:4">
      <c r="A22" s="2649" t="s">
        <v>1970</v>
      </c>
      <c r="B22" s="2652"/>
      <c r="C22" s="2652"/>
      <c r="D22" s="2652"/>
    </row>
    <row r="23" spans="1:4" ht="16.5">
      <c r="A23" s="2652" t="s">
        <v>1971</v>
      </c>
      <c r="B23" s="2651">
        <v>204</v>
      </c>
      <c r="C23" s="2652" t="s">
        <v>1972</v>
      </c>
      <c r="D23">
        <f>9/5*B23+32</f>
        <v>399.2</v>
      </c>
    </row>
    <row r="24" spans="1:4" ht="16.5">
      <c r="A24" s="2652" t="s">
        <v>1973</v>
      </c>
      <c r="B24" s="2651">
        <v>200</v>
      </c>
      <c r="C24" s="2652" t="s">
        <v>1974</v>
      </c>
      <c r="D24">
        <f>5/9*(B24-32)</f>
        <v>93.3333333333333</v>
      </c>
    </row>
    <row r="27" spans="1:4" ht="16.5">
      <c r="C27" t="s">
        <v>1975</v>
      </c>
    </row>
    <row r="28" spans="1:4" ht="16.5">
      <c r="C28" t="s">
        <v>1976</v>
      </c>
    </row>
    <row r="29" spans="1:4" ht="16.5">
      <c r="C29" t="s">
        <v>1977</v>
      </c>
    </row>
    <row r="30" spans="1:4" ht="16.5">
      <c r="C30" t="s">
        <v>1978</v>
      </c>
    </row>
    <row r="31" spans="1:4" ht="16.5">
      <c r="C31" t="s">
        <v>1979</v>
      </c>
    </row>
    <row r="32" spans="1:4" ht="16.5">
      <c r="C32" t="s">
        <v>1980</v>
      </c>
    </row>
    <row r="33" spans="1:4" ht="16.5">
      <c r="A33" s="2643" t="s">
        <v>1981</v>
      </c>
      <c r="C33" t="s">
        <v>1982</v>
      </c>
    </row>
    <row r="34" spans="1:4" ht="16.5">
      <c r="C34" t="s">
        <v>1983</v>
      </c>
    </row>
    <row r="39" spans="1:4">
      <c r="A39" s="2643" t="s">
        <v>1963</v>
      </c>
    </row>
    <row r="40" spans="1:4" ht="16.5">
      <c r="A40" t="s">
        <v>1984</v>
      </c>
      <c r="D40"/>
    </row>
    <row r="41" spans="1:4" ht="16.5">
      <c r="D41"/>
    </row>
    <row r="42" spans="1:4" ht="16.5">
      <c r="A42" t="s">
        <v>1985</v>
      </c>
      <c r="D42"/>
    </row>
    <row r="43" spans="1:4" ht="16.5">
      <c r="A43" t="s">
        <v>1986</v>
      </c>
      <c r="D43"/>
    </row>
    <row r="44" spans="1:4" ht="16.5">
      <c r="A44" t="s">
        <v>1987</v>
      </c>
    </row>
    <row r="45" spans="1:4" ht="16.5">
      <c r="A45" t="s">
        <v>1988</v>
      </c>
    </row>
    <row r="47" spans="1:4">
      <c r="A47" s="2643" t="s">
        <v>1967</v>
      </c>
    </row>
    <row r="48" spans="1:4" ht="16.5">
      <c r="A48" t="s">
        <v>1984</v>
      </c>
    </row>
    <row r="50" spans="1:1" ht="16.5">
      <c r="A50" t="s">
        <v>1989</v>
      </c>
    </row>
    <row r="51" spans="1:1" ht="16.5">
      <c r="A51" t="s">
        <v>1990</v>
      </c>
    </row>
    <row r="52" spans="1:1" ht="16.5">
      <c r="A52" t="s">
        <v>1991</v>
      </c>
    </row>
    <row r="53" spans="1:1" ht="16.5">
      <c r="A53" t="s">
        <v>1992</v>
      </c>
    </row>
  </sheetData>
  <sheetProtection formatCells="0" formatColumns="0" formatRows="0" insertColumns="0" insertRows="0" insertHyperlinks="0" deleteColumns="0" deleteRows="0" sort="0" autoFilter="0" pivotTables="0"/>
  <mergeCells count="1">
    <mergeCell ref="F13:F15"/>
  </mergeCells>
  <phoneticPr fontId="378" type="noConversion"/>
  <hyperlinks>
    <hyperlink ref="F13:F15" location="总目录!A1" display="返回目录"/>
  </hyperlinks>
  <pageMargins left="0.75" right="0.75" top="1" bottom="1" header="0.5" footer="0.5"/>
  <pageSetup paperSize="9" orientation="portrait"/>
  <headerFooter scaleWithDoc="0" alignWithMargins="0"/>
  <drawing r:id="rId1"/>
  <legacyDrawing r:id="rId2"/>
  <oleObjects>
    <mc:AlternateContent xmlns:mc="http://schemas.openxmlformats.org/markup-compatibility/2006">
      <mc:Choice Requires="x14">
        <oleObject progId="Equation.3" shapeId="1255425" r:id="rId3">
          <objectPr defaultSize="0" autoPict="0" altText="" r:id="rId4">
            <anchor moveWithCells="1">
              <from>
                <xdr:col>0</xdr:col>
                <xdr:colOff>19050</xdr:colOff>
                <xdr:row>26</xdr:row>
                <xdr:rowOff>95250</xdr:rowOff>
              </from>
              <to>
                <xdr:col>1</xdr:col>
                <xdr:colOff>285750</xdr:colOff>
                <xdr:row>29</xdr:row>
                <xdr:rowOff>95250</xdr:rowOff>
              </to>
            </anchor>
          </objectPr>
        </oleObject>
      </mc:Choice>
      <mc:Fallback>
        <oleObject progId="Equation.3" shapeId="1255425" r:id="rId3"/>
      </mc:Fallback>
    </mc:AlternateContent>
    <mc:AlternateContent xmlns:mc="http://schemas.openxmlformats.org/markup-compatibility/2006">
      <mc:Choice Requires="x14">
        <oleObject progId="Equation.3" shapeId="1255426" r:id="rId5">
          <objectPr defaultSize="0" autoPict="0" altText="" r:id="rId6">
            <anchor moveWithCells="1">
              <from>
                <xdr:col>0</xdr:col>
                <xdr:colOff>85725</xdr:colOff>
                <xdr:row>33</xdr:row>
                <xdr:rowOff>152400</xdr:rowOff>
              </from>
              <to>
                <xdr:col>0</xdr:col>
                <xdr:colOff>1123950</xdr:colOff>
                <xdr:row>35</xdr:row>
                <xdr:rowOff>161925</xdr:rowOff>
              </to>
            </anchor>
          </objectPr>
        </oleObject>
      </mc:Choice>
      <mc:Fallback>
        <oleObject progId="Equation.3" shapeId="1255426" r:id="rId5"/>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zoomScale="75" zoomScaleNormal="75" workbookViewId="0">
      <selection activeCell="M1" sqref="M1:M3"/>
    </sheetView>
  </sheetViews>
  <sheetFormatPr defaultColWidth="8.75" defaultRowHeight="14.25"/>
  <cols>
    <col min="1" max="1" width="40.375" style="2643"/>
    <col min="2" max="2" width="10.875" style="2643"/>
    <col min="3" max="16384" width="8.75" style="2643"/>
  </cols>
  <sheetData>
    <row r="1" spans="1:14" ht="16.5">
      <c r="A1" t="s">
        <v>1993</v>
      </c>
      <c r="B1" s="2653"/>
      <c r="C1" s="2653"/>
      <c r="D1" s="2653"/>
      <c r="E1" s="2653"/>
      <c r="F1">
        <v>1</v>
      </c>
      <c r="G1" t="s">
        <v>1994</v>
      </c>
      <c r="H1">
        <f>F1*0.0689</f>
        <v>6.8900000000000003E-2</v>
      </c>
      <c r="I1" t="s">
        <v>1995</v>
      </c>
      <c r="J1"/>
      <c r="K1"/>
      <c r="L1"/>
      <c r="M1" s="3198" t="s">
        <v>12704</v>
      </c>
      <c r="N1" s="2653"/>
    </row>
    <row r="2" spans="1:14" ht="18">
      <c r="A2" t="s">
        <v>1996</v>
      </c>
      <c r="B2">
        <v>50</v>
      </c>
      <c r="C2" t="s">
        <v>1997</v>
      </c>
      <c r="F2">
        <v>100</v>
      </c>
      <c r="G2" t="s">
        <v>1998</v>
      </c>
      <c r="H2">
        <f>F2*14.5</f>
        <v>1450</v>
      </c>
      <c r="I2" t="s">
        <v>1999</v>
      </c>
      <c r="J2"/>
      <c r="K2"/>
      <c r="L2"/>
      <c r="M2" s="3199"/>
      <c r="N2" s="2653"/>
    </row>
    <row r="3" spans="1:14" ht="19.5" thickBot="1">
      <c r="A3" t="s">
        <v>2000</v>
      </c>
      <c r="B3">
        <v>80</v>
      </c>
      <c r="C3" t="s">
        <v>2001</v>
      </c>
      <c r="F3">
        <v>1</v>
      </c>
      <c r="G3" t="s">
        <v>2002</v>
      </c>
      <c r="H3">
        <f>F3*0.7457</f>
        <v>0.74570000000000003</v>
      </c>
      <c r="I3" t="s">
        <v>2003</v>
      </c>
      <c r="J3"/>
      <c r="K3"/>
      <c r="L3"/>
      <c r="M3" s="3200"/>
      <c r="N3" s="2653"/>
    </row>
    <row r="4" spans="1:14" ht="16.5">
      <c r="A4" t="s">
        <v>2004</v>
      </c>
      <c r="B4">
        <v>37</v>
      </c>
      <c r="C4"/>
      <c r="F4">
        <v>1</v>
      </c>
      <c r="G4" t="s">
        <v>2005</v>
      </c>
      <c r="H4">
        <f>F4/0.7457</f>
        <v>1.3410218586563001</v>
      </c>
      <c r="I4" t="s">
        <v>2006</v>
      </c>
      <c r="J4"/>
      <c r="K4"/>
      <c r="L4"/>
      <c r="M4"/>
      <c r="N4"/>
    </row>
    <row r="5" spans="1:14" ht="16.5">
      <c r="A5" t="s">
        <v>2007</v>
      </c>
      <c r="B5">
        <v>60</v>
      </c>
      <c r="C5" t="s">
        <v>2008</v>
      </c>
      <c r="F5">
        <v>1</v>
      </c>
      <c r="G5" t="s">
        <v>2009</v>
      </c>
      <c r="H5">
        <f>F5*3.745</f>
        <v>3.7450000000000001</v>
      </c>
      <c r="I5" t="s">
        <v>2010</v>
      </c>
      <c r="J5"/>
      <c r="K5"/>
      <c r="L5"/>
      <c r="M5"/>
      <c r="N5"/>
    </row>
    <row r="6" spans="1:14" ht="16.5">
      <c r="A6" t="s">
        <v>2011</v>
      </c>
      <c r="B6">
        <f>B3/B4</f>
        <v>2.1621621621621601</v>
      </c>
      <c r="C6" t="s">
        <v>2001</v>
      </c>
      <c r="D6"/>
      <c r="E6"/>
      <c r="F6">
        <v>1</v>
      </c>
      <c r="G6" t="s">
        <v>2012</v>
      </c>
      <c r="H6">
        <f>F6*0.264</f>
        <v>0.26400000000000001</v>
      </c>
      <c r="I6" t="s">
        <v>2013</v>
      </c>
      <c r="J6"/>
      <c r="K6"/>
      <c r="L6"/>
      <c r="M6"/>
      <c r="N6"/>
    </row>
    <row r="7" spans="1:14" ht="16.5">
      <c r="A7" t="s">
        <v>2014</v>
      </c>
      <c r="B7">
        <f>B2*B4</f>
        <v>1850</v>
      </c>
      <c r="C7" t="s">
        <v>1997</v>
      </c>
      <c r="D7"/>
      <c r="E7"/>
      <c r="F7">
        <v>180</v>
      </c>
      <c r="G7" t="s">
        <v>2015</v>
      </c>
      <c r="H7">
        <v>1500</v>
      </c>
      <c r="I7" t="s">
        <v>2016</v>
      </c>
      <c r="J7">
        <f>F7*H7/1000</f>
        <v>270</v>
      </c>
      <c r="K7" t="s">
        <v>2010</v>
      </c>
      <c r="L7"/>
      <c r="M7"/>
      <c r="N7"/>
    </row>
    <row r="8" spans="1:14" ht="21">
      <c r="A8" t="s">
        <v>2017</v>
      </c>
      <c r="B8">
        <f>2*3.14159*B3*B2/(60000*C11)</f>
        <v>0.52359833333333305</v>
      </c>
      <c r="C8" t="s">
        <v>2003</v>
      </c>
      <c r="F8" t="s">
        <v>2018</v>
      </c>
      <c r="G8"/>
      <c r="H8"/>
      <c r="I8"/>
      <c r="J8" t="s">
        <v>2019</v>
      </c>
      <c r="K8"/>
      <c r="L8"/>
      <c r="M8"/>
      <c r="N8"/>
    </row>
    <row r="9" spans="1:14" ht="16.5">
      <c r="A9" t="s">
        <v>2020</v>
      </c>
      <c r="B9">
        <f>B6/0.0159/B5/C11</f>
        <v>2.83302170094623</v>
      </c>
      <c r="C9" t="s">
        <v>1995</v>
      </c>
      <c r="D9"/>
      <c r="F9" t="s">
        <v>2021</v>
      </c>
      <c r="G9"/>
      <c r="H9"/>
      <c r="I9"/>
      <c r="J9" t="s">
        <v>2022</v>
      </c>
      <c r="K9"/>
      <c r="L9"/>
      <c r="M9"/>
      <c r="N9"/>
    </row>
    <row r="10" spans="1:14" ht="16.5">
      <c r="A10" t="s">
        <v>2023</v>
      </c>
      <c r="B10">
        <f>B5*B2*B4/1000/C12</f>
        <v>116.842105263158</v>
      </c>
      <c r="C10" t="s">
        <v>2024</v>
      </c>
      <c r="F10"/>
      <c r="G10"/>
      <c r="H10"/>
      <c r="I10"/>
      <c r="J10"/>
      <c r="K10"/>
      <c r="L10"/>
      <c r="M10"/>
      <c r="N10"/>
    </row>
    <row r="11" spans="1:14" ht="21">
      <c r="A11" t="s">
        <v>2025</v>
      </c>
      <c r="B11" t="s">
        <v>2026</v>
      </c>
      <c r="C11">
        <v>0.8</v>
      </c>
      <c r="F11" t="s">
        <v>2027</v>
      </c>
      <c r="G11"/>
      <c r="H11"/>
      <c r="I11"/>
      <c r="J11"/>
      <c r="K11"/>
      <c r="L11"/>
      <c r="M11"/>
      <c r="N11"/>
    </row>
    <row r="12" spans="1:14" ht="16.5">
      <c r="A12" t="s">
        <v>2028</v>
      </c>
      <c r="B12" t="s">
        <v>2026</v>
      </c>
      <c r="C12">
        <v>0.95</v>
      </c>
      <c r="F12" t="s">
        <v>2029</v>
      </c>
      <c r="G12"/>
      <c r="H12"/>
      <c r="I12"/>
      <c r="J12"/>
      <c r="K12"/>
      <c r="L12"/>
      <c r="M12"/>
      <c r="N12"/>
    </row>
    <row r="13" spans="1:14" ht="16.5">
      <c r="A13"/>
      <c r="F13"/>
      <c r="G13"/>
      <c r="H13"/>
      <c r="I13"/>
      <c r="J13"/>
      <c r="K13"/>
      <c r="L13"/>
      <c r="M13"/>
      <c r="N13"/>
    </row>
    <row r="14" spans="1:14" ht="16.5">
      <c r="A14" t="s">
        <v>2030</v>
      </c>
      <c r="B14"/>
      <c r="C14"/>
      <c r="D14" s="2653"/>
      <c r="E14" s="2653"/>
    </row>
    <row r="15" spans="1:14" ht="16.5">
      <c r="A15" t="s">
        <v>2031</v>
      </c>
      <c r="B15">
        <v>135</v>
      </c>
      <c r="C15" t="s">
        <v>2024</v>
      </c>
      <c r="E15"/>
    </row>
    <row r="16" spans="1:14" ht="16.5">
      <c r="A16" t="s">
        <v>2032</v>
      </c>
      <c r="B16">
        <v>200</v>
      </c>
      <c r="C16" t="s">
        <v>1995</v>
      </c>
      <c r="E16"/>
    </row>
    <row r="17" spans="1:5" ht="16.5">
      <c r="A17" t="s">
        <v>2033</v>
      </c>
      <c r="B17">
        <v>1500</v>
      </c>
      <c r="C17" t="s">
        <v>1997</v>
      </c>
      <c r="E17"/>
    </row>
    <row r="18" spans="1:5" ht="16.5">
      <c r="A18" t="s">
        <v>2034</v>
      </c>
      <c r="B18">
        <f>B15*B16/(600*0.85)</f>
        <v>52.941176470588204</v>
      </c>
      <c r="C18" t="s">
        <v>2003</v>
      </c>
      <c r="E18"/>
    </row>
    <row r="19" spans="1:5" ht="16.5">
      <c r="A19" t="s">
        <v>2035</v>
      </c>
      <c r="B19">
        <f>B15/B17*1000/0.95</f>
        <v>94.736842105263193</v>
      </c>
      <c r="C19" t="s">
        <v>2008</v>
      </c>
      <c r="E19"/>
    </row>
    <row r="20" spans="1:5" ht="16.5">
      <c r="A20"/>
      <c r="B20"/>
      <c r="C20"/>
      <c r="E20"/>
    </row>
    <row r="21" spans="1:5" ht="16.5">
      <c r="A21" t="s">
        <v>2036</v>
      </c>
      <c r="E21"/>
    </row>
    <row r="22" spans="1:5" ht="16.5">
      <c r="A22" t="s">
        <v>2037</v>
      </c>
      <c r="B22">
        <v>1</v>
      </c>
      <c r="C22" t="s">
        <v>2038</v>
      </c>
      <c r="D22" s="2653"/>
      <c r="E22"/>
    </row>
    <row r="23" spans="1:5" ht="16.5">
      <c r="A23" t="s">
        <v>2039</v>
      </c>
      <c r="B23">
        <v>250</v>
      </c>
      <c r="C23" t="s">
        <v>2040</v>
      </c>
      <c r="E23"/>
    </row>
    <row r="24" spans="1:5" ht="16.5">
      <c r="A24" t="s">
        <v>2041</v>
      </c>
      <c r="B24">
        <v>1</v>
      </c>
      <c r="C24"/>
      <c r="E24"/>
    </row>
    <row r="25" spans="1:5" ht="16.5">
      <c r="A25" t="s">
        <v>2042</v>
      </c>
      <c r="B25">
        <v>0</v>
      </c>
      <c r="C25" t="s">
        <v>2040</v>
      </c>
      <c r="E25"/>
    </row>
    <row r="26" spans="1:5" ht="16.5">
      <c r="A26" t="s">
        <v>2043</v>
      </c>
      <c r="B26">
        <v>216</v>
      </c>
      <c r="C26" t="s">
        <v>2044</v>
      </c>
      <c r="D26"/>
      <c r="E26"/>
    </row>
    <row r="27" spans="1:5" ht="16.5">
      <c r="A27" t="s">
        <v>2045</v>
      </c>
      <c r="B27">
        <f>B26/(B23/2/1000+0.5*B25/1000)/(2*3.1415926)</f>
        <v>275.01974635412603</v>
      </c>
      <c r="C27" t="s">
        <v>1997</v>
      </c>
      <c r="D27" t="s">
        <v>2046</v>
      </c>
      <c r="E27"/>
    </row>
    <row r="28" spans="1:5" ht="16.5">
      <c r="A28" t="s">
        <v>2047</v>
      </c>
      <c r="B28">
        <v>275</v>
      </c>
      <c r="C28" t="s">
        <v>1997</v>
      </c>
      <c r="D28"/>
      <c r="E28"/>
    </row>
    <row r="29" spans="1:5" ht="16.5">
      <c r="A29" t="s">
        <v>2048</v>
      </c>
      <c r="B29">
        <f>(B23/1000/2+(B24-0.5)*B25/1000)*B22*1000*9.8</f>
        <v>1225</v>
      </c>
      <c r="C29" t="s">
        <v>2001</v>
      </c>
    </row>
    <row r="30" spans="1:5" ht="16.5">
      <c r="A30" t="s">
        <v>2049</v>
      </c>
      <c r="B30">
        <f>(B23/1000/2+0.5*B25/1000)*B22*1000*9.8</f>
        <v>1225</v>
      </c>
      <c r="C30" t="s">
        <v>2001</v>
      </c>
    </row>
    <row r="31" spans="1:5" ht="16.5">
      <c r="A31" t="s">
        <v>2050</v>
      </c>
      <c r="B31">
        <f>(B23/2/1000+(B24-0.5)*B25/1000)*2*3.1415926*B28</f>
        <v>215.98449124999999</v>
      </c>
      <c r="C31" t="s">
        <v>2044</v>
      </c>
    </row>
    <row r="32" spans="1:5" ht="16.5">
      <c r="A32" t="s">
        <v>2051</v>
      </c>
      <c r="B32">
        <f>(B23/2/1000+0.5*B25/1000)*2*3.1415926*B28</f>
        <v>215.98449124999999</v>
      </c>
      <c r="C32" t="s">
        <v>2044</v>
      </c>
    </row>
  </sheetData>
  <sheetProtection formatCells="0" formatColumns="0" formatRows="0" insertColumns="0" insertRows="0" insertHyperlinks="0" deleteColumns="0" deleteRows="0" sort="0" autoFilter="0" pivotTables="0"/>
  <protectedRanges>
    <protectedRange sqref="E35 C14 C15 E35" name="区域2" securityDescriptor=""/>
    <protectedRange sqref="E35 B29 B31 B2 B3 B4 B10 B18 B19 B20" name="区域1" securityDescriptor=""/>
  </protectedRanges>
  <mergeCells count="1">
    <mergeCell ref="M1:M3"/>
  </mergeCells>
  <phoneticPr fontId="378" type="noConversion"/>
  <hyperlinks>
    <hyperlink ref="M1:M3" location="总目录!A1" display="返回目录"/>
  </hyperlinks>
  <pageMargins left="0.75" right="0.75" top="1" bottom="1" header="0.5" footer="0.5"/>
  <pageSetup paperSize="9" orientation="portrait" horizontalDpi="1200" verticalDpi="1200"/>
  <headerFooter scaleWithDoc="0"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07"/>
  <sheetViews>
    <sheetView workbookViewId="0">
      <pane ySplit="3" topLeftCell="A109" activePane="bottomLeft" state="frozen"/>
      <selection activeCell="K3" sqref="K3"/>
      <selection pane="bottomLeft" activeCell="M2" sqref="M2"/>
    </sheetView>
  </sheetViews>
  <sheetFormatPr defaultColWidth="8.75" defaultRowHeight="14.25"/>
  <cols>
    <col min="1" max="1" width="13.875" style="2642"/>
    <col min="2" max="2" width="23.125" style="2642" customWidth="1"/>
    <col min="3" max="4" width="8.5" style="2642"/>
    <col min="5" max="5" width="10.5" style="2642"/>
    <col min="6" max="6" width="5.5" style="2642"/>
    <col min="7" max="7" width="6.5" style="2642"/>
    <col min="8" max="9" width="9.625" style="2642"/>
    <col min="10" max="10" width="8.5" style="2642"/>
    <col min="11" max="11" width="8.75" style="2643"/>
    <col min="12" max="12" width="22.5" style="2642" customWidth="1"/>
    <col min="13" max="16384" width="8.75" style="2643"/>
  </cols>
  <sheetData>
    <row r="1" spans="1:13" ht="40.9" customHeight="1">
      <c r="A1" s="3251" t="s">
        <v>2057</v>
      </c>
      <c r="B1" s="3251"/>
      <c r="C1" s="3251"/>
      <c r="D1" s="3251"/>
      <c r="E1" s="3251"/>
      <c r="F1" s="3251"/>
      <c r="G1" s="3251"/>
      <c r="H1" s="3251"/>
      <c r="I1" s="3251"/>
      <c r="J1" s="3251"/>
      <c r="K1" s="3251"/>
      <c r="L1" s="3251"/>
    </row>
    <row r="2" spans="1:13">
      <c r="A2" s="3252" t="s">
        <v>2058</v>
      </c>
      <c r="B2" s="3253" t="s">
        <v>2059</v>
      </c>
      <c r="C2" s="2644" t="s">
        <v>2060</v>
      </c>
      <c r="D2" s="2644" t="s">
        <v>2061</v>
      </c>
      <c r="E2" s="2644" t="s">
        <v>2062</v>
      </c>
      <c r="F2" s="2644" t="s">
        <v>2063</v>
      </c>
      <c r="G2" s="2644" t="s">
        <v>2064</v>
      </c>
      <c r="H2" s="2644" t="s">
        <v>2065</v>
      </c>
      <c r="I2" s="2644" t="s">
        <v>2066</v>
      </c>
      <c r="J2" s="2644" t="s">
        <v>2067</v>
      </c>
      <c r="K2" s="2648"/>
      <c r="L2" s="3253" t="s">
        <v>2068</v>
      </c>
      <c r="M2" s="3162" t="s">
        <v>12708</v>
      </c>
    </row>
    <row r="3" spans="1:13">
      <c r="A3" s="3253"/>
      <c r="B3" s="3253"/>
      <c r="C3" s="2645" t="s">
        <v>2069</v>
      </c>
      <c r="D3" s="2645" t="s">
        <v>2069</v>
      </c>
      <c r="E3" s="2645" t="s">
        <v>2069</v>
      </c>
      <c r="F3" s="2645" t="s">
        <v>2070</v>
      </c>
      <c r="G3" s="2645" t="s">
        <v>2070</v>
      </c>
      <c r="H3" s="2645" t="s">
        <v>2071</v>
      </c>
      <c r="I3" s="2645" t="s">
        <v>2071</v>
      </c>
      <c r="J3" s="2645" t="s">
        <v>2072</v>
      </c>
      <c r="K3" s="2648"/>
      <c r="L3" s="3253"/>
    </row>
    <row r="4" spans="1:13">
      <c r="A4" s="2646" t="s">
        <v>99</v>
      </c>
      <c r="B4" s="2646">
        <v>30202</v>
      </c>
      <c r="C4" s="2646">
        <v>15</v>
      </c>
      <c r="D4" s="2646">
        <v>35</v>
      </c>
      <c r="E4" s="2646">
        <v>11</v>
      </c>
      <c r="F4" s="2646">
        <v>14.9</v>
      </c>
      <c r="G4" s="2646">
        <v>13.4</v>
      </c>
      <c r="H4" s="2646">
        <v>12000</v>
      </c>
      <c r="I4" s="2646">
        <v>16000</v>
      </c>
      <c r="J4" s="2646">
        <v>5.2999999999999999E-2</v>
      </c>
      <c r="L4" s="2646" t="s">
        <v>2073</v>
      </c>
    </row>
    <row r="5" spans="1:13">
      <c r="A5" s="2647" t="s">
        <v>99</v>
      </c>
      <c r="B5" s="2647">
        <v>30244</v>
      </c>
      <c r="C5" s="2647">
        <v>220</v>
      </c>
      <c r="D5" s="2647">
        <v>400</v>
      </c>
      <c r="E5" s="2647">
        <v>73</v>
      </c>
      <c r="F5" s="2647" t="s">
        <v>2074</v>
      </c>
      <c r="G5" s="2647" t="s">
        <v>2074</v>
      </c>
      <c r="H5" s="2647" t="s">
        <v>2074</v>
      </c>
      <c r="I5" s="2647" t="s">
        <v>2074</v>
      </c>
      <c r="J5" s="2647">
        <v>35.5</v>
      </c>
      <c r="K5" s="2648"/>
      <c r="L5" s="2647" t="s">
        <v>2075</v>
      </c>
    </row>
    <row r="6" spans="1:13">
      <c r="A6" s="2646" t="s">
        <v>99</v>
      </c>
      <c r="B6" s="2646">
        <v>30340</v>
      </c>
      <c r="C6" s="2646">
        <v>200</v>
      </c>
      <c r="D6" s="2646">
        <v>420</v>
      </c>
      <c r="E6" s="2646">
        <v>80</v>
      </c>
      <c r="F6" s="2646">
        <v>1120</v>
      </c>
      <c r="G6" s="2646">
        <v>1450</v>
      </c>
      <c r="H6" s="2646">
        <v>820</v>
      </c>
      <c r="I6" s="2646">
        <v>1100</v>
      </c>
      <c r="J6" s="2646">
        <v>53.5</v>
      </c>
      <c r="L6" s="2646" t="s">
        <v>2076</v>
      </c>
    </row>
    <row r="7" spans="1:13">
      <c r="A7" s="2647" t="s">
        <v>99</v>
      </c>
      <c r="B7" s="2647">
        <v>30352</v>
      </c>
      <c r="C7" s="2647">
        <v>260</v>
      </c>
      <c r="D7" s="2647">
        <v>540</v>
      </c>
      <c r="E7" s="2647">
        <v>114</v>
      </c>
      <c r="F7" s="2647" t="s">
        <v>2074</v>
      </c>
      <c r="G7" s="2647" t="s">
        <v>2074</v>
      </c>
      <c r="H7" s="2647" t="s">
        <v>2074</v>
      </c>
      <c r="I7" s="2647" t="s">
        <v>2074</v>
      </c>
      <c r="J7" s="2647">
        <v>108</v>
      </c>
      <c r="K7" s="2648"/>
      <c r="L7" s="2647" t="s">
        <v>2077</v>
      </c>
    </row>
    <row r="8" spans="1:13">
      <c r="A8" s="2646" t="s">
        <v>99</v>
      </c>
      <c r="B8" s="2646">
        <v>32205</v>
      </c>
      <c r="C8" s="2646">
        <v>25</v>
      </c>
      <c r="D8" s="2646">
        <v>72</v>
      </c>
      <c r="E8" s="2646">
        <v>24.25</v>
      </c>
      <c r="F8" s="2646" t="s">
        <v>2074</v>
      </c>
      <c r="G8" s="2646" t="s">
        <v>2074</v>
      </c>
      <c r="H8" s="2646" t="s">
        <v>2074</v>
      </c>
      <c r="I8" s="2646" t="s">
        <v>2074</v>
      </c>
      <c r="J8" s="2646">
        <v>0.17399999999999999</v>
      </c>
      <c r="L8" s="2646">
        <v>7505</v>
      </c>
    </row>
    <row r="9" spans="1:13">
      <c r="A9" s="2647" t="s">
        <v>99</v>
      </c>
      <c r="B9" s="2647">
        <v>30302</v>
      </c>
      <c r="C9" s="2647">
        <v>15</v>
      </c>
      <c r="D9" s="2647">
        <v>42</v>
      </c>
      <c r="E9" s="2647">
        <v>13</v>
      </c>
      <c r="F9" s="2647">
        <v>22.8</v>
      </c>
      <c r="G9" s="2647">
        <v>21.5</v>
      </c>
      <c r="H9" s="2647">
        <v>9000</v>
      </c>
      <c r="I9" s="2647">
        <v>12000</v>
      </c>
      <c r="J9" s="2647">
        <v>9.4E-2</v>
      </c>
      <c r="K9" s="2648"/>
      <c r="L9" s="2647" t="s">
        <v>2078</v>
      </c>
    </row>
    <row r="10" spans="1:13">
      <c r="A10" s="2646" t="s">
        <v>99</v>
      </c>
      <c r="B10" s="2646">
        <v>30203</v>
      </c>
      <c r="C10" s="2646">
        <v>17</v>
      </c>
      <c r="D10" s="2646">
        <v>40</v>
      </c>
      <c r="E10" s="2646">
        <v>12</v>
      </c>
      <c r="F10" s="2646">
        <v>20.8</v>
      </c>
      <c r="G10" s="2646">
        <v>21.8</v>
      </c>
      <c r="H10" s="2646">
        <v>9000</v>
      </c>
      <c r="I10" s="2646">
        <v>12000</v>
      </c>
      <c r="J10" s="2646">
        <v>7.9000000000000001E-2</v>
      </c>
      <c r="L10" s="2646" t="s">
        <v>2079</v>
      </c>
    </row>
    <row r="11" spans="1:13">
      <c r="A11" s="2647" t="s">
        <v>99</v>
      </c>
      <c r="B11" s="2647">
        <v>30303</v>
      </c>
      <c r="C11" s="2647">
        <v>17</v>
      </c>
      <c r="D11" s="2647">
        <v>47</v>
      </c>
      <c r="E11" s="2647">
        <v>14</v>
      </c>
      <c r="F11" s="2647">
        <v>28.2</v>
      </c>
      <c r="G11" s="2647">
        <v>27.2</v>
      </c>
      <c r="H11" s="2647">
        <v>8500</v>
      </c>
      <c r="I11" s="2647">
        <v>11000</v>
      </c>
      <c r="J11" s="2647">
        <v>0.129</v>
      </c>
      <c r="K11" s="2648"/>
      <c r="L11" s="2647" t="s">
        <v>2080</v>
      </c>
    </row>
    <row r="12" spans="1:13">
      <c r="A12" s="2646" t="s">
        <v>99</v>
      </c>
      <c r="B12" s="2646">
        <v>32303</v>
      </c>
      <c r="C12" s="2646">
        <v>17</v>
      </c>
      <c r="D12" s="2646">
        <v>47</v>
      </c>
      <c r="E12" s="2646">
        <v>19</v>
      </c>
      <c r="F12" s="2646">
        <v>31.9</v>
      </c>
      <c r="G12" s="2646">
        <v>29.9</v>
      </c>
      <c r="H12" s="2646">
        <v>9400</v>
      </c>
      <c r="I12" s="2646">
        <v>13000</v>
      </c>
      <c r="J12" s="2646">
        <v>0.17</v>
      </c>
      <c r="L12" s="2646" t="s">
        <v>2081</v>
      </c>
    </row>
    <row r="13" spans="1:13">
      <c r="A13" s="2647" t="s">
        <v>99</v>
      </c>
      <c r="B13" s="2647">
        <v>32904</v>
      </c>
      <c r="C13" s="2647">
        <v>20</v>
      </c>
      <c r="D13" s="2647">
        <v>37</v>
      </c>
      <c r="E13" s="2647">
        <v>12</v>
      </c>
      <c r="F13" s="2647">
        <v>13.2</v>
      </c>
      <c r="G13" s="2647">
        <v>17.5</v>
      </c>
      <c r="H13" s="2647">
        <v>9500</v>
      </c>
      <c r="I13" s="2647">
        <v>13000</v>
      </c>
      <c r="J13" s="2647">
        <v>5.6000000000000001E-2</v>
      </c>
      <c r="K13" s="2648"/>
      <c r="L13" s="2647" t="s">
        <v>2082</v>
      </c>
    </row>
    <row r="14" spans="1:13">
      <c r="A14" s="2646" t="s">
        <v>99</v>
      </c>
      <c r="B14" s="2646">
        <v>32004</v>
      </c>
      <c r="C14" s="2646">
        <v>20</v>
      </c>
      <c r="D14" s="2646">
        <v>42</v>
      </c>
      <c r="E14" s="2646">
        <v>15</v>
      </c>
      <c r="F14" s="2646">
        <v>25</v>
      </c>
      <c r="G14" s="2646">
        <v>28.2</v>
      </c>
      <c r="H14" s="2646">
        <v>8500</v>
      </c>
      <c r="I14" s="2646">
        <v>11000</v>
      </c>
      <c r="J14" s="2646">
        <v>9.5000000000000001E-2</v>
      </c>
      <c r="L14" s="2646" t="s">
        <v>2083</v>
      </c>
    </row>
    <row r="15" spans="1:13">
      <c r="A15" s="2647" t="s">
        <v>99</v>
      </c>
      <c r="B15" s="2647">
        <v>30204</v>
      </c>
      <c r="C15" s="2647">
        <v>20</v>
      </c>
      <c r="D15" s="2647">
        <v>47</v>
      </c>
      <c r="E15" s="2647">
        <v>14</v>
      </c>
      <c r="F15" s="2647">
        <v>28.2</v>
      </c>
      <c r="G15" s="2647">
        <v>30.5</v>
      </c>
      <c r="H15" s="2647">
        <v>8000</v>
      </c>
      <c r="I15" s="2647">
        <v>10000</v>
      </c>
      <c r="J15" s="2647">
        <v>0.126</v>
      </c>
      <c r="K15" s="2648"/>
      <c r="L15" s="2647" t="s">
        <v>2084</v>
      </c>
    </row>
    <row r="16" spans="1:13">
      <c r="A16" s="2646" t="s">
        <v>99</v>
      </c>
      <c r="B16" s="2646">
        <v>30304</v>
      </c>
      <c r="C16" s="2646">
        <v>20</v>
      </c>
      <c r="D16" s="2646">
        <v>52</v>
      </c>
      <c r="E16" s="2646">
        <v>15</v>
      </c>
      <c r="F16" s="2646">
        <v>30.5</v>
      </c>
      <c r="G16" s="2646">
        <v>28.4</v>
      </c>
      <c r="H16" s="2646">
        <v>8300</v>
      </c>
      <c r="I16" s="2646">
        <v>11000</v>
      </c>
      <c r="J16" s="2646">
        <v>0.17</v>
      </c>
      <c r="L16" s="2646" t="s">
        <v>2085</v>
      </c>
    </row>
    <row r="17" spans="1:12">
      <c r="A17" s="2647" t="s">
        <v>99</v>
      </c>
      <c r="B17" s="2647">
        <v>32304</v>
      </c>
      <c r="C17" s="2647">
        <v>20</v>
      </c>
      <c r="D17" s="2647">
        <v>52</v>
      </c>
      <c r="E17" s="2647">
        <v>21</v>
      </c>
      <c r="F17" s="2647">
        <v>42.8</v>
      </c>
      <c r="G17" s="2647">
        <v>46.2</v>
      </c>
      <c r="H17" s="2647">
        <v>7500</v>
      </c>
      <c r="I17" s="2647">
        <v>9500</v>
      </c>
      <c r="J17" s="2647">
        <v>0.23</v>
      </c>
      <c r="K17" s="2648"/>
      <c r="L17" s="2647" t="s">
        <v>2086</v>
      </c>
    </row>
    <row r="18" spans="1:12">
      <c r="A18" s="2646" t="s">
        <v>99</v>
      </c>
      <c r="B18" s="2646" t="s">
        <v>2087</v>
      </c>
      <c r="C18" s="2646">
        <v>22</v>
      </c>
      <c r="D18" s="2646">
        <v>40</v>
      </c>
      <c r="E18" s="2646">
        <v>12</v>
      </c>
      <c r="F18" s="2646">
        <v>15</v>
      </c>
      <c r="G18" s="2646">
        <v>20</v>
      </c>
      <c r="H18" s="2646">
        <v>8500</v>
      </c>
      <c r="I18" s="2646">
        <v>11000</v>
      </c>
      <c r="J18" s="2646">
        <v>6.5000000000000002E-2</v>
      </c>
      <c r="L18" s="2646" t="s">
        <v>2088</v>
      </c>
    </row>
    <row r="19" spans="1:12">
      <c r="A19" s="2647" t="s">
        <v>99</v>
      </c>
      <c r="B19" s="2647" t="s">
        <v>2089</v>
      </c>
      <c r="C19" s="2647">
        <v>22</v>
      </c>
      <c r="D19" s="2647">
        <v>44</v>
      </c>
      <c r="E19" s="2647">
        <v>15</v>
      </c>
      <c r="F19" s="2647">
        <v>26</v>
      </c>
      <c r="G19" s="2647">
        <v>30.2</v>
      </c>
      <c r="H19" s="2647">
        <v>8000</v>
      </c>
      <c r="I19" s="2647">
        <v>10000</v>
      </c>
      <c r="J19" s="2647">
        <v>0.1</v>
      </c>
      <c r="K19" s="2648"/>
      <c r="L19" s="2647" t="s">
        <v>2090</v>
      </c>
    </row>
    <row r="20" spans="1:12">
      <c r="A20" s="2646" t="s">
        <v>99</v>
      </c>
      <c r="B20" s="2646">
        <v>32905</v>
      </c>
      <c r="C20" s="2646">
        <v>25</v>
      </c>
      <c r="D20" s="2646">
        <v>42</v>
      </c>
      <c r="E20" s="2646">
        <v>12</v>
      </c>
      <c r="F20" s="2646">
        <v>16</v>
      </c>
      <c r="G20" s="2646">
        <v>21</v>
      </c>
      <c r="H20" s="2646">
        <v>6300</v>
      </c>
      <c r="I20" s="2646">
        <v>10000</v>
      </c>
      <c r="J20" s="2646">
        <v>6.4000000000000001E-2</v>
      </c>
      <c r="L20" s="2646" t="s">
        <v>2091</v>
      </c>
    </row>
    <row r="21" spans="1:12">
      <c r="A21" s="2647" t="s">
        <v>99</v>
      </c>
      <c r="B21" s="2647">
        <v>32005</v>
      </c>
      <c r="C21" s="2647">
        <v>25</v>
      </c>
      <c r="D21" s="2647">
        <v>47</v>
      </c>
      <c r="E21" s="2647">
        <v>15</v>
      </c>
      <c r="F21" s="2647">
        <v>28</v>
      </c>
      <c r="G21" s="2647">
        <v>34</v>
      </c>
      <c r="H21" s="2647">
        <v>7500</v>
      </c>
      <c r="I21" s="2647">
        <v>9500</v>
      </c>
      <c r="J21" s="2647">
        <v>0.11</v>
      </c>
      <c r="K21" s="2648"/>
      <c r="L21" s="2647" t="s">
        <v>2092</v>
      </c>
    </row>
    <row r="22" spans="1:12">
      <c r="A22" s="2646" t="s">
        <v>99</v>
      </c>
      <c r="B22" s="2646">
        <v>33005</v>
      </c>
      <c r="C22" s="2646">
        <v>25</v>
      </c>
      <c r="D22" s="2646">
        <v>47</v>
      </c>
      <c r="E22" s="2646">
        <v>17</v>
      </c>
      <c r="F22" s="2646">
        <v>32.5</v>
      </c>
      <c r="G22" s="2646">
        <v>42.5</v>
      </c>
      <c r="H22" s="2646">
        <v>7500</v>
      </c>
      <c r="I22" s="2646">
        <v>9500</v>
      </c>
      <c r="J22" s="2646">
        <v>0.129</v>
      </c>
      <c r="L22" s="2646" t="s">
        <v>2093</v>
      </c>
    </row>
    <row r="23" spans="1:12">
      <c r="A23" s="2647" t="s">
        <v>99</v>
      </c>
      <c r="B23" s="2647">
        <v>30205</v>
      </c>
      <c r="C23" s="2647">
        <v>25</v>
      </c>
      <c r="D23" s="2647">
        <v>52</v>
      </c>
      <c r="E23" s="2647">
        <v>15</v>
      </c>
      <c r="F23" s="2647">
        <v>32.200000000000003</v>
      </c>
      <c r="G23" s="2647">
        <v>37</v>
      </c>
      <c r="H23" s="2647">
        <v>7000</v>
      </c>
      <c r="I23" s="2647">
        <v>9000</v>
      </c>
      <c r="J23" s="2647">
        <v>0.154</v>
      </c>
      <c r="K23" s="2648"/>
      <c r="L23" s="2647" t="s">
        <v>2094</v>
      </c>
    </row>
    <row r="24" spans="1:12">
      <c r="A24" s="2646" t="s">
        <v>99</v>
      </c>
      <c r="B24" s="2646">
        <v>33205</v>
      </c>
      <c r="C24" s="2646">
        <v>25</v>
      </c>
      <c r="D24" s="2646">
        <v>52</v>
      </c>
      <c r="E24" s="2646">
        <v>22</v>
      </c>
      <c r="F24" s="2646">
        <v>47</v>
      </c>
      <c r="G24" s="2646">
        <v>55.8</v>
      </c>
      <c r="H24" s="2646">
        <v>7000</v>
      </c>
      <c r="I24" s="2646">
        <v>9000</v>
      </c>
      <c r="J24" s="2646">
        <v>0.216</v>
      </c>
      <c r="L24" s="2646" t="s">
        <v>2095</v>
      </c>
    </row>
    <row r="25" spans="1:12">
      <c r="A25" s="2647" t="s">
        <v>99</v>
      </c>
      <c r="B25" s="2647">
        <v>30305</v>
      </c>
      <c r="C25" s="2647">
        <v>25</v>
      </c>
      <c r="D25" s="2647">
        <v>62</v>
      </c>
      <c r="E25" s="2647">
        <v>17</v>
      </c>
      <c r="F25" s="2647">
        <v>46.8</v>
      </c>
      <c r="G25" s="2647">
        <v>48</v>
      </c>
      <c r="H25" s="2647">
        <v>6300</v>
      </c>
      <c r="I25" s="2647">
        <v>8000</v>
      </c>
      <c r="J25" s="2647">
        <v>0.26300000000000001</v>
      </c>
      <c r="K25" s="2648"/>
      <c r="L25" s="2647" t="s">
        <v>2096</v>
      </c>
    </row>
    <row r="26" spans="1:12">
      <c r="A26" s="2646" t="s">
        <v>99</v>
      </c>
      <c r="B26" s="2646">
        <v>31305</v>
      </c>
      <c r="C26" s="2646">
        <v>25</v>
      </c>
      <c r="D26" s="2646">
        <v>62</v>
      </c>
      <c r="E26" s="2646">
        <v>17</v>
      </c>
      <c r="F26" s="2646">
        <v>40.5</v>
      </c>
      <c r="G26" s="2646">
        <v>46</v>
      </c>
      <c r="H26" s="2646">
        <v>6300</v>
      </c>
      <c r="I26" s="2646">
        <v>8000</v>
      </c>
      <c r="J26" s="2646">
        <v>0.26200000000000001</v>
      </c>
      <c r="L26" s="2646" t="s">
        <v>2097</v>
      </c>
    </row>
    <row r="27" spans="1:12">
      <c r="A27" s="2647" t="s">
        <v>99</v>
      </c>
      <c r="B27" s="2647">
        <v>32305</v>
      </c>
      <c r="C27" s="2647">
        <v>25</v>
      </c>
      <c r="D27" s="2647">
        <v>62</v>
      </c>
      <c r="E27" s="2647">
        <v>24</v>
      </c>
      <c r="F27" s="2647">
        <v>61.5</v>
      </c>
      <c r="G27" s="2647">
        <v>68.8</v>
      </c>
      <c r="H27" s="2647">
        <v>6300</v>
      </c>
      <c r="I27" s="2647">
        <v>8000</v>
      </c>
      <c r="J27" s="2647">
        <v>0.36799999999999999</v>
      </c>
      <c r="K27" s="2648"/>
      <c r="L27" s="2647" t="s">
        <v>2098</v>
      </c>
    </row>
    <row r="28" spans="1:12">
      <c r="A28" s="2646" t="s">
        <v>99</v>
      </c>
      <c r="B28" s="2646" t="s">
        <v>2099</v>
      </c>
      <c r="C28" s="2646">
        <v>28</v>
      </c>
      <c r="D28" s="2646">
        <v>45</v>
      </c>
      <c r="E28" s="2646">
        <v>12</v>
      </c>
      <c r="F28" s="2646">
        <v>16.8</v>
      </c>
      <c r="G28" s="2646">
        <v>22.8</v>
      </c>
      <c r="H28" s="2646" t="s">
        <v>2100</v>
      </c>
      <c r="I28" s="2646">
        <v>9500</v>
      </c>
      <c r="J28" s="2646">
        <v>6.9000000000000006E-2</v>
      </c>
      <c r="L28" s="2646" t="s">
        <v>2088</v>
      </c>
    </row>
    <row r="29" spans="1:12">
      <c r="A29" s="2647" t="s">
        <v>99</v>
      </c>
      <c r="B29" s="2647" t="s">
        <v>2101</v>
      </c>
      <c r="C29" s="2647">
        <v>28</v>
      </c>
      <c r="D29" s="2647">
        <v>52</v>
      </c>
      <c r="E29" s="2647">
        <v>16</v>
      </c>
      <c r="F29" s="2647">
        <v>31.5</v>
      </c>
      <c r="G29" s="2647">
        <v>40.5</v>
      </c>
      <c r="H29" s="2647">
        <v>6700</v>
      </c>
      <c r="I29" s="2647">
        <v>8500</v>
      </c>
      <c r="J29" s="2647">
        <v>0.14199999999999999</v>
      </c>
      <c r="K29" s="2648"/>
      <c r="L29" s="2647" t="s">
        <v>2102</v>
      </c>
    </row>
    <row r="30" spans="1:12">
      <c r="A30" s="2646" t="s">
        <v>99</v>
      </c>
      <c r="B30" s="2646" t="s">
        <v>2103</v>
      </c>
      <c r="C30" s="2646">
        <v>28</v>
      </c>
      <c r="D30" s="2646">
        <v>58</v>
      </c>
      <c r="E30" s="2646">
        <v>24</v>
      </c>
      <c r="F30" s="2646">
        <v>58</v>
      </c>
      <c r="G30" s="2646">
        <v>68.2</v>
      </c>
      <c r="H30" s="2646">
        <v>6300</v>
      </c>
      <c r="I30" s="2646">
        <v>8000</v>
      </c>
      <c r="J30" s="2646">
        <v>0.28599999999999998</v>
      </c>
      <c r="L30" s="2646" t="s">
        <v>2104</v>
      </c>
    </row>
    <row r="31" spans="1:12">
      <c r="A31" s="2647" t="s">
        <v>99</v>
      </c>
      <c r="B31" s="2647">
        <v>32906</v>
      </c>
      <c r="C31" s="2647">
        <v>30</v>
      </c>
      <c r="D31" s="2647">
        <v>47</v>
      </c>
      <c r="E31" s="2647">
        <v>12</v>
      </c>
      <c r="F31" s="2647">
        <v>17</v>
      </c>
      <c r="G31" s="2647">
        <v>23.2</v>
      </c>
      <c r="H31" s="2647">
        <v>7000</v>
      </c>
      <c r="I31" s="2647">
        <v>9000</v>
      </c>
      <c r="J31" s="2647">
        <v>7.1999999999999995E-2</v>
      </c>
      <c r="K31" s="2648"/>
      <c r="L31" s="2647" t="s">
        <v>2105</v>
      </c>
    </row>
    <row r="32" spans="1:12">
      <c r="A32" s="2646" t="s">
        <v>99</v>
      </c>
      <c r="B32" s="2646" t="s">
        <v>2106</v>
      </c>
      <c r="C32" s="2646">
        <v>30</v>
      </c>
      <c r="D32" s="2646">
        <v>55</v>
      </c>
      <c r="E32" s="2646">
        <v>16</v>
      </c>
      <c r="F32" s="2646">
        <v>27.8</v>
      </c>
      <c r="G32" s="2646">
        <v>35.5</v>
      </c>
      <c r="H32" s="2646">
        <v>6300</v>
      </c>
      <c r="I32" s="2646">
        <v>8000</v>
      </c>
      <c r="J32" s="2646">
        <v>0.16</v>
      </c>
      <c r="L32" s="2646" t="s">
        <v>2107</v>
      </c>
    </row>
    <row r="33" spans="1:12">
      <c r="A33" s="2647" t="s">
        <v>99</v>
      </c>
      <c r="B33" s="2647">
        <v>32006</v>
      </c>
      <c r="C33" s="2647">
        <v>30</v>
      </c>
      <c r="D33" s="2647">
        <v>55</v>
      </c>
      <c r="E33" s="2647">
        <v>17</v>
      </c>
      <c r="F33" s="2647">
        <v>35.799999999999997</v>
      </c>
      <c r="G33" s="2647">
        <v>46.8</v>
      </c>
      <c r="H33" s="2647">
        <v>6300</v>
      </c>
      <c r="I33" s="2647">
        <v>8000</v>
      </c>
      <c r="J33" s="2647">
        <v>0.17</v>
      </c>
      <c r="K33" s="2648"/>
      <c r="L33" s="2647" t="s">
        <v>2108</v>
      </c>
    </row>
    <row r="34" spans="1:12">
      <c r="A34" s="2646" t="s">
        <v>99</v>
      </c>
      <c r="B34" s="2646">
        <v>33006</v>
      </c>
      <c r="C34" s="2646">
        <v>30</v>
      </c>
      <c r="D34" s="2646">
        <v>55</v>
      </c>
      <c r="E34" s="2646">
        <v>20</v>
      </c>
      <c r="F34" s="2646">
        <v>43.8</v>
      </c>
      <c r="G34" s="2646">
        <v>58.8</v>
      </c>
      <c r="H34" s="2646">
        <v>6300</v>
      </c>
      <c r="I34" s="2646">
        <v>8000</v>
      </c>
      <c r="J34" s="2646">
        <v>0.20100000000000001</v>
      </c>
      <c r="L34" s="2646" t="s">
        <v>2109</v>
      </c>
    </row>
    <row r="35" spans="1:12">
      <c r="A35" s="2647" t="s">
        <v>99</v>
      </c>
      <c r="B35" s="2647">
        <v>30206</v>
      </c>
      <c r="C35" s="2647">
        <v>30</v>
      </c>
      <c r="D35" s="2647">
        <v>62</v>
      </c>
      <c r="E35" s="2647">
        <v>17.5</v>
      </c>
      <c r="F35" s="2647">
        <v>43.2</v>
      </c>
      <c r="G35" s="2647">
        <v>50.5</v>
      </c>
      <c r="H35" s="2647">
        <v>6000</v>
      </c>
      <c r="I35" s="2647">
        <v>7500</v>
      </c>
      <c r="J35" s="2647">
        <v>0.23100000000000001</v>
      </c>
      <c r="K35" s="2648"/>
      <c r="L35" s="2647" t="s">
        <v>2110</v>
      </c>
    </row>
    <row r="36" spans="1:12">
      <c r="A36" s="2646" t="s">
        <v>99</v>
      </c>
      <c r="B36" s="2646">
        <v>32206</v>
      </c>
      <c r="C36" s="2646">
        <v>30</v>
      </c>
      <c r="D36" s="2646">
        <v>62</v>
      </c>
      <c r="E36" s="2646">
        <v>20</v>
      </c>
      <c r="F36" s="2646">
        <v>51.8</v>
      </c>
      <c r="G36" s="2646">
        <v>63.8</v>
      </c>
      <c r="H36" s="2646">
        <v>6000</v>
      </c>
      <c r="I36" s="2646">
        <v>7500</v>
      </c>
      <c r="J36" s="2646">
        <v>0.28699999999999998</v>
      </c>
      <c r="L36" s="2646" t="s">
        <v>2111</v>
      </c>
    </row>
    <row r="37" spans="1:12">
      <c r="A37" s="2647" t="s">
        <v>99</v>
      </c>
      <c r="B37" s="2647">
        <v>33206</v>
      </c>
      <c r="C37" s="2647">
        <v>30</v>
      </c>
      <c r="D37" s="2647">
        <v>62</v>
      </c>
      <c r="E37" s="2647">
        <v>25</v>
      </c>
      <c r="F37" s="2647">
        <v>63.8</v>
      </c>
      <c r="G37" s="2647">
        <v>75.5</v>
      </c>
      <c r="H37" s="2647">
        <v>6000</v>
      </c>
      <c r="I37" s="2647">
        <v>7500</v>
      </c>
      <c r="J37" s="2647">
        <v>0.34200000000000003</v>
      </c>
      <c r="K37" s="2648"/>
      <c r="L37" s="2647" t="s">
        <v>2112</v>
      </c>
    </row>
    <row r="38" spans="1:12">
      <c r="A38" s="2646" t="s">
        <v>99</v>
      </c>
      <c r="B38" s="2646">
        <v>30306</v>
      </c>
      <c r="C38" s="2646">
        <v>30</v>
      </c>
      <c r="D38" s="2646">
        <v>72</v>
      </c>
      <c r="E38" s="2646">
        <v>21</v>
      </c>
      <c r="F38" s="2646">
        <v>59</v>
      </c>
      <c r="G38" s="2646">
        <v>63</v>
      </c>
      <c r="H38" s="2646">
        <v>5600</v>
      </c>
      <c r="I38" s="2646">
        <v>7000</v>
      </c>
      <c r="J38" s="2646">
        <v>0.38700000000000001</v>
      </c>
      <c r="L38" s="2646" t="s">
        <v>2113</v>
      </c>
    </row>
    <row r="39" spans="1:12">
      <c r="A39" s="2647" t="s">
        <v>99</v>
      </c>
      <c r="B39" s="2647">
        <v>23334</v>
      </c>
      <c r="C39" s="2647">
        <v>170</v>
      </c>
      <c r="D39" s="2647">
        <v>360</v>
      </c>
      <c r="E39" s="2647">
        <v>120</v>
      </c>
      <c r="F39" s="2647" t="s">
        <v>2088</v>
      </c>
      <c r="G39" s="2647" t="s">
        <v>2088</v>
      </c>
      <c r="H39" s="2647" t="s">
        <v>2088</v>
      </c>
      <c r="I39" s="2647" t="s">
        <v>2088</v>
      </c>
      <c r="J39" s="2647" t="s">
        <v>2088</v>
      </c>
      <c r="K39" s="2648"/>
      <c r="L39" s="2647">
        <v>7634</v>
      </c>
    </row>
    <row r="40" spans="1:12">
      <c r="A40" s="2646" t="s">
        <v>99</v>
      </c>
      <c r="B40" s="2646">
        <v>31306</v>
      </c>
      <c r="C40" s="2646">
        <v>30</v>
      </c>
      <c r="D40" s="2646">
        <v>72</v>
      </c>
      <c r="E40" s="2646">
        <v>21</v>
      </c>
      <c r="F40" s="2646">
        <v>52.5</v>
      </c>
      <c r="G40" s="2646">
        <v>60.5</v>
      </c>
      <c r="H40" s="2646">
        <v>5600</v>
      </c>
      <c r="I40" s="2646">
        <v>7000</v>
      </c>
      <c r="J40" s="2646">
        <v>0.39200000000000002</v>
      </c>
      <c r="L40" s="2646" t="s">
        <v>2114</v>
      </c>
    </row>
    <row r="41" spans="1:12">
      <c r="A41" s="2647" t="s">
        <v>99</v>
      </c>
      <c r="B41" s="2647">
        <v>32306</v>
      </c>
      <c r="C41" s="2647">
        <v>30</v>
      </c>
      <c r="D41" s="2647">
        <v>72</v>
      </c>
      <c r="E41" s="2647">
        <v>27</v>
      </c>
      <c r="F41" s="2647">
        <v>81.5</v>
      </c>
      <c r="G41" s="2647">
        <v>96.5</v>
      </c>
      <c r="H41" s="2647">
        <v>5600</v>
      </c>
      <c r="I41" s="2647">
        <v>7000</v>
      </c>
      <c r="J41" s="2647">
        <v>0.56200000000000006</v>
      </c>
      <c r="K41" s="2648"/>
      <c r="L41" s="2647" t="s">
        <v>2115</v>
      </c>
    </row>
    <row r="42" spans="1:12">
      <c r="A42" s="2646" t="s">
        <v>99</v>
      </c>
      <c r="B42" s="2646" t="s">
        <v>2116</v>
      </c>
      <c r="C42" s="2646">
        <v>32</v>
      </c>
      <c r="D42" s="2646">
        <v>52</v>
      </c>
      <c r="E42" s="2646">
        <v>14</v>
      </c>
      <c r="F42" s="2646">
        <v>23.8</v>
      </c>
      <c r="G42" s="2646">
        <v>32.5</v>
      </c>
      <c r="H42" s="2646">
        <v>6300</v>
      </c>
      <c r="I42" s="2646">
        <v>8000</v>
      </c>
      <c r="J42" s="2646">
        <v>0.106</v>
      </c>
      <c r="L42" s="2646" t="s">
        <v>2088</v>
      </c>
    </row>
    <row r="43" spans="1:12">
      <c r="A43" s="2647" t="s">
        <v>99</v>
      </c>
      <c r="B43" s="2647" t="s">
        <v>2117</v>
      </c>
      <c r="C43" s="2647">
        <v>32</v>
      </c>
      <c r="D43" s="2647">
        <v>58</v>
      </c>
      <c r="E43" s="2647">
        <v>17</v>
      </c>
      <c r="F43" s="2647">
        <v>36.5</v>
      </c>
      <c r="G43" s="2647">
        <v>49.2</v>
      </c>
      <c r="H43" s="2647">
        <v>6000</v>
      </c>
      <c r="I43" s="2647">
        <v>7500</v>
      </c>
      <c r="J43" s="2647">
        <v>0.187</v>
      </c>
      <c r="K43" s="2648"/>
      <c r="L43" s="2647" t="s">
        <v>2118</v>
      </c>
    </row>
    <row r="44" spans="1:12">
      <c r="A44" s="2646" t="s">
        <v>99</v>
      </c>
      <c r="B44" s="2646" t="s">
        <v>2119</v>
      </c>
      <c r="C44" s="2646">
        <v>32</v>
      </c>
      <c r="D44" s="2646">
        <v>65</v>
      </c>
      <c r="E44" s="2646">
        <v>26</v>
      </c>
      <c r="F44" s="2646">
        <v>68.8</v>
      </c>
      <c r="G44" s="2646">
        <v>82.2</v>
      </c>
      <c r="H44" s="2646">
        <v>5600</v>
      </c>
      <c r="I44" s="2646">
        <v>7000</v>
      </c>
      <c r="J44" s="2646">
        <v>0.38500000000000001</v>
      </c>
      <c r="L44" s="2646" t="s">
        <v>2120</v>
      </c>
    </row>
    <row r="45" spans="1:12">
      <c r="A45" s="2647" t="s">
        <v>99</v>
      </c>
      <c r="B45" s="2647">
        <v>32907</v>
      </c>
      <c r="C45" s="2647">
        <v>35</v>
      </c>
      <c r="D45" s="2647">
        <v>55</v>
      </c>
      <c r="E45" s="2647">
        <v>14</v>
      </c>
      <c r="F45" s="2647">
        <v>25.8</v>
      </c>
      <c r="G45" s="2647">
        <v>34.799999999999997</v>
      </c>
      <c r="H45" s="2647">
        <v>6000</v>
      </c>
      <c r="I45" s="2647">
        <v>7500</v>
      </c>
      <c r="J45" s="2647">
        <v>0.114</v>
      </c>
      <c r="K45" s="2648"/>
      <c r="L45" s="2647" t="s">
        <v>2121</v>
      </c>
    </row>
    <row r="46" spans="1:12">
      <c r="A46" s="2646" t="s">
        <v>99</v>
      </c>
      <c r="B46" s="2646" t="s">
        <v>2122</v>
      </c>
      <c r="C46" s="2646">
        <v>35</v>
      </c>
      <c r="D46" s="2646">
        <v>62</v>
      </c>
      <c r="E46" s="2646">
        <v>17</v>
      </c>
      <c r="F46" s="2646">
        <v>33.799999999999997</v>
      </c>
      <c r="G46" s="2646">
        <v>47.2</v>
      </c>
      <c r="H46" s="2646">
        <v>5600</v>
      </c>
      <c r="I46" s="2646">
        <v>7000</v>
      </c>
      <c r="J46" s="2646">
        <v>0.21</v>
      </c>
      <c r="L46" s="2646" t="s">
        <v>2123</v>
      </c>
    </row>
    <row r="47" spans="1:12">
      <c r="A47" s="2647" t="s">
        <v>99</v>
      </c>
      <c r="B47" s="2647">
        <v>32007</v>
      </c>
      <c r="C47" s="2647">
        <v>35</v>
      </c>
      <c r="D47" s="2647">
        <v>62</v>
      </c>
      <c r="E47" s="2647">
        <v>18</v>
      </c>
      <c r="F47" s="2647">
        <v>43.2</v>
      </c>
      <c r="G47" s="2647">
        <v>59.2</v>
      </c>
      <c r="H47" s="2647">
        <v>5600</v>
      </c>
      <c r="I47" s="2647">
        <v>7000</v>
      </c>
      <c r="J47" s="2647">
        <v>0.224</v>
      </c>
      <c r="K47" s="2648"/>
      <c r="L47" s="2647" t="s">
        <v>2124</v>
      </c>
    </row>
    <row r="48" spans="1:12">
      <c r="A48" s="2646" t="s">
        <v>99</v>
      </c>
      <c r="B48" s="2646">
        <v>33007</v>
      </c>
      <c r="C48" s="2646">
        <v>35</v>
      </c>
      <c r="D48" s="2646">
        <v>62</v>
      </c>
      <c r="E48" s="2646">
        <v>20</v>
      </c>
      <c r="F48" s="2646">
        <v>40.799999999999997</v>
      </c>
      <c r="G48" s="2646">
        <v>53.8</v>
      </c>
      <c r="H48" s="2646">
        <v>6200</v>
      </c>
      <c r="I48" s="2646">
        <v>8200</v>
      </c>
      <c r="J48" s="2646">
        <v>0.25</v>
      </c>
      <c r="L48" s="2646" t="s">
        <v>2125</v>
      </c>
    </row>
    <row r="49" spans="1:12">
      <c r="A49" s="2647" t="s">
        <v>99</v>
      </c>
      <c r="B49" s="2647">
        <v>30207</v>
      </c>
      <c r="C49" s="2647">
        <v>35</v>
      </c>
      <c r="D49" s="2647">
        <v>72</v>
      </c>
      <c r="E49" s="2647">
        <v>17</v>
      </c>
      <c r="F49" s="2647">
        <v>54.2</v>
      </c>
      <c r="G49" s="2647">
        <v>63.5</v>
      </c>
      <c r="H49" s="2647">
        <v>5300</v>
      </c>
      <c r="I49" s="2647">
        <v>6700</v>
      </c>
      <c r="J49" s="2647">
        <v>0.33100000000000002</v>
      </c>
      <c r="K49" s="2648"/>
      <c r="L49" s="2647" t="s">
        <v>2126</v>
      </c>
    </row>
    <row r="50" spans="1:12">
      <c r="A50" s="2646" t="s">
        <v>99</v>
      </c>
      <c r="B50" s="2646">
        <v>32207</v>
      </c>
      <c r="C50" s="2646">
        <v>35</v>
      </c>
      <c r="D50" s="2646">
        <v>72</v>
      </c>
      <c r="E50" s="2646">
        <v>23</v>
      </c>
      <c r="F50" s="2646">
        <v>70.5</v>
      </c>
      <c r="G50" s="2646">
        <v>89.5</v>
      </c>
      <c r="H50" s="2646">
        <v>5300</v>
      </c>
      <c r="I50" s="2646">
        <v>6700</v>
      </c>
      <c r="J50" s="2646">
        <v>0.44500000000000001</v>
      </c>
      <c r="L50" s="2646" t="s">
        <v>2127</v>
      </c>
    </row>
    <row r="51" spans="1:12">
      <c r="A51" s="2647" t="s">
        <v>99</v>
      </c>
      <c r="B51" s="2647">
        <v>33207</v>
      </c>
      <c r="C51" s="2647">
        <v>35</v>
      </c>
      <c r="D51" s="2647">
        <v>72</v>
      </c>
      <c r="E51" s="2647">
        <v>28</v>
      </c>
      <c r="F51" s="2647">
        <v>82.5</v>
      </c>
      <c r="G51" s="2647">
        <v>102</v>
      </c>
      <c r="H51" s="2647">
        <v>5300</v>
      </c>
      <c r="I51" s="2647">
        <v>6700</v>
      </c>
      <c r="J51" s="2647">
        <v>0.51500000000000001</v>
      </c>
      <c r="K51" s="2648"/>
      <c r="L51" s="2647" t="s">
        <v>2128</v>
      </c>
    </row>
    <row r="52" spans="1:12">
      <c r="A52" s="2646" t="s">
        <v>99</v>
      </c>
      <c r="B52" s="2646">
        <v>30307</v>
      </c>
      <c r="C52" s="2646">
        <v>35</v>
      </c>
      <c r="D52" s="2646">
        <v>80</v>
      </c>
      <c r="E52" s="2646">
        <v>21</v>
      </c>
      <c r="F52" s="2646">
        <v>75.2</v>
      </c>
      <c r="G52" s="2646">
        <v>82.5</v>
      </c>
      <c r="H52" s="2646">
        <v>5000</v>
      </c>
      <c r="I52" s="2646">
        <v>6300</v>
      </c>
      <c r="J52" s="2646">
        <v>0.51500000000000001</v>
      </c>
      <c r="L52" s="2646" t="s">
        <v>2129</v>
      </c>
    </row>
    <row r="53" spans="1:12">
      <c r="A53" s="2647" t="s">
        <v>99</v>
      </c>
      <c r="B53" s="2647">
        <v>31307</v>
      </c>
      <c r="C53" s="2647">
        <v>35</v>
      </c>
      <c r="D53" s="2647">
        <v>80</v>
      </c>
      <c r="E53" s="2647">
        <v>21</v>
      </c>
      <c r="F53" s="2647">
        <v>65.8</v>
      </c>
      <c r="G53" s="2647">
        <v>76.8</v>
      </c>
      <c r="H53" s="2647">
        <v>5000</v>
      </c>
      <c r="I53" s="2647">
        <v>6300</v>
      </c>
      <c r="J53" s="2647">
        <v>0.51400000000000001</v>
      </c>
      <c r="K53" s="2648"/>
      <c r="L53" s="2647" t="s">
        <v>2130</v>
      </c>
    </row>
    <row r="54" spans="1:12">
      <c r="A54" s="2646" t="s">
        <v>99</v>
      </c>
      <c r="B54" s="2646">
        <v>32307</v>
      </c>
      <c r="C54" s="2646">
        <v>35</v>
      </c>
      <c r="D54" s="2646">
        <v>80</v>
      </c>
      <c r="E54" s="2646">
        <v>31</v>
      </c>
      <c r="F54" s="2646">
        <v>99</v>
      </c>
      <c r="G54" s="2646">
        <v>118</v>
      </c>
      <c r="H54" s="2646">
        <v>5000</v>
      </c>
      <c r="I54" s="2646">
        <v>6300</v>
      </c>
      <c r="J54" s="2646">
        <v>0.76300000000000001</v>
      </c>
      <c r="L54" s="2646" t="s">
        <v>2131</v>
      </c>
    </row>
    <row r="55" spans="1:12">
      <c r="A55" s="2647" t="s">
        <v>99</v>
      </c>
      <c r="B55" s="2647" t="s">
        <v>2132</v>
      </c>
      <c r="C55" s="2647">
        <v>40</v>
      </c>
      <c r="D55" s="2647">
        <v>62</v>
      </c>
      <c r="E55" s="2647">
        <v>14</v>
      </c>
      <c r="F55" s="2647">
        <v>21.2</v>
      </c>
      <c r="G55" s="2647">
        <v>28.2</v>
      </c>
      <c r="H55" s="2647">
        <v>5600</v>
      </c>
      <c r="I55" s="2647">
        <v>7000</v>
      </c>
      <c r="J55" s="2647">
        <v>0.14000000000000001</v>
      </c>
      <c r="K55" s="2648"/>
      <c r="L55" s="2647">
        <v>2007908</v>
      </c>
    </row>
    <row r="56" spans="1:12">
      <c r="A56" s="2646" t="s">
        <v>99</v>
      </c>
      <c r="B56" s="2646">
        <v>32908</v>
      </c>
      <c r="C56" s="2646">
        <v>40</v>
      </c>
      <c r="D56" s="2646">
        <v>62</v>
      </c>
      <c r="E56" s="2646">
        <v>15</v>
      </c>
      <c r="F56" s="2646">
        <v>31.5</v>
      </c>
      <c r="G56" s="2646">
        <v>46</v>
      </c>
      <c r="H56" s="2646">
        <v>5600</v>
      </c>
      <c r="I56" s="2646">
        <v>7000</v>
      </c>
      <c r="J56" s="2646">
        <v>0.155</v>
      </c>
      <c r="L56" s="2646" t="s">
        <v>2133</v>
      </c>
    </row>
    <row r="57" spans="1:12">
      <c r="A57" s="2647" t="s">
        <v>99</v>
      </c>
      <c r="B57" s="2647" t="s">
        <v>2134</v>
      </c>
      <c r="C57" s="2647">
        <v>40</v>
      </c>
      <c r="D57" s="2647">
        <v>68</v>
      </c>
      <c r="E57" s="2647">
        <v>18</v>
      </c>
      <c r="F57" s="2647">
        <v>39.799999999999997</v>
      </c>
      <c r="G57" s="2647">
        <v>55.2</v>
      </c>
      <c r="H57" s="2647">
        <v>5300</v>
      </c>
      <c r="I57" s="2647">
        <v>6700</v>
      </c>
      <c r="J57" s="2647">
        <v>0.27</v>
      </c>
      <c r="K57" s="2648"/>
      <c r="L57" s="2647" t="s">
        <v>2088</v>
      </c>
    </row>
    <row r="58" spans="1:12">
      <c r="A58" s="2646" t="s">
        <v>99</v>
      </c>
      <c r="B58" s="2646">
        <v>32008</v>
      </c>
      <c r="C58" s="2646">
        <v>40</v>
      </c>
      <c r="D58" s="2646">
        <v>68</v>
      </c>
      <c r="E58" s="2646">
        <v>19</v>
      </c>
      <c r="F58" s="2646">
        <v>51.8</v>
      </c>
      <c r="G58" s="2646">
        <v>71</v>
      </c>
      <c r="H58" s="2646">
        <v>5300</v>
      </c>
      <c r="I58" s="2646">
        <v>6700</v>
      </c>
      <c r="J58" s="2646">
        <v>0.26700000000000002</v>
      </c>
      <c r="L58" s="2646" t="s">
        <v>2135</v>
      </c>
    </row>
    <row r="59" spans="1:12">
      <c r="A59" s="2647" t="s">
        <v>99</v>
      </c>
      <c r="B59" s="2647">
        <v>33008</v>
      </c>
      <c r="C59" s="2647">
        <v>40</v>
      </c>
      <c r="D59" s="2647">
        <v>68</v>
      </c>
      <c r="E59" s="2647">
        <v>22</v>
      </c>
      <c r="F59" s="2647">
        <v>60.2</v>
      </c>
      <c r="G59" s="2647">
        <v>79.5</v>
      </c>
      <c r="H59" s="2647">
        <v>5300</v>
      </c>
      <c r="I59" s="2647">
        <v>6700</v>
      </c>
      <c r="J59" s="2647">
        <v>0.30599999999999999</v>
      </c>
      <c r="K59" s="2648"/>
      <c r="L59" s="2647" t="s">
        <v>2136</v>
      </c>
    </row>
    <row r="60" spans="1:12">
      <c r="A60" s="2646" t="s">
        <v>99</v>
      </c>
      <c r="B60" s="2646">
        <v>33108</v>
      </c>
      <c r="C60" s="2646">
        <v>40</v>
      </c>
      <c r="D60" s="2646">
        <v>75</v>
      </c>
      <c r="E60" s="2646">
        <v>26</v>
      </c>
      <c r="F60" s="2646">
        <v>84.8</v>
      </c>
      <c r="G60" s="2646">
        <v>110</v>
      </c>
      <c r="H60" s="2646">
        <v>5000</v>
      </c>
      <c r="I60" s="2646">
        <v>6300</v>
      </c>
      <c r="J60" s="2646">
        <v>0.496</v>
      </c>
      <c r="L60" s="2646" t="s">
        <v>2137</v>
      </c>
    </row>
    <row r="61" spans="1:12">
      <c r="A61" s="2647" t="s">
        <v>99</v>
      </c>
      <c r="B61" s="2647">
        <v>30208</v>
      </c>
      <c r="C61" s="2647">
        <v>40</v>
      </c>
      <c r="D61" s="2647">
        <v>80</v>
      </c>
      <c r="E61" s="2647">
        <v>18</v>
      </c>
      <c r="F61" s="2647">
        <v>63</v>
      </c>
      <c r="G61" s="2647">
        <v>74</v>
      </c>
      <c r="H61" s="2647">
        <v>5000</v>
      </c>
      <c r="I61" s="2647">
        <v>6300</v>
      </c>
      <c r="J61" s="2647">
        <v>0.42199999999999999</v>
      </c>
      <c r="K61" s="2648"/>
      <c r="L61" s="2647" t="s">
        <v>2138</v>
      </c>
    </row>
    <row r="62" spans="1:12">
      <c r="A62" s="2646" t="s">
        <v>99</v>
      </c>
      <c r="B62" s="2646">
        <v>32208</v>
      </c>
      <c r="C62" s="2646">
        <v>40</v>
      </c>
      <c r="D62" s="2646">
        <v>80</v>
      </c>
      <c r="E62" s="2646">
        <v>23</v>
      </c>
      <c r="F62" s="2646">
        <v>77.8</v>
      </c>
      <c r="G62" s="2646">
        <v>97.2</v>
      </c>
      <c r="H62" s="2646">
        <v>5000</v>
      </c>
      <c r="I62" s="2646">
        <v>6300</v>
      </c>
      <c r="J62" s="2646">
        <v>0.53200000000000003</v>
      </c>
      <c r="L62" s="2646" t="s">
        <v>2139</v>
      </c>
    </row>
    <row r="63" spans="1:12">
      <c r="A63" s="2647" t="s">
        <v>99</v>
      </c>
      <c r="B63" s="2647">
        <v>33208</v>
      </c>
      <c r="C63" s="2647">
        <v>40</v>
      </c>
      <c r="D63" s="2647">
        <v>80</v>
      </c>
      <c r="E63" s="2647">
        <v>32</v>
      </c>
      <c r="F63" s="2647">
        <v>105</v>
      </c>
      <c r="G63" s="2647">
        <v>135</v>
      </c>
      <c r="H63" s="2647">
        <v>5000</v>
      </c>
      <c r="I63" s="2647">
        <v>6300</v>
      </c>
      <c r="J63" s="2647">
        <v>0.71499999999999997</v>
      </c>
      <c r="K63" s="2648"/>
      <c r="L63" s="2647" t="s">
        <v>2140</v>
      </c>
    </row>
    <row r="64" spans="1:12">
      <c r="A64" s="2646" t="s">
        <v>99</v>
      </c>
      <c r="B64" s="2646">
        <v>30308</v>
      </c>
      <c r="C64" s="2646">
        <v>40</v>
      </c>
      <c r="D64" s="2646">
        <v>90</v>
      </c>
      <c r="E64" s="2646">
        <v>23</v>
      </c>
      <c r="F64" s="2646">
        <v>90.8</v>
      </c>
      <c r="G64" s="2646">
        <v>108</v>
      </c>
      <c r="H64" s="2646">
        <v>4500</v>
      </c>
      <c r="I64" s="2646">
        <v>5600</v>
      </c>
      <c r="J64" s="2646">
        <v>0.747</v>
      </c>
      <c r="L64" s="2646" t="s">
        <v>2141</v>
      </c>
    </row>
    <row r="65" spans="1:12">
      <c r="A65" s="2647" t="s">
        <v>99</v>
      </c>
      <c r="B65" s="2647">
        <v>31308</v>
      </c>
      <c r="C65" s="2647">
        <v>40</v>
      </c>
      <c r="D65" s="2647">
        <v>90</v>
      </c>
      <c r="E65" s="2647">
        <v>23</v>
      </c>
      <c r="F65" s="2647">
        <v>81.5</v>
      </c>
      <c r="G65" s="2647">
        <v>96.5</v>
      </c>
      <c r="H65" s="2647">
        <v>4500</v>
      </c>
      <c r="I65" s="2647">
        <v>5600</v>
      </c>
      <c r="J65" s="2647">
        <v>0.72699999999999998</v>
      </c>
      <c r="K65" s="2648"/>
      <c r="L65" s="2647" t="s">
        <v>2142</v>
      </c>
    </row>
    <row r="66" spans="1:12">
      <c r="A66" s="2646" t="s">
        <v>99</v>
      </c>
      <c r="B66" s="2646">
        <v>32308</v>
      </c>
      <c r="C66" s="2646">
        <v>40</v>
      </c>
      <c r="D66" s="2646">
        <v>90</v>
      </c>
      <c r="E66" s="2646">
        <v>33</v>
      </c>
      <c r="F66" s="2646">
        <v>115</v>
      </c>
      <c r="G66" s="2646">
        <v>148</v>
      </c>
      <c r="H66" s="2646">
        <v>4500</v>
      </c>
      <c r="I66" s="2646">
        <v>5600</v>
      </c>
      <c r="J66" s="2646">
        <v>1.04</v>
      </c>
      <c r="L66" s="2646" t="s">
        <v>2143</v>
      </c>
    </row>
    <row r="67" spans="1:12">
      <c r="A67" s="2647" t="s">
        <v>99</v>
      </c>
      <c r="B67" s="2647" t="s">
        <v>2144</v>
      </c>
      <c r="C67" s="2647">
        <v>45</v>
      </c>
      <c r="D67" s="2647">
        <v>68</v>
      </c>
      <c r="E67" s="2647">
        <v>14</v>
      </c>
      <c r="F67" s="2647">
        <v>22.2</v>
      </c>
      <c r="G67" s="2647">
        <v>32.799999999999997</v>
      </c>
      <c r="H67" s="2647">
        <v>5300</v>
      </c>
      <c r="I67" s="2647">
        <v>6700</v>
      </c>
      <c r="J67" s="2647" t="s">
        <v>2074</v>
      </c>
      <c r="K67" s="2648"/>
      <c r="L67" s="2647" t="s">
        <v>2088</v>
      </c>
    </row>
    <row r="68" spans="1:12">
      <c r="A68" s="2646" t="s">
        <v>99</v>
      </c>
      <c r="B68" s="2646">
        <v>32909</v>
      </c>
      <c r="C68" s="2646">
        <v>45</v>
      </c>
      <c r="D68" s="2646">
        <v>68</v>
      </c>
      <c r="E68" s="2646">
        <v>15</v>
      </c>
      <c r="F68" s="2646">
        <v>32</v>
      </c>
      <c r="G68" s="2646">
        <v>48.5</v>
      </c>
      <c r="H68" s="2646">
        <v>5300</v>
      </c>
      <c r="I68" s="2646">
        <v>6700</v>
      </c>
      <c r="J68" s="2646">
        <v>0.18</v>
      </c>
      <c r="L68" s="2646" t="s">
        <v>2145</v>
      </c>
    </row>
    <row r="69" spans="1:12">
      <c r="A69" s="2647" t="s">
        <v>99</v>
      </c>
      <c r="B69" s="2647" t="s">
        <v>2146</v>
      </c>
      <c r="C69" s="2647">
        <v>45</v>
      </c>
      <c r="D69" s="2647">
        <v>75</v>
      </c>
      <c r="E69" s="2647">
        <v>19</v>
      </c>
      <c r="F69" s="2647">
        <v>44.5</v>
      </c>
      <c r="G69" s="2647">
        <v>62.5</v>
      </c>
      <c r="H69" s="2647">
        <v>5000</v>
      </c>
      <c r="I69" s="2647">
        <v>6300</v>
      </c>
      <c r="J69" s="2647">
        <v>0.32</v>
      </c>
      <c r="K69" s="2648"/>
      <c r="L69" s="2647" t="s">
        <v>2147</v>
      </c>
    </row>
    <row r="70" spans="1:12">
      <c r="A70" s="2646" t="s">
        <v>99</v>
      </c>
      <c r="B70" s="2646">
        <v>32009</v>
      </c>
      <c r="C70" s="2646">
        <v>45</v>
      </c>
      <c r="D70" s="2646">
        <v>75</v>
      </c>
      <c r="E70" s="2646">
        <v>20</v>
      </c>
      <c r="F70" s="2646">
        <v>58.5</v>
      </c>
      <c r="G70" s="2646">
        <v>81.5</v>
      </c>
      <c r="H70" s="2646">
        <v>5000</v>
      </c>
      <c r="I70" s="2646">
        <v>6300</v>
      </c>
      <c r="J70" s="2646">
        <v>0.33700000000000002</v>
      </c>
      <c r="L70" s="2646" t="s">
        <v>2148</v>
      </c>
    </row>
    <row r="71" spans="1:12">
      <c r="A71" s="2647" t="s">
        <v>99</v>
      </c>
      <c r="B71" s="2647">
        <v>33009</v>
      </c>
      <c r="C71" s="2647">
        <v>45</v>
      </c>
      <c r="D71" s="2647">
        <v>75</v>
      </c>
      <c r="E71" s="2647">
        <v>24</v>
      </c>
      <c r="F71" s="2647">
        <v>72.5</v>
      </c>
      <c r="G71" s="2647">
        <v>100</v>
      </c>
      <c r="H71" s="2647">
        <v>5000</v>
      </c>
      <c r="I71" s="2647">
        <v>6300</v>
      </c>
      <c r="J71" s="2647">
        <v>0.39800000000000002</v>
      </c>
      <c r="K71" s="2648"/>
      <c r="L71" s="2647" t="s">
        <v>2149</v>
      </c>
    </row>
    <row r="72" spans="1:12">
      <c r="A72" s="2646" t="s">
        <v>99</v>
      </c>
      <c r="B72" s="2646">
        <v>33109</v>
      </c>
      <c r="C72" s="2646">
        <v>45</v>
      </c>
      <c r="D72" s="2646">
        <v>80</v>
      </c>
      <c r="E72" s="2646">
        <v>26</v>
      </c>
      <c r="F72" s="2646">
        <v>87</v>
      </c>
      <c r="G72" s="2646">
        <v>118</v>
      </c>
      <c r="H72" s="2646">
        <v>4500</v>
      </c>
      <c r="I72" s="2646">
        <v>5600</v>
      </c>
      <c r="J72" s="2646">
        <v>0.53500000000000003</v>
      </c>
      <c r="L72" s="2646" t="s">
        <v>2150</v>
      </c>
    </row>
    <row r="73" spans="1:12">
      <c r="A73" s="2647" t="s">
        <v>99</v>
      </c>
      <c r="B73" s="2647">
        <v>30209</v>
      </c>
      <c r="C73" s="2647">
        <v>45</v>
      </c>
      <c r="D73" s="2647">
        <v>85</v>
      </c>
      <c r="E73" s="2647">
        <v>19</v>
      </c>
      <c r="F73" s="2647">
        <v>67.8</v>
      </c>
      <c r="G73" s="2647">
        <v>83.5</v>
      </c>
      <c r="H73" s="2647">
        <v>4500</v>
      </c>
      <c r="I73" s="2647">
        <v>5600</v>
      </c>
      <c r="J73" s="2647">
        <v>0.47399999999999998</v>
      </c>
      <c r="K73" s="2648"/>
      <c r="L73" s="2647" t="s">
        <v>2151</v>
      </c>
    </row>
    <row r="74" spans="1:12">
      <c r="A74" s="2646" t="s">
        <v>99</v>
      </c>
      <c r="B74" s="2646">
        <v>32209</v>
      </c>
      <c r="C74" s="2646">
        <v>45</v>
      </c>
      <c r="D74" s="2646">
        <v>85</v>
      </c>
      <c r="E74" s="2646">
        <v>23</v>
      </c>
      <c r="F74" s="2646">
        <v>80.8</v>
      </c>
      <c r="G74" s="2646">
        <v>105</v>
      </c>
      <c r="H74" s="2646">
        <v>4500</v>
      </c>
      <c r="I74" s="2646">
        <v>5600</v>
      </c>
      <c r="J74" s="2646">
        <v>0.57299999999999995</v>
      </c>
      <c r="L74" s="2646" t="s">
        <v>2152</v>
      </c>
    </row>
    <row r="75" spans="1:12">
      <c r="A75" s="2647" t="s">
        <v>99</v>
      </c>
      <c r="B75" s="2647">
        <v>33209</v>
      </c>
      <c r="C75" s="2647">
        <v>45</v>
      </c>
      <c r="D75" s="2647">
        <v>85</v>
      </c>
      <c r="E75" s="2647">
        <v>32</v>
      </c>
      <c r="F75" s="2647">
        <v>110</v>
      </c>
      <c r="G75" s="2647">
        <v>145</v>
      </c>
      <c r="H75" s="2647">
        <v>4500</v>
      </c>
      <c r="I75" s="2647">
        <v>5600</v>
      </c>
      <c r="J75" s="2647">
        <v>0.77100000000000002</v>
      </c>
      <c r="K75" s="2648"/>
      <c r="L75" s="2647" t="s">
        <v>2153</v>
      </c>
    </row>
    <row r="76" spans="1:12">
      <c r="A76" s="2646" t="s">
        <v>99</v>
      </c>
      <c r="B76" s="2646">
        <v>30309</v>
      </c>
      <c r="C76" s="2646">
        <v>45</v>
      </c>
      <c r="D76" s="2646">
        <v>100</v>
      </c>
      <c r="E76" s="2646">
        <v>25</v>
      </c>
      <c r="F76" s="2646">
        <v>108</v>
      </c>
      <c r="G76" s="2646">
        <v>130</v>
      </c>
      <c r="H76" s="2646">
        <v>4000</v>
      </c>
      <c r="I76" s="2646">
        <v>5000</v>
      </c>
      <c r="J76" s="2646">
        <v>0.98399999999999999</v>
      </c>
      <c r="L76" s="2646" t="s">
        <v>2154</v>
      </c>
    </row>
    <row r="77" spans="1:12">
      <c r="A77" s="2647" t="s">
        <v>99</v>
      </c>
      <c r="B77" s="2647">
        <v>31309</v>
      </c>
      <c r="C77" s="2647">
        <v>45</v>
      </c>
      <c r="D77" s="2647">
        <v>100</v>
      </c>
      <c r="E77" s="2647">
        <v>25</v>
      </c>
      <c r="F77" s="2647">
        <v>95.5</v>
      </c>
      <c r="G77" s="2647">
        <v>115</v>
      </c>
      <c r="H77" s="2647">
        <v>4000</v>
      </c>
      <c r="I77" s="2647">
        <v>5000</v>
      </c>
      <c r="J77" s="2647">
        <v>0.94399999999999995</v>
      </c>
      <c r="K77" s="2648"/>
      <c r="L77" s="2647" t="s">
        <v>2155</v>
      </c>
    </row>
    <row r="78" spans="1:12">
      <c r="A78" s="2646" t="s">
        <v>99</v>
      </c>
      <c r="B78" s="2646">
        <v>32309</v>
      </c>
      <c r="C78" s="2646">
        <v>45</v>
      </c>
      <c r="D78" s="2646">
        <v>100</v>
      </c>
      <c r="E78" s="2646">
        <v>36</v>
      </c>
      <c r="F78" s="2646">
        <v>145</v>
      </c>
      <c r="G78" s="2646">
        <v>188</v>
      </c>
      <c r="H78" s="2646">
        <v>4000</v>
      </c>
      <c r="I78" s="2646">
        <v>5000</v>
      </c>
      <c r="J78" s="2646">
        <v>1.4</v>
      </c>
      <c r="L78" s="2646" t="s">
        <v>2156</v>
      </c>
    </row>
    <row r="79" spans="1:12">
      <c r="A79" s="2647" t="s">
        <v>99</v>
      </c>
      <c r="B79" s="2647" t="s">
        <v>2157</v>
      </c>
      <c r="C79" s="2647">
        <v>50</v>
      </c>
      <c r="D79" s="2647">
        <v>72</v>
      </c>
      <c r="E79" s="2647">
        <v>14</v>
      </c>
      <c r="F79" s="2647">
        <v>22.2</v>
      </c>
      <c r="G79" s="2647">
        <v>32.799999999999997</v>
      </c>
      <c r="H79" s="2647">
        <v>5000</v>
      </c>
      <c r="I79" s="2647">
        <v>6300</v>
      </c>
      <c r="J79" s="2647">
        <v>0.7</v>
      </c>
      <c r="K79" s="2648"/>
      <c r="L79" s="2647" t="s">
        <v>2088</v>
      </c>
    </row>
    <row r="80" spans="1:12">
      <c r="A80" s="2646" t="s">
        <v>99</v>
      </c>
      <c r="B80" s="2646">
        <v>32910</v>
      </c>
      <c r="C80" s="2646">
        <v>50</v>
      </c>
      <c r="D80" s="2646">
        <v>72</v>
      </c>
      <c r="E80" s="2646">
        <v>15</v>
      </c>
      <c r="F80" s="2646">
        <v>36.799999999999997</v>
      </c>
      <c r="G80" s="2646">
        <v>56</v>
      </c>
      <c r="H80" s="2646">
        <v>5000</v>
      </c>
      <c r="I80" s="2646">
        <v>6300</v>
      </c>
      <c r="J80" s="2646">
        <v>0.18099999999999999</v>
      </c>
      <c r="L80" s="2646" t="s">
        <v>2158</v>
      </c>
    </row>
    <row r="81" spans="1:12">
      <c r="A81" s="2647" t="s">
        <v>99</v>
      </c>
      <c r="B81" s="2647" t="s">
        <v>2159</v>
      </c>
      <c r="C81" s="2647">
        <v>50</v>
      </c>
      <c r="D81" s="2647">
        <v>80</v>
      </c>
      <c r="E81" s="2647">
        <v>19</v>
      </c>
      <c r="F81" s="2647">
        <v>45.8</v>
      </c>
      <c r="G81" s="2647">
        <v>66.2</v>
      </c>
      <c r="H81" s="2647">
        <v>4500</v>
      </c>
      <c r="I81" s="2647">
        <v>5600</v>
      </c>
      <c r="J81" s="2647">
        <v>0.31</v>
      </c>
      <c r="K81" s="2648"/>
      <c r="L81" s="2647" t="s">
        <v>2160</v>
      </c>
    </row>
    <row r="82" spans="1:12">
      <c r="A82" s="2646" t="s">
        <v>99</v>
      </c>
      <c r="B82" s="2646">
        <v>32010</v>
      </c>
      <c r="C82" s="2646">
        <v>50</v>
      </c>
      <c r="D82" s="2646">
        <v>80</v>
      </c>
      <c r="E82" s="2646">
        <v>20</v>
      </c>
      <c r="F82" s="2646">
        <v>61</v>
      </c>
      <c r="G82" s="2646">
        <v>89</v>
      </c>
      <c r="H82" s="2646">
        <v>4500</v>
      </c>
      <c r="I82" s="2646">
        <v>5600</v>
      </c>
      <c r="J82" s="2646">
        <v>0.36599999999999999</v>
      </c>
      <c r="L82" s="2646" t="s">
        <v>2161</v>
      </c>
    </row>
    <row r="83" spans="1:12">
      <c r="A83" s="2647" t="s">
        <v>99</v>
      </c>
      <c r="B83" s="2647">
        <v>33010</v>
      </c>
      <c r="C83" s="2647">
        <v>50</v>
      </c>
      <c r="D83" s="2647">
        <v>80</v>
      </c>
      <c r="E83" s="2647">
        <v>24</v>
      </c>
      <c r="F83" s="2647">
        <v>76.8</v>
      </c>
      <c r="G83" s="2647">
        <v>110</v>
      </c>
      <c r="H83" s="2647">
        <v>4500</v>
      </c>
      <c r="I83" s="2647">
        <v>5600</v>
      </c>
      <c r="J83" s="2647">
        <v>0.433</v>
      </c>
      <c r="K83" s="2648"/>
      <c r="L83" s="2647" t="s">
        <v>2162</v>
      </c>
    </row>
    <row r="84" spans="1:12">
      <c r="A84" s="2646" t="s">
        <v>99</v>
      </c>
      <c r="B84" s="2646">
        <v>33110</v>
      </c>
      <c r="C84" s="2646">
        <v>50</v>
      </c>
      <c r="D84" s="2646">
        <v>85</v>
      </c>
      <c r="E84" s="2646">
        <v>26</v>
      </c>
      <c r="F84" s="2646">
        <v>89.2</v>
      </c>
      <c r="G84" s="2646">
        <v>125</v>
      </c>
      <c r="H84" s="2646">
        <v>4300</v>
      </c>
      <c r="I84" s="2646">
        <v>5300</v>
      </c>
      <c r="J84" s="2646">
        <v>0.57199999999999995</v>
      </c>
      <c r="L84" s="2646" t="s">
        <v>2163</v>
      </c>
    </row>
    <row r="85" spans="1:12">
      <c r="A85" s="2647" t="s">
        <v>99</v>
      </c>
      <c r="B85" s="2647">
        <v>30210</v>
      </c>
      <c r="C85" s="2647">
        <v>50</v>
      </c>
      <c r="D85" s="2647">
        <v>90</v>
      </c>
      <c r="E85" s="2647">
        <v>20</v>
      </c>
      <c r="F85" s="2647">
        <v>73.2</v>
      </c>
      <c r="G85" s="2647">
        <v>92</v>
      </c>
      <c r="H85" s="2647">
        <v>4300</v>
      </c>
      <c r="I85" s="2647">
        <v>5300</v>
      </c>
      <c r="J85" s="2647">
        <v>0.52900000000000003</v>
      </c>
      <c r="K85" s="2648"/>
      <c r="L85" s="2647" t="s">
        <v>2164</v>
      </c>
    </row>
    <row r="86" spans="1:12">
      <c r="A86" s="2646" t="s">
        <v>99</v>
      </c>
      <c r="B86" s="2646">
        <v>32210</v>
      </c>
      <c r="C86" s="2646">
        <v>50</v>
      </c>
      <c r="D86" s="2646">
        <v>90</v>
      </c>
      <c r="E86" s="2646">
        <v>23</v>
      </c>
      <c r="F86" s="2646">
        <v>82.8</v>
      </c>
      <c r="G86" s="2646">
        <v>108</v>
      </c>
      <c r="H86" s="2646">
        <v>4300</v>
      </c>
      <c r="I86" s="2646">
        <v>5300</v>
      </c>
      <c r="J86" s="2646">
        <v>0.626</v>
      </c>
      <c r="L86" s="2646" t="s">
        <v>2165</v>
      </c>
    </row>
    <row r="87" spans="1:12">
      <c r="A87" s="2647" t="s">
        <v>99</v>
      </c>
      <c r="B87" s="2647">
        <v>33210</v>
      </c>
      <c r="C87" s="2647">
        <v>50</v>
      </c>
      <c r="D87" s="2647">
        <v>90</v>
      </c>
      <c r="E87" s="2647">
        <v>32</v>
      </c>
      <c r="F87" s="2647">
        <v>112</v>
      </c>
      <c r="G87" s="2647">
        <v>155</v>
      </c>
      <c r="H87" s="2647">
        <v>4300</v>
      </c>
      <c r="I87" s="2647">
        <v>5300</v>
      </c>
      <c r="J87" s="2647">
        <v>0.82499999999999996</v>
      </c>
      <c r="K87" s="2648"/>
      <c r="L87" s="2647" t="s">
        <v>2166</v>
      </c>
    </row>
    <row r="88" spans="1:12">
      <c r="A88" s="2646" t="s">
        <v>99</v>
      </c>
      <c r="B88" s="2646">
        <v>30310</v>
      </c>
      <c r="C88" s="2646">
        <v>50</v>
      </c>
      <c r="D88" s="2646">
        <v>110</v>
      </c>
      <c r="E88" s="2646">
        <v>27</v>
      </c>
      <c r="F88" s="2646">
        <v>130</v>
      </c>
      <c r="G88" s="2646">
        <v>158</v>
      </c>
      <c r="H88" s="2646">
        <v>3800</v>
      </c>
      <c r="I88" s="2646">
        <v>4800</v>
      </c>
      <c r="J88" s="2646">
        <v>1.28</v>
      </c>
      <c r="L88" s="2646" t="s">
        <v>2167</v>
      </c>
    </row>
    <row r="89" spans="1:12">
      <c r="A89" s="2647" t="s">
        <v>99</v>
      </c>
      <c r="B89" s="2647">
        <v>31310</v>
      </c>
      <c r="C89" s="2647">
        <v>50</v>
      </c>
      <c r="D89" s="2647">
        <v>110</v>
      </c>
      <c r="E89" s="2647">
        <v>27</v>
      </c>
      <c r="F89" s="2647">
        <v>108</v>
      </c>
      <c r="G89" s="2647">
        <v>128</v>
      </c>
      <c r="H89" s="2647">
        <v>3800</v>
      </c>
      <c r="I89" s="2647">
        <v>4800</v>
      </c>
      <c r="J89" s="2647">
        <v>1.21</v>
      </c>
      <c r="K89" s="2648"/>
      <c r="L89" s="2647" t="s">
        <v>2168</v>
      </c>
    </row>
    <row r="90" spans="1:12">
      <c r="A90" s="2646" t="s">
        <v>99</v>
      </c>
      <c r="B90" s="2646">
        <v>32310</v>
      </c>
      <c r="C90" s="2646">
        <v>50</v>
      </c>
      <c r="D90" s="2646">
        <v>110</v>
      </c>
      <c r="E90" s="2646">
        <v>42.5</v>
      </c>
      <c r="F90" s="2646">
        <v>178</v>
      </c>
      <c r="G90" s="2646">
        <v>235</v>
      </c>
      <c r="H90" s="2646">
        <v>3800</v>
      </c>
      <c r="I90" s="2646">
        <v>4800</v>
      </c>
      <c r="J90" s="2646">
        <v>1.89</v>
      </c>
      <c r="L90" s="2646" t="s">
        <v>2169</v>
      </c>
    </row>
    <row r="91" spans="1:12">
      <c r="A91" s="2647" t="s">
        <v>99</v>
      </c>
      <c r="B91" s="2647">
        <v>32911</v>
      </c>
      <c r="C91" s="2647">
        <v>55</v>
      </c>
      <c r="D91" s="2647">
        <v>80</v>
      </c>
      <c r="E91" s="2647">
        <v>17</v>
      </c>
      <c r="F91" s="2647">
        <v>41.5</v>
      </c>
      <c r="G91" s="2647">
        <v>66.8</v>
      </c>
      <c r="H91" s="2647">
        <v>4800</v>
      </c>
      <c r="I91" s="2647">
        <v>6000</v>
      </c>
      <c r="J91" s="2647">
        <v>0.26200000000000001</v>
      </c>
      <c r="K91" s="2648"/>
      <c r="L91" s="2647" t="s">
        <v>2170</v>
      </c>
    </row>
    <row r="92" spans="1:12">
      <c r="A92" s="2646" t="s">
        <v>99</v>
      </c>
      <c r="B92" s="2646" t="s">
        <v>2171</v>
      </c>
      <c r="C92" s="2646">
        <v>55</v>
      </c>
      <c r="D92" s="2646">
        <v>90</v>
      </c>
      <c r="E92" s="2646">
        <v>22</v>
      </c>
      <c r="F92" s="2646">
        <v>63.8</v>
      </c>
      <c r="G92" s="2646">
        <v>93.2</v>
      </c>
      <c r="H92" s="2646">
        <v>4000</v>
      </c>
      <c r="I92" s="2646">
        <v>5000</v>
      </c>
      <c r="J92" s="2646">
        <v>0.53</v>
      </c>
      <c r="L92" s="2646" t="s">
        <v>2088</v>
      </c>
    </row>
    <row r="93" spans="1:12">
      <c r="A93" s="2647" t="s">
        <v>99</v>
      </c>
      <c r="B93" s="2647">
        <v>32011</v>
      </c>
      <c r="C93" s="2647">
        <v>55</v>
      </c>
      <c r="D93" s="2647">
        <v>90</v>
      </c>
      <c r="E93" s="2647">
        <v>23</v>
      </c>
      <c r="F93" s="2647">
        <v>80.2</v>
      </c>
      <c r="G93" s="2647">
        <v>118</v>
      </c>
      <c r="H93" s="2647">
        <v>4000</v>
      </c>
      <c r="I93" s="2647">
        <v>5000</v>
      </c>
      <c r="J93" s="2647">
        <v>0.55100000000000005</v>
      </c>
      <c r="K93" s="2648"/>
      <c r="L93" s="2647" t="s">
        <v>2172</v>
      </c>
    </row>
    <row r="94" spans="1:12">
      <c r="A94" s="2646" t="s">
        <v>99</v>
      </c>
      <c r="B94" s="2646">
        <v>33011</v>
      </c>
      <c r="C94" s="2646">
        <v>55</v>
      </c>
      <c r="D94" s="2646">
        <v>90</v>
      </c>
      <c r="E94" s="2646">
        <v>27</v>
      </c>
      <c r="F94" s="2646">
        <v>94.8</v>
      </c>
      <c r="G94" s="2646">
        <v>145</v>
      </c>
      <c r="H94" s="2646">
        <v>4000</v>
      </c>
      <c r="I94" s="2646">
        <v>5000</v>
      </c>
      <c r="J94" s="2646">
        <v>0.65100000000000002</v>
      </c>
      <c r="L94" s="2646" t="s">
        <v>2173</v>
      </c>
    </row>
    <row r="95" spans="1:12">
      <c r="A95" s="2647" t="s">
        <v>99</v>
      </c>
      <c r="B95" s="2647">
        <v>33111</v>
      </c>
      <c r="C95" s="2647">
        <v>55</v>
      </c>
      <c r="D95" s="2647">
        <v>95</v>
      </c>
      <c r="E95" s="2647">
        <v>30</v>
      </c>
      <c r="F95" s="2647">
        <v>115</v>
      </c>
      <c r="G95" s="2647">
        <v>165</v>
      </c>
      <c r="H95" s="2647">
        <v>3800</v>
      </c>
      <c r="I95" s="2647">
        <v>4800</v>
      </c>
      <c r="J95" s="2647">
        <v>0.84299999999999997</v>
      </c>
      <c r="K95" s="2648"/>
      <c r="L95" s="2647" t="s">
        <v>2174</v>
      </c>
    </row>
    <row r="96" spans="1:12">
      <c r="A96" s="2646" t="s">
        <v>99</v>
      </c>
      <c r="B96" s="2646">
        <v>30211</v>
      </c>
      <c r="C96" s="2646">
        <v>55</v>
      </c>
      <c r="D96" s="2646">
        <v>100</v>
      </c>
      <c r="E96" s="2646">
        <v>21</v>
      </c>
      <c r="F96" s="2646">
        <v>90.8</v>
      </c>
      <c r="G96" s="2646">
        <v>115</v>
      </c>
      <c r="H96" s="2646">
        <v>3800</v>
      </c>
      <c r="I96" s="2646">
        <v>4800</v>
      </c>
      <c r="J96" s="2646">
        <v>0.71299999999999997</v>
      </c>
      <c r="L96" s="2646" t="s">
        <v>2175</v>
      </c>
    </row>
    <row r="97" spans="1:12">
      <c r="A97" s="2647" t="s">
        <v>99</v>
      </c>
      <c r="B97" s="2647">
        <v>32211</v>
      </c>
      <c r="C97" s="2647">
        <v>55</v>
      </c>
      <c r="D97" s="2647">
        <v>100</v>
      </c>
      <c r="E97" s="2647">
        <v>25</v>
      </c>
      <c r="F97" s="2647">
        <v>108</v>
      </c>
      <c r="G97" s="2647">
        <v>142</v>
      </c>
      <c r="H97" s="2647">
        <v>3800</v>
      </c>
      <c r="I97" s="2647">
        <v>4800</v>
      </c>
      <c r="J97" s="2647">
        <v>0.85299999999999998</v>
      </c>
      <c r="K97" s="2648"/>
      <c r="L97" s="2647" t="s">
        <v>2176</v>
      </c>
    </row>
    <row r="98" spans="1:12">
      <c r="A98" s="2646" t="s">
        <v>99</v>
      </c>
      <c r="B98" s="2646">
        <v>33211</v>
      </c>
      <c r="C98" s="2646">
        <v>55</v>
      </c>
      <c r="D98" s="2646">
        <v>100</v>
      </c>
      <c r="E98" s="2646">
        <v>35</v>
      </c>
      <c r="F98" s="2646">
        <v>142</v>
      </c>
      <c r="G98" s="2646">
        <v>198</v>
      </c>
      <c r="H98" s="2646">
        <v>3800</v>
      </c>
      <c r="I98" s="2646">
        <v>4800</v>
      </c>
      <c r="J98" s="2646">
        <v>1.1499999999999999</v>
      </c>
      <c r="L98" s="2646" t="s">
        <v>2177</v>
      </c>
    </row>
    <row r="99" spans="1:12">
      <c r="A99" s="2647" t="s">
        <v>99</v>
      </c>
      <c r="B99" s="2647">
        <v>30311</v>
      </c>
      <c r="C99" s="2647">
        <v>55</v>
      </c>
      <c r="D99" s="2647">
        <v>120</v>
      </c>
      <c r="E99" s="2647">
        <v>29</v>
      </c>
      <c r="F99" s="2647">
        <v>152</v>
      </c>
      <c r="G99" s="2647">
        <v>188</v>
      </c>
      <c r="H99" s="2647">
        <v>3400</v>
      </c>
      <c r="I99" s="2647">
        <v>4300</v>
      </c>
      <c r="J99" s="2647">
        <v>1.63</v>
      </c>
      <c r="K99" s="2648"/>
      <c r="L99" s="2647" t="s">
        <v>2178</v>
      </c>
    </row>
    <row r="100" spans="1:12">
      <c r="A100" s="2646" t="s">
        <v>99</v>
      </c>
      <c r="B100" s="2646">
        <v>31311</v>
      </c>
      <c r="C100" s="2646">
        <v>55</v>
      </c>
      <c r="D100" s="2646">
        <v>120</v>
      </c>
      <c r="E100" s="2646">
        <v>29</v>
      </c>
      <c r="F100" s="2646">
        <v>130</v>
      </c>
      <c r="G100" s="2646">
        <v>158</v>
      </c>
      <c r="H100" s="2646">
        <v>3400</v>
      </c>
      <c r="I100" s="2646">
        <v>4300</v>
      </c>
      <c r="J100" s="2646">
        <v>1.56</v>
      </c>
      <c r="L100" s="2646" t="s">
        <v>2179</v>
      </c>
    </row>
    <row r="101" spans="1:12">
      <c r="A101" s="2647" t="s">
        <v>99</v>
      </c>
      <c r="B101" s="2647">
        <v>32311</v>
      </c>
      <c r="C101" s="2647">
        <v>55</v>
      </c>
      <c r="D101" s="2647">
        <v>120</v>
      </c>
      <c r="E101" s="2647">
        <v>43</v>
      </c>
      <c r="F101" s="2647">
        <v>202</v>
      </c>
      <c r="G101" s="2647">
        <v>270</v>
      </c>
      <c r="H101" s="2647">
        <v>3400</v>
      </c>
      <c r="I101" s="2647">
        <v>4300</v>
      </c>
      <c r="J101" s="2647">
        <v>2.37</v>
      </c>
      <c r="K101" s="2648"/>
      <c r="L101" s="2647" t="s">
        <v>2180</v>
      </c>
    </row>
    <row r="102" spans="1:12">
      <c r="A102" s="2646" t="s">
        <v>99</v>
      </c>
      <c r="B102" s="2646" t="s">
        <v>2181</v>
      </c>
      <c r="C102" s="2646">
        <v>60</v>
      </c>
      <c r="D102" s="2646">
        <v>85</v>
      </c>
      <c r="E102" s="2646">
        <v>16</v>
      </c>
      <c r="F102" s="2646">
        <v>34.5</v>
      </c>
      <c r="G102" s="2646">
        <v>56.5</v>
      </c>
      <c r="H102" s="2646">
        <v>4000</v>
      </c>
      <c r="I102" s="2646">
        <v>5000</v>
      </c>
      <c r="J102" s="2646">
        <v>0.24</v>
      </c>
      <c r="L102" s="2646" t="s">
        <v>2088</v>
      </c>
    </row>
    <row r="103" spans="1:12">
      <c r="A103" s="2647" t="s">
        <v>99</v>
      </c>
      <c r="B103" s="2647">
        <v>32912</v>
      </c>
      <c r="C103" s="2647">
        <v>60</v>
      </c>
      <c r="D103" s="2647">
        <v>85</v>
      </c>
      <c r="E103" s="2647">
        <v>17</v>
      </c>
      <c r="F103" s="2647">
        <v>46</v>
      </c>
      <c r="G103" s="2647">
        <v>73</v>
      </c>
      <c r="H103" s="2647">
        <v>4000</v>
      </c>
      <c r="I103" s="2647">
        <v>5000</v>
      </c>
      <c r="J103" s="2647">
        <v>0.27900000000000003</v>
      </c>
      <c r="K103" s="2648"/>
      <c r="L103" s="2647" t="s">
        <v>2182</v>
      </c>
    </row>
    <row r="104" spans="1:12">
      <c r="A104" s="2646" t="s">
        <v>99</v>
      </c>
      <c r="B104" s="2646" t="s">
        <v>2183</v>
      </c>
      <c r="C104" s="2646">
        <v>60</v>
      </c>
      <c r="D104" s="2646">
        <v>95</v>
      </c>
      <c r="E104" s="2646">
        <v>22</v>
      </c>
      <c r="F104" s="2646">
        <v>64.8</v>
      </c>
      <c r="G104" s="2646">
        <v>98</v>
      </c>
      <c r="H104" s="2646">
        <v>3800</v>
      </c>
      <c r="I104" s="2646">
        <v>4800</v>
      </c>
      <c r="J104" s="2646">
        <v>0.56000000000000005</v>
      </c>
      <c r="L104" s="2646" t="s">
        <v>2088</v>
      </c>
    </row>
    <row r="105" spans="1:12">
      <c r="A105" s="2647" t="s">
        <v>99</v>
      </c>
      <c r="B105" s="2647">
        <v>32012</v>
      </c>
      <c r="C105" s="2647">
        <v>60</v>
      </c>
      <c r="D105" s="2647">
        <v>95</v>
      </c>
      <c r="E105" s="2647">
        <v>23</v>
      </c>
      <c r="F105" s="2647">
        <v>81.8</v>
      </c>
      <c r="G105" s="2647">
        <v>122</v>
      </c>
      <c r="H105" s="2647">
        <v>3800</v>
      </c>
      <c r="I105" s="2647">
        <v>4800</v>
      </c>
      <c r="J105" s="2647">
        <v>0.58399999999999996</v>
      </c>
      <c r="K105" s="2648"/>
      <c r="L105" s="2647" t="s">
        <v>2184</v>
      </c>
    </row>
    <row r="106" spans="1:12">
      <c r="A106" s="2646" t="s">
        <v>99</v>
      </c>
      <c r="B106" s="2646">
        <v>33012</v>
      </c>
      <c r="C106" s="2646">
        <v>60</v>
      </c>
      <c r="D106" s="2646">
        <v>95</v>
      </c>
      <c r="E106" s="2646">
        <v>27</v>
      </c>
      <c r="F106" s="2646">
        <v>96.8</v>
      </c>
      <c r="G106" s="2646">
        <v>150</v>
      </c>
      <c r="H106" s="2646">
        <v>3800</v>
      </c>
      <c r="I106" s="2646">
        <v>4800</v>
      </c>
      <c r="J106" s="2646">
        <v>0.69099999999999995</v>
      </c>
      <c r="L106" s="2646" t="s">
        <v>2185</v>
      </c>
    </row>
    <row r="107" spans="1:12">
      <c r="A107" s="2647" t="s">
        <v>99</v>
      </c>
      <c r="B107" s="2647">
        <v>33112</v>
      </c>
      <c r="C107" s="2647">
        <v>60</v>
      </c>
      <c r="D107" s="2647">
        <v>100</v>
      </c>
      <c r="E107" s="2647">
        <v>30</v>
      </c>
      <c r="F107" s="2647">
        <v>118</v>
      </c>
      <c r="G107" s="2647">
        <v>172</v>
      </c>
      <c r="H107" s="2647">
        <v>3600</v>
      </c>
      <c r="I107" s="2647">
        <v>4500</v>
      </c>
      <c r="J107" s="2647">
        <v>0.89500000000000002</v>
      </c>
      <c r="K107" s="2648"/>
      <c r="L107" s="2647" t="s">
        <v>2186</v>
      </c>
    </row>
    <row r="108" spans="1:12">
      <c r="A108" s="2646" t="s">
        <v>99</v>
      </c>
      <c r="B108" s="2646">
        <v>30212</v>
      </c>
      <c r="C108" s="2646">
        <v>60</v>
      </c>
      <c r="D108" s="2646">
        <v>110</v>
      </c>
      <c r="E108" s="2646">
        <v>22</v>
      </c>
      <c r="F108" s="2646">
        <v>102</v>
      </c>
      <c r="G108" s="2646">
        <v>130</v>
      </c>
      <c r="H108" s="2646">
        <v>3600</v>
      </c>
      <c r="I108" s="2646">
        <v>4500</v>
      </c>
      <c r="J108" s="2646">
        <v>0.90400000000000003</v>
      </c>
      <c r="L108" s="2646" t="s">
        <v>2187</v>
      </c>
    </row>
    <row r="109" spans="1:12">
      <c r="A109" s="2647" t="s">
        <v>99</v>
      </c>
      <c r="B109" s="2647">
        <v>32212</v>
      </c>
      <c r="C109" s="2647">
        <v>60</v>
      </c>
      <c r="D109" s="2647">
        <v>110</v>
      </c>
      <c r="E109" s="2647">
        <v>28</v>
      </c>
      <c r="F109" s="2647">
        <v>132</v>
      </c>
      <c r="G109" s="2647">
        <v>180</v>
      </c>
      <c r="H109" s="2647">
        <v>3600</v>
      </c>
      <c r="I109" s="2647">
        <v>4500</v>
      </c>
      <c r="J109" s="2647">
        <v>1.17</v>
      </c>
      <c r="K109" s="2648"/>
      <c r="L109" s="2647" t="s">
        <v>2188</v>
      </c>
    </row>
    <row r="110" spans="1:12">
      <c r="A110" s="2646" t="s">
        <v>99</v>
      </c>
      <c r="B110" s="2646">
        <v>33212</v>
      </c>
      <c r="C110" s="2646">
        <v>60</v>
      </c>
      <c r="D110" s="2646">
        <v>110</v>
      </c>
      <c r="E110" s="2646">
        <v>38</v>
      </c>
      <c r="F110" s="2646">
        <v>165</v>
      </c>
      <c r="G110" s="2646">
        <v>230</v>
      </c>
      <c r="H110" s="2646">
        <v>3600</v>
      </c>
      <c r="I110" s="2646">
        <v>4500</v>
      </c>
      <c r="J110" s="2646">
        <v>1.51</v>
      </c>
      <c r="L110" s="2646" t="s">
        <v>2189</v>
      </c>
    </row>
    <row r="111" spans="1:12">
      <c r="A111" s="2647" t="s">
        <v>99</v>
      </c>
      <c r="B111" s="2647">
        <v>30312</v>
      </c>
      <c r="C111" s="2647">
        <v>60</v>
      </c>
      <c r="D111" s="2647">
        <v>130</v>
      </c>
      <c r="E111" s="2647">
        <v>31</v>
      </c>
      <c r="F111" s="2647">
        <v>170</v>
      </c>
      <c r="G111" s="2647">
        <v>210</v>
      </c>
      <c r="H111" s="2647">
        <v>3200</v>
      </c>
      <c r="I111" s="2647">
        <v>4000</v>
      </c>
      <c r="J111" s="2647">
        <v>1.99</v>
      </c>
      <c r="K111" s="2648"/>
      <c r="L111" s="2647" t="s">
        <v>2190</v>
      </c>
    </row>
    <row r="112" spans="1:12">
      <c r="A112" s="2646" t="s">
        <v>99</v>
      </c>
      <c r="B112" s="2646">
        <v>31312</v>
      </c>
      <c r="C112" s="2646">
        <v>60</v>
      </c>
      <c r="D112" s="2646">
        <v>130</v>
      </c>
      <c r="E112" s="2646">
        <v>31</v>
      </c>
      <c r="F112" s="2646">
        <v>145</v>
      </c>
      <c r="G112" s="2646">
        <v>178</v>
      </c>
      <c r="H112" s="2646">
        <v>3200</v>
      </c>
      <c r="I112" s="2646">
        <v>4000</v>
      </c>
      <c r="J112" s="2646">
        <v>1.9</v>
      </c>
      <c r="L112" s="2646" t="s">
        <v>2191</v>
      </c>
    </row>
    <row r="113" spans="1:12">
      <c r="A113" s="2647" t="s">
        <v>99</v>
      </c>
      <c r="B113" s="2647">
        <v>32312</v>
      </c>
      <c r="C113" s="2647">
        <v>60</v>
      </c>
      <c r="D113" s="2647">
        <v>130</v>
      </c>
      <c r="E113" s="2647">
        <v>46</v>
      </c>
      <c r="F113" s="2647">
        <v>228</v>
      </c>
      <c r="G113" s="2647">
        <v>302</v>
      </c>
      <c r="H113" s="2647">
        <v>3200</v>
      </c>
      <c r="I113" s="2647">
        <v>4000</v>
      </c>
      <c r="J113" s="2647">
        <v>2.9</v>
      </c>
      <c r="K113" s="2648"/>
      <c r="L113" s="2647" t="s">
        <v>2192</v>
      </c>
    </row>
    <row r="114" spans="1:12">
      <c r="A114" s="2646" t="s">
        <v>99</v>
      </c>
      <c r="B114" s="2646">
        <v>32913</v>
      </c>
      <c r="C114" s="2646">
        <v>65</v>
      </c>
      <c r="D114" s="2646">
        <v>90</v>
      </c>
      <c r="E114" s="2646">
        <v>17</v>
      </c>
      <c r="F114" s="2646">
        <v>45.5</v>
      </c>
      <c r="G114" s="2646">
        <v>73.2</v>
      </c>
      <c r="H114" s="2646">
        <v>3800</v>
      </c>
      <c r="I114" s="2646">
        <v>4800</v>
      </c>
      <c r="J114" s="2646">
        <v>0.29499999999999998</v>
      </c>
      <c r="L114" s="2646" t="s">
        <v>2193</v>
      </c>
    </row>
    <row r="115" spans="1:12">
      <c r="A115" s="2647" t="s">
        <v>99</v>
      </c>
      <c r="B115" s="2647" t="s">
        <v>2194</v>
      </c>
      <c r="C115" s="2647">
        <v>65</v>
      </c>
      <c r="D115" s="2647">
        <v>100</v>
      </c>
      <c r="E115" s="2647">
        <v>22</v>
      </c>
      <c r="F115" s="2647">
        <v>67</v>
      </c>
      <c r="G115" s="2647">
        <v>102</v>
      </c>
      <c r="H115" s="2647">
        <v>3600</v>
      </c>
      <c r="I115" s="2647">
        <v>4500</v>
      </c>
      <c r="J115" s="2647">
        <v>0.63</v>
      </c>
      <c r="K115" s="2648"/>
      <c r="L115" s="2647">
        <v>2007113</v>
      </c>
    </row>
    <row r="116" spans="1:12">
      <c r="A116" s="2646" t="s">
        <v>99</v>
      </c>
      <c r="B116" s="2646">
        <v>32013</v>
      </c>
      <c r="C116" s="2646">
        <v>65</v>
      </c>
      <c r="D116" s="2646">
        <v>100</v>
      </c>
      <c r="E116" s="2646">
        <v>23</v>
      </c>
      <c r="F116" s="2646">
        <v>82.8</v>
      </c>
      <c r="G116" s="2646">
        <v>128</v>
      </c>
      <c r="H116" s="2646">
        <v>3600</v>
      </c>
      <c r="I116" s="2646">
        <v>4500</v>
      </c>
      <c r="J116" s="2646">
        <v>0.62</v>
      </c>
      <c r="L116" s="2646" t="s">
        <v>2195</v>
      </c>
    </row>
    <row r="117" spans="1:12">
      <c r="A117" s="2647" t="s">
        <v>99</v>
      </c>
      <c r="B117" s="2647">
        <v>33013</v>
      </c>
      <c r="C117" s="2647">
        <v>65</v>
      </c>
      <c r="D117" s="2647">
        <v>100</v>
      </c>
      <c r="E117" s="2647">
        <v>27</v>
      </c>
      <c r="F117" s="2647">
        <v>98</v>
      </c>
      <c r="G117" s="2647">
        <v>158</v>
      </c>
      <c r="H117" s="2647">
        <v>3600</v>
      </c>
      <c r="I117" s="2647">
        <v>4500</v>
      </c>
      <c r="J117" s="2647">
        <v>0.73199999999999998</v>
      </c>
      <c r="K117" s="2648"/>
      <c r="L117" s="2647" t="s">
        <v>2196</v>
      </c>
    </row>
    <row r="118" spans="1:12">
      <c r="A118" s="2646" t="s">
        <v>99</v>
      </c>
      <c r="B118" s="2646">
        <v>33113</v>
      </c>
      <c r="C118" s="2646">
        <v>65</v>
      </c>
      <c r="D118" s="2646">
        <v>110</v>
      </c>
      <c r="E118" s="2646">
        <v>34</v>
      </c>
      <c r="F118" s="2646">
        <v>142</v>
      </c>
      <c r="G118" s="2646">
        <v>220</v>
      </c>
      <c r="H118" s="2646">
        <v>3400</v>
      </c>
      <c r="I118" s="2646">
        <v>4300</v>
      </c>
      <c r="J118" s="2646">
        <v>1.3</v>
      </c>
      <c r="L118" s="2646" t="s">
        <v>2197</v>
      </c>
    </row>
    <row r="119" spans="1:12">
      <c r="A119" s="2647" t="s">
        <v>99</v>
      </c>
      <c r="B119" s="2647">
        <v>30213</v>
      </c>
      <c r="C119" s="2647">
        <v>65</v>
      </c>
      <c r="D119" s="2647">
        <v>120</v>
      </c>
      <c r="E119" s="2647">
        <v>23</v>
      </c>
      <c r="F119" s="2647">
        <v>120</v>
      </c>
      <c r="G119" s="2647">
        <v>152</v>
      </c>
      <c r="H119" s="2647">
        <v>3200</v>
      </c>
      <c r="I119" s="2647">
        <v>4000</v>
      </c>
      <c r="J119" s="2647">
        <v>1.1299999999999999</v>
      </c>
      <c r="K119" s="2648"/>
      <c r="L119" s="2647" t="s">
        <v>2198</v>
      </c>
    </row>
    <row r="120" spans="1:12">
      <c r="A120" s="2646" t="s">
        <v>99</v>
      </c>
      <c r="B120" s="2646">
        <v>32213</v>
      </c>
      <c r="C120" s="2646">
        <v>65</v>
      </c>
      <c r="D120" s="2646">
        <v>120</v>
      </c>
      <c r="E120" s="2646">
        <v>31</v>
      </c>
      <c r="F120" s="2646">
        <v>160</v>
      </c>
      <c r="G120" s="2646">
        <v>222</v>
      </c>
      <c r="H120" s="2646">
        <v>3200</v>
      </c>
      <c r="I120" s="2646">
        <v>4000</v>
      </c>
      <c r="J120" s="2646">
        <v>1.55</v>
      </c>
      <c r="L120" s="2646" t="s">
        <v>2199</v>
      </c>
    </row>
    <row r="121" spans="1:12">
      <c r="A121" s="2647" t="s">
        <v>99</v>
      </c>
      <c r="B121" s="2647">
        <v>33213</v>
      </c>
      <c r="C121" s="2647">
        <v>65</v>
      </c>
      <c r="D121" s="2647">
        <v>120</v>
      </c>
      <c r="E121" s="2647">
        <v>41</v>
      </c>
      <c r="F121" s="2647">
        <v>202</v>
      </c>
      <c r="G121" s="2647">
        <v>282</v>
      </c>
      <c r="H121" s="2647">
        <v>3200</v>
      </c>
      <c r="I121" s="2647">
        <v>4000</v>
      </c>
      <c r="J121" s="2647">
        <v>1.99</v>
      </c>
      <c r="K121" s="2648"/>
      <c r="L121" s="2647" t="s">
        <v>2200</v>
      </c>
    </row>
    <row r="122" spans="1:12">
      <c r="A122" s="2646" t="s">
        <v>99</v>
      </c>
      <c r="B122" s="2646">
        <v>30313</v>
      </c>
      <c r="C122" s="2646">
        <v>65</v>
      </c>
      <c r="D122" s="2646">
        <v>140</v>
      </c>
      <c r="E122" s="2646">
        <v>33</v>
      </c>
      <c r="F122" s="2646">
        <v>195</v>
      </c>
      <c r="G122" s="2646">
        <v>242</v>
      </c>
      <c r="H122" s="2646">
        <v>2800</v>
      </c>
      <c r="I122" s="2646">
        <v>3600</v>
      </c>
      <c r="J122" s="2646">
        <v>2.44</v>
      </c>
      <c r="L122" s="2646" t="s">
        <v>2201</v>
      </c>
    </row>
    <row r="123" spans="1:12">
      <c r="A123" s="2647" t="s">
        <v>99</v>
      </c>
      <c r="B123" s="2647">
        <v>31313</v>
      </c>
      <c r="C123" s="2647">
        <v>65</v>
      </c>
      <c r="D123" s="2647">
        <v>140</v>
      </c>
      <c r="E123" s="2647">
        <v>33</v>
      </c>
      <c r="F123" s="2647">
        <v>165</v>
      </c>
      <c r="G123" s="2647">
        <v>202</v>
      </c>
      <c r="H123" s="2647">
        <v>2800</v>
      </c>
      <c r="I123" s="2647">
        <v>3600</v>
      </c>
      <c r="J123" s="2647">
        <v>2.37</v>
      </c>
      <c r="K123" s="2648"/>
      <c r="L123" s="2647" t="s">
        <v>2202</v>
      </c>
    </row>
    <row r="124" spans="1:12">
      <c r="A124" s="2646" t="s">
        <v>99</v>
      </c>
      <c r="B124" s="2646">
        <v>32313</v>
      </c>
      <c r="C124" s="2646">
        <v>65</v>
      </c>
      <c r="D124" s="2646">
        <v>140</v>
      </c>
      <c r="E124" s="2646">
        <v>48</v>
      </c>
      <c r="F124" s="2646">
        <v>260</v>
      </c>
      <c r="G124" s="2646">
        <v>350</v>
      </c>
      <c r="H124" s="2646">
        <v>2800</v>
      </c>
      <c r="I124" s="2646">
        <v>3000</v>
      </c>
      <c r="J124" s="2646">
        <v>3.51</v>
      </c>
      <c r="L124" s="2646" t="s">
        <v>2203</v>
      </c>
    </row>
    <row r="125" spans="1:12">
      <c r="A125" s="2647" t="s">
        <v>99</v>
      </c>
      <c r="B125" s="2647" t="s">
        <v>2204</v>
      </c>
      <c r="C125" s="2647">
        <v>70</v>
      </c>
      <c r="D125" s="2647">
        <v>100</v>
      </c>
      <c r="E125" s="2647">
        <v>19</v>
      </c>
      <c r="F125" s="2647">
        <v>53.2</v>
      </c>
      <c r="G125" s="2647">
        <v>85.5</v>
      </c>
      <c r="H125" s="2647">
        <v>3600</v>
      </c>
      <c r="I125" s="2647">
        <v>4500</v>
      </c>
      <c r="J125" s="2647" t="s">
        <v>2074</v>
      </c>
      <c r="K125" s="2648"/>
      <c r="L125" s="2647" t="s">
        <v>2088</v>
      </c>
    </row>
    <row r="126" spans="1:12">
      <c r="A126" s="2646" t="s">
        <v>99</v>
      </c>
      <c r="B126" s="2646">
        <v>32914</v>
      </c>
      <c r="C126" s="2646">
        <v>70</v>
      </c>
      <c r="D126" s="2646">
        <v>100</v>
      </c>
      <c r="E126" s="2646">
        <v>20</v>
      </c>
      <c r="F126" s="2646">
        <v>70.8</v>
      </c>
      <c r="G126" s="2646">
        <v>115</v>
      </c>
      <c r="H126" s="2646">
        <v>3600</v>
      </c>
      <c r="I126" s="2646">
        <v>4500</v>
      </c>
      <c r="J126" s="2646">
        <v>0.47099999999999997</v>
      </c>
      <c r="L126" s="2646" t="s">
        <v>2205</v>
      </c>
    </row>
    <row r="127" spans="1:12">
      <c r="A127" s="2647" t="s">
        <v>99</v>
      </c>
      <c r="B127" s="2647" t="s">
        <v>2206</v>
      </c>
      <c r="C127" s="2647">
        <v>70</v>
      </c>
      <c r="D127" s="2647">
        <v>110</v>
      </c>
      <c r="E127" s="2647">
        <v>24</v>
      </c>
      <c r="F127" s="2647">
        <v>83.8</v>
      </c>
      <c r="G127" s="2647">
        <v>128</v>
      </c>
      <c r="H127" s="2647">
        <v>3400</v>
      </c>
      <c r="I127" s="2647">
        <v>4300</v>
      </c>
      <c r="J127" s="2647">
        <v>0.85</v>
      </c>
      <c r="K127" s="2648"/>
      <c r="L127" s="2647" t="s">
        <v>2088</v>
      </c>
    </row>
    <row r="128" spans="1:12">
      <c r="A128" s="2646" t="s">
        <v>99</v>
      </c>
      <c r="B128" s="2646">
        <v>32014</v>
      </c>
      <c r="C128" s="2646">
        <v>70</v>
      </c>
      <c r="D128" s="2646">
        <v>110</v>
      </c>
      <c r="E128" s="2646">
        <v>25</v>
      </c>
      <c r="F128" s="2646">
        <v>105</v>
      </c>
      <c r="G128" s="2646">
        <v>160</v>
      </c>
      <c r="H128" s="2646">
        <v>3400</v>
      </c>
      <c r="I128" s="2646">
        <v>4300</v>
      </c>
      <c r="J128" s="2646">
        <v>0.83899999999999997</v>
      </c>
      <c r="L128" s="2646" t="s">
        <v>2207</v>
      </c>
    </row>
    <row r="129" spans="1:12">
      <c r="A129" s="2647" t="s">
        <v>99</v>
      </c>
      <c r="B129" s="2647">
        <v>33014</v>
      </c>
      <c r="C129" s="2647">
        <v>70</v>
      </c>
      <c r="D129" s="2647">
        <v>110</v>
      </c>
      <c r="E129" s="2647">
        <v>31</v>
      </c>
      <c r="F129" s="2647">
        <v>135</v>
      </c>
      <c r="G129" s="2647">
        <v>220</v>
      </c>
      <c r="H129" s="2647">
        <v>3400</v>
      </c>
      <c r="I129" s="2647">
        <v>4300</v>
      </c>
      <c r="J129" s="2647">
        <v>1.07</v>
      </c>
      <c r="K129" s="2648"/>
      <c r="L129" s="2647" t="s">
        <v>2208</v>
      </c>
    </row>
    <row r="130" spans="1:12">
      <c r="A130" s="2646" t="s">
        <v>99</v>
      </c>
      <c r="B130" s="2646">
        <v>33114</v>
      </c>
      <c r="C130" s="2646">
        <v>70</v>
      </c>
      <c r="D130" s="2646">
        <v>120</v>
      </c>
      <c r="E130" s="2646">
        <v>37</v>
      </c>
      <c r="F130" s="2646">
        <v>172</v>
      </c>
      <c r="G130" s="2646">
        <v>268</v>
      </c>
      <c r="H130" s="2646">
        <v>3200</v>
      </c>
      <c r="I130" s="2646">
        <v>4000</v>
      </c>
      <c r="J130" s="2646">
        <v>1.7</v>
      </c>
      <c r="L130" s="2646" t="s">
        <v>2209</v>
      </c>
    </row>
    <row r="131" spans="1:12">
      <c r="A131" s="2647" t="s">
        <v>99</v>
      </c>
      <c r="B131" s="2647">
        <v>30214</v>
      </c>
      <c r="C131" s="2647">
        <v>70</v>
      </c>
      <c r="D131" s="2647">
        <v>125</v>
      </c>
      <c r="E131" s="2647">
        <v>24</v>
      </c>
      <c r="F131" s="2647">
        <v>132</v>
      </c>
      <c r="G131" s="2647">
        <v>175</v>
      </c>
      <c r="H131" s="2647">
        <v>3000</v>
      </c>
      <c r="I131" s="2647">
        <v>3800</v>
      </c>
      <c r="J131" s="2647">
        <v>1.26</v>
      </c>
      <c r="K131" s="2648"/>
      <c r="L131" s="2647" t="s">
        <v>2210</v>
      </c>
    </row>
    <row r="132" spans="1:12">
      <c r="A132" s="2646" t="s">
        <v>99</v>
      </c>
      <c r="B132" s="2646">
        <v>32214</v>
      </c>
      <c r="C132" s="2646">
        <v>70</v>
      </c>
      <c r="D132" s="2646">
        <v>125</v>
      </c>
      <c r="E132" s="2646">
        <v>31</v>
      </c>
      <c r="F132" s="2646">
        <v>168</v>
      </c>
      <c r="G132" s="2646">
        <v>238</v>
      </c>
      <c r="H132" s="2646">
        <v>3000</v>
      </c>
      <c r="I132" s="2646">
        <v>3800</v>
      </c>
      <c r="J132" s="2646">
        <v>1.64</v>
      </c>
      <c r="L132" s="2646" t="s">
        <v>2211</v>
      </c>
    </row>
    <row r="133" spans="1:12">
      <c r="A133" s="2647" t="s">
        <v>99</v>
      </c>
      <c r="B133" s="2647">
        <v>33214</v>
      </c>
      <c r="C133" s="2647">
        <v>70</v>
      </c>
      <c r="D133" s="2647">
        <v>125</v>
      </c>
      <c r="E133" s="2647">
        <v>41</v>
      </c>
      <c r="F133" s="2647">
        <v>208</v>
      </c>
      <c r="G133" s="2647">
        <v>29.8</v>
      </c>
      <c r="H133" s="2647">
        <v>3000</v>
      </c>
      <c r="I133" s="2647">
        <v>3800</v>
      </c>
      <c r="J133" s="2647">
        <v>2.1</v>
      </c>
      <c r="K133" s="2648"/>
      <c r="L133" s="2647" t="s">
        <v>2212</v>
      </c>
    </row>
    <row r="134" spans="1:12">
      <c r="A134" s="2646" t="s">
        <v>99</v>
      </c>
      <c r="B134" s="2646">
        <v>30314</v>
      </c>
      <c r="C134" s="2646">
        <v>70</v>
      </c>
      <c r="D134" s="2646">
        <v>150</v>
      </c>
      <c r="E134" s="2646">
        <v>35</v>
      </c>
      <c r="F134" s="2646">
        <v>218</v>
      </c>
      <c r="G134" s="2646">
        <v>272</v>
      </c>
      <c r="H134" s="2646">
        <v>2600</v>
      </c>
      <c r="I134" s="2646">
        <v>3400</v>
      </c>
      <c r="J134" s="2646">
        <v>2.98</v>
      </c>
      <c r="L134" s="2646" t="s">
        <v>2213</v>
      </c>
    </row>
    <row r="135" spans="1:12">
      <c r="A135" s="2647" t="s">
        <v>99</v>
      </c>
      <c r="B135" s="2647">
        <v>31314</v>
      </c>
      <c r="C135" s="2647">
        <v>70</v>
      </c>
      <c r="D135" s="2647">
        <v>150</v>
      </c>
      <c r="E135" s="2647">
        <v>35</v>
      </c>
      <c r="F135" s="2647">
        <v>188</v>
      </c>
      <c r="G135" s="2647">
        <v>230</v>
      </c>
      <c r="H135" s="2647">
        <v>2600</v>
      </c>
      <c r="I135" s="2647">
        <v>3400</v>
      </c>
      <c r="J135" s="2647">
        <v>2.86</v>
      </c>
      <c r="K135" s="2648"/>
      <c r="L135" s="2647" t="s">
        <v>2214</v>
      </c>
    </row>
    <row r="136" spans="1:12">
      <c r="A136" s="2646" t="s">
        <v>99</v>
      </c>
      <c r="B136" s="2646">
        <v>32314</v>
      </c>
      <c r="C136" s="2646">
        <v>70</v>
      </c>
      <c r="D136" s="2646">
        <v>150</v>
      </c>
      <c r="E136" s="2646">
        <v>51</v>
      </c>
      <c r="F136" s="2646">
        <v>257</v>
      </c>
      <c r="G136" s="2646">
        <v>315</v>
      </c>
      <c r="H136" s="2646">
        <v>2700</v>
      </c>
      <c r="I136" s="2646">
        <v>3600</v>
      </c>
      <c r="J136" s="2646">
        <v>4.1100000000000003</v>
      </c>
      <c r="L136" s="2646" t="s">
        <v>2215</v>
      </c>
    </row>
    <row r="137" spans="1:12">
      <c r="A137" s="2647" t="s">
        <v>99</v>
      </c>
      <c r="B137" s="2647">
        <v>32915</v>
      </c>
      <c r="C137" s="2647">
        <v>75</v>
      </c>
      <c r="D137" s="2647">
        <v>105</v>
      </c>
      <c r="E137" s="2647">
        <v>20</v>
      </c>
      <c r="F137" s="2647">
        <v>78.2</v>
      </c>
      <c r="G137" s="2647">
        <v>125</v>
      </c>
      <c r="H137" s="2647">
        <v>3400</v>
      </c>
      <c r="I137" s="2647">
        <v>4300</v>
      </c>
      <c r="J137" s="2647">
        <v>0.49</v>
      </c>
      <c r="K137" s="2648"/>
      <c r="L137" s="2647" t="s">
        <v>2216</v>
      </c>
    </row>
    <row r="138" spans="1:12">
      <c r="A138" s="2646" t="s">
        <v>99</v>
      </c>
      <c r="B138" s="2646" t="s">
        <v>2217</v>
      </c>
      <c r="C138" s="2646">
        <v>75</v>
      </c>
      <c r="D138" s="2646">
        <v>115</v>
      </c>
      <c r="E138" s="2646">
        <v>24</v>
      </c>
      <c r="F138" s="2646">
        <v>85.2</v>
      </c>
      <c r="G138" s="2646">
        <v>135</v>
      </c>
      <c r="H138" s="2646">
        <v>3200</v>
      </c>
      <c r="I138" s="2646">
        <v>4000</v>
      </c>
      <c r="J138" s="2646">
        <v>0.88</v>
      </c>
      <c r="L138" s="2646" t="s">
        <v>2088</v>
      </c>
    </row>
    <row r="139" spans="1:12">
      <c r="A139" s="2647" t="s">
        <v>99</v>
      </c>
      <c r="B139" s="2647">
        <v>32015</v>
      </c>
      <c r="C139" s="2647">
        <v>75</v>
      </c>
      <c r="D139" s="2647">
        <v>115</v>
      </c>
      <c r="E139" s="2647">
        <v>25</v>
      </c>
      <c r="F139" s="2647">
        <v>102</v>
      </c>
      <c r="G139" s="2647">
        <v>160</v>
      </c>
      <c r="H139" s="2647">
        <v>3200</v>
      </c>
      <c r="I139" s="2647">
        <v>4000</v>
      </c>
      <c r="J139" s="2647">
        <v>0.875</v>
      </c>
      <c r="K139" s="2648"/>
      <c r="L139" s="2647" t="s">
        <v>2218</v>
      </c>
    </row>
    <row r="140" spans="1:12">
      <c r="A140" s="2646" t="s">
        <v>99</v>
      </c>
      <c r="B140" s="2646">
        <v>33015</v>
      </c>
      <c r="C140" s="2646">
        <v>75</v>
      </c>
      <c r="D140" s="2646">
        <v>115</v>
      </c>
      <c r="E140" s="2646">
        <v>31</v>
      </c>
      <c r="F140" s="2646">
        <v>132</v>
      </c>
      <c r="G140" s="2646">
        <v>220</v>
      </c>
      <c r="H140" s="2646">
        <v>3200</v>
      </c>
      <c r="I140" s="2646">
        <v>4000</v>
      </c>
      <c r="J140" s="2646">
        <v>1.1200000000000001</v>
      </c>
      <c r="L140" s="2646" t="s">
        <v>2219</v>
      </c>
    </row>
    <row r="141" spans="1:12">
      <c r="A141" s="2647" t="s">
        <v>99</v>
      </c>
      <c r="B141" s="2647">
        <v>33115</v>
      </c>
      <c r="C141" s="2647">
        <v>75</v>
      </c>
      <c r="D141" s="2647">
        <v>125</v>
      </c>
      <c r="E141" s="2647">
        <v>37</v>
      </c>
      <c r="F141" s="2647">
        <v>175</v>
      </c>
      <c r="G141" s="2647">
        <v>280</v>
      </c>
      <c r="H141" s="2647">
        <v>3000</v>
      </c>
      <c r="I141" s="2647">
        <v>3800</v>
      </c>
      <c r="J141" s="2647">
        <v>1.78</v>
      </c>
      <c r="K141" s="2648"/>
      <c r="L141" s="2647" t="s">
        <v>2220</v>
      </c>
    </row>
    <row r="142" spans="1:12">
      <c r="A142" s="2646" t="s">
        <v>99</v>
      </c>
      <c r="B142" s="2646">
        <v>30215</v>
      </c>
      <c r="C142" s="2646">
        <v>75</v>
      </c>
      <c r="D142" s="2646">
        <v>130</v>
      </c>
      <c r="E142" s="2646">
        <v>25</v>
      </c>
      <c r="F142" s="2646">
        <v>138</v>
      </c>
      <c r="G142" s="2646">
        <v>185</v>
      </c>
      <c r="H142" s="2646">
        <v>2800</v>
      </c>
      <c r="I142" s="2646">
        <v>3600</v>
      </c>
      <c r="J142" s="2646">
        <v>1.36</v>
      </c>
      <c r="L142" s="2646" t="s">
        <v>2221</v>
      </c>
    </row>
    <row r="143" spans="1:12">
      <c r="A143" s="2647" t="s">
        <v>99</v>
      </c>
      <c r="B143" s="2647">
        <v>32215</v>
      </c>
      <c r="C143" s="2647">
        <v>75</v>
      </c>
      <c r="D143" s="2647">
        <v>130</v>
      </c>
      <c r="E143" s="2647">
        <v>31</v>
      </c>
      <c r="F143" s="2647">
        <v>170</v>
      </c>
      <c r="G143" s="2647">
        <v>242</v>
      </c>
      <c r="H143" s="2647">
        <v>2800</v>
      </c>
      <c r="I143" s="2647">
        <v>3600</v>
      </c>
      <c r="J143" s="2647">
        <v>1.74</v>
      </c>
      <c r="K143" s="2648"/>
      <c r="L143" s="2647" t="s">
        <v>2222</v>
      </c>
    </row>
    <row r="144" spans="1:12">
      <c r="A144" s="2646" t="s">
        <v>99</v>
      </c>
      <c r="B144" s="2646">
        <v>33215</v>
      </c>
      <c r="C144" s="2646">
        <v>75</v>
      </c>
      <c r="D144" s="2646">
        <v>130</v>
      </c>
      <c r="E144" s="2646">
        <v>41</v>
      </c>
      <c r="F144" s="2646">
        <v>208</v>
      </c>
      <c r="G144" s="2646">
        <v>300</v>
      </c>
      <c r="H144" s="2646">
        <v>2800</v>
      </c>
      <c r="I144" s="2646">
        <v>3600</v>
      </c>
      <c r="J144" s="2646">
        <v>2.17</v>
      </c>
      <c r="L144" s="2646" t="s">
        <v>2223</v>
      </c>
    </row>
    <row r="145" spans="1:12">
      <c r="A145" s="2647" t="s">
        <v>99</v>
      </c>
      <c r="B145" s="2647">
        <v>30315</v>
      </c>
      <c r="C145" s="2647">
        <v>75</v>
      </c>
      <c r="D145" s="2647">
        <v>160</v>
      </c>
      <c r="E145" s="2647">
        <v>37</v>
      </c>
      <c r="F145" s="2647">
        <v>252</v>
      </c>
      <c r="G145" s="2647">
        <v>318</v>
      </c>
      <c r="H145" s="2647">
        <v>2400</v>
      </c>
      <c r="I145" s="2647">
        <v>3200</v>
      </c>
      <c r="J145" s="2647">
        <v>3.57</v>
      </c>
      <c r="K145" s="2648"/>
      <c r="L145" s="2647" t="s">
        <v>2224</v>
      </c>
    </row>
    <row r="146" spans="1:12">
      <c r="A146" s="2646" t="s">
        <v>99</v>
      </c>
      <c r="B146" s="2646">
        <v>31315</v>
      </c>
      <c r="C146" s="2646">
        <v>75</v>
      </c>
      <c r="D146" s="2646">
        <v>160</v>
      </c>
      <c r="E146" s="2646">
        <v>37</v>
      </c>
      <c r="F146" s="2646">
        <v>208</v>
      </c>
      <c r="G146" s="2646">
        <v>258</v>
      </c>
      <c r="H146" s="2646">
        <v>2400</v>
      </c>
      <c r="I146" s="2646">
        <v>3200</v>
      </c>
      <c r="J146" s="2646">
        <v>3.38</v>
      </c>
      <c r="L146" s="2646" t="s">
        <v>2225</v>
      </c>
    </row>
    <row r="147" spans="1:12">
      <c r="A147" s="2647" t="s">
        <v>99</v>
      </c>
      <c r="B147" s="2647">
        <v>32315</v>
      </c>
      <c r="C147" s="2647">
        <v>75</v>
      </c>
      <c r="D147" s="2647">
        <v>160</v>
      </c>
      <c r="E147" s="2647">
        <v>55</v>
      </c>
      <c r="F147" s="2647">
        <v>348</v>
      </c>
      <c r="G147" s="2647">
        <v>482</v>
      </c>
      <c r="H147" s="2647">
        <v>2400</v>
      </c>
      <c r="I147" s="2647">
        <v>3200</v>
      </c>
      <c r="J147" s="2647">
        <v>5.37</v>
      </c>
      <c r="K147" s="2648"/>
      <c r="L147" s="2647" t="s">
        <v>2226</v>
      </c>
    </row>
    <row r="148" spans="1:12">
      <c r="A148" s="2646" t="s">
        <v>99</v>
      </c>
      <c r="B148" s="2646">
        <v>32916</v>
      </c>
      <c r="C148" s="2646">
        <v>80</v>
      </c>
      <c r="D148" s="2646">
        <v>110</v>
      </c>
      <c r="E148" s="2646">
        <v>20</v>
      </c>
      <c r="F148" s="2646">
        <v>79.2</v>
      </c>
      <c r="G148" s="2646">
        <v>128</v>
      </c>
      <c r="H148" s="2646">
        <v>3200</v>
      </c>
      <c r="I148" s="2646">
        <v>4000</v>
      </c>
      <c r="J148" s="2646">
        <v>0.51400000000000001</v>
      </c>
      <c r="L148" s="2646" t="s">
        <v>2227</v>
      </c>
    </row>
    <row r="149" spans="1:12">
      <c r="A149" s="2647" t="s">
        <v>99</v>
      </c>
      <c r="B149" s="2647" t="s">
        <v>2228</v>
      </c>
      <c r="C149" s="2647">
        <v>80</v>
      </c>
      <c r="D149" s="2647">
        <v>125</v>
      </c>
      <c r="E149" s="2647">
        <v>27</v>
      </c>
      <c r="F149" s="2647">
        <v>102</v>
      </c>
      <c r="G149" s="2647">
        <v>162</v>
      </c>
      <c r="H149" s="2647">
        <v>3000</v>
      </c>
      <c r="I149" s="2647">
        <v>3800</v>
      </c>
      <c r="J149" s="2647">
        <v>1.18</v>
      </c>
      <c r="K149" s="2648"/>
      <c r="L149" s="2647" t="s">
        <v>2088</v>
      </c>
    </row>
    <row r="150" spans="1:12">
      <c r="A150" s="2646" t="s">
        <v>99</v>
      </c>
      <c r="B150" s="2646">
        <v>32016</v>
      </c>
      <c r="C150" s="2646">
        <v>80</v>
      </c>
      <c r="D150" s="2646">
        <v>125</v>
      </c>
      <c r="E150" s="2646">
        <v>29</v>
      </c>
      <c r="F150" s="2646">
        <v>140</v>
      </c>
      <c r="G150" s="2646">
        <v>220</v>
      </c>
      <c r="H150" s="2646">
        <v>3000</v>
      </c>
      <c r="I150" s="2646">
        <v>3800</v>
      </c>
      <c r="J150" s="2646">
        <v>1.27</v>
      </c>
      <c r="L150" s="2646" t="s">
        <v>2229</v>
      </c>
    </row>
    <row r="151" spans="1:12">
      <c r="A151" s="2647" t="s">
        <v>99</v>
      </c>
      <c r="B151" s="2647">
        <v>33016</v>
      </c>
      <c r="C151" s="2647">
        <v>80</v>
      </c>
      <c r="D151" s="2647">
        <v>125</v>
      </c>
      <c r="E151" s="2647">
        <v>36</v>
      </c>
      <c r="F151" s="2647">
        <v>182</v>
      </c>
      <c r="G151" s="2647">
        <v>305</v>
      </c>
      <c r="H151" s="2647">
        <v>3000</v>
      </c>
      <c r="I151" s="2647">
        <v>3800</v>
      </c>
      <c r="J151" s="2647">
        <v>1.63</v>
      </c>
      <c r="K151" s="2648"/>
      <c r="L151" s="2647" t="s">
        <v>2230</v>
      </c>
    </row>
    <row r="152" spans="1:12">
      <c r="A152" s="2646" t="s">
        <v>99</v>
      </c>
      <c r="B152" s="2646">
        <v>33116</v>
      </c>
      <c r="C152" s="2646">
        <v>80</v>
      </c>
      <c r="D152" s="2646">
        <v>130</v>
      </c>
      <c r="E152" s="2646">
        <v>37</v>
      </c>
      <c r="F152" s="2646">
        <v>180</v>
      </c>
      <c r="G152" s="2646">
        <v>292</v>
      </c>
      <c r="H152" s="2646">
        <v>2800</v>
      </c>
      <c r="I152" s="2646">
        <v>3600</v>
      </c>
      <c r="J152" s="2646">
        <v>1.87</v>
      </c>
      <c r="L152" s="2646" t="s">
        <v>2231</v>
      </c>
    </row>
    <row r="153" spans="1:12">
      <c r="A153" s="2647" t="s">
        <v>99</v>
      </c>
      <c r="B153" s="2647">
        <v>30216</v>
      </c>
      <c r="C153" s="2647">
        <v>80</v>
      </c>
      <c r="D153" s="2647">
        <v>140</v>
      </c>
      <c r="E153" s="2647">
        <v>26</v>
      </c>
      <c r="F153" s="2647">
        <v>160</v>
      </c>
      <c r="G153" s="2647">
        <v>212</v>
      </c>
      <c r="H153" s="2647">
        <v>2600</v>
      </c>
      <c r="I153" s="2647">
        <v>3400</v>
      </c>
      <c r="J153" s="2647">
        <v>1.67</v>
      </c>
      <c r="K153" s="2648"/>
      <c r="L153" s="2647" t="s">
        <v>2232</v>
      </c>
    </row>
    <row r="154" spans="1:12">
      <c r="A154" s="2646" t="s">
        <v>99</v>
      </c>
      <c r="B154" s="2646">
        <v>32216</v>
      </c>
      <c r="C154" s="2646">
        <v>80</v>
      </c>
      <c r="D154" s="2646">
        <v>140</v>
      </c>
      <c r="E154" s="2646">
        <v>33</v>
      </c>
      <c r="F154" s="2646">
        <v>198</v>
      </c>
      <c r="G154" s="2646">
        <v>278</v>
      </c>
      <c r="H154" s="2646">
        <v>2600</v>
      </c>
      <c r="I154" s="2646">
        <v>3400</v>
      </c>
      <c r="J154" s="2646">
        <v>2.13</v>
      </c>
      <c r="L154" s="2646" t="s">
        <v>2233</v>
      </c>
    </row>
    <row r="155" spans="1:12">
      <c r="A155" s="2647" t="s">
        <v>99</v>
      </c>
      <c r="B155" s="2647">
        <v>33216</v>
      </c>
      <c r="C155" s="2647">
        <v>80</v>
      </c>
      <c r="D155" s="2647">
        <v>140</v>
      </c>
      <c r="E155" s="2647">
        <v>46</v>
      </c>
      <c r="F155" s="2647">
        <v>245</v>
      </c>
      <c r="G155" s="2647">
        <v>362</v>
      </c>
      <c r="H155" s="2647">
        <v>2600</v>
      </c>
      <c r="I155" s="2647">
        <v>3400</v>
      </c>
      <c r="J155" s="2647">
        <v>2.83</v>
      </c>
      <c r="K155" s="2648"/>
      <c r="L155" s="2647" t="s">
        <v>2234</v>
      </c>
    </row>
    <row r="156" spans="1:12">
      <c r="A156" s="2646" t="s">
        <v>99</v>
      </c>
      <c r="B156" s="2646">
        <v>30316</v>
      </c>
      <c r="C156" s="2646">
        <v>80</v>
      </c>
      <c r="D156" s="2646">
        <v>170</v>
      </c>
      <c r="E156" s="2646">
        <v>39</v>
      </c>
      <c r="F156" s="2646">
        <v>278</v>
      </c>
      <c r="G156" s="2646">
        <v>352</v>
      </c>
      <c r="H156" s="2646">
        <v>2200</v>
      </c>
      <c r="I156" s="2646">
        <v>3000</v>
      </c>
      <c r="J156" s="2646">
        <v>4.2699999999999996</v>
      </c>
      <c r="L156" s="2646" t="s">
        <v>2235</v>
      </c>
    </row>
    <row r="157" spans="1:12">
      <c r="A157" s="2647" t="s">
        <v>99</v>
      </c>
      <c r="B157" s="2647">
        <v>31316</v>
      </c>
      <c r="C157" s="2647">
        <v>80</v>
      </c>
      <c r="D157" s="2647">
        <v>170</v>
      </c>
      <c r="E157" s="2647">
        <v>39</v>
      </c>
      <c r="F157" s="2647">
        <v>230</v>
      </c>
      <c r="G157" s="2647">
        <v>288</v>
      </c>
      <c r="H157" s="2647">
        <v>2200</v>
      </c>
      <c r="I157" s="2647">
        <v>3000</v>
      </c>
      <c r="J157" s="2647">
        <v>4.05</v>
      </c>
      <c r="K157" s="2648"/>
      <c r="L157" s="2647" t="s">
        <v>2236</v>
      </c>
    </row>
    <row r="158" spans="1:12">
      <c r="A158" s="2646" t="s">
        <v>99</v>
      </c>
      <c r="B158" s="2646">
        <v>32316</v>
      </c>
      <c r="C158" s="2646">
        <v>80</v>
      </c>
      <c r="D158" s="2646">
        <v>170</v>
      </c>
      <c r="E158" s="2646">
        <v>58</v>
      </c>
      <c r="F158" s="2646">
        <v>388</v>
      </c>
      <c r="G158" s="2646">
        <v>542</v>
      </c>
      <c r="H158" s="2646">
        <v>2200</v>
      </c>
      <c r="I158" s="2646">
        <v>3000</v>
      </c>
      <c r="J158" s="2646">
        <v>6.38</v>
      </c>
      <c r="L158" s="2646" t="s">
        <v>2237</v>
      </c>
    </row>
    <row r="159" spans="1:12">
      <c r="A159" s="2647" t="s">
        <v>99</v>
      </c>
      <c r="B159" s="2647" t="s">
        <v>2238</v>
      </c>
      <c r="C159" s="2647">
        <v>85</v>
      </c>
      <c r="D159" s="2647">
        <v>120</v>
      </c>
      <c r="E159" s="2647">
        <v>22</v>
      </c>
      <c r="F159" s="2647">
        <v>74.2</v>
      </c>
      <c r="G159" s="2647">
        <v>125</v>
      </c>
      <c r="H159" s="2647">
        <v>3400</v>
      </c>
      <c r="I159" s="2647">
        <v>3800</v>
      </c>
      <c r="J159" s="2647">
        <v>0.73</v>
      </c>
      <c r="K159" s="2648"/>
      <c r="L159" s="2647" t="s">
        <v>2088</v>
      </c>
    </row>
    <row r="160" spans="1:12">
      <c r="A160" s="2646" t="s">
        <v>99</v>
      </c>
      <c r="B160" s="2646">
        <v>32917</v>
      </c>
      <c r="C160" s="2646">
        <v>85</v>
      </c>
      <c r="D160" s="2646">
        <v>120</v>
      </c>
      <c r="E160" s="2646">
        <v>23</v>
      </c>
      <c r="F160" s="2646">
        <v>96.8</v>
      </c>
      <c r="G160" s="2646">
        <v>165</v>
      </c>
      <c r="H160" s="2646">
        <v>3400</v>
      </c>
      <c r="I160" s="2646">
        <v>3800</v>
      </c>
      <c r="J160" s="2646">
        <v>0.76700000000000002</v>
      </c>
      <c r="L160" s="2646" t="s">
        <v>2239</v>
      </c>
    </row>
    <row r="161" spans="1:12">
      <c r="A161" s="2647" t="s">
        <v>99</v>
      </c>
      <c r="B161" s="2647" t="s">
        <v>2240</v>
      </c>
      <c r="C161" s="2647">
        <v>85</v>
      </c>
      <c r="D161" s="2647">
        <v>130</v>
      </c>
      <c r="E161" s="2647">
        <v>27</v>
      </c>
      <c r="F161" s="2647">
        <v>105</v>
      </c>
      <c r="G161" s="2647">
        <v>170</v>
      </c>
      <c r="H161" s="2647">
        <v>2800</v>
      </c>
      <c r="I161" s="2647">
        <v>3600</v>
      </c>
      <c r="J161" s="2647">
        <v>1.25</v>
      </c>
      <c r="K161" s="2648"/>
      <c r="L161" s="2647" t="s">
        <v>2088</v>
      </c>
    </row>
    <row r="162" spans="1:12">
      <c r="A162" s="2646" t="s">
        <v>99</v>
      </c>
      <c r="B162" s="2646">
        <v>32017</v>
      </c>
      <c r="C162" s="2646">
        <v>85</v>
      </c>
      <c r="D162" s="2646">
        <v>130</v>
      </c>
      <c r="E162" s="2646">
        <v>29</v>
      </c>
      <c r="F162" s="2646">
        <v>140</v>
      </c>
      <c r="G162" s="2646">
        <v>220</v>
      </c>
      <c r="H162" s="2646">
        <v>2800</v>
      </c>
      <c r="I162" s="2646">
        <v>3600</v>
      </c>
      <c r="J162" s="2646">
        <v>1.32</v>
      </c>
      <c r="L162" s="2646" t="s">
        <v>2123</v>
      </c>
    </row>
    <row r="163" spans="1:12">
      <c r="A163" s="2647" t="s">
        <v>99</v>
      </c>
      <c r="B163" s="2647">
        <v>33017</v>
      </c>
      <c r="C163" s="2647">
        <v>85</v>
      </c>
      <c r="D163" s="2647">
        <v>130</v>
      </c>
      <c r="E163" s="2647">
        <v>36</v>
      </c>
      <c r="F163" s="2647">
        <v>180</v>
      </c>
      <c r="G163" s="2647">
        <v>305</v>
      </c>
      <c r="H163" s="2647">
        <v>2800</v>
      </c>
      <c r="I163" s="2647">
        <v>3600</v>
      </c>
      <c r="J163" s="2647">
        <v>1.69</v>
      </c>
      <c r="K163" s="2648"/>
      <c r="L163" s="2647" t="s">
        <v>2241</v>
      </c>
    </row>
    <row r="164" spans="1:12">
      <c r="A164" s="2646" t="s">
        <v>99</v>
      </c>
      <c r="B164" s="2646">
        <v>33117</v>
      </c>
      <c r="C164" s="2646">
        <v>85</v>
      </c>
      <c r="D164" s="2646">
        <v>140</v>
      </c>
      <c r="E164" s="2646">
        <v>41</v>
      </c>
      <c r="F164" s="2646">
        <v>215</v>
      </c>
      <c r="G164" s="2646">
        <v>355</v>
      </c>
      <c r="H164" s="2646">
        <v>2600</v>
      </c>
      <c r="I164" s="2646">
        <v>3400</v>
      </c>
      <c r="J164" s="2646">
        <v>2.4300000000000002</v>
      </c>
      <c r="L164" s="2646" t="s">
        <v>2242</v>
      </c>
    </row>
    <row r="165" spans="1:12">
      <c r="A165" s="2647" t="s">
        <v>99</v>
      </c>
      <c r="B165" s="2647">
        <v>30217</v>
      </c>
      <c r="C165" s="2647">
        <v>85</v>
      </c>
      <c r="D165" s="2647">
        <v>150</v>
      </c>
      <c r="E165" s="2647">
        <v>31</v>
      </c>
      <c r="F165" s="2647">
        <v>178</v>
      </c>
      <c r="G165" s="2647">
        <v>238</v>
      </c>
      <c r="H165" s="2647">
        <v>2400</v>
      </c>
      <c r="I165" s="2647">
        <v>3200</v>
      </c>
      <c r="J165" s="2647">
        <v>2.06</v>
      </c>
      <c r="K165" s="2648"/>
      <c r="L165" s="2647" t="s">
        <v>2243</v>
      </c>
    </row>
    <row r="166" spans="1:12">
      <c r="A166" s="2646" t="s">
        <v>99</v>
      </c>
      <c r="B166" s="2646">
        <v>32217</v>
      </c>
      <c r="C166" s="2646">
        <v>85</v>
      </c>
      <c r="D166" s="2646">
        <v>150</v>
      </c>
      <c r="E166" s="2646">
        <v>36</v>
      </c>
      <c r="F166" s="2646">
        <v>228</v>
      </c>
      <c r="G166" s="2646">
        <v>325</v>
      </c>
      <c r="H166" s="2646">
        <v>2400</v>
      </c>
      <c r="I166" s="2646">
        <v>3200</v>
      </c>
      <c r="J166" s="2646">
        <v>2.68</v>
      </c>
      <c r="L166" s="2646" t="s">
        <v>2244</v>
      </c>
    </row>
    <row r="167" spans="1:12">
      <c r="A167" s="2647" t="s">
        <v>99</v>
      </c>
      <c r="B167" s="2647">
        <v>23217</v>
      </c>
      <c r="C167" s="2647">
        <v>85</v>
      </c>
      <c r="D167" s="2647">
        <v>150</v>
      </c>
      <c r="E167" s="2647">
        <v>49</v>
      </c>
      <c r="F167" s="2647">
        <v>282</v>
      </c>
      <c r="G167" s="2647">
        <v>415</v>
      </c>
      <c r="H167" s="2647">
        <v>2400</v>
      </c>
      <c r="I167" s="2647">
        <v>3200</v>
      </c>
      <c r="J167" s="2647">
        <v>3.52</v>
      </c>
      <c r="K167" s="2648"/>
      <c r="L167" s="2647" t="s">
        <v>2088</v>
      </c>
    </row>
    <row r="168" spans="1:12">
      <c r="A168" s="2646" t="s">
        <v>99</v>
      </c>
      <c r="B168" s="2646">
        <v>30317</v>
      </c>
      <c r="C168" s="2646">
        <v>85</v>
      </c>
      <c r="D168" s="2646">
        <v>180</v>
      </c>
      <c r="E168" s="2646">
        <v>41</v>
      </c>
      <c r="F168" s="2646">
        <v>305</v>
      </c>
      <c r="G168" s="2646">
        <v>388</v>
      </c>
      <c r="H168" s="2646">
        <v>2000</v>
      </c>
      <c r="I168" s="2646">
        <v>2800</v>
      </c>
      <c r="J168" s="2646">
        <v>4.96</v>
      </c>
      <c r="L168" s="2646" t="s">
        <v>2245</v>
      </c>
    </row>
    <row r="169" spans="1:12">
      <c r="A169" s="2647" t="s">
        <v>99</v>
      </c>
      <c r="B169" s="2647">
        <v>31317</v>
      </c>
      <c r="C169" s="2647">
        <v>85</v>
      </c>
      <c r="D169" s="2647">
        <v>180</v>
      </c>
      <c r="E169" s="2647">
        <v>41</v>
      </c>
      <c r="F169" s="2647">
        <v>255</v>
      </c>
      <c r="G169" s="2647">
        <v>318</v>
      </c>
      <c r="H169" s="2647">
        <v>2000</v>
      </c>
      <c r="I169" s="2647">
        <v>2800</v>
      </c>
      <c r="J169" s="2647">
        <v>4.6900000000000004</v>
      </c>
      <c r="K169" s="2648"/>
      <c r="L169" s="2647" t="s">
        <v>2246</v>
      </c>
    </row>
    <row r="170" spans="1:12">
      <c r="A170" s="2646" t="s">
        <v>99</v>
      </c>
      <c r="B170" s="2646">
        <v>32317</v>
      </c>
      <c r="C170" s="2646">
        <v>85</v>
      </c>
      <c r="D170" s="2646">
        <v>180</v>
      </c>
      <c r="E170" s="2646">
        <v>60</v>
      </c>
      <c r="F170" s="2646">
        <v>422</v>
      </c>
      <c r="G170" s="2646">
        <v>592</v>
      </c>
      <c r="H170" s="2646">
        <v>2000</v>
      </c>
      <c r="I170" s="2646">
        <v>2800</v>
      </c>
      <c r="J170" s="2646">
        <v>7.31</v>
      </c>
      <c r="L170" s="2646" t="s">
        <v>2247</v>
      </c>
    </row>
    <row r="171" spans="1:12">
      <c r="A171" s="2647" t="s">
        <v>99</v>
      </c>
      <c r="B171" s="2647" t="s">
        <v>2248</v>
      </c>
      <c r="C171" s="2647">
        <v>90</v>
      </c>
      <c r="D171" s="2647">
        <v>125</v>
      </c>
      <c r="E171" s="2647">
        <v>22</v>
      </c>
      <c r="F171" s="2647">
        <v>77.8</v>
      </c>
      <c r="G171" s="2647">
        <v>140</v>
      </c>
      <c r="H171" s="2647">
        <v>3200</v>
      </c>
      <c r="I171" s="2647">
        <v>3600</v>
      </c>
      <c r="J171" s="2647" t="s">
        <v>2074</v>
      </c>
      <c r="K171" s="2648"/>
      <c r="L171" s="2647" t="s">
        <v>2088</v>
      </c>
    </row>
    <row r="172" spans="1:12">
      <c r="A172" s="2646" t="s">
        <v>99</v>
      </c>
      <c r="B172" s="2646">
        <v>32918</v>
      </c>
      <c r="C172" s="2646">
        <v>90</v>
      </c>
      <c r="D172" s="2646">
        <v>125</v>
      </c>
      <c r="E172" s="2646">
        <v>23</v>
      </c>
      <c r="F172" s="2646">
        <v>95.8</v>
      </c>
      <c r="G172" s="2646">
        <v>165</v>
      </c>
      <c r="H172" s="2646">
        <v>3200</v>
      </c>
      <c r="I172" s="2646">
        <v>3600</v>
      </c>
      <c r="J172" s="2646">
        <v>0.79600000000000004</v>
      </c>
      <c r="L172" s="2646" t="s">
        <v>2249</v>
      </c>
    </row>
    <row r="173" spans="1:12">
      <c r="A173" s="2647" t="s">
        <v>99</v>
      </c>
      <c r="B173" s="2647" t="s">
        <v>2250</v>
      </c>
      <c r="C173" s="2647">
        <v>90</v>
      </c>
      <c r="D173" s="2647">
        <v>140</v>
      </c>
      <c r="E173" s="2647">
        <v>30</v>
      </c>
      <c r="F173" s="2647">
        <v>122</v>
      </c>
      <c r="G173" s="2647">
        <v>192</v>
      </c>
      <c r="H173" s="2647">
        <v>2600</v>
      </c>
      <c r="I173" s="2647">
        <v>3400</v>
      </c>
      <c r="J173" s="2647">
        <v>1.7</v>
      </c>
      <c r="K173" s="2648"/>
      <c r="L173" s="2647">
        <v>2007118</v>
      </c>
    </row>
    <row r="174" spans="1:12">
      <c r="A174" s="2646" t="s">
        <v>99</v>
      </c>
      <c r="B174" s="2646">
        <v>32018</v>
      </c>
      <c r="C174" s="2646">
        <v>90</v>
      </c>
      <c r="D174" s="2646">
        <v>140</v>
      </c>
      <c r="E174" s="2646">
        <v>32</v>
      </c>
      <c r="F174" s="2646">
        <v>170</v>
      </c>
      <c r="G174" s="2646">
        <v>270</v>
      </c>
      <c r="H174" s="2646">
        <v>2600</v>
      </c>
      <c r="I174" s="2646">
        <v>3400</v>
      </c>
      <c r="J174" s="2646">
        <v>1.72</v>
      </c>
      <c r="L174" s="2646" t="s">
        <v>2251</v>
      </c>
    </row>
    <row r="175" spans="1:12">
      <c r="A175" s="2647" t="s">
        <v>99</v>
      </c>
      <c r="B175" s="2647">
        <v>33018</v>
      </c>
      <c r="C175" s="2647">
        <v>90</v>
      </c>
      <c r="D175" s="2647">
        <v>140</v>
      </c>
      <c r="E175" s="2647">
        <v>39</v>
      </c>
      <c r="F175" s="2647">
        <v>232</v>
      </c>
      <c r="G175" s="2647">
        <v>388</v>
      </c>
      <c r="H175" s="2647">
        <v>2600</v>
      </c>
      <c r="I175" s="2647">
        <v>3400</v>
      </c>
      <c r="J175" s="2647">
        <v>2.2000000000000002</v>
      </c>
      <c r="K175" s="2648"/>
      <c r="L175" s="2647" t="s">
        <v>2252</v>
      </c>
    </row>
    <row r="176" spans="1:12">
      <c r="A176" s="2646" t="s">
        <v>99</v>
      </c>
      <c r="B176" s="2646">
        <v>33118</v>
      </c>
      <c r="C176" s="2646">
        <v>90</v>
      </c>
      <c r="D176" s="2646">
        <v>150</v>
      </c>
      <c r="E176" s="2646">
        <v>45</v>
      </c>
      <c r="F176" s="2646">
        <v>252</v>
      </c>
      <c r="G176" s="2646">
        <v>415</v>
      </c>
      <c r="H176" s="2646">
        <v>2400</v>
      </c>
      <c r="I176" s="2646">
        <v>3200</v>
      </c>
      <c r="J176" s="2646">
        <v>3.13</v>
      </c>
      <c r="L176" s="2646" t="s">
        <v>2253</v>
      </c>
    </row>
    <row r="177" spans="1:12">
      <c r="A177" s="2647" t="s">
        <v>99</v>
      </c>
      <c r="B177" s="2647">
        <v>30218</v>
      </c>
      <c r="C177" s="2647">
        <v>90</v>
      </c>
      <c r="D177" s="2647">
        <v>160</v>
      </c>
      <c r="E177" s="2647">
        <v>30</v>
      </c>
      <c r="F177" s="2647">
        <v>200</v>
      </c>
      <c r="G177" s="2647">
        <v>270</v>
      </c>
      <c r="H177" s="2647">
        <v>2200</v>
      </c>
      <c r="I177" s="2647">
        <v>3000</v>
      </c>
      <c r="J177" s="2647">
        <v>2.54</v>
      </c>
      <c r="K177" s="2648"/>
      <c r="L177" s="2647" t="s">
        <v>2254</v>
      </c>
    </row>
    <row r="178" spans="1:12">
      <c r="A178" s="2646" t="s">
        <v>99</v>
      </c>
      <c r="B178" s="2646">
        <v>32218</v>
      </c>
      <c r="C178" s="2646">
        <v>90</v>
      </c>
      <c r="D178" s="2646">
        <v>160</v>
      </c>
      <c r="E178" s="2646">
        <v>40</v>
      </c>
      <c r="F178" s="2646">
        <v>270</v>
      </c>
      <c r="G178" s="2646">
        <v>395</v>
      </c>
      <c r="H178" s="2646">
        <v>2200</v>
      </c>
      <c r="I178" s="2646">
        <v>3000</v>
      </c>
      <c r="J178" s="2646">
        <v>3.44</v>
      </c>
      <c r="L178" s="2646" t="s">
        <v>2255</v>
      </c>
    </row>
    <row r="179" spans="1:12">
      <c r="A179" s="2647" t="s">
        <v>99</v>
      </c>
      <c r="B179" s="2647">
        <v>33218</v>
      </c>
      <c r="C179" s="2647">
        <v>90</v>
      </c>
      <c r="D179" s="2647">
        <v>160</v>
      </c>
      <c r="E179" s="2647">
        <v>55</v>
      </c>
      <c r="F179" s="2647">
        <v>330</v>
      </c>
      <c r="G179" s="2647">
        <v>500</v>
      </c>
      <c r="H179" s="2647">
        <v>2200</v>
      </c>
      <c r="I179" s="2647">
        <v>3000</v>
      </c>
      <c r="J179" s="2647">
        <v>4.55</v>
      </c>
      <c r="K179" s="2648"/>
      <c r="L179" s="2647" t="s">
        <v>2256</v>
      </c>
    </row>
    <row r="180" spans="1:12">
      <c r="A180" s="2646" t="s">
        <v>99</v>
      </c>
      <c r="B180" s="2646">
        <v>30318</v>
      </c>
      <c r="C180" s="2646">
        <v>90</v>
      </c>
      <c r="D180" s="2646">
        <v>190</v>
      </c>
      <c r="E180" s="2646">
        <v>43</v>
      </c>
      <c r="F180" s="2646">
        <v>342</v>
      </c>
      <c r="G180" s="2646">
        <v>440</v>
      </c>
      <c r="H180" s="2646">
        <v>1900</v>
      </c>
      <c r="I180" s="2646">
        <v>2600</v>
      </c>
      <c r="J180" s="2646">
        <v>5.8</v>
      </c>
      <c r="L180" s="2646" t="s">
        <v>2257</v>
      </c>
    </row>
    <row r="181" spans="1:12">
      <c r="A181" s="2647" t="s">
        <v>99</v>
      </c>
      <c r="B181" s="2647">
        <v>31318</v>
      </c>
      <c r="C181" s="2647">
        <v>90</v>
      </c>
      <c r="D181" s="2647">
        <v>190</v>
      </c>
      <c r="E181" s="2647">
        <v>43</v>
      </c>
      <c r="F181" s="2647">
        <v>282</v>
      </c>
      <c r="G181" s="2647">
        <v>358</v>
      </c>
      <c r="H181" s="2647">
        <v>1900</v>
      </c>
      <c r="I181" s="2647">
        <v>2600</v>
      </c>
      <c r="J181" s="2647">
        <v>5.46</v>
      </c>
      <c r="K181" s="2648"/>
      <c r="L181" s="2647" t="s">
        <v>2258</v>
      </c>
    </row>
    <row r="182" spans="1:12">
      <c r="A182" s="2646" t="s">
        <v>99</v>
      </c>
      <c r="B182" s="2646">
        <v>32318</v>
      </c>
      <c r="C182" s="2646">
        <v>90</v>
      </c>
      <c r="D182" s="2646">
        <v>190</v>
      </c>
      <c r="E182" s="2646">
        <v>64</v>
      </c>
      <c r="F182" s="2646">
        <v>478</v>
      </c>
      <c r="G182" s="2646">
        <v>682</v>
      </c>
      <c r="H182" s="2646">
        <v>1900</v>
      </c>
      <c r="I182" s="2646">
        <v>2600</v>
      </c>
      <c r="J182" s="2646">
        <v>8.81</v>
      </c>
      <c r="L182" s="2646" t="s">
        <v>2259</v>
      </c>
    </row>
    <row r="183" spans="1:12">
      <c r="A183" s="2647" t="s">
        <v>99</v>
      </c>
      <c r="B183" s="2647">
        <v>32919</v>
      </c>
      <c r="C183" s="2647">
        <v>95</v>
      </c>
      <c r="D183" s="2647">
        <v>130</v>
      </c>
      <c r="E183" s="2647">
        <v>23</v>
      </c>
      <c r="F183" s="2647">
        <v>97.2</v>
      </c>
      <c r="G183" s="2647">
        <v>170</v>
      </c>
      <c r="H183" s="2647">
        <v>2600</v>
      </c>
      <c r="I183" s="2647">
        <v>3400</v>
      </c>
      <c r="J183" s="2647">
        <v>0.83099999999999996</v>
      </c>
      <c r="K183" s="2648"/>
      <c r="L183" s="2647" t="s">
        <v>2260</v>
      </c>
    </row>
    <row r="184" spans="1:12">
      <c r="A184" s="2646" t="s">
        <v>99</v>
      </c>
      <c r="B184" s="2646" t="s">
        <v>2261</v>
      </c>
      <c r="C184" s="2646">
        <v>95</v>
      </c>
      <c r="D184" s="2646">
        <v>145</v>
      </c>
      <c r="E184" s="2646">
        <v>30</v>
      </c>
      <c r="F184" s="2646">
        <v>122</v>
      </c>
      <c r="G184" s="2646">
        <v>192</v>
      </c>
      <c r="H184" s="2646">
        <v>2400</v>
      </c>
      <c r="I184" s="2646">
        <v>3200</v>
      </c>
      <c r="J184" s="2646">
        <v>1.7</v>
      </c>
      <c r="L184" s="2646" t="s">
        <v>2088</v>
      </c>
    </row>
    <row r="185" spans="1:12">
      <c r="A185" s="2647" t="s">
        <v>99</v>
      </c>
      <c r="B185" s="2647">
        <v>32109</v>
      </c>
      <c r="C185" s="2647">
        <v>95</v>
      </c>
      <c r="D185" s="2647">
        <v>145</v>
      </c>
      <c r="E185" s="2647">
        <v>32</v>
      </c>
      <c r="F185" s="2647">
        <v>175</v>
      </c>
      <c r="G185" s="2647">
        <v>280</v>
      </c>
      <c r="H185" s="2647">
        <v>2400</v>
      </c>
      <c r="I185" s="2647">
        <v>3200</v>
      </c>
      <c r="J185" s="2647">
        <v>1.79</v>
      </c>
      <c r="K185" s="2648"/>
      <c r="L185" s="2647" t="s">
        <v>2088</v>
      </c>
    </row>
    <row r="186" spans="1:12">
      <c r="A186" s="2646" t="s">
        <v>99</v>
      </c>
      <c r="B186" s="2646">
        <v>33019</v>
      </c>
      <c r="C186" s="2646">
        <v>95</v>
      </c>
      <c r="D186" s="2646">
        <v>145</v>
      </c>
      <c r="E186" s="2646">
        <v>39</v>
      </c>
      <c r="F186" s="2646">
        <v>230</v>
      </c>
      <c r="G186" s="2646">
        <v>390</v>
      </c>
      <c r="H186" s="2646">
        <v>2400</v>
      </c>
      <c r="I186" s="2646">
        <v>3200</v>
      </c>
      <c r="J186" s="2646">
        <v>2.2599999999999998</v>
      </c>
      <c r="L186" s="2646" t="s">
        <v>2262</v>
      </c>
    </row>
    <row r="187" spans="1:12">
      <c r="A187" s="2647" t="s">
        <v>99</v>
      </c>
      <c r="B187" s="2647">
        <v>33119</v>
      </c>
      <c r="C187" s="2647">
        <v>95</v>
      </c>
      <c r="D187" s="2647">
        <v>160</v>
      </c>
      <c r="E187" s="2647">
        <v>49</v>
      </c>
      <c r="F187" s="2647">
        <v>298</v>
      </c>
      <c r="G187" s="2647">
        <v>498</v>
      </c>
      <c r="H187" s="2647">
        <v>2200</v>
      </c>
      <c r="I187" s="2647">
        <v>3000</v>
      </c>
      <c r="J187" s="2647">
        <v>3.94</v>
      </c>
      <c r="K187" s="2648"/>
      <c r="L187" s="2647" t="s">
        <v>2263</v>
      </c>
    </row>
    <row r="188" spans="1:12">
      <c r="A188" s="2646" t="s">
        <v>99</v>
      </c>
      <c r="B188" s="2646">
        <v>30219</v>
      </c>
      <c r="C188" s="2646">
        <v>95</v>
      </c>
      <c r="D188" s="2646">
        <v>170</v>
      </c>
      <c r="E188" s="2646">
        <v>32</v>
      </c>
      <c r="F188" s="2646">
        <v>228</v>
      </c>
      <c r="G188" s="2646">
        <v>308</v>
      </c>
      <c r="H188" s="2646">
        <v>2000</v>
      </c>
      <c r="I188" s="2646">
        <v>2800</v>
      </c>
      <c r="J188" s="2646">
        <v>3.04</v>
      </c>
      <c r="L188" s="2646" t="s">
        <v>2264</v>
      </c>
    </row>
    <row r="189" spans="1:12">
      <c r="A189" s="2647" t="s">
        <v>99</v>
      </c>
      <c r="B189" s="2647">
        <v>30336</v>
      </c>
      <c r="C189" s="2647">
        <v>180</v>
      </c>
      <c r="D189" s="2647">
        <v>380</v>
      </c>
      <c r="E189" s="2647">
        <v>75</v>
      </c>
      <c r="F189" s="2647">
        <v>901</v>
      </c>
      <c r="G189" s="2647">
        <v>1110</v>
      </c>
      <c r="H189" s="2647">
        <v>940</v>
      </c>
      <c r="I189" s="2647">
        <v>1300</v>
      </c>
      <c r="J189" s="2647">
        <v>39.700000000000003</v>
      </c>
      <c r="K189" s="2648"/>
      <c r="L189" s="2647" t="s">
        <v>2265</v>
      </c>
    </row>
    <row r="190" spans="1:12">
      <c r="A190" s="2646" t="s">
        <v>99</v>
      </c>
      <c r="B190" s="2646">
        <v>32219</v>
      </c>
      <c r="C190" s="2646">
        <v>95</v>
      </c>
      <c r="D190" s="2646">
        <v>170</v>
      </c>
      <c r="E190" s="2646">
        <v>43</v>
      </c>
      <c r="F190" s="2646">
        <v>302</v>
      </c>
      <c r="G190" s="2646">
        <v>448</v>
      </c>
      <c r="H190" s="2646">
        <v>2000</v>
      </c>
      <c r="I190" s="2646">
        <v>2800</v>
      </c>
      <c r="J190" s="2646">
        <v>4.24</v>
      </c>
      <c r="L190" s="2646" t="s">
        <v>2266</v>
      </c>
    </row>
    <row r="191" spans="1:12">
      <c r="A191" s="2647" t="s">
        <v>99</v>
      </c>
      <c r="B191" s="2647">
        <v>33219</v>
      </c>
      <c r="C191" s="2647">
        <v>95</v>
      </c>
      <c r="D191" s="2647">
        <v>170</v>
      </c>
      <c r="E191" s="2647">
        <v>58</v>
      </c>
      <c r="F191" s="2647">
        <v>378</v>
      </c>
      <c r="G191" s="2647">
        <v>568</v>
      </c>
      <c r="H191" s="2647">
        <v>2000</v>
      </c>
      <c r="I191" s="2647">
        <v>2800</v>
      </c>
      <c r="J191" s="2647">
        <v>5.48</v>
      </c>
      <c r="K191" s="2648"/>
      <c r="L191" s="2647" t="s">
        <v>2267</v>
      </c>
    </row>
    <row r="192" spans="1:12">
      <c r="A192" s="2646" t="s">
        <v>99</v>
      </c>
      <c r="B192" s="2646">
        <v>30319</v>
      </c>
      <c r="C192" s="2646">
        <v>95</v>
      </c>
      <c r="D192" s="2646">
        <v>200</v>
      </c>
      <c r="E192" s="2646">
        <v>45</v>
      </c>
      <c r="F192" s="2646">
        <v>317</v>
      </c>
      <c r="G192" s="2646">
        <v>368</v>
      </c>
      <c r="H192" s="2646">
        <v>2000</v>
      </c>
      <c r="I192" s="2646">
        <v>2600</v>
      </c>
      <c r="J192" s="2646">
        <v>6.32</v>
      </c>
      <c r="L192" s="2646" t="s">
        <v>2268</v>
      </c>
    </row>
    <row r="193" spans="1:12">
      <c r="A193" s="2647" t="s">
        <v>99</v>
      </c>
      <c r="B193" s="2647">
        <v>31319</v>
      </c>
      <c r="C193" s="2647">
        <v>95</v>
      </c>
      <c r="D193" s="2647">
        <v>200</v>
      </c>
      <c r="E193" s="2647">
        <v>45</v>
      </c>
      <c r="F193" s="2647">
        <v>310</v>
      </c>
      <c r="G193" s="2647">
        <v>400</v>
      </c>
      <c r="H193" s="2647">
        <v>1800</v>
      </c>
      <c r="I193" s="2647">
        <v>2400</v>
      </c>
      <c r="J193" s="2647">
        <v>6.46</v>
      </c>
      <c r="K193" s="2648"/>
      <c r="L193" s="2647" t="s">
        <v>2269</v>
      </c>
    </row>
    <row r="194" spans="1:12">
      <c r="A194" s="2646" t="s">
        <v>99</v>
      </c>
      <c r="B194" s="2646">
        <v>32319</v>
      </c>
      <c r="C194" s="2646">
        <v>95</v>
      </c>
      <c r="D194" s="2646">
        <v>200</v>
      </c>
      <c r="E194" s="2646">
        <v>67</v>
      </c>
      <c r="F194" s="2646">
        <v>427</v>
      </c>
      <c r="G194" s="2646">
        <v>544</v>
      </c>
      <c r="H194" s="2646">
        <v>2000</v>
      </c>
      <c r="I194" s="2646">
        <v>2600</v>
      </c>
      <c r="J194" s="2646">
        <v>9.35</v>
      </c>
      <c r="L194" s="2646" t="s">
        <v>2270</v>
      </c>
    </row>
    <row r="195" spans="1:12">
      <c r="A195" s="2647" t="s">
        <v>99</v>
      </c>
      <c r="B195" s="2647">
        <v>32920</v>
      </c>
      <c r="C195" s="2647">
        <v>100</v>
      </c>
      <c r="D195" s="2647">
        <v>140</v>
      </c>
      <c r="E195" s="2647">
        <v>25</v>
      </c>
      <c r="F195" s="2647">
        <v>128</v>
      </c>
      <c r="G195" s="2647">
        <v>218</v>
      </c>
      <c r="H195" s="2647">
        <v>2400</v>
      </c>
      <c r="I195" s="2647">
        <v>3200</v>
      </c>
      <c r="J195" s="2647">
        <v>1.1200000000000001</v>
      </c>
      <c r="K195" s="2648"/>
      <c r="L195" s="2647" t="s">
        <v>2271</v>
      </c>
    </row>
    <row r="196" spans="1:12">
      <c r="A196" s="2646" t="s">
        <v>99</v>
      </c>
      <c r="B196" s="2646" t="s">
        <v>2272</v>
      </c>
      <c r="C196" s="2646">
        <v>100</v>
      </c>
      <c r="D196" s="2646">
        <v>150</v>
      </c>
      <c r="E196" s="2646">
        <v>30</v>
      </c>
      <c r="F196" s="2646">
        <v>125</v>
      </c>
      <c r="G196" s="2646">
        <v>205</v>
      </c>
      <c r="H196" s="2646">
        <v>2200</v>
      </c>
      <c r="I196" s="2646">
        <v>3000</v>
      </c>
      <c r="J196" s="2646">
        <v>1.79</v>
      </c>
      <c r="L196" s="2646" t="s">
        <v>2273</v>
      </c>
    </row>
    <row r="197" spans="1:12">
      <c r="A197" s="2647" t="s">
        <v>99</v>
      </c>
      <c r="B197" s="2647">
        <v>32020</v>
      </c>
      <c r="C197" s="2647">
        <v>100</v>
      </c>
      <c r="D197" s="2647">
        <v>150</v>
      </c>
      <c r="E197" s="2647">
        <v>32</v>
      </c>
      <c r="F197" s="2647">
        <v>172</v>
      </c>
      <c r="G197" s="2647">
        <v>282</v>
      </c>
      <c r="H197" s="2647">
        <v>2200</v>
      </c>
      <c r="I197" s="2647">
        <v>3000</v>
      </c>
      <c r="J197" s="2647">
        <v>1.85</v>
      </c>
      <c r="K197" s="2648"/>
      <c r="L197" s="2647" t="s">
        <v>2273</v>
      </c>
    </row>
    <row r="198" spans="1:12">
      <c r="A198" s="2646" t="s">
        <v>99</v>
      </c>
      <c r="B198" s="2646">
        <v>33020</v>
      </c>
      <c r="C198" s="2646">
        <v>100</v>
      </c>
      <c r="D198" s="2646">
        <v>150</v>
      </c>
      <c r="E198" s="2646">
        <v>39</v>
      </c>
      <c r="F198" s="2646">
        <v>230</v>
      </c>
      <c r="G198" s="2646">
        <v>390</v>
      </c>
      <c r="H198" s="2646">
        <v>2200</v>
      </c>
      <c r="I198" s="2646">
        <v>3000</v>
      </c>
      <c r="J198" s="2646">
        <v>2.33</v>
      </c>
      <c r="L198" s="2646" t="s">
        <v>2274</v>
      </c>
    </row>
    <row r="199" spans="1:12">
      <c r="A199" s="2647" t="s">
        <v>99</v>
      </c>
      <c r="B199" s="2647">
        <v>35120</v>
      </c>
      <c r="C199" s="2647">
        <v>100</v>
      </c>
      <c r="D199" s="2647">
        <v>165</v>
      </c>
      <c r="E199" s="2647">
        <v>52</v>
      </c>
      <c r="F199" s="2647">
        <v>308</v>
      </c>
      <c r="G199" s="2647">
        <v>528</v>
      </c>
      <c r="H199" s="2647">
        <v>2000</v>
      </c>
      <c r="I199" s="2647">
        <v>2800</v>
      </c>
      <c r="J199" s="2647">
        <v>4.3099999999999996</v>
      </c>
      <c r="K199" s="2648"/>
      <c r="L199" s="2647" t="s">
        <v>2088</v>
      </c>
    </row>
    <row r="200" spans="1:12">
      <c r="A200" s="2646" t="s">
        <v>99</v>
      </c>
      <c r="B200" s="2646">
        <v>30220</v>
      </c>
      <c r="C200" s="2646">
        <v>100</v>
      </c>
      <c r="D200" s="2646">
        <v>180</v>
      </c>
      <c r="E200" s="2646">
        <v>34</v>
      </c>
      <c r="F200" s="2646">
        <v>255</v>
      </c>
      <c r="G200" s="2646">
        <v>350</v>
      </c>
      <c r="H200" s="2646">
        <v>1900</v>
      </c>
      <c r="I200" s="2646">
        <v>2600</v>
      </c>
      <c r="J200" s="2646">
        <v>3.72</v>
      </c>
      <c r="L200" s="2646" t="s">
        <v>2275</v>
      </c>
    </row>
    <row r="201" spans="1:12">
      <c r="A201" s="2647" t="s">
        <v>99</v>
      </c>
      <c r="B201" s="2647">
        <v>32220</v>
      </c>
      <c r="C201" s="2647">
        <v>100</v>
      </c>
      <c r="D201" s="2647">
        <v>180</v>
      </c>
      <c r="E201" s="2647">
        <v>46</v>
      </c>
      <c r="F201" s="2647">
        <v>340</v>
      </c>
      <c r="G201" s="2647">
        <v>512</v>
      </c>
      <c r="H201" s="2647">
        <v>1900</v>
      </c>
      <c r="I201" s="2647">
        <v>2600</v>
      </c>
      <c r="J201" s="2647">
        <v>5.0999999999999996</v>
      </c>
      <c r="K201" s="2648"/>
      <c r="L201" s="2647" t="s">
        <v>2276</v>
      </c>
    </row>
    <row r="202" spans="1:12">
      <c r="A202" s="2646" t="s">
        <v>99</v>
      </c>
      <c r="B202" s="2646">
        <v>33220</v>
      </c>
      <c r="C202" s="2646">
        <v>100</v>
      </c>
      <c r="D202" s="2646">
        <v>180</v>
      </c>
      <c r="E202" s="2646">
        <v>63</v>
      </c>
      <c r="F202" s="2646">
        <v>438</v>
      </c>
      <c r="G202" s="2646">
        <v>665</v>
      </c>
      <c r="H202" s="2646">
        <v>1900</v>
      </c>
      <c r="I202" s="2646">
        <v>2600</v>
      </c>
      <c r="J202" s="2646">
        <v>6.71</v>
      </c>
      <c r="L202" s="2646" t="s">
        <v>2277</v>
      </c>
    </row>
    <row r="203" spans="1:12">
      <c r="A203" s="2647" t="s">
        <v>99</v>
      </c>
      <c r="B203" s="2647">
        <v>30320</v>
      </c>
      <c r="C203" s="2647">
        <v>100</v>
      </c>
      <c r="D203" s="2647">
        <v>215</v>
      </c>
      <c r="E203" s="2647">
        <v>47</v>
      </c>
      <c r="F203" s="2647">
        <v>344</v>
      </c>
      <c r="G203" s="2647">
        <v>400</v>
      </c>
      <c r="H203" s="2647">
        <v>1800</v>
      </c>
      <c r="I203" s="2647">
        <v>2400</v>
      </c>
      <c r="J203" s="2647">
        <v>7.76</v>
      </c>
      <c r="K203" s="2648"/>
      <c r="L203" s="2647" t="s">
        <v>2278</v>
      </c>
    </row>
    <row r="204" spans="1:12">
      <c r="A204" s="2646" t="s">
        <v>99</v>
      </c>
      <c r="B204" s="2646">
        <v>31320</v>
      </c>
      <c r="C204" s="2646">
        <v>100</v>
      </c>
      <c r="D204" s="2646">
        <v>215</v>
      </c>
      <c r="E204" s="2646">
        <v>51</v>
      </c>
      <c r="F204" s="2646">
        <v>372</v>
      </c>
      <c r="G204" s="2646">
        <v>488</v>
      </c>
      <c r="H204" s="2646">
        <v>1600</v>
      </c>
      <c r="I204" s="2646">
        <v>2000</v>
      </c>
      <c r="J204" s="2646">
        <v>8.59</v>
      </c>
      <c r="L204" s="2646" t="s">
        <v>2279</v>
      </c>
    </row>
    <row r="205" spans="1:12">
      <c r="A205" s="2647" t="s">
        <v>99</v>
      </c>
      <c r="B205" s="2647">
        <v>32320</v>
      </c>
      <c r="C205" s="2647">
        <v>100</v>
      </c>
      <c r="D205" s="2647">
        <v>215</v>
      </c>
      <c r="E205" s="2647">
        <v>73</v>
      </c>
      <c r="F205" s="2647">
        <v>491</v>
      </c>
      <c r="G205" s="2647">
        <v>637</v>
      </c>
      <c r="H205" s="2647">
        <v>1800</v>
      </c>
      <c r="I205" s="2647">
        <v>2400</v>
      </c>
      <c r="J205" s="2647">
        <v>12.2</v>
      </c>
      <c r="K205" s="2648"/>
      <c r="L205" s="2647" t="s">
        <v>2280</v>
      </c>
    </row>
    <row r="206" spans="1:12">
      <c r="A206" s="2646" t="s">
        <v>99</v>
      </c>
      <c r="B206" s="2646">
        <v>32921</v>
      </c>
      <c r="C206" s="2646">
        <v>105</v>
      </c>
      <c r="D206" s="2646">
        <v>145</v>
      </c>
      <c r="E206" s="2646">
        <v>25</v>
      </c>
      <c r="F206" s="2646">
        <v>128</v>
      </c>
      <c r="G206" s="2646">
        <v>225</v>
      </c>
      <c r="H206" s="2646">
        <v>2200</v>
      </c>
      <c r="I206" s="2646">
        <v>3000</v>
      </c>
      <c r="J206" s="2646">
        <v>1.1599999999999999</v>
      </c>
      <c r="L206" s="2646" t="s">
        <v>2281</v>
      </c>
    </row>
    <row r="207" spans="1:12">
      <c r="A207" s="2647" t="s">
        <v>99</v>
      </c>
      <c r="B207" s="2647" t="s">
        <v>2282</v>
      </c>
      <c r="C207" s="2647">
        <v>105</v>
      </c>
      <c r="D207" s="2647">
        <v>160</v>
      </c>
      <c r="E207" s="2647">
        <v>33</v>
      </c>
      <c r="F207" s="2647">
        <v>162</v>
      </c>
      <c r="G207" s="2647">
        <v>270</v>
      </c>
      <c r="H207" s="2647">
        <v>2000</v>
      </c>
      <c r="I207" s="2647">
        <v>2800</v>
      </c>
      <c r="J207" s="2647">
        <v>2.5</v>
      </c>
      <c r="K207" s="2648"/>
      <c r="L207" s="2647">
        <v>2007121</v>
      </c>
    </row>
    <row r="208" spans="1:12">
      <c r="A208" s="2646" t="s">
        <v>99</v>
      </c>
      <c r="B208" s="2646">
        <v>32021</v>
      </c>
      <c r="C208" s="2646">
        <v>105</v>
      </c>
      <c r="D208" s="2646">
        <v>160</v>
      </c>
      <c r="E208" s="2646">
        <v>35</v>
      </c>
      <c r="F208" s="2646">
        <v>205</v>
      </c>
      <c r="G208" s="2646">
        <v>335</v>
      </c>
      <c r="H208" s="2646">
        <v>2000</v>
      </c>
      <c r="I208" s="2646">
        <v>2800</v>
      </c>
      <c r="J208" s="2646">
        <v>2.4</v>
      </c>
      <c r="L208" s="2646" t="s">
        <v>2283</v>
      </c>
    </row>
    <row r="209" spans="1:12">
      <c r="A209" s="2647" t="s">
        <v>99</v>
      </c>
      <c r="B209" s="2647">
        <v>33021</v>
      </c>
      <c r="C209" s="2647">
        <v>105</v>
      </c>
      <c r="D209" s="2647">
        <v>160</v>
      </c>
      <c r="E209" s="2647">
        <v>43</v>
      </c>
      <c r="F209" s="2647">
        <v>258</v>
      </c>
      <c r="G209" s="2647">
        <v>438</v>
      </c>
      <c r="H209" s="2647">
        <v>2000</v>
      </c>
      <c r="I209" s="2647">
        <v>2800</v>
      </c>
      <c r="J209" s="2647">
        <v>2.97</v>
      </c>
      <c r="K209" s="2648"/>
      <c r="L209" s="2647" t="s">
        <v>2284</v>
      </c>
    </row>
    <row r="210" spans="1:12">
      <c r="A210" s="2646" t="s">
        <v>99</v>
      </c>
      <c r="B210" s="2646">
        <v>33121</v>
      </c>
      <c r="C210" s="2646">
        <v>105</v>
      </c>
      <c r="D210" s="2646">
        <v>175</v>
      </c>
      <c r="E210" s="2646">
        <v>56</v>
      </c>
      <c r="F210" s="2646">
        <v>352</v>
      </c>
      <c r="G210" s="2646">
        <v>608</v>
      </c>
      <c r="H210" s="2646">
        <v>1900</v>
      </c>
      <c r="I210" s="2646">
        <v>2600</v>
      </c>
      <c r="J210" s="2646">
        <v>5.29</v>
      </c>
      <c r="L210" s="2646" t="s">
        <v>2285</v>
      </c>
    </row>
    <row r="211" spans="1:12">
      <c r="A211" s="2647" t="s">
        <v>99</v>
      </c>
      <c r="B211" s="2647">
        <v>30221</v>
      </c>
      <c r="C211" s="2647">
        <v>105</v>
      </c>
      <c r="D211" s="2647">
        <v>190</v>
      </c>
      <c r="E211" s="2647">
        <v>36</v>
      </c>
      <c r="F211" s="2647">
        <v>285</v>
      </c>
      <c r="G211" s="2647">
        <v>398</v>
      </c>
      <c r="H211" s="2647">
        <v>1800</v>
      </c>
      <c r="I211" s="2647">
        <v>2400</v>
      </c>
      <c r="J211" s="2647">
        <v>4.38</v>
      </c>
      <c r="K211" s="2648"/>
      <c r="L211" s="2647" t="s">
        <v>2286</v>
      </c>
    </row>
    <row r="212" spans="1:12">
      <c r="A212" s="2646" t="s">
        <v>99</v>
      </c>
      <c r="B212" s="2646">
        <v>32221</v>
      </c>
      <c r="C212" s="2646">
        <v>105</v>
      </c>
      <c r="D212" s="2646">
        <v>190</v>
      </c>
      <c r="E212" s="2646">
        <v>50</v>
      </c>
      <c r="F212" s="2646">
        <v>380</v>
      </c>
      <c r="G212" s="2646">
        <v>578</v>
      </c>
      <c r="H212" s="2646">
        <v>1800</v>
      </c>
      <c r="I212" s="2646">
        <v>2400</v>
      </c>
      <c r="J212" s="2646">
        <v>6.26</v>
      </c>
      <c r="L212" s="2646" t="s">
        <v>2287</v>
      </c>
    </row>
    <row r="213" spans="1:12">
      <c r="A213" s="2647" t="s">
        <v>99</v>
      </c>
      <c r="B213" s="2647">
        <v>33221</v>
      </c>
      <c r="C213" s="2647">
        <v>105</v>
      </c>
      <c r="D213" s="2647">
        <v>190</v>
      </c>
      <c r="E213" s="2647">
        <v>68</v>
      </c>
      <c r="F213" s="2647">
        <v>498</v>
      </c>
      <c r="G213" s="2647">
        <v>770</v>
      </c>
      <c r="H213" s="2647">
        <v>1800</v>
      </c>
      <c r="I213" s="2647">
        <v>2400</v>
      </c>
      <c r="J213" s="2647">
        <v>8.1199999999999992</v>
      </c>
      <c r="K213" s="2648"/>
      <c r="L213" s="2647" t="s">
        <v>2288</v>
      </c>
    </row>
    <row r="214" spans="1:12">
      <c r="A214" s="2646" t="s">
        <v>99</v>
      </c>
      <c r="B214" s="2646">
        <v>30321</v>
      </c>
      <c r="C214" s="2646">
        <v>105</v>
      </c>
      <c r="D214" s="2646">
        <v>225</v>
      </c>
      <c r="E214" s="2646">
        <v>49</v>
      </c>
      <c r="F214" s="2646">
        <v>371</v>
      </c>
      <c r="G214" s="2646">
        <v>432</v>
      </c>
      <c r="H214" s="2646">
        <v>1700</v>
      </c>
      <c r="I214" s="2646">
        <v>2300</v>
      </c>
      <c r="J214" s="2646">
        <v>8.74</v>
      </c>
      <c r="L214" s="2646" t="s">
        <v>2289</v>
      </c>
    </row>
    <row r="215" spans="1:12">
      <c r="A215" s="2647" t="s">
        <v>99</v>
      </c>
      <c r="B215" s="2647">
        <v>31321</v>
      </c>
      <c r="C215" s="2647">
        <v>105</v>
      </c>
      <c r="D215" s="2647">
        <v>225</v>
      </c>
      <c r="E215" s="2647">
        <v>53</v>
      </c>
      <c r="F215" s="2647">
        <v>398</v>
      </c>
      <c r="G215" s="2647">
        <v>525</v>
      </c>
      <c r="H215" s="2647">
        <v>1500</v>
      </c>
      <c r="I215" s="2647">
        <v>1900</v>
      </c>
      <c r="J215" s="2647">
        <v>9.58</v>
      </c>
      <c r="K215" s="2648"/>
      <c r="L215" s="2647" t="s">
        <v>2290</v>
      </c>
    </row>
    <row r="216" spans="1:12">
      <c r="A216" s="2646" t="s">
        <v>99</v>
      </c>
      <c r="B216" s="2646">
        <v>32321</v>
      </c>
      <c r="C216" s="2646">
        <v>105</v>
      </c>
      <c r="D216" s="2646">
        <v>225</v>
      </c>
      <c r="E216" s="2646">
        <v>77</v>
      </c>
      <c r="F216" s="2646">
        <v>543</v>
      </c>
      <c r="G216" s="2646">
        <v>707</v>
      </c>
      <c r="H216" s="2646">
        <v>1800</v>
      </c>
      <c r="I216" s="2646">
        <v>2300</v>
      </c>
      <c r="J216" s="2646">
        <v>13.9</v>
      </c>
      <c r="L216" s="2646" t="s">
        <v>2291</v>
      </c>
    </row>
    <row r="217" spans="1:12">
      <c r="A217" s="2647" t="s">
        <v>99</v>
      </c>
      <c r="B217" s="2647" t="s">
        <v>2292</v>
      </c>
      <c r="C217" s="2647">
        <v>110</v>
      </c>
      <c r="D217" s="2647">
        <v>150</v>
      </c>
      <c r="E217" s="2647">
        <v>24</v>
      </c>
      <c r="F217" s="2647">
        <v>85.5</v>
      </c>
      <c r="G217" s="2647">
        <v>148</v>
      </c>
      <c r="H217" s="2647">
        <v>2000</v>
      </c>
      <c r="I217" s="2647">
        <v>2800</v>
      </c>
      <c r="J217" s="2647">
        <v>1.1000000000000001</v>
      </c>
      <c r="K217" s="2648"/>
      <c r="L217" s="2647">
        <v>2007922</v>
      </c>
    </row>
    <row r="218" spans="1:12">
      <c r="A218" s="2646" t="s">
        <v>99</v>
      </c>
      <c r="B218" s="2646">
        <v>32922</v>
      </c>
      <c r="C218" s="2646">
        <v>110</v>
      </c>
      <c r="D218" s="2646">
        <v>150</v>
      </c>
      <c r="E218" s="2646">
        <v>25</v>
      </c>
      <c r="F218" s="2646">
        <v>130</v>
      </c>
      <c r="G218" s="2646">
        <v>232</v>
      </c>
      <c r="H218" s="2646">
        <v>2000</v>
      </c>
      <c r="I218" s="2646">
        <v>2800</v>
      </c>
      <c r="J218" s="2646">
        <v>1.2</v>
      </c>
      <c r="L218" s="2646" t="s">
        <v>2293</v>
      </c>
    </row>
    <row r="219" spans="1:12">
      <c r="A219" s="2647" t="s">
        <v>99</v>
      </c>
      <c r="B219" s="2647" t="s">
        <v>2294</v>
      </c>
      <c r="C219" s="2647">
        <v>110</v>
      </c>
      <c r="D219" s="2647">
        <v>170</v>
      </c>
      <c r="E219" s="2647">
        <v>36</v>
      </c>
      <c r="F219" s="2647">
        <v>182</v>
      </c>
      <c r="G219" s="2647">
        <v>302</v>
      </c>
      <c r="H219" s="2647">
        <v>1900</v>
      </c>
      <c r="I219" s="2647">
        <v>2600</v>
      </c>
      <c r="J219" s="2647">
        <v>3.1</v>
      </c>
      <c r="K219" s="2648"/>
      <c r="L219" s="2647">
        <v>2007122</v>
      </c>
    </row>
    <row r="220" spans="1:12">
      <c r="A220" s="2646" t="s">
        <v>99</v>
      </c>
      <c r="B220" s="2646">
        <v>32022</v>
      </c>
      <c r="C220" s="2646">
        <v>110</v>
      </c>
      <c r="D220" s="2646">
        <v>170</v>
      </c>
      <c r="E220" s="2646">
        <v>38</v>
      </c>
      <c r="F220" s="2646">
        <v>245</v>
      </c>
      <c r="G220" s="2646">
        <v>402</v>
      </c>
      <c r="H220" s="2646">
        <v>1900</v>
      </c>
      <c r="I220" s="2646">
        <v>2600</v>
      </c>
      <c r="J220" s="2646">
        <v>3.02</v>
      </c>
      <c r="L220" s="2646" t="s">
        <v>2295</v>
      </c>
    </row>
    <row r="221" spans="1:12">
      <c r="A221" s="2647" t="s">
        <v>99</v>
      </c>
      <c r="B221" s="2647">
        <v>33022</v>
      </c>
      <c r="C221" s="2647">
        <v>110</v>
      </c>
      <c r="D221" s="2647">
        <v>170</v>
      </c>
      <c r="E221" s="2647">
        <v>47</v>
      </c>
      <c r="F221" s="2647">
        <v>288</v>
      </c>
      <c r="G221" s="2647">
        <v>502</v>
      </c>
      <c r="H221" s="2647">
        <v>1900</v>
      </c>
      <c r="I221" s="2647">
        <v>2600</v>
      </c>
      <c r="J221" s="2647">
        <v>3.74</v>
      </c>
      <c r="K221" s="2648"/>
      <c r="L221" s="2647" t="s">
        <v>2296</v>
      </c>
    </row>
    <row r="222" spans="1:12">
      <c r="A222" s="2646" t="s">
        <v>99</v>
      </c>
      <c r="B222" s="2646">
        <v>33122</v>
      </c>
      <c r="C222" s="2646">
        <v>110</v>
      </c>
      <c r="D222" s="2646">
        <v>180</v>
      </c>
      <c r="E222" s="2646">
        <v>56</v>
      </c>
      <c r="F222" s="2646">
        <v>372</v>
      </c>
      <c r="G222" s="2646">
        <v>638</v>
      </c>
      <c r="H222" s="2646">
        <v>1800</v>
      </c>
      <c r="I222" s="2646">
        <v>2400</v>
      </c>
      <c r="J222" s="2646">
        <v>5.5</v>
      </c>
      <c r="L222" s="2646" t="s">
        <v>2297</v>
      </c>
    </row>
    <row r="223" spans="1:12">
      <c r="A223" s="2647" t="s">
        <v>99</v>
      </c>
      <c r="B223" s="2647">
        <v>30222</v>
      </c>
      <c r="C223" s="2647">
        <v>110</v>
      </c>
      <c r="D223" s="2647">
        <v>200</v>
      </c>
      <c r="E223" s="2647">
        <v>38</v>
      </c>
      <c r="F223" s="2647">
        <v>315</v>
      </c>
      <c r="G223" s="2647">
        <v>445</v>
      </c>
      <c r="H223" s="2647">
        <v>1700</v>
      </c>
      <c r="I223" s="2647">
        <v>2200</v>
      </c>
      <c r="J223" s="2647">
        <v>5.21</v>
      </c>
      <c r="K223" s="2648"/>
      <c r="L223" s="2647" t="s">
        <v>2298</v>
      </c>
    </row>
    <row r="224" spans="1:12">
      <c r="A224" s="2646" t="s">
        <v>99</v>
      </c>
      <c r="B224" s="2646">
        <v>32222</v>
      </c>
      <c r="C224" s="2646">
        <v>110</v>
      </c>
      <c r="D224" s="2646">
        <v>200</v>
      </c>
      <c r="E224" s="2646">
        <v>53</v>
      </c>
      <c r="F224" s="2646">
        <v>430</v>
      </c>
      <c r="G224" s="2646">
        <v>665</v>
      </c>
      <c r="H224" s="2646">
        <v>1700</v>
      </c>
      <c r="I224" s="2646">
        <v>2200</v>
      </c>
      <c r="J224" s="2646">
        <v>7.43</v>
      </c>
      <c r="L224" s="2646" t="s">
        <v>2299</v>
      </c>
    </row>
    <row r="225" spans="1:12">
      <c r="A225" s="2647" t="s">
        <v>99</v>
      </c>
      <c r="B225" s="2647">
        <v>30322</v>
      </c>
      <c r="C225" s="2647">
        <v>110</v>
      </c>
      <c r="D225" s="2647">
        <v>240</v>
      </c>
      <c r="E225" s="2647">
        <v>50</v>
      </c>
      <c r="F225" s="2647">
        <v>407</v>
      </c>
      <c r="G225" s="2647">
        <v>475</v>
      </c>
      <c r="H225" s="2647">
        <v>1600</v>
      </c>
      <c r="I225" s="2647">
        <v>2100</v>
      </c>
      <c r="J225" s="2647">
        <v>10.4</v>
      </c>
      <c r="K225" s="2648"/>
      <c r="L225" s="2647" t="s">
        <v>2300</v>
      </c>
    </row>
    <row r="226" spans="1:12">
      <c r="A226" s="2646" t="s">
        <v>99</v>
      </c>
      <c r="B226" s="2646">
        <v>31322</v>
      </c>
      <c r="C226" s="2646">
        <v>110</v>
      </c>
      <c r="D226" s="2646">
        <v>240</v>
      </c>
      <c r="E226" s="2646">
        <v>57</v>
      </c>
      <c r="F226" s="2646">
        <v>458</v>
      </c>
      <c r="G226" s="2646">
        <v>610</v>
      </c>
      <c r="H226" s="2646">
        <v>1400</v>
      </c>
      <c r="I226" s="2646">
        <v>1800</v>
      </c>
      <c r="J226" s="2646">
        <v>12.1</v>
      </c>
      <c r="L226" s="2646" t="s">
        <v>2301</v>
      </c>
    </row>
    <row r="227" spans="1:12">
      <c r="A227" s="2647" t="s">
        <v>99</v>
      </c>
      <c r="B227" s="2647">
        <v>32322</v>
      </c>
      <c r="C227" s="2647">
        <v>110</v>
      </c>
      <c r="D227" s="2647">
        <v>240</v>
      </c>
      <c r="E227" s="2647">
        <v>80</v>
      </c>
      <c r="F227" s="2647">
        <v>607</v>
      </c>
      <c r="G227" s="2647">
        <v>797</v>
      </c>
      <c r="H227" s="2647">
        <v>1600</v>
      </c>
      <c r="I227" s="2647">
        <v>2200</v>
      </c>
      <c r="J227" s="2647">
        <v>16.600000000000001</v>
      </c>
      <c r="K227" s="2648"/>
      <c r="L227" s="2647" t="s">
        <v>2302</v>
      </c>
    </row>
    <row r="228" spans="1:12">
      <c r="A228" s="2646" t="s">
        <v>99</v>
      </c>
      <c r="B228" s="2646">
        <v>32924</v>
      </c>
      <c r="C228" s="2646">
        <v>120</v>
      </c>
      <c r="D228" s="2646">
        <v>165</v>
      </c>
      <c r="E228" s="2646">
        <v>29</v>
      </c>
      <c r="F228" s="2646">
        <v>172</v>
      </c>
      <c r="G228" s="2646">
        <v>318</v>
      </c>
      <c r="H228" s="2646">
        <v>1800</v>
      </c>
      <c r="I228" s="2646">
        <v>2400</v>
      </c>
      <c r="J228" s="2646">
        <v>1.78</v>
      </c>
      <c r="L228" s="2646" t="s">
        <v>2303</v>
      </c>
    </row>
    <row r="229" spans="1:12">
      <c r="A229" s="2647" t="s">
        <v>99</v>
      </c>
      <c r="B229" s="2647" t="s">
        <v>2304</v>
      </c>
      <c r="C229" s="2647">
        <v>120</v>
      </c>
      <c r="D229" s="2647">
        <v>180</v>
      </c>
      <c r="E229" s="2647">
        <v>36</v>
      </c>
      <c r="F229" s="2647">
        <v>198</v>
      </c>
      <c r="G229" s="2647">
        <v>338</v>
      </c>
      <c r="H229" s="2647">
        <v>1700</v>
      </c>
      <c r="I229" s="2647">
        <v>2200</v>
      </c>
      <c r="J229" s="2647">
        <v>3.1</v>
      </c>
      <c r="K229" s="2648"/>
      <c r="L229" s="2647">
        <v>2007124</v>
      </c>
    </row>
    <row r="230" spans="1:12">
      <c r="A230" s="2646" t="s">
        <v>99</v>
      </c>
      <c r="B230" s="2646">
        <v>32024</v>
      </c>
      <c r="C230" s="2646">
        <v>120</v>
      </c>
      <c r="D230" s="2646">
        <v>180</v>
      </c>
      <c r="E230" s="2646">
        <v>38</v>
      </c>
      <c r="F230" s="2646">
        <v>242</v>
      </c>
      <c r="G230" s="2646">
        <v>405</v>
      </c>
      <c r="H230" s="2646">
        <v>1700</v>
      </c>
      <c r="I230" s="2646">
        <v>2200</v>
      </c>
      <c r="J230" s="2646">
        <v>3.18</v>
      </c>
      <c r="L230" s="2646" t="s">
        <v>2305</v>
      </c>
    </row>
    <row r="231" spans="1:12">
      <c r="A231" s="2647" t="s">
        <v>99</v>
      </c>
      <c r="B231" s="2647">
        <v>33024</v>
      </c>
      <c r="C231" s="2647">
        <v>120</v>
      </c>
      <c r="D231" s="2647">
        <v>180</v>
      </c>
      <c r="E231" s="2647">
        <v>48</v>
      </c>
      <c r="F231" s="2647">
        <v>298</v>
      </c>
      <c r="G231" s="2647">
        <v>535</v>
      </c>
      <c r="H231" s="2647">
        <v>1700</v>
      </c>
      <c r="I231" s="2647">
        <v>2200</v>
      </c>
      <c r="J231" s="2647">
        <v>4.07</v>
      </c>
      <c r="K231" s="2648"/>
      <c r="L231" s="2647" t="s">
        <v>2306</v>
      </c>
    </row>
    <row r="232" spans="1:12">
      <c r="A232" s="2646" t="s">
        <v>99</v>
      </c>
      <c r="B232" s="2646">
        <v>33124</v>
      </c>
      <c r="C232" s="2646">
        <v>120</v>
      </c>
      <c r="D232" s="2646">
        <v>200</v>
      </c>
      <c r="E232" s="2646">
        <v>62</v>
      </c>
      <c r="F232" s="2646">
        <v>448</v>
      </c>
      <c r="G232" s="2646">
        <v>778</v>
      </c>
      <c r="H232" s="2646">
        <v>1600</v>
      </c>
      <c r="I232" s="2646">
        <v>2000</v>
      </c>
      <c r="J232" s="2646">
        <v>7.68</v>
      </c>
      <c r="L232" s="2646" t="s">
        <v>2307</v>
      </c>
    </row>
    <row r="233" spans="1:12">
      <c r="A233" s="2647" t="s">
        <v>99</v>
      </c>
      <c r="B233" s="2647">
        <v>30224</v>
      </c>
      <c r="C233" s="2647">
        <v>120</v>
      </c>
      <c r="D233" s="2647">
        <v>215</v>
      </c>
      <c r="E233" s="2647">
        <v>40</v>
      </c>
      <c r="F233" s="2647">
        <v>338</v>
      </c>
      <c r="G233" s="2647">
        <v>482</v>
      </c>
      <c r="H233" s="2647">
        <v>1500</v>
      </c>
      <c r="I233" s="2647">
        <v>1900</v>
      </c>
      <c r="J233" s="2647">
        <v>6.2</v>
      </c>
      <c r="K233" s="2648"/>
      <c r="L233" s="2647" t="s">
        <v>2308</v>
      </c>
    </row>
    <row r="234" spans="1:12">
      <c r="A234" s="2646" t="s">
        <v>99</v>
      </c>
      <c r="B234" s="2646">
        <v>32224</v>
      </c>
      <c r="C234" s="2646">
        <v>120</v>
      </c>
      <c r="D234" s="2646">
        <v>215</v>
      </c>
      <c r="E234" s="2646">
        <v>62</v>
      </c>
      <c r="F234" s="2646">
        <v>478</v>
      </c>
      <c r="G234" s="2646">
        <v>758</v>
      </c>
      <c r="H234" s="2646">
        <v>1500</v>
      </c>
      <c r="I234" s="2646">
        <v>1900</v>
      </c>
      <c r="J234" s="2646">
        <v>9.6</v>
      </c>
      <c r="L234" s="2646" t="s">
        <v>2309</v>
      </c>
    </row>
    <row r="235" spans="1:12">
      <c r="A235" s="2647" t="s">
        <v>99</v>
      </c>
      <c r="B235" s="2647">
        <v>30324</v>
      </c>
      <c r="C235" s="2647">
        <v>120</v>
      </c>
      <c r="D235" s="2647">
        <v>260</v>
      </c>
      <c r="E235" s="2647">
        <v>55</v>
      </c>
      <c r="F235" s="2647">
        <v>505</v>
      </c>
      <c r="G235" s="2647">
        <v>611</v>
      </c>
      <c r="H235" s="2647">
        <v>1500</v>
      </c>
      <c r="I235" s="2647">
        <v>2000</v>
      </c>
      <c r="J235" s="2647">
        <v>13.7</v>
      </c>
      <c r="K235" s="2648"/>
      <c r="L235" s="2647" t="s">
        <v>2310</v>
      </c>
    </row>
    <row r="236" spans="1:12">
      <c r="A236" s="2646" t="s">
        <v>99</v>
      </c>
      <c r="B236" s="2646">
        <v>31324</v>
      </c>
      <c r="C236" s="2646">
        <v>120</v>
      </c>
      <c r="D236" s="2646">
        <v>260</v>
      </c>
      <c r="E236" s="2646">
        <v>62</v>
      </c>
      <c r="F236" s="2646">
        <v>535</v>
      </c>
      <c r="G236" s="2646">
        <v>725</v>
      </c>
      <c r="H236" s="2646">
        <v>1300</v>
      </c>
      <c r="I236" s="2646">
        <v>1700</v>
      </c>
      <c r="J236" s="2646">
        <v>15.3</v>
      </c>
      <c r="L236" s="2646" t="s">
        <v>2311</v>
      </c>
    </row>
    <row r="237" spans="1:12">
      <c r="A237" s="2647" t="s">
        <v>99</v>
      </c>
      <c r="B237" s="2647">
        <v>32324</v>
      </c>
      <c r="C237" s="2647">
        <v>120</v>
      </c>
      <c r="D237" s="2647">
        <v>260</v>
      </c>
      <c r="E237" s="2647">
        <v>86</v>
      </c>
      <c r="F237" s="2647">
        <v>825</v>
      </c>
      <c r="G237" s="2647">
        <v>1230</v>
      </c>
      <c r="H237" s="2647">
        <v>1300</v>
      </c>
      <c r="I237" s="2647">
        <v>1700</v>
      </c>
      <c r="J237" s="2647">
        <v>22.1</v>
      </c>
      <c r="K237" s="2648"/>
      <c r="L237" s="2647" t="s">
        <v>2312</v>
      </c>
    </row>
    <row r="238" spans="1:12">
      <c r="A238" s="2646" t="s">
        <v>99</v>
      </c>
      <c r="B238" s="2646" t="s">
        <v>2313</v>
      </c>
      <c r="C238" s="2646">
        <v>130</v>
      </c>
      <c r="D238" s="2646">
        <v>180</v>
      </c>
      <c r="E238" s="2646">
        <v>30</v>
      </c>
      <c r="F238" s="2646">
        <v>142</v>
      </c>
      <c r="G238" s="2646">
        <v>260</v>
      </c>
      <c r="H238" s="2646">
        <v>1700</v>
      </c>
      <c r="I238" s="2646">
        <v>2200</v>
      </c>
      <c r="J238" s="2646">
        <v>2.31</v>
      </c>
      <c r="L238" s="2646">
        <v>2007926</v>
      </c>
    </row>
    <row r="239" spans="1:12">
      <c r="A239" s="2647" t="s">
        <v>99</v>
      </c>
      <c r="B239" s="2647">
        <v>32926</v>
      </c>
      <c r="C239" s="2647">
        <v>130</v>
      </c>
      <c r="D239" s="2647">
        <v>180</v>
      </c>
      <c r="E239" s="2647">
        <v>32</v>
      </c>
      <c r="F239" s="2647">
        <v>205</v>
      </c>
      <c r="G239" s="2647">
        <v>380</v>
      </c>
      <c r="H239" s="2647">
        <v>1700</v>
      </c>
      <c r="I239" s="2647">
        <v>2200</v>
      </c>
      <c r="J239" s="2647">
        <v>2.34</v>
      </c>
      <c r="K239" s="2648"/>
      <c r="L239" s="2647" t="s">
        <v>2314</v>
      </c>
    </row>
    <row r="240" spans="1:12">
      <c r="A240" s="2646" t="s">
        <v>99</v>
      </c>
      <c r="B240" s="2646" t="s">
        <v>2315</v>
      </c>
      <c r="C240" s="2646">
        <v>130</v>
      </c>
      <c r="D240" s="2646">
        <v>200</v>
      </c>
      <c r="E240" s="2646">
        <v>42</v>
      </c>
      <c r="F240" s="2646">
        <v>242</v>
      </c>
      <c r="G240" s="2646">
        <v>418</v>
      </c>
      <c r="H240" s="2646">
        <v>1600</v>
      </c>
      <c r="I240" s="2646">
        <v>2000</v>
      </c>
      <c r="J240" s="2646">
        <v>4.46</v>
      </c>
      <c r="L240" s="2646">
        <v>2007126</v>
      </c>
    </row>
    <row r="241" spans="1:12">
      <c r="A241" s="2647" t="s">
        <v>99</v>
      </c>
      <c r="B241" s="2647">
        <v>32026</v>
      </c>
      <c r="C241" s="2647">
        <v>130</v>
      </c>
      <c r="D241" s="2647">
        <v>200</v>
      </c>
      <c r="E241" s="2647">
        <v>45</v>
      </c>
      <c r="F241" s="2647">
        <v>335</v>
      </c>
      <c r="G241" s="2647">
        <v>568</v>
      </c>
      <c r="H241" s="2647">
        <v>1600</v>
      </c>
      <c r="I241" s="2647">
        <v>2000</v>
      </c>
      <c r="J241" s="2647">
        <v>4.9400000000000004</v>
      </c>
      <c r="K241" s="2648"/>
      <c r="L241" s="2647" t="s">
        <v>2316</v>
      </c>
    </row>
    <row r="242" spans="1:12">
      <c r="A242" s="2646" t="s">
        <v>99</v>
      </c>
      <c r="B242" s="2646">
        <v>33026</v>
      </c>
      <c r="C242" s="2646">
        <v>130</v>
      </c>
      <c r="D242" s="2646">
        <v>200</v>
      </c>
      <c r="E242" s="2646">
        <v>55</v>
      </c>
      <c r="F242" s="2646">
        <v>400</v>
      </c>
      <c r="G242" s="2646">
        <v>728</v>
      </c>
      <c r="H242" s="2646">
        <v>1600</v>
      </c>
      <c r="I242" s="2646">
        <v>2000</v>
      </c>
      <c r="J242" s="2646">
        <v>6.14</v>
      </c>
      <c r="L242" s="2646" t="s">
        <v>2317</v>
      </c>
    </row>
    <row r="243" spans="1:12">
      <c r="A243" s="2647" t="s">
        <v>99</v>
      </c>
      <c r="B243" s="2647">
        <v>30226</v>
      </c>
      <c r="C243" s="2647">
        <v>130</v>
      </c>
      <c r="D243" s="2647">
        <v>230</v>
      </c>
      <c r="E243" s="2647">
        <v>40</v>
      </c>
      <c r="F243" s="2647">
        <v>365</v>
      </c>
      <c r="G243" s="2647">
        <v>520</v>
      </c>
      <c r="H243" s="2647">
        <v>1400</v>
      </c>
      <c r="I243" s="2647">
        <v>1800</v>
      </c>
      <c r="J243" s="2647">
        <v>6.94</v>
      </c>
      <c r="K243" s="2648"/>
      <c r="L243" s="2647" t="s">
        <v>2318</v>
      </c>
    </row>
    <row r="244" spans="1:12">
      <c r="A244" s="2646" t="s">
        <v>99</v>
      </c>
      <c r="B244" s="2646">
        <v>32226</v>
      </c>
      <c r="C244" s="2646">
        <v>130</v>
      </c>
      <c r="D244" s="2646">
        <v>230</v>
      </c>
      <c r="E244" s="2646">
        <v>64</v>
      </c>
      <c r="F244" s="2646">
        <v>552</v>
      </c>
      <c r="G244" s="2646">
        <v>888</v>
      </c>
      <c r="H244" s="2646">
        <v>1400</v>
      </c>
      <c r="I244" s="2646">
        <v>1800</v>
      </c>
      <c r="J244" s="2646">
        <v>11.4</v>
      </c>
      <c r="L244" s="2646" t="s">
        <v>2319</v>
      </c>
    </row>
    <row r="245" spans="1:12">
      <c r="A245" s="2647" t="s">
        <v>99</v>
      </c>
      <c r="B245" s="2647">
        <v>30326</v>
      </c>
      <c r="C245" s="2647">
        <v>130</v>
      </c>
      <c r="D245" s="2647">
        <v>280</v>
      </c>
      <c r="E245" s="2647">
        <v>58</v>
      </c>
      <c r="F245" s="2647">
        <v>640</v>
      </c>
      <c r="G245" s="2647">
        <v>855</v>
      </c>
      <c r="H245" s="2647">
        <v>1100</v>
      </c>
      <c r="I245" s="2647">
        <v>1500</v>
      </c>
      <c r="J245" s="2647">
        <v>17.3</v>
      </c>
      <c r="K245" s="2648"/>
      <c r="L245" s="2647" t="s">
        <v>2320</v>
      </c>
    </row>
    <row r="246" spans="1:12">
      <c r="A246" s="2646" t="s">
        <v>99</v>
      </c>
      <c r="B246" s="2646">
        <v>31326</v>
      </c>
      <c r="C246" s="2646">
        <v>130</v>
      </c>
      <c r="D246" s="2646">
        <v>280</v>
      </c>
      <c r="E246" s="2646">
        <v>66</v>
      </c>
      <c r="F246" s="2646">
        <v>592</v>
      </c>
      <c r="G246" s="2646">
        <v>805</v>
      </c>
      <c r="H246" s="2646">
        <v>1100</v>
      </c>
      <c r="I246" s="2646">
        <v>1500</v>
      </c>
      <c r="J246" s="2646">
        <v>18.399999999999999</v>
      </c>
      <c r="L246" s="2646" t="s">
        <v>2321</v>
      </c>
    </row>
    <row r="247" spans="1:12">
      <c r="A247" s="2647" t="s">
        <v>99</v>
      </c>
      <c r="B247" s="2647" t="s">
        <v>2322</v>
      </c>
      <c r="C247" s="2647">
        <v>140</v>
      </c>
      <c r="D247" s="2647">
        <v>190</v>
      </c>
      <c r="E247" s="2647">
        <v>30</v>
      </c>
      <c r="F247" s="2647">
        <v>145</v>
      </c>
      <c r="G247" s="2647">
        <v>265</v>
      </c>
      <c r="H247" s="2647">
        <v>1600</v>
      </c>
      <c r="I247" s="2647">
        <v>2000</v>
      </c>
      <c r="J247" s="2647">
        <v>2.4300000000000002</v>
      </c>
      <c r="K247" s="2648"/>
      <c r="L247" s="2647">
        <v>2007928</v>
      </c>
    </row>
    <row r="248" spans="1:12">
      <c r="A248" s="2646" t="s">
        <v>99</v>
      </c>
      <c r="B248" s="2646">
        <v>32928</v>
      </c>
      <c r="C248" s="2646">
        <v>140</v>
      </c>
      <c r="D248" s="2646">
        <v>190</v>
      </c>
      <c r="E248" s="2646">
        <v>32</v>
      </c>
      <c r="F248" s="2646">
        <v>208</v>
      </c>
      <c r="G248" s="2646">
        <v>392</v>
      </c>
      <c r="H248" s="2646">
        <v>1600</v>
      </c>
      <c r="I248" s="2646">
        <v>2000</v>
      </c>
      <c r="J248" s="2646">
        <v>2.4700000000000002</v>
      </c>
      <c r="L248" s="2646" t="s">
        <v>2323</v>
      </c>
    </row>
    <row r="249" spans="1:12">
      <c r="A249" s="2647" t="s">
        <v>99</v>
      </c>
      <c r="B249" s="2647" t="s">
        <v>2324</v>
      </c>
      <c r="C249" s="2647">
        <v>140</v>
      </c>
      <c r="D249" s="2647">
        <v>210</v>
      </c>
      <c r="E249" s="2647">
        <v>42</v>
      </c>
      <c r="F249" s="2647">
        <v>258</v>
      </c>
      <c r="G249" s="2647">
        <v>452</v>
      </c>
      <c r="H249" s="2647">
        <v>1400</v>
      </c>
      <c r="I249" s="2647">
        <v>1800</v>
      </c>
      <c r="J249" s="2647">
        <v>5.21</v>
      </c>
      <c r="K249" s="2648"/>
      <c r="L249" s="2647">
        <v>2007128</v>
      </c>
    </row>
    <row r="250" spans="1:12">
      <c r="A250" s="2646" t="s">
        <v>99</v>
      </c>
      <c r="B250" s="2646">
        <v>32028</v>
      </c>
      <c r="C250" s="2646">
        <v>140</v>
      </c>
      <c r="D250" s="2646">
        <v>210</v>
      </c>
      <c r="E250" s="2646">
        <v>45</v>
      </c>
      <c r="F250" s="2646">
        <v>330</v>
      </c>
      <c r="G250" s="2646">
        <v>568</v>
      </c>
      <c r="H250" s="2646">
        <v>1400</v>
      </c>
      <c r="I250" s="2646">
        <v>1800</v>
      </c>
      <c r="J250" s="2646">
        <v>5.15</v>
      </c>
      <c r="L250" s="2646" t="s">
        <v>2325</v>
      </c>
    </row>
    <row r="251" spans="1:12">
      <c r="A251" s="2647" t="s">
        <v>99</v>
      </c>
      <c r="B251" s="2647">
        <v>33028</v>
      </c>
      <c r="C251" s="2647">
        <v>140</v>
      </c>
      <c r="D251" s="2647">
        <v>210</v>
      </c>
      <c r="E251" s="2647">
        <v>56</v>
      </c>
      <c r="F251" s="2647">
        <v>408</v>
      </c>
      <c r="G251" s="2647">
        <v>755</v>
      </c>
      <c r="H251" s="2647">
        <v>1400</v>
      </c>
      <c r="I251" s="2647">
        <v>1800</v>
      </c>
      <c r="J251" s="2647">
        <v>6.57</v>
      </c>
      <c r="K251" s="2648"/>
      <c r="L251" s="2647" t="s">
        <v>2326</v>
      </c>
    </row>
    <row r="252" spans="1:12">
      <c r="A252" s="2646" t="s">
        <v>99</v>
      </c>
      <c r="B252" s="2646">
        <v>30228</v>
      </c>
      <c r="C252" s="2646">
        <v>140</v>
      </c>
      <c r="D252" s="2646">
        <v>250</v>
      </c>
      <c r="E252" s="2646">
        <v>42</v>
      </c>
      <c r="F252" s="2646">
        <v>408</v>
      </c>
      <c r="G252" s="2646">
        <v>585</v>
      </c>
      <c r="H252" s="2646">
        <v>1200</v>
      </c>
      <c r="I252" s="2646">
        <v>1600</v>
      </c>
      <c r="J252" s="2646">
        <v>8.73</v>
      </c>
      <c r="L252" s="2646" t="s">
        <v>2327</v>
      </c>
    </row>
    <row r="253" spans="1:12">
      <c r="A253" s="2647" t="s">
        <v>99</v>
      </c>
      <c r="B253" s="2647">
        <v>32228</v>
      </c>
      <c r="C253" s="2647">
        <v>140</v>
      </c>
      <c r="D253" s="2647">
        <v>250</v>
      </c>
      <c r="E253" s="2647">
        <v>68</v>
      </c>
      <c r="F253" s="2647">
        <v>645</v>
      </c>
      <c r="G253" s="2647">
        <v>1050</v>
      </c>
      <c r="H253" s="2647">
        <v>1200</v>
      </c>
      <c r="I253" s="2647">
        <v>1600</v>
      </c>
      <c r="J253" s="2647">
        <v>14.4</v>
      </c>
      <c r="K253" s="2648"/>
      <c r="L253" s="2647" t="s">
        <v>2328</v>
      </c>
    </row>
    <row r="254" spans="1:12">
      <c r="A254" s="2646" t="s">
        <v>99</v>
      </c>
      <c r="B254" s="2646">
        <v>30328</v>
      </c>
      <c r="C254" s="2646">
        <v>140</v>
      </c>
      <c r="D254" s="2646">
        <v>300</v>
      </c>
      <c r="E254" s="2646">
        <v>62</v>
      </c>
      <c r="F254" s="2646">
        <v>722</v>
      </c>
      <c r="G254" s="2646">
        <v>975</v>
      </c>
      <c r="H254" s="2646">
        <v>1000</v>
      </c>
      <c r="I254" s="2646">
        <v>1400</v>
      </c>
      <c r="J254" s="2646">
        <v>21.4</v>
      </c>
      <c r="L254" s="2646" t="s">
        <v>2329</v>
      </c>
    </row>
    <row r="255" spans="1:12">
      <c r="A255" s="2647" t="s">
        <v>99</v>
      </c>
      <c r="B255" s="2647">
        <v>31328</v>
      </c>
      <c r="C255" s="2647">
        <v>140</v>
      </c>
      <c r="D255" s="2647">
        <v>300</v>
      </c>
      <c r="E255" s="2647">
        <v>70</v>
      </c>
      <c r="F255" s="2647">
        <v>678</v>
      </c>
      <c r="G255" s="2647">
        <v>928</v>
      </c>
      <c r="H255" s="2647">
        <v>1000</v>
      </c>
      <c r="I255" s="2647">
        <v>1400</v>
      </c>
      <c r="J255" s="2647">
        <v>22.8</v>
      </c>
      <c r="K255" s="2648"/>
      <c r="L255" s="2647" t="s">
        <v>2330</v>
      </c>
    </row>
    <row r="256" spans="1:12">
      <c r="A256" s="2646" t="s">
        <v>99</v>
      </c>
      <c r="B256" s="2646" t="s">
        <v>2331</v>
      </c>
      <c r="C256" s="2646">
        <v>150</v>
      </c>
      <c r="D256" s="2646">
        <v>210</v>
      </c>
      <c r="E256" s="2646">
        <v>36</v>
      </c>
      <c r="F256" s="2646">
        <v>198</v>
      </c>
      <c r="G256" s="2646">
        <v>368</v>
      </c>
      <c r="H256" s="2646">
        <v>1400</v>
      </c>
      <c r="I256" s="2646">
        <v>1800</v>
      </c>
      <c r="J256" s="2646" t="s">
        <v>2074</v>
      </c>
      <c r="L256" s="2646">
        <v>2007930</v>
      </c>
    </row>
    <row r="257" spans="1:12">
      <c r="A257" s="2647" t="s">
        <v>99</v>
      </c>
      <c r="B257" s="2647">
        <v>32930</v>
      </c>
      <c r="C257" s="2647">
        <v>150</v>
      </c>
      <c r="D257" s="2647">
        <v>210</v>
      </c>
      <c r="E257" s="2647">
        <v>38</v>
      </c>
      <c r="F257" s="2647">
        <v>260</v>
      </c>
      <c r="G257" s="2647">
        <v>510</v>
      </c>
      <c r="H257" s="2647">
        <v>1400</v>
      </c>
      <c r="I257" s="2647">
        <v>1800</v>
      </c>
      <c r="J257" s="2647">
        <v>3.87</v>
      </c>
      <c r="K257" s="2648"/>
      <c r="L257" s="2647" t="s">
        <v>2332</v>
      </c>
    </row>
    <row r="258" spans="1:12">
      <c r="A258" s="2646" t="s">
        <v>99</v>
      </c>
      <c r="B258" s="2646" t="s">
        <v>2333</v>
      </c>
      <c r="C258" s="2646">
        <v>150</v>
      </c>
      <c r="D258" s="2646">
        <v>225</v>
      </c>
      <c r="E258" s="2646">
        <v>45</v>
      </c>
      <c r="F258" s="2646">
        <v>292</v>
      </c>
      <c r="G258" s="2646">
        <v>525</v>
      </c>
      <c r="H258" s="2646">
        <v>1300</v>
      </c>
      <c r="I258" s="2646">
        <v>1700</v>
      </c>
      <c r="J258" s="2646">
        <v>6.2</v>
      </c>
      <c r="L258" s="2646">
        <v>2007130</v>
      </c>
    </row>
    <row r="259" spans="1:12">
      <c r="A259" s="2647" t="s">
        <v>99</v>
      </c>
      <c r="B259" s="2647">
        <v>32030</v>
      </c>
      <c r="C259" s="2647">
        <v>150</v>
      </c>
      <c r="D259" s="2647">
        <v>225</v>
      </c>
      <c r="E259" s="2647">
        <v>48</v>
      </c>
      <c r="F259" s="2647">
        <v>368</v>
      </c>
      <c r="G259" s="2647">
        <v>635</v>
      </c>
      <c r="H259" s="2647">
        <v>1300</v>
      </c>
      <c r="I259" s="2647">
        <v>1700</v>
      </c>
      <c r="J259" s="2647">
        <v>6.25</v>
      </c>
      <c r="K259" s="2648"/>
      <c r="L259" s="2647" t="s">
        <v>2334</v>
      </c>
    </row>
    <row r="260" spans="1:12">
      <c r="A260" s="2646" t="s">
        <v>99</v>
      </c>
      <c r="B260" s="2646">
        <v>33030</v>
      </c>
      <c r="C260" s="2646">
        <v>150</v>
      </c>
      <c r="D260" s="2646">
        <v>225</v>
      </c>
      <c r="E260" s="2646">
        <v>59</v>
      </c>
      <c r="F260" s="2646">
        <v>460</v>
      </c>
      <c r="G260" s="2646">
        <v>875</v>
      </c>
      <c r="H260" s="2646">
        <v>1300</v>
      </c>
      <c r="I260" s="2646">
        <v>1700</v>
      </c>
      <c r="J260" s="2646">
        <v>7.98</v>
      </c>
      <c r="L260" s="2646" t="s">
        <v>2335</v>
      </c>
    </row>
    <row r="261" spans="1:12">
      <c r="A261" s="2647" t="s">
        <v>99</v>
      </c>
      <c r="B261" s="2647">
        <v>30230</v>
      </c>
      <c r="C261" s="2647">
        <v>150</v>
      </c>
      <c r="D261" s="2647">
        <v>270</v>
      </c>
      <c r="E261" s="2647">
        <v>45</v>
      </c>
      <c r="F261" s="2647">
        <v>450</v>
      </c>
      <c r="G261" s="2647">
        <v>645</v>
      </c>
      <c r="H261" s="2647">
        <v>1100</v>
      </c>
      <c r="I261" s="2647">
        <v>1500</v>
      </c>
      <c r="J261" s="2647">
        <v>10.8</v>
      </c>
      <c r="K261" s="2648"/>
      <c r="L261" s="2647" t="s">
        <v>2336</v>
      </c>
    </row>
    <row r="262" spans="1:12">
      <c r="A262" s="2646" t="s">
        <v>99</v>
      </c>
      <c r="B262" s="2646">
        <v>32230</v>
      </c>
      <c r="C262" s="2646">
        <v>150</v>
      </c>
      <c r="D262" s="2646">
        <v>270</v>
      </c>
      <c r="E262" s="2646">
        <v>73</v>
      </c>
      <c r="F262" s="2646">
        <v>720</v>
      </c>
      <c r="G262" s="2646">
        <v>1180</v>
      </c>
      <c r="H262" s="2646">
        <v>1100</v>
      </c>
      <c r="I262" s="2646">
        <v>1500</v>
      </c>
      <c r="J262" s="2646">
        <v>18.2</v>
      </c>
      <c r="L262" s="2646" t="s">
        <v>2337</v>
      </c>
    </row>
    <row r="263" spans="1:12">
      <c r="A263" s="2647" t="s">
        <v>99</v>
      </c>
      <c r="B263" s="2647">
        <v>30330</v>
      </c>
      <c r="C263" s="2647">
        <v>150</v>
      </c>
      <c r="D263" s="2647">
        <v>320</v>
      </c>
      <c r="E263" s="2647">
        <v>65</v>
      </c>
      <c r="F263" s="2647">
        <v>802</v>
      </c>
      <c r="G263" s="2647">
        <v>1090</v>
      </c>
      <c r="H263" s="2647">
        <v>950</v>
      </c>
      <c r="I263" s="2647">
        <v>1300</v>
      </c>
      <c r="J263" s="2647">
        <v>25.2</v>
      </c>
      <c r="K263" s="2648"/>
      <c r="L263" s="2647" t="s">
        <v>2338</v>
      </c>
    </row>
    <row r="264" spans="1:12">
      <c r="A264" s="2646" t="s">
        <v>99</v>
      </c>
      <c r="B264" s="2646">
        <v>31330</v>
      </c>
      <c r="C264" s="2646">
        <v>150</v>
      </c>
      <c r="D264" s="2646">
        <v>320</v>
      </c>
      <c r="E264" s="2646">
        <v>75</v>
      </c>
      <c r="F264" s="2646">
        <v>772</v>
      </c>
      <c r="G264" s="2646">
        <v>1070</v>
      </c>
      <c r="H264" s="2646">
        <v>950</v>
      </c>
      <c r="I264" s="2646">
        <v>1300</v>
      </c>
      <c r="J264" s="2646">
        <v>27.4</v>
      </c>
      <c r="L264" s="2646" t="s">
        <v>2339</v>
      </c>
    </row>
    <row r="265" spans="1:12">
      <c r="A265" s="2647" t="s">
        <v>99</v>
      </c>
      <c r="B265" s="2647" t="s">
        <v>2340</v>
      </c>
      <c r="C265" s="2647">
        <v>160</v>
      </c>
      <c r="D265" s="2647">
        <v>220</v>
      </c>
      <c r="E265" s="2647">
        <v>36</v>
      </c>
      <c r="F265" s="2647">
        <v>218</v>
      </c>
      <c r="G265" s="2647">
        <v>405</v>
      </c>
      <c r="H265" s="2647">
        <v>1300</v>
      </c>
      <c r="I265" s="2647">
        <v>1700</v>
      </c>
      <c r="J265" s="2647">
        <v>3.79</v>
      </c>
      <c r="K265" s="2648"/>
      <c r="L265" s="2647">
        <v>2007932</v>
      </c>
    </row>
    <row r="266" spans="1:12">
      <c r="A266" s="2646" t="s">
        <v>99</v>
      </c>
      <c r="B266" s="2646">
        <v>32932</v>
      </c>
      <c r="C266" s="2646">
        <v>160</v>
      </c>
      <c r="D266" s="2646">
        <v>220</v>
      </c>
      <c r="E266" s="2646">
        <v>38</v>
      </c>
      <c r="F266" s="2646">
        <v>262</v>
      </c>
      <c r="G266" s="2646">
        <v>525</v>
      </c>
      <c r="H266" s="2646">
        <v>1300</v>
      </c>
      <c r="I266" s="2646">
        <v>1700</v>
      </c>
      <c r="J266" s="2646">
        <v>4.07</v>
      </c>
      <c r="L266" s="2646" t="s">
        <v>2341</v>
      </c>
    </row>
    <row r="267" spans="1:12">
      <c r="A267" s="2647" t="s">
        <v>99</v>
      </c>
      <c r="B267" s="2647" t="s">
        <v>2342</v>
      </c>
      <c r="C267" s="2647">
        <v>160</v>
      </c>
      <c r="D267" s="2647">
        <v>240</v>
      </c>
      <c r="E267" s="2647">
        <v>48</v>
      </c>
      <c r="F267" s="2647">
        <v>345</v>
      </c>
      <c r="G267" s="2647">
        <v>632</v>
      </c>
      <c r="H267" s="2647">
        <v>1200</v>
      </c>
      <c r="I267" s="2647">
        <v>1600</v>
      </c>
      <c r="J267" s="2647">
        <v>7.7</v>
      </c>
      <c r="K267" s="2648"/>
      <c r="L267" s="2647">
        <v>2007132</v>
      </c>
    </row>
    <row r="268" spans="1:12">
      <c r="A268" s="2646" t="s">
        <v>99</v>
      </c>
      <c r="B268" s="2646">
        <v>32032</v>
      </c>
      <c r="C268" s="2646">
        <v>160</v>
      </c>
      <c r="D268" s="2646">
        <v>240</v>
      </c>
      <c r="E268" s="2646">
        <v>51</v>
      </c>
      <c r="F268" s="2646">
        <v>420</v>
      </c>
      <c r="G268" s="2646">
        <v>735</v>
      </c>
      <c r="H268" s="2646">
        <v>1200</v>
      </c>
      <c r="I268" s="2646">
        <v>1600</v>
      </c>
      <c r="J268" s="2646">
        <v>7.66</v>
      </c>
      <c r="L268" s="2646" t="s">
        <v>2343</v>
      </c>
    </row>
    <row r="269" spans="1:12">
      <c r="A269" s="2647" t="s">
        <v>99</v>
      </c>
      <c r="B269" s="2647">
        <v>30232</v>
      </c>
      <c r="C269" s="2647">
        <v>160</v>
      </c>
      <c r="D269" s="2647">
        <v>290</v>
      </c>
      <c r="E269" s="2647">
        <v>48</v>
      </c>
      <c r="F269" s="2647">
        <v>512</v>
      </c>
      <c r="G269" s="2647">
        <v>738</v>
      </c>
      <c r="H269" s="2647">
        <v>1000</v>
      </c>
      <c r="I269" s="2647">
        <v>1400</v>
      </c>
      <c r="J269" s="2647">
        <v>13.3</v>
      </c>
      <c r="K269" s="2648"/>
      <c r="L269" s="2647" t="s">
        <v>2344</v>
      </c>
    </row>
    <row r="270" spans="1:12">
      <c r="A270" s="2646" t="s">
        <v>99</v>
      </c>
      <c r="B270" s="2646">
        <v>32232</v>
      </c>
      <c r="C270" s="2646">
        <v>160</v>
      </c>
      <c r="D270" s="2646">
        <v>290</v>
      </c>
      <c r="E270" s="2646">
        <v>84</v>
      </c>
      <c r="F270" s="2646">
        <v>858</v>
      </c>
      <c r="G270" s="2646">
        <v>1430</v>
      </c>
      <c r="H270" s="2646">
        <v>1000</v>
      </c>
      <c r="I270" s="2646">
        <v>1400</v>
      </c>
      <c r="J270" s="2646">
        <v>23.3</v>
      </c>
      <c r="L270" s="2646" t="s">
        <v>2345</v>
      </c>
    </row>
    <row r="271" spans="1:12">
      <c r="A271" s="2647" t="s">
        <v>99</v>
      </c>
      <c r="B271" s="2647">
        <v>30332</v>
      </c>
      <c r="C271" s="2647">
        <v>160</v>
      </c>
      <c r="D271" s="2647">
        <v>340</v>
      </c>
      <c r="E271" s="2647">
        <v>68</v>
      </c>
      <c r="F271" s="2647">
        <v>878</v>
      </c>
      <c r="G271" s="2647">
        <v>1190</v>
      </c>
      <c r="H271" s="2647">
        <v>900</v>
      </c>
      <c r="I271" s="2647">
        <v>1200</v>
      </c>
      <c r="J271" s="2647">
        <v>29.5</v>
      </c>
      <c r="K271" s="2648"/>
      <c r="L271" s="2647" t="s">
        <v>2346</v>
      </c>
    </row>
    <row r="272" spans="1:12">
      <c r="A272" s="2646" t="s">
        <v>99</v>
      </c>
      <c r="B272" s="2646" t="s">
        <v>2347</v>
      </c>
      <c r="C272" s="2646">
        <v>170</v>
      </c>
      <c r="D272" s="2646">
        <v>230</v>
      </c>
      <c r="E272" s="2646">
        <v>36</v>
      </c>
      <c r="F272" s="2646">
        <v>222</v>
      </c>
      <c r="G272" s="2646">
        <v>418</v>
      </c>
      <c r="H272" s="2646">
        <v>1200</v>
      </c>
      <c r="I272" s="2646">
        <v>1600</v>
      </c>
      <c r="J272" s="2646">
        <v>3.84</v>
      </c>
      <c r="L272" s="2646">
        <v>2007934</v>
      </c>
    </row>
    <row r="273" spans="1:12">
      <c r="A273" s="2647" t="s">
        <v>99</v>
      </c>
      <c r="B273" s="2647">
        <v>32934</v>
      </c>
      <c r="C273" s="2647">
        <v>170</v>
      </c>
      <c r="D273" s="2647">
        <v>230</v>
      </c>
      <c r="E273" s="2647">
        <v>38</v>
      </c>
      <c r="F273" s="2647">
        <v>280</v>
      </c>
      <c r="G273" s="2647">
        <v>560</v>
      </c>
      <c r="H273" s="2647">
        <v>1200</v>
      </c>
      <c r="I273" s="2647">
        <v>1600</v>
      </c>
      <c r="J273" s="2647">
        <v>4.33</v>
      </c>
      <c r="K273" s="2648"/>
      <c r="L273" s="2647" t="s">
        <v>2348</v>
      </c>
    </row>
    <row r="274" spans="1:12">
      <c r="A274" s="2646" t="s">
        <v>99</v>
      </c>
      <c r="B274" s="2646" t="s">
        <v>2349</v>
      </c>
      <c r="C274" s="2646">
        <v>170</v>
      </c>
      <c r="D274" s="2646">
        <v>260</v>
      </c>
      <c r="E274" s="2646">
        <v>54</v>
      </c>
      <c r="F274" s="2646">
        <v>385</v>
      </c>
      <c r="G274" s="2646">
        <v>728</v>
      </c>
      <c r="H274" s="2646">
        <v>1100</v>
      </c>
      <c r="I274" s="2646">
        <v>1500</v>
      </c>
      <c r="J274" s="2646">
        <v>10.1</v>
      </c>
      <c r="L274" s="2646">
        <v>2007134</v>
      </c>
    </row>
    <row r="275" spans="1:12">
      <c r="A275" s="2647" t="s">
        <v>99</v>
      </c>
      <c r="B275" s="2647">
        <v>32034</v>
      </c>
      <c r="C275" s="2647">
        <v>170</v>
      </c>
      <c r="D275" s="2647">
        <v>260</v>
      </c>
      <c r="E275" s="2647">
        <v>57</v>
      </c>
      <c r="F275" s="2647">
        <v>520</v>
      </c>
      <c r="G275" s="2647">
        <v>920</v>
      </c>
      <c r="H275" s="2647">
        <v>1100</v>
      </c>
      <c r="I275" s="2647">
        <v>1500</v>
      </c>
      <c r="J275" s="2647">
        <v>10.4</v>
      </c>
      <c r="K275" s="2648"/>
      <c r="L275" s="2647" t="s">
        <v>2350</v>
      </c>
    </row>
    <row r="276" spans="1:12">
      <c r="A276" s="2646" t="s">
        <v>99</v>
      </c>
      <c r="B276" s="2646">
        <v>30234</v>
      </c>
      <c r="C276" s="2646">
        <v>170</v>
      </c>
      <c r="D276" s="2646">
        <v>310</v>
      </c>
      <c r="E276" s="2646">
        <v>52</v>
      </c>
      <c r="F276" s="2646">
        <v>590</v>
      </c>
      <c r="G276" s="2646">
        <v>865</v>
      </c>
      <c r="H276" s="2646">
        <v>1000</v>
      </c>
      <c r="I276" s="2646">
        <v>1300</v>
      </c>
      <c r="J276" s="2646">
        <v>16.600000000000001</v>
      </c>
      <c r="L276" s="2646" t="s">
        <v>2351</v>
      </c>
    </row>
    <row r="277" spans="1:12">
      <c r="A277" s="2647" t="s">
        <v>99</v>
      </c>
      <c r="B277" s="2647">
        <v>32234</v>
      </c>
      <c r="C277" s="2647">
        <v>170</v>
      </c>
      <c r="D277" s="2647">
        <v>310</v>
      </c>
      <c r="E277" s="2647">
        <v>86</v>
      </c>
      <c r="F277" s="2647">
        <v>968</v>
      </c>
      <c r="G277" s="2647">
        <v>1640</v>
      </c>
      <c r="H277" s="2647">
        <v>1000</v>
      </c>
      <c r="I277" s="2647">
        <v>1300</v>
      </c>
      <c r="J277" s="2647">
        <v>28.6</v>
      </c>
      <c r="K277" s="2648"/>
      <c r="L277" s="2647" t="s">
        <v>2352</v>
      </c>
    </row>
    <row r="278" spans="1:12">
      <c r="A278" s="2646" t="s">
        <v>99</v>
      </c>
      <c r="B278" s="2646">
        <v>30334</v>
      </c>
      <c r="C278" s="2646">
        <v>170</v>
      </c>
      <c r="D278" s="2646">
        <v>360</v>
      </c>
      <c r="E278" s="2646">
        <v>72</v>
      </c>
      <c r="F278" s="2646">
        <v>995</v>
      </c>
      <c r="G278" s="2646">
        <v>1370</v>
      </c>
      <c r="H278" s="2646">
        <v>850</v>
      </c>
      <c r="I278" s="2646">
        <v>1100</v>
      </c>
      <c r="J278" s="2646">
        <v>35.6</v>
      </c>
      <c r="L278" s="2646" t="s">
        <v>2353</v>
      </c>
    </row>
    <row r="279" spans="1:12">
      <c r="A279" s="2647" t="s">
        <v>99</v>
      </c>
      <c r="B279" s="2647">
        <v>32936</v>
      </c>
      <c r="C279" s="2647">
        <v>180</v>
      </c>
      <c r="D279" s="2647">
        <v>250</v>
      </c>
      <c r="E279" s="2647">
        <v>45</v>
      </c>
      <c r="F279" s="2647">
        <v>340</v>
      </c>
      <c r="G279" s="2647">
        <v>708</v>
      </c>
      <c r="H279" s="2647">
        <v>1100</v>
      </c>
      <c r="I279" s="2647">
        <v>1500</v>
      </c>
      <c r="J279" s="2647">
        <v>6.44</v>
      </c>
      <c r="K279" s="2648"/>
      <c r="L279" s="2647" t="s">
        <v>2354</v>
      </c>
    </row>
    <row r="280" spans="1:12">
      <c r="A280" s="2646" t="s">
        <v>99</v>
      </c>
      <c r="B280" s="2646" t="s">
        <v>2355</v>
      </c>
      <c r="C280" s="2646">
        <v>180</v>
      </c>
      <c r="D280" s="2646">
        <v>280</v>
      </c>
      <c r="E280" s="2646">
        <v>60</v>
      </c>
      <c r="F280" s="2646">
        <v>502</v>
      </c>
      <c r="G280" s="2646">
        <v>890</v>
      </c>
      <c r="H280" s="2646">
        <v>1000</v>
      </c>
      <c r="I280" s="2646">
        <v>1400</v>
      </c>
      <c r="J280" s="2646">
        <v>14.7</v>
      </c>
      <c r="L280" s="2646">
        <v>2007136</v>
      </c>
    </row>
    <row r="281" spans="1:12">
      <c r="A281" s="2647" t="s">
        <v>99</v>
      </c>
      <c r="B281" s="2647">
        <v>32036</v>
      </c>
      <c r="C281" s="2647">
        <v>180</v>
      </c>
      <c r="D281" s="2647">
        <v>280</v>
      </c>
      <c r="E281" s="2647">
        <v>64</v>
      </c>
      <c r="F281" s="2647">
        <v>640</v>
      </c>
      <c r="G281" s="2647">
        <v>1150</v>
      </c>
      <c r="H281" s="2647">
        <v>1000</v>
      </c>
      <c r="I281" s="2647">
        <v>1400</v>
      </c>
      <c r="J281" s="2647">
        <v>14.1</v>
      </c>
      <c r="K281" s="2648"/>
      <c r="L281" s="2647" t="s">
        <v>2356</v>
      </c>
    </row>
    <row r="282" spans="1:12">
      <c r="A282" s="2646" t="s">
        <v>99</v>
      </c>
      <c r="B282" s="2646">
        <v>30236</v>
      </c>
      <c r="C282" s="2646">
        <v>180</v>
      </c>
      <c r="D282" s="2646">
        <v>320</v>
      </c>
      <c r="E282" s="2646">
        <v>52</v>
      </c>
      <c r="F282" s="2646">
        <v>610</v>
      </c>
      <c r="G282" s="2646">
        <v>912</v>
      </c>
      <c r="H282" s="2646">
        <v>900</v>
      </c>
      <c r="I282" s="2646">
        <v>1200</v>
      </c>
      <c r="J282" s="2646">
        <v>17.3</v>
      </c>
      <c r="L282" s="2646" t="s">
        <v>2357</v>
      </c>
    </row>
    <row r="283" spans="1:12">
      <c r="A283" s="2647" t="s">
        <v>99</v>
      </c>
      <c r="B283" s="2647">
        <v>32236</v>
      </c>
      <c r="C283" s="2647">
        <v>180</v>
      </c>
      <c r="D283" s="2647">
        <v>320</v>
      </c>
      <c r="E283" s="2647">
        <v>86</v>
      </c>
      <c r="F283" s="2647">
        <v>998</v>
      </c>
      <c r="G283" s="2647">
        <v>1720</v>
      </c>
      <c r="H283" s="2647">
        <v>900</v>
      </c>
      <c r="I283" s="2647">
        <v>1200</v>
      </c>
      <c r="J283" s="2647">
        <v>29.9</v>
      </c>
      <c r="K283" s="2648"/>
      <c r="L283" s="2647" t="s">
        <v>2358</v>
      </c>
    </row>
    <row r="284" spans="1:12">
      <c r="A284" s="2646" t="s">
        <v>99</v>
      </c>
      <c r="B284" s="2646">
        <v>30936</v>
      </c>
      <c r="C284" s="2646">
        <v>180</v>
      </c>
      <c r="D284" s="2646">
        <v>380</v>
      </c>
      <c r="E284" s="2646">
        <v>75</v>
      </c>
      <c r="F284" s="2646">
        <v>1090</v>
      </c>
      <c r="G284" s="2646">
        <v>1500</v>
      </c>
      <c r="H284" s="2646">
        <v>900</v>
      </c>
      <c r="I284" s="2646">
        <v>1100</v>
      </c>
      <c r="J284" s="2646">
        <v>40.700000000000003</v>
      </c>
      <c r="L284" s="2646" t="s">
        <v>2088</v>
      </c>
    </row>
    <row r="285" spans="1:12">
      <c r="A285" s="2647" t="s">
        <v>99</v>
      </c>
      <c r="B285" s="2647" t="s">
        <v>2359</v>
      </c>
      <c r="C285" s="2647">
        <v>190</v>
      </c>
      <c r="D285" s="2647">
        <v>260</v>
      </c>
      <c r="E285" s="2647">
        <v>42</v>
      </c>
      <c r="F285" s="2647">
        <v>292</v>
      </c>
      <c r="G285" s="2647">
        <v>580</v>
      </c>
      <c r="H285" s="2647">
        <v>1000</v>
      </c>
      <c r="I285" s="2647">
        <v>1400</v>
      </c>
      <c r="J285" s="2647">
        <v>6.52</v>
      </c>
      <c r="K285" s="2648"/>
      <c r="L285" s="2647">
        <v>2007938</v>
      </c>
    </row>
    <row r="286" spans="1:12">
      <c r="A286" s="2646" t="s">
        <v>99</v>
      </c>
      <c r="B286" s="2646">
        <v>32938</v>
      </c>
      <c r="C286" s="2646">
        <v>190</v>
      </c>
      <c r="D286" s="2646">
        <v>260</v>
      </c>
      <c r="E286" s="2646">
        <v>45</v>
      </c>
      <c r="F286" s="2646">
        <v>360</v>
      </c>
      <c r="G286" s="2646">
        <v>740</v>
      </c>
      <c r="H286" s="2646">
        <v>1000</v>
      </c>
      <c r="I286" s="2646">
        <v>1400</v>
      </c>
      <c r="J286" s="2646">
        <v>6.66</v>
      </c>
      <c r="L286" s="2646" t="s">
        <v>2360</v>
      </c>
    </row>
    <row r="287" spans="1:12">
      <c r="A287" s="2647" t="s">
        <v>99</v>
      </c>
      <c r="B287" s="2647" t="s">
        <v>2361</v>
      </c>
      <c r="C287" s="2647">
        <v>190</v>
      </c>
      <c r="D287" s="2647">
        <v>290</v>
      </c>
      <c r="E287" s="2647">
        <v>60</v>
      </c>
      <c r="F287" s="2647">
        <v>502</v>
      </c>
      <c r="G287" s="2647">
        <v>932</v>
      </c>
      <c r="H287" s="2647">
        <v>950</v>
      </c>
      <c r="I287" s="2647">
        <v>1300</v>
      </c>
      <c r="J287" s="2647">
        <v>14.1</v>
      </c>
      <c r="K287" s="2648"/>
      <c r="L287" s="2647">
        <v>2007138</v>
      </c>
    </row>
    <row r="288" spans="1:12">
      <c r="A288" s="2646" t="s">
        <v>99</v>
      </c>
      <c r="B288" s="2646">
        <v>32038</v>
      </c>
      <c r="C288" s="2646">
        <v>190</v>
      </c>
      <c r="D288" s="2646">
        <v>290</v>
      </c>
      <c r="E288" s="2646">
        <v>64</v>
      </c>
      <c r="F288" s="2646">
        <v>652</v>
      </c>
      <c r="G288" s="2646">
        <v>1180</v>
      </c>
      <c r="H288" s="2646">
        <v>950</v>
      </c>
      <c r="I288" s="2646">
        <v>1300</v>
      </c>
      <c r="J288" s="2646">
        <v>14.6</v>
      </c>
      <c r="L288" s="2646" t="s">
        <v>2362</v>
      </c>
    </row>
    <row r="289" spans="1:12">
      <c r="A289" s="2647" t="s">
        <v>99</v>
      </c>
      <c r="B289" s="2647">
        <v>30238</v>
      </c>
      <c r="C289" s="2647">
        <v>190</v>
      </c>
      <c r="D289" s="2647">
        <v>340</v>
      </c>
      <c r="E289" s="2647">
        <v>55</v>
      </c>
      <c r="F289" s="2647">
        <v>698</v>
      </c>
      <c r="G289" s="2647">
        <v>1030</v>
      </c>
      <c r="H289" s="2647">
        <v>850</v>
      </c>
      <c r="I289" s="2647">
        <v>1100</v>
      </c>
      <c r="J289" s="2647">
        <v>20.8</v>
      </c>
      <c r="K289" s="2648"/>
      <c r="L289" s="2647" t="s">
        <v>2363</v>
      </c>
    </row>
    <row r="290" spans="1:12">
      <c r="A290" s="2646" t="s">
        <v>99</v>
      </c>
      <c r="B290" s="2646">
        <v>32238</v>
      </c>
      <c r="C290" s="2646">
        <v>190</v>
      </c>
      <c r="D290" s="2646">
        <v>340</v>
      </c>
      <c r="E290" s="2646">
        <v>92</v>
      </c>
      <c r="F290" s="2646">
        <v>1120</v>
      </c>
      <c r="G290" s="2646">
        <v>1900</v>
      </c>
      <c r="H290" s="2646">
        <v>850</v>
      </c>
      <c r="I290" s="2646">
        <v>1100</v>
      </c>
      <c r="J290" s="2646">
        <v>36.1</v>
      </c>
      <c r="L290" s="2646" t="s">
        <v>2364</v>
      </c>
    </row>
    <row r="291" spans="1:12">
      <c r="A291" s="2647" t="s">
        <v>99</v>
      </c>
      <c r="B291" s="2647" t="s">
        <v>2365</v>
      </c>
      <c r="C291" s="2647">
        <v>200</v>
      </c>
      <c r="D291" s="2647">
        <v>280</v>
      </c>
      <c r="E291" s="2647">
        <v>48</v>
      </c>
      <c r="F291" s="2647">
        <v>345</v>
      </c>
      <c r="G291" s="2647">
        <v>710</v>
      </c>
      <c r="H291" s="2647">
        <v>950</v>
      </c>
      <c r="I291" s="2647">
        <v>1300</v>
      </c>
      <c r="J291" s="2647">
        <v>8.86</v>
      </c>
      <c r="K291" s="2648"/>
      <c r="L291" s="2647">
        <v>2007940</v>
      </c>
    </row>
    <row r="292" spans="1:12">
      <c r="A292" s="2646" t="s">
        <v>99</v>
      </c>
      <c r="B292" s="2646">
        <v>32940</v>
      </c>
      <c r="C292" s="2646">
        <v>200</v>
      </c>
      <c r="D292" s="2646">
        <v>280</v>
      </c>
      <c r="E292" s="2646">
        <v>51</v>
      </c>
      <c r="F292" s="2646">
        <v>460</v>
      </c>
      <c r="G292" s="2646">
        <v>950</v>
      </c>
      <c r="H292" s="2646">
        <v>950</v>
      </c>
      <c r="I292" s="2646">
        <v>1300</v>
      </c>
      <c r="J292" s="2646">
        <v>9.43</v>
      </c>
      <c r="L292" s="2646" t="s">
        <v>2366</v>
      </c>
    </row>
    <row r="293" spans="1:12">
      <c r="A293" s="2647" t="s">
        <v>99</v>
      </c>
      <c r="B293" s="2647" t="s">
        <v>2367</v>
      </c>
      <c r="C293" s="2647">
        <v>200</v>
      </c>
      <c r="D293" s="2647">
        <v>310</v>
      </c>
      <c r="E293" s="2647">
        <v>66</v>
      </c>
      <c r="F293" s="2647">
        <v>575</v>
      </c>
      <c r="G293" s="2647">
        <v>1120</v>
      </c>
      <c r="H293" s="2647">
        <v>900</v>
      </c>
      <c r="I293" s="2647">
        <v>1200</v>
      </c>
      <c r="J293" s="2647">
        <v>17.399999999999999</v>
      </c>
      <c r="K293" s="2648"/>
      <c r="L293" s="2647">
        <v>2007140</v>
      </c>
    </row>
    <row r="294" spans="1:12">
      <c r="A294" s="2646" t="s">
        <v>99</v>
      </c>
      <c r="B294" s="2646">
        <v>32040</v>
      </c>
      <c r="C294" s="2646">
        <v>200</v>
      </c>
      <c r="D294" s="2646">
        <v>310</v>
      </c>
      <c r="E294" s="2646">
        <v>70</v>
      </c>
      <c r="F294" s="2646">
        <v>782</v>
      </c>
      <c r="G294" s="2646">
        <v>1420</v>
      </c>
      <c r="H294" s="2646">
        <v>900</v>
      </c>
      <c r="I294" s="2646">
        <v>1200</v>
      </c>
      <c r="J294" s="2646">
        <v>18.899999999999999</v>
      </c>
      <c r="L294" s="2646" t="s">
        <v>2368</v>
      </c>
    </row>
    <row r="295" spans="1:12">
      <c r="A295" s="2647" t="s">
        <v>99</v>
      </c>
      <c r="B295" s="2647">
        <v>30240</v>
      </c>
      <c r="C295" s="2647">
        <v>200</v>
      </c>
      <c r="D295" s="2647">
        <v>360</v>
      </c>
      <c r="E295" s="2647">
        <v>58</v>
      </c>
      <c r="F295" s="2647">
        <v>685</v>
      </c>
      <c r="G295" s="2647">
        <v>972</v>
      </c>
      <c r="H295" s="2647">
        <v>940</v>
      </c>
      <c r="I295" s="2647">
        <v>1200</v>
      </c>
      <c r="J295" s="2647">
        <v>25.6</v>
      </c>
      <c r="K295" s="2648"/>
      <c r="L295" s="2647" t="s">
        <v>2369</v>
      </c>
    </row>
    <row r="296" spans="1:12">
      <c r="A296" s="2646" t="s">
        <v>99</v>
      </c>
      <c r="B296" s="2646">
        <v>32240</v>
      </c>
      <c r="C296" s="2646">
        <v>200</v>
      </c>
      <c r="D296" s="2646">
        <v>360</v>
      </c>
      <c r="E296" s="2646">
        <v>98</v>
      </c>
      <c r="F296" s="2646">
        <v>1320</v>
      </c>
      <c r="G296" s="2646">
        <v>2180</v>
      </c>
      <c r="H296" s="2646">
        <v>800</v>
      </c>
      <c r="I296" s="2646">
        <v>1000</v>
      </c>
      <c r="J296" s="2646">
        <v>43.2</v>
      </c>
      <c r="L296" s="2646" t="s">
        <v>2370</v>
      </c>
    </row>
    <row r="297" spans="1:12">
      <c r="A297" s="2647" t="s">
        <v>99</v>
      </c>
      <c r="B297" s="2647" t="s">
        <v>2371</v>
      </c>
      <c r="C297" s="2647">
        <v>220</v>
      </c>
      <c r="D297" s="2647">
        <v>300</v>
      </c>
      <c r="E297" s="2647">
        <v>48</v>
      </c>
      <c r="F297" s="2647">
        <v>372</v>
      </c>
      <c r="G297" s="2647">
        <v>795</v>
      </c>
      <c r="H297" s="2647">
        <v>900</v>
      </c>
      <c r="I297" s="2647">
        <v>1200</v>
      </c>
      <c r="J297" s="2647">
        <v>10.1</v>
      </c>
      <c r="K297" s="2648"/>
      <c r="L297" s="2647">
        <v>2007944</v>
      </c>
    </row>
    <row r="298" spans="1:12">
      <c r="A298" s="2646" t="s">
        <v>99</v>
      </c>
      <c r="B298" s="2646">
        <v>32944</v>
      </c>
      <c r="C298" s="2646">
        <v>220</v>
      </c>
      <c r="D298" s="2646">
        <v>300</v>
      </c>
      <c r="E298" s="2646">
        <v>51</v>
      </c>
      <c r="F298" s="2646">
        <v>470</v>
      </c>
      <c r="G298" s="2646">
        <v>978</v>
      </c>
      <c r="H298" s="2646">
        <v>900</v>
      </c>
      <c r="I298" s="2646">
        <v>1200</v>
      </c>
      <c r="J298" s="2646">
        <v>10</v>
      </c>
      <c r="L298" s="2646" t="s">
        <v>2372</v>
      </c>
    </row>
    <row r="299" spans="1:12">
      <c r="A299" s="2647" t="s">
        <v>99</v>
      </c>
      <c r="B299" s="2647" t="s">
        <v>2373</v>
      </c>
      <c r="C299" s="2647">
        <v>220</v>
      </c>
      <c r="D299" s="2647">
        <v>340</v>
      </c>
      <c r="E299" s="2647">
        <v>72</v>
      </c>
      <c r="F299" s="2647">
        <v>702</v>
      </c>
      <c r="G299" s="2647">
        <v>1330</v>
      </c>
      <c r="H299" s="2647">
        <v>800</v>
      </c>
      <c r="I299" s="2647">
        <v>1000</v>
      </c>
      <c r="J299" s="2647">
        <v>22.3</v>
      </c>
      <c r="K299" s="2648"/>
      <c r="L299" s="2647">
        <v>2007144</v>
      </c>
    </row>
    <row r="300" spans="1:12">
      <c r="A300" s="2646" t="s">
        <v>99</v>
      </c>
      <c r="B300" s="2646">
        <v>32044</v>
      </c>
      <c r="C300" s="2646">
        <v>220</v>
      </c>
      <c r="D300" s="2646">
        <v>340</v>
      </c>
      <c r="E300" s="2646">
        <v>76.5</v>
      </c>
      <c r="F300" s="2646">
        <v>908</v>
      </c>
      <c r="G300" s="2646">
        <v>1670</v>
      </c>
      <c r="H300" s="2646">
        <v>800</v>
      </c>
      <c r="I300" s="2646">
        <v>1000</v>
      </c>
      <c r="J300" s="2646">
        <v>24.4</v>
      </c>
      <c r="L300" s="2646" t="s">
        <v>2374</v>
      </c>
    </row>
    <row r="301" spans="1:12">
      <c r="A301" s="2647" t="s">
        <v>99</v>
      </c>
      <c r="B301" s="2647" t="s">
        <v>2375</v>
      </c>
      <c r="C301" s="2647">
        <v>240</v>
      </c>
      <c r="D301" s="2647">
        <v>320</v>
      </c>
      <c r="E301" s="2647">
        <v>48</v>
      </c>
      <c r="F301" s="2647">
        <v>390</v>
      </c>
      <c r="G301" s="2647">
        <v>860</v>
      </c>
      <c r="H301" s="2647">
        <v>800</v>
      </c>
      <c r="I301" s="2647">
        <v>1000</v>
      </c>
      <c r="J301" s="2647">
        <v>10.9</v>
      </c>
      <c r="K301" s="2648"/>
      <c r="L301" s="2647">
        <v>2007948</v>
      </c>
    </row>
    <row r="302" spans="1:12">
      <c r="A302" s="2646" t="s">
        <v>99</v>
      </c>
      <c r="B302" s="2646">
        <v>32948</v>
      </c>
      <c r="C302" s="2646">
        <v>240</v>
      </c>
      <c r="D302" s="2646">
        <v>320</v>
      </c>
      <c r="E302" s="2646">
        <v>51</v>
      </c>
      <c r="F302" s="2646">
        <v>520</v>
      </c>
      <c r="G302" s="2646">
        <v>1060</v>
      </c>
      <c r="H302" s="2646">
        <v>800</v>
      </c>
      <c r="I302" s="2646">
        <v>1000</v>
      </c>
      <c r="J302" s="2646">
        <v>10.7</v>
      </c>
      <c r="L302" s="2646" t="s">
        <v>2376</v>
      </c>
    </row>
    <row r="303" spans="1:12">
      <c r="A303" s="2647" t="s">
        <v>99</v>
      </c>
      <c r="B303" s="2647" t="s">
        <v>2377</v>
      </c>
      <c r="C303" s="2647">
        <v>240</v>
      </c>
      <c r="D303" s="2647">
        <v>360</v>
      </c>
      <c r="E303" s="2647">
        <v>72</v>
      </c>
      <c r="F303" s="2647">
        <v>710</v>
      </c>
      <c r="G303" s="2647">
        <v>1420</v>
      </c>
      <c r="H303" s="2647">
        <v>700</v>
      </c>
      <c r="I303" s="2647">
        <v>900</v>
      </c>
      <c r="J303" s="2647">
        <v>25.5</v>
      </c>
      <c r="K303" s="2648"/>
      <c r="L303" s="2647">
        <v>2007148</v>
      </c>
    </row>
    <row r="304" spans="1:12">
      <c r="A304" s="2646" t="s">
        <v>99</v>
      </c>
      <c r="B304" s="2646">
        <v>32048</v>
      </c>
      <c r="C304" s="2646">
        <v>240</v>
      </c>
      <c r="D304" s="2646">
        <v>360</v>
      </c>
      <c r="E304" s="2646">
        <v>76</v>
      </c>
      <c r="F304" s="2646">
        <v>920</v>
      </c>
      <c r="G304" s="2646">
        <v>1730</v>
      </c>
      <c r="H304" s="2646">
        <v>700</v>
      </c>
      <c r="I304" s="2646">
        <v>900</v>
      </c>
      <c r="J304" s="2646">
        <v>25.9</v>
      </c>
      <c r="L304" s="2646" t="s">
        <v>2378</v>
      </c>
    </row>
    <row r="305" spans="1:12">
      <c r="A305" s="2647" t="s">
        <v>99</v>
      </c>
      <c r="B305" s="2647" t="s">
        <v>2379</v>
      </c>
      <c r="C305" s="2647">
        <v>260</v>
      </c>
      <c r="D305" s="2647">
        <v>360</v>
      </c>
      <c r="E305" s="2647">
        <v>60</v>
      </c>
      <c r="F305" s="2647">
        <v>525</v>
      </c>
      <c r="G305" s="2647">
        <v>1150</v>
      </c>
      <c r="H305" s="2647">
        <v>700</v>
      </c>
      <c r="I305" s="2647">
        <v>900</v>
      </c>
      <c r="J305" s="2647">
        <v>19.2</v>
      </c>
      <c r="K305" s="2648"/>
      <c r="L305" s="2647">
        <v>2007952</v>
      </c>
    </row>
    <row r="306" spans="1:12">
      <c r="A306" s="2646" t="s">
        <v>99</v>
      </c>
      <c r="B306" s="2646">
        <v>32952</v>
      </c>
      <c r="C306" s="2646">
        <v>260</v>
      </c>
      <c r="D306" s="2646">
        <v>360</v>
      </c>
      <c r="E306" s="2646">
        <v>63.5</v>
      </c>
      <c r="F306" s="2646">
        <v>688</v>
      </c>
      <c r="G306" s="2646">
        <v>1470</v>
      </c>
      <c r="H306" s="2646">
        <v>700</v>
      </c>
      <c r="I306" s="2646">
        <v>900</v>
      </c>
      <c r="J306" s="2646">
        <v>18.600000000000001</v>
      </c>
      <c r="L306" s="2646" t="s">
        <v>2380</v>
      </c>
    </row>
    <row r="307" spans="1:12">
      <c r="A307" s="2647" t="s">
        <v>99</v>
      </c>
      <c r="B307" s="2647" t="s">
        <v>2381</v>
      </c>
      <c r="C307" s="2647">
        <v>260</v>
      </c>
      <c r="D307" s="2647">
        <v>400</v>
      </c>
      <c r="E307" s="2647">
        <v>82</v>
      </c>
      <c r="F307" s="2647">
        <v>902</v>
      </c>
      <c r="G307" s="2647">
        <v>1810</v>
      </c>
      <c r="H307" s="2647">
        <v>670</v>
      </c>
      <c r="I307" s="2647">
        <v>850</v>
      </c>
      <c r="J307" s="2647">
        <v>37.799999999999997</v>
      </c>
      <c r="K307" s="2648"/>
      <c r="L307" s="2647">
        <v>2007152</v>
      </c>
    </row>
    <row r="308" spans="1:12">
      <c r="A308" s="2646" t="s">
        <v>99</v>
      </c>
      <c r="B308" s="2646">
        <v>32052</v>
      </c>
      <c r="C308" s="2646">
        <v>260</v>
      </c>
      <c r="D308" s="2646">
        <v>400</v>
      </c>
      <c r="E308" s="2646">
        <v>87</v>
      </c>
      <c r="F308" s="2646">
        <v>1120</v>
      </c>
      <c r="G308" s="2646">
        <v>2170</v>
      </c>
      <c r="H308" s="2646">
        <v>670</v>
      </c>
      <c r="I308" s="2646">
        <v>850</v>
      </c>
      <c r="J308" s="2646">
        <v>38</v>
      </c>
      <c r="L308" s="2646" t="s">
        <v>2382</v>
      </c>
    </row>
    <row r="309" spans="1:12">
      <c r="A309" s="2647" t="s">
        <v>99</v>
      </c>
      <c r="B309" s="2647">
        <v>32956</v>
      </c>
      <c r="C309" s="2647">
        <v>280</v>
      </c>
      <c r="D309" s="2647">
        <v>380</v>
      </c>
      <c r="E309" s="2647">
        <v>63.5</v>
      </c>
      <c r="F309" s="2647">
        <v>745</v>
      </c>
      <c r="G309" s="2647">
        <v>1580</v>
      </c>
      <c r="H309" s="2647">
        <v>630</v>
      </c>
      <c r="I309" s="2647">
        <v>800</v>
      </c>
      <c r="J309" s="2647">
        <v>19.7</v>
      </c>
      <c r="K309" s="2648"/>
      <c r="L309" s="2647">
        <v>20079562</v>
      </c>
    </row>
    <row r="310" spans="1:12">
      <c r="A310" s="2646" t="s">
        <v>99</v>
      </c>
      <c r="B310" s="2646" t="s">
        <v>2383</v>
      </c>
      <c r="C310" s="2646">
        <v>280</v>
      </c>
      <c r="D310" s="2646">
        <v>420</v>
      </c>
      <c r="E310" s="2646">
        <v>82</v>
      </c>
      <c r="F310" s="2646">
        <v>622</v>
      </c>
      <c r="G310" s="2646">
        <v>1940</v>
      </c>
      <c r="H310" s="2646">
        <v>600</v>
      </c>
      <c r="I310" s="2646">
        <v>750</v>
      </c>
      <c r="J310" s="2646">
        <v>39.6</v>
      </c>
      <c r="L310" s="2646">
        <v>2007156</v>
      </c>
    </row>
    <row r="311" spans="1:12">
      <c r="A311" s="2647" t="s">
        <v>99</v>
      </c>
      <c r="B311" s="2647">
        <v>32056</v>
      </c>
      <c r="C311" s="2647">
        <v>280</v>
      </c>
      <c r="D311" s="2647">
        <v>420</v>
      </c>
      <c r="E311" s="2647">
        <v>87</v>
      </c>
      <c r="F311" s="2647">
        <v>1190</v>
      </c>
      <c r="G311" s="2647">
        <v>2290</v>
      </c>
      <c r="H311" s="2647">
        <v>600</v>
      </c>
      <c r="I311" s="2647">
        <v>750</v>
      </c>
      <c r="J311" s="2647">
        <v>40.200000000000003</v>
      </c>
      <c r="K311" s="2648"/>
      <c r="L311" s="2647" t="s">
        <v>2384</v>
      </c>
    </row>
    <row r="312" spans="1:12">
      <c r="A312" s="2646" t="s">
        <v>99</v>
      </c>
      <c r="B312" s="2646" t="s">
        <v>2385</v>
      </c>
      <c r="C312" s="2646">
        <v>300</v>
      </c>
      <c r="D312" s="2646">
        <v>420</v>
      </c>
      <c r="E312" s="2646">
        <v>72</v>
      </c>
      <c r="F312" s="2646">
        <v>778</v>
      </c>
      <c r="G312" s="2646">
        <v>1700</v>
      </c>
      <c r="H312" s="2646">
        <v>600</v>
      </c>
      <c r="I312" s="2646">
        <v>750</v>
      </c>
      <c r="J312" s="2646">
        <v>30.2</v>
      </c>
      <c r="L312" s="2646">
        <v>2007950</v>
      </c>
    </row>
    <row r="313" spans="1:12">
      <c r="A313" s="2647" t="s">
        <v>99</v>
      </c>
      <c r="B313" s="2647">
        <v>32960</v>
      </c>
      <c r="C313" s="2647">
        <v>300</v>
      </c>
      <c r="D313" s="2647">
        <v>420</v>
      </c>
      <c r="E313" s="2647">
        <v>76</v>
      </c>
      <c r="F313" s="2647">
        <v>1020</v>
      </c>
      <c r="G313" s="2647">
        <v>2200</v>
      </c>
      <c r="H313" s="2647">
        <v>600</v>
      </c>
      <c r="I313" s="2647">
        <v>750</v>
      </c>
      <c r="J313" s="2647">
        <v>31.5</v>
      </c>
      <c r="K313" s="2648"/>
      <c r="L313" s="2647" t="s">
        <v>2386</v>
      </c>
    </row>
    <row r="314" spans="1:12">
      <c r="A314" s="2646" t="s">
        <v>99</v>
      </c>
      <c r="B314" s="2646" t="s">
        <v>2387</v>
      </c>
      <c r="C314" s="2646">
        <v>300</v>
      </c>
      <c r="D314" s="2646">
        <v>460</v>
      </c>
      <c r="E314" s="2646">
        <v>95</v>
      </c>
      <c r="F314" s="2646">
        <v>1050</v>
      </c>
      <c r="G314" s="2646">
        <v>2190</v>
      </c>
      <c r="H314" s="2646">
        <v>560</v>
      </c>
      <c r="I314" s="2646">
        <v>700</v>
      </c>
      <c r="J314" s="2646">
        <v>55.9</v>
      </c>
      <c r="L314" s="2646">
        <v>2007160</v>
      </c>
    </row>
    <row r="315" spans="1:12">
      <c r="A315" s="2647" t="s">
        <v>99</v>
      </c>
      <c r="B315" s="2647">
        <v>32060</v>
      </c>
      <c r="C315" s="2647">
        <v>300</v>
      </c>
      <c r="D315" s="2647">
        <v>460</v>
      </c>
      <c r="E315" s="2647">
        <v>100</v>
      </c>
      <c r="F315" s="2647">
        <v>1520</v>
      </c>
      <c r="G315" s="2647">
        <v>2940</v>
      </c>
      <c r="H315" s="2647">
        <v>560</v>
      </c>
      <c r="I315" s="2647">
        <v>700</v>
      </c>
      <c r="J315" s="2647">
        <v>57.5</v>
      </c>
      <c r="K315" s="2648"/>
      <c r="L315" s="2647" t="s">
        <v>2388</v>
      </c>
    </row>
    <row r="316" spans="1:12">
      <c r="A316" s="2646" t="s">
        <v>99</v>
      </c>
      <c r="B316" s="2646" t="s">
        <v>2389</v>
      </c>
      <c r="C316" s="2646">
        <v>320</v>
      </c>
      <c r="D316" s="2646">
        <v>440</v>
      </c>
      <c r="E316" s="2646">
        <v>72</v>
      </c>
      <c r="F316" s="2646">
        <v>798</v>
      </c>
      <c r="G316" s="2646">
        <v>1760</v>
      </c>
      <c r="H316" s="2646">
        <v>560</v>
      </c>
      <c r="I316" s="2646">
        <v>700</v>
      </c>
      <c r="J316" s="2646">
        <v>44.7</v>
      </c>
      <c r="L316" s="2646">
        <v>2007964</v>
      </c>
    </row>
    <row r="317" spans="1:12">
      <c r="A317" s="2647" t="s">
        <v>99</v>
      </c>
      <c r="B317" s="2647">
        <v>32964</v>
      </c>
      <c r="C317" s="2647">
        <v>320</v>
      </c>
      <c r="D317" s="2647">
        <v>440</v>
      </c>
      <c r="E317" s="2647">
        <v>76</v>
      </c>
      <c r="F317" s="2647">
        <v>1040</v>
      </c>
      <c r="G317" s="2647">
        <v>2320</v>
      </c>
      <c r="H317" s="2647">
        <v>560</v>
      </c>
      <c r="I317" s="2647">
        <v>700</v>
      </c>
      <c r="J317" s="2647">
        <v>33.299999999999997</v>
      </c>
      <c r="K317" s="2648"/>
      <c r="L317" s="2647" t="s">
        <v>2390</v>
      </c>
    </row>
    <row r="318" spans="1:12">
      <c r="A318" s="2646" t="s">
        <v>99</v>
      </c>
      <c r="B318" s="2646" t="s">
        <v>2391</v>
      </c>
      <c r="C318" s="2646">
        <v>320</v>
      </c>
      <c r="D318" s="2646">
        <v>480</v>
      </c>
      <c r="E318" s="2646">
        <v>95</v>
      </c>
      <c r="F318" s="2646">
        <v>1050</v>
      </c>
      <c r="G318" s="2646">
        <v>2190</v>
      </c>
      <c r="H318" s="2646">
        <v>530</v>
      </c>
      <c r="I318" s="2646">
        <v>670</v>
      </c>
      <c r="J318" s="2646">
        <v>59.1</v>
      </c>
      <c r="L318" s="2646">
        <v>2007164</v>
      </c>
    </row>
    <row r="319" spans="1:12">
      <c r="A319" s="2647" t="s">
        <v>99</v>
      </c>
      <c r="B319" s="2647">
        <v>32064</v>
      </c>
      <c r="C319" s="2647">
        <v>320</v>
      </c>
      <c r="D319" s="2647">
        <v>480</v>
      </c>
      <c r="E319" s="2647">
        <v>100</v>
      </c>
      <c r="F319" s="2647">
        <v>1540</v>
      </c>
      <c r="G319" s="2647">
        <v>3000</v>
      </c>
      <c r="H319" s="2647">
        <v>530</v>
      </c>
      <c r="I319" s="2647">
        <v>670</v>
      </c>
      <c r="J319" s="2647">
        <v>60.6</v>
      </c>
      <c r="K319" s="2648"/>
      <c r="L319" s="2647" t="s">
        <v>2392</v>
      </c>
    </row>
    <row r="320" spans="1:12">
      <c r="A320" s="2646" t="s">
        <v>99</v>
      </c>
      <c r="B320" s="2646" t="s">
        <v>2393</v>
      </c>
      <c r="C320" s="2646">
        <v>340</v>
      </c>
      <c r="D320" s="2646">
        <v>460</v>
      </c>
      <c r="E320" s="2646">
        <v>72</v>
      </c>
      <c r="F320" s="2646">
        <v>805</v>
      </c>
      <c r="G320" s="2646">
        <v>1830</v>
      </c>
      <c r="H320" s="2646">
        <v>530</v>
      </c>
      <c r="I320" s="2646">
        <v>670</v>
      </c>
      <c r="J320" s="2646">
        <v>34.299999999999997</v>
      </c>
      <c r="L320" s="2646">
        <v>2007968</v>
      </c>
    </row>
    <row r="321" spans="1:12">
      <c r="A321" s="2647" t="s">
        <v>99</v>
      </c>
      <c r="B321" s="2647">
        <v>32968</v>
      </c>
      <c r="C321" s="2647">
        <v>340</v>
      </c>
      <c r="D321" s="2647">
        <v>460</v>
      </c>
      <c r="E321" s="2647">
        <v>76</v>
      </c>
      <c r="F321" s="2647">
        <v>1050</v>
      </c>
      <c r="G321" s="2647">
        <v>2380</v>
      </c>
      <c r="H321" s="2647">
        <v>530</v>
      </c>
      <c r="I321" s="2647">
        <v>670</v>
      </c>
      <c r="J321" s="2647">
        <v>34.799999999999997</v>
      </c>
      <c r="K321" s="2648"/>
      <c r="L321" s="2647" t="s">
        <v>2394</v>
      </c>
    </row>
    <row r="322" spans="1:12">
      <c r="A322" s="2646" t="s">
        <v>99</v>
      </c>
      <c r="B322" s="2646" t="s">
        <v>2395</v>
      </c>
      <c r="C322" s="2646">
        <v>360</v>
      </c>
      <c r="D322" s="2646">
        <v>480</v>
      </c>
      <c r="E322" s="2646">
        <v>72</v>
      </c>
      <c r="F322" s="2646">
        <v>838</v>
      </c>
      <c r="G322" s="2646">
        <v>1940</v>
      </c>
      <c r="H322" s="2646">
        <v>500</v>
      </c>
      <c r="I322" s="2646">
        <v>630</v>
      </c>
      <c r="J322" s="2646">
        <v>35.799999999999997</v>
      </c>
      <c r="L322" s="2646">
        <v>2007972</v>
      </c>
    </row>
    <row r="323" spans="1:12">
      <c r="A323" s="2647" t="s">
        <v>99</v>
      </c>
      <c r="B323" s="2647">
        <v>32972</v>
      </c>
      <c r="C323" s="2647">
        <v>360</v>
      </c>
      <c r="D323" s="2647">
        <v>480</v>
      </c>
      <c r="E323" s="2647">
        <v>76</v>
      </c>
      <c r="F323" s="2647">
        <v>1060</v>
      </c>
      <c r="G323" s="2647">
        <v>2430</v>
      </c>
      <c r="H323" s="2647">
        <v>500</v>
      </c>
      <c r="I323" s="2647">
        <v>630</v>
      </c>
      <c r="J323" s="2647">
        <v>36.299999999999997</v>
      </c>
      <c r="K323" s="2648"/>
      <c r="L323" s="2647" t="s">
        <v>2396</v>
      </c>
    </row>
    <row r="324" spans="1:12">
      <c r="A324" s="2646" t="s">
        <v>99</v>
      </c>
      <c r="B324" s="2646">
        <v>32203</v>
      </c>
      <c r="C324" s="2646">
        <v>17</v>
      </c>
      <c r="D324" s="2646">
        <v>40</v>
      </c>
      <c r="E324" s="2646">
        <v>16</v>
      </c>
      <c r="F324" s="2646" t="s">
        <v>2088</v>
      </c>
      <c r="G324" s="2646" t="s">
        <v>2088</v>
      </c>
      <c r="H324" s="2646" t="s">
        <v>2088</v>
      </c>
      <c r="I324" s="2646" t="s">
        <v>2088</v>
      </c>
      <c r="J324" s="2646" t="s">
        <v>2088</v>
      </c>
      <c r="L324" s="2646">
        <v>7503</v>
      </c>
    </row>
    <row r="325" spans="1:12">
      <c r="A325" s="2647" t="s">
        <v>99</v>
      </c>
      <c r="B325" s="2647">
        <v>32328</v>
      </c>
      <c r="C325" s="2647">
        <v>140</v>
      </c>
      <c r="D325" s="2647">
        <v>300</v>
      </c>
      <c r="E325" s="2647">
        <v>102</v>
      </c>
      <c r="F325" s="2647" t="s">
        <v>2088</v>
      </c>
      <c r="G325" s="2647" t="s">
        <v>2088</v>
      </c>
      <c r="H325" s="2647" t="s">
        <v>2088</v>
      </c>
      <c r="I325" s="2647" t="s">
        <v>2088</v>
      </c>
      <c r="J325" s="2647" t="s">
        <v>2088</v>
      </c>
      <c r="K325" s="2648"/>
      <c r="L325" s="2647">
        <v>7628</v>
      </c>
    </row>
    <row r="326" spans="1:12">
      <c r="A326" s="2646" t="s">
        <v>99</v>
      </c>
      <c r="B326" s="2646">
        <v>32332</v>
      </c>
      <c r="C326" s="2646">
        <v>160</v>
      </c>
      <c r="D326" s="2646">
        <v>340</v>
      </c>
      <c r="E326" s="2646">
        <v>114</v>
      </c>
      <c r="F326" s="2646">
        <v>1220</v>
      </c>
      <c r="G326" s="2646">
        <v>1720</v>
      </c>
      <c r="H326" s="2646">
        <v>1100</v>
      </c>
      <c r="I326" s="2646">
        <v>1400</v>
      </c>
      <c r="J326" s="2646">
        <v>47.9</v>
      </c>
      <c r="L326" s="2646">
        <v>7632</v>
      </c>
    </row>
    <row r="327" spans="1:12">
      <c r="A327" s="2647" t="s">
        <v>99</v>
      </c>
      <c r="B327" s="2647">
        <v>33120</v>
      </c>
      <c r="C327" s="2647">
        <v>100</v>
      </c>
      <c r="D327" s="2647">
        <v>165</v>
      </c>
      <c r="E327" s="2647">
        <v>52</v>
      </c>
      <c r="F327" s="2647" t="s">
        <v>2088</v>
      </c>
      <c r="G327" s="2647" t="s">
        <v>2088</v>
      </c>
      <c r="H327" s="2647" t="s">
        <v>2088</v>
      </c>
      <c r="I327" s="2647" t="s">
        <v>2088</v>
      </c>
      <c r="J327" s="2647">
        <v>4.3099999999999996</v>
      </c>
      <c r="K327" s="2648"/>
      <c r="L327" s="2647" t="s">
        <v>2397</v>
      </c>
    </row>
    <row r="328" spans="1:12">
      <c r="A328" s="2646" t="s">
        <v>99</v>
      </c>
      <c r="B328" s="2646" t="s">
        <v>2398</v>
      </c>
      <c r="C328" s="2646">
        <v>190</v>
      </c>
      <c r="D328" s="2646">
        <v>290</v>
      </c>
      <c r="E328" s="2646">
        <v>51</v>
      </c>
      <c r="F328" s="2646" t="s">
        <v>2074</v>
      </c>
      <c r="G328" s="2646" t="s">
        <v>2074</v>
      </c>
      <c r="H328" s="2646" t="s">
        <v>2074</v>
      </c>
      <c r="I328" s="2646" t="s">
        <v>2074</v>
      </c>
      <c r="J328" s="2646">
        <v>13.5</v>
      </c>
      <c r="L328" s="2646">
        <v>7138</v>
      </c>
    </row>
    <row r="329" spans="1:12">
      <c r="A329" s="2647" t="s">
        <v>99</v>
      </c>
      <c r="B329" s="2647" t="s">
        <v>2399</v>
      </c>
      <c r="C329" s="2647">
        <v>340</v>
      </c>
      <c r="D329" s="2647">
        <v>540</v>
      </c>
      <c r="E329" s="2647">
        <v>86</v>
      </c>
      <c r="F329" s="2647" t="s">
        <v>2074</v>
      </c>
      <c r="G329" s="2647" t="s">
        <v>2074</v>
      </c>
      <c r="H329" s="2647" t="s">
        <v>2074</v>
      </c>
      <c r="I329" s="2647" t="s">
        <v>2074</v>
      </c>
      <c r="J329" s="2647">
        <v>57</v>
      </c>
      <c r="K329" s="2648"/>
      <c r="L329" s="2647">
        <v>7168</v>
      </c>
    </row>
    <row r="330" spans="1:12">
      <c r="A330" s="2646" t="s">
        <v>99</v>
      </c>
      <c r="B330" s="2646" t="s">
        <v>2400</v>
      </c>
      <c r="C330" s="2646">
        <v>400</v>
      </c>
      <c r="D330" s="2646">
        <v>600</v>
      </c>
      <c r="E330" s="2646">
        <v>95</v>
      </c>
      <c r="F330" s="2646" t="s">
        <v>2074</v>
      </c>
      <c r="G330" s="2646" t="s">
        <v>2074</v>
      </c>
      <c r="H330" s="2646" t="s">
        <v>2074</v>
      </c>
      <c r="I330" s="2646" t="s">
        <v>2074</v>
      </c>
      <c r="J330" s="2646">
        <v>84</v>
      </c>
      <c r="L330" s="2646">
        <v>7180</v>
      </c>
    </row>
    <row r="331" spans="1:12">
      <c r="A331" s="2647" t="s">
        <v>99</v>
      </c>
      <c r="B331" s="2647" t="s">
        <v>2401</v>
      </c>
      <c r="C331" s="2647">
        <v>420</v>
      </c>
      <c r="D331" s="2647">
        <v>620</v>
      </c>
      <c r="E331" s="2647">
        <v>95</v>
      </c>
      <c r="F331" s="2647" t="s">
        <v>2074</v>
      </c>
      <c r="G331" s="2647" t="s">
        <v>2074</v>
      </c>
      <c r="H331" s="2647" t="s">
        <v>2074</v>
      </c>
      <c r="I331" s="2647" t="s">
        <v>2074</v>
      </c>
      <c r="J331" s="2647">
        <v>91.7</v>
      </c>
      <c r="K331" s="2648"/>
      <c r="L331" s="2647">
        <v>7184</v>
      </c>
    </row>
    <row r="332" spans="1:12">
      <c r="A332" s="2646" t="s">
        <v>99</v>
      </c>
      <c r="B332" s="2646" t="s">
        <v>2402</v>
      </c>
      <c r="C332" s="2646">
        <v>440</v>
      </c>
      <c r="D332" s="2646">
        <v>650</v>
      </c>
      <c r="E332" s="2646">
        <v>96.4</v>
      </c>
      <c r="F332" s="2646" t="s">
        <v>2074</v>
      </c>
      <c r="G332" s="2646" t="s">
        <v>2074</v>
      </c>
      <c r="H332" s="2646" t="s">
        <v>2074</v>
      </c>
      <c r="I332" s="2646" t="s">
        <v>2074</v>
      </c>
      <c r="J332" s="2646">
        <v>99.4</v>
      </c>
      <c r="L332" s="2646">
        <v>7188</v>
      </c>
    </row>
    <row r="333" spans="1:12">
      <c r="A333" s="2647" t="s">
        <v>99</v>
      </c>
      <c r="B333" s="2647" t="s">
        <v>2403</v>
      </c>
      <c r="C333" s="2647">
        <v>500</v>
      </c>
      <c r="D333" s="2647">
        <v>720</v>
      </c>
      <c r="E333" s="2647">
        <v>110</v>
      </c>
      <c r="F333" s="2647" t="s">
        <v>2074</v>
      </c>
      <c r="G333" s="2647" t="s">
        <v>2074</v>
      </c>
      <c r="H333" s="2647" t="s">
        <v>2074</v>
      </c>
      <c r="I333" s="2647" t="s">
        <v>2074</v>
      </c>
      <c r="J333" s="2647">
        <v>135</v>
      </c>
      <c r="K333" s="2648"/>
      <c r="L333" s="2647" t="s">
        <v>2404</v>
      </c>
    </row>
    <row r="334" spans="1:12">
      <c r="A334" s="2646" t="s">
        <v>99</v>
      </c>
      <c r="B334" s="2646" t="s">
        <v>2405</v>
      </c>
      <c r="C334" s="2646">
        <v>560</v>
      </c>
      <c r="D334" s="2646">
        <v>820</v>
      </c>
      <c r="E334" s="2646">
        <v>121</v>
      </c>
      <c r="F334" s="2646" t="s">
        <v>2074</v>
      </c>
      <c r="G334" s="2646" t="s">
        <v>2074</v>
      </c>
      <c r="H334" s="2646" t="s">
        <v>2074</v>
      </c>
      <c r="I334" s="2646" t="s">
        <v>2074</v>
      </c>
      <c r="J334" s="2646">
        <v>191</v>
      </c>
      <c r="L334" s="2646" t="s">
        <v>2406</v>
      </c>
    </row>
    <row r="335" spans="1:12">
      <c r="A335" s="2647" t="s">
        <v>99</v>
      </c>
      <c r="B335" s="2647" t="s">
        <v>2407</v>
      </c>
      <c r="C335" s="2647">
        <v>600</v>
      </c>
      <c r="D335" s="2647">
        <v>870</v>
      </c>
      <c r="E335" s="2647">
        <v>124</v>
      </c>
      <c r="F335" s="2647" t="s">
        <v>2074</v>
      </c>
      <c r="G335" s="2647" t="s">
        <v>2074</v>
      </c>
      <c r="H335" s="2647" t="s">
        <v>2074</v>
      </c>
      <c r="I335" s="2647" t="s">
        <v>2074</v>
      </c>
      <c r="J335" s="2647">
        <v>235</v>
      </c>
      <c r="K335" s="2648"/>
      <c r="L335" s="2647" t="s">
        <v>2408</v>
      </c>
    </row>
    <row r="336" spans="1:12">
      <c r="A336" s="2646" t="s">
        <v>99</v>
      </c>
      <c r="B336" s="2646" t="s">
        <v>2409</v>
      </c>
      <c r="C336" s="2646">
        <v>630</v>
      </c>
      <c r="D336" s="2646">
        <v>920</v>
      </c>
      <c r="E336" s="2646">
        <v>135</v>
      </c>
      <c r="F336" s="2646" t="s">
        <v>2074</v>
      </c>
      <c r="G336" s="2646" t="s">
        <v>2074</v>
      </c>
      <c r="H336" s="2646" t="s">
        <v>2074</v>
      </c>
      <c r="I336" s="2646" t="s">
        <v>2074</v>
      </c>
      <c r="J336" s="2646">
        <v>278</v>
      </c>
      <c r="L336" s="2646" t="s">
        <v>2410</v>
      </c>
    </row>
    <row r="337" spans="1:12">
      <c r="A337" s="2647" t="s">
        <v>99</v>
      </c>
      <c r="B337" s="2647" t="s">
        <v>2411</v>
      </c>
      <c r="C337" s="2647">
        <v>900</v>
      </c>
      <c r="D337" s="2647">
        <v>1280</v>
      </c>
      <c r="E337" s="2647">
        <v>190</v>
      </c>
      <c r="F337" s="2647" t="s">
        <v>2074</v>
      </c>
      <c r="G337" s="2647" t="s">
        <v>2074</v>
      </c>
      <c r="H337" s="2647" t="s">
        <v>2074</v>
      </c>
      <c r="I337" s="2647" t="s">
        <v>2074</v>
      </c>
      <c r="J337" s="2647">
        <v>703</v>
      </c>
      <c r="K337" s="2648"/>
      <c r="L337" s="2647" t="s">
        <v>2412</v>
      </c>
    </row>
    <row r="338" spans="1:12">
      <c r="A338" s="2646" t="s">
        <v>99</v>
      </c>
      <c r="B338" s="2646" t="s">
        <v>2413</v>
      </c>
      <c r="C338" s="2646">
        <v>220</v>
      </c>
      <c r="D338" s="2646">
        <v>400</v>
      </c>
      <c r="E338" s="2646">
        <v>73</v>
      </c>
      <c r="F338" s="2646" t="s">
        <v>2074</v>
      </c>
      <c r="G338" s="2646" t="s">
        <v>2074</v>
      </c>
      <c r="H338" s="2646" t="s">
        <v>2074</v>
      </c>
      <c r="I338" s="2646" t="s">
        <v>2074</v>
      </c>
      <c r="J338" s="2646">
        <v>35.4</v>
      </c>
      <c r="L338" s="2646" t="s">
        <v>2088</v>
      </c>
    </row>
    <row r="339" spans="1:12">
      <c r="A339" s="2647" t="s">
        <v>99</v>
      </c>
      <c r="B339" s="2647">
        <v>32204</v>
      </c>
      <c r="C339" s="2647">
        <v>20</v>
      </c>
      <c r="D339" s="2647">
        <v>47</v>
      </c>
      <c r="E339" s="2647">
        <v>19.25</v>
      </c>
      <c r="F339" s="2647" t="s">
        <v>2074</v>
      </c>
      <c r="G339" s="2647" t="s">
        <v>2074</v>
      </c>
      <c r="H339" s="2647" t="s">
        <v>2074</v>
      </c>
      <c r="I339" s="2647" t="s">
        <v>2074</v>
      </c>
      <c r="J339" s="2647">
        <v>0.151</v>
      </c>
      <c r="K339" s="2648"/>
      <c r="L339" s="2647">
        <v>7504</v>
      </c>
    </row>
    <row r="340" spans="1:12">
      <c r="A340" s="2646" t="s">
        <v>99</v>
      </c>
      <c r="B340" s="2646" t="s">
        <v>2414</v>
      </c>
      <c r="C340" s="2646">
        <v>80</v>
      </c>
      <c r="D340" s="2646">
        <v>140</v>
      </c>
      <c r="E340" s="2646">
        <v>38.5</v>
      </c>
      <c r="F340" s="2646" t="s">
        <v>2074</v>
      </c>
      <c r="G340" s="2646" t="s">
        <v>2074</v>
      </c>
      <c r="H340" s="2646" t="s">
        <v>2074</v>
      </c>
      <c r="I340" s="2646" t="s">
        <v>2074</v>
      </c>
      <c r="J340" s="2646">
        <v>2.1339999999999999</v>
      </c>
      <c r="L340" s="2646" t="s">
        <v>2088</v>
      </c>
    </row>
    <row r="341" spans="1:12">
      <c r="A341" s="2647" t="s">
        <v>99</v>
      </c>
      <c r="B341" s="2647">
        <v>32244</v>
      </c>
      <c r="C341" s="2647">
        <v>220</v>
      </c>
      <c r="D341" s="2647">
        <v>400</v>
      </c>
      <c r="E341" s="2647">
        <v>108</v>
      </c>
      <c r="F341" s="2647">
        <v>1190</v>
      </c>
      <c r="G341" s="2647">
        <v>1930</v>
      </c>
      <c r="H341" s="2647">
        <v>830</v>
      </c>
      <c r="I341" s="2647">
        <v>1100</v>
      </c>
      <c r="J341" s="2647">
        <v>56.8</v>
      </c>
      <c r="K341" s="2648"/>
      <c r="L341" s="2647" t="s">
        <v>2415</v>
      </c>
    </row>
    <row r="342" spans="1:12">
      <c r="A342" s="2646" t="s">
        <v>99</v>
      </c>
      <c r="B342" s="2646">
        <v>32248</v>
      </c>
      <c r="C342" s="2646">
        <v>240</v>
      </c>
      <c r="D342" s="2646">
        <v>440</v>
      </c>
      <c r="E342" s="2646">
        <v>120</v>
      </c>
      <c r="F342" s="2646">
        <v>1530</v>
      </c>
      <c r="G342" s="2646">
        <v>2480</v>
      </c>
      <c r="H342" s="2646">
        <v>740</v>
      </c>
      <c r="I342" s="2646">
        <v>980</v>
      </c>
      <c r="J342" s="2646">
        <v>76.400000000000006</v>
      </c>
      <c r="L342" s="2646" t="s">
        <v>2416</v>
      </c>
    </row>
    <row r="343" spans="1:12">
      <c r="A343" s="2647" t="s">
        <v>99</v>
      </c>
      <c r="B343" s="2647" t="s">
        <v>2417</v>
      </c>
      <c r="C343" s="2647">
        <v>32</v>
      </c>
      <c r="D343" s="2647">
        <v>75</v>
      </c>
      <c r="E343" s="2647">
        <v>29.75</v>
      </c>
      <c r="F343" s="2647" t="s">
        <v>2074</v>
      </c>
      <c r="G343" s="2647" t="s">
        <v>2074</v>
      </c>
      <c r="H343" s="2647" t="s">
        <v>2074</v>
      </c>
      <c r="I343" s="2647" t="s">
        <v>2074</v>
      </c>
      <c r="J343" s="2647">
        <v>0.628</v>
      </c>
      <c r="K343" s="2648"/>
      <c r="L343" s="2647" t="s">
        <v>2088</v>
      </c>
    </row>
    <row r="344" spans="1:12">
      <c r="A344" s="2646" t="s">
        <v>99</v>
      </c>
      <c r="B344" s="2646" t="s">
        <v>2418</v>
      </c>
      <c r="C344" s="2646">
        <v>40</v>
      </c>
      <c r="D344" s="2646">
        <v>90</v>
      </c>
      <c r="E344" s="2646">
        <v>35.25</v>
      </c>
      <c r="F344" s="2646" t="s">
        <v>2074</v>
      </c>
      <c r="G344" s="2646" t="s">
        <v>2074</v>
      </c>
      <c r="H344" s="2646" t="s">
        <v>2074</v>
      </c>
      <c r="I344" s="2646" t="s">
        <v>2074</v>
      </c>
      <c r="J344" s="2646">
        <v>1.06</v>
      </c>
      <c r="L344" s="2646" t="s">
        <v>2088</v>
      </c>
    </row>
    <row r="345" spans="1:12">
      <c r="A345" s="2647" t="s">
        <v>99</v>
      </c>
      <c r="B345" s="2647" t="s">
        <v>2419</v>
      </c>
      <c r="C345" s="2647">
        <v>55</v>
      </c>
      <c r="D345" s="2647">
        <v>120</v>
      </c>
      <c r="E345" s="2647">
        <v>45.5</v>
      </c>
      <c r="F345" s="2647" t="s">
        <v>2074</v>
      </c>
      <c r="G345" s="2647" t="s">
        <v>2074</v>
      </c>
      <c r="H345" s="2647" t="s">
        <v>2074</v>
      </c>
      <c r="I345" s="2647" t="s">
        <v>2074</v>
      </c>
      <c r="J345" s="2647">
        <v>2.355</v>
      </c>
      <c r="K345" s="2648"/>
      <c r="L345" s="2647" t="s">
        <v>2420</v>
      </c>
    </row>
    <row r="346" spans="1:12">
      <c r="A346" s="2646" t="s">
        <v>99</v>
      </c>
      <c r="B346" s="2646" t="s">
        <v>2421</v>
      </c>
      <c r="C346" s="2646">
        <v>60</v>
      </c>
      <c r="D346" s="2646">
        <v>130</v>
      </c>
      <c r="E346" s="2646">
        <v>46</v>
      </c>
      <c r="F346" s="2646" t="s">
        <v>2074</v>
      </c>
      <c r="G346" s="2646" t="s">
        <v>2074</v>
      </c>
      <c r="H346" s="2646" t="s">
        <v>2074</v>
      </c>
      <c r="I346" s="2646" t="s">
        <v>2074</v>
      </c>
      <c r="J346" s="2646">
        <v>2.972</v>
      </c>
      <c r="L346" s="2646" t="s">
        <v>2088</v>
      </c>
    </row>
    <row r="347" spans="1:12">
      <c r="A347" s="2647" t="s">
        <v>99</v>
      </c>
      <c r="B347" s="2647" t="s">
        <v>2422</v>
      </c>
      <c r="C347" s="2647">
        <v>65</v>
      </c>
      <c r="D347" s="2647">
        <v>140</v>
      </c>
      <c r="E347" s="2647">
        <v>51</v>
      </c>
      <c r="F347" s="2647" t="s">
        <v>2074</v>
      </c>
      <c r="G347" s="2647" t="s">
        <v>2074</v>
      </c>
      <c r="H347" s="2647" t="s">
        <v>2074</v>
      </c>
      <c r="I347" s="2647" t="s">
        <v>2074</v>
      </c>
      <c r="J347" s="2647">
        <v>3.75</v>
      </c>
      <c r="K347" s="2648"/>
      <c r="L347" s="2647" t="s">
        <v>2088</v>
      </c>
    </row>
    <row r="348" spans="1:12">
      <c r="A348" s="2646" t="s">
        <v>99</v>
      </c>
      <c r="B348" s="2646" t="s">
        <v>2423</v>
      </c>
      <c r="C348" s="2646">
        <v>70</v>
      </c>
      <c r="D348" s="2646">
        <v>150</v>
      </c>
      <c r="E348" s="2646">
        <v>54</v>
      </c>
      <c r="F348" s="2646" t="s">
        <v>2074</v>
      </c>
      <c r="G348" s="2646" t="s">
        <v>2074</v>
      </c>
      <c r="H348" s="2646" t="s">
        <v>2074</v>
      </c>
      <c r="I348" s="2646" t="s">
        <v>2074</v>
      </c>
      <c r="J348" s="2646">
        <v>4.54</v>
      </c>
      <c r="L348" s="2646" t="s">
        <v>2088</v>
      </c>
    </row>
    <row r="349" spans="1:12">
      <c r="A349" s="2647" t="s">
        <v>99</v>
      </c>
      <c r="B349" s="2647" t="s">
        <v>2424</v>
      </c>
      <c r="C349" s="2647">
        <v>75</v>
      </c>
      <c r="D349" s="2647">
        <v>160</v>
      </c>
      <c r="E349" s="2647">
        <v>58</v>
      </c>
      <c r="F349" s="2647" t="s">
        <v>2074</v>
      </c>
      <c r="G349" s="2647" t="s">
        <v>2074</v>
      </c>
      <c r="H349" s="2647" t="s">
        <v>2074</v>
      </c>
      <c r="I349" s="2647" t="s">
        <v>2074</v>
      </c>
      <c r="J349" s="2647">
        <v>5.4480000000000004</v>
      </c>
      <c r="K349" s="2648"/>
      <c r="L349" s="2647" t="s">
        <v>2088</v>
      </c>
    </row>
    <row r="350" spans="1:12">
      <c r="A350" s="2646" t="s">
        <v>99</v>
      </c>
      <c r="B350" s="2646">
        <v>32326</v>
      </c>
      <c r="C350" s="2646">
        <v>130</v>
      </c>
      <c r="D350" s="2646">
        <v>280</v>
      </c>
      <c r="E350" s="2646">
        <v>93</v>
      </c>
      <c r="F350" s="2646">
        <v>852</v>
      </c>
      <c r="G350" s="2646">
        <v>1160</v>
      </c>
      <c r="H350" s="2646">
        <v>1400</v>
      </c>
      <c r="I350" s="2646">
        <v>1800</v>
      </c>
      <c r="J350" s="2646">
        <v>26.5</v>
      </c>
      <c r="L350" s="2646" t="s">
        <v>2425</v>
      </c>
    </row>
    <row r="351" spans="1:12">
      <c r="A351" s="2647" t="s">
        <v>99</v>
      </c>
      <c r="B351" s="2647">
        <v>32330</v>
      </c>
      <c r="C351" s="2647">
        <v>150</v>
      </c>
      <c r="D351" s="2647">
        <v>320</v>
      </c>
      <c r="E351" s="2647">
        <v>114</v>
      </c>
      <c r="F351" s="2647" t="s">
        <v>2074</v>
      </c>
      <c r="G351" s="2647" t="s">
        <v>2074</v>
      </c>
      <c r="H351" s="2647" t="s">
        <v>2074</v>
      </c>
      <c r="I351" s="2647" t="s">
        <v>2074</v>
      </c>
      <c r="J351" s="2647">
        <v>37.1</v>
      </c>
      <c r="K351" s="2648"/>
      <c r="L351" s="2647">
        <v>7630</v>
      </c>
    </row>
    <row r="352" spans="1:12">
      <c r="A352" s="2646" t="s">
        <v>99</v>
      </c>
      <c r="B352" s="2646">
        <v>32334</v>
      </c>
      <c r="C352" s="2646">
        <v>170</v>
      </c>
      <c r="D352" s="2646">
        <v>360</v>
      </c>
      <c r="E352" s="2646">
        <v>120</v>
      </c>
      <c r="F352" s="2646">
        <v>1310</v>
      </c>
      <c r="G352" s="2646">
        <v>1830</v>
      </c>
      <c r="H352" s="2646">
        <v>1000</v>
      </c>
      <c r="I352" s="2646">
        <v>1300</v>
      </c>
      <c r="J352" s="2646">
        <v>56.9</v>
      </c>
      <c r="L352" s="2646" t="s">
        <v>2426</v>
      </c>
    </row>
    <row r="353" spans="1:12">
      <c r="A353" s="2647" t="s">
        <v>99</v>
      </c>
      <c r="B353" s="2647">
        <v>30607</v>
      </c>
      <c r="C353" s="2647">
        <v>35</v>
      </c>
      <c r="D353" s="2647">
        <v>65</v>
      </c>
      <c r="E353" s="2647">
        <v>18</v>
      </c>
      <c r="F353" s="2647" t="s">
        <v>2074</v>
      </c>
      <c r="G353" s="2647" t="s">
        <v>2074</v>
      </c>
      <c r="H353" s="2647" t="s">
        <v>2074</v>
      </c>
      <c r="I353" s="2647" t="s">
        <v>2074</v>
      </c>
      <c r="J353" s="2647">
        <v>0.23</v>
      </c>
      <c r="K353" s="2648"/>
      <c r="L353" s="2647" t="s">
        <v>2088</v>
      </c>
    </row>
    <row r="354" spans="1:12">
      <c r="A354" s="2646" t="s">
        <v>99</v>
      </c>
      <c r="B354" s="2646">
        <v>30610</v>
      </c>
      <c r="C354" s="2646">
        <v>50</v>
      </c>
      <c r="D354" s="2646">
        <v>82</v>
      </c>
      <c r="E354" s="2646">
        <v>21.5</v>
      </c>
      <c r="F354" s="2646" t="s">
        <v>2074</v>
      </c>
      <c r="G354" s="2646" t="s">
        <v>2074</v>
      </c>
      <c r="H354" s="2646" t="s">
        <v>2074</v>
      </c>
      <c r="I354" s="2646" t="s">
        <v>2074</v>
      </c>
      <c r="J354" s="2646">
        <v>0.33</v>
      </c>
      <c r="L354" s="2646">
        <v>7710</v>
      </c>
    </row>
    <row r="355" spans="1:12">
      <c r="A355" s="2647" t="s">
        <v>99</v>
      </c>
      <c r="B355" s="2647">
        <v>30612</v>
      </c>
      <c r="C355" s="2647">
        <v>60</v>
      </c>
      <c r="D355" s="2647">
        <v>120</v>
      </c>
      <c r="E355" s="2647">
        <v>46</v>
      </c>
      <c r="F355" s="2647" t="s">
        <v>2074</v>
      </c>
      <c r="G355" s="2647" t="s">
        <v>2074</v>
      </c>
      <c r="H355" s="2647" t="s">
        <v>2074</v>
      </c>
      <c r="I355" s="2647" t="s">
        <v>2074</v>
      </c>
      <c r="J355" s="2647">
        <v>2.2200000000000002</v>
      </c>
      <c r="K355" s="2648"/>
      <c r="L355" s="2647" t="s">
        <v>2088</v>
      </c>
    </row>
    <row r="356" spans="1:12">
      <c r="A356" s="2646" t="s">
        <v>99</v>
      </c>
      <c r="B356" s="2646">
        <v>30613</v>
      </c>
      <c r="C356" s="2646">
        <v>65</v>
      </c>
      <c r="D356" s="2646">
        <v>150</v>
      </c>
      <c r="E356" s="2646">
        <v>54</v>
      </c>
      <c r="F356" s="2646" t="s">
        <v>2074</v>
      </c>
      <c r="G356" s="2646" t="s">
        <v>2074</v>
      </c>
      <c r="H356" s="2646" t="s">
        <v>2074</v>
      </c>
      <c r="I356" s="2646" t="s">
        <v>2074</v>
      </c>
      <c r="J356" s="2646">
        <v>4.5</v>
      </c>
      <c r="L356" s="2646" t="s">
        <v>2427</v>
      </c>
    </row>
    <row r="357" spans="1:12">
      <c r="A357" s="2647" t="s">
        <v>99</v>
      </c>
      <c r="B357" s="2647" t="s">
        <v>2428</v>
      </c>
      <c r="C357" s="2647">
        <v>70</v>
      </c>
      <c r="D357" s="2647">
        <v>130</v>
      </c>
      <c r="E357" s="2647">
        <v>42</v>
      </c>
      <c r="F357" s="2647">
        <v>233</v>
      </c>
      <c r="G357" s="2647">
        <v>319</v>
      </c>
      <c r="H357" s="2647">
        <v>3000</v>
      </c>
      <c r="I357" s="2647">
        <v>4000</v>
      </c>
      <c r="J357" s="2647">
        <v>2.48</v>
      </c>
      <c r="K357" s="2648"/>
      <c r="L357" s="2647" t="s">
        <v>2088</v>
      </c>
    </row>
    <row r="358" spans="1:12">
      <c r="A358" s="2646" t="s">
        <v>99</v>
      </c>
      <c r="B358" s="2646">
        <v>30616</v>
      </c>
      <c r="C358" s="2646">
        <v>80</v>
      </c>
      <c r="D358" s="2646">
        <v>130</v>
      </c>
      <c r="E358" s="2646">
        <v>32</v>
      </c>
      <c r="F358" s="2646" t="s">
        <v>2074</v>
      </c>
      <c r="G358" s="2646" t="s">
        <v>2074</v>
      </c>
      <c r="H358" s="2646" t="s">
        <v>2074</v>
      </c>
      <c r="I358" s="2646" t="s">
        <v>2074</v>
      </c>
      <c r="J358" s="2646">
        <v>1.6</v>
      </c>
      <c r="L358" s="2646" t="s">
        <v>2429</v>
      </c>
    </row>
    <row r="359" spans="1:12">
      <c r="A359" s="2647" t="s">
        <v>99</v>
      </c>
      <c r="B359" s="2647" t="s">
        <v>2430</v>
      </c>
      <c r="C359" s="2647">
        <v>90</v>
      </c>
      <c r="D359" s="2647">
        <v>160</v>
      </c>
      <c r="E359" s="2647">
        <v>50</v>
      </c>
      <c r="F359" s="2647" t="s">
        <v>2074</v>
      </c>
      <c r="G359" s="2647" t="s">
        <v>2074</v>
      </c>
      <c r="H359" s="2647" t="s">
        <v>2074</v>
      </c>
      <c r="I359" s="2647" t="s">
        <v>2074</v>
      </c>
      <c r="J359" s="2647">
        <v>3.83</v>
      </c>
      <c r="K359" s="2648"/>
      <c r="L359" s="2647" t="s">
        <v>2088</v>
      </c>
    </row>
    <row r="360" spans="1:12">
      <c r="A360" s="2646" t="s">
        <v>99</v>
      </c>
      <c r="B360" s="2646" t="s">
        <v>2431</v>
      </c>
      <c r="C360" s="2646">
        <v>105</v>
      </c>
      <c r="D360" s="2646">
        <v>215</v>
      </c>
      <c r="E360" s="2646">
        <v>78</v>
      </c>
      <c r="F360" s="2646" t="s">
        <v>2074</v>
      </c>
      <c r="G360" s="2646" t="s">
        <v>2074</v>
      </c>
      <c r="H360" s="2646" t="s">
        <v>2074</v>
      </c>
      <c r="I360" s="2646" t="s">
        <v>2074</v>
      </c>
      <c r="J360" s="2646">
        <v>12.6</v>
      </c>
      <c r="L360" s="2646" t="s">
        <v>2088</v>
      </c>
    </row>
    <row r="361" spans="1:12">
      <c r="A361" s="2647" t="s">
        <v>99</v>
      </c>
      <c r="B361" s="2647">
        <v>30623</v>
      </c>
      <c r="C361" s="2647">
        <v>115</v>
      </c>
      <c r="D361" s="2647">
        <v>190</v>
      </c>
      <c r="E361" s="2647">
        <v>49</v>
      </c>
      <c r="F361" s="2647" t="s">
        <v>2074</v>
      </c>
      <c r="G361" s="2647" t="s">
        <v>2074</v>
      </c>
      <c r="H361" s="2647" t="s">
        <v>2074</v>
      </c>
      <c r="I361" s="2647" t="s">
        <v>2074</v>
      </c>
      <c r="J361" s="2647">
        <v>5.13</v>
      </c>
      <c r="K361" s="2648"/>
      <c r="L361" s="2647">
        <v>7723</v>
      </c>
    </row>
    <row r="362" spans="1:12">
      <c r="A362" s="2646" t="s">
        <v>99</v>
      </c>
      <c r="B362" s="2646">
        <v>30628</v>
      </c>
      <c r="C362" s="2646">
        <v>140</v>
      </c>
      <c r="D362" s="2646">
        <v>230</v>
      </c>
      <c r="E362" s="2646">
        <v>58</v>
      </c>
      <c r="F362" s="2646" t="s">
        <v>2074</v>
      </c>
      <c r="G362" s="2646" t="s">
        <v>2074</v>
      </c>
      <c r="H362" s="2646" t="s">
        <v>2074</v>
      </c>
      <c r="I362" s="2646" t="s">
        <v>2074</v>
      </c>
      <c r="J362" s="2646">
        <v>8.9700000000000006</v>
      </c>
      <c r="L362" s="2646" t="s">
        <v>2432</v>
      </c>
    </row>
    <row r="363" spans="1:12">
      <c r="A363" s="2647" t="s">
        <v>99</v>
      </c>
      <c r="B363" s="2647">
        <v>30636</v>
      </c>
      <c r="C363" s="2647">
        <v>180</v>
      </c>
      <c r="D363" s="2647">
        <v>290</v>
      </c>
      <c r="E363" s="2647">
        <v>65</v>
      </c>
      <c r="F363" s="2647" t="s">
        <v>2074</v>
      </c>
      <c r="G363" s="2647" t="s">
        <v>2074</v>
      </c>
      <c r="H363" s="2647" t="s">
        <v>2074</v>
      </c>
      <c r="I363" s="2647" t="s">
        <v>2074</v>
      </c>
      <c r="J363" s="2647">
        <v>15.6</v>
      </c>
      <c r="K363" s="2648"/>
      <c r="L363" s="2647" t="s">
        <v>2088</v>
      </c>
    </row>
    <row r="364" spans="1:12">
      <c r="A364" s="2646" t="s">
        <v>99</v>
      </c>
      <c r="B364" s="2646" t="s">
        <v>2433</v>
      </c>
      <c r="C364" s="2646">
        <v>330</v>
      </c>
      <c r="D364" s="2646">
        <v>482</v>
      </c>
      <c r="E364" s="2646">
        <v>87</v>
      </c>
      <c r="F364" s="2646" t="s">
        <v>2074</v>
      </c>
      <c r="G364" s="2646" t="s">
        <v>2074</v>
      </c>
      <c r="H364" s="2646" t="s">
        <v>2074</v>
      </c>
      <c r="I364" s="2646" t="s">
        <v>2074</v>
      </c>
      <c r="J364" s="2646">
        <v>37.200000000000003</v>
      </c>
      <c r="L364" s="2646" t="s">
        <v>2088</v>
      </c>
    </row>
    <row r="365" spans="1:12">
      <c r="A365" s="2647" t="s">
        <v>99</v>
      </c>
      <c r="B365" s="2647">
        <v>30672</v>
      </c>
      <c r="C365" s="2647">
        <v>360</v>
      </c>
      <c r="D365" s="2647">
        <v>530</v>
      </c>
      <c r="E365" s="2647">
        <v>80</v>
      </c>
      <c r="F365" s="2647" t="s">
        <v>2074</v>
      </c>
      <c r="G365" s="2647" t="s">
        <v>2074</v>
      </c>
      <c r="H365" s="2647" t="s">
        <v>2074</v>
      </c>
      <c r="I365" s="2647" t="s">
        <v>2074</v>
      </c>
      <c r="J365" s="2647">
        <v>52.6</v>
      </c>
      <c r="K365" s="2648"/>
      <c r="L365" s="2647">
        <v>7772</v>
      </c>
    </row>
    <row r="366" spans="1:12">
      <c r="A366" s="2646" t="s">
        <v>99</v>
      </c>
      <c r="B366" s="2646" t="s">
        <v>2434</v>
      </c>
      <c r="C366" s="2646">
        <v>520</v>
      </c>
      <c r="D366" s="2646">
        <v>740</v>
      </c>
      <c r="E366" s="2646">
        <v>95</v>
      </c>
      <c r="F366" s="2646" t="s">
        <v>2074</v>
      </c>
      <c r="G366" s="2646" t="s">
        <v>2074</v>
      </c>
      <c r="H366" s="2646" t="s">
        <v>2074</v>
      </c>
      <c r="I366" s="2646" t="s">
        <v>2074</v>
      </c>
      <c r="J366" s="2646">
        <v>118</v>
      </c>
      <c r="L366" s="2646" t="s">
        <v>2435</v>
      </c>
    </row>
    <row r="367" spans="1:12">
      <c r="A367" s="2647" t="s">
        <v>99</v>
      </c>
      <c r="B367" s="2647">
        <v>30604</v>
      </c>
      <c r="C367" s="2647">
        <v>19.05</v>
      </c>
      <c r="D367" s="2647">
        <v>45.25</v>
      </c>
      <c r="E367" s="2647">
        <v>15.13</v>
      </c>
      <c r="F367" s="2647" t="s">
        <v>2074</v>
      </c>
      <c r="G367" s="2647" t="s">
        <v>2074</v>
      </c>
      <c r="H367" s="2647" t="s">
        <v>2074</v>
      </c>
      <c r="I367" s="2647" t="s">
        <v>2074</v>
      </c>
      <c r="J367" s="2647">
        <v>0.124</v>
      </c>
      <c r="K367" s="2648"/>
      <c r="L367" s="2647" t="s">
        <v>2088</v>
      </c>
    </row>
    <row r="368" spans="1:12">
      <c r="A368" s="2646" t="s">
        <v>99</v>
      </c>
      <c r="B368" s="2646">
        <v>30605</v>
      </c>
      <c r="C368" s="2646">
        <v>26</v>
      </c>
      <c r="D368" s="2646">
        <v>57.15</v>
      </c>
      <c r="E368" s="2646">
        <v>17.46</v>
      </c>
      <c r="F368" s="2646" t="s">
        <v>2074</v>
      </c>
      <c r="G368" s="2646" t="s">
        <v>2074</v>
      </c>
      <c r="H368" s="2646" t="s">
        <v>2074</v>
      </c>
      <c r="I368" s="2646" t="s">
        <v>2074</v>
      </c>
      <c r="J368" s="2646">
        <v>0.222</v>
      </c>
      <c r="L368" s="2646" t="s">
        <v>2088</v>
      </c>
    </row>
    <row r="369" spans="1:12">
      <c r="A369" s="2647" t="s">
        <v>99</v>
      </c>
      <c r="B369" s="2647" t="s">
        <v>2436</v>
      </c>
      <c r="C369" s="2647">
        <v>40</v>
      </c>
      <c r="D369" s="2647">
        <v>80</v>
      </c>
      <c r="E369" s="2647">
        <v>21.5</v>
      </c>
      <c r="F369" s="2647" t="s">
        <v>2074</v>
      </c>
      <c r="G369" s="2647" t="s">
        <v>2074</v>
      </c>
      <c r="H369" s="2647" t="s">
        <v>2074</v>
      </c>
      <c r="I369" s="2647" t="s">
        <v>2074</v>
      </c>
      <c r="J369" s="2647">
        <v>0.45</v>
      </c>
      <c r="K369" s="2648"/>
      <c r="L369" s="2647">
        <v>7208</v>
      </c>
    </row>
    <row r="370" spans="1:12">
      <c r="A370" s="2646" t="s">
        <v>99</v>
      </c>
      <c r="B370" s="2646" t="s">
        <v>2437</v>
      </c>
      <c r="C370" s="2646">
        <v>45</v>
      </c>
      <c r="D370" s="2646">
        <v>90</v>
      </c>
      <c r="E370" s="2646">
        <v>38.5</v>
      </c>
      <c r="F370" s="2646" t="s">
        <v>2074</v>
      </c>
      <c r="G370" s="2646" t="s">
        <v>2074</v>
      </c>
      <c r="H370" s="2646" t="s">
        <v>2074</v>
      </c>
      <c r="I370" s="2646" t="s">
        <v>2074</v>
      </c>
      <c r="J370" s="2646">
        <v>0.84599999999999997</v>
      </c>
      <c r="L370" s="2646" t="s">
        <v>2088</v>
      </c>
    </row>
    <row r="371" spans="1:12">
      <c r="A371" s="2647" t="s">
        <v>99</v>
      </c>
      <c r="B371" s="2647" t="s">
        <v>2438</v>
      </c>
      <c r="C371" s="2647">
        <v>65</v>
      </c>
      <c r="D371" s="2647">
        <v>110</v>
      </c>
      <c r="E371" s="2647">
        <v>30.5</v>
      </c>
      <c r="F371" s="2647" t="s">
        <v>2074</v>
      </c>
      <c r="G371" s="2647" t="s">
        <v>2074</v>
      </c>
      <c r="H371" s="2647" t="s">
        <v>2074</v>
      </c>
      <c r="I371" s="2647" t="s">
        <v>2074</v>
      </c>
      <c r="J371" s="2647">
        <v>1.1000000000000001</v>
      </c>
      <c r="K371" s="2648"/>
      <c r="L371" s="2647">
        <v>7813</v>
      </c>
    </row>
    <row r="372" spans="1:12">
      <c r="A372" s="2646" t="s">
        <v>99</v>
      </c>
      <c r="B372" s="2646" t="s">
        <v>2439</v>
      </c>
      <c r="C372" s="2646">
        <v>70</v>
      </c>
      <c r="D372" s="2646">
        <v>117</v>
      </c>
      <c r="E372" s="2646">
        <v>33</v>
      </c>
      <c r="F372" s="2646" t="s">
        <v>2074</v>
      </c>
      <c r="G372" s="2646" t="s">
        <v>2074</v>
      </c>
      <c r="H372" s="2646" t="s">
        <v>2074</v>
      </c>
      <c r="I372" s="2646" t="s">
        <v>2074</v>
      </c>
      <c r="J372" s="2646">
        <v>1.33</v>
      </c>
      <c r="L372" s="2646" t="s">
        <v>2440</v>
      </c>
    </row>
    <row r="373" spans="1:12">
      <c r="A373" s="2647" t="s">
        <v>99</v>
      </c>
      <c r="B373" s="2647">
        <v>30615</v>
      </c>
      <c r="C373" s="2647">
        <v>75</v>
      </c>
      <c r="D373" s="2647">
        <v>135</v>
      </c>
      <c r="E373" s="2647">
        <v>44.5</v>
      </c>
      <c r="F373" s="2647" t="s">
        <v>2074</v>
      </c>
      <c r="G373" s="2647" t="s">
        <v>2074</v>
      </c>
      <c r="H373" s="2647" t="s">
        <v>2074</v>
      </c>
      <c r="I373" s="2647" t="s">
        <v>2074</v>
      </c>
      <c r="J373" s="2647">
        <v>2.57</v>
      </c>
      <c r="K373" s="2648"/>
      <c r="L373" s="2647" t="s">
        <v>2441</v>
      </c>
    </row>
    <row r="374" spans="1:12">
      <c r="A374" s="2646" t="s">
        <v>99</v>
      </c>
      <c r="B374" s="2646" t="s">
        <v>2442</v>
      </c>
      <c r="C374" s="2646">
        <v>75</v>
      </c>
      <c r="D374" s="2646">
        <v>135</v>
      </c>
      <c r="E374" s="2646">
        <v>45</v>
      </c>
      <c r="F374" s="2646" t="s">
        <v>2074</v>
      </c>
      <c r="G374" s="2646" t="s">
        <v>2074</v>
      </c>
      <c r="H374" s="2646" t="s">
        <v>2074</v>
      </c>
      <c r="I374" s="2646" t="s">
        <v>2074</v>
      </c>
      <c r="J374" s="2646">
        <v>2.6</v>
      </c>
      <c r="L374" s="2646" t="s">
        <v>2088</v>
      </c>
    </row>
    <row r="375" spans="1:12">
      <c r="A375" s="2647" t="s">
        <v>99</v>
      </c>
      <c r="B375" s="2647" t="s">
        <v>2443</v>
      </c>
      <c r="C375" s="2647">
        <v>80</v>
      </c>
      <c r="D375" s="2647">
        <v>140</v>
      </c>
      <c r="E375" s="2647">
        <v>45</v>
      </c>
      <c r="F375" s="2647" t="s">
        <v>2074</v>
      </c>
      <c r="G375" s="2647" t="s">
        <v>2074</v>
      </c>
      <c r="H375" s="2647" t="s">
        <v>2074</v>
      </c>
      <c r="I375" s="2647" t="s">
        <v>2074</v>
      </c>
      <c r="J375" s="2647">
        <v>2.74</v>
      </c>
      <c r="K375" s="2648"/>
      <c r="L375" s="2647" t="s">
        <v>2429</v>
      </c>
    </row>
    <row r="376" spans="1:12">
      <c r="A376" s="2646" t="s">
        <v>99</v>
      </c>
      <c r="B376" s="2646">
        <v>30617</v>
      </c>
      <c r="C376" s="2646">
        <v>85</v>
      </c>
      <c r="D376" s="2646">
        <v>157</v>
      </c>
      <c r="E376" s="2646">
        <v>47.65</v>
      </c>
      <c r="F376" s="2646" t="s">
        <v>2074</v>
      </c>
      <c r="G376" s="2646" t="s">
        <v>2074</v>
      </c>
      <c r="H376" s="2646" t="s">
        <v>2074</v>
      </c>
      <c r="I376" s="2646" t="s">
        <v>2074</v>
      </c>
      <c r="J376" s="2646">
        <v>3.95</v>
      </c>
      <c r="L376" s="2646" t="s">
        <v>2444</v>
      </c>
    </row>
    <row r="377" spans="1:12">
      <c r="A377" s="2647" t="s">
        <v>99</v>
      </c>
      <c r="B377" s="2647">
        <v>30618</v>
      </c>
      <c r="C377" s="2647">
        <v>90</v>
      </c>
      <c r="D377" s="2647">
        <v>170</v>
      </c>
      <c r="E377" s="2647">
        <v>62</v>
      </c>
      <c r="F377" s="2647" t="s">
        <v>2074</v>
      </c>
      <c r="G377" s="2647" t="s">
        <v>2074</v>
      </c>
      <c r="H377" s="2647" t="s">
        <v>2074</v>
      </c>
      <c r="I377" s="2647" t="s">
        <v>2074</v>
      </c>
      <c r="J377" s="2647">
        <v>6.07</v>
      </c>
      <c r="K377" s="2648"/>
      <c r="L377" s="2647">
        <v>7818</v>
      </c>
    </row>
    <row r="378" spans="1:12">
      <c r="A378" s="2646" t="s">
        <v>99</v>
      </c>
      <c r="B378" s="2646" t="s">
        <v>2445</v>
      </c>
      <c r="C378" s="2646">
        <v>140</v>
      </c>
      <c r="D378" s="2646">
        <v>300</v>
      </c>
      <c r="E378" s="2646">
        <v>90</v>
      </c>
      <c r="F378" s="2646" t="s">
        <v>2074</v>
      </c>
      <c r="G378" s="2646" t="s">
        <v>2074</v>
      </c>
      <c r="H378" s="2646" t="s">
        <v>2074</v>
      </c>
      <c r="I378" s="2646" t="s">
        <v>2074</v>
      </c>
      <c r="J378" s="2646">
        <v>6.07</v>
      </c>
      <c r="L378" s="2646">
        <v>7828</v>
      </c>
    </row>
    <row r="379" spans="1:12">
      <c r="A379" s="2647" t="s">
        <v>99</v>
      </c>
      <c r="B379" s="2647">
        <v>30632</v>
      </c>
      <c r="C379" s="2647">
        <v>205</v>
      </c>
      <c r="D379" s="2647">
        <v>485</v>
      </c>
      <c r="E379" s="2647">
        <v>117.5</v>
      </c>
      <c r="F379" s="2647" t="s">
        <v>2074</v>
      </c>
      <c r="G379" s="2647" t="s">
        <v>2074</v>
      </c>
      <c r="H379" s="2647" t="s">
        <v>2074</v>
      </c>
      <c r="I379" s="2647" t="s">
        <v>2074</v>
      </c>
      <c r="J379" s="2647">
        <v>90.8</v>
      </c>
      <c r="K379" s="2648"/>
      <c r="L379" s="2647">
        <v>7832</v>
      </c>
    </row>
    <row r="380" spans="1:12">
      <c r="A380" s="2646" t="s">
        <v>99</v>
      </c>
      <c r="B380" s="2646">
        <v>30641</v>
      </c>
      <c r="C380" s="2646">
        <v>205</v>
      </c>
      <c r="D380" s="2646">
        <v>485</v>
      </c>
      <c r="E380" s="2646">
        <v>117.5</v>
      </c>
      <c r="F380" s="2646" t="s">
        <v>2074</v>
      </c>
      <c r="G380" s="2646" t="s">
        <v>2074</v>
      </c>
      <c r="H380" s="2646" t="s">
        <v>2074</v>
      </c>
      <c r="I380" s="2646" t="s">
        <v>2074</v>
      </c>
      <c r="J380" s="2646">
        <v>90.8</v>
      </c>
      <c r="L380" s="2646">
        <v>7841</v>
      </c>
    </row>
    <row r="381" spans="1:12">
      <c r="A381" s="2647" t="s">
        <v>99</v>
      </c>
      <c r="B381" s="2647">
        <v>30651</v>
      </c>
      <c r="C381" s="2647">
        <v>255</v>
      </c>
      <c r="D381" s="2647">
        <v>560</v>
      </c>
      <c r="E381" s="2647">
        <v>123.8</v>
      </c>
      <c r="F381" s="2647" t="s">
        <v>2074</v>
      </c>
      <c r="G381" s="2647" t="s">
        <v>2074</v>
      </c>
      <c r="H381" s="2647" t="s">
        <v>2074</v>
      </c>
      <c r="I381" s="2647" t="s">
        <v>2074</v>
      </c>
      <c r="J381" s="2647">
        <v>129</v>
      </c>
      <c r="K381" s="2648"/>
      <c r="L381" s="2647">
        <v>7851</v>
      </c>
    </row>
    <row r="382" spans="1:12">
      <c r="A382" s="2646" t="s">
        <v>99</v>
      </c>
      <c r="B382" s="2646" t="s">
        <v>2446</v>
      </c>
      <c r="C382" s="2646">
        <v>290</v>
      </c>
      <c r="D382" s="2646">
        <v>410</v>
      </c>
      <c r="E382" s="2646">
        <v>76.5</v>
      </c>
      <c r="F382" s="2646" t="s">
        <v>2074</v>
      </c>
      <c r="G382" s="2646" t="s">
        <v>2074</v>
      </c>
      <c r="H382" s="2646" t="s">
        <v>2074</v>
      </c>
      <c r="I382" s="2646" t="s">
        <v>2074</v>
      </c>
      <c r="J382" s="2646">
        <v>29.8</v>
      </c>
      <c r="L382" s="2646" t="s">
        <v>2088</v>
      </c>
    </row>
    <row r="383" spans="1:12">
      <c r="A383" s="2647" t="s">
        <v>99</v>
      </c>
      <c r="B383" s="2647">
        <v>30660</v>
      </c>
      <c r="C383" s="2647">
        <v>300</v>
      </c>
      <c r="D383" s="2647">
        <v>440</v>
      </c>
      <c r="E383" s="2647">
        <v>73</v>
      </c>
      <c r="F383" s="2647" t="s">
        <v>2074</v>
      </c>
      <c r="G383" s="2647" t="s">
        <v>2074</v>
      </c>
      <c r="H383" s="2647" t="s">
        <v>2074</v>
      </c>
      <c r="I383" s="2647" t="s">
        <v>2074</v>
      </c>
      <c r="J383" s="2647">
        <v>30.7</v>
      </c>
      <c r="K383" s="2648"/>
      <c r="L383" s="2647">
        <v>7860</v>
      </c>
    </row>
    <row r="384" spans="1:12">
      <c r="A384" s="2646" t="s">
        <v>99</v>
      </c>
      <c r="B384" s="2646" t="s">
        <v>2447</v>
      </c>
      <c r="C384" s="2646">
        <v>400</v>
      </c>
      <c r="D384" s="2646">
        <v>500</v>
      </c>
      <c r="E384" s="2646">
        <v>60</v>
      </c>
      <c r="F384" s="2646" t="s">
        <v>2074</v>
      </c>
      <c r="G384" s="2646" t="s">
        <v>2074</v>
      </c>
      <c r="H384" s="2646" t="s">
        <v>2074</v>
      </c>
      <c r="I384" s="2646" t="s">
        <v>2074</v>
      </c>
      <c r="J384" s="2646">
        <v>30.7</v>
      </c>
      <c r="L384" s="2646">
        <v>7880</v>
      </c>
    </row>
    <row r="385" spans="1:12">
      <c r="A385" s="2647" t="s">
        <v>99</v>
      </c>
      <c r="B385" s="2647" t="s">
        <v>2448</v>
      </c>
      <c r="C385" s="2647">
        <v>760</v>
      </c>
      <c r="D385" s="2647">
        <v>890</v>
      </c>
      <c r="E385" s="2647">
        <v>75</v>
      </c>
      <c r="F385" s="2647" t="s">
        <v>2074</v>
      </c>
      <c r="G385" s="2647" t="s">
        <v>2074</v>
      </c>
      <c r="H385" s="2647" t="s">
        <v>2074</v>
      </c>
      <c r="I385" s="2647" t="s">
        <v>2074</v>
      </c>
      <c r="J385" s="2647">
        <v>30.7</v>
      </c>
      <c r="K385" s="2648"/>
      <c r="L385" s="2647" t="s">
        <v>2449</v>
      </c>
    </row>
    <row r="386" spans="1:12">
      <c r="A386" s="2646" t="s">
        <v>99</v>
      </c>
      <c r="B386" s="2646" t="s">
        <v>2450</v>
      </c>
      <c r="C386" s="2646">
        <v>47</v>
      </c>
      <c r="D386" s="2646">
        <v>100</v>
      </c>
      <c r="E386" s="2646">
        <v>43</v>
      </c>
      <c r="F386" s="2646" t="s">
        <v>2074</v>
      </c>
      <c r="G386" s="2646" t="s">
        <v>2074</v>
      </c>
      <c r="H386" s="2646" t="s">
        <v>2074</v>
      </c>
      <c r="I386" s="2646" t="s">
        <v>2074</v>
      </c>
      <c r="J386" s="2646">
        <v>1.66</v>
      </c>
      <c r="L386" s="2646">
        <v>7909</v>
      </c>
    </row>
    <row r="387" spans="1:12">
      <c r="A387" s="2647" t="s">
        <v>99</v>
      </c>
      <c r="B387" s="2647" t="s">
        <v>2451</v>
      </c>
      <c r="C387" s="2647">
        <v>48</v>
      </c>
      <c r="D387" s="2647">
        <v>112</v>
      </c>
      <c r="E387" s="2647">
        <v>29.5</v>
      </c>
      <c r="F387" s="2647" t="s">
        <v>2074</v>
      </c>
      <c r="G387" s="2647" t="s">
        <v>2074</v>
      </c>
      <c r="H387" s="2647" t="s">
        <v>2074</v>
      </c>
      <c r="I387" s="2647" t="s">
        <v>2074</v>
      </c>
      <c r="J387" s="2647">
        <v>1.66</v>
      </c>
      <c r="K387" s="2648"/>
      <c r="L387" s="2647" t="s">
        <v>2088</v>
      </c>
    </row>
    <row r="388" spans="1:12">
      <c r="A388" s="2646" t="s">
        <v>99</v>
      </c>
      <c r="B388" s="2646" t="s">
        <v>2452</v>
      </c>
      <c r="C388" s="2646">
        <v>57.15</v>
      </c>
      <c r="D388" s="2646">
        <v>104.77500000000001</v>
      </c>
      <c r="E388" s="2646">
        <v>30.161999999999999</v>
      </c>
      <c r="F388" s="2646" t="s">
        <v>2074</v>
      </c>
      <c r="G388" s="2646" t="s">
        <v>2074</v>
      </c>
      <c r="H388" s="2646" t="s">
        <v>2074</v>
      </c>
      <c r="I388" s="2646" t="s">
        <v>2074</v>
      </c>
      <c r="J388" s="2646">
        <v>1.03</v>
      </c>
      <c r="L388" s="2646">
        <v>7911</v>
      </c>
    </row>
    <row r="389" spans="1:12">
      <c r="A389" s="2647" t="s">
        <v>99</v>
      </c>
      <c r="B389" s="2647" t="s">
        <v>2453</v>
      </c>
      <c r="C389" s="2647">
        <v>66.674999999999997</v>
      </c>
      <c r="D389" s="2647">
        <v>112.71299999999999</v>
      </c>
      <c r="E389" s="2647">
        <v>30.163</v>
      </c>
      <c r="F389" s="2647" t="s">
        <v>2074</v>
      </c>
      <c r="G389" s="2647" t="s">
        <v>2074</v>
      </c>
      <c r="H389" s="2647" t="s">
        <v>2074</v>
      </c>
      <c r="I389" s="2647" t="s">
        <v>2074</v>
      </c>
      <c r="J389" s="2647">
        <v>1.143</v>
      </c>
      <c r="K389" s="2648"/>
      <c r="L389" s="2647" t="s">
        <v>2088</v>
      </c>
    </row>
    <row r="390" spans="1:12">
      <c r="A390" s="2646" t="s">
        <v>99</v>
      </c>
      <c r="B390" s="2646" t="s">
        <v>2454</v>
      </c>
      <c r="C390" s="2646">
        <v>107.95</v>
      </c>
      <c r="D390" s="2646">
        <v>168.27500000000001</v>
      </c>
      <c r="E390" s="2646">
        <v>36.572000000000003</v>
      </c>
      <c r="F390" s="2646" t="s">
        <v>2074</v>
      </c>
      <c r="G390" s="2646" t="s">
        <v>2074</v>
      </c>
      <c r="H390" s="2646" t="s">
        <v>2074</v>
      </c>
      <c r="I390" s="2646" t="s">
        <v>2074</v>
      </c>
      <c r="J390" s="2646">
        <v>3.26</v>
      </c>
      <c r="L390" s="2646" t="s">
        <v>2088</v>
      </c>
    </row>
    <row r="391" spans="1:12">
      <c r="A391" s="2647" t="s">
        <v>99</v>
      </c>
      <c r="B391" s="2647" t="s">
        <v>2455</v>
      </c>
      <c r="C391" s="2647">
        <v>127</v>
      </c>
      <c r="D391" s="2647">
        <v>182.56200000000001</v>
      </c>
      <c r="E391" s="2647">
        <v>39.688000000000002</v>
      </c>
      <c r="F391" s="2647" t="s">
        <v>2074</v>
      </c>
      <c r="G391" s="2647" t="s">
        <v>2074</v>
      </c>
      <c r="H391" s="2647" t="s">
        <v>2074</v>
      </c>
      <c r="I391" s="2647" t="s">
        <v>2074</v>
      </c>
      <c r="J391" s="2647">
        <v>3.31</v>
      </c>
      <c r="K391" s="2648"/>
      <c r="L391" s="2647" t="s">
        <v>2456</v>
      </c>
    </row>
    <row r="392" spans="1:12">
      <c r="A392" s="2646" t="s">
        <v>99</v>
      </c>
      <c r="B392" s="2646" t="s">
        <v>2457</v>
      </c>
      <c r="C392" s="2646">
        <v>136.52500000000001</v>
      </c>
      <c r="D392" s="2646">
        <v>190.5</v>
      </c>
      <c r="E392" s="2646">
        <v>39.688000000000002</v>
      </c>
      <c r="F392" s="2646" t="s">
        <v>2074</v>
      </c>
      <c r="G392" s="2646" t="s">
        <v>2074</v>
      </c>
      <c r="H392" s="2646" t="s">
        <v>2074</v>
      </c>
      <c r="I392" s="2646" t="s">
        <v>2074</v>
      </c>
      <c r="J392" s="2646">
        <v>3.43</v>
      </c>
      <c r="L392" s="2646" t="s">
        <v>2458</v>
      </c>
    </row>
    <row r="393" spans="1:12">
      <c r="A393" s="2647" t="s">
        <v>99</v>
      </c>
      <c r="B393" s="2647" t="s">
        <v>2459</v>
      </c>
      <c r="C393" s="2647">
        <v>254</v>
      </c>
      <c r="D393" s="2647">
        <v>422.27499999999998</v>
      </c>
      <c r="E393" s="2647">
        <v>86.1</v>
      </c>
      <c r="F393" s="2647" t="s">
        <v>2074</v>
      </c>
      <c r="G393" s="2647" t="s">
        <v>2074</v>
      </c>
      <c r="H393" s="2647" t="s">
        <v>2074</v>
      </c>
      <c r="I393" s="2647" t="s">
        <v>2074</v>
      </c>
      <c r="J393" s="2647">
        <v>3.43</v>
      </c>
      <c r="K393" s="2648"/>
      <c r="L393" s="2647" t="s">
        <v>2088</v>
      </c>
    </row>
    <row r="394" spans="1:12">
      <c r="A394" s="2646" t="s">
        <v>99</v>
      </c>
      <c r="B394" s="2646">
        <v>31303</v>
      </c>
      <c r="C394" s="2646">
        <v>17</v>
      </c>
      <c r="D394" s="2646">
        <v>47</v>
      </c>
      <c r="E394" s="2646">
        <v>15.5</v>
      </c>
      <c r="F394" s="2646" t="s">
        <v>2074</v>
      </c>
      <c r="G394" s="2646" t="s">
        <v>2074</v>
      </c>
      <c r="H394" s="2646" t="s">
        <v>2074</v>
      </c>
      <c r="I394" s="2646" t="s">
        <v>2074</v>
      </c>
      <c r="J394" s="2646">
        <v>0.13</v>
      </c>
      <c r="L394" s="2646" t="s">
        <v>2460</v>
      </c>
    </row>
    <row r="395" spans="1:12">
      <c r="A395" s="2647" t="s">
        <v>99</v>
      </c>
      <c r="B395" s="2647">
        <v>31304</v>
      </c>
      <c r="C395" s="2647">
        <v>20</v>
      </c>
      <c r="D395" s="2647">
        <v>52</v>
      </c>
      <c r="E395" s="2647">
        <v>16.5</v>
      </c>
      <c r="F395" s="2647" t="s">
        <v>2074</v>
      </c>
      <c r="G395" s="2647" t="s">
        <v>2074</v>
      </c>
      <c r="H395" s="2647" t="s">
        <v>2074</v>
      </c>
      <c r="I395" s="2647" t="s">
        <v>2074</v>
      </c>
      <c r="J395" s="2647">
        <v>0.17</v>
      </c>
      <c r="K395" s="2648"/>
      <c r="L395" s="2647" t="s">
        <v>2088</v>
      </c>
    </row>
    <row r="396" spans="1:12">
      <c r="A396" s="2646" t="s">
        <v>99</v>
      </c>
      <c r="B396" s="2646">
        <v>313010</v>
      </c>
      <c r="C396" s="2646">
        <v>50</v>
      </c>
      <c r="D396" s="2646">
        <v>110</v>
      </c>
      <c r="E396" s="2646">
        <v>29.5</v>
      </c>
      <c r="F396" s="2646" t="s">
        <v>2074</v>
      </c>
      <c r="G396" s="2646" t="s">
        <v>2074</v>
      </c>
      <c r="H396" s="2646" t="s">
        <v>2074</v>
      </c>
      <c r="I396" s="2646" t="s">
        <v>2074</v>
      </c>
      <c r="J396" s="2646">
        <v>1.23</v>
      </c>
      <c r="L396" s="2646" t="s">
        <v>2088</v>
      </c>
    </row>
    <row r="397" spans="1:12">
      <c r="A397" s="2647" t="s">
        <v>99</v>
      </c>
      <c r="B397" s="2647">
        <v>31332</v>
      </c>
      <c r="C397" s="2647">
        <v>160</v>
      </c>
      <c r="D397" s="2647">
        <v>340</v>
      </c>
      <c r="E397" s="2647">
        <v>88</v>
      </c>
      <c r="F397" s="2647" t="s">
        <v>2074</v>
      </c>
      <c r="G397" s="2647" t="s">
        <v>2074</v>
      </c>
      <c r="H397" s="2647" t="s">
        <v>2074</v>
      </c>
      <c r="I397" s="2647" t="s">
        <v>2074</v>
      </c>
      <c r="J397" s="2647">
        <v>29.9</v>
      </c>
      <c r="K397" s="2648"/>
      <c r="L397" s="2647" t="s">
        <v>2461</v>
      </c>
    </row>
    <row r="398" spans="1:12">
      <c r="A398" s="2646" t="s">
        <v>99</v>
      </c>
      <c r="B398" s="2646" t="s">
        <v>2462</v>
      </c>
      <c r="C398" s="2646">
        <v>30</v>
      </c>
      <c r="D398" s="2646">
        <v>72</v>
      </c>
      <c r="E398" s="2646">
        <v>24.5</v>
      </c>
      <c r="F398" s="2646" t="s">
        <v>2074</v>
      </c>
      <c r="G398" s="2646" t="s">
        <v>2074</v>
      </c>
      <c r="H398" s="2646" t="s">
        <v>2074</v>
      </c>
      <c r="I398" s="2646" t="s">
        <v>2074</v>
      </c>
      <c r="J398" s="2646">
        <v>0.47199999999999998</v>
      </c>
      <c r="L398" s="2646" t="s">
        <v>2088</v>
      </c>
    </row>
    <row r="399" spans="1:12">
      <c r="A399" s="2647" t="s">
        <v>99</v>
      </c>
      <c r="B399" s="2647" t="s">
        <v>2463</v>
      </c>
      <c r="C399" s="2647">
        <v>45</v>
      </c>
      <c r="D399" s="2647">
        <v>100</v>
      </c>
      <c r="E399" s="2647">
        <v>32</v>
      </c>
      <c r="F399" s="2647" t="s">
        <v>2074</v>
      </c>
      <c r="G399" s="2647" t="s">
        <v>2074</v>
      </c>
      <c r="H399" s="2647" t="s">
        <v>2074</v>
      </c>
      <c r="I399" s="2647" t="s">
        <v>2074</v>
      </c>
      <c r="J399" s="2647">
        <v>1.04</v>
      </c>
      <c r="K399" s="2648"/>
      <c r="L399" s="2647" t="s">
        <v>2464</v>
      </c>
    </row>
    <row r="400" spans="1:12">
      <c r="A400" s="2646" t="s">
        <v>99</v>
      </c>
      <c r="B400" s="2646" t="s">
        <v>2465</v>
      </c>
      <c r="C400" s="2646">
        <v>55</v>
      </c>
      <c r="D400" s="2646">
        <v>125</v>
      </c>
      <c r="E400" s="2646">
        <v>37</v>
      </c>
      <c r="F400" s="2646" t="s">
        <v>2074</v>
      </c>
      <c r="G400" s="2646" t="s">
        <v>2074</v>
      </c>
      <c r="H400" s="2646" t="s">
        <v>2074</v>
      </c>
      <c r="I400" s="2646" t="s">
        <v>2074</v>
      </c>
      <c r="J400" s="2646">
        <v>2.1</v>
      </c>
      <c r="L400" s="2646" t="s">
        <v>2466</v>
      </c>
    </row>
    <row r="401" spans="1:12">
      <c r="A401" s="2647" t="s">
        <v>99</v>
      </c>
      <c r="B401" s="2647" t="s">
        <v>2467</v>
      </c>
      <c r="C401" s="2647">
        <v>100</v>
      </c>
      <c r="D401" s="2647">
        <v>190</v>
      </c>
      <c r="E401" s="2647">
        <v>125</v>
      </c>
      <c r="F401" s="2647" t="s">
        <v>2074</v>
      </c>
      <c r="G401" s="2647" t="s">
        <v>2074</v>
      </c>
      <c r="H401" s="2647" t="s">
        <v>2074</v>
      </c>
      <c r="I401" s="2647" t="s">
        <v>2074</v>
      </c>
      <c r="J401" s="2647">
        <v>15</v>
      </c>
      <c r="K401" s="2648"/>
      <c r="L401" s="2647">
        <v>37720</v>
      </c>
    </row>
    <row r="402" spans="1:12">
      <c r="A402" s="2646" t="s">
        <v>99</v>
      </c>
      <c r="B402" s="2646" t="s">
        <v>2468</v>
      </c>
      <c r="C402" s="2646">
        <v>130</v>
      </c>
      <c r="D402" s="2646">
        <v>235</v>
      </c>
      <c r="E402" s="2646">
        <v>145</v>
      </c>
      <c r="F402" s="2646" t="s">
        <v>2074</v>
      </c>
      <c r="G402" s="2646" t="s">
        <v>2074</v>
      </c>
      <c r="H402" s="2646" t="s">
        <v>2074</v>
      </c>
      <c r="I402" s="2646" t="s">
        <v>2074</v>
      </c>
      <c r="J402" s="2646">
        <v>24.7</v>
      </c>
      <c r="L402" s="2646" t="s">
        <v>2088</v>
      </c>
    </row>
    <row r="403" spans="1:12">
      <c r="A403" s="2647" t="s">
        <v>99</v>
      </c>
      <c r="B403" s="2647" t="s">
        <v>2469</v>
      </c>
      <c r="C403" s="2647">
        <v>160</v>
      </c>
      <c r="D403" s="2647">
        <v>270</v>
      </c>
      <c r="E403" s="2647">
        <v>140</v>
      </c>
      <c r="F403" s="2647" t="s">
        <v>2074</v>
      </c>
      <c r="G403" s="2647" t="s">
        <v>2074</v>
      </c>
      <c r="H403" s="2647" t="s">
        <v>2074</v>
      </c>
      <c r="I403" s="2647" t="s">
        <v>2074</v>
      </c>
      <c r="J403" s="2647">
        <v>26.7</v>
      </c>
      <c r="K403" s="2648"/>
      <c r="L403" s="2647" t="s">
        <v>2088</v>
      </c>
    </row>
    <row r="404" spans="1:12">
      <c r="A404" s="2646" t="s">
        <v>99</v>
      </c>
      <c r="B404" s="2646" t="s">
        <v>2470</v>
      </c>
      <c r="C404" s="2646">
        <v>180</v>
      </c>
      <c r="D404" s="2646">
        <v>285</v>
      </c>
      <c r="E404" s="2646">
        <v>108</v>
      </c>
      <c r="F404" s="2646" t="s">
        <v>2074</v>
      </c>
      <c r="G404" s="2646" t="s">
        <v>2074</v>
      </c>
      <c r="H404" s="2646" t="s">
        <v>2074</v>
      </c>
      <c r="I404" s="2646" t="s">
        <v>2074</v>
      </c>
      <c r="J404" s="2646">
        <v>32.200000000000003</v>
      </c>
      <c r="L404" s="2646">
        <v>37736</v>
      </c>
    </row>
    <row r="405" spans="1:12">
      <c r="A405" s="2647" t="s">
        <v>99</v>
      </c>
      <c r="B405" s="2647" t="s">
        <v>2471</v>
      </c>
      <c r="C405" s="2647">
        <v>205</v>
      </c>
      <c r="D405" s="2647">
        <v>320</v>
      </c>
      <c r="E405" s="2647">
        <v>150</v>
      </c>
      <c r="F405" s="2647" t="s">
        <v>2074</v>
      </c>
      <c r="G405" s="2647" t="s">
        <v>2074</v>
      </c>
      <c r="H405" s="2647" t="s">
        <v>2074</v>
      </c>
      <c r="I405" s="2647" t="s">
        <v>2074</v>
      </c>
      <c r="J405" s="2647">
        <v>40.200000000000003</v>
      </c>
      <c r="K405" s="2648"/>
      <c r="L405" s="2647" t="s">
        <v>2088</v>
      </c>
    </row>
    <row r="406" spans="1:12">
      <c r="A406" s="2646" t="s">
        <v>99</v>
      </c>
      <c r="B406" s="2646" t="s">
        <v>2472</v>
      </c>
      <c r="C406" s="2646">
        <v>225</v>
      </c>
      <c r="D406" s="2646">
        <v>360</v>
      </c>
      <c r="E406" s="2646">
        <v>146.5</v>
      </c>
      <c r="F406" s="2646" t="s">
        <v>2074</v>
      </c>
      <c r="G406" s="2646" t="s">
        <v>2074</v>
      </c>
      <c r="H406" s="2646" t="s">
        <v>2074</v>
      </c>
      <c r="I406" s="2646" t="s">
        <v>2074</v>
      </c>
      <c r="J406" s="2646">
        <v>48.2</v>
      </c>
      <c r="L406" s="2646">
        <v>37745</v>
      </c>
    </row>
    <row r="407" spans="1:12">
      <c r="A407" s="2647" t="s">
        <v>99</v>
      </c>
      <c r="B407" s="2647" t="s">
        <v>2473</v>
      </c>
      <c r="C407" s="2647">
        <v>230</v>
      </c>
      <c r="D407" s="2647">
        <v>355</v>
      </c>
      <c r="E407" s="2647">
        <v>145</v>
      </c>
      <c r="F407" s="2647" t="s">
        <v>2074</v>
      </c>
      <c r="G407" s="2647" t="s">
        <v>2074</v>
      </c>
      <c r="H407" s="2647" t="s">
        <v>2074</v>
      </c>
      <c r="I407" s="2647" t="s">
        <v>2074</v>
      </c>
      <c r="J407" s="2647">
        <v>43.2</v>
      </c>
      <c r="K407" s="2648"/>
      <c r="L407" s="2647" t="s">
        <v>2088</v>
      </c>
    </row>
    <row r="408" spans="1:12">
      <c r="A408" s="2646" t="s">
        <v>99</v>
      </c>
      <c r="B408" s="2646" t="s">
        <v>2474</v>
      </c>
      <c r="C408" s="2646">
        <v>260</v>
      </c>
      <c r="D408" s="2646">
        <v>430</v>
      </c>
      <c r="E408" s="2646">
        <v>180</v>
      </c>
      <c r="F408" s="2646" t="s">
        <v>2074</v>
      </c>
      <c r="G408" s="2646" t="s">
        <v>2074</v>
      </c>
      <c r="H408" s="2646" t="s">
        <v>2074</v>
      </c>
      <c r="I408" s="2646" t="s">
        <v>2074</v>
      </c>
      <c r="J408" s="2646">
        <v>87.9</v>
      </c>
      <c r="L408" s="2646">
        <v>37752</v>
      </c>
    </row>
    <row r="409" spans="1:12">
      <c r="A409" s="2647" t="s">
        <v>99</v>
      </c>
      <c r="B409" s="2647" t="s">
        <v>2475</v>
      </c>
      <c r="C409" s="2647">
        <v>340</v>
      </c>
      <c r="D409" s="2647">
        <v>500</v>
      </c>
      <c r="E409" s="2647">
        <v>155</v>
      </c>
      <c r="F409" s="2647" t="s">
        <v>2074</v>
      </c>
      <c r="G409" s="2647" t="s">
        <v>2074</v>
      </c>
      <c r="H409" s="2647" t="s">
        <v>2074</v>
      </c>
      <c r="I409" s="2647" t="s">
        <v>2074</v>
      </c>
      <c r="J409" s="2647">
        <v>94.5</v>
      </c>
      <c r="K409" s="2648"/>
      <c r="L409" s="2647">
        <v>37768</v>
      </c>
    </row>
    <row r="410" spans="1:12">
      <c r="A410" s="2646" t="s">
        <v>99</v>
      </c>
      <c r="B410" s="2646" t="s">
        <v>2476</v>
      </c>
      <c r="C410" s="2646">
        <v>360</v>
      </c>
      <c r="D410" s="2646">
        <v>530</v>
      </c>
      <c r="E410" s="2646">
        <v>155</v>
      </c>
      <c r="F410" s="2646" t="s">
        <v>2074</v>
      </c>
      <c r="G410" s="2646" t="s">
        <v>2074</v>
      </c>
      <c r="H410" s="2646" t="s">
        <v>2074</v>
      </c>
      <c r="I410" s="2646" t="s">
        <v>2074</v>
      </c>
      <c r="J410" s="2646">
        <v>109</v>
      </c>
      <c r="L410" s="2646">
        <v>37772</v>
      </c>
    </row>
    <row r="411" spans="1:12">
      <c r="A411" s="2647" t="s">
        <v>99</v>
      </c>
      <c r="B411" s="2647" t="s">
        <v>2477</v>
      </c>
      <c r="C411" s="2647">
        <v>400</v>
      </c>
      <c r="D411" s="2647">
        <v>590</v>
      </c>
      <c r="E411" s="2647">
        <v>185</v>
      </c>
      <c r="F411" s="2647" t="s">
        <v>2074</v>
      </c>
      <c r="G411" s="2647" t="s">
        <v>2074</v>
      </c>
      <c r="H411" s="2647" t="s">
        <v>2074</v>
      </c>
      <c r="I411" s="2647" t="s">
        <v>2074</v>
      </c>
      <c r="J411" s="2647">
        <v>166</v>
      </c>
      <c r="K411" s="2648"/>
      <c r="L411" s="2647">
        <v>37780</v>
      </c>
    </row>
    <row r="412" spans="1:12">
      <c r="A412" s="2646" t="s">
        <v>99</v>
      </c>
      <c r="B412" s="2646" t="s">
        <v>2478</v>
      </c>
      <c r="C412" s="2646">
        <v>420</v>
      </c>
      <c r="D412" s="2646">
        <v>620</v>
      </c>
      <c r="E412" s="2646">
        <v>190</v>
      </c>
      <c r="F412" s="2646" t="s">
        <v>2074</v>
      </c>
      <c r="G412" s="2646" t="s">
        <v>2074</v>
      </c>
      <c r="H412" s="2646" t="s">
        <v>2074</v>
      </c>
      <c r="I412" s="2646" t="s">
        <v>2074</v>
      </c>
      <c r="J412" s="2646">
        <v>170.98</v>
      </c>
      <c r="L412" s="2646">
        <v>37784</v>
      </c>
    </row>
    <row r="413" spans="1:12">
      <c r="A413" s="2647" t="s">
        <v>99</v>
      </c>
      <c r="B413" s="2647" t="s">
        <v>2479</v>
      </c>
      <c r="C413" s="2647">
        <v>300</v>
      </c>
      <c r="D413" s="2647">
        <v>440</v>
      </c>
      <c r="E413" s="2647">
        <v>140</v>
      </c>
      <c r="F413" s="2647" t="s">
        <v>2074</v>
      </c>
      <c r="G413" s="2647" t="s">
        <v>2074</v>
      </c>
      <c r="H413" s="2647" t="s">
        <v>2074</v>
      </c>
      <c r="I413" s="2647" t="s">
        <v>2074</v>
      </c>
      <c r="J413" s="2647">
        <v>300</v>
      </c>
      <c r="K413" s="2648"/>
      <c r="L413" s="2647">
        <v>37860</v>
      </c>
    </row>
    <row r="414" spans="1:12">
      <c r="A414" s="2646" t="s">
        <v>99</v>
      </c>
      <c r="B414" s="2646" t="s">
        <v>2480</v>
      </c>
      <c r="C414" s="2646">
        <v>203</v>
      </c>
      <c r="D414" s="2646">
        <v>276</v>
      </c>
      <c r="E414" s="2646">
        <v>95</v>
      </c>
      <c r="F414" s="2646" t="s">
        <v>2074</v>
      </c>
      <c r="G414" s="2646" t="s">
        <v>2074</v>
      </c>
      <c r="H414" s="2646" t="s">
        <v>2074</v>
      </c>
      <c r="I414" s="2646" t="s">
        <v>2074</v>
      </c>
      <c r="J414" s="2646">
        <v>14.8</v>
      </c>
      <c r="L414" s="2646" t="s">
        <v>2088</v>
      </c>
    </row>
    <row r="415" spans="1:12">
      <c r="A415" s="2647" t="s">
        <v>99</v>
      </c>
      <c r="B415" s="2647" t="s">
        <v>2481</v>
      </c>
      <c r="C415" s="2647">
        <v>50</v>
      </c>
      <c r="D415" s="2647">
        <v>110</v>
      </c>
      <c r="E415" s="2647">
        <v>29.75</v>
      </c>
      <c r="F415" s="2647" t="s">
        <v>2074</v>
      </c>
      <c r="G415" s="2647" t="s">
        <v>2074</v>
      </c>
      <c r="H415" s="2647" t="s">
        <v>2074</v>
      </c>
      <c r="I415" s="2647" t="s">
        <v>2074</v>
      </c>
      <c r="J415" s="2647">
        <v>14.8</v>
      </c>
      <c r="K415" s="2648"/>
      <c r="L415" s="2647" t="s">
        <v>2088</v>
      </c>
    </row>
    <row r="416" spans="1:12">
      <c r="A416" s="2646" t="s">
        <v>99</v>
      </c>
      <c r="B416" s="2646" t="s">
        <v>2482</v>
      </c>
      <c r="C416" s="2646">
        <v>75</v>
      </c>
      <c r="D416" s="2646">
        <v>130</v>
      </c>
      <c r="E416" s="2646">
        <v>33.5</v>
      </c>
      <c r="F416" s="2646" t="s">
        <v>2074</v>
      </c>
      <c r="G416" s="2646" t="s">
        <v>2074</v>
      </c>
      <c r="H416" s="2646" t="s">
        <v>2074</v>
      </c>
      <c r="I416" s="2646" t="s">
        <v>2074</v>
      </c>
      <c r="J416" s="2646">
        <v>14.8</v>
      </c>
      <c r="L416" s="2646">
        <v>67515</v>
      </c>
    </row>
    <row r="417" spans="1:12">
      <c r="A417" s="2647" t="s">
        <v>99</v>
      </c>
      <c r="B417" s="2647" t="s">
        <v>2483</v>
      </c>
      <c r="C417" s="2647">
        <v>90</v>
      </c>
      <c r="D417" s="2647">
        <v>110</v>
      </c>
      <c r="E417" s="2647">
        <v>42.5</v>
      </c>
      <c r="F417" s="2647" t="s">
        <v>2074</v>
      </c>
      <c r="G417" s="2647" t="s">
        <v>2074</v>
      </c>
      <c r="H417" s="2647" t="s">
        <v>2074</v>
      </c>
      <c r="I417" s="2647" t="s">
        <v>2074</v>
      </c>
      <c r="J417" s="2647">
        <v>14.8</v>
      </c>
      <c r="K417" s="2648"/>
      <c r="L417" s="2647">
        <v>67518</v>
      </c>
    </row>
    <row r="418" spans="1:12">
      <c r="A418" s="2646" t="s">
        <v>99</v>
      </c>
      <c r="B418" s="2646" t="s">
        <v>2484</v>
      </c>
      <c r="C418" s="2646">
        <v>70</v>
      </c>
      <c r="D418" s="2646">
        <v>120</v>
      </c>
      <c r="E418" s="2646">
        <v>45</v>
      </c>
      <c r="F418" s="2646" t="s">
        <v>2074</v>
      </c>
      <c r="G418" s="2646" t="s">
        <v>2074</v>
      </c>
      <c r="H418" s="2646" t="s">
        <v>2074</v>
      </c>
      <c r="I418" s="2646" t="s">
        <v>2074</v>
      </c>
      <c r="J418" s="2646">
        <v>1.94</v>
      </c>
      <c r="L418" s="2646">
        <v>67714</v>
      </c>
    </row>
    <row r="419" spans="1:12">
      <c r="A419" s="2647" t="s">
        <v>99</v>
      </c>
      <c r="B419" s="2647" t="s">
        <v>2485</v>
      </c>
      <c r="C419" s="2647">
        <v>140</v>
      </c>
      <c r="D419" s="2647">
        <v>230</v>
      </c>
      <c r="E419" s="2647">
        <v>58</v>
      </c>
      <c r="F419" s="2647" t="s">
        <v>2074</v>
      </c>
      <c r="G419" s="2647" t="s">
        <v>2074</v>
      </c>
      <c r="H419" s="2647" t="s">
        <v>2074</v>
      </c>
      <c r="I419" s="2647" t="s">
        <v>2074</v>
      </c>
      <c r="J419" s="2647">
        <v>1.94</v>
      </c>
      <c r="K419" s="2648"/>
      <c r="L419" s="2647">
        <v>67728</v>
      </c>
    </row>
    <row r="420" spans="1:12">
      <c r="A420" s="2646" t="s">
        <v>99</v>
      </c>
      <c r="B420" s="2646" t="s">
        <v>2486</v>
      </c>
      <c r="C420" s="2646">
        <v>622</v>
      </c>
      <c r="D420" s="2646">
        <v>734</v>
      </c>
      <c r="E420" s="2646">
        <v>46</v>
      </c>
      <c r="F420" s="2646" t="s">
        <v>2074</v>
      </c>
      <c r="G420" s="2646" t="s">
        <v>2074</v>
      </c>
      <c r="H420" s="2646" t="s">
        <v>2074</v>
      </c>
      <c r="I420" s="2646" t="s">
        <v>2074</v>
      </c>
      <c r="J420" s="2646">
        <v>33.6</v>
      </c>
      <c r="L420" s="2646" t="s">
        <v>2088</v>
      </c>
    </row>
    <row r="421" spans="1:12">
      <c r="A421" s="2647" t="s">
        <v>99</v>
      </c>
      <c r="B421" s="2647">
        <v>381068</v>
      </c>
      <c r="C421" s="2647">
        <v>340</v>
      </c>
      <c r="D421" s="2647">
        <v>520</v>
      </c>
      <c r="E421" s="2647">
        <v>325</v>
      </c>
      <c r="F421" s="2647" t="s">
        <v>2074</v>
      </c>
      <c r="G421" s="2647" t="s">
        <v>2074</v>
      </c>
      <c r="H421" s="2647" t="s">
        <v>2074</v>
      </c>
      <c r="I421" s="2647" t="s">
        <v>2074</v>
      </c>
      <c r="J421" s="2647">
        <v>234</v>
      </c>
      <c r="K421" s="2648"/>
      <c r="L421" s="2647">
        <v>77168</v>
      </c>
    </row>
    <row r="422" spans="1:12">
      <c r="A422" s="2646" t="s">
        <v>99</v>
      </c>
      <c r="B422" s="2646" t="s">
        <v>2487</v>
      </c>
      <c r="C422" s="2646">
        <v>360</v>
      </c>
      <c r="D422" s="2646">
        <v>540</v>
      </c>
      <c r="E422" s="2646">
        <v>325</v>
      </c>
      <c r="F422" s="2646" t="s">
        <v>2074</v>
      </c>
      <c r="G422" s="2646" t="s">
        <v>2074</v>
      </c>
      <c r="H422" s="2646" t="s">
        <v>2074</v>
      </c>
      <c r="I422" s="2646" t="s">
        <v>2074</v>
      </c>
      <c r="J422" s="2646">
        <v>248</v>
      </c>
      <c r="L422" s="2646" t="s">
        <v>2488</v>
      </c>
    </row>
    <row r="423" spans="1:12">
      <c r="A423" s="2647" t="s">
        <v>99</v>
      </c>
      <c r="B423" s="2647">
        <v>381076</v>
      </c>
      <c r="C423" s="2647">
        <v>380</v>
      </c>
      <c r="D423" s="2647">
        <v>560</v>
      </c>
      <c r="E423" s="2647">
        <v>325</v>
      </c>
      <c r="F423" s="2647" t="s">
        <v>2074</v>
      </c>
      <c r="G423" s="2647" t="s">
        <v>2074</v>
      </c>
      <c r="H423" s="2647" t="s">
        <v>2074</v>
      </c>
      <c r="I423" s="2647" t="s">
        <v>2074</v>
      </c>
      <c r="J423" s="2647">
        <v>281</v>
      </c>
      <c r="K423" s="2648"/>
      <c r="L423" s="2647">
        <v>77176</v>
      </c>
    </row>
    <row r="424" spans="1:12">
      <c r="A424" s="2646" t="s">
        <v>99</v>
      </c>
      <c r="B424" s="2646">
        <v>381080</v>
      </c>
      <c r="C424" s="2646">
        <v>400</v>
      </c>
      <c r="D424" s="2646">
        <v>600</v>
      </c>
      <c r="E424" s="2646">
        <v>356</v>
      </c>
      <c r="F424" s="2646" t="s">
        <v>2074</v>
      </c>
      <c r="G424" s="2646" t="s">
        <v>2074</v>
      </c>
      <c r="H424" s="2646" t="s">
        <v>2074</v>
      </c>
      <c r="I424" s="2646" t="s">
        <v>2074</v>
      </c>
      <c r="J424" s="2646">
        <v>317</v>
      </c>
      <c r="L424" s="2646">
        <v>77180</v>
      </c>
    </row>
    <row r="425" spans="1:12">
      <c r="A425" s="2647" t="s">
        <v>99</v>
      </c>
      <c r="B425" s="2647">
        <v>381084</v>
      </c>
      <c r="C425" s="2647">
        <v>420</v>
      </c>
      <c r="D425" s="2647">
        <v>620</v>
      </c>
      <c r="E425" s="2647">
        <v>356</v>
      </c>
      <c r="F425" s="2647" t="s">
        <v>2074</v>
      </c>
      <c r="G425" s="2647" t="s">
        <v>2074</v>
      </c>
      <c r="H425" s="2647" t="s">
        <v>2074</v>
      </c>
      <c r="I425" s="2647" t="s">
        <v>2074</v>
      </c>
      <c r="J425" s="2647">
        <v>358</v>
      </c>
      <c r="K425" s="2648"/>
      <c r="L425" s="2647">
        <v>77184</v>
      </c>
    </row>
    <row r="426" spans="1:12">
      <c r="A426" s="2646" t="s">
        <v>99</v>
      </c>
      <c r="B426" s="2646">
        <v>381088</v>
      </c>
      <c r="C426" s="2646">
        <v>440</v>
      </c>
      <c r="D426" s="2646">
        <v>650</v>
      </c>
      <c r="E426" s="2646">
        <v>376</v>
      </c>
      <c r="F426" s="2646" t="s">
        <v>2074</v>
      </c>
      <c r="G426" s="2646" t="s">
        <v>2074</v>
      </c>
      <c r="H426" s="2646" t="s">
        <v>2074</v>
      </c>
      <c r="I426" s="2646" t="s">
        <v>2074</v>
      </c>
      <c r="J426" s="2646">
        <v>401</v>
      </c>
      <c r="L426" s="2646">
        <v>77188</v>
      </c>
    </row>
    <row r="427" spans="1:12">
      <c r="A427" s="2647" t="s">
        <v>99</v>
      </c>
      <c r="B427" s="2647">
        <v>381096</v>
      </c>
      <c r="C427" s="2647">
        <v>480</v>
      </c>
      <c r="D427" s="2647">
        <v>700</v>
      </c>
      <c r="E427" s="2647">
        <v>420</v>
      </c>
      <c r="F427" s="2647" t="s">
        <v>2074</v>
      </c>
      <c r="G427" s="2647" t="s">
        <v>2074</v>
      </c>
      <c r="H427" s="2647" t="s">
        <v>2074</v>
      </c>
      <c r="I427" s="2647" t="s">
        <v>2074</v>
      </c>
      <c r="J427" s="2647">
        <v>547</v>
      </c>
      <c r="K427" s="2648"/>
      <c r="L427" s="2647">
        <v>77196</v>
      </c>
    </row>
    <row r="428" spans="1:12">
      <c r="A428" s="2646" t="s">
        <v>99</v>
      </c>
      <c r="B428" s="2646" t="s">
        <v>2489</v>
      </c>
      <c r="C428" s="2646">
        <v>480</v>
      </c>
      <c r="D428" s="2646">
        <v>700</v>
      </c>
      <c r="E428" s="2646">
        <v>420</v>
      </c>
      <c r="F428" s="2646" t="s">
        <v>2074</v>
      </c>
      <c r="G428" s="2646" t="s">
        <v>2074</v>
      </c>
      <c r="H428" s="2646" t="s">
        <v>2074</v>
      </c>
      <c r="I428" s="2646" t="s">
        <v>2074</v>
      </c>
      <c r="J428" s="2646">
        <v>547</v>
      </c>
      <c r="L428" s="2646" t="s">
        <v>2490</v>
      </c>
    </row>
    <row r="429" spans="1:12">
      <c r="A429" s="2647" t="s">
        <v>99</v>
      </c>
      <c r="B429" s="2647" t="s">
        <v>2491</v>
      </c>
      <c r="C429" s="2647">
        <v>500</v>
      </c>
      <c r="D429" s="2647">
        <v>720</v>
      </c>
      <c r="E429" s="2647">
        <v>420</v>
      </c>
      <c r="F429" s="2647" t="s">
        <v>2074</v>
      </c>
      <c r="G429" s="2647" t="s">
        <v>2074</v>
      </c>
      <c r="H429" s="2647" t="s">
        <v>2074</v>
      </c>
      <c r="I429" s="2647" t="s">
        <v>2074</v>
      </c>
      <c r="J429" s="2647">
        <v>565</v>
      </c>
      <c r="K429" s="2648"/>
      <c r="L429" s="2647" t="s">
        <v>2492</v>
      </c>
    </row>
    <row r="430" spans="1:12">
      <c r="A430" s="2646" t="s">
        <v>99</v>
      </c>
      <c r="B430" s="2646" t="s">
        <v>2493</v>
      </c>
      <c r="C430" s="2646">
        <v>530</v>
      </c>
      <c r="D430" s="2646">
        <v>780</v>
      </c>
      <c r="E430" s="2646">
        <v>450</v>
      </c>
      <c r="F430" s="2646" t="s">
        <v>2074</v>
      </c>
      <c r="G430" s="2646" t="s">
        <v>2074</v>
      </c>
      <c r="H430" s="2646" t="s">
        <v>2074</v>
      </c>
      <c r="I430" s="2646" t="s">
        <v>2074</v>
      </c>
      <c r="J430" s="2646">
        <v>744</v>
      </c>
      <c r="L430" s="2646" t="s">
        <v>2494</v>
      </c>
    </row>
    <row r="431" spans="1:12">
      <c r="A431" s="2647" t="s">
        <v>99</v>
      </c>
      <c r="B431" s="2647" t="s">
        <v>2495</v>
      </c>
      <c r="C431" s="2647">
        <v>600</v>
      </c>
      <c r="D431" s="2647">
        <v>870</v>
      </c>
      <c r="E431" s="2647">
        <v>480</v>
      </c>
      <c r="F431" s="2647" t="s">
        <v>2074</v>
      </c>
      <c r="G431" s="2647" t="s">
        <v>2074</v>
      </c>
      <c r="H431" s="2647" t="s">
        <v>2074</v>
      </c>
      <c r="I431" s="2647" t="s">
        <v>2074</v>
      </c>
      <c r="J431" s="2647">
        <v>995</v>
      </c>
      <c r="K431" s="2648"/>
      <c r="L431" s="2647" t="s">
        <v>2496</v>
      </c>
    </row>
    <row r="432" spans="1:12">
      <c r="A432" s="2646" t="s">
        <v>99</v>
      </c>
      <c r="B432" s="2646" t="s">
        <v>2497</v>
      </c>
      <c r="C432" s="2646">
        <v>630</v>
      </c>
      <c r="D432" s="2646">
        <v>920</v>
      </c>
      <c r="E432" s="2646">
        <v>515</v>
      </c>
      <c r="F432" s="2646" t="s">
        <v>2074</v>
      </c>
      <c r="G432" s="2646" t="s">
        <v>2074</v>
      </c>
      <c r="H432" s="2646" t="s">
        <v>2074</v>
      </c>
      <c r="I432" s="2646" t="s">
        <v>2074</v>
      </c>
      <c r="J432" s="2646">
        <v>1158</v>
      </c>
      <c r="L432" s="2646" t="s">
        <v>2498</v>
      </c>
    </row>
    <row r="433" spans="1:12">
      <c r="A433" s="2647" t="s">
        <v>99</v>
      </c>
      <c r="B433" s="2647" t="s">
        <v>2499</v>
      </c>
      <c r="C433" s="2647">
        <v>710</v>
      </c>
      <c r="D433" s="2647">
        <v>1030</v>
      </c>
      <c r="E433" s="2647">
        <v>555</v>
      </c>
      <c r="F433" s="2647" t="s">
        <v>2074</v>
      </c>
      <c r="G433" s="2647" t="s">
        <v>2074</v>
      </c>
      <c r="H433" s="2647" t="s">
        <v>2074</v>
      </c>
      <c r="I433" s="2647" t="s">
        <v>2074</v>
      </c>
      <c r="J433" s="2647">
        <v>1658</v>
      </c>
      <c r="K433" s="2648"/>
      <c r="L433" s="2647" t="s">
        <v>2500</v>
      </c>
    </row>
    <row r="434" spans="1:12">
      <c r="A434" s="2646" t="s">
        <v>99</v>
      </c>
      <c r="B434" s="2646" t="s">
        <v>2501</v>
      </c>
      <c r="C434" s="2646">
        <v>150</v>
      </c>
      <c r="D434" s="2646">
        <v>225</v>
      </c>
      <c r="E434" s="2646">
        <v>136</v>
      </c>
      <c r="F434" s="2646" t="s">
        <v>2074</v>
      </c>
      <c r="G434" s="2646" t="s">
        <v>2074</v>
      </c>
      <c r="H434" s="2646" t="s">
        <v>2074</v>
      </c>
      <c r="I434" s="2646" t="s">
        <v>2074</v>
      </c>
      <c r="J434" s="2646">
        <v>17.7</v>
      </c>
      <c r="L434" s="2646">
        <v>77730</v>
      </c>
    </row>
    <row r="435" spans="1:12">
      <c r="A435" s="2647" t="s">
        <v>99</v>
      </c>
      <c r="B435" s="2647" t="s">
        <v>2502</v>
      </c>
      <c r="C435" s="2647">
        <v>180</v>
      </c>
      <c r="D435" s="2647">
        <v>280</v>
      </c>
      <c r="E435" s="2647">
        <v>180</v>
      </c>
      <c r="F435" s="2647" t="s">
        <v>2074</v>
      </c>
      <c r="G435" s="2647" t="s">
        <v>2074</v>
      </c>
      <c r="H435" s="2647" t="s">
        <v>2074</v>
      </c>
      <c r="I435" s="2647" t="s">
        <v>2074</v>
      </c>
      <c r="J435" s="2647">
        <v>39.6</v>
      </c>
      <c r="K435" s="2648"/>
      <c r="L435" s="2647">
        <v>77736</v>
      </c>
    </row>
    <row r="436" spans="1:12">
      <c r="A436" s="2646" t="s">
        <v>99</v>
      </c>
      <c r="B436" s="2646" t="s">
        <v>2503</v>
      </c>
      <c r="C436" s="2646">
        <v>250</v>
      </c>
      <c r="D436" s="2646">
        <v>460</v>
      </c>
      <c r="E436" s="2646">
        <v>270</v>
      </c>
      <c r="F436" s="2646" t="s">
        <v>2074</v>
      </c>
      <c r="G436" s="2646" t="s">
        <v>2074</v>
      </c>
      <c r="H436" s="2646" t="s">
        <v>2074</v>
      </c>
      <c r="I436" s="2646" t="s">
        <v>2074</v>
      </c>
      <c r="J436" s="2646">
        <v>55.6</v>
      </c>
      <c r="L436" s="2646" t="s">
        <v>2088</v>
      </c>
    </row>
    <row r="437" spans="1:12">
      <c r="A437" s="2647" t="s">
        <v>99</v>
      </c>
      <c r="B437" s="2647" t="s">
        <v>2504</v>
      </c>
      <c r="C437" s="2647">
        <v>260</v>
      </c>
      <c r="D437" s="2647">
        <v>400</v>
      </c>
      <c r="E437" s="2647">
        <v>225</v>
      </c>
      <c r="F437" s="2647" t="s">
        <v>2074</v>
      </c>
      <c r="G437" s="2647" t="s">
        <v>2074</v>
      </c>
      <c r="H437" s="2647" t="s">
        <v>2074</v>
      </c>
      <c r="I437" s="2647" t="s">
        <v>2074</v>
      </c>
      <c r="J437" s="2647">
        <v>114</v>
      </c>
      <c r="K437" s="2648"/>
      <c r="L437" s="2647" t="s">
        <v>2088</v>
      </c>
    </row>
    <row r="438" spans="1:12">
      <c r="A438" s="2646" t="s">
        <v>99</v>
      </c>
      <c r="B438" s="2646" t="s">
        <v>2505</v>
      </c>
      <c r="C438" s="2646">
        <v>280</v>
      </c>
      <c r="D438" s="2646">
        <v>420</v>
      </c>
      <c r="E438" s="2646">
        <v>250</v>
      </c>
      <c r="F438" s="2646" t="s">
        <v>2074</v>
      </c>
      <c r="G438" s="2646" t="s">
        <v>2074</v>
      </c>
      <c r="H438" s="2646" t="s">
        <v>2074</v>
      </c>
      <c r="I438" s="2646" t="s">
        <v>2074</v>
      </c>
      <c r="J438" s="2646">
        <v>119</v>
      </c>
      <c r="L438" s="2646">
        <v>77756</v>
      </c>
    </row>
    <row r="439" spans="1:12">
      <c r="A439" s="2647" t="s">
        <v>99</v>
      </c>
      <c r="B439" s="2647" t="s">
        <v>2506</v>
      </c>
      <c r="C439" s="2647">
        <v>280</v>
      </c>
      <c r="D439" s="2647">
        <v>420</v>
      </c>
      <c r="E439" s="2647">
        <v>350</v>
      </c>
      <c r="F439" s="2647" t="s">
        <v>2074</v>
      </c>
      <c r="G439" s="2647" t="s">
        <v>2074</v>
      </c>
      <c r="H439" s="2647" t="s">
        <v>2074</v>
      </c>
      <c r="I439" s="2647" t="s">
        <v>2074</v>
      </c>
      <c r="J439" s="2647">
        <v>119</v>
      </c>
      <c r="K439" s="2648"/>
      <c r="L439" s="2647" t="s">
        <v>2088</v>
      </c>
    </row>
    <row r="440" spans="1:12">
      <c r="A440" s="2646" t="s">
        <v>99</v>
      </c>
      <c r="B440" s="2646" t="s">
        <v>2507</v>
      </c>
      <c r="C440" s="2646">
        <v>300</v>
      </c>
      <c r="D440" s="2646">
        <v>500</v>
      </c>
      <c r="E440" s="2646">
        <v>350</v>
      </c>
      <c r="F440" s="2646" t="s">
        <v>2074</v>
      </c>
      <c r="G440" s="2646" t="s">
        <v>2074</v>
      </c>
      <c r="H440" s="2646" t="s">
        <v>2074</v>
      </c>
      <c r="I440" s="2646" t="s">
        <v>2074</v>
      </c>
      <c r="J440" s="2646">
        <v>286</v>
      </c>
      <c r="L440" s="2646" t="s">
        <v>2088</v>
      </c>
    </row>
    <row r="441" spans="1:12">
      <c r="A441" s="2647" t="s">
        <v>99</v>
      </c>
      <c r="B441" s="2647">
        <v>380664</v>
      </c>
      <c r="C441" s="2647">
        <v>320</v>
      </c>
      <c r="D441" s="2647">
        <v>460</v>
      </c>
      <c r="E441" s="2647">
        <v>338</v>
      </c>
      <c r="F441" s="2647" t="s">
        <v>2074</v>
      </c>
      <c r="G441" s="2647" t="s">
        <v>2074</v>
      </c>
      <c r="H441" s="2647" t="s">
        <v>2074</v>
      </c>
      <c r="I441" s="2647" t="s">
        <v>2074</v>
      </c>
      <c r="J441" s="2647">
        <v>180</v>
      </c>
      <c r="K441" s="2648"/>
      <c r="L441" s="2647">
        <v>77764</v>
      </c>
    </row>
    <row r="442" spans="1:12">
      <c r="A442" s="2646" t="s">
        <v>99</v>
      </c>
      <c r="B442" s="2646">
        <v>380676</v>
      </c>
      <c r="C442" s="2646">
        <v>300</v>
      </c>
      <c r="D442" s="2646">
        <v>500</v>
      </c>
      <c r="E442" s="2646">
        <v>350</v>
      </c>
      <c r="F442" s="2646" t="s">
        <v>2074</v>
      </c>
      <c r="G442" s="2646" t="s">
        <v>2074</v>
      </c>
      <c r="H442" s="2646" t="s">
        <v>2074</v>
      </c>
      <c r="I442" s="2646" t="s">
        <v>2074</v>
      </c>
      <c r="J442" s="2646">
        <v>180</v>
      </c>
      <c r="L442" s="2646">
        <v>77776</v>
      </c>
    </row>
    <row r="443" spans="1:12">
      <c r="A443" s="2647" t="s">
        <v>99</v>
      </c>
      <c r="B443" s="2647">
        <v>380679</v>
      </c>
      <c r="C443" s="2647">
        <v>395</v>
      </c>
      <c r="D443" s="2647">
        <v>545</v>
      </c>
      <c r="E443" s="2647">
        <v>288.7</v>
      </c>
      <c r="F443" s="2647" t="s">
        <v>2074</v>
      </c>
      <c r="G443" s="2647" t="s">
        <v>2074</v>
      </c>
      <c r="H443" s="2647" t="s">
        <v>2074</v>
      </c>
      <c r="I443" s="2647" t="s">
        <v>2074</v>
      </c>
      <c r="J443" s="2647">
        <v>194</v>
      </c>
      <c r="K443" s="2648"/>
      <c r="L443" s="2647">
        <v>77779</v>
      </c>
    </row>
    <row r="444" spans="1:12">
      <c r="A444" s="2646" t="s">
        <v>99</v>
      </c>
      <c r="B444" s="2646" t="s">
        <v>2508</v>
      </c>
      <c r="C444" s="2646">
        <v>440</v>
      </c>
      <c r="D444" s="2646">
        <v>650</v>
      </c>
      <c r="E444" s="2646">
        <v>335</v>
      </c>
      <c r="F444" s="2646" t="s">
        <v>2074</v>
      </c>
      <c r="G444" s="2646" t="s">
        <v>2074</v>
      </c>
      <c r="H444" s="2646" t="s">
        <v>2074</v>
      </c>
      <c r="I444" s="2646" t="s">
        <v>2074</v>
      </c>
      <c r="J444" s="2646">
        <v>385</v>
      </c>
      <c r="L444" s="2646">
        <v>77788</v>
      </c>
    </row>
    <row r="445" spans="1:12">
      <c r="A445" s="2647" t="s">
        <v>99</v>
      </c>
      <c r="B445" s="2647">
        <v>380692</v>
      </c>
      <c r="C445" s="2647">
        <v>460</v>
      </c>
      <c r="D445" s="2647">
        <v>730</v>
      </c>
      <c r="E445" s="2647">
        <v>440</v>
      </c>
      <c r="F445" s="2647" t="s">
        <v>2074</v>
      </c>
      <c r="G445" s="2647" t="s">
        <v>2074</v>
      </c>
      <c r="H445" s="2647" t="s">
        <v>2074</v>
      </c>
      <c r="I445" s="2647" t="s">
        <v>2074</v>
      </c>
      <c r="J445" s="2647">
        <v>694</v>
      </c>
      <c r="K445" s="2648"/>
      <c r="L445" s="2647">
        <v>77892</v>
      </c>
    </row>
    <row r="446" spans="1:12">
      <c r="A446" s="2646" t="s">
        <v>99</v>
      </c>
      <c r="B446" s="2646" t="s">
        <v>2509</v>
      </c>
      <c r="C446" s="2646">
        <v>560</v>
      </c>
      <c r="D446" s="2646">
        <v>920</v>
      </c>
      <c r="E446" s="2646">
        <v>620</v>
      </c>
      <c r="F446" s="2646" t="s">
        <v>2074</v>
      </c>
      <c r="G446" s="2646" t="s">
        <v>2074</v>
      </c>
      <c r="H446" s="2646" t="s">
        <v>2074</v>
      </c>
      <c r="I446" s="2646" t="s">
        <v>2074</v>
      </c>
      <c r="J446" s="2646">
        <v>1635</v>
      </c>
      <c r="L446" s="2646" t="s">
        <v>2088</v>
      </c>
    </row>
    <row r="447" spans="1:12">
      <c r="A447" s="2647" t="s">
        <v>99</v>
      </c>
      <c r="B447" s="2647" t="s">
        <v>2510</v>
      </c>
      <c r="C447" s="2647">
        <v>600</v>
      </c>
      <c r="D447" s="2647">
        <v>980</v>
      </c>
      <c r="E447" s="2647">
        <v>650</v>
      </c>
      <c r="F447" s="2647" t="s">
        <v>2074</v>
      </c>
      <c r="G447" s="2647" t="s">
        <v>2074</v>
      </c>
      <c r="H447" s="2647" t="s">
        <v>2074</v>
      </c>
      <c r="I447" s="2647" t="s">
        <v>2074</v>
      </c>
      <c r="J447" s="2647">
        <v>1970</v>
      </c>
      <c r="K447" s="2648"/>
      <c r="L447" s="2647" t="s">
        <v>2088</v>
      </c>
    </row>
    <row r="448" spans="1:12">
      <c r="A448" s="2646" t="s">
        <v>99</v>
      </c>
      <c r="B448" s="2646" t="s">
        <v>2511</v>
      </c>
      <c r="C448" s="2646">
        <v>650</v>
      </c>
      <c r="D448" s="2646">
        <v>1030</v>
      </c>
      <c r="E448" s="2646">
        <v>560</v>
      </c>
      <c r="F448" s="2646" t="s">
        <v>2074</v>
      </c>
      <c r="G448" s="2646" t="s">
        <v>2074</v>
      </c>
      <c r="H448" s="2646" t="s">
        <v>2074</v>
      </c>
      <c r="I448" s="2646" t="s">
        <v>2074</v>
      </c>
      <c r="J448" s="2646">
        <v>1769</v>
      </c>
      <c r="L448" s="2646" t="s">
        <v>2512</v>
      </c>
    </row>
    <row r="449" spans="1:12">
      <c r="A449" s="2647" t="s">
        <v>99</v>
      </c>
      <c r="B449" s="2647" t="s">
        <v>2513</v>
      </c>
      <c r="C449" s="2647">
        <v>650</v>
      </c>
      <c r="D449" s="2647">
        <v>1030</v>
      </c>
      <c r="E449" s="2647">
        <v>560</v>
      </c>
      <c r="F449" s="2647" t="s">
        <v>2074</v>
      </c>
      <c r="G449" s="2647" t="s">
        <v>2074</v>
      </c>
      <c r="H449" s="2647" t="s">
        <v>2074</v>
      </c>
      <c r="I449" s="2647" t="s">
        <v>2074</v>
      </c>
      <c r="J449" s="2647">
        <v>1769</v>
      </c>
      <c r="K449" s="2648"/>
      <c r="L449" s="2647" t="s">
        <v>2514</v>
      </c>
    </row>
    <row r="450" spans="1:12">
      <c r="A450" s="2646" t="s">
        <v>99</v>
      </c>
      <c r="B450" s="2646" t="s">
        <v>2515</v>
      </c>
      <c r="C450" s="2646">
        <v>660</v>
      </c>
      <c r="D450" s="2646">
        <v>1070</v>
      </c>
      <c r="E450" s="2646">
        <v>650</v>
      </c>
      <c r="F450" s="2646" t="s">
        <v>2074</v>
      </c>
      <c r="G450" s="2646" t="s">
        <v>2074</v>
      </c>
      <c r="H450" s="2646" t="s">
        <v>2074</v>
      </c>
      <c r="I450" s="2646" t="s">
        <v>2074</v>
      </c>
      <c r="J450" s="2646">
        <v>2282</v>
      </c>
      <c r="L450" s="2646" t="s">
        <v>2516</v>
      </c>
    </row>
    <row r="451" spans="1:12">
      <c r="A451" s="2647" t="s">
        <v>99</v>
      </c>
      <c r="B451" s="2647" t="s">
        <v>2517</v>
      </c>
      <c r="C451" s="2647">
        <v>750</v>
      </c>
      <c r="D451" s="2647">
        <v>1130</v>
      </c>
      <c r="E451" s="2647">
        <v>690</v>
      </c>
      <c r="F451" s="2647" t="s">
        <v>2074</v>
      </c>
      <c r="G451" s="2647" t="s">
        <v>2074</v>
      </c>
      <c r="H451" s="2647" t="s">
        <v>2074</v>
      </c>
      <c r="I451" s="2647" t="s">
        <v>2074</v>
      </c>
      <c r="J451" s="2647">
        <v>2549</v>
      </c>
      <c r="K451" s="2648"/>
      <c r="L451" s="2647" t="s">
        <v>2518</v>
      </c>
    </row>
    <row r="452" spans="1:12">
      <c r="A452" s="2646" t="s">
        <v>99</v>
      </c>
      <c r="B452" s="2646">
        <v>380680</v>
      </c>
      <c r="C452" s="2646">
        <v>400</v>
      </c>
      <c r="D452" s="2646">
        <v>540</v>
      </c>
      <c r="E452" s="2646">
        <v>280</v>
      </c>
      <c r="F452" s="2646" t="s">
        <v>2074</v>
      </c>
      <c r="G452" s="2646" t="s">
        <v>2074</v>
      </c>
      <c r="H452" s="2646" t="s">
        <v>2074</v>
      </c>
      <c r="I452" s="2646" t="s">
        <v>2074</v>
      </c>
      <c r="J452" s="2646">
        <v>175</v>
      </c>
      <c r="L452" s="2646">
        <v>77880</v>
      </c>
    </row>
    <row r="453" spans="1:12">
      <c r="A453" s="2647" t="s">
        <v>99</v>
      </c>
      <c r="B453" s="2647" t="s">
        <v>2519</v>
      </c>
      <c r="C453" s="2647">
        <v>420</v>
      </c>
      <c r="D453" s="2647">
        <v>760</v>
      </c>
      <c r="E453" s="2647">
        <v>500</v>
      </c>
      <c r="F453" s="2647" t="s">
        <v>2074</v>
      </c>
      <c r="G453" s="2647" t="s">
        <v>2074</v>
      </c>
      <c r="H453" s="2647" t="s">
        <v>2074</v>
      </c>
      <c r="I453" s="2647" t="s">
        <v>2074</v>
      </c>
      <c r="J453" s="2647">
        <v>1039</v>
      </c>
      <c r="K453" s="2648"/>
      <c r="L453" s="2647" t="s">
        <v>2088</v>
      </c>
    </row>
    <row r="454" spans="1:12">
      <c r="A454" s="2646" t="s">
        <v>99</v>
      </c>
      <c r="B454" s="2646">
        <v>380688</v>
      </c>
      <c r="C454" s="2646">
        <v>440</v>
      </c>
      <c r="D454" s="2646">
        <v>620</v>
      </c>
      <c r="E454" s="2646">
        <v>484</v>
      </c>
      <c r="F454" s="2646" t="s">
        <v>2074</v>
      </c>
      <c r="G454" s="2646" t="s">
        <v>2074</v>
      </c>
      <c r="H454" s="2646" t="s">
        <v>2074</v>
      </c>
      <c r="I454" s="2646" t="s">
        <v>2074</v>
      </c>
      <c r="J454" s="2646">
        <v>440</v>
      </c>
      <c r="L454" s="2646">
        <v>77888</v>
      </c>
    </row>
    <row r="455" spans="1:12">
      <c r="A455" s="2647" t="s">
        <v>99</v>
      </c>
      <c r="B455" s="2647" t="s">
        <v>2520</v>
      </c>
      <c r="C455" s="2647">
        <v>460</v>
      </c>
      <c r="D455" s="2647">
        <v>650</v>
      </c>
      <c r="E455" s="2647">
        <v>474</v>
      </c>
      <c r="F455" s="2647" t="s">
        <v>2074</v>
      </c>
      <c r="G455" s="2647" t="s">
        <v>2074</v>
      </c>
      <c r="H455" s="2647" t="s">
        <v>2074</v>
      </c>
      <c r="I455" s="2647" t="s">
        <v>2074</v>
      </c>
      <c r="J455" s="2647">
        <v>495</v>
      </c>
      <c r="K455" s="2648"/>
      <c r="L455" s="2647" t="s">
        <v>2521</v>
      </c>
    </row>
    <row r="456" spans="1:12">
      <c r="A456" s="2646" t="s">
        <v>99</v>
      </c>
      <c r="B456" s="2646" t="s">
        <v>2522</v>
      </c>
      <c r="C456" s="2646">
        <v>139.69999999999999</v>
      </c>
      <c r="D456" s="2646">
        <v>200</v>
      </c>
      <c r="E456" s="2646">
        <v>160.33799999999999</v>
      </c>
      <c r="F456" s="2646" t="s">
        <v>2074</v>
      </c>
      <c r="G456" s="2646" t="s">
        <v>2074</v>
      </c>
      <c r="H456" s="2646" t="s">
        <v>2074</v>
      </c>
      <c r="I456" s="2646" t="s">
        <v>2074</v>
      </c>
      <c r="J456" s="2646">
        <v>495</v>
      </c>
      <c r="L456" s="2646" t="s">
        <v>2088</v>
      </c>
    </row>
    <row r="457" spans="1:12">
      <c r="A457" s="2647" t="s">
        <v>99</v>
      </c>
      <c r="B457" s="2647" t="s">
        <v>2523</v>
      </c>
      <c r="C457" s="2647">
        <v>482.6</v>
      </c>
      <c r="D457" s="2647">
        <v>615.95000000000005</v>
      </c>
      <c r="E457" s="2647">
        <v>330.2</v>
      </c>
      <c r="F457" s="2647" t="s">
        <v>2074</v>
      </c>
      <c r="G457" s="2647" t="s">
        <v>2074</v>
      </c>
      <c r="H457" s="2647" t="s">
        <v>2074</v>
      </c>
      <c r="I457" s="2647" t="s">
        <v>2074</v>
      </c>
      <c r="J457" s="2647">
        <v>239</v>
      </c>
      <c r="K457" s="2648"/>
      <c r="L457" s="2647" t="s">
        <v>2088</v>
      </c>
    </row>
    <row r="458" spans="1:12">
      <c r="A458" s="2646" t="s">
        <v>99</v>
      </c>
      <c r="B458" s="2646" t="s">
        <v>2524</v>
      </c>
      <c r="C458" s="2646">
        <v>540</v>
      </c>
      <c r="D458" s="2646">
        <v>690</v>
      </c>
      <c r="E458" s="2646">
        <v>400</v>
      </c>
      <c r="F458" s="2646" t="s">
        <v>2074</v>
      </c>
      <c r="G458" s="2646" t="s">
        <v>2074</v>
      </c>
      <c r="H458" s="2646" t="s">
        <v>2074</v>
      </c>
      <c r="I458" s="2646" t="s">
        <v>2074</v>
      </c>
      <c r="J458" s="2646">
        <v>375</v>
      </c>
      <c r="L458" s="2646" t="s">
        <v>2088</v>
      </c>
    </row>
    <row r="459" spans="1:12">
      <c r="A459" s="2647" t="s">
        <v>99</v>
      </c>
      <c r="B459" s="2647" t="s">
        <v>2525</v>
      </c>
      <c r="C459" s="2647">
        <v>600</v>
      </c>
      <c r="D459" s="2647">
        <v>800</v>
      </c>
      <c r="E459" s="2647">
        <v>365</v>
      </c>
      <c r="F459" s="2647" t="s">
        <v>2074</v>
      </c>
      <c r="G459" s="2647" t="s">
        <v>2074</v>
      </c>
      <c r="H459" s="2647" t="s">
        <v>2074</v>
      </c>
      <c r="I459" s="2647" t="s">
        <v>2074</v>
      </c>
      <c r="J459" s="2647">
        <v>489</v>
      </c>
      <c r="K459" s="2648"/>
      <c r="L459" s="2647" t="s">
        <v>2526</v>
      </c>
    </row>
    <row r="460" spans="1:12">
      <c r="A460" s="2646" t="s">
        <v>99</v>
      </c>
      <c r="B460" s="2646">
        <v>351056</v>
      </c>
      <c r="C460" s="2646">
        <v>280</v>
      </c>
      <c r="D460" s="2646">
        <v>420</v>
      </c>
      <c r="E460" s="2646">
        <v>133</v>
      </c>
      <c r="F460" s="2646" t="s">
        <v>2074</v>
      </c>
      <c r="G460" s="2646" t="s">
        <v>2074</v>
      </c>
      <c r="H460" s="2646" t="s">
        <v>2074</v>
      </c>
      <c r="I460" s="2646" t="s">
        <v>2074</v>
      </c>
      <c r="J460" s="2646">
        <v>58.1</v>
      </c>
      <c r="L460" s="2646">
        <v>97156</v>
      </c>
    </row>
    <row r="461" spans="1:12">
      <c r="A461" s="2647" t="s">
        <v>99</v>
      </c>
      <c r="B461" s="2647">
        <v>351068</v>
      </c>
      <c r="C461" s="2647">
        <v>340</v>
      </c>
      <c r="D461" s="2647">
        <v>520</v>
      </c>
      <c r="E461" s="2647">
        <v>180</v>
      </c>
      <c r="F461" s="2647" t="s">
        <v>2074</v>
      </c>
      <c r="G461" s="2647" t="s">
        <v>2074</v>
      </c>
      <c r="H461" s="2647" t="s">
        <v>2074</v>
      </c>
      <c r="I461" s="2647" t="s">
        <v>2074</v>
      </c>
      <c r="J461" s="2647">
        <v>119</v>
      </c>
      <c r="K461" s="2648"/>
      <c r="L461" s="2647">
        <v>97168</v>
      </c>
    </row>
    <row r="462" spans="1:12">
      <c r="A462" s="2646" t="s">
        <v>99</v>
      </c>
      <c r="B462" s="2646">
        <v>351072</v>
      </c>
      <c r="C462" s="2646">
        <v>360</v>
      </c>
      <c r="D462" s="2646">
        <v>540</v>
      </c>
      <c r="E462" s="2646">
        <v>185</v>
      </c>
      <c r="F462" s="2646" t="s">
        <v>2074</v>
      </c>
      <c r="G462" s="2646" t="s">
        <v>2074</v>
      </c>
      <c r="H462" s="2646" t="s">
        <v>2074</v>
      </c>
      <c r="I462" s="2646" t="s">
        <v>2074</v>
      </c>
      <c r="J462" s="2646">
        <v>120</v>
      </c>
      <c r="L462" s="2646">
        <v>97172</v>
      </c>
    </row>
    <row r="463" spans="1:12">
      <c r="A463" s="2647" t="s">
        <v>99</v>
      </c>
      <c r="B463" s="2647">
        <v>351076</v>
      </c>
      <c r="C463" s="2647">
        <v>380</v>
      </c>
      <c r="D463" s="2647">
        <v>560</v>
      </c>
      <c r="E463" s="2647">
        <v>190</v>
      </c>
      <c r="F463" s="2647" t="s">
        <v>2074</v>
      </c>
      <c r="G463" s="2647" t="s">
        <v>2074</v>
      </c>
      <c r="H463" s="2647" t="s">
        <v>2074</v>
      </c>
      <c r="I463" s="2647" t="s">
        <v>2074</v>
      </c>
      <c r="J463" s="2647">
        <v>146</v>
      </c>
      <c r="K463" s="2648"/>
      <c r="L463" s="2647">
        <v>97176</v>
      </c>
    </row>
    <row r="464" spans="1:12">
      <c r="A464" s="2646" t="s">
        <v>99</v>
      </c>
      <c r="B464" s="2646">
        <v>351080</v>
      </c>
      <c r="C464" s="2646">
        <v>400</v>
      </c>
      <c r="D464" s="2646">
        <v>600</v>
      </c>
      <c r="E464" s="2646">
        <v>206</v>
      </c>
      <c r="F464" s="2646" t="s">
        <v>2074</v>
      </c>
      <c r="G464" s="2646" t="s">
        <v>2074</v>
      </c>
      <c r="H464" s="2646" t="s">
        <v>2074</v>
      </c>
      <c r="I464" s="2646" t="s">
        <v>2074</v>
      </c>
      <c r="J464" s="2646">
        <v>180</v>
      </c>
      <c r="L464" s="2646">
        <v>97180</v>
      </c>
    </row>
    <row r="465" spans="1:12">
      <c r="A465" s="2647" t="s">
        <v>99</v>
      </c>
      <c r="B465" s="2647">
        <v>351084</v>
      </c>
      <c r="C465" s="2647">
        <v>420</v>
      </c>
      <c r="D465" s="2647">
        <v>620</v>
      </c>
      <c r="E465" s="2647">
        <v>206</v>
      </c>
      <c r="F465" s="2647" t="s">
        <v>2074</v>
      </c>
      <c r="G465" s="2647" t="s">
        <v>2074</v>
      </c>
      <c r="H465" s="2647" t="s">
        <v>2074</v>
      </c>
      <c r="I465" s="2647" t="s">
        <v>2074</v>
      </c>
      <c r="J465" s="2647">
        <v>187</v>
      </c>
      <c r="K465" s="2648"/>
      <c r="L465" s="2647">
        <v>97184</v>
      </c>
    </row>
    <row r="466" spans="1:12">
      <c r="A466" s="2646" t="s">
        <v>99</v>
      </c>
      <c r="B466" s="2646">
        <v>351088</v>
      </c>
      <c r="C466" s="2646">
        <v>440</v>
      </c>
      <c r="D466" s="2646">
        <v>650</v>
      </c>
      <c r="E466" s="2646">
        <v>212</v>
      </c>
      <c r="F466" s="2646" t="s">
        <v>2074</v>
      </c>
      <c r="G466" s="2646" t="s">
        <v>2074</v>
      </c>
      <c r="H466" s="2646" t="s">
        <v>2074</v>
      </c>
      <c r="I466" s="2646" t="s">
        <v>2074</v>
      </c>
      <c r="J466" s="2646">
        <v>213</v>
      </c>
      <c r="L466" s="2646">
        <v>97188</v>
      </c>
    </row>
    <row r="467" spans="1:12">
      <c r="A467" s="2647" t="s">
        <v>99</v>
      </c>
      <c r="B467" s="2647">
        <v>351092</v>
      </c>
      <c r="C467" s="2647">
        <v>460</v>
      </c>
      <c r="D467" s="2647">
        <v>680</v>
      </c>
      <c r="E467" s="2647">
        <v>230</v>
      </c>
      <c r="F467" s="2647" t="s">
        <v>2074</v>
      </c>
      <c r="G467" s="2647" t="s">
        <v>2074</v>
      </c>
      <c r="H467" s="2647" t="s">
        <v>2074</v>
      </c>
      <c r="I467" s="2647" t="s">
        <v>2074</v>
      </c>
      <c r="J467" s="2647">
        <v>267</v>
      </c>
      <c r="K467" s="2648"/>
      <c r="L467" s="2647" t="s">
        <v>2527</v>
      </c>
    </row>
    <row r="468" spans="1:12">
      <c r="A468" s="2646" t="s">
        <v>99</v>
      </c>
      <c r="B468" s="2646">
        <v>351096</v>
      </c>
      <c r="C468" s="2646">
        <v>480</v>
      </c>
      <c r="D468" s="2646">
        <v>700</v>
      </c>
      <c r="E468" s="2646">
        <v>240</v>
      </c>
      <c r="F468" s="2646" t="s">
        <v>2074</v>
      </c>
      <c r="G468" s="2646" t="s">
        <v>2074</v>
      </c>
      <c r="H468" s="2646" t="s">
        <v>2074</v>
      </c>
      <c r="I468" s="2646" t="s">
        <v>2074</v>
      </c>
      <c r="J468" s="2646">
        <v>281</v>
      </c>
      <c r="L468" s="2646">
        <v>97196</v>
      </c>
    </row>
    <row r="469" spans="1:12">
      <c r="A469" s="2647" t="s">
        <v>99</v>
      </c>
      <c r="B469" s="2647" t="s">
        <v>2528</v>
      </c>
      <c r="C469" s="2647">
        <v>500</v>
      </c>
      <c r="D469" s="2647">
        <v>720</v>
      </c>
      <c r="E469" s="2647">
        <v>236</v>
      </c>
      <c r="F469" s="2647" t="s">
        <v>2074</v>
      </c>
      <c r="G469" s="2647" t="s">
        <v>2074</v>
      </c>
      <c r="H469" s="2647" t="s">
        <v>2074</v>
      </c>
      <c r="I469" s="2647" t="s">
        <v>2074</v>
      </c>
      <c r="J469" s="2647">
        <v>289</v>
      </c>
      <c r="K469" s="2648"/>
      <c r="L469" s="2647" t="s">
        <v>2088</v>
      </c>
    </row>
    <row r="470" spans="1:12">
      <c r="A470" s="2646" t="s">
        <v>99</v>
      </c>
      <c r="B470" s="2646" t="s">
        <v>2529</v>
      </c>
      <c r="C470" s="2646">
        <v>560</v>
      </c>
      <c r="D470" s="2646">
        <v>820</v>
      </c>
      <c r="E470" s="2646">
        <v>260</v>
      </c>
      <c r="F470" s="2646" t="s">
        <v>2074</v>
      </c>
      <c r="G470" s="2646" t="s">
        <v>2074</v>
      </c>
      <c r="H470" s="2646" t="s">
        <v>2074</v>
      </c>
      <c r="I470" s="2646" t="s">
        <v>2074</v>
      </c>
      <c r="J470" s="2646">
        <v>409</v>
      </c>
      <c r="L470" s="2646" t="s">
        <v>2088</v>
      </c>
    </row>
    <row r="471" spans="1:12">
      <c r="A471" s="2647" t="s">
        <v>99</v>
      </c>
      <c r="B471" s="2647" t="s">
        <v>2530</v>
      </c>
      <c r="C471" s="2647">
        <v>600</v>
      </c>
      <c r="D471" s="2647">
        <v>870</v>
      </c>
      <c r="E471" s="2647">
        <v>270</v>
      </c>
      <c r="F471" s="2647" t="s">
        <v>2074</v>
      </c>
      <c r="G471" s="2647" t="s">
        <v>2074</v>
      </c>
      <c r="H471" s="2647" t="s">
        <v>2074</v>
      </c>
      <c r="I471" s="2647" t="s">
        <v>2074</v>
      </c>
      <c r="J471" s="2647">
        <v>500</v>
      </c>
      <c r="K471" s="2648"/>
      <c r="L471" s="2647" t="s">
        <v>2088</v>
      </c>
    </row>
    <row r="472" spans="1:12">
      <c r="A472" s="2646" t="s">
        <v>99</v>
      </c>
      <c r="B472" s="2646" t="s">
        <v>2531</v>
      </c>
      <c r="C472" s="2646">
        <v>50</v>
      </c>
      <c r="D472" s="2646">
        <v>90</v>
      </c>
      <c r="E472" s="2646">
        <v>49</v>
      </c>
      <c r="F472" s="2646" t="s">
        <v>2074</v>
      </c>
      <c r="G472" s="2646" t="s">
        <v>2074</v>
      </c>
      <c r="H472" s="2646" t="s">
        <v>2074</v>
      </c>
      <c r="I472" s="2646" t="s">
        <v>2074</v>
      </c>
      <c r="J472" s="2646">
        <v>1.21</v>
      </c>
      <c r="L472" s="2646" t="s">
        <v>2532</v>
      </c>
    </row>
    <row r="473" spans="1:12">
      <c r="A473" s="2647" t="s">
        <v>99</v>
      </c>
      <c r="B473" s="2647" t="s">
        <v>2533</v>
      </c>
      <c r="C473" s="2647">
        <v>110</v>
      </c>
      <c r="D473" s="2647">
        <v>200</v>
      </c>
      <c r="E473" s="2647">
        <v>92</v>
      </c>
      <c r="F473" s="2647" t="s">
        <v>2074</v>
      </c>
      <c r="G473" s="2647" t="s">
        <v>2074</v>
      </c>
      <c r="H473" s="2647" t="s">
        <v>2074</v>
      </c>
      <c r="I473" s="2647" t="s">
        <v>2074</v>
      </c>
      <c r="J473" s="2647">
        <v>11.465</v>
      </c>
      <c r="K473" s="2648"/>
      <c r="L473" s="2647" t="s">
        <v>2534</v>
      </c>
    </row>
    <row r="474" spans="1:12">
      <c r="A474" s="2646" t="s">
        <v>99</v>
      </c>
      <c r="B474" s="2646">
        <v>352208</v>
      </c>
      <c r="C474" s="2646">
        <v>40</v>
      </c>
      <c r="D474" s="2646">
        <v>80</v>
      </c>
      <c r="E474" s="2646">
        <v>55</v>
      </c>
      <c r="F474" s="2646" t="s">
        <v>2074</v>
      </c>
      <c r="G474" s="2646" t="s">
        <v>2074</v>
      </c>
      <c r="H474" s="2646" t="s">
        <v>2074</v>
      </c>
      <c r="I474" s="2646" t="s">
        <v>2074</v>
      </c>
      <c r="J474" s="2646">
        <v>1.21</v>
      </c>
      <c r="L474" s="2646">
        <v>97508</v>
      </c>
    </row>
    <row r="475" spans="1:12">
      <c r="A475" s="2647" t="s">
        <v>99</v>
      </c>
      <c r="B475" s="2647">
        <v>352210</v>
      </c>
      <c r="C475" s="2647">
        <v>50</v>
      </c>
      <c r="D475" s="2647">
        <v>90</v>
      </c>
      <c r="E475" s="2647">
        <v>55</v>
      </c>
      <c r="F475" s="2647">
        <v>292</v>
      </c>
      <c r="G475" s="2647">
        <v>220</v>
      </c>
      <c r="H475" s="2647">
        <v>3400</v>
      </c>
      <c r="I475" s="2647">
        <v>4500</v>
      </c>
      <c r="J475" s="2647">
        <v>1.34</v>
      </c>
      <c r="K475" s="2648"/>
      <c r="L475" s="2647">
        <v>97510</v>
      </c>
    </row>
    <row r="476" spans="1:12">
      <c r="A476" s="2646" t="s">
        <v>99</v>
      </c>
      <c r="B476" s="2646">
        <v>352212</v>
      </c>
      <c r="C476" s="2646">
        <v>60</v>
      </c>
      <c r="D476" s="2646">
        <v>120</v>
      </c>
      <c r="E476" s="2646">
        <v>75</v>
      </c>
      <c r="F476" s="2646" t="s">
        <v>2074</v>
      </c>
      <c r="G476" s="2646" t="s">
        <v>2074</v>
      </c>
      <c r="H476" s="2646" t="s">
        <v>2074</v>
      </c>
      <c r="I476" s="2646" t="s">
        <v>2074</v>
      </c>
      <c r="J476" s="2646">
        <v>1.34</v>
      </c>
      <c r="L476" s="2646" t="s">
        <v>2535</v>
      </c>
    </row>
    <row r="477" spans="1:12">
      <c r="A477" s="2647" t="s">
        <v>99</v>
      </c>
      <c r="B477" s="2647">
        <v>352213</v>
      </c>
      <c r="C477" s="2647">
        <v>65</v>
      </c>
      <c r="D477" s="2647">
        <v>120</v>
      </c>
      <c r="E477" s="2647">
        <v>75</v>
      </c>
      <c r="F477" s="2647" t="s">
        <v>2074</v>
      </c>
      <c r="G477" s="2647" t="s">
        <v>2074</v>
      </c>
      <c r="H477" s="2647" t="s">
        <v>2074</v>
      </c>
      <c r="I477" s="2647" t="s">
        <v>2074</v>
      </c>
      <c r="J477" s="2647">
        <v>3.39</v>
      </c>
      <c r="K477" s="2648"/>
      <c r="L477" s="2647" t="s">
        <v>2536</v>
      </c>
    </row>
    <row r="478" spans="1:12">
      <c r="A478" s="2646" t="s">
        <v>99</v>
      </c>
      <c r="B478" s="2646">
        <v>352214</v>
      </c>
      <c r="C478" s="2646">
        <v>70</v>
      </c>
      <c r="D478" s="2646">
        <v>125</v>
      </c>
      <c r="E478" s="2646">
        <v>75</v>
      </c>
      <c r="F478" s="2646" t="s">
        <v>2074</v>
      </c>
      <c r="G478" s="2646" t="s">
        <v>2074</v>
      </c>
      <c r="H478" s="2646" t="s">
        <v>2074</v>
      </c>
      <c r="I478" s="2646" t="s">
        <v>2074</v>
      </c>
      <c r="J478" s="2646">
        <v>3.51</v>
      </c>
      <c r="L478" s="2646" t="s">
        <v>2537</v>
      </c>
    </row>
    <row r="479" spans="1:12">
      <c r="A479" s="2647" t="s">
        <v>99</v>
      </c>
      <c r="B479" s="2647">
        <v>352215</v>
      </c>
      <c r="C479" s="2647">
        <v>75</v>
      </c>
      <c r="D479" s="2647">
        <v>130</v>
      </c>
      <c r="E479" s="2647">
        <v>75</v>
      </c>
      <c r="F479" s="2647" t="s">
        <v>2074</v>
      </c>
      <c r="G479" s="2647" t="s">
        <v>2074</v>
      </c>
      <c r="H479" s="2647" t="s">
        <v>2074</v>
      </c>
      <c r="I479" s="2647" t="s">
        <v>2074</v>
      </c>
      <c r="J479" s="2647">
        <v>3.64</v>
      </c>
      <c r="K479" s="2648"/>
      <c r="L479" s="2647" t="s">
        <v>2538</v>
      </c>
    </row>
    <row r="480" spans="1:12">
      <c r="A480" s="2646" t="s">
        <v>99</v>
      </c>
      <c r="B480" s="2646">
        <v>352216</v>
      </c>
      <c r="C480" s="2646">
        <v>80</v>
      </c>
      <c r="D480" s="2646">
        <v>140</v>
      </c>
      <c r="E480" s="2646">
        <v>80</v>
      </c>
      <c r="F480" s="2646" t="s">
        <v>2074</v>
      </c>
      <c r="G480" s="2646" t="s">
        <v>2074</v>
      </c>
      <c r="H480" s="2646" t="s">
        <v>2074</v>
      </c>
      <c r="I480" s="2646" t="s">
        <v>2074</v>
      </c>
      <c r="J480" s="2646">
        <v>4.97</v>
      </c>
      <c r="L480" s="2646" t="s">
        <v>2539</v>
      </c>
    </row>
    <row r="481" spans="1:12">
      <c r="A481" s="2647" t="s">
        <v>99</v>
      </c>
      <c r="B481" s="2647">
        <v>352217</v>
      </c>
      <c r="C481" s="2647">
        <v>85</v>
      </c>
      <c r="D481" s="2647">
        <v>150</v>
      </c>
      <c r="E481" s="2647">
        <v>85</v>
      </c>
      <c r="F481" s="2647" t="s">
        <v>2074</v>
      </c>
      <c r="G481" s="2647" t="s">
        <v>2074</v>
      </c>
      <c r="H481" s="2647" t="s">
        <v>2074</v>
      </c>
      <c r="I481" s="2647" t="s">
        <v>2074</v>
      </c>
      <c r="J481" s="2647">
        <v>5.67</v>
      </c>
      <c r="K481" s="2648"/>
      <c r="L481" s="2647" t="s">
        <v>2540</v>
      </c>
    </row>
    <row r="482" spans="1:12">
      <c r="A482" s="2646" t="s">
        <v>99</v>
      </c>
      <c r="B482" s="2646">
        <v>352218</v>
      </c>
      <c r="C482" s="2646">
        <v>90</v>
      </c>
      <c r="D482" s="2646">
        <v>160</v>
      </c>
      <c r="E482" s="2646">
        <v>95</v>
      </c>
      <c r="F482" s="2646" t="s">
        <v>2074</v>
      </c>
      <c r="G482" s="2646" t="s">
        <v>2074</v>
      </c>
      <c r="H482" s="2646" t="s">
        <v>2074</v>
      </c>
      <c r="I482" s="2646" t="s">
        <v>2074</v>
      </c>
      <c r="J482" s="2646">
        <v>7.46</v>
      </c>
      <c r="L482" s="2646" t="s">
        <v>2541</v>
      </c>
    </row>
    <row r="483" spans="1:12">
      <c r="A483" s="2647" t="s">
        <v>99</v>
      </c>
      <c r="B483" s="2647">
        <v>352220</v>
      </c>
      <c r="C483" s="2647">
        <v>100</v>
      </c>
      <c r="D483" s="2647">
        <v>180</v>
      </c>
      <c r="E483" s="2647">
        <v>112</v>
      </c>
      <c r="F483" s="2647" t="s">
        <v>2074</v>
      </c>
      <c r="G483" s="2647" t="s">
        <v>2074</v>
      </c>
      <c r="H483" s="2647" t="s">
        <v>2074</v>
      </c>
      <c r="I483" s="2647" t="s">
        <v>2074</v>
      </c>
      <c r="J483" s="2647">
        <v>10.7</v>
      </c>
      <c r="K483" s="2648"/>
      <c r="L483" s="2647" t="s">
        <v>2542</v>
      </c>
    </row>
    <row r="484" spans="1:12">
      <c r="A484" s="2646" t="s">
        <v>99</v>
      </c>
      <c r="B484" s="2646" t="s">
        <v>2543</v>
      </c>
      <c r="C484" s="2646">
        <v>100</v>
      </c>
      <c r="D484" s="2646">
        <v>180</v>
      </c>
      <c r="E484" s="2646">
        <v>112</v>
      </c>
      <c r="F484" s="2646" t="s">
        <v>2074</v>
      </c>
      <c r="G484" s="2646" t="s">
        <v>2074</v>
      </c>
      <c r="H484" s="2646" t="s">
        <v>2074</v>
      </c>
      <c r="I484" s="2646" t="s">
        <v>2074</v>
      </c>
      <c r="J484" s="2646">
        <v>10.7</v>
      </c>
      <c r="L484" s="2646" t="s">
        <v>2088</v>
      </c>
    </row>
    <row r="485" spans="1:12">
      <c r="A485" s="2647" t="s">
        <v>99</v>
      </c>
      <c r="B485" s="2647" t="s">
        <v>2544</v>
      </c>
      <c r="C485" s="2647">
        <v>105</v>
      </c>
      <c r="D485" s="2647">
        <v>190</v>
      </c>
      <c r="E485" s="2647">
        <v>118</v>
      </c>
      <c r="F485" s="2647" t="s">
        <v>2074</v>
      </c>
      <c r="G485" s="2647" t="s">
        <v>2074</v>
      </c>
      <c r="H485" s="2647" t="s">
        <v>2074</v>
      </c>
      <c r="I485" s="2647" t="s">
        <v>2074</v>
      </c>
      <c r="J485" s="2647">
        <v>13</v>
      </c>
      <c r="K485" s="2648"/>
      <c r="L485" s="2647" t="s">
        <v>2088</v>
      </c>
    </row>
    <row r="486" spans="1:12">
      <c r="A486" s="2646" t="s">
        <v>99</v>
      </c>
      <c r="B486" s="2646">
        <v>352222</v>
      </c>
      <c r="C486" s="2646">
        <v>110</v>
      </c>
      <c r="D486" s="2646">
        <v>200</v>
      </c>
      <c r="E486" s="2646">
        <v>125</v>
      </c>
      <c r="F486" s="2646" t="s">
        <v>2074</v>
      </c>
      <c r="G486" s="2646" t="s">
        <v>2074</v>
      </c>
      <c r="H486" s="2646" t="s">
        <v>2074</v>
      </c>
      <c r="I486" s="2646" t="s">
        <v>2074</v>
      </c>
      <c r="J486" s="2646">
        <v>16.399999999999999</v>
      </c>
      <c r="L486" s="2646">
        <v>97522</v>
      </c>
    </row>
    <row r="487" spans="1:12">
      <c r="A487" s="2647" t="s">
        <v>99</v>
      </c>
      <c r="B487" s="2647">
        <v>352224</v>
      </c>
      <c r="C487" s="2647">
        <v>120</v>
      </c>
      <c r="D487" s="2647">
        <v>211</v>
      </c>
      <c r="E487" s="2647">
        <v>132</v>
      </c>
      <c r="F487" s="2647" t="s">
        <v>2074</v>
      </c>
      <c r="G487" s="2647" t="s">
        <v>2074</v>
      </c>
      <c r="H487" s="2647" t="s">
        <v>2074</v>
      </c>
      <c r="I487" s="2647" t="s">
        <v>2074</v>
      </c>
      <c r="J487" s="2647">
        <v>19.100000000000001</v>
      </c>
      <c r="K487" s="2648"/>
      <c r="L487" s="2647" t="s">
        <v>2545</v>
      </c>
    </row>
    <row r="488" spans="1:12">
      <c r="A488" s="2646" t="s">
        <v>99</v>
      </c>
      <c r="B488" s="2646">
        <v>352226</v>
      </c>
      <c r="C488" s="2646">
        <v>130</v>
      </c>
      <c r="D488" s="2646">
        <v>230</v>
      </c>
      <c r="E488" s="2646">
        <v>150</v>
      </c>
      <c r="F488" s="2646" t="s">
        <v>2074</v>
      </c>
      <c r="G488" s="2646" t="s">
        <v>2074</v>
      </c>
      <c r="H488" s="2646" t="s">
        <v>2074</v>
      </c>
      <c r="I488" s="2646" t="s">
        <v>2074</v>
      </c>
      <c r="J488" s="2646">
        <v>26.5</v>
      </c>
      <c r="L488" s="2646" t="s">
        <v>2546</v>
      </c>
    </row>
    <row r="489" spans="1:12">
      <c r="A489" s="2647" t="s">
        <v>99</v>
      </c>
      <c r="B489" s="2647">
        <v>352228</v>
      </c>
      <c r="C489" s="2647">
        <v>140</v>
      </c>
      <c r="D489" s="2647">
        <v>250</v>
      </c>
      <c r="E489" s="2647">
        <v>158</v>
      </c>
      <c r="F489" s="2647" t="s">
        <v>2074</v>
      </c>
      <c r="G489" s="2647" t="s">
        <v>2074</v>
      </c>
      <c r="H489" s="2647" t="s">
        <v>2074</v>
      </c>
      <c r="I489" s="2647" t="s">
        <v>2074</v>
      </c>
      <c r="J489" s="2647">
        <v>30.6</v>
      </c>
      <c r="K489" s="2648"/>
      <c r="L489" s="2647" t="s">
        <v>2547</v>
      </c>
    </row>
    <row r="490" spans="1:12">
      <c r="A490" s="2646" t="s">
        <v>99</v>
      </c>
      <c r="B490" s="2646">
        <v>352230</v>
      </c>
      <c r="C490" s="2646">
        <v>150</v>
      </c>
      <c r="D490" s="2646">
        <v>270</v>
      </c>
      <c r="E490" s="2646">
        <v>170</v>
      </c>
      <c r="F490" s="2646" t="s">
        <v>2074</v>
      </c>
      <c r="G490" s="2646" t="s">
        <v>2074</v>
      </c>
      <c r="H490" s="2646" t="s">
        <v>2074</v>
      </c>
      <c r="I490" s="2646" t="s">
        <v>2074</v>
      </c>
      <c r="J490" s="2646">
        <v>40.4</v>
      </c>
      <c r="L490" s="2646" t="s">
        <v>2548</v>
      </c>
    </row>
    <row r="491" spans="1:12">
      <c r="A491" s="2647" t="s">
        <v>99</v>
      </c>
      <c r="B491" s="2647">
        <v>352232</v>
      </c>
      <c r="C491" s="2647">
        <v>160</v>
      </c>
      <c r="D491" s="2647">
        <v>290</v>
      </c>
      <c r="E491" s="2647">
        <v>180</v>
      </c>
      <c r="F491" s="2647" t="s">
        <v>2074</v>
      </c>
      <c r="G491" s="2647" t="s">
        <v>2074</v>
      </c>
      <c r="H491" s="2647" t="s">
        <v>2074</v>
      </c>
      <c r="I491" s="2647" t="s">
        <v>2074</v>
      </c>
      <c r="J491" s="2647">
        <v>46.2</v>
      </c>
      <c r="K491" s="2648"/>
      <c r="L491" s="2647" t="s">
        <v>2549</v>
      </c>
    </row>
    <row r="492" spans="1:12">
      <c r="A492" s="2646" t="s">
        <v>99</v>
      </c>
      <c r="B492" s="2646">
        <v>352236</v>
      </c>
      <c r="C492" s="2646">
        <v>180</v>
      </c>
      <c r="D492" s="2646">
        <v>320</v>
      </c>
      <c r="E492" s="2646">
        <v>190</v>
      </c>
      <c r="F492" s="2646" t="s">
        <v>2074</v>
      </c>
      <c r="G492" s="2646" t="s">
        <v>2074</v>
      </c>
      <c r="H492" s="2646" t="s">
        <v>2074</v>
      </c>
      <c r="I492" s="2646" t="s">
        <v>2074</v>
      </c>
      <c r="J492" s="2646">
        <v>62.7</v>
      </c>
      <c r="L492" s="2646" t="s">
        <v>2550</v>
      </c>
    </row>
    <row r="493" spans="1:12">
      <c r="A493" s="2647" t="s">
        <v>99</v>
      </c>
      <c r="B493" s="2647">
        <v>352240</v>
      </c>
      <c r="C493" s="2647">
        <v>200</v>
      </c>
      <c r="D493" s="2647">
        <v>360</v>
      </c>
      <c r="E493" s="2647">
        <v>218</v>
      </c>
      <c r="F493" s="2647" t="s">
        <v>2074</v>
      </c>
      <c r="G493" s="2647" t="s">
        <v>2074</v>
      </c>
      <c r="H493" s="2647" t="s">
        <v>2074</v>
      </c>
      <c r="I493" s="2647" t="s">
        <v>2074</v>
      </c>
      <c r="J493" s="2647">
        <v>93.3</v>
      </c>
      <c r="K493" s="2648"/>
      <c r="L493" s="2647" t="s">
        <v>2551</v>
      </c>
    </row>
    <row r="494" spans="1:12">
      <c r="A494" s="2646" t="s">
        <v>99</v>
      </c>
      <c r="B494" s="2646">
        <v>350620</v>
      </c>
      <c r="C494" s="2646">
        <v>100</v>
      </c>
      <c r="D494" s="2646">
        <v>182</v>
      </c>
      <c r="E494" s="2646">
        <v>112</v>
      </c>
      <c r="F494" s="2646" t="s">
        <v>2074</v>
      </c>
      <c r="G494" s="2646" t="s">
        <v>2074</v>
      </c>
      <c r="H494" s="2646" t="s">
        <v>2074</v>
      </c>
      <c r="I494" s="2646" t="s">
        <v>2074</v>
      </c>
      <c r="J494" s="2646">
        <v>13.2</v>
      </c>
      <c r="L494" s="2646">
        <v>37720</v>
      </c>
    </row>
    <row r="495" spans="1:12">
      <c r="A495" s="2647" t="s">
        <v>99</v>
      </c>
      <c r="B495" s="2647" t="s">
        <v>2552</v>
      </c>
      <c r="C495" s="2647">
        <v>150</v>
      </c>
      <c r="D495" s="2647">
        <v>270</v>
      </c>
      <c r="E495" s="2647">
        <v>277</v>
      </c>
      <c r="F495" s="2647" t="s">
        <v>2074</v>
      </c>
      <c r="G495" s="2647" t="s">
        <v>2074</v>
      </c>
      <c r="H495" s="2647" t="s">
        <v>2074</v>
      </c>
      <c r="I495" s="2647" t="s">
        <v>2074</v>
      </c>
      <c r="J495" s="2647">
        <v>37.200000000000003</v>
      </c>
      <c r="K495" s="2648"/>
      <c r="L495" s="2647" t="s">
        <v>2088</v>
      </c>
    </row>
    <row r="496" spans="1:12">
      <c r="A496" s="2646" t="s">
        <v>99</v>
      </c>
      <c r="B496" s="2646">
        <v>350636</v>
      </c>
      <c r="C496" s="2646">
        <v>180</v>
      </c>
      <c r="D496" s="2646">
        <v>340</v>
      </c>
      <c r="E496" s="2646">
        <v>140</v>
      </c>
      <c r="F496" s="2646" t="s">
        <v>2074</v>
      </c>
      <c r="G496" s="2646" t="s">
        <v>2074</v>
      </c>
      <c r="H496" s="2646" t="s">
        <v>2074</v>
      </c>
      <c r="I496" s="2646" t="s">
        <v>2074</v>
      </c>
      <c r="J496" s="2646">
        <v>37.200000000000003</v>
      </c>
      <c r="L496" s="2646">
        <v>97736</v>
      </c>
    </row>
    <row r="497" spans="1:12">
      <c r="A497" s="2647" t="s">
        <v>99</v>
      </c>
      <c r="B497" s="2647" t="s">
        <v>2553</v>
      </c>
      <c r="C497" s="2647">
        <v>300</v>
      </c>
      <c r="D497" s="2647">
        <v>420</v>
      </c>
      <c r="E497" s="2647">
        <v>175</v>
      </c>
      <c r="F497" s="2647" t="s">
        <v>2074</v>
      </c>
      <c r="G497" s="2647" t="s">
        <v>2074</v>
      </c>
      <c r="H497" s="2647" t="s">
        <v>2074</v>
      </c>
      <c r="I497" s="2647" t="s">
        <v>2074</v>
      </c>
      <c r="J497" s="2647">
        <v>65.5</v>
      </c>
      <c r="K497" s="2648"/>
      <c r="L497" s="2647" t="s">
        <v>2088</v>
      </c>
    </row>
    <row r="498" spans="1:12">
      <c r="A498" s="2646" t="s">
        <v>99</v>
      </c>
      <c r="B498" s="2646">
        <v>350670</v>
      </c>
      <c r="C498" s="2646">
        <v>350</v>
      </c>
      <c r="D498" s="2646">
        <v>590</v>
      </c>
      <c r="E498" s="2646">
        <v>200</v>
      </c>
      <c r="F498" s="2646" t="s">
        <v>2074</v>
      </c>
      <c r="G498" s="2646" t="s">
        <v>2074</v>
      </c>
      <c r="H498" s="2646" t="s">
        <v>2074</v>
      </c>
      <c r="I498" s="2646" t="s">
        <v>2074</v>
      </c>
      <c r="J498" s="2646">
        <v>212</v>
      </c>
      <c r="L498" s="2646">
        <v>97770</v>
      </c>
    </row>
    <row r="499" spans="1:12">
      <c r="A499" s="2647" t="s">
        <v>99</v>
      </c>
      <c r="B499" s="2647">
        <v>350672</v>
      </c>
      <c r="C499" s="2647">
        <v>360</v>
      </c>
      <c r="D499" s="2647">
        <v>530</v>
      </c>
      <c r="E499" s="2647">
        <v>155</v>
      </c>
      <c r="F499" s="2647" t="s">
        <v>2074</v>
      </c>
      <c r="G499" s="2647" t="s">
        <v>2074</v>
      </c>
      <c r="H499" s="2647" t="s">
        <v>2074</v>
      </c>
      <c r="I499" s="2647" t="s">
        <v>2074</v>
      </c>
      <c r="J499" s="2647">
        <v>107</v>
      </c>
      <c r="K499" s="2648"/>
      <c r="L499" s="2647">
        <v>97772</v>
      </c>
    </row>
    <row r="500" spans="1:12">
      <c r="A500" s="2646" t="s">
        <v>99</v>
      </c>
      <c r="B500" s="2646">
        <v>350698</v>
      </c>
      <c r="C500" s="2646">
        <v>490</v>
      </c>
      <c r="D500" s="2646">
        <v>740</v>
      </c>
      <c r="E500" s="2646">
        <v>95</v>
      </c>
      <c r="F500" s="2646" t="s">
        <v>2074</v>
      </c>
      <c r="G500" s="2646" t="s">
        <v>2074</v>
      </c>
      <c r="H500" s="2646" t="s">
        <v>2074</v>
      </c>
      <c r="I500" s="2646" t="s">
        <v>2074</v>
      </c>
      <c r="J500" s="2646">
        <v>140</v>
      </c>
      <c r="L500" s="2646">
        <v>97798</v>
      </c>
    </row>
    <row r="501" spans="1:12">
      <c r="A501" s="2647" t="s">
        <v>99</v>
      </c>
      <c r="B501" s="2647" t="s">
        <v>2554</v>
      </c>
      <c r="C501" s="2647">
        <v>520</v>
      </c>
      <c r="D501" s="2647">
        <v>740</v>
      </c>
      <c r="E501" s="2647">
        <v>190</v>
      </c>
      <c r="F501" s="2647" t="s">
        <v>2074</v>
      </c>
      <c r="G501" s="2647" t="s">
        <v>2074</v>
      </c>
      <c r="H501" s="2647" t="s">
        <v>2074</v>
      </c>
      <c r="I501" s="2647" t="s">
        <v>2074</v>
      </c>
      <c r="J501" s="2647">
        <v>237</v>
      </c>
      <c r="K501" s="2648"/>
      <c r="L501" s="2647" t="s">
        <v>2555</v>
      </c>
    </row>
    <row r="502" spans="1:12">
      <c r="A502" s="2646" t="s">
        <v>99</v>
      </c>
      <c r="B502" s="2646" t="s">
        <v>2556</v>
      </c>
      <c r="C502" s="2646">
        <v>710</v>
      </c>
      <c r="D502" s="2646">
        <v>1030</v>
      </c>
      <c r="E502" s="2646">
        <v>236</v>
      </c>
      <c r="F502" s="2646" t="s">
        <v>2074</v>
      </c>
      <c r="G502" s="2646" t="s">
        <v>2074</v>
      </c>
      <c r="H502" s="2646" t="s">
        <v>2074</v>
      </c>
      <c r="I502" s="2646" t="s">
        <v>2074</v>
      </c>
      <c r="J502" s="2646">
        <v>651</v>
      </c>
      <c r="L502" s="2646" t="s">
        <v>2557</v>
      </c>
    </row>
    <row r="503" spans="1:12">
      <c r="A503" s="2647" t="s">
        <v>99</v>
      </c>
      <c r="B503" s="2647" t="s">
        <v>2558</v>
      </c>
      <c r="C503" s="2647">
        <v>720</v>
      </c>
      <c r="D503" s="2647">
        <v>915</v>
      </c>
      <c r="E503" s="2647">
        <v>190</v>
      </c>
      <c r="F503" s="2647" t="s">
        <v>2074</v>
      </c>
      <c r="G503" s="2647" t="s">
        <v>2074</v>
      </c>
      <c r="H503" s="2647" t="s">
        <v>2074</v>
      </c>
      <c r="I503" s="2647" t="s">
        <v>2074</v>
      </c>
      <c r="J503" s="2647">
        <v>277</v>
      </c>
      <c r="K503" s="2648"/>
      <c r="L503" s="2647" t="s">
        <v>2088</v>
      </c>
    </row>
    <row r="504" spans="1:12">
      <c r="A504" s="2646" t="s">
        <v>99</v>
      </c>
      <c r="B504" s="2646" t="s">
        <v>2559</v>
      </c>
      <c r="C504" s="2646">
        <v>70</v>
      </c>
      <c r="D504" s="2646">
        <v>110</v>
      </c>
      <c r="E504" s="2646">
        <v>38</v>
      </c>
      <c r="F504" s="2646" t="s">
        <v>2074</v>
      </c>
      <c r="G504" s="2646" t="s">
        <v>2074</v>
      </c>
      <c r="H504" s="2646" t="s">
        <v>2074</v>
      </c>
      <c r="I504" s="2646" t="s">
        <v>2074</v>
      </c>
      <c r="J504" s="2646">
        <v>1.06</v>
      </c>
      <c r="L504" s="2646" t="s">
        <v>2088</v>
      </c>
    </row>
    <row r="505" spans="1:12">
      <c r="A505" s="2647" t="s">
        <v>99</v>
      </c>
      <c r="B505" s="2647" t="s">
        <v>2560</v>
      </c>
      <c r="C505" s="2647">
        <v>100</v>
      </c>
      <c r="D505" s="2647">
        <v>180</v>
      </c>
      <c r="E505" s="2647">
        <v>67.3</v>
      </c>
      <c r="F505" s="2647" t="s">
        <v>2074</v>
      </c>
      <c r="G505" s="2647" t="s">
        <v>2074</v>
      </c>
      <c r="H505" s="2647" t="s">
        <v>2074</v>
      </c>
      <c r="I505" s="2647" t="s">
        <v>2074</v>
      </c>
      <c r="J505" s="2647">
        <v>6.51</v>
      </c>
      <c r="K505" s="2648"/>
      <c r="L505" s="2647" t="s">
        <v>2088</v>
      </c>
    </row>
    <row r="506" spans="1:12">
      <c r="A506" s="2646" t="s">
        <v>99</v>
      </c>
      <c r="B506" s="2646" t="s">
        <v>2561</v>
      </c>
      <c r="C506" s="2646">
        <v>110</v>
      </c>
      <c r="D506" s="2646">
        <v>200</v>
      </c>
      <c r="E506" s="2646">
        <v>92</v>
      </c>
      <c r="F506" s="2646" t="s">
        <v>2074</v>
      </c>
      <c r="G506" s="2646" t="s">
        <v>2074</v>
      </c>
      <c r="H506" s="2646" t="s">
        <v>2074</v>
      </c>
      <c r="I506" s="2646" t="s">
        <v>2074</v>
      </c>
      <c r="J506" s="2646">
        <v>11.5</v>
      </c>
      <c r="L506" s="2646" t="s">
        <v>2562</v>
      </c>
    </row>
    <row r="507" spans="1:12">
      <c r="A507" s="2647" t="s">
        <v>99</v>
      </c>
      <c r="B507" s="2647" t="s">
        <v>2563</v>
      </c>
      <c r="C507" s="2647">
        <v>130</v>
      </c>
      <c r="D507" s="2647">
        <v>214</v>
      </c>
      <c r="E507" s="2647">
        <v>115.6</v>
      </c>
      <c r="F507" s="2647" t="s">
        <v>2074</v>
      </c>
      <c r="G507" s="2647" t="s">
        <v>2074</v>
      </c>
      <c r="H507" s="2647" t="s">
        <v>2074</v>
      </c>
      <c r="I507" s="2647" t="s">
        <v>2074</v>
      </c>
      <c r="J507" s="2647">
        <v>11.5</v>
      </c>
      <c r="K507" s="2648"/>
      <c r="L507" s="2647" t="s">
        <v>2564</v>
      </c>
    </row>
    <row r="508" spans="1:12">
      <c r="A508" s="2646" t="s">
        <v>99</v>
      </c>
      <c r="B508" s="2646">
        <v>350633</v>
      </c>
      <c r="C508" s="2646">
        <v>165</v>
      </c>
      <c r="D508" s="2646">
        <v>290</v>
      </c>
      <c r="E508" s="2646">
        <v>150</v>
      </c>
      <c r="F508" s="2646" t="s">
        <v>2074</v>
      </c>
      <c r="G508" s="2646" t="s">
        <v>2074</v>
      </c>
      <c r="H508" s="2646" t="s">
        <v>2074</v>
      </c>
      <c r="I508" s="2646" t="s">
        <v>2074</v>
      </c>
      <c r="J508" s="2646">
        <v>11.5</v>
      </c>
      <c r="L508" s="2646" t="s">
        <v>2088</v>
      </c>
    </row>
    <row r="509" spans="1:12">
      <c r="A509" s="2647" t="s">
        <v>99</v>
      </c>
      <c r="B509" s="2647" t="s">
        <v>2565</v>
      </c>
      <c r="C509" s="2647">
        <v>360</v>
      </c>
      <c r="D509" s="2647">
        <v>540</v>
      </c>
      <c r="E509" s="2647">
        <v>134</v>
      </c>
      <c r="F509" s="2647" t="s">
        <v>2074</v>
      </c>
      <c r="G509" s="2647" t="s">
        <v>2074</v>
      </c>
      <c r="H509" s="2647" t="s">
        <v>2074</v>
      </c>
      <c r="I509" s="2647" t="s">
        <v>2074</v>
      </c>
      <c r="J509" s="2647">
        <v>122</v>
      </c>
      <c r="K509" s="2648"/>
      <c r="L509" s="2647">
        <v>97872</v>
      </c>
    </row>
    <row r="510" spans="1:12">
      <c r="A510" s="2646" t="s">
        <v>99</v>
      </c>
      <c r="B510" s="2646" t="s">
        <v>2566</v>
      </c>
      <c r="C510" s="2646">
        <v>400</v>
      </c>
      <c r="D510" s="2646">
        <v>600</v>
      </c>
      <c r="E510" s="2646">
        <v>230</v>
      </c>
      <c r="F510" s="2646" t="s">
        <v>2074</v>
      </c>
      <c r="G510" s="2646" t="s">
        <v>2074</v>
      </c>
      <c r="H510" s="2646" t="s">
        <v>2074</v>
      </c>
      <c r="I510" s="2646" t="s">
        <v>2074</v>
      </c>
      <c r="J510" s="2646">
        <v>206</v>
      </c>
      <c r="L510" s="2646" t="s">
        <v>2088</v>
      </c>
    </row>
    <row r="511" spans="1:12">
      <c r="A511" s="2647" t="s">
        <v>99</v>
      </c>
      <c r="B511" s="2647" t="s">
        <v>2567</v>
      </c>
      <c r="C511" s="2647">
        <v>1600</v>
      </c>
      <c r="D511" s="2647">
        <v>2060</v>
      </c>
      <c r="E511" s="2647">
        <v>560</v>
      </c>
      <c r="F511" s="2647" t="s">
        <v>2074</v>
      </c>
      <c r="G511" s="2647" t="s">
        <v>2074</v>
      </c>
      <c r="H511" s="2647" t="s">
        <v>2074</v>
      </c>
      <c r="I511" s="2647" t="s">
        <v>2074</v>
      </c>
      <c r="J511" s="2647">
        <v>420</v>
      </c>
      <c r="K511" s="2648"/>
      <c r="L511" s="2647" t="s">
        <v>2088</v>
      </c>
    </row>
    <row r="512" spans="1:12">
      <c r="A512" s="2646" t="s">
        <v>99</v>
      </c>
      <c r="B512" s="2646" t="s">
        <v>2568</v>
      </c>
      <c r="C512" s="2646">
        <v>300.03800000000001</v>
      </c>
      <c r="D512" s="2646">
        <v>422.27499999999998</v>
      </c>
      <c r="E512" s="2646">
        <v>174.625</v>
      </c>
      <c r="F512" s="2646" t="s">
        <v>2074</v>
      </c>
      <c r="G512" s="2646" t="s">
        <v>2074</v>
      </c>
      <c r="H512" s="2646" t="s">
        <v>2074</v>
      </c>
      <c r="I512" s="2646" t="s">
        <v>2074</v>
      </c>
      <c r="J512" s="2646">
        <v>65.599999999999994</v>
      </c>
      <c r="L512" s="2646" t="s">
        <v>2088</v>
      </c>
    </row>
    <row r="513" spans="1:12">
      <c r="A513" s="2647" t="s">
        <v>99</v>
      </c>
      <c r="B513" s="2647" t="s">
        <v>2569</v>
      </c>
      <c r="C513" s="2647">
        <v>368.3</v>
      </c>
      <c r="D513" s="2647">
        <v>596.9</v>
      </c>
      <c r="E513" s="2647">
        <v>2003.2</v>
      </c>
      <c r="F513" s="2647" t="s">
        <v>2074</v>
      </c>
      <c r="G513" s="2647" t="s">
        <v>2074</v>
      </c>
      <c r="H513" s="2647" t="s">
        <v>2074</v>
      </c>
      <c r="I513" s="2647" t="s">
        <v>2074</v>
      </c>
      <c r="J513" s="2647">
        <v>184</v>
      </c>
      <c r="K513" s="2648"/>
      <c r="L513" s="2647" t="s">
        <v>2088</v>
      </c>
    </row>
    <row r="514" spans="1:12">
      <c r="A514" s="2646" t="s">
        <v>99</v>
      </c>
      <c r="B514" s="2646" t="s">
        <v>2570</v>
      </c>
      <c r="C514" s="2646">
        <v>381</v>
      </c>
      <c r="D514" s="2646">
        <v>590.54999999999995</v>
      </c>
      <c r="E514" s="2646">
        <v>244.47499999999999</v>
      </c>
      <c r="F514" s="2646" t="s">
        <v>2074</v>
      </c>
      <c r="G514" s="2646" t="s">
        <v>2074</v>
      </c>
      <c r="H514" s="2646" t="s">
        <v>2074</v>
      </c>
      <c r="I514" s="2646" t="s">
        <v>2074</v>
      </c>
      <c r="J514" s="2646">
        <v>245</v>
      </c>
      <c r="L514" s="2646" t="s">
        <v>2088</v>
      </c>
    </row>
    <row r="515" spans="1:12">
      <c r="A515" s="2647" t="s">
        <v>99</v>
      </c>
      <c r="B515" s="2647" t="s">
        <v>2571</v>
      </c>
      <c r="C515" s="2647">
        <v>305</v>
      </c>
      <c r="D515" s="2647">
        <v>500</v>
      </c>
      <c r="E515" s="2647">
        <v>200</v>
      </c>
      <c r="F515" s="2647" t="s">
        <v>2074</v>
      </c>
      <c r="G515" s="2647" t="s">
        <v>2074</v>
      </c>
      <c r="H515" s="2647" t="s">
        <v>2074</v>
      </c>
      <c r="I515" s="2647" t="s">
        <v>2074</v>
      </c>
      <c r="J515" s="2647">
        <v>141</v>
      </c>
      <c r="K515" s="2648"/>
      <c r="L515" s="2647" t="s">
        <v>2572</v>
      </c>
    </row>
    <row r="516" spans="1:12">
      <c r="A516" s="2646" t="s">
        <v>99</v>
      </c>
      <c r="B516" s="2646" t="s">
        <v>2573</v>
      </c>
      <c r="C516" s="2646">
        <v>400</v>
      </c>
      <c r="D516" s="2646">
        <v>650</v>
      </c>
      <c r="E516" s="2646">
        <v>200</v>
      </c>
      <c r="F516" s="2646" t="s">
        <v>2074</v>
      </c>
      <c r="G516" s="2646" t="s">
        <v>2074</v>
      </c>
      <c r="H516" s="2646" t="s">
        <v>2074</v>
      </c>
      <c r="I516" s="2646" t="s">
        <v>2074</v>
      </c>
      <c r="J516" s="2646">
        <v>268</v>
      </c>
      <c r="L516" s="2646" t="s">
        <v>2574</v>
      </c>
    </row>
    <row r="517" spans="1:12">
      <c r="A517" s="2647" t="s">
        <v>99</v>
      </c>
      <c r="B517" s="2647" t="s">
        <v>2575</v>
      </c>
      <c r="C517" s="2647">
        <v>100</v>
      </c>
      <c r="D517" s="2647">
        <v>182</v>
      </c>
      <c r="E517" s="2647">
        <v>112</v>
      </c>
      <c r="F517" s="2647" t="s">
        <v>2074</v>
      </c>
      <c r="G517" s="2647" t="s">
        <v>2074</v>
      </c>
      <c r="H517" s="2647" t="s">
        <v>2074</v>
      </c>
      <c r="I517" s="2647" t="s">
        <v>2074</v>
      </c>
      <c r="J517" s="2647">
        <v>15.9</v>
      </c>
      <c r="K517" s="2648"/>
      <c r="L517" s="2647" t="s">
        <v>2088</v>
      </c>
    </row>
    <row r="518" spans="1:12">
      <c r="A518" s="2646" t="s">
        <v>99</v>
      </c>
      <c r="B518" s="2646" t="s">
        <v>2576</v>
      </c>
      <c r="C518" s="2646">
        <v>130</v>
      </c>
      <c r="D518" s="2646">
        <v>230</v>
      </c>
      <c r="E518" s="2646">
        <v>222</v>
      </c>
      <c r="F518" s="2646" t="s">
        <v>2074</v>
      </c>
      <c r="G518" s="2646" t="s">
        <v>2074</v>
      </c>
      <c r="H518" s="2646" t="s">
        <v>2074</v>
      </c>
      <c r="I518" s="2646" t="s">
        <v>2074</v>
      </c>
      <c r="J518" s="2646">
        <v>30.4</v>
      </c>
      <c r="L518" s="2646" t="s">
        <v>2088</v>
      </c>
    </row>
    <row r="519" spans="1:12">
      <c r="A519" s="2647" t="s">
        <v>99</v>
      </c>
      <c r="B519" s="2647" t="s">
        <v>2577</v>
      </c>
      <c r="C519" s="2647">
        <v>80</v>
      </c>
      <c r="D519" s="2647">
        <v>140</v>
      </c>
      <c r="E519" s="2647">
        <v>80</v>
      </c>
      <c r="F519" s="2647" t="s">
        <v>2074</v>
      </c>
      <c r="G519" s="2647" t="s">
        <v>2074</v>
      </c>
      <c r="H519" s="2647" t="s">
        <v>2074</v>
      </c>
      <c r="I519" s="2647" t="s">
        <v>2074</v>
      </c>
      <c r="J519" s="2647">
        <v>4.7300000000000004</v>
      </c>
      <c r="K519" s="2648"/>
      <c r="L519" s="2647" t="s">
        <v>2088</v>
      </c>
    </row>
    <row r="520" spans="1:12">
      <c r="A520" s="2646" t="s">
        <v>99</v>
      </c>
      <c r="B520" s="2646" t="s">
        <v>2578</v>
      </c>
      <c r="C520" s="2646">
        <v>20</v>
      </c>
      <c r="D520" s="2646">
        <v>52</v>
      </c>
      <c r="E520" s="2646">
        <v>21</v>
      </c>
      <c r="F520" s="2646" t="s">
        <v>2074</v>
      </c>
      <c r="G520" s="2646" t="s">
        <v>2074</v>
      </c>
      <c r="H520" s="2646" t="s">
        <v>2074</v>
      </c>
      <c r="I520" s="2646" t="s">
        <v>2074</v>
      </c>
      <c r="J520" s="2646">
        <v>0.13</v>
      </c>
      <c r="L520" s="2646">
        <v>877604</v>
      </c>
    </row>
    <row r="521" spans="1:12">
      <c r="A521" s="2647" t="s">
        <v>99</v>
      </c>
      <c r="B521" s="2647" t="s">
        <v>2579</v>
      </c>
      <c r="C521" s="2647">
        <v>33</v>
      </c>
      <c r="D521" s="2647">
        <v>49</v>
      </c>
      <c r="E521" s="2647">
        <v>11</v>
      </c>
      <c r="F521" s="2647" t="s">
        <v>2074</v>
      </c>
      <c r="G521" s="2647" t="s">
        <v>2074</v>
      </c>
      <c r="H521" s="2647" t="s">
        <v>2074</v>
      </c>
      <c r="I521" s="2647" t="s">
        <v>2074</v>
      </c>
      <c r="J521" s="2647">
        <v>0.08</v>
      </c>
      <c r="K521" s="2648"/>
      <c r="L521" s="2647">
        <v>977907</v>
      </c>
    </row>
    <row r="522" spans="1:12">
      <c r="A522" s="2646" t="s">
        <v>99</v>
      </c>
      <c r="B522" s="2646" t="s">
        <v>2580</v>
      </c>
      <c r="C522" s="2646">
        <v>40</v>
      </c>
      <c r="D522" s="2646">
        <v>66</v>
      </c>
      <c r="E522" s="2646">
        <v>12</v>
      </c>
      <c r="F522" s="2646" t="s">
        <v>2074</v>
      </c>
      <c r="G522" s="2646" t="s">
        <v>2074</v>
      </c>
      <c r="H522" s="2646" t="s">
        <v>2074</v>
      </c>
      <c r="I522" s="2646" t="s">
        <v>2074</v>
      </c>
      <c r="J522" s="2646">
        <v>0.17</v>
      </c>
      <c r="L522" s="2646">
        <v>977908</v>
      </c>
    </row>
    <row r="523" spans="1:12">
      <c r="A523" s="2647" t="s">
        <v>99</v>
      </c>
      <c r="B523" s="2647" t="s">
        <v>2581</v>
      </c>
      <c r="C523" s="2647">
        <v>46.673000000000002</v>
      </c>
      <c r="D523" s="2647">
        <v>72</v>
      </c>
      <c r="E523" s="2647">
        <v>14</v>
      </c>
      <c r="F523" s="2647" t="s">
        <v>2074</v>
      </c>
      <c r="G523" s="2647" t="s">
        <v>2074</v>
      </c>
      <c r="H523" s="2647" t="s">
        <v>2074</v>
      </c>
      <c r="I523" s="2647" t="s">
        <v>2074</v>
      </c>
      <c r="J523" s="2647">
        <v>0.24</v>
      </c>
      <c r="K523" s="2648"/>
      <c r="L523" s="2647">
        <v>977909</v>
      </c>
    </row>
    <row r="524" spans="1:12">
      <c r="A524" s="2646" t="s">
        <v>99</v>
      </c>
      <c r="B524" s="2646" t="s">
        <v>2582</v>
      </c>
      <c r="C524" s="2646">
        <v>300</v>
      </c>
      <c r="D524" s="2646">
        <v>500</v>
      </c>
      <c r="E524" s="2646">
        <v>95</v>
      </c>
      <c r="F524" s="2646" t="s">
        <v>2074</v>
      </c>
      <c r="G524" s="2646" t="s">
        <v>2074</v>
      </c>
      <c r="H524" s="2646" t="s">
        <v>2074</v>
      </c>
      <c r="I524" s="2646" t="s">
        <v>2074</v>
      </c>
      <c r="J524" s="2646">
        <v>67.7</v>
      </c>
      <c r="L524" s="2646">
        <v>1007760</v>
      </c>
    </row>
    <row r="525" spans="1:12">
      <c r="A525" s="2647" t="s">
        <v>99</v>
      </c>
      <c r="B525" s="2647" t="s">
        <v>2583</v>
      </c>
      <c r="C525" s="2647">
        <v>280</v>
      </c>
      <c r="D525" s="2647">
        <v>350</v>
      </c>
      <c r="E525" s="2647">
        <v>36</v>
      </c>
      <c r="F525" s="2647" t="s">
        <v>2074</v>
      </c>
      <c r="G525" s="2647" t="s">
        <v>2074</v>
      </c>
      <c r="H525" s="2647" t="s">
        <v>2074</v>
      </c>
      <c r="I525" s="2647" t="s">
        <v>2074</v>
      </c>
      <c r="J525" s="2647">
        <v>6.33</v>
      </c>
      <c r="K525" s="2648"/>
      <c r="L525" s="2647" t="s">
        <v>2088</v>
      </c>
    </row>
    <row r="526" spans="1:12">
      <c r="A526" s="2646" t="s">
        <v>99</v>
      </c>
      <c r="B526" s="2646" t="s">
        <v>2584</v>
      </c>
      <c r="C526" s="2646">
        <v>380</v>
      </c>
      <c r="D526" s="2646">
        <v>520</v>
      </c>
      <c r="E526" s="2646">
        <v>66.5</v>
      </c>
      <c r="F526" s="2646" t="s">
        <v>2074</v>
      </c>
      <c r="G526" s="2646" t="s">
        <v>2074</v>
      </c>
      <c r="H526" s="2646" t="s">
        <v>2074</v>
      </c>
      <c r="I526" s="2646" t="s">
        <v>2074</v>
      </c>
      <c r="J526" s="2646">
        <v>37.549999999999997</v>
      </c>
      <c r="L526" s="2646">
        <v>1007976</v>
      </c>
    </row>
    <row r="527" spans="1:12">
      <c r="A527" s="2647" t="s">
        <v>99</v>
      </c>
      <c r="B527" s="2647" t="s">
        <v>2585</v>
      </c>
      <c r="C527" s="2647">
        <v>420</v>
      </c>
      <c r="D527" s="2647">
        <v>560</v>
      </c>
      <c r="E527" s="2647">
        <v>70</v>
      </c>
      <c r="F527" s="2647" t="s">
        <v>2074</v>
      </c>
      <c r="G527" s="2647" t="s">
        <v>2074</v>
      </c>
      <c r="H527" s="2647" t="s">
        <v>2074</v>
      </c>
      <c r="I527" s="2647" t="s">
        <v>2074</v>
      </c>
      <c r="J527" s="2647">
        <v>42.4</v>
      </c>
      <c r="K527" s="2648"/>
      <c r="L527" s="2647">
        <v>1007984</v>
      </c>
    </row>
    <row r="528" spans="1:12">
      <c r="A528" s="2646" t="s">
        <v>99</v>
      </c>
      <c r="B528" s="2646" t="s">
        <v>2586</v>
      </c>
      <c r="C528" s="2646">
        <v>460</v>
      </c>
      <c r="D528" s="2646">
        <v>620</v>
      </c>
      <c r="E528" s="2646">
        <v>80</v>
      </c>
      <c r="F528" s="2646" t="s">
        <v>2074</v>
      </c>
      <c r="G528" s="2646" t="s">
        <v>2074</v>
      </c>
      <c r="H528" s="2646" t="s">
        <v>2074</v>
      </c>
      <c r="I528" s="2646" t="s">
        <v>2074</v>
      </c>
      <c r="J528" s="2646">
        <v>59.8</v>
      </c>
      <c r="L528" s="2646">
        <v>1007992</v>
      </c>
    </row>
    <row r="529" spans="1:12">
      <c r="A529" s="2647" t="s">
        <v>99</v>
      </c>
      <c r="B529" s="2647" t="s">
        <v>2587</v>
      </c>
      <c r="C529" s="2647">
        <v>480</v>
      </c>
      <c r="D529" s="2647">
        <v>650</v>
      </c>
      <c r="E529" s="2647">
        <v>842</v>
      </c>
      <c r="F529" s="2647" t="s">
        <v>2074</v>
      </c>
      <c r="G529" s="2647" t="s">
        <v>2074</v>
      </c>
      <c r="H529" s="2647" t="s">
        <v>2074</v>
      </c>
      <c r="I529" s="2647" t="s">
        <v>2074</v>
      </c>
      <c r="J529" s="2647">
        <v>7</v>
      </c>
      <c r="K529" s="2648"/>
      <c r="L529" s="2647">
        <v>1007996</v>
      </c>
    </row>
    <row r="530" spans="1:12">
      <c r="A530" s="2646" t="s">
        <v>99</v>
      </c>
      <c r="B530" s="2646" t="s">
        <v>2588</v>
      </c>
      <c r="C530" s="2646">
        <v>530</v>
      </c>
      <c r="D530" s="2646">
        <v>710</v>
      </c>
      <c r="E530" s="2646">
        <v>88</v>
      </c>
      <c r="F530" s="2646" t="s">
        <v>2074</v>
      </c>
      <c r="G530" s="2646" t="s">
        <v>2074</v>
      </c>
      <c r="H530" s="2646" t="s">
        <v>2074</v>
      </c>
      <c r="I530" s="2646" t="s">
        <v>2074</v>
      </c>
      <c r="J530" s="2646">
        <v>94.8</v>
      </c>
      <c r="L530" s="2646" t="s">
        <v>2589</v>
      </c>
    </row>
    <row r="531" spans="1:12">
      <c r="A531" s="2647" t="s">
        <v>99</v>
      </c>
      <c r="B531" s="2647" t="s">
        <v>2590</v>
      </c>
      <c r="C531" s="2647">
        <v>710</v>
      </c>
      <c r="D531" s="2647">
        <v>950</v>
      </c>
      <c r="E531" s="2647">
        <v>114</v>
      </c>
      <c r="F531" s="2647" t="s">
        <v>2074</v>
      </c>
      <c r="G531" s="2647" t="s">
        <v>2074</v>
      </c>
      <c r="H531" s="2647" t="s">
        <v>2074</v>
      </c>
      <c r="I531" s="2647" t="s">
        <v>2074</v>
      </c>
      <c r="J531" s="2647">
        <v>240.24</v>
      </c>
      <c r="K531" s="2648"/>
      <c r="L531" s="2647" t="s">
        <v>2591</v>
      </c>
    </row>
    <row r="532" spans="1:12">
      <c r="A532" s="2646" t="s">
        <v>99</v>
      </c>
      <c r="B532" s="2646" t="s">
        <v>2592</v>
      </c>
      <c r="C532" s="2646">
        <v>800</v>
      </c>
      <c r="D532" s="2646">
        <v>1060</v>
      </c>
      <c r="E532" s="2646">
        <v>122</v>
      </c>
      <c r="F532" s="2646" t="s">
        <v>2074</v>
      </c>
      <c r="G532" s="2646" t="s">
        <v>2074</v>
      </c>
      <c r="H532" s="2646" t="s">
        <v>2074</v>
      </c>
      <c r="I532" s="2646" t="s">
        <v>2074</v>
      </c>
      <c r="J532" s="2646">
        <v>275</v>
      </c>
      <c r="L532" s="2646" t="s">
        <v>2593</v>
      </c>
    </row>
    <row r="533" spans="1:12">
      <c r="A533" s="2647" t="s">
        <v>99</v>
      </c>
      <c r="B533" s="2647" t="s">
        <v>2594</v>
      </c>
      <c r="C533" s="2647">
        <v>900</v>
      </c>
      <c r="D533" s="2647">
        <v>1180</v>
      </c>
      <c r="E533" s="2647">
        <v>124</v>
      </c>
      <c r="F533" s="2647" t="s">
        <v>2074</v>
      </c>
      <c r="G533" s="2647" t="s">
        <v>2074</v>
      </c>
      <c r="H533" s="2647" t="s">
        <v>2074</v>
      </c>
      <c r="I533" s="2647" t="s">
        <v>2074</v>
      </c>
      <c r="J533" s="2647">
        <v>330</v>
      </c>
      <c r="K533" s="2648"/>
      <c r="L533" s="2647" t="s">
        <v>2595</v>
      </c>
    </row>
    <row r="534" spans="1:12">
      <c r="A534" s="2646" t="s">
        <v>99</v>
      </c>
      <c r="B534" s="2646" t="s">
        <v>2596</v>
      </c>
      <c r="C534" s="2646">
        <v>950</v>
      </c>
      <c r="D534" s="2646">
        <v>1250</v>
      </c>
      <c r="E534" s="2646">
        <v>140</v>
      </c>
      <c r="F534" s="2646" t="s">
        <v>2074</v>
      </c>
      <c r="G534" s="2646" t="s">
        <v>2074</v>
      </c>
      <c r="H534" s="2646" t="s">
        <v>2074</v>
      </c>
      <c r="I534" s="2646" t="s">
        <v>2074</v>
      </c>
      <c r="J534" s="2646">
        <v>428</v>
      </c>
      <c r="L534" s="2646" t="s">
        <v>2597</v>
      </c>
    </row>
    <row r="535" spans="1:12">
      <c r="A535" s="2647" t="s">
        <v>99</v>
      </c>
      <c r="B535" s="2647">
        <v>381156</v>
      </c>
      <c r="C535" s="2647">
        <v>280</v>
      </c>
      <c r="D535" s="2647">
        <v>460</v>
      </c>
      <c r="E535" s="2647">
        <v>324</v>
      </c>
      <c r="F535" s="2647" t="s">
        <v>2074</v>
      </c>
      <c r="G535" s="2647" t="s">
        <v>2074</v>
      </c>
      <c r="H535" s="2647" t="s">
        <v>2074</v>
      </c>
      <c r="I535" s="2647" t="s">
        <v>2074</v>
      </c>
      <c r="J535" s="2647">
        <v>200</v>
      </c>
      <c r="K535" s="2648"/>
      <c r="L535" s="2647">
        <v>1077756</v>
      </c>
    </row>
    <row r="536" spans="1:12">
      <c r="A536" s="2646" t="s">
        <v>99</v>
      </c>
      <c r="B536" s="2646" t="s">
        <v>2598</v>
      </c>
      <c r="C536" s="2646">
        <v>300</v>
      </c>
      <c r="D536" s="2646">
        <v>500</v>
      </c>
      <c r="E536" s="2646">
        <v>370</v>
      </c>
      <c r="F536" s="2646" t="s">
        <v>2074</v>
      </c>
      <c r="G536" s="2646" t="s">
        <v>2074</v>
      </c>
      <c r="H536" s="2646" t="s">
        <v>2074</v>
      </c>
      <c r="I536" s="2646" t="s">
        <v>2074</v>
      </c>
      <c r="J536" s="2646">
        <v>285</v>
      </c>
      <c r="L536" s="2646" t="s">
        <v>2599</v>
      </c>
    </row>
    <row r="537" spans="1:12">
      <c r="A537" s="2647" t="s">
        <v>99</v>
      </c>
      <c r="B537" s="2647" t="s">
        <v>2600</v>
      </c>
      <c r="C537" s="2647">
        <v>340</v>
      </c>
      <c r="D537" s="2647">
        <v>580</v>
      </c>
      <c r="E537" s="2647">
        <v>425</v>
      </c>
      <c r="F537" s="2647" t="s">
        <v>2074</v>
      </c>
      <c r="G537" s="2647" t="s">
        <v>2074</v>
      </c>
      <c r="H537" s="2647" t="s">
        <v>2074</v>
      </c>
      <c r="I537" s="2647" t="s">
        <v>2074</v>
      </c>
      <c r="J537" s="2647">
        <v>441</v>
      </c>
      <c r="K537" s="2648"/>
      <c r="L537" s="2647" t="s">
        <v>2601</v>
      </c>
    </row>
    <row r="538" spans="1:12">
      <c r="A538" s="2646" t="s">
        <v>99</v>
      </c>
      <c r="B538" s="2646">
        <v>381172</v>
      </c>
      <c r="C538" s="2646">
        <v>360</v>
      </c>
      <c r="D538" s="2646">
        <v>600</v>
      </c>
      <c r="E538" s="2646">
        <v>420</v>
      </c>
      <c r="F538" s="2646" t="s">
        <v>2074</v>
      </c>
      <c r="G538" s="2646" t="s">
        <v>2074</v>
      </c>
      <c r="H538" s="2646" t="s">
        <v>2074</v>
      </c>
      <c r="I538" s="2646" t="s">
        <v>2074</v>
      </c>
      <c r="J538" s="2646">
        <v>441</v>
      </c>
      <c r="L538" s="2646">
        <v>1077772</v>
      </c>
    </row>
    <row r="539" spans="1:12">
      <c r="A539" s="2647" t="s">
        <v>99</v>
      </c>
      <c r="B539" s="2647">
        <v>381176</v>
      </c>
      <c r="C539" s="2647">
        <v>380</v>
      </c>
      <c r="D539" s="2647">
        <v>620</v>
      </c>
      <c r="E539" s="2647">
        <v>420</v>
      </c>
      <c r="F539" s="2647" t="s">
        <v>2074</v>
      </c>
      <c r="G539" s="2647" t="s">
        <v>2074</v>
      </c>
      <c r="H539" s="2647" t="s">
        <v>2074</v>
      </c>
      <c r="I539" s="2647" t="s">
        <v>2074</v>
      </c>
      <c r="J539" s="2647">
        <v>519</v>
      </c>
      <c r="K539" s="2648"/>
      <c r="L539" s="2647">
        <v>1077776</v>
      </c>
    </row>
    <row r="540" spans="1:12">
      <c r="A540" s="2646" t="s">
        <v>99</v>
      </c>
      <c r="B540" s="2646">
        <v>381184</v>
      </c>
      <c r="C540" s="2646">
        <v>420</v>
      </c>
      <c r="D540" s="2646">
        <v>700</v>
      </c>
      <c r="E540" s="2646">
        <v>480</v>
      </c>
      <c r="F540" s="2646" t="s">
        <v>2074</v>
      </c>
      <c r="G540" s="2646" t="s">
        <v>2074</v>
      </c>
      <c r="H540" s="2646" t="s">
        <v>2074</v>
      </c>
      <c r="I540" s="2646" t="s">
        <v>2074</v>
      </c>
      <c r="J540" s="2646">
        <v>760</v>
      </c>
      <c r="L540" s="2646">
        <v>1077784</v>
      </c>
    </row>
    <row r="541" spans="1:12">
      <c r="A541" s="2647" t="s">
        <v>99</v>
      </c>
      <c r="B541" s="2647" t="s">
        <v>2602</v>
      </c>
      <c r="C541" s="2647">
        <v>530</v>
      </c>
      <c r="D541" s="2647">
        <v>870</v>
      </c>
      <c r="E541" s="2647">
        <v>590</v>
      </c>
      <c r="F541" s="2647" t="s">
        <v>2074</v>
      </c>
      <c r="G541" s="2647" t="s">
        <v>2074</v>
      </c>
      <c r="H541" s="2647" t="s">
        <v>2074</v>
      </c>
      <c r="I541" s="2647" t="s">
        <v>2074</v>
      </c>
      <c r="J541" s="2647">
        <v>1422</v>
      </c>
      <c r="K541" s="2648"/>
      <c r="L541" s="2647" t="s">
        <v>2603</v>
      </c>
    </row>
    <row r="542" spans="1:12">
      <c r="A542" s="2646" t="s">
        <v>99</v>
      </c>
      <c r="B542" s="2646" t="s">
        <v>2604</v>
      </c>
      <c r="C542" s="2646">
        <v>600</v>
      </c>
      <c r="D542" s="2646">
        <v>980</v>
      </c>
      <c r="E542" s="2646">
        <v>650</v>
      </c>
      <c r="F542" s="2646" t="s">
        <v>2074</v>
      </c>
      <c r="G542" s="2646" t="s">
        <v>2074</v>
      </c>
      <c r="H542" s="2646" t="s">
        <v>2074</v>
      </c>
      <c r="I542" s="2646" t="s">
        <v>2074</v>
      </c>
      <c r="J542" s="2646">
        <v>1970</v>
      </c>
      <c r="L542" s="2646" t="s">
        <v>2605</v>
      </c>
    </row>
    <row r="543" spans="1:12">
      <c r="A543" s="2647" t="s">
        <v>99</v>
      </c>
      <c r="B543" s="2647" t="s">
        <v>2606</v>
      </c>
      <c r="C543" s="2647">
        <v>630</v>
      </c>
      <c r="D543" s="2647">
        <v>1030</v>
      </c>
      <c r="E543" s="2647">
        <v>670</v>
      </c>
      <c r="F543" s="2647" t="s">
        <v>2074</v>
      </c>
      <c r="G543" s="2647" t="s">
        <v>2074</v>
      </c>
      <c r="H543" s="2647" t="s">
        <v>2074</v>
      </c>
      <c r="I543" s="2647" t="s">
        <v>2074</v>
      </c>
      <c r="J543" s="2647">
        <v>2170</v>
      </c>
      <c r="K543" s="2648"/>
      <c r="L543" s="2647" t="s">
        <v>2607</v>
      </c>
    </row>
    <row r="544" spans="1:12">
      <c r="A544" s="2646" t="s">
        <v>99</v>
      </c>
      <c r="B544" s="2646" t="s">
        <v>2608</v>
      </c>
      <c r="C544" s="2646">
        <v>710</v>
      </c>
      <c r="D544" s="2646">
        <v>1150</v>
      </c>
      <c r="E544" s="2646">
        <v>750</v>
      </c>
      <c r="F544" s="2646" t="s">
        <v>2074</v>
      </c>
      <c r="G544" s="2646" t="s">
        <v>2074</v>
      </c>
      <c r="H544" s="2646" t="s">
        <v>2074</v>
      </c>
      <c r="I544" s="2646" t="s">
        <v>2074</v>
      </c>
      <c r="J544" s="2646">
        <v>3227</v>
      </c>
      <c r="L544" s="2646" t="s">
        <v>2609</v>
      </c>
    </row>
    <row r="545" spans="1:12">
      <c r="A545" s="2647" t="s">
        <v>99</v>
      </c>
      <c r="B545" s="2647" t="s">
        <v>2610</v>
      </c>
      <c r="C545" s="2647">
        <v>750</v>
      </c>
      <c r="D545" s="2647">
        <v>1220</v>
      </c>
      <c r="E545" s="2647">
        <v>840</v>
      </c>
      <c r="F545" s="2647" t="s">
        <v>2074</v>
      </c>
      <c r="G545" s="2647" t="s">
        <v>2074</v>
      </c>
      <c r="H545" s="2647" t="s">
        <v>2074</v>
      </c>
      <c r="I545" s="2647" t="s">
        <v>2074</v>
      </c>
      <c r="J545" s="2647">
        <v>3990</v>
      </c>
      <c r="K545" s="2648"/>
      <c r="L545" s="2647" t="s">
        <v>2611</v>
      </c>
    </row>
    <row r="546" spans="1:12">
      <c r="A546" s="2646" t="s">
        <v>99</v>
      </c>
      <c r="B546" s="2646" t="s">
        <v>2612</v>
      </c>
      <c r="C546" s="2646">
        <v>560</v>
      </c>
      <c r="D546" s="2646">
        <v>750</v>
      </c>
      <c r="E546" s="2646">
        <v>368</v>
      </c>
      <c r="F546" s="2646" t="s">
        <v>2074</v>
      </c>
      <c r="G546" s="2646" t="s">
        <v>2074</v>
      </c>
      <c r="H546" s="2646" t="s">
        <v>2074</v>
      </c>
      <c r="I546" s="2646" t="s">
        <v>2074</v>
      </c>
      <c r="J546" s="2646">
        <v>456</v>
      </c>
      <c r="L546" s="2646" t="s">
        <v>2613</v>
      </c>
    </row>
    <row r="547" spans="1:12">
      <c r="A547" s="2647" t="s">
        <v>99</v>
      </c>
      <c r="B547" s="2647" t="s">
        <v>2614</v>
      </c>
      <c r="C547" s="2647">
        <v>600</v>
      </c>
      <c r="D547" s="2647">
        <v>800</v>
      </c>
      <c r="E547" s="2647">
        <v>380</v>
      </c>
      <c r="F547" s="2647" t="s">
        <v>2074</v>
      </c>
      <c r="G547" s="2647" t="s">
        <v>2074</v>
      </c>
      <c r="H547" s="2647" t="s">
        <v>2074</v>
      </c>
      <c r="I547" s="2647" t="s">
        <v>2074</v>
      </c>
      <c r="J547" s="2647">
        <v>536</v>
      </c>
      <c r="K547" s="2648"/>
      <c r="L547" s="2647" t="s">
        <v>2615</v>
      </c>
    </row>
    <row r="548" spans="1:12">
      <c r="A548" s="2646" t="s">
        <v>99</v>
      </c>
      <c r="B548" s="2646" t="s">
        <v>2616</v>
      </c>
      <c r="C548" s="2646">
        <v>630</v>
      </c>
      <c r="D548" s="2646">
        <v>850</v>
      </c>
      <c r="E548" s="2646">
        <v>418</v>
      </c>
      <c r="F548" s="2646" t="s">
        <v>2074</v>
      </c>
      <c r="G548" s="2646" t="s">
        <v>2074</v>
      </c>
      <c r="H548" s="2646" t="s">
        <v>2074</v>
      </c>
      <c r="I548" s="2646" t="s">
        <v>2074</v>
      </c>
      <c r="J548" s="2646">
        <v>720</v>
      </c>
      <c r="L548" s="2646" t="s">
        <v>2617</v>
      </c>
    </row>
    <row r="549" spans="1:12">
      <c r="A549" s="2647" t="s">
        <v>99</v>
      </c>
      <c r="B549" s="2647" t="s">
        <v>2618</v>
      </c>
      <c r="C549" s="2647">
        <v>670</v>
      </c>
      <c r="D549" s="2647">
        <v>900</v>
      </c>
      <c r="E549" s="2647">
        <v>412</v>
      </c>
      <c r="F549" s="2647" t="s">
        <v>2074</v>
      </c>
      <c r="G549" s="2647" t="s">
        <v>2074</v>
      </c>
      <c r="H549" s="2647" t="s">
        <v>2074</v>
      </c>
      <c r="I549" s="2647" t="s">
        <v>2074</v>
      </c>
      <c r="J549" s="2647">
        <v>959</v>
      </c>
      <c r="K549" s="2648"/>
      <c r="L549" s="2647" t="s">
        <v>2619</v>
      </c>
    </row>
    <row r="550" spans="1:12">
      <c r="A550" s="2646" t="s">
        <v>99</v>
      </c>
      <c r="B550" s="2646">
        <v>351160</v>
      </c>
      <c r="C550" s="2646">
        <v>300</v>
      </c>
      <c r="D550" s="2646">
        <v>500</v>
      </c>
      <c r="E550" s="2646">
        <v>200</v>
      </c>
      <c r="F550" s="2646" t="s">
        <v>2074</v>
      </c>
      <c r="G550" s="2646" t="s">
        <v>2074</v>
      </c>
      <c r="H550" s="2646" t="s">
        <v>2074</v>
      </c>
      <c r="I550" s="2646" t="s">
        <v>2074</v>
      </c>
      <c r="J550" s="2646">
        <v>141</v>
      </c>
      <c r="L550" s="2646">
        <v>1097760</v>
      </c>
    </row>
    <row r="551" spans="1:12">
      <c r="A551" s="2647" t="s">
        <v>99</v>
      </c>
      <c r="B551" s="2647">
        <v>351168</v>
      </c>
      <c r="C551" s="2647">
        <v>340</v>
      </c>
      <c r="D551" s="2647">
        <v>580</v>
      </c>
      <c r="E551" s="2647">
        <v>424</v>
      </c>
      <c r="F551" s="2647" t="s">
        <v>2074</v>
      </c>
      <c r="G551" s="2647" t="s">
        <v>2074</v>
      </c>
      <c r="H551" s="2647" t="s">
        <v>2074</v>
      </c>
      <c r="I551" s="2647" t="s">
        <v>2074</v>
      </c>
      <c r="J551" s="2647">
        <v>214</v>
      </c>
      <c r="K551" s="2648"/>
      <c r="L551" s="2647">
        <v>1097768</v>
      </c>
    </row>
    <row r="552" spans="1:12">
      <c r="A552" s="2646" t="s">
        <v>99</v>
      </c>
      <c r="B552" s="2646">
        <v>351176</v>
      </c>
      <c r="C552" s="2646">
        <v>380</v>
      </c>
      <c r="D552" s="2646">
        <v>620</v>
      </c>
      <c r="E552" s="2646">
        <v>242</v>
      </c>
      <c r="F552" s="2646" t="s">
        <v>2074</v>
      </c>
      <c r="G552" s="2646" t="s">
        <v>2074</v>
      </c>
      <c r="H552" s="2646" t="s">
        <v>2074</v>
      </c>
      <c r="I552" s="2646" t="s">
        <v>2074</v>
      </c>
      <c r="J552" s="2646">
        <v>243</v>
      </c>
      <c r="L552" s="2646">
        <v>1097776</v>
      </c>
    </row>
    <row r="553" spans="1:12">
      <c r="A553" s="2647" t="s">
        <v>99</v>
      </c>
      <c r="B553" s="2647">
        <v>351184</v>
      </c>
      <c r="C553" s="2647">
        <v>420</v>
      </c>
      <c r="D553" s="2647">
        <v>700</v>
      </c>
      <c r="E553" s="2647">
        <v>275</v>
      </c>
      <c r="F553" s="2647" t="s">
        <v>2074</v>
      </c>
      <c r="G553" s="2647" t="s">
        <v>2074</v>
      </c>
      <c r="H553" s="2647" t="s">
        <v>2074</v>
      </c>
      <c r="I553" s="2647" t="s">
        <v>2074</v>
      </c>
      <c r="J553" s="2647">
        <v>392</v>
      </c>
      <c r="K553" s="2648"/>
      <c r="L553" s="2647">
        <v>1097784</v>
      </c>
    </row>
    <row r="554" spans="1:12">
      <c r="A554" s="2646" t="s">
        <v>99</v>
      </c>
      <c r="B554" s="2646">
        <v>351988</v>
      </c>
      <c r="C554" s="2646">
        <v>440</v>
      </c>
      <c r="D554" s="2646">
        <v>600</v>
      </c>
      <c r="E554" s="2646">
        <v>170</v>
      </c>
      <c r="F554" s="2646" t="s">
        <v>2074</v>
      </c>
      <c r="G554" s="2646" t="s">
        <v>2074</v>
      </c>
      <c r="H554" s="2646" t="s">
        <v>2074</v>
      </c>
      <c r="I554" s="2646" t="s">
        <v>2074</v>
      </c>
      <c r="J554" s="2646">
        <v>114</v>
      </c>
      <c r="L554" s="2646">
        <v>1097988</v>
      </c>
    </row>
    <row r="555" spans="1:12">
      <c r="A555" s="2647" t="s">
        <v>99</v>
      </c>
      <c r="B555" s="2647">
        <v>351992</v>
      </c>
      <c r="C555" s="2647">
        <v>460</v>
      </c>
      <c r="D555" s="2647">
        <v>620</v>
      </c>
      <c r="E555" s="2647">
        <v>174</v>
      </c>
      <c r="F555" s="2647" t="s">
        <v>2074</v>
      </c>
      <c r="G555" s="2647" t="s">
        <v>2074</v>
      </c>
      <c r="H555" s="2647" t="s">
        <v>2074</v>
      </c>
      <c r="I555" s="2647" t="s">
        <v>2074</v>
      </c>
      <c r="J555" s="2647">
        <v>130</v>
      </c>
      <c r="K555" s="2648"/>
      <c r="L555" s="2647">
        <v>1097992</v>
      </c>
    </row>
    <row r="556" spans="1:12">
      <c r="A556" s="2646" t="s">
        <v>99</v>
      </c>
      <c r="B556" s="2646">
        <v>351996</v>
      </c>
      <c r="C556" s="2646">
        <v>480</v>
      </c>
      <c r="D556" s="2646">
        <v>650</v>
      </c>
      <c r="E556" s="2646">
        <v>180</v>
      </c>
      <c r="F556" s="2646" t="s">
        <v>2074</v>
      </c>
      <c r="G556" s="2646" t="s">
        <v>2074</v>
      </c>
      <c r="H556" s="2646" t="s">
        <v>2074</v>
      </c>
      <c r="I556" s="2646" t="s">
        <v>2074</v>
      </c>
      <c r="J556" s="2646">
        <v>151</v>
      </c>
      <c r="L556" s="2646">
        <v>1097996</v>
      </c>
    </row>
    <row r="557" spans="1:12">
      <c r="A557" s="2647" t="s">
        <v>99</v>
      </c>
      <c r="B557" s="2647" t="s">
        <v>2620</v>
      </c>
      <c r="C557" s="2647">
        <v>500</v>
      </c>
      <c r="D557" s="2647">
        <v>670</v>
      </c>
      <c r="E557" s="2647">
        <v>180</v>
      </c>
      <c r="F557" s="2647" t="s">
        <v>2074</v>
      </c>
      <c r="G557" s="2647" t="s">
        <v>2074</v>
      </c>
      <c r="H557" s="2647" t="s">
        <v>2074</v>
      </c>
      <c r="I557" s="2647" t="s">
        <v>2074</v>
      </c>
      <c r="J557" s="2647">
        <v>159</v>
      </c>
      <c r="K557" s="2648"/>
      <c r="L557" s="2647" t="s">
        <v>2621</v>
      </c>
    </row>
    <row r="558" spans="1:12">
      <c r="A558" s="2646" t="s">
        <v>99</v>
      </c>
      <c r="B558" s="2646" t="s">
        <v>2622</v>
      </c>
      <c r="C558" s="2646">
        <v>530</v>
      </c>
      <c r="D558" s="2646">
        <v>710</v>
      </c>
      <c r="E558" s="2646">
        <v>190</v>
      </c>
      <c r="F558" s="2646" t="s">
        <v>2074</v>
      </c>
      <c r="G558" s="2646" t="s">
        <v>2074</v>
      </c>
      <c r="H558" s="2646" t="s">
        <v>2074</v>
      </c>
      <c r="I558" s="2646" t="s">
        <v>2074</v>
      </c>
      <c r="J558" s="2646">
        <v>190</v>
      </c>
      <c r="L558" s="2646" t="s">
        <v>2623</v>
      </c>
    </row>
    <row r="559" spans="1:12">
      <c r="A559" s="2647" t="s">
        <v>99</v>
      </c>
      <c r="B559" s="2647" t="s">
        <v>2624</v>
      </c>
      <c r="C559" s="2647">
        <v>560</v>
      </c>
      <c r="D559" s="2647">
        <v>750</v>
      </c>
      <c r="E559" s="2647">
        <v>213</v>
      </c>
      <c r="F559" s="2647" t="s">
        <v>2074</v>
      </c>
      <c r="G559" s="2647" t="s">
        <v>2074</v>
      </c>
      <c r="H559" s="2647" t="s">
        <v>2074</v>
      </c>
      <c r="I559" s="2647" t="s">
        <v>2074</v>
      </c>
      <c r="J559" s="2647">
        <v>235</v>
      </c>
      <c r="K559" s="2648"/>
      <c r="L559" s="2647" t="s">
        <v>2625</v>
      </c>
    </row>
    <row r="560" spans="1:12">
      <c r="A560" s="2646" t="s">
        <v>99</v>
      </c>
      <c r="B560" s="2646" t="s">
        <v>2626</v>
      </c>
      <c r="C560" s="2646">
        <v>600</v>
      </c>
      <c r="D560" s="2646">
        <v>800</v>
      </c>
      <c r="E560" s="2646">
        <v>205</v>
      </c>
      <c r="F560" s="2646" t="s">
        <v>2074</v>
      </c>
      <c r="G560" s="2646" t="s">
        <v>2074</v>
      </c>
      <c r="H560" s="2646" t="s">
        <v>2074</v>
      </c>
      <c r="I560" s="2646" t="s">
        <v>2074</v>
      </c>
      <c r="J560" s="2646">
        <v>266</v>
      </c>
      <c r="L560" s="2646" t="s">
        <v>2627</v>
      </c>
    </row>
    <row r="561" spans="1:12">
      <c r="A561" s="2647" t="s">
        <v>99</v>
      </c>
      <c r="B561" s="2647" t="s">
        <v>2628</v>
      </c>
      <c r="C561" s="2647">
        <v>630</v>
      </c>
      <c r="D561" s="2647">
        <v>850</v>
      </c>
      <c r="E561" s="2647">
        <v>242</v>
      </c>
      <c r="F561" s="2647" t="s">
        <v>2074</v>
      </c>
      <c r="G561" s="2647" t="s">
        <v>2074</v>
      </c>
      <c r="H561" s="2647" t="s">
        <v>2074</v>
      </c>
      <c r="I561" s="2647" t="s">
        <v>2074</v>
      </c>
      <c r="J561" s="2647">
        <v>368</v>
      </c>
      <c r="K561" s="2648"/>
      <c r="L561" s="2647" t="s">
        <v>2629</v>
      </c>
    </row>
    <row r="562" spans="1:12">
      <c r="A562" s="2646" t="s">
        <v>99</v>
      </c>
      <c r="B562" s="2646" t="s">
        <v>2630</v>
      </c>
      <c r="C562" s="2646">
        <v>670</v>
      </c>
      <c r="D562" s="2646">
        <v>900</v>
      </c>
      <c r="E562" s="2646">
        <v>240</v>
      </c>
      <c r="F562" s="2646" t="s">
        <v>2074</v>
      </c>
      <c r="G562" s="2646" t="s">
        <v>2074</v>
      </c>
      <c r="H562" s="2646" t="s">
        <v>2074</v>
      </c>
      <c r="I562" s="2646" t="s">
        <v>2074</v>
      </c>
      <c r="J562" s="2646">
        <v>416</v>
      </c>
      <c r="L562" s="2646" t="s">
        <v>2631</v>
      </c>
    </row>
    <row r="563" spans="1:12">
      <c r="A563" s="2647" t="s">
        <v>99</v>
      </c>
      <c r="B563" s="2647" t="s">
        <v>2632</v>
      </c>
      <c r="C563" s="2647">
        <v>710</v>
      </c>
      <c r="D563" s="2647">
        <v>950</v>
      </c>
      <c r="E563" s="2647">
        <v>240</v>
      </c>
      <c r="F563" s="2647" t="s">
        <v>2074</v>
      </c>
      <c r="G563" s="2647" t="s">
        <v>2074</v>
      </c>
      <c r="H563" s="2647" t="s">
        <v>2074</v>
      </c>
      <c r="I563" s="2647" t="s">
        <v>2074</v>
      </c>
      <c r="J563" s="2647">
        <v>444</v>
      </c>
      <c r="K563" s="2648"/>
      <c r="L563" s="2647" t="s">
        <v>2633</v>
      </c>
    </row>
    <row r="564" spans="1:12">
      <c r="A564" s="2646" t="s">
        <v>99</v>
      </c>
      <c r="B564" s="2646" t="s">
        <v>2634</v>
      </c>
      <c r="C564" s="2646">
        <v>750</v>
      </c>
      <c r="D564" s="2646">
        <v>1000</v>
      </c>
      <c r="E564" s="2646">
        <v>264</v>
      </c>
      <c r="F564" s="2646" t="s">
        <v>2074</v>
      </c>
      <c r="G564" s="2646" t="s">
        <v>2074</v>
      </c>
      <c r="H564" s="2646" t="s">
        <v>2074</v>
      </c>
      <c r="I564" s="2646" t="s">
        <v>2074</v>
      </c>
      <c r="J564" s="2646">
        <v>499</v>
      </c>
      <c r="L564" s="2646" t="s">
        <v>2635</v>
      </c>
    </row>
    <row r="565" spans="1:12">
      <c r="A565" s="2647" t="s">
        <v>99</v>
      </c>
      <c r="B565" s="2647" t="s">
        <v>2636</v>
      </c>
      <c r="C565" s="2647">
        <v>800</v>
      </c>
      <c r="D565" s="2647">
        <v>1060</v>
      </c>
      <c r="E565" s="2647">
        <v>270</v>
      </c>
      <c r="F565" s="2647" t="s">
        <v>2074</v>
      </c>
      <c r="G565" s="2647" t="s">
        <v>2074</v>
      </c>
      <c r="H565" s="2647" t="s">
        <v>2074</v>
      </c>
      <c r="I565" s="2647" t="s">
        <v>2074</v>
      </c>
      <c r="J565" s="2647">
        <v>604</v>
      </c>
      <c r="K565" s="2648"/>
      <c r="L565" s="2647" t="s">
        <v>2637</v>
      </c>
    </row>
    <row r="566" spans="1:12">
      <c r="A566" s="2646" t="s">
        <v>99</v>
      </c>
      <c r="B566" s="2646" t="s">
        <v>2638</v>
      </c>
      <c r="C566" s="2646">
        <v>850</v>
      </c>
      <c r="D566" s="2646">
        <v>1120</v>
      </c>
      <c r="E566" s="2646">
        <v>268</v>
      </c>
      <c r="F566" s="2646" t="s">
        <v>2074</v>
      </c>
      <c r="G566" s="2646" t="s">
        <v>2074</v>
      </c>
      <c r="H566" s="2646" t="s">
        <v>2074</v>
      </c>
      <c r="I566" s="2646" t="s">
        <v>2074</v>
      </c>
      <c r="J566" s="2646">
        <v>636</v>
      </c>
      <c r="L566" s="2646" t="s">
        <v>2639</v>
      </c>
    </row>
    <row r="567" spans="1:12">
      <c r="A567" s="2647" t="s">
        <v>99</v>
      </c>
      <c r="B567" s="2647" t="s">
        <v>2640</v>
      </c>
      <c r="C567" s="2647">
        <v>900</v>
      </c>
      <c r="D567" s="2647">
        <v>1180</v>
      </c>
      <c r="E567" s="2647">
        <v>275</v>
      </c>
      <c r="F567" s="2647" t="s">
        <v>2074</v>
      </c>
      <c r="G567" s="2647" t="s">
        <v>2074</v>
      </c>
      <c r="H567" s="2647" t="s">
        <v>2074</v>
      </c>
      <c r="I567" s="2647" t="s">
        <v>2074</v>
      </c>
      <c r="J567" s="2647">
        <v>728</v>
      </c>
      <c r="K567" s="2648"/>
      <c r="L567" s="2647" t="s">
        <v>2641</v>
      </c>
    </row>
    <row r="568" spans="1:12">
      <c r="A568" s="2646" t="s">
        <v>99</v>
      </c>
      <c r="B568" s="2646" t="s">
        <v>2642</v>
      </c>
      <c r="C568" s="2646">
        <v>950</v>
      </c>
      <c r="D568" s="2646">
        <v>1250</v>
      </c>
      <c r="E568" s="2646">
        <v>300</v>
      </c>
      <c r="F568" s="2646" t="s">
        <v>2074</v>
      </c>
      <c r="G568" s="2646" t="s">
        <v>2074</v>
      </c>
      <c r="H568" s="2646" t="s">
        <v>2074</v>
      </c>
      <c r="I568" s="2646" t="s">
        <v>2074</v>
      </c>
      <c r="J568" s="2646">
        <v>909</v>
      </c>
      <c r="L568" s="2646" t="s">
        <v>2643</v>
      </c>
    </row>
    <row r="569" spans="1:12">
      <c r="A569" s="2647" t="s">
        <v>99</v>
      </c>
      <c r="B569" s="2647" t="s">
        <v>2644</v>
      </c>
      <c r="C569" s="2647">
        <v>1120</v>
      </c>
      <c r="D569" s="2647">
        <v>1460</v>
      </c>
      <c r="E569" s="2647">
        <v>335</v>
      </c>
      <c r="F569" s="2647" t="s">
        <v>2074</v>
      </c>
      <c r="G569" s="2647" t="s">
        <v>2074</v>
      </c>
      <c r="H569" s="2647" t="s">
        <v>2074</v>
      </c>
      <c r="I569" s="2647" t="s">
        <v>2074</v>
      </c>
      <c r="J569" s="2647">
        <v>1344</v>
      </c>
      <c r="K569" s="2648"/>
      <c r="L569" s="2647" t="s">
        <v>2645</v>
      </c>
    </row>
    <row r="570" spans="1:12">
      <c r="A570" s="2646" t="s">
        <v>99</v>
      </c>
      <c r="B570" s="2646">
        <v>32019</v>
      </c>
      <c r="C570" s="2646">
        <v>95</v>
      </c>
      <c r="D570" s="2646">
        <v>145</v>
      </c>
      <c r="E570" s="2646">
        <v>32</v>
      </c>
      <c r="F570" s="2646" t="s">
        <v>2074</v>
      </c>
      <c r="G570" s="2646" t="s">
        <v>2074</v>
      </c>
      <c r="H570" s="2646" t="s">
        <v>2074</v>
      </c>
      <c r="I570" s="2646" t="s">
        <v>2074</v>
      </c>
      <c r="J570" s="2646">
        <v>1.84</v>
      </c>
      <c r="L570" s="2646" t="s">
        <v>2646</v>
      </c>
    </row>
    <row r="571" spans="1:12">
      <c r="A571" s="2647" t="s">
        <v>99</v>
      </c>
      <c r="B571" s="2647" t="s">
        <v>2647</v>
      </c>
      <c r="C571" s="2647">
        <v>100</v>
      </c>
      <c r="D571" s="2647">
        <v>150</v>
      </c>
      <c r="E571" s="2647">
        <v>32</v>
      </c>
      <c r="F571" s="2647" t="s">
        <v>2074</v>
      </c>
      <c r="G571" s="2647" t="s">
        <v>2074</v>
      </c>
      <c r="H571" s="2647" t="s">
        <v>2074</v>
      </c>
      <c r="I571" s="2647" t="s">
        <v>2074</v>
      </c>
      <c r="J571" s="2647">
        <v>3.95</v>
      </c>
      <c r="K571" s="2648"/>
      <c r="L571" s="2647">
        <v>2047120</v>
      </c>
    </row>
    <row r="572" spans="1:12">
      <c r="A572" s="2646" t="s">
        <v>99</v>
      </c>
      <c r="B572" s="2646" t="s">
        <v>2648</v>
      </c>
      <c r="C572" s="2646">
        <v>110</v>
      </c>
      <c r="D572" s="2646">
        <v>170</v>
      </c>
      <c r="E572" s="2646">
        <v>38</v>
      </c>
      <c r="F572" s="2646" t="s">
        <v>2074</v>
      </c>
      <c r="G572" s="2646" t="s">
        <v>2074</v>
      </c>
      <c r="H572" s="2646" t="s">
        <v>2074</v>
      </c>
      <c r="I572" s="2646" t="s">
        <v>2074</v>
      </c>
      <c r="J572" s="2646">
        <v>6.17</v>
      </c>
      <c r="L572" s="2646">
        <v>2047122</v>
      </c>
    </row>
    <row r="573" spans="1:12">
      <c r="A573" s="2647" t="s">
        <v>99</v>
      </c>
      <c r="B573" s="2647" t="s">
        <v>2649</v>
      </c>
      <c r="C573" s="2647">
        <v>150</v>
      </c>
      <c r="D573" s="2647">
        <v>210</v>
      </c>
      <c r="E573" s="2647">
        <v>80</v>
      </c>
      <c r="F573" s="2647" t="s">
        <v>2074</v>
      </c>
      <c r="G573" s="2647" t="s">
        <v>2074</v>
      </c>
      <c r="H573" s="2647" t="s">
        <v>2074</v>
      </c>
      <c r="I573" s="2647" t="s">
        <v>2074</v>
      </c>
      <c r="J573" s="2647">
        <v>6.17</v>
      </c>
      <c r="K573" s="2648"/>
      <c r="L573" s="2647" t="s">
        <v>2088</v>
      </c>
    </row>
    <row r="574" spans="1:12">
      <c r="A574" s="2646" t="s">
        <v>99</v>
      </c>
      <c r="B574" s="2646">
        <v>382028</v>
      </c>
      <c r="C574" s="2646">
        <v>140</v>
      </c>
      <c r="D574" s="2646">
        <v>210</v>
      </c>
      <c r="E574" s="2646">
        <v>185</v>
      </c>
      <c r="F574" s="2646" t="s">
        <v>2074</v>
      </c>
      <c r="G574" s="2646" t="s">
        <v>2074</v>
      </c>
      <c r="H574" s="2646" t="s">
        <v>2074</v>
      </c>
      <c r="I574" s="2646" t="s">
        <v>2074</v>
      </c>
      <c r="J574" s="2646">
        <v>24.1</v>
      </c>
      <c r="L574" s="2646">
        <v>2077128</v>
      </c>
    </row>
    <row r="575" spans="1:12">
      <c r="A575" s="2647" t="s">
        <v>99</v>
      </c>
      <c r="B575" s="2647" t="s">
        <v>2650</v>
      </c>
      <c r="C575" s="2647">
        <v>170</v>
      </c>
      <c r="D575" s="2647">
        <v>260</v>
      </c>
      <c r="E575" s="2647">
        <v>230</v>
      </c>
      <c r="F575" s="2647" t="s">
        <v>2074</v>
      </c>
      <c r="G575" s="2647" t="s">
        <v>2074</v>
      </c>
      <c r="H575" s="2647" t="s">
        <v>2074</v>
      </c>
      <c r="I575" s="2647" t="s">
        <v>2074</v>
      </c>
      <c r="J575" s="2647">
        <v>39.5</v>
      </c>
      <c r="K575" s="2648"/>
      <c r="L575" s="2647" t="s">
        <v>2651</v>
      </c>
    </row>
    <row r="576" spans="1:12">
      <c r="A576" s="2646" t="s">
        <v>99</v>
      </c>
      <c r="B576" s="2646">
        <v>382044</v>
      </c>
      <c r="C576" s="2646">
        <v>220</v>
      </c>
      <c r="D576" s="2646">
        <v>340</v>
      </c>
      <c r="E576" s="2646">
        <v>305</v>
      </c>
      <c r="F576" s="2646" t="s">
        <v>2074</v>
      </c>
      <c r="G576" s="2646" t="s">
        <v>2074</v>
      </c>
      <c r="H576" s="2646" t="s">
        <v>2074</v>
      </c>
      <c r="I576" s="2646" t="s">
        <v>2074</v>
      </c>
      <c r="J576" s="2646">
        <v>97.9</v>
      </c>
      <c r="L576" s="2646">
        <v>2077144</v>
      </c>
    </row>
    <row r="577" spans="1:12">
      <c r="A577" s="2647" t="s">
        <v>99</v>
      </c>
      <c r="B577" s="2647">
        <v>382048</v>
      </c>
      <c r="C577" s="2647">
        <v>240</v>
      </c>
      <c r="D577" s="2647">
        <v>360</v>
      </c>
      <c r="E577" s="2647">
        <v>310</v>
      </c>
      <c r="F577" s="2647">
        <v>3300</v>
      </c>
      <c r="G577" s="2647">
        <v>2210</v>
      </c>
      <c r="H577" s="2647" t="s">
        <v>2074</v>
      </c>
      <c r="I577" s="2647" t="s">
        <v>2074</v>
      </c>
      <c r="J577" s="2647">
        <v>110</v>
      </c>
      <c r="K577" s="2648"/>
      <c r="L577" s="2647" t="s">
        <v>2652</v>
      </c>
    </row>
    <row r="578" spans="1:12">
      <c r="A578" s="2646" t="s">
        <v>99</v>
      </c>
      <c r="B578" s="2646">
        <v>382052</v>
      </c>
      <c r="C578" s="2646">
        <v>260</v>
      </c>
      <c r="D578" s="2646">
        <v>400</v>
      </c>
      <c r="E578" s="2646">
        <v>345</v>
      </c>
      <c r="F578" s="2646" t="s">
        <v>2074</v>
      </c>
      <c r="G578" s="2646" t="s">
        <v>2074</v>
      </c>
      <c r="H578" s="2646" t="s">
        <v>2074</v>
      </c>
      <c r="I578" s="2646" t="s">
        <v>2074</v>
      </c>
      <c r="J578" s="2646">
        <v>153</v>
      </c>
      <c r="L578" s="2646">
        <v>2077152</v>
      </c>
    </row>
    <row r="579" spans="1:12">
      <c r="A579" s="2647" t="s">
        <v>99</v>
      </c>
      <c r="B579" s="2647">
        <v>382060</v>
      </c>
      <c r="C579" s="2647">
        <v>300</v>
      </c>
      <c r="D579" s="2647">
        <v>460</v>
      </c>
      <c r="E579" s="2647">
        <v>210</v>
      </c>
      <c r="F579" s="2647" t="s">
        <v>2074</v>
      </c>
      <c r="G579" s="2647" t="s">
        <v>2074</v>
      </c>
      <c r="H579" s="2647" t="s">
        <v>2074</v>
      </c>
      <c r="I579" s="2647" t="s">
        <v>2074</v>
      </c>
      <c r="J579" s="2647">
        <v>117</v>
      </c>
      <c r="K579" s="2648"/>
      <c r="L579" s="2647" t="s">
        <v>2653</v>
      </c>
    </row>
    <row r="580" spans="1:12">
      <c r="A580" s="2646" t="s">
        <v>99</v>
      </c>
      <c r="B580" s="2646">
        <v>382064</v>
      </c>
      <c r="C580" s="2646">
        <v>320</v>
      </c>
      <c r="D580" s="2646">
        <v>480</v>
      </c>
      <c r="E580" s="2646">
        <v>380</v>
      </c>
      <c r="F580" s="2646" t="s">
        <v>2074</v>
      </c>
      <c r="G580" s="2646" t="s">
        <v>2074</v>
      </c>
      <c r="H580" s="2646" t="s">
        <v>2074</v>
      </c>
      <c r="I580" s="2646" t="s">
        <v>2074</v>
      </c>
      <c r="J580" s="2646">
        <v>234</v>
      </c>
      <c r="L580" s="2646" t="s">
        <v>2654</v>
      </c>
    </row>
    <row r="581" spans="1:12">
      <c r="A581" s="2647" t="s">
        <v>99</v>
      </c>
      <c r="B581" s="2647" t="s">
        <v>2655</v>
      </c>
      <c r="C581" s="2647">
        <v>950</v>
      </c>
      <c r="D581" s="2647">
        <v>1360</v>
      </c>
      <c r="E581" s="2647">
        <v>880</v>
      </c>
      <c r="F581" s="2647" t="s">
        <v>2074</v>
      </c>
      <c r="G581" s="2647" t="s">
        <v>2074</v>
      </c>
      <c r="H581" s="2647" t="s">
        <v>2074</v>
      </c>
      <c r="I581" s="2647" t="s">
        <v>2074</v>
      </c>
      <c r="J581" s="2647">
        <v>5698</v>
      </c>
      <c r="K581" s="2648"/>
      <c r="L581" s="2647" t="s">
        <v>2656</v>
      </c>
    </row>
    <row r="582" spans="1:12">
      <c r="A582" s="2646" t="s">
        <v>99</v>
      </c>
      <c r="B582" s="2646" t="s">
        <v>2657</v>
      </c>
      <c r="C582" s="2646">
        <v>1060</v>
      </c>
      <c r="D582" s="2646">
        <v>1500</v>
      </c>
      <c r="E582" s="2646">
        <v>1000</v>
      </c>
      <c r="F582" s="2646" t="s">
        <v>2074</v>
      </c>
      <c r="G582" s="2646" t="s">
        <v>2074</v>
      </c>
      <c r="H582" s="2646" t="s">
        <v>2074</v>
      </c>
      <c r="I582" s="2646" t="s">
        <v>2074</v>
      </c>
      <c r="J582" s="2646">
        <v>5698</v>
      </c>
      <c r="L582" s="2646" t="s">
        <v>2658</v>
      </c>
    </row>
    <row r="583" spans="1:12">
      <c r="A583" s="2647" t="s">
        <v>99</v>
      </c>
      <c r="B583" s="2647">
        <v>382930</v>
      </c>
      <c r="C583" s="2647">
        <v>150</v>
      </c>
      <c r="D583" s="2647">
        <v>210</v>
      </c>
      <c r="E583" s="2647">
        <v>165</v>
      </c>
      <c r="F583" s="2647" t="s">
        <v>2074</v>
      </c>
      <c r="G583" s="2647" t="s">
        <v>2074</v>
      </c>
      <c r="H583" s="2647" t="s">
        <v>2074</v>
      </c>
      <c r="I583" s="2647" t="s">
        <v>2074</v>
      </c>
      <c r="J583" s="2647">
        <v>5698</v>
      </c>
      <c r="K583" s="2648"/>
      <c r="L583" s="2647">
        <v>2077930</v>
      </c>
    </row>
    <row r="584" spans="1:12">
      <c r="A584" s="2646" t="s">
        <v>99</v>
      </c>
      <c r="B584" s="2646">
        <v>382952</v>
      </c>
      <c r="C584" s="2646">
        <v>260</v>
      </c>
      <c r="D584" s="2646">
        <v>360</v>
      </c>
      <c r="E584" s="2646">
        <v>265</v>
      </c>
      <c r="F584" s="2646" t="s">
        <v>2074</v>
      </c>
      <c r="G584" s="2646" t="s">
        <v>2074</v>
      </c>
      <c r="H584" s="2646" t="s">
        <v>2074</v>
      </c>
      <c r="I584" s="2646" t="s">
        <v>2074</v>
      </c>
      <c r="J584" s="2646">
        <v>76.3</v>
      </c>
      <c r="L584" s="2646">
        <v>2077952</v>
      </c>
    </row>
    <row r="585" spans="1:12">
      <c r="A585" s="2647" t="s">
        <v>99</v>
      </c>
      <c r="B585" s="2647">
        <v>382968</v>
      </c>
      <c r="C585" s="2647">
        <v>340</v>
      </c>
      <c r="D585" s="2647">
        <v>460</v>
      </c>
      <c r="E585" s="2647">
        <v>310</v>
      </c>
      <c r="F585" s="2647" t="s">
        <v>2074</v>
      </c>
      <c r="G585" s="2647" t="s">
        <v>2074</v>
      </c>
      <c r="H585" s="2647" t="s">
        <v>2074</v>
      </c>
      <c r="I585" s="2647" t="s">
        <v>2074</v>
      </c>
      <c r="J585" s="2647">
        <v>145</v>
      </c>
      <c r="K585" s="2648"/>
      <c r="L585" s="2647">
        <v>2077968</v>
      </c>
    </row>
    <row r="586" spans="1:12">
      <c r="A586" s="2646" t="s">
        <v>99</v>
      </c>
      <c r="B586" s="2646">
        <v>352026</v>
      </c>
      <c r="C586" s="2646">
        <v>130</v>
      </c>
      <c r="D586" s="2646">
        <v>200</v>
      </c>
      <c r="E586" s="2646">
        <v>95</v>
      </c>
      <c r="F586" s="2646" t="s">
        <v>2074</v>
      </c>
      <c r="G586" s="2646" t="s">
        <v>2074</v>
      </c>
      <c r="H586" s="2646" t="s">
        <v>2074</v>
      </c>
      <c r="I586" s="2646" t="s">
        <v>2074</v>
      </c>
      <c r="J586" s="2646">
        <v>9.7200000000000006</v>
      </c>
      <c r="L586" s="2646" t="s">
        <v>2659</v>
      </c>
    </row>
    <row r="587" spans="1:12">
      <c r="A587" s="2647" t="s">
        <v>99</v>
      </c>
      <c r="B587" s="2647">
        <v>352028</v>
      </c>
      <c r="C587" s="2647">
        <v>140</v>
      </c>
      <c r="D587" s="2647">
        <v>210</v>
      </c>
      <c r="E587" s="2647">
        <v>95</v>
      </c>
      <c r="F587" s="2647" t="s">
        <v>2074</v>
      </c>
      <c r="G587" s="2647" t="s">
        <v>2074</v>
      </c>
      <c r="H587" s="2647" t="s">
        <v>2074</v>
      </c>
      <c r="I587" s="2647" t="s">
        <v>2074</v>
      </c>
      <c r="J587" s="2647">
        <v>10.9</v>
      </c>
      <c r="K587" s="2648"/>
      <c r="L587" s="2647" t="s">
        <v>2660</v>
      </c>
    </row>
    <row r="588" spans="1:12">
      <c r="A588" s="2646" t="s">
        <v>99</v>
      </c>
      <c r="B588" s="2646">
        <v>352032</v>
      </c>
      <c r="C588" s="2646">
        <v>160</v>
      </c>
      <c r="D588" s="2646">
        <v>240</v>
      </c>
      <c r="E588" s="2646">
        <v>115</v>
      </c>
      <c r="F588" s="2646" t="s">
        <v>2074</v>
      </c>
      <c r="G588" s="2646" t="s">
        <v>2074</v>
      </c>
      <c r="H588" s="2646" t="s">
        <v>2074</v>
      </c>
      <c r="I588" s="2646" t="s">
        <v>2074</v>
      </c>
      <c r="J588" s="2646">
        <v>10.9</v>
      </c>
      <c r="L588" s="2646" t="s">
        <v>2661</v>
      </c>
    </row>
    <row r="589" spans="1:12">
      <c r="A589" s="2647" t="s">
        <v>99</v>
      </c>
      <c r="B589" s="2647">
        <v>352034</v>
      </c>
      <c r="C589" s="2647">
        <v>170</v>
      </c>
      <c r="D589" s="2647">
        <v>260</v>
      </c>
      <c r="E589" s="2647">
        <v>128</v>
      </c>
      <c r="F589" s="2647" t="s">
        <v>2074</v>
      </c>
      <c r="G589" s="2647" t="s">
        <v>2074</v>
      </c>
      <c r="H589" s="2647" t="s">
        <v>2074</v>
      </c>
      <c r="I589" s="2647" t="s">
        <v>2074</v>
      </c>
      <c r="J589" s="2647">
        <v>21</v>
      </c>
      <c r="K589" s="2648"/>
      <c r="L589" s="2647" t="s">
        <v>2662</v>
      </c>
    </row>
    <row r="590" spans="1:12">
      <c r="A590" s="2646" t="s">
        <v>99</v>
      </c>
      <c r="B590" s="2646">
        <v>352036</v>
      </c>
      <c r="C590" s="2646">
        <v>180</v>
      </c>
      <c r="D590" s="2646">
        <v>280</v>
      </c>
      <c r="E590" s="2646">
        <v>134</v>
      </c>
      <c r="F590" s="2646" t="s">
        <v>2074</v>
      </c>
      <c r="G590" s="2646" t="s">
        <v>2074</v>
      </c>
      <c r="H590" s="2646" t="s">
        <v>2074</v>
      </c>
      <c r="I590" s="2646" t="s">
        <v>2074</v>
      </c>
      <c r="J590" s="2646">
        <v>21</v>
      </c>
      <c r="L590" s="2646" t="s">
        <v>2663</v>
      </c>
    </row>
    <row r="591" spans="1:12">
      <c r="A591" s="2647" t="s">
        <v>99</v>
      </c>
      <c r="B591" s="2647">
        <v>352038</v>
      </c>
      <c r="C591" s="2647">
        <v>190</v>
      </c>
      <c r="D591" s="2647">
        <v>290</v>
      </c>
      <c r="E591" s="2647">
        <v>134</v>
      </c>
      <c r="F591" s="2647" t="s">
        <v>2074</v>
      </c>
      <c r="G591" s="2647" t="s">
        <v>2074</v>
      </c>
      <c r="H591" s="2647" t="s">
        <v>2074</v>
      </c>
      <c r="I591" s="2647" t="s">
        <v>2074</v>
      </c>
      <c r="J591" s="2647">
        <v>21</v>
      </c>
      <c r="K591" s="2648"/>
      <c r="L591" s="2647" t="s">
        <v>2664</v>
      </c>
    </row>
    <row r="592" spans="1:12">
      <c r="A592" s="2646" t="s">
        <v>99</v>
      </c>
      <c r="B592" s="2646">
        <v>352040</v>
      </c>
      <c r="C592" s="2646">
        <v>200</v>
      </c>
      <c r="D592" s="2646">
        <v>310</v>
      </c>
      <c r="E592" s="2646">
        <v>152</v>
      </c>
      <c r="F592" s="2646" t="s">
        <v>2074</v>
      </c>
      <c r="G592" s="2646" t="s">
        <v>2074</v>
      </c>
      <c r="H592" s="2646" t="s">
        <v>2074</v>
      </c>
      <c r="I592" s="2646" t="s">
        <v>2074</v>
      </c>
      <c r="J592" s="2646">
        <v>39</v>
      </c>
      <c r="L592" s="2646" t="s">
        <v>2665</v>
      </c>
    </row>
    <row r="593" spans="1:12">
      <c r="A593" s="2647" t="s">
        <v>99</v>
      </c>
      <c r="B593" s="2647">
        <v>352044</v>
      </c>
      <c r="C593" s="2647">
        <v>220</v>
      </c>
      <c r="D593" s="2647">
        <v>340</v>
      </c>
      <c r="E593" s="2647">
        <v>165</v>
      </c>
      <c r="F593" s="2647" t="s">
        <v>2074</v>
      </c>
      <c r="G593" s="2647" t="s">
        <v>2074</v>
      </c>
      <c r="H593" s="2647" t="s">
        <v>2074</v>
      </c>
      <c r="I593" s="2647" t="s">
        <v>2074</v>
      </c>
      <c r="J593" s="2647">
        <v>39</v>
      </c>
      <c r="K593" s="2648"/>
      <c r="L593" s="2647" t="s">
        <v>2666</v>
      </c>
    </row>
    <row r="594" spans="1:12">
      <c r="A594" s="2646" t="s">
        <v>99</v>
      </c>
      <c r="B594" s="2646">
        <v>352048</v>
      </c>
      <c r="C594" s="2646">
        <v>240</v>
      </c>
      <c r="D594" s="2646">
        <v>360</v>
      </c>
      <c r="E594" s="2646">
        <v>165</v>
      </c>
      <c r="F594" s="2646" t="s">
        <v>2074</v>
      </c>
      <c r="G594" s="2646" t="s">
        <v>2074</v>
      </c>
      <c r="H594" s="2646" t="s">
        <v>2074</v>
      </c>
      <c r="I594" s="2646" t="s">
        <v>2074</v>
      </c>
      <c r="J594" s="2646">
        <v>52.8</v>
      </c>
      <c r="L594" s="2646" t="s">
        <v>2667</v>
      </c>
    </row>
    <row r="595" spans="1:12">
      <c r="A595" s="2647" t="s">
        <v>99</v>
      </c>
      <c r="B595" s="2647">
        <v>352052</v>
      </c>
      <c r="C595" s="2647">
        <v>260</v>
      </c>
      <c r="D595" s="2647">
        <v>400</v>
      </c>
      <c r="E595" s="2647">
        <v>185</v>
      </c>
      <c r="F595" s="2647" t="s">
        <v>2074</v>
      </c>
      <c r="G595" s="2647" t="s">
        <v>2074</v>
      </c>
      <c r="H595" s="2647" t="s">
        <v>2074</v>
      </c>
      <c r="I595" s="2647" t="s">
        <v>2074</v>
      </c>
      <c r="J595" s="2647">
        <v>76.8</v>
      </c>
      <c r="K595" s="2648"/>
      <c r="L595" s="2647">
        <v>37852</v>
      </c>
    </row>
    <row r="596" spans="1:12">
      <c r="A596" s="2646" t="s">
        <v>99</v>
      </c>
      <c r="B596" s="2646">
        <v>352056</v>
      </c>
      <c r="C596" s="2646">
        <v>280</v>
      </c>
      <c r="D596" s="2646">
        <v>420</v>
      </c>
      <c r="E596" s="2646">
        <v>186</v>
      </c>
      <c r="F596" s="2646" t="s">
        <v>2074</v>
      </c>
      <c r="G596" s="2646" t="s">
        <v>2074</v>
      </c>
      <c r="H596" s="2646" t="s">
        <v>2074</v>
      </c>
      <c r="I596" s="2646" t="s">
        <v>2074</v>
      </c>
      <c r="J596" s="2646">
        <v>81.3</v>
      </c>
      <c r="L596" s="2646" t="s">
        <v>2668</v>
      </c>
    </row>
    <row r="597" spans="1:12">
      <c r="A597" s="2647" t="s">
        <v>99</v>
      </c>
      <c r="B597" s="2647">
        <v>352060</v>
      </c>
      <c r="C597" s="2647">
        <v>300</v>
      </c>
      <c r="D597" s="2647">
        <v>460</v>
      </c>
      <c r="E597" s="2647">
        <v>210</v>
      </c>
      <c r="F597" s="2647" t="s">
        <v>2074</v>
      </c>
      <c r="G597" s="2647" t="s">
        <v>2074</v>
      </c>
      <c r="H597" s="2647" t="s">
        <v>2074</v>
      </c>
      <c r="I597" s="2647" t="s">
        <v>2074</v>
      </c>
      <c r="J597" s="2647">
        <v>117</v>
      </c>
      <c r="K597" s="2648"/>
      <c r="L597" s="2647" t="s">
        <v>2669</v>
      </c>
    </row>
    <row r="598" spans="1:12">
      <c r="A598" s="2646" t="s">
        <v>99</v>
      </c>
      <c r="B598" s="2646">
        <v>352064</v>
      </c>
      <c r="C598" s="2646">
        <v>320</v>
      </c>
      <c r="D598" s="2646">
        <v>480</v>
      </c>
      <c r="E598" s="2646">
        <v>210</v>
      </c>
      <c r="F598" s="2646" t="s">
        <v>2074</v>
      </c>
      <c r="G598" s="2646" t="s">
        <v>2074</v>
      </c>
      <c r="H598" s="2646" t="s">
        <v>2074</v>
      </c>
      <c r="I598" s="2646" t="s">
        <v>2074</v>
      </c>
      <c r="J598" s="2646">
        <v>122</v>
      </c>
      <c r="L598" s="2646" t="s">
        <v>2670</v>
      </c>
    </row>
    <row r="599" spans="1:12">
      <c r="A599" s="2647" t="s">
        <v>99</v>
      </c>
      <c r="B599" s="2647">
        <v>352072</v>
      </c>
      <c r="C599" s="2647">
        <v>360</v>
      </c>
      <c r="D599" s="2647">
        <v>540</v>
      </c>
      <c r="E599" s="2647">
        <v>95</v>
      </c>
      <c r="F599" s="2647" t="s">
        <v>2074</v>
      </c>
      <c r="G599" s="2647" t="s">
        <v>2074</v>
      </c>
      <c r="H599" s="2647" t="s">
        <v>2074</v>
      </c>
      <c r="I599" s="2647" t="s">
        <v>2074</v>
      </c>
      <c r="J599" s="2647">
        <v>162</v>
      </c>
      <c r="K599" s="2648"/>
      <c r="L599" s="2647" t="s">
        <v>2088</v>
      </c>
    </row>
    <row r="600" spans="1:12">
      <c r="A600" s="2646" t="s">
        <v>99</v>
      </c>
      <c r="B600" s="2646">
        <v>352122</v>
      </c>
      <c r="C600" s="2646">
        <v>110</v>
      </c>
      <c r="D600" s="2646">
        <v>180</v>
      </c>
      <c r="E600" s="2646">
        <v>95</v>
      </c>
      <c r="F600" s="2646" t="s">
        <v>2074</v>
      </c>
      <c r="G600" s="2646" t="s">
        <v>2074</v>
      </c>
      <c r="H600" s="2646" t="s">
        <v>2074</v>
      </c>
      <c r="I600" s="2646" t="s">
        <v>2074</v>
      </c>
      <c r="J600" s="2646">
        <v>10</v>
      </c>
      <c r="L600" s="2646">
        <v>2097722</v>
      </c>
    </row>
    <row r="601" spans="1:12">
      <c r="A601" s="2647" t="s">
        <v>99</v>
      </c>
      <c r="B601" s="2647">
        <v>352124</v>
      </c>
      <c r="C601" s="2647">
        <v>120</v>
      </c>
      <c r="D601" s="2647">
        <v>200</v>
      </c>
      <c r="E601" s="2647">
        <v>110</v>
      </c>
      <c r="F601" s="2647" t="s">
        <v>2074</v>
      </c>
      <c r="G601" s="2647" t="s">
        <v>2074</v>
      </c>
      <c r="H601" s="2647" t="s">
        <v>2074</v>
      </c>
      <c r="I601" s="2647" t="s">
        <v>2074</v>
      </c>
      <c r="J601" s="2647">
        <v>12</v>
      </c>
      <c r="K601" s="2648"/>
      <c r="L601" s="2647">
        <v>2097724</v>
      </c>
    </row>
    <row r="602" spans="1:12">
      <c r="A602" s="2646" t="s">
        <v>99</v>
      </c>
      <c r="B602" s="2646">
        <v>352126</v>
      </c>
      <c r="C602" s="2646">
        <v>130</v>
      </c>
      <c r="D602" s="2646">
        <v>210</v>
      </c>
      <c r="E602" s="2646">
        <v>110</v>
      </c>
      <c r="F602" s="2646" t="s">
        <v>2074</v>
      </c>
      <c r="G602" s="2646" t="s">
        <v>2074</v>
      </c>
      <c r="H602" s="2646" t="s">
        <v>2074</v>
      </c>
      <c r="I602" s="2646" t="s">
        <v>2074</v>
      </c>
      <c r="J602" s="2646">
        <v>13.9</v>
      </c>
      <c r="L602" s="2646">
        <v>2097726</v>
      </c>
    </row>
    <row r="603" spans="1:12">
      <c r="A603" s="2647" t="s">
        <v>99</v>
      </c>
      <c r="B603" s="2647">
        <v>352128</v>
      </c>
      <c r="C603" s="2647">
        <v>140</v>
      </c>
      <c r="D603" s="2647">
        <v>225</v>
      </c>
      <c r="E603" s="2647">
        <v>115</v>
      </c>
      <c r="F603" s="2647" t="s">
        <v>2074</v>
      </c>
      <c r="G603" s="2647" t="s">
        <v>2074</v>
      </c>
      <c r="H603" s="2647" t="s">
        <v>2074</v>
      </c>
      <c r="I603" s="2647" t="s">
        <v>2074</v>
      </c>
      <c r="J603" s="2647">
        <v>13.9</v>
      </c>
      <c r="K603" s="2648"/>
      <c r="L603" s="2647">
        <v>2097728</v>
      </c>
    </row>
    <row r="604" spans="1:12">
      <c r="A604" s="2646" t="s">
        <v>99</v>
      </c>
      <c r="B604" s="2646">
        <v>352130</v>
      </c>
      <c r="C604" s="2646">
        <v>150</v>
      </c>
      <c r="D604" s="2646">
        <v>250</v>
      </c>
      <c r="E604" s="2646">
        <v>138</v>
      </c>
      <c r="F604" s="2646" t="s">
        <v>2074</v>
      </c>
      <c r="G604" s="2646" t="s">
        <v>2074</v>
      </c>
      <c r="H604" s="2646" t="s">
        <v>2074</v>
      </c>
      <c r="I604" s="2646" t="s">
        <v>2074</v>
      </c>
      <c r="J604" s="2646">
        <v>24.3</v>
      </c>
      <c r="L604" s="2646">
        <v>2097730</v>
      </c>
    </row>
    <row r="605" spans="1:12">
      <c r="A605" s="2647" t="s">
        <v>99</v>
      </c>
      <c r="B605" s="2647">
        <v>352132</v>
      </c>
      <c r="C605" s="2647">
        <v>160</v>
      </c>
      <c r="D605" s="2647">
        <v>270</v>
      </c>
      <c r="E605" s="2647">
        <v>150</v>
      </c>
      <c r="F605" s="2647" t="s">
        <v>2074</v>
      </c>
      <c r="G605" s="2647" t="s">
        <v>2074</v>
      </c>
      <c r="H605" s="2647" t="s">
        <v>2074</v>
      </c>
      <c r="I605" s="2647" t="s">
        <v>2074</v>
      </c>
      <c r="J605" s="2647">
        <v>28.2</v>
      </c>
      <c r="K605" s="2648"/>
      <c r="L605" s="2647">
        <v>2097732</v>
      </c>
    </row>
    <row r="606" spans="1:12">
      <c r="A606" s="2646" t="s">
        <v>99</v>
      </c>
      <c r="B606" s="2646">
        <v>52134</v>
      </c>
      <c r="C606" s="2646">
        <v>170</v>
      </c>
      <c r="D606" s="2646">
        <v>280</v>
      </c>
      <c r="E606" s="2646">
        <v>150</v>
      </c>
      <c r="F606" s="2646" t="s">
        <v>2074</v>
      </c>
      <c r="G606" s="2646" t="s">
        <v>2074</v>
      </c>
      <c r="H606" s="2646" t="s">
        <v>2074</v>
      </c>
      <c r="I606" s="2646" t="s">
        <v>2074</v>
      </c>
      <c r="J606" s="2646">
        <v>35.6</v>
      </c>
      <c r="L606" s="2646" t="s">
        <v>2088</v>
      </c>
    </row>
    <row r="607" spans="1:12">
      <c r="A607" s="2647" t="s">
        <v>99</v>
      </c>
      <c r="B607" s="2647">
        <v>52136</v>
      </c>
      <c r="C607" s="2647">
        <v>180</v>
      </c>
      <c r="D607" s="2647">
        <v>300</v>
      </c>
      <c r="E607" s="2647">
        <v>160</v>
      </c>
      <c r="F607" s="2647" t="s">
        <v>2074</v>
      </c>
      <c r="G607" s="2647" t="s">
        <v>2074</v>
      </c>
      <c r="H607" s="2647" t="s">
        <v>2074</v>
      </c>
      <c r="I607" s="2647" t="s">
        <v>2074</v>
      </c>
      <c r="J607" s="2647">
        <v>35.6</v>
      </c>
      <c r="K607" s="2648"/>
      <c r="L607" s="2647" t="s">
        <v>2088</v>
      </c>
    </row>
    <row r="608" spans="1:12">
      <c r="A608" s="2646" t="s">
        <v>99</v>
      </c>
      <c r="B608" s="2646">
        <v>52138</v>
      </c>
      <c r="C608" s="2646">
        <v>190</v>
      </c>
      <c r="D608" s="2646">
        <v>320</v>
      </c>
      <c r="E608" s="2646">
        <v>170</v>
      </c>
      <c r="F608" s="2646" t="s">
        <v>2074</v>
      </c>
      <c r="G608" s="2646" t="s">
        <v>2074</v>
      </c>
      <c r="H608" s="2646" t="s">
        <v>2074</v>
      </c>
      <c r="I608" s="2646" t="s">
        <v>2074</v>
      </c>
      <c r="J608" s="2646">
        <v>52</v>
      </c>
      <c r="L608" s="2646" t="s">
        <v>2088</v>
      </c>
    </row>
    <row r="609" spans="1:12">
      <c r="A609" s="2647" t="s">
        <v>99</v>
      </c>
      <c r="B609" s="2647">
        <v>52140</v>
      </c>
      <c r="C609" s="2647">
        <v>200</v>
      </c>
      <c r="D609" s="2647">
        <v>340</v>
      </c>
      <c r="E609" s="2647">
        <v>184</v>
      </c>
      <c r="F609" s="2647" t="s">
        <v>2074</v>
      </c>
      <c r="G609" s="2647" t="s">
        <v>2074</v>
      </c>
      <c r="H609" s="2647" t="s">
        <v>2074</v>
      </c>
      <c r="I609" s="2647" t="s">
        <v>2074</v>
      </c>
      <c r="J609" s="2647">
        <v>63.8</v>
      </c>
      <c r="K609" s="2648"/>
      <c r="L609" s="2647" t="s">
        <v>2088</v>
      </c>
    </row>
    <row r="610" spans="1:12">
      <c r="A610" s="2646" t="s">
        <v>99</v>
      </c>
      <c r="B610" s="2646">
        <v>52144</v>
      </c>
      <c r="C610" s="2646">
        <v>220</v>
      </c>
      <c r="D610" s="2646">
        <v>370</v>
      </c>
      <c r="E610" s="2646">
        <v>195</v>
      </c>
      <c r="F610" s="2646" t="s">
        <v>2074</v>
      </c>
      <c r="G610" s="2646" t="s">
        <v>2074</v>
      </c>
      <c r="H610" s="2646" t="s">
        <v>2074</v>
      </c>
      <c r="I610" s="2646" t="s">
        <v>2074</v>
      </c>
      <c r="J610" s="2646">
        <v>76.3</v>
      </c>
      <c r="L610" s="2646" t="s">
        <v>2088</v>
      </c>
    </row>
    <row r="611" spans="1:12">
      <c r="A611" s="2647" t="s">
        <v>99</v>
      </c>
      <c r="B611" s="2647">
        <v>52148</v>
      </c>
      <c r="C611" s="2647">
        <v>240</v>
      </c>
      <c r="D611" s="2647">
        <v>400</v>
      </c>
      <c r="E611" s="2647">
        <v>210</v>
      </c>
      <c r="F611" s="2647" t="s">
        <v>2074</v>
      </c>
      <c r="G611" s="2647" t="s">
        <v>2074</v>
      </c>
      <c r="H611" s="2647" t="s">
        <v>2074</v>
      </c>
      <c r="I611" s="2647" t="s">
        <v>2074</v>
      </c>
      <c r="J611" s="2647">
        <v>98.1</v>
      </c>
      <c r="K611" s="2648"/>
      <c r="L611" s="2647" t="s">
        <v>2088</v>
      </c>
    </row>
    <row r="612" spans="1:12">
      <c r="A612" s="2646" t="s">
        <v>99</v>
      </c>
      <c r="B612" s="2646">
        <v>52152</v>
      </c>
      <c r="C612" s="2646">
        <v>260</v>
      </c>
      <c r="D612" s="2646">
        <v>440</v>
      </c>
      <c r="E612" s="2646">
        <v>225</v>
      </c>
      <c r="F612" s="2646" t="s">
        <v>2074</v>
      </c>
      <c r="G612" s="2646" t="s">
        <v>2074</v>
      </c>
      <c r="H612" s="2646" t="s">
        <v>2074</v>
      </c>
      <c r="I612" s="2646" t="s">
        <v>2074</v>
      </c>
      <c r="J612" s="2646">
        <v>124</v>
      </c>
      <c r="L612" s="2646" t="s">
        <v>2088</v>
      </c>
    </row>
    <row r="613" spans="1:12">
      <c r="A613" s="2647" t="s">
        <v>99</v>
      </c>
      <c r="B613" s="2647">
        <v>52926</v>
      </c>
      <c r="C613" s="2647">
        <v>130</v>
      </c>
      <c r="D613" s="2647">
        <v>180</v>
      </c>
      <c r="E613" s="2647">
        <v>70</v>
      </c>
      <c r="F613" s="2647" t="s">
        <v>2074</v>
      </c>
      <c r="G613" s="2647" t="s">
        <v>2074</v>
      </c>
      <c r="H613" s="2647" t="s">
        <v>2074</v>
      </c>
      <c r="I613" s="2647" t="s">
        <v>2074</v>
      </c>
      <c r="J613" s="2647">
        <v>4.9000000000000004</v>
      </c>
      <c r="K613" s="2648"/>
      <c r="L613" s="2647" t="s">
        <v>2088</v>
      </c>
    </row>
    <row r="614" spans="1:12">
      <c r="A614" s="2646" t="s">
        <v>99</v>
      </c>
      <c r="B614" s="2646">
        <v>52930</v>
      </c>
      <c r="C614" s="2646">
        <v>150</v>
      </c>
      <c r="D614" s="2646">
        <v>210</v>
      </c>
      <c r="E614" s="2646">
        <v>80</v>
      </c>
      <c r="F614" s="2646" t="s">
        <v>2074</v>
      </c>
      <c r="G614" s="2646" t="s">
        <v>2074</v>
      </c>
      <c r="H614" s="2646" t="s">
        <v>2074</v>
      </c>
      <c r="I614" s="2646" t="s">
        <v>2074</v>
      </c>
      <c r="J614" s="2646">
        <v>9.32</v>
      </c>
      <c r="L614" s="2646" t="s">
        <v>2088</v>
      </c>
    </row>
    <row r="615" spans="1:12">
      <c r="A615" s="2647" t="s">
        <v>99</v>
      </c>
      <c r="B615" s="2647">
        <v>52932</v>
      </c>
      <c r="C615" s="2647">
        <v>160</v>
      </c>
      <c r="D615" s="2647">
        <v>220</v>
      </c>
      <c r="E615" s="2647">
        <v>82</v>
      </c>
      <c r="F615" s="2647" t="s">
        <v>2074</v>
      </c>
      <c r="G615" s="2647" t="s">
        <v>2074</v>
      </c>
      <c r="H615" s="2647" t="s">
        <v>2074</v>
      </c>
      <c r="I615" s="2647" t="s">
        <v>2074</v>
      </c>
      <c r="J615" s="2647">
        <v>8.15</v>
      </c>
      <c r="K615" s="2648"/>
      <c r="L615" s="2647" t="s">
        <v>2088</v>
      </c>
    </row>
    <row r="616" spans="1:12">
      <c r="A616" s="2646" t="s">
        <v>99</v>
      </c>
      <c r="B616" s="2646">
        <v>52934</v>
      </c>
      <c r="C616" s="2646">
        <v>170</v>
      </c>
      <c r="D616" s="2646">
        <v>230</v>
      </c>
      <c r="E616" s="2646">
        <v>80</v>
      </c>
      <c r="F616" s="2646" t="s">
        <v>2074</v>
      </c>
      <c r="G616" s="2646" t="s">
        <v>2074</v>
      </c>
      <c r="H616" s="2646" t="s">
        <v>2074</v>
      </c>
      <c r="I616" s="2646" t="s">
        <v>2074</v>
      </c>
      <c r="J616" s="2646">
        <v>8.17</v>
      </c>
      <c r="L616" s="2646" t="s">
        <v>2088</v>
      </c>
    </row>
    <row r="617" spans="1:12">
      <c r="A617" s="2647" t="s">
        <v>99</v>
      </c>
      <c r="B617" s="2647">
        <v>52938</v>
      </c>
      <c r="C617" s="2647">
        <v>190</v>
      </c>
      <c r="D617" s="2647">
        <v>260</v>
      </c>
      <c r="E617" s="2647">
        <v>95</v>
      </c>
      <c r="F617" s="2647" t="s">
        <v>2074</v>
      </c>
      <c r="G617" s="2647" t="s">
        <v>2074</v>
      </c>
      <c r="H617" s="2647" t="s">
        <v>2074</v>
      </c>
      <c r="I617" s="2647" t="s">
        <v>2074</v>
      </c>
      <c r="J617" s="2647">
        <v>13.3</v>
      </c>
      <c r="K617" s="2648"/>
      <c r="L617" s="2647" t="s">
        <v>2088</v>
      </c>
    </row>
    <row r="618" spans="1:12">
      <c r="A618" s="2646" t="s">
        <v>99</v>
      </c>
      <c r="B618" s="2646">
        <v>52940</v>
      </c>
      <c r="C618" s="2646">
        <v>200</v>
      </c>
      <c r="D618" s="2646">
        <v>280</v>
      </c>
      <c r="E618" s="2646">
        <v>105</v>
      </c>
      <c r="F618" s="2646" t="s">
        <v>2074</v>
      </c>
      <c r="G618" s="2646" t="s">
        <v>2074</v>
      </c>
      <c r="H618" s="2646" t="s">
        <v>2074</v>
      </c>
      <c r="I618" s="2646" t="s">
        <v>2074</v>
      </c>
      <c r="J618" s="2646">
        <v>18.8</v>
      </c>
      <c r="L618" s="2646" t="s">
        <v>2088</v>
      </c>
    </row>
    <row r="619" spans="1:12">
      <c r="A619" s="2647" t="s">
        <v>99</v>
      </c>
      <c r="B619" s="2647">
        <v>52944</v>
      </c>
      <c r="C619" s="2647">
        <v>220</v>
      </c>
      <c r="D619" s="2647">
        <v>300</v>
      </c>
      <c r="E619" s="2647">
        <v>110</v>
      </c>
      <c r="F619" s="2647" t="s">
        <v>2074</v>
      </c>
      <c r="G619" s="2647" t="s">
        <v>2074</v>
      </c>
      <c r="H619" s="2647" t="s">
        <v>2074</v>
      </c>
      <c r="I619" s="2647" t="s">
        <v>2074</v>
      </c>
      <c r="J619" s="2647">
        <v>21.7</v>
      </c>
      <c r="K619" s="2648"/>
      <c r="L619" s="2647" t="s">
        <v>2088</v>
      </c>
    </row>
    <row r="620" spans="1:12">
      <c r="A620" s="2646" t="s">
        <v>99</v>
      </c>
      <c r="B620" s="2646">
        <v>52948</v>
      </c>
      <c r="C620" s="2646">
        <v>240</v>
      </c>
      <c r="D620" s="2646">
        <v>320</v>
      </c>
      <c r="E620" s="2646">
        <v>110</v>
      </c>
      <c r="F620" s="2646" t="s">
        <v>2074</v>
      </c>
      <c r="G620" s="2646" t="s">
        <v>2074</v>
      </c>
      <c r="H620" s="2646" t="s">
        <v>2074</v>
      </c>
      <c r="I620" s="2646" t="s">
        <v>2074</v>
      </c>
      <c r="J620" s="2646">
        <v>22.2</v>
      </c>
      <c r="L620" s="2646" t="s">
        <v>2088</v>
      </c>
    </row>
    <row r="621" spans="1:12">
      <c r="A621" s="2647" t="s">
        <v>99</v>
      </c>
      <c r="B621" s="2647">
        <v>52952</v>
      </c>
      <c r="C621" s="2647">
        <v>260</v>
      </c>
      <c r="D621" s="2647">
        <v>360</v>
      </c>
      <c r="E621" s="2647">
        <v>134</v>
      </c>
      <c r="F621" s="2647" t="s">
        <v>2074</v>
      </c>
      <c r="G621" s="2647" t="s">
        <v>2074</v>
      </c>
      <c r="H621" s="2647" t="s">
        <v>2074</v>
      </c>
      <c r="I621" s="2647" t="s">
        <v>2074</v>
      </c>
      <c r="J621" s="2647">
        <v>36.799999999999997</v>
      </c>
      <c r="K621" s="2648"/>
      <c r="L621" s="2647" t="s">
        <v>2088</v>
      </c>
    </row>
    <row r="622" spans="1:12">
      <c r="A622" s="2646" t="s">
        <v>99</v>
      </c>
      <c r="B622" s="2646" t="s">
        <v>2671</v>
      </c>
      <c r="C622" s="2646">
        <v>260</v>
      </c>
      <c r="D622" s="2646">
        <v>360</v>
      </c>
      <c r="E622" s="2646">
        <v>134</v>
      </c>
      <c r="F622" s="2646" t="s">
        <v>2074</v>
      </c>
      <c r="G622" s="2646" t="s">
        <v>2074</v>
      </c>
      <c r="H622" s="2646" t="s">
        <v>2074</v>
      </c>
      <c r="I622" s="2646" t="s">
        <v>2074</v>
      </c>
      <c r="J622" s="2646">
        <v>36.799999999999997</v>
      </c>
      <c r="L622" s="2646" t="s">
        <v>2088</v>
      </c>
    </row>
    <row r="623" spans="1:12">
      <c r="A623" s="2647" t="s">
        <v>99</v>
      </c>
      <c r="B623" s="2647">
        <v>52956</v>
      </c>
      <c r="C623" s="2647">
        <v>280</v>
      </c>
      <c r="D623" s="2647">
        <v>380</v>
      </c>
      <c r="E623" s="2647">
        <v>134</v>
      </c>
      <c r="F623" s="2647" t="s">
        <v>2074</v>
      </c>
      <c r="G623" s="2647" t="s">
        <v>2074</v>
      </c>
      <c r="H623" s="2647" t="s">
        <v>2074</v>
      </c>
      <c r="I623" s="2647" t="s">
        <v>2074</v>
      </c>
      <c r="J623" s="2647">
        <v>41.3</v>
      </c>
      <c r="K623" s="2648"/>
      <c r="L623" s="2647" t="s">
        <v>2088</v>
      </c>
    </row>
    <row r="624" spans="1:12">
      <c r="A624" s="2646" t="s">
        <v>99</v>
      </c>
      <c r="B624" s="2646">
        <v>52960</v>
      </c>
      <c r="C624" s="2646">
        <v>300</v>
      </c>
      <c r="D624" s="2646">
        <v>420</v>
      </c>
      <c r="E624" s="2646">
        <v>160</v>
      </c>
      <c r="F624" s="2646" t="s">
        <v>2074</v>
      </c>
      <c r="G624" s="2646" t="s">
        <v>2074</v>
      </c>
      <c r="H624" s="2646" t="s">
        <v>2074</v>
      </c>
      <c r="I624" s="2646" t="s">
        <v>2074</v>
      </c>
      <c r="J624" s="2646">
        <v>63</v>
      </c>
      <c r="L624" s="2646" t="s">
        <v>2088</v>
      </c>
    </row>
    <row r="625" spans="1:12">
      <c r="A625" s="2647" t="s">
        <v>99</v>
      </c>
      <c r="B625" s="2647">
        <v>352964</v>
      </c>
      <c r="C625" s="2647">
        <v>320</v>
      </c>
      <c r="D625" s="2647">
        <v>440</v>
      </c>
      <c r="E625" s="2647">
        <v>160</v>
      </c>
      <c r="F625" s="2647" t="s">
        <v>2074</v>
      </c>
      <c r="G625" s="2647" t="s">
        <v>2074</v>
      </c>
      <c r="H625" s="2647" t="s">
        <v>2074</v>
      </c>
      <c r="I625" s="2647" t="s">
        <v>2074</v>
      </c>
      <c r="J625" s="2647">
        <v>67</v>
      </c>
      <c r="K625" s="2648"/>
      <c r="L625" s="2647" t="s">
        <v>2672</v>
      </c>
    </row>
    <row r="626" spans="1:12">
      <c r="A626" s="2646" t="s">
        <v>99</v>
      </c>
      <c r="B626" s="2646">
        <v>352968</v>
      </c>
      <c r="C626" s="2646">
        <v>340</v>
      </c>
      <c r="D626" s="2646">
        <v>460</v>
      </c>
      <c r="E626" s="2646">
        <v>160</v>
      </c>
      <c r="F626" s="2646" t="s">
        <v>2074</v>
      </c>
      <c r="G626" s="2646" t="s">
        <v>2074</v>
      </c>
      <c r="H626" s="2646" t="s">
        <v>2074</v>
      </c>
      <c r="I626" s="2646" t="s">
        <v>2074</v>
      </c>
      <c r="J626" s="2646">
        <v>71</v>
      </c>
      <c r="L626" s="2646" t="s">
        <v>2673</v>
      </c>
    </row>
    <row r="627" spans="1:12">
      <c r="A627" s="2647" t="s">
        <v>99</v>
      </c>
      <c r="B627" s="2647">
        <v>352972</v>
      </c>
      <c r="C627" s="2647">
        <v>360</v>
      </c>
      <c r="D627" s="2647">
        <v>480</v>
      </c>
      <c r="E627" s="2647">
        <v>160</v>
      </c>
      <c r="F627" s="2647" t="s">
        <v>2074</v>
      </c>
      <c r="G627" s="2647" t="s">
        <v>2074</v>
      </c>
      <c r="H627" s="2647" t="s">
        <v>2074</v>
      </c>
      <c r="I627" s="2647" t="s">
        <v>2074</v>
      </c>
      <c r="J627" s="2647">
        <v>74.3</v>
      </c>
      <c r="K627" s="2648"/>
      <c r="L627" s="2647" t="s">
        <v>2674</v>
      </c>
    </row>
    <row r="628" spans="1:12">
      <c r="A628" s="2646" t="s">
        <v>99</v>
      </c>
      <c r="B628" s="2646">
        <v>33217</v>
      </c>
      <c r="C628" s="2646">
        <v>85</v>
      </c>
      <c r="D628" s="2646">
        <v>150</v>
      </c>
      <c r="E628" s="2646">
        <v>49</v>
      </c>
      <c r="F628" s="2646" t="s">
        <v>2074</v>
      </c>
      <c r="G628" s="2646" t="s">
        <v>2074</v>
      </c>
      <c r="H628" s="2646" t="s">
        <v>2074</v>
      </c>
      <c r="I628" s="2646" t="s">
        <v>2074</v>
      </c>
      <c r="J628" s="2646">
        <v>3.56</v>
      </c>
      <c r="L628" s="2646" t="s">
        <v>2675</v>
      </c>
    </row>
    <row r="629" spans="1:12">
      <c r="A629" s="2647" t="s">
        <v>99</v>
      </c>
      <c r="B629" s="2647" t="s">
        <v>2676</v>
      </c>
      <c r="C629" s="2647">
        <v>28.574999999999999</v>
      </c>
      <c r="D629" s="2647">
        <v>68.260000000000005</v>
      </c>
      <c r="E629" s="2647">
        <v>22.225000000000001</v>
      </c>
      <c r="F629" s="2647" t="s">
        <v>2088</v>
      </c>
      <c r="G629" s="2647" t="s">
        <v>2088</v>
      </c>
      <c r="H629" s="2647" t="s">
        <v>2088</v>
      </c>
      <c r="I629" s="2647" t="s">
        <v>2088</v>
      </c>
      <c r="J629" s="2647">
        <v>0.40500000000000003</v>
      </c>
      <c r="K629" s="2648"/>
      <c r="L629" s="2647" t="s">
        <v>2676</v>
      </c>
    </row>
    <row r="630" spans="1:12">
      <c r="A630" s="2646" t="s">
        <v>99</v>
      </c>
      <c r="B630" s="2646" t="s">
        <v>2677</v>
      </c>
      <c r="C630" s="2646">
        <v>71.438000000000002</v>
      </c>
      <c r="D630" s="2646">
        <v>117.41500000000001</v>
      </c>
      <c r="E630" s="2646">
        <v>30.161999999999999</v>
      </c>
      <c r="F630" s="2646" t="s">
        <v>2088</v>
      </c>
      <c r="G630" s="2646" t="s">
        <v>2088</v>
      </c>
      <c r="H630" s="2646" t="s">
        <v>2088</v>
      </c>
      <c r="I630" s="2646" t="s">
        <v>2088</v>
      </c>
      <c r="J630" s="2646">
        <v>1.2090000000000001</v>
      </c>
      <c r="L630" s="2646" t="s">
        <v>2088</v>
      </c>
    </row>
    <row r="631" spans="1:12">
      <c r="A631" s="2647" t="s">
        <v>99</v>
      </c>
      <c r="B631" s="2647" t="s">
        <v>2678</v>
      </c>
      <c r="C631" s="2647">
        <v>69.850999999999999</v>
      </c>
      <c r="D631" s="2647">
        <v>117.47499999999999</v>
      </c>
      <c r="E631" s="2647">
        <v>30.161999999999999</v>
      </c>
      <c r="F631" s="2647" t="s">
        <v>2088</v>
      </c>
      <c r="G631" s="2647" t="s">
        <v>2088</v>
      </c>
      <c r="H631" s="2647" t="s">
        <v>2088</v>
      </c>
      <c r="I631" s="2647" t="s">
        <v>2088</v>
      </c>
      <c r="J631" s="2647">
        <v>0</v>
      </c>
      <c r="K631" s="2648"/>
      <c r="L631" s="2647" t="s">
        <v>2088</v>
      </c>
    </row>
    <row r="632" spans="1:12">
      <c r="A632" s="2646" t="s">
        <v>99</v>
      </c>
      <c r="B632" s="2646" t="s">
        <v>2679</v>
      </c>
      <c r="C632" s="2646">
        <v>66.674999999999997</v>
      </c>
      <c r="D632" s="2646">
        <v>117.47499999999999</v>
      </c>
      <c r="E632" s="2646">
        <v>30.161999999999999</v>
      </c>
      <c r="F632" s="2646" t="s">
        <v>2088</v>
      </c>
      <c r="G632" s="2646" t="s">
        <v>2088</v>
      </c>
      <c r="H632" s="2646" t="s">
        <v>2088</v>
      </c>
      <c r="I632" s="2646" t="s">
        <v>2088</v>
      </c>
      <c r="J632" s="2646">
        <v>0</v>
      </c>
      <c r="L632" s="2646" t="s">
        <v>2088</v>
      </c>
    </row>
    <row r="633" spans="1:12">
      <c r="A633" s="2647" t="s">
        <v>99</v>
      </c>
      <c r="B633" s="2647" t="s">
        <v>2680</v>
      </c>
      <c r="C633" s="2647">
        <v>90</v>
      </c>
      <c r="D633" s="2647">
        <v>160</v>
      </c>
      <c r="E633" s="2647">
        <v>50</v>
      </c>
      <c r="F633" s="2647" t="s">
        <v>2088</v>
      </c>
      <c r="G633" s="2647" t="s">
        <v>2088</v>
      </c>
      <c r="H633" s="2647" t="s">
        <v>2088</v>
      </c>
      <c r="I633" s="2647" t="s">
        <v>2088</v>
      </c>
      <c r="J633" s="2647">
        <v>3.867</v>
      </c>
      <c r="K633" s="2648"/>
      <c r="L633" s="2647">
        <v>7818</v>
      </c>
    </row>
    <row r="634" spans="1:12">
      <c r="A634" s="2646" t="s">
        <v>99</v>
      </c>
      <c r="B634" s="2646" t="s">
        <v>2681</v>
      </c>
      <c r="C634" s="2646">
        <v>75</v>
      </c>
      <c r="D634" s="2646">
        <v>130</v>
      </c>
      <c r="E634" s="2646">
        <v>44.5</v>
      </c>
      <c r="F634" s="2646" t="s">
        <v>2088</v>
      </c>
      <c r="G634" s="2646" t="s">
        <v>2088</v>
      </c>
      <c r="H634" s="2646" t="s">
        <v>2088</v>
      </c>
      <c r="I634" s="2646" t="s">
        <v>2088</v>
      </c>
      <c r="J634" s="2646">
        <v>2.57</v>
      </c>
      <c r="L634" s="2646" t="s">
        <v>2682</v>
      </c>
    </row>
    <row r="635" spans="1:12">
      <c r="A635" s="2647" t="s">
        <v>99</v>
      </c>
      <c r="B635" s="2647" t="s">
        <v>2683</v>
      </c>
      <c r="C635" s="2647">
        <v>65</v>
      </c>
      <c r="D635" s="2647">
        <v>120</v>
      </c>
      <c r="E635" s="2647">
        <v>41</v>
      </c>
      <c r="F635" s="2647" t="s">
        <v>2088</v>
      </c>
      <c r="G635" s="2647" t="s">
        <v>2088</v>
      </c>
      <c r="H635" s="2647" t="s">
        <v>2088</v>
      </c>
      <c r="I635" s="2647" t="s">
        <v>2088</v>
      </c>
      <c r="J635" s="2647">
        <v>2.02</v>
      </c>
      <c r="K635" s="2648"/>
      <c r="L635" s="2647" t="s">
        <v>2088</v>
      </c>
    </row>
    <row r="636" spans="1:12">
      <c r="A636" s="2646" t="s">
        <v>99</v>
      </c>
      <c r="B636" s="2646" t="s">
        <v>2684</v>
      </c>
      <c r="C636" s="2646">
        <v>90</v>
      </c>
      <c r="D636" s="2646">
        <v>150</v>
      </c>
      <c r="E636" s="2646">
        <v>48</v>
      </c>
      <c r="F636" s="2646" t="s">
        <v>2088</v>
      </c>
      <c r="G636" s="2646" t="s">
        <v>2088</v>
      </c>
      <c r="H636" s="2646" t="s">
        <v>2088</v>
      </c>
      <c r="I636" s="2646" t="s">
        <v>2088</v>
      </c>
      <c r="J636" s="2646">
        <v>3.22</v>
      </c>
      <c r="L636" s="2646">
        <v>3007718</v>
      </c>
    </row>
    <row r="637" spans="1:12">
      <c r="A637" s="2647" t="s">
        <v>99</v>
      </c>
      <c r="B637" s="2647" t="s">
        <v>2685</v>
      </c>
      <c r="C637" s="2647">
        <v>90</v>
      </c>
      <c r="D637" s="2647">
        <v>150</v>
      </c>
      <c r="E637" s="2647">
        <v>90</v>
      </c>
      <c r="F637" s="2647" t="s">
        <v>2088</v>
      </c>
      <c r="G637" s="2647" t="s">
        <v>2088</v>
      </c>
      <c r="H637" s="2647" t="s">
        <v>2088</v>
      </c>
      <c r="I637" s="2647" t="s">
        <v>2088</v>
      </c>
      <c r="J637" s="2647">
        <v>6.43</v>
      </c>
      <c r="K637" s="2648"/>
      <c r="L637" s="2647">
        <v>3047718</v>
      </c>
    </row>
    <row r="638" spans="1:12">
      <c r="A638" s="2646" t="s">
        <v>99</v>
      </c>
      <c r="B638" s="2646" t="s">
        <v>2686</v>
      </c>
      <c r="C638" s="2646">
        <v>80</v>
      </c>
      <c r="D638" s="2646">
        <v>130</v>
      </c>
      <c r="E638" s="2646">
        <v>32</v>
      </c>
      <c r="F638" s="2646" t="s">
        <v>2088</v>
      </c>
      <c r="G638" s="2646" t="s">
        <v>2088</v>
      </c>
      <c r="H638" s="2646" t="s">
        <v>2088</v>
      </c>
      <c r="I638" s="2646" t="s">
        <v>2088</v>
      </c>
      <c r="J638" s="2646">
        <v>0</v>
      </c>
      <c r="L638" s="2646" t="s">
        <v>2687</v>
      </c>
    </row>
    <row r="639" spans="1:12">
      <c r="A639" s="2647" t="s">
        <v>99</v>
      </c>
      <c r="B639" s="2647" t="s">
        <v>2688</v>
      </c>
      <c r="C639" s="2647">
        <v>80</v>
      </c>
      <c r="D639" s="2647">
        <v>130</v>
      </c>
      <c r="E639" s="2647">
        <v>32</v>
      </c>
      <c r="F639" s="2647" t="s">
        <v>2088</v>
      </c>
      <c r="G639" s="2647" t="s">
        <v>2088</v>
      </c>
      <c r="H639" s="2647" t="s">
        <v>2088</v>
      </c>
      <c r="I639" s="2647" t="s">
        <v>2088</v>
      </c>
      <c r="J639" s="2647">
        <v>1.6</v>
      </c>
      <c r="K639" s="2648"/>
      <c r="L639" s="2647" t="s">
        <v>2689</v>
      </c>
    </row>
    <row r="640" spans="1:12">
      <c r="A640" s="2646" t="s">
        <v>99</v>
      </c>
      <c r="B640" s="2646" t="s">
        <v>2690</v>
      </c>
      <c r="C640" s="2646">
        <v>70</v>
      </c>
      <c r="D640" s="2646">
        <v>120</v>
      </c>
      <c r="E640" s="2646">
        <v>45</v>
      </c>
      <c r="F640" s="2646" t="s">
        <v>2088</v>
      </c>
      <c r="G640" s="2646" t="s">
        <v>2088</v>
      </c>
      <c r="H640" s="2646" t="s">
        <v>2088</v>
      </c>
      <c r="I640" s="2646" t="s">
        <v>2088</v>
      </c>
      <c r="J640" s="2646">
        <v>1.89</v>
      </c>
      <c r="L640" s="2646">
        <v>7714</v>
      </c>
    </row>
    <row r="641" spans="1:12">
      <c r="A641" s="2647" t="s">
        <v>99</v>
      </c>
      <c r="B641" s="2647" t="s">
        <v>2691</v>
      </c>
      <c r="C641" s="2647">
        <v>65</v>
      </c>
      <c r="D641" s="2647">
        <v>110</v>
      </c>
      <c r="E641" s="2647">
        <v>30.3</v>
      </c>
      <c r="F641" s="2647" t="s">
        <v>2088</v>
      </c>
      <c r="G641" s="2647" t="s">
        <v>2088</v>
      </c>
      <c r="H641" s="2647" t="s">
        <v>2088</v>
      </c>
      <c r="I641" s="2647" t="s">
        <v>2088</v>
      </c>
      <c r="J641" s="2647">
        <v>1.1000000000000001</v>
      </c>
      <c r="K641" s="2648"/>
      <c r="L641" s="2647" t="s">
        <v>2692</v>
      </c>
    </row>
    <row r="642" spans="1:12">
      <c r="A642" s="2646" t="s">
        <v>99</v>
      </c>
      <c r="B642" s="2646" t="s">
        <v>2693</v>
      </c>
      <c r="C642" s="2646">
        <v>65</v>
      </c>
      <c r="D642" s="2646">
        <v>110</v>
      </c>
      <c r="E642" s="2646">
        <v>30.5</v>
      </c>
      <c r="F642" s="2646" t="s">
        <v>2088</v>
      </c>
      <c r="G642" s="2646" t="s">
        <v>2088</v>
      </c>
      <c r="H642" s="2646" t="s">
        <v>2088</v>
      </c>
      <c r="I642" s="2646" t="s">
        <v>2088</v>
      </c>
      <c r="J642" s="2646">
        <v>1.1000000000000001</v>
      </c>
      <c r="L642" s="2646" t="s">
        <v>2694</v>
      </c>
    </row>
    <row r="643" spans="1:12">
      <c r="A643" s="2647" t="s">
        <v>99</v>
      </c>
      <c r="B643" s="2647" t="s">
        <v>2695</v>
      </c>
      <c r="C643" s="2647">
        <v>90</v>
      </c>
      <c r="D643" s="2647">
        <v>140</v>
      </c>
      <c r="E643" s="2647">
        <v>78</v>
      </c>
      <c r="F643" s="2647" t="s">
        <v>2088</v>
      </c>
      <c r="G643" s="2647" t="s">
        <v>2088</v>
      </c>
      <c r="H643" s="2647" t="s">
        <v>2088</v>
      </c>
      <c r="I643" s="2647" t="s">
        <v>2088</v>
      </c>
      <c r="J643" s="2647">
        <v>4.37</v>
      </c>
      <c r="K643" s="2648"/>
      <c r="L643" s="2647">
        <v>3047118</v>
      </c>
    </row>
    <row r="644" spans="1:12">
      <c r="A644" s="2646" t="s">
        <v>99</v>
      </c>
      <c r="B644" s="2646" t="s">
        <v>2696</v>
      </c>
      <c r="C644" s="2646">
        <v>280</v>
      </c>
      <c r="D644" s="2646">
        <v>380</v>
      </c>
      <c r="E644" s="2646">
        <v>64.5</v>
      </c>
      <c r="F644" s="2646" t="s">
        <v>2088</v>
      </c>
      <c r="G644" s="2646" t="s">
        <v>2088</v>
      </c>
      <c r="H644" s="2646" t="s">
        <v>2088</v>
      </c>
      <c r="I644" s="2646" t="s">
        <v>2088</v>
      </c>
      <c r="J644" s="2646">
        <v>19.8</v>
      </c>
      <c r="L644" s="2646" t="s">
        <v>2697</v>
      </c>
    </row>
    <row r="645" spans="1:12">
      <c r="A645" s="2647" t="s">
        <v>99</v>
      </c>
      <c r="B645" s="2647" t="s">
        <v>2698</v>
      </c>
      <c r="C645" s="2647">
        <v>280</v>
      </c>
      <c r="D645" s="2647">
        <v>380</v>
      </c>
      <c r="E645" s="2647">
        <v>64.5</v>
      </c>
      <c r="F645" s="2647" t="s">
        <v>2088</v>
      </c>
      <c r="G645" s="2647" t="s">
        <v>2088</v>
      </c>
      <c r="H645" s="2647" t="s">
        <v>2088</v>
      </c>
      <c r="I645" s="2647" t="s">
        <v>2088</v>
      </c>
      <c r="J645" s="2647">
        <v>21.3</v>
      </c>
      <c r="K645" s="2648"/>
      <c r="L645" s="2647">
        <v>2007956</v>
      </c>
    </row>
    <row r="646" spans="1:12">
      <c r="A646" s="2646" t="s">
        <v>99</v>
      </c>
      <c r="B646" s="2646" t="s">
        <v>2699</v>
      </c>
      <c r="C646" s="2646">
        <v>260</v>
      </c>
      <c r="D646" s="2646">
        <v>360</v>
      </c>
      <c r="E646" s="2646">
        <v>64.5</v>
      </c>
      <c r="F646" s="2646" t="s">
        <v>2088</v>
      </c>
      <c r="G646" s="2646" t="s">
        <v>2088</v>
      </c>
      <c r="H646" s="2646" t="s">
        <v>2088</v>
      </c>
      <c r="I646" s="2646" t="s">
        <v>2088</v>
      </c>
      <c r="J646" s="2646">
        <v>18.7</v>
      </c>
      <c r="L646" s="2646">
        <v>2007952</v>
      </c>
    </row>
    <row r="647" spans="1:12">
      <c r="A647" s="2647" t="s">
        <v>99</v>
      </c>
      <c r="B647" s="2647" t="s">
        <v>2700</v>
      </c>
      <c r="C647" s="2647">
        <v>240</v>
      </c>
      <c r="D647" s="2647">
        <v>320</v>
      </c>
      <c r="E647" s="2647">
        <v>51</v>
      </c>
      <c r="F647" s="2647" t="s">
        <v>2088</v>
      </c>
      <c r="G647" s="2647" t="s">
        <v>2088</v>
      </c>
      <c r="H647" s="2647" t="s">
        <v>2088</v>
      </c>
      <c r="I647" s="2647" t="s">
        <v>2088</v>
      </c>
      <c r="J647" s="2647">
        <v>22</v>
      </c>
      <c r="K647" s="2648"/>
      <c r="L647" s="2647">
        <v>2007948</v>
      </c>
    </row>
    <row r="648" spans="1:12">
      <c r="A648" s="2646" t="s">
        <v>99</v>
      </c>
      <c r="B648" s="2646" t="s">
        <v>2701</v>
      </c>
      <c r="C648" s="2646">
        <v>200</v>
      </c>
      <c r="D648" s="2646">
        <v>280</v>
      </c>
      <c r="E648" s="2646">
        <v>52</v>
      </c>
      <c r="F648" s="2646" t="s">
        <v>2088</v>
      </c>
      <c r="G648" s="2646" t="s">
        <v>2088</v>
      </c>
      <c r="H648" s="2646" t="s">
        <v>2088</v>
      </c>
      <c r="I648" s="2646" t="s">
        <v>2088</v>
      </c>
      <c r="J648" s="2646">
        <v>8.6999999999999993</v>
      </c>
      <c r="L648" s="2646" t="s">
        <v>2702</v>
      </c>
    </row>
    <row r="649" spans="1:12">
      <c r="A649" s="2647" t="s">
        <v>99</v>
      </c>
      <c r="B649" s="2647" t="s">
        <v>2703</v>
      </c>
      <c r="C649" s="2647">
        <v>500</v>
      </c>
      <c r="D649" s="2647">
        <v>640</v>
      </c>
      <c r="E649" s="2647">
        <v>87</v>
      </c>
      <c r="F649" s="2647" t="s">
        <v>2088</v>
      </c>
      <c r="G649" s="2647" t="s">
        <v>2088</v>
      </c>
      <c r="H649" s="2647" t="s">
        <v>2088</v>
      </c>
      <c r="I649" s="2647" t="s">
        <v>2088</v>
      </c>
      <c r="J649" s="2647">
        <v>66.239999999999995</v>
      </c>
      <c r="K649" s="2648"/>
      <c r="L649" s="2647" t="s">
        <v>2704</v>
      </c>
    </row>
    <row r="650" spans="1:12">
      <c r="A650" s="2646" t="s">
        <v>99</v>
      </c>
      <c r="B650" s="2646">
        <v>32256</v>
      </c>
      <c r="C650" s="2646">
        <v>280</v>
      </c>
      <c r="D650" s="2646">
        <v>500</v>
      </c>
      <c r="E650" s="2646">
        <v>130</v>
      </c>
      <c r="F650" s="2646">
        <v>1860</v>
      </c>
      <c r="G650" s="2646">
        <v>3150</v>
      </c>
      <c r="H650" s="2646">
        <v>610</v>
      </c>
      <c r="I650" s="2646">
        <v>810</v>
      </c>
      <c r="J650" s="2646">
        <v>108</v>
      </c>
      <c r="L650" s="2646" t="s">
        <v>2705</v>
      </c>
    </row>
    <row r="651" spans="1:12">
      <c r="A651" s="2647" t="s">
        <v>99</v>
      </c>
      <c r="B651" s="2647">
        <v>32252</v>
      </c>
      <c r="C651" s="2647">
        <v>260</v>
      </c>
      <c r="D651" s="2647">
        <v>480</v>
      </c>
      <c r="E651" s="2647">
        <v>130</v>
      </c>
      <c r="F651" s="2647">
        <v>1760</v>
      </c>
      <c r="G651" s="2647">
        <v>2870</v>
      </c>
      <c r="H651" s="2647">
        <v>660</v>
      </c>
      <c r="I651" s="2647">
        <v>880</v>
      </c>
      <c r="J651" s="2647">
        <v>102</v>
      </c>
      <c r="K651" s="2648"/>
      <c r="L651" s="2647">
        <v>7552</v>
      </c>
    </row>
    <row r="652" spans="1:12">
      <c r="A652" s="2646" t="s">
        <v>99</v>
      </c>
      <c r="B652" s="2646" t="s">
        <v>2706</v>
      </c>
      <c r="C652" s="2646">
        <v>220</v>
      </c>
      <c r="D652" s="2646">
        <v>400</v>
      </c>
      <c r="E652" s="2646">
        <v>115</v>
      </c>
      <c r="F652" s="2646" t="s">
        <v>2088</v>
      </c>
      <c r="G652" s="2646" t="s">
        <v>2088</v>
      </c>
      <c r="H652" s="2646" t="s">
        <v>2088</v>
      </c>
      <c r="I652" s="2646" t="s">
        <v>2088</v>
      </c>
      <c r="J652" s="2646">
        <v>48.1</v>
      </c>
      <c r="L652" s="2646">
        <v>7544</v>
      </c>
    </row>
    <row r="653" spans="1:12">
      <c r="A653" s="2647" t="s">
        <v>99</v>
      </c>
      <c r="B653" s="2647" t="s">
        <v>2707</v>
      </c>
      <c r="C653" s="2647">
        <v>71.438000000000002</v>
      </c>
      <c r="D653" s="2647">
        <v>120</v>
      </c>
      <c r="E653" s="2647">
        <v>29.8</v>
      </c>
      <c r="F653" s="2647" t="s">
        <v>2088</v>
      </c>
      <c r="G653" s="2647" t="s">
        <v>2088</v>
      </c>
      <c r="H653" s="2647" t="s">
        <v>2088</v>
      </c>
      <c r="I653" s="2647" t="s">
        <v>2088</v>
      </c>
      <c r="J653" s="2647">
        <v>1.33</v>
      </c>
      <c r="K653" s="2648"/>
      <c r="L653" s="2647" t="s">
        <v>2088</v>
      </c>
    </row>
    <row r="654" spans="1:12">
      <c r="A654" s="2646" t="s">
        <v>99</v>
      </c>
      <c r="B654" s="2646" t="s">
        <v>2708</v>
      </c>
      <c r="C654" s="2646">
        <v>130</v>
      </c>
      <c r="D654" s="2646">
        <v>230</v>
      </c>
      <c r="E654" s="2646">
        <v>68.5</v>
      </c>
      <c r="F654" s="2646" t="s">
        <v>2088</v>
      </c>
      <c r="G654" s="2646" t="s">
        <v>2088</v>
      </c>
      <c r="H654" s="2646" t="s">
        <v>2088</v>
      </c>
      <c r="I654" s="2646" t="s">
        <v>2088</v>
      </c>
      <c r="J654" s="2646">
        <v>11.1</v>
      </c>
      <c r="L654" s="2646">
        <v>7526</v>
      </c>
    </row>
    <row r="655" spans="1:12">
      <c r="A655" s="2647" t="s">
        <v>99</v>
      </c>
      <c r="B655" s="2647" t="s">
        <v>2709</v>
      </c>
      <c r="C655" s="2647">
        <v>100</v>
      </c>
      <c r="D655" s="2647">
        <v>180</v>
      </c>
      <c r="E655" s="2647">
        <v>49.5</v>
      </c>
      <c r="F655" s="2647" t="s">
        <v>2088</v>
      </c>
      <c r="G655" s="2647" t="s">
        <v>2088</v>
      </c>
      <c r="H655" s="2647" t="s">
        <v>2088</v>
      </c>
      <c r="I655" s="2647" t="s">
        <v>2088</v>
      </c>
      <c r="J655" s="2647">
        <v>4.9400000000000004</v>
      </c>
      <c r="K655" s="2648"/>
      <c r="L655" s="2647">
        <v>7520</v>
      </c>
    </row>
    <row r="656" spans="1:12">
      <c r="A656" s="2646" t="s">
        <v>99</v>
      </c>
      <c r="B656" s="2646" t="s">
        <v>2710</v>
      </c>
      <c r="C656" s="2646">
        <v>90</v>
      </c>
      <c r="D656" s="2646">
        <v>160</v>
      </c>
      <c r="E656" s="2646">
        <v>43</v>
      </c>
      <c r="F656" s="2646" t="s">
        <v>2088</v>
      </c>
      <c r="G656" s="2646" t="s">
        <v>2088</v>
      </c>
      <c r="H656" s="2646" t="s">
        <v>2088</v>
      </c>
      <c r="I656" s="2646" t="s">
        <v>2088</v>
      </c>
      <c r="J656" s="2646">
        <v>3.36</v>
      </c>
      <c r="L656" s="2646">
        <v>7518</v>
      </c>
    </row>
    <row r="657" spans="1:12">
      <c r="A657" s="2647" t="s">
        <v>99</v>
      </c>
      <c r="B657" s="2647" t="s">
        <v>2711</v>
      </c>
      <c r="C657" s="2647">
        <v>90</v>
      </c>
      <c r="D657" s="2647">
        <v>160</v>
      </c>
      <c r="E657" s="2647">
        <v>42.5</v>
      </c>
      <c r="F657" s="2647" t="s">
        <v>2088</v>
      </c>
      <c r="G657" s="2647" t="s">
        <v>2088</v>
      </c>
      <c r="H657" s="2647" t="s">
        <v>2088</v>
      </c>
      <c r="I657" s="2647" t="s">
        <v>2088</v>
      </c>
      <c r="J657" s="2647">
        <v>3.33</v>
      </c>
      <c r="K657" s="2648"/>
      <c r="L657" s="2647" t="s">
        <v>2712</v>
      </c>
    </row>
    <row r="658" spans="1:12">
      <c r="A658" s="2646" t="s">
        <v>99</v>
      </c>
      <c r="B658" s="2646" t="s">
        <v>2713</v>
      </c>
      <c r="C658" s="2646">
        <v>80</v>
      </c>
      <c r="D658" s="2646">
        <v>140</v>
      </c>
      <c r="E658" s="2646">
        <v>36</v>
      </c>
      <c r="F658" s="2646" t="s">
        <v>2088</v>
      </c>
      <c r="G658" s="2646" t="s">
        <v>2088</v>
      </c>
      <c r="H658" s="2646" t="s">
        <v>2088</v>
      </c>
      <c r="I658" s="2646" t="s">
        <v>2088</v>
      </c>
      <c r="J658" s="2646">
        <v>2.13</v>
      </c>
      <c r="L658" s="2646" t="s">
        <v>2714</v>
      </c>
    </row>
    <row r="659" spans="1:12">
      <c r="A659" s="2647" t="s">
        <v>99</v>
      </c>
      <c r="B659" s="2647" t="s">
        <v>2715</v>
      </c>
      <c r="C659" s="2647">
        <v>80</v>
      </c>
      <c r="D659" s="2647">
        <v>140</v>
      </c>
      <c r="E659" s="2647">
        <v>36</v>
      </c>
      <c r="F659" s="2647" t="s">
        <v>2088</v>
      </c>
      <c r="G659" s="2647" t="s">
        <v>2088</v>
      </c>
      <c r="H659" s="2647" t="s">
        <v>2088</v>
      </c>
      <c r="I659" s="2647" t="s">
        <v>2088</v>
      </c>
      <c r="J659" s="2647">
        <v>2.13</v>
      </c>
      <c r="K659" s="2648"/>
      <c r="L659" s="2647">
        <v>7516</v>
      </c>
    </row>
    <row r="660" spans="1:12">
      <c r="A660" s="2646" t="s">
        <v>99</v>
      </c>
      <c r="B660" s="2646" t="s">
        <v>2716</v>
      </c>
      <c r="C660" s="2646">
        <v>75</v>
      </c>
      <c r="D660" s="2646">
        <v>130</v>
      </c>
      <c r="E660" s="2646">
        <v>34</v>
      </c>
      <c r="F660" s="2646" t="s">
        <v>2088</v>
      </c>
      <c r="G660" s="2646" t="s">
        <v>2088</v>
      </c>
      <c r="H660" s="2646" t="s">
        <v>2088</v>
      </c>
      <c r="I660" s="2646" t="s">
        <v>2088</v>
      </c>
      <c r="J660" s="2646">
        <v>1.68</v>
      </c>
      <c r="L660" s="2646">
        <v>7515</v>
      </c>
    </row>
    <row r="661" spans="1:12">
      <c r="A661" s="2647" t="s">
        <v>99</v>
      </c>
      <c r="B661" s="2647" t="s">
        <v>2717</v>
      </c>
      <c r="C661" s="2647">
        <v>440</v>
      </c>
      <c r="D661" s="2647">
        <v>650</v>
      </c>
      <c r="E661" s="2647">
        <v>96.4</v>
      </c>
      <c r="F661" s="2647" t="s">
        <v>2088</v>
      </c>
      <c r="G661" s="2647" t="s">
        <v>2088</v>
      </c>
      <c r="H661" s="2647" t="s">
        <v>2088</v>
      </c>
      <c r="I661" s="2647" t="s">
        <v>2088</v>
      </c>
      <c r="J661" s="2647">
        <v>98.2</v>
      </c>
      <c r="K661" s="2648"/>
      <c r="L661" s="2647">
        <v>2007188</v>
      </c>
    </row>
    <row r="662" spans="1:12">
      <c r="A662" s="2646" t="s">
        <v>99</v>
      </c>
      <c r="B662" s="2646" t="s">
        <v>2718</v>
      </c>
      <c r="C662" s="2646">
        <v>440</v>
      </c>
      <c r="D662" s="2646">
        <v>650</v>
      </c>
      <c r="E662" s="2646">
        <v>96.4</v>
      </c>
      <c r="F662" s="2646" t="s">
        <v>2088</v>
      </c>
      <c r="G662" s="2646" t="s">
        <v>2088</v>
      </c>
      <c r="H662" s="2646" t="s">
        <v>2088</v>
      </c>
      <c r="I662" s="2646" t="s">
        <v>2088</v>
      </c>
      <c r="J662" s="2646">
        <v>99</v>
      </c>
      <c r="L662" s="2646">
        <v>2007188</v>
      </c>
    </row>
    <row r="663" spans="1:12">
      <c r="A663" s="2647" t="s">
        <v>99</v>
      </c>
      <c r="B663" s="2647" t="s">
        <v>2719</v>
      </c>
      <c r="C663" s="2647">
        <v>320</v>
      </c>
      <c r="D663" s="2647">
        <v>480</v>
      </c>
      <c r="E663" s="2647">
        <v>100</v>
      </c>
      <c r="F663" s="2647" t="s">
        <v>2088</v>
      </c>
      <c r="G663" s="2647" t="s">
        <v>2088</v>
      </c>
      <c r="H663" s="2647" t="s">
        <v>2088</v>
      </c>
      <c r="I663" s="2647" t="s">
        <v>2088</v>
      </c>
      <c r="J663" s="2647">
        <v>58.6</v>
      </c>
      <c r="K663" s="2648"/>
      <c r="L663" s="2647">
        <v>2007164</v>
      </c>
    </row>
    <row r="664" spans="1:12">
      <c r="A664" s="2646" t="s">
        <v>99</v>
      </c>
      <c r="B664" s="2646" t="s">
        <v>2720</v>
      </c>
      <c r="C664" s="2646">
        <v>300</v>
      </c>
      <c r="D664" s="2646">
        <v>460</v>
      </c>
      <c r="E664" s="2646">
        <v>100.7</v>
      </c>
      <c r="F664" s="2646" t="s">
        <v>2088</v>
      </c>
      <c r="G664" s="2646" t="s">
        <v>2088</v>
      </c>
      <c r="H664" s="2646" t="s">
        <v>2088</v>
      </c>
      <c r="I664" s="2646" t="s">
        <v>2088</v>
      </c>
      <c r="J664" s="2646">
        <v>55.9</v>
      </c>
      <c r="L664" s="2646" t="s">
        <v>2721</v>
      </c>
    </row>
    <row r="665" spans="1:12">
      <c r="A665" s="2647" t="s">
        <v>99</v>
      </c>
      <c r="B665" s="2647" t="s">
        <v>2722</v>
      </c>
      <c r="C665" s="2647">
        <v>240</v>
      </c>
      <c r="D665" s="2647">
        <v>360</v>
      </c>
      <c r="E665" s="2647">
        <v>76</v>
      </c>
      <c r="F665" s="2647" t="s">
        <v>2088</v>
      </c>
      <c r="G665" s="2647" t="s">
        <v>2088</v>
      </c>
      <c r="H665" s="2647" t="s">
        <v>2088</v>
      </c>
      <c r="I665" s="2647" t="s">
        <v>2088</v>
      </c>
      <c r="J665" s="2647">
        <v>25.5</v>
      </c>
      <c r="K665" s="2648"/>
      <c r="L665" s="2647">
        <v>2007148</v>
      </c>
    </row>
    <row r="666" spans="1:12">
      <c r="A666" s="2646" t="s">
        <v>99</v>
      </c>
      <c r="B666" s="2646" t="s">
        <v>2723</v>
      </c>
      <c r="C666" s="2646">
        <v>240</v>
      </c>
      <c r="D666" s="2646">
        <v>360</v>
      </c>
      <c r="E666" s="2646">
        <v>76</v>
      </c>
      <c r="F666" s="2646" t="s">
        <v>2088</v>
      </c>
      <c r="G666" s="2646" t="s">
        <v>2088</v>
      </c>
      <c r="H666" s="2646" t="s">
        <v>2088</v>
      </c>
      <c r="I666" s="2646" t="s">
        <v>2088</v>
      </c>
      <c r="J666" s="2646">
        <v>24.7</v>
      </c>
      <c r="L666" s="2646" t="s">
        <v>2724</v>
      </c>
    </row>
    <row r="667" spans="1:12">
      <c r="A667" s="2647" t="s">
        <v>99</v>
      </c>
      <c r="B667" s="2647" t="s">
        <v>2725</v>
      </c>
      <c r="C667" s="2647">
        <v>220</v>
      </c>
      <c r="D667" s="2647">
        <v>340</v>
      </c>
      <c r="E667" s="2647">
        <v>76.5</v>
      </c>
      <c r="F667" s="2647" t="s">
        <v>2088</v>
      </c>
      <c r="G667" s="2647" t="s">
        <v>2088</v>
      </c>
      <c r="H667" s="2647" t="s">
        <v>2088</v>
      </c>
      <c r="I667" s="2647" t="s">
        <v>2088</v>
      </c>
      <c r="J667" s="2647">
        <v>22.2</v>
      </c>
      <c r="K667" s="2648"/>
      <c r="L667" s="2647" t="s">
        <v>2726</v>
      </c>
    </row>
    <row r="668" spans="1:12">
      <c r="A668" s="2646" t="s">
        <v>99</v>
      </c>
      <c r="B668" s="2646" t="s">
        <v>2727</v>
      </c>
      <c r="C668" s="2646">
        <v>220</v>
      </c>
      <c r="D668" s="2646">
        <v>340</v>
      </c>
      <c r="E668" s="2646">
        <v>76</v>
      </c>
      <c r="F668" s="2646" t="s">
        <v>2088</v>
      </c>
      <c r="G668" s="2646" t="s">
        <v>2088</v>
      </c>
      <c r="H668" s="2646" t="s">
        <v>2088</v>
      </c>
      <c r="I668" s="2646" t="s">
        <v>2088</v>
      </c>
      <c r="J668" s="2646">
        <v>23.4</v>
      </c>
      <c r="L668" s="2646">
        <v>2007144</v>
      </c>
    </row>
    <row r="669" spans="1:12">
      <c r="A669" s="2647" t="s">
        <v>99</v>
      </c>
      <c r="B669" s="2647" t="s">
        <v>2728</v>
      </c>
      <c r="C669" s="2647">
        <v>200</v>
      </c>
      <c r="D669" s="2647">
        <v>310</v>
      </c>
      <c r="E669" s="2647">
        <v>70</v>
      </c>
      <c r="F669" s="2647" t="s">
        <v>2088</v>
      </c>
      <c r="G669" s="2647" t="s">
        <v>2088</v>
      </c>
      <c r="H669" s="2647" t="s">
        <v>2088</v>
      </c>
      <c r="I669" s="2647" t="s">
        <v>2088</v>
      </c>
      <c r="J669" s="2647">
        <v>18</v>
      </c>
      <c r="K669" s="2648"/>
      <c r="L669" s="2647">
        <v>2007140</v>
      </c>
    </row>
    <row r="670" spans="1:12">
      <c r="A670" s="2646" t="s">
        <v>99</v>
      </c>
      <c r="B670" s="2646" t="s">
        <v>2729</v>
      </c>
      <c r="C670" s="2646">
        <v>190</v>
      </c>
      <c r="D670" s="2646">
        <v>290</v>
      </c>
      <c r="E670" s="2646">
        <v>64.5</v>
      </c>
      <c r="F670" s="2646" t="s">
        <v>2088</v>
      </c>
      <c r="G670" s="2646" t="s">
        <v>2088</v>
      </c>
      <c r="H670" s="2646" t="s">
        <v>2088</v>
      </c>
      <c r="I670" s="2646" t="s">
        <v>2088</v>
      </c>
      <c r="J670" s="2646">
        <v>14.1</v>
      </c>
      <c r="L670" s="2646" t="s">
        <v>2730</v>
      </c>
    </row>
    <row r="671" spans="1:12">
      <c r="A671" s="2647" t="s">
        <v>99</v>
      </c>
      <c r="B671" s="2647" t="s">
        <v>2731</v>
      </c>
      <c r="C671" s="2647">
        <v>130</v>
      </c>
      <c r="D671" s="2647">
        <v>200</v>
      </c>
      <c r="E671" s="2647">
        <v>45</v>
      </c>
      <c r="F671" s="2647" t="s">
        <v>2088</v>
      </c>
      <c r="G671" s="2647" t="s">
        <v>2088</v>
      </c>
      <c r="H671" s="2647" t="s">
        <v>2088</v>
      </c>
      <c r="I671" s="2647" t="s">
        <v>2088</v>
      </c>
      <c r="J671" s="2647">
        <v>4.9400000000000004</v>
      </c>
      <c r="K671" s="2648"/>
      <c r="L671" s="2647" t="s">
        <v>2732</v>
      </c>
    </row>
    <row r="672" spans="1:12">
      <c r="A672" s="2646" t="s">
        <v>99</v>
      </c>
      <c r="B672" s="2646" t="s">
        <v>2733</v>
      </c>
      <c r="C672" s="2646">
        <v>50</v>
      </c>
      <c r="D672" s="2646">
        <v>90</v>
      </c>
      <c r="E672" s="2646">
        <v>25</v>
      </c>
      <c r="F672" s="2646" t="s">
        <v>2088</v>
      </c>
      <c r="G672" s="2646" t="s">
        <v>2088</v>
      </c>
      <c r="H672" s="2646" t="s">
        <v>2088</v>
      </c>
      <c r="I672" s="2646" t="s">
        <v>2088</v>
      </c>
      <c r="J672" s="2646">
        <v>0.61199999999999999</v>
      </c>
      <c r="L672" s="2646">
        <v>7510</v>
      </c>
    </row>
    <row r="673" spans="1:12">
      <c r="A673" s="2647" t="s">
        <v>99</v>
      </c>
      <c r="B673" s="2647" t="s">
        <v>2734</v>
      </c>
      <c r="C673" s="2647">
        <v>25</v>
      </c>
      <c r="D673" s="2647">
        <v>52</v>
      </c>
      <c r="E673" s="2647">
        <v>19.25</v>
      </c>
      <c r="F673" s="2647" t="s">
        <v>2088</v>
      </c>
      <c r="G673" s="2647" t="s">
        <v>2088</v>
      </c>
      <c r="H673" s="2647" t="s">
        <v>2088</v>
      </c>
      <c r="I673" s="2647" t="s">
        <v>2088</v>
      </c>
      <c r="J673" s="2647">
        <v>0.187</v>
      </c>
      <c r="K673" s="2648"/>
      <c r="L673" s="2647" t="s">
        <v>2735</v>
      </c>
    </row>
    <row r="674" spans="1:12">
      <c r="A674" s="2646" t="s">
        <v>99</v>
      </c>
      <c r="B674" s="2646" t="s">
        <v>2736</v>
      </c>
      <c r="C674" s="2646">
        <v>105</v>
      </c>
      <c r="D674" s="2646">
        <v>160</v>
      </c>
      <c r="E674" s="2646">
        <v>35</v>
      </c>
      <c r="F674" s="2646" t="s">
        <v>2088</v>
      </c>
      <c r="G674" s="2646" t="s">
        <v>2088</v>
      </c>
      <c r="H674" s="2646" t="s">
        <v>2088</v>
      </c>
      <c r="I674" s="2646" t="s">
        <v>2088</v>
      </c>
      <c r="J674" s="2646">
        <v>2.4</v>
      </c>
      <c r="L674" s="2646" t="s">
        <v>2737</v>
      </c>
    </row>
    <row r="675" spans="1:12">
      <c r="A675" s="2647" t="s">
        <v>99</v>
      </c>
      <c r="B675" s="2647" t="s">
        <v>2738</v>
      </c>
      <c r="C675" s="2647">
        <v>50</v>
      </c>
      <c r="D675" s="2647">
        <v>80</v>
      </c>
      <c r="E675" s="2647">
        <v>20</v>
      </c>
      <c r="F675" s="2647" t="s">
        <v>2088</v>
      </c>
      <c r="G675" s="2647" t="s">
        <v>2088</v>
      </c>
      <c r="H675" s="2647" t="s">
        <v>2088</v>
      </c>
      <c r="I675" s="2647" t="s">
        <v>2088</v>
      </c>
      <c r="J675" s="2647">
        <v>0.373</v>
      </c>
      <c r="K675" s="2648"/>
      <c r="L675" s="2647" t="s">
        <v>2739</v>
      </c>
    </row>
    <row r="676" spans="1:12">
      <c r="A676" s="2646" t="s">
        <v>99</v>
      </c>
      <c r="B676" s="2646" t="s">
        <v>2740</v>
      </c>
      <c r="C676" s="2646">
        <v>35</v>
      </c>
      <c r="D676" s="2646">
        <v>65</v>
      </c>
      <c r="E676" s="2646">
        <v>18</v>
      </c>
      <c r="F676" s="2646" t="s">
        <v>2088</v>
      </c>
      <c r="G676" s="2646" t="s">
        <v>2088</v>
      </c>
      <c r="H676" s="2646" t="s">
        <v>2088</v>
      </c>
      <c r="I676" s="2646" t="s">
        <v>2088</v>
      </c>
      <c r="J676" s="2646">
        <v>0.251</v>
      </c>
      <c r="L676" s="2646" t="s">
        <v>2741</v>
      </c>
    </row>
    <row r="677" spans="1:12">
      <c r="A677" s="2647" t="s">
        <v>99</v>
      </c>
      <c r="B677" s="2647" t="s">
        <v>2742</v>
      </c>
      <c r="C677" s="2647">
        <v>35</v>
      </c>
      <c r="D677" s="2647">
        <v>65</v>
      </c>
      <c r="E677" s="2647">
        <v>18</v>
      </c>
      <c r="F677" s="2647" t="s">
        <v>2088</v>
      </c>
      <c r="G677" s="2647" t="s">
        <v>2088</v>
      </c>
      <c r="H677" s="2647" t="s">
        <v>2088</v>
      </c>
      <c r="I677" s="2647" t="s">
        <v>2088</v>
      </c>
      <c r="J677" s="2647">
        <v>0.22900000000000001</v>
      </c>
      <c r="K677" s="2648"/>
      <c r="L677" s="2647" t="s">
        <v>2743</v>
      </c>
    </row>
    <row r="678" spans="1:12">
      <c r="A678" s="2646" t="s">
        <v>99</v>
      </c>
      <c r="B678" s="2646" t="s">
        <v>2744</v>
      </c>
      <c r="C678" s="2646">
        <v>560</v>
      </c>
      <c r="D678" s="2646">
        <v>750</v>
      </c>
      <c r="E678" s="2646">
        <v>92.5</v>
      </c>
      <c r="F678" s="2646" t="s">
        <v>2088</v>
      </c>
      <c r="G678" s="2646" t="s">
        <v>2088</v>
      </c>
      <c r="H678" s="2646" t="s">
        <v>2088</v>
      </c>
      <c r="I678" s="2646" t="s">
        <v>2088</v>
      </c>
      <c r="J678" s="2646">
        <v>105</v>
      </c>
      <c r="L678" s="2646" t="s">
        <v>2745</v>
      </c>
    </row>
    <row r="679" spans="1:12">
      <c r="A679" s="2647" t="s">
        <v>99</v>
      </c>
      <c r="B679" s="2647" t="s">
        <v>2746</v>
      </c>
      <c r="C679" s="2647">
        <v>850</v>
      </c>
      <c r="D679" s="2647">
        <v>1030</v>
      </c>
      <c r="E679" s="2647">
        <v>90</v>
      </c>
      <c r="F679" s="2647" t="s">
        <v>2088</v>
      </c>
      <c r="G679" s="2647" t="s">
        <v>2088</v>
      </c>
      <c r="H679" s="2647" t="s">
        <v>2088</v>
      </c>
      <c r="I679" s="2647" t="s">
        <v>2088</v>
      </c>
      <c r="J679" s="2647">
        <v>142</v>
      </c>
      <c r="K679" s="2648"/>
      <c r="L679" s="2647" t="s">
        <v>2747</v>
      </c>
    </row>
    <row r="680" spans="1:12">
      <c r="A680" s="2646" t="s">
        <v>99</v>
      </c>
      <c r="B680" s="2646" t="s">
        <v>2748</v>
      </c>
      <c r="C680" s="2646">
        <v>35</v>
      </c>
      <c r="D680" s="2646">
        <v>80</v>
      </c>
      <c r="E680" s="2646">
        <v>22.75</v>
      </c>
      <c r="F680" s="2646" t="s">
        <v>2088</v>
      </c>
      <c r="G680" s="2646" t="s">
        <v>2088</v>
      </c>
      <c r="H680" s="2646" t="s">
        <v>2088</v>
      </c>
      <c r="I680" s="2646" t="s">
        <v>2088</v>
      </c>
      <c r="J680" s="2646">
        <v>0.42499999999999999</v>
      </c>
      <c r="L680" s="2646" t="s">
        <v>2088</v>
      </c>
    </row>
    <row r="681" spans="1:12">
      <c r="A681" s="2647" t="s">
        <v>99</v>
      </c>
      <c r="B681" s="2647" t="s">
        <v>2749</v>
      </c>
      <c r="C681" s="2647">
        <v>30</v>
      </c>
      <c r="D681" s="2647">
        <v>72</v>
      </c>
      <c r="E681" s="2647">
        <v>20.75</v>
      </c>
      <c r="F681" s="2647" t="s">
        <v>2088</v>
      </c>
      <c r="G681" s="2647" t="s">
        <v>2088</v>
      </c>
      <c r="H681" s="2647" t="s">
        <v>2088</v>
      </c>
      <c r="I681" s="2647" t="s">
        <v>2088</v>
      </c>
      <c r="J681" s="2647">
        <v>0.379</v>
      </c>
      <c r="K681" s="2648"/>
      <c r="L681" s="2647" t="s">
        <v>2088</v>
      </c>
    </row>
    <row r="682" spans="1:12">
      <c r="A682" s="2646" t="s">
        <v>99</v>
      </c>
      <c r="B682" s="2646">
        <v>30256</v>
      </c>
      <c r="C682" s="2646">
        <v>280</v>
      </c>
      <c r="D682" s="2646">
        <v>500</v>
      </c>
      <c r="E682" s="2646">
        <v>80</v>
      </c>
      <c r="F682" s="2646">
        <v>1260</v>
      </c>
      <c r="G682" s="2646">
        <v>1920</v>
      </c>
      <c r="H682" s="2646">
        <v>610</v>
      </c>
      <c r="I682" s="2646">
        <v>810</v>
      </c>
      <c r="J682" s="2646">
        <v>67.599999999999994</v>
      </c>
      <c r="L682" s="2646" t="s">
        <v>2750</v>
      </c>
    </row>
    <row r="683" spans="1:12">
      <c r="A683" s="2647" t="s">
        <v>99</v>
      </c>
      <c r="B683" s="2647">
        <v>30252</v>
      </c>
      <c r="C683" s="2647">
        <v>260</v>
      </c>
      <c r="D683" s="2647">
        <v>480</v>
      </c>
      <c r="E683" s="2647">
        <v>80</v>
      </c>
      <c r="F683" s="2647">
        <v>1210</v>
      </c>
      <c r="G683" s="2647">
        <v>1860</v>
      </c>
      <c r="H683" s="2647">
        <v>650</v>
      </c>
      <c r="I683" s="2647">
        <v>870</v>
      </c>
      <c r="J683" s="2647">
        <v>64.900000000000006</v>
      </c>
      <c r="K683" s="2648"/>
      <c r="L683" s="2647" t="s">
        <v>2751</v>
      </c>
    </row>
    <row r="684" spans="1:12">
      <c r="A684" s="2646" t="s">
        <v>99</v>
      </c>
      <c r="B684" s="2646">
        <v>30248</v>
      </c>
      <c r="C684" s="2646">
        <v>240</v>
      </c>
      <c r="D684" s="2646">
        <v>440</v>
      </c>
      <c r="E684" s="2646">
        <v>79</v>
      </c>
      <c r="F684" s="2646" t="s">
        <v>2088</v>
      </c>
      <c r="G684" s="2646" t="s">
        <v>2088</v>
      </c>
      <c r="H684" s="2646" t="s">
        <v>2088</v>
      </c>
      <c r="I684" s="2646" t="s">
        <v>2088</v>
      </c>
      <c r="J684" s="2646">
        <v>46.4</v>
      </c>
      <c r="L684" s="2646" t="s">
        <v>2752</v>
      </c>
    </row>
    <row r="685" spans="1:12">
      <c r="A685" s="2647" t="s">
        <v>99</v>
      </c>
      <c r="B685" s="2647" t="s">
        <v>2753</v>
      </c>
      <c r="C685" s="2647">
        <v>220</v>
      </c>
      <c r="D685" s="2647">
        <v>400</v>
      </c>
      <c r="E685" s="2647">
        <v>72</v>
      </c>
      <c r="F685" s="2647" t="s">
        <v>2088</v>
      </c>
      <c r="G685" s="2647" t="s">
        <v>2088</v>
      </c>
      <c r="H685" s="2647" t="s">
        <v>2088</v>
      </c>
      <c r="I685" s="2647" t="s">
        <v>2088</v>
      </c>
      <c r="J685" s="2647">
        <v>36.799999999999997</v>
      </c>
      <c r="K685" s="2648"/>
      <c r="L685" s="2647" t="s">
        <v>2754</v>
      </c>
    </row>
    <row r="686" spans="1:12">
      <c r="A686" s="2646" t="s">
        <v>99</v>
      </c>
      <c r="B686" s="2646" t="s">
        <v>2755</v>
      </c>
      <c r="C686" s="2646">
        <v>150</v>
      </c>
      <c r="D686" s="2646">
        <v>270</v>
      </c>
      <c r="E686" s="2646">
        <v>50</v>
      </c>
      <c r="F686" s="2646" t="s">
        <v>2088</v>
      </c>
      <c r="G686" s="2646" t="s">
        <v>2088</v>
      </c>
      <c r="H686" s="2646" t="s">
        <v>2088</v>
      </c>
      <c r="I686" s="2646" t="s">
        <v>2088</v>
      </c>
      <c r="J686" s="2646">
        <v>10</v>
      </c>
      <c r="L686" s="2646" t="s">
        <v>2756</v>
      </c>
    </row>
    <row r="687" spans="1:12">
      <c r="A687" s="2647" t="s">
        <v>99</v>
      </c>
      <c r="B687" s="2647" t="s">
        <v>2757</v>
      </c>
      <c r="C687" s="2647">
        <v>130</v>
      </c>
      <c r="D687" s="2647">
        <v>230</v>
      </c>
      <c r="E687" s="2647">
        <v>44.5</v>
      </c>
      <c r="F687" s="2647" t="s">
        <v>2088</v>
      </c>
      <c r="G687" s="2647" t="s">
        <v>2088</v>
      </c>
      <c r="H687" s="2647" t="s">
        <v>2088</v>
      </c>
      <c r="I687" s="2647" t="s">
        <v>2088</v>
      </c>
      <c r="J687" s="2647">
        <v>7.25</v>
      </c>
      <c r="K687" s="2648"/>
      <c r="L687" s="2647" t="s">
        <v>2318</v>
      </c>
    </row>
    <row r="688" spans="1:12">
      <c r="A688" s="2646" t="s">
        <v>99</v>
      </c>
      <c r="B688" s="2646" t="s">
        <v>2758</v>
      </c>
      <c r="C688" s="2646">
        <v>100</v>
      </c>
      <c r="D688" s="2646">
        <v>180</v>
      </c>
      <c r="E688" s="2646">
        <v>37.5</v>
      </c>
      <c r="F688" s="2646" t="s">
        <v>2088</v>
      </c>
      <c r="G688" s="2646" t="s">
        <v>2088</v>
      </c>
      <c r="H688" s="2646" t="s">
        <v>2088</v>
      </c>
      <c r="I688" s="2646" t="s">
        <v>2088</v>
      </c>
      <c r="J688" s="2646">
        <v>3.65</v>
      </c>
      <c r="L688" s="2646" t="s">
        <v>2759</v>
      </c>
    </row>
    <row r="689" spans="1:12">
      <c r="A689" s="2647" t="s">
        <v>99</v>
      </c>
      <c r="B689" s="2647" t="s">
        <v>2760</v>
      </c>
      <c r="C689" s="2647">
        <v>95</v>
      </c>
      <c r="D689" s="2647">
        <v>170</v>
      </c>
      <c r="E689" s="2647">
        <v>35</v>
      </c>
      <c r="F689" s="2647" t="s">
        <v>2088</v>
      </c>
      <c r="G689" s="2647" t="s">
        <v>2088</v>
      </c>
      <c r="H689" s="2647" t="s">
        <v>2088</v>
      </c>
      <c r="I689" s="2647" t="s">
        <v>2088</v>
      </c>
      <c r="J689" s="2647">
        <v>3.17</v>
      </c>
      <c r="K689" s="2648"/>
      <c r="L689" s="2647" t="s">
        <v>2761</v>
      </c>
    </row>
    <row r="690" spans="1:12">
      <c r="A690" s="2646" t="s">
        <v>99</v>
      </c>
      <c r="B690" s="2646" t="s">
        <v>2762</v>
      </c>
      <c r="C690" s="2646">
        <v>90</v>
      </c>
      <c r="D690" s="2646">
        <v>160</v>
      </c>
      <c r="E690" s="2646">
        <v>33</v>
      </c>
      <c r="F690" s="2646" t="s">
        <v>2088</v>
      </c>
      <c r="G690" s="2646" t="s">
        <v>2088</v>
      </c>
      <c r="H690" s="2646" t="s">
        <v>2088</v>
      </c>
      <c r="I690" s="2646" t="s">
        <v>2088</v>
      </c>
      <c r="J690" s="2646">
        <v>2.5299999999999998</v>
      </c>
      <c r="L690" s="2646">
        <v>7218</v>
      </c>
    </row>
    <row r="691" spans="1:12">
      <c r="A691" s="2647" t="s">
        <v>99</v>
      </c>
      <c r="B691" s="2647" t="s">
        <v>2763</v>
      </c>
      <c r="C691" s="2647">
        <v>75</v>
      </c>
      <c r="D691" s="2647">
        <v>130</v>
      </c>
      <c r="E691" s="2647">
        <v>27.25</v>
      </c>
      <c r="F691" s="2647" t="s">
        <v>2088</v>
      </c>
      <c r="G691" s="2647" t="s">
        <v>2088</v>
      </c>
      <c r="H691" s="2647" t="s">
        <v>2088</v>
      </c>
      <c r="I691" s="2647" t="s">
        <v>2088</v>
      </c>
      <c r="J691" s="2647">
        <v>1.4</v>
      </c>
      <c r="K691" s="2648"/>
      <c r="L691" s="2647" t="s">
        <v>2764</v>
      </c>
    </row>
    <row r="692" spans="1:12">
      <c r="A692" s="2646" t="s">
        <v>99</v>
      </c>
      <c r="B692" s="2646" t="s">
        <v>2765</v>
      </c>
      <c r="C692" s="2646">
        <v>70</v>
      </c>
      <c r="D692" s="2646">
        <v>125</v>
      </c>
      <c r="E692" s="2646">
        <v>26.5</v>
      </c>
      <c r="F692" s="2646" t="s">
        <v>2088</v>
      </c>
      <c r="G692" s="2646" t="s">
        <v>2088</v>
      </c>
      <c r="H692" s="2646" t="s">
        <v>2088</v>
      </c>
      <c r="I692" s="2646" t="s">
        <v>2088</v>
      </c>
      <c r="J692" s="2646">
        <v>1.1000000000000001</v>
      </c>
      <c r="L692" s="2646" t="s">
        <v>2766</v>
      </c>
    </row>
    <row r="693" spans="1:12">
      <c r="A693" s="2647" t="s">
        <v>99</v>
      </c>
      <c r="B693" s="2647" t="s">
        <v>2767</v>
      </c>
      <c r="C693" s="2647">
        <v>80</v>
      </c>
      <c r="D693" s="2647">
        <v>125</v>
      </c>
      <c r="E693" s="2647">
        <v>29</v>
      </c>
      <c r="F693" s="2647" t="s">
        <v>2088</v>
      </c>
      <c r="G693" s="2647" t="s">
        <v>2088</v>
      </c>
      <c r="H693" s="2647" t="s">
        <v>2088</v>
      </c>
      <c r="I693" s="2647" t="s">
        <v>2088</v>
      </c>
      <c r="J693" s="2647">
        <v>1.25</v>
      </c>
      <c r="K693" s="2648"/>
      <c r="L693" s="2647" t="s">
        <v>2768</v>
      </c>
    </row>
    <row r="694" spans="1:12">
      <c r="A694" s="2646" t="s">
        <v>99</v>
      </c>
      <c r="B694" s="2646" t="s">
        <v>2769</v>
      </c>
      <c r="C694" s="2646">
        <v>75</v>
      </c>
      <c r="D694" s="2646">
        <v>115</v>
      </c>
      <c r="E694" s="2646">
        <v>25.3</v>
      </c>
      <c r="F694" s="2646" t="s">
        <v>2088</v>
      </c>
      <c r="G694" s="2646" t="s">
        <v>2088</v>
      </c>
      <c r="H694" s="2646" t="s">
        <v>2088</v>
      </c>
      <c r="I694" s="2646" t="s">
        <v>2088</v>
      </c>
      <c r="J694" s="2646">
        <v>0.86699999999999999</v>
      </c>
      <c r="L694" s="2646" t="s">
        <v>2770</v>
      </c>
    </row>
    <row r="695" spans="1:12">
      <c r="A695" s="2647" t="s">
        <v>99</v>
      </c>
      <c r="B695" s="2647" t="s">
        <v>2771</v>
      </c>
      <c r="C695" s="2647">
        <v>60</v>
      </c>
      <c r="D695" s="2647">
        <v>95</v>
      </c>
      <c r="E695" s="2647">
        <v>23.3</v>
      </c>
      <c r="F695" s="2647" t="s">
        <v>2088</v>
      </c>
      <c r="G695" s="2647" t="s">
        <v>2088</v>
      </c>
      <c r="H695" s="2647" t="s">
        <v>2088</v>
      </c>
      <c r="I695" s="2647" t="s">
        <v>2088</v>
      </c>
      <c r="J695" s="2647">
        <v>0.94399999999999995</v>
      </c>
      <c r="K695" s="2648"/>
      <c r="L695" s="2647" t="s">
        <v>2772</v>
      </c>
    </row>
    <row r="696" spans="1:12">
      <c r="A696" s="2646" t="s">
        <v>99</v>
      </c>
      <c r="B696" s="2646" t="s">
        <v>2773</v>
      </c>
      <c r="C696" s="2646">
        <v>45</v>
      </c>
      <c r="D696" s="2646">
        <v>85</v>
      </c>
      <c r="E696" s="2646">
        <v>20.75</v>
      </c>
      <c r="F696" s="2646" t="s">
        <v>2088</v>
      </c>
      <c r="G696" s="2646" t="s">
        <v>2088</v>
      </c>
      <c r="H696" s="2646" t="s">
        <v>2088</v>
      </c>
      <c r="I696" s="2646" t="s">
        <v>2088</v>
      </c>
      <c r="J696" s="2646">
        <v>0.47499999999999998</v>
      </c>
      <c r="L696" s="2646" t="s">
        <v>2774</v>
      </c>
    </row>
    <row r="697" spans="1:12">
      <c r="A697" s="2647" t="s">
        <v>99</v>
      </c>
      <c r="B697" s="2647" t="s">
        <v>2775</v>
      </c>
      <c r="C697" s="2647">
        <v>35</v>
      </c>
      <c r="D697" s="2647">
        <v>72</v>
      </c>
      <c r="E697" s="2647">
        <v>18.25</v>
      </c>
      <c r="F697" s="2647" t="s">
        <v>2088</v>
      </c>
      <c r="G697" s="2647" t="s">
        <v>2088</v>
      </c>
      <c r="H697" s="2647" t="s">
        <v>2088</v>
      </c>
      <c r="I697" s="2647" t="s">
        <v>2088</v>
      </c>
      <c r="J697" s="2647">
        <v>0.33300000000000002</v>
      </c>
      <c r="K697" s="2648"/>
      <c r="L697" s="2647" t="s">
        <v>2088</v>
      </c>
    </row>
    <row r="698" spans="1:12">
      <c r="A698" s="2646" t="s">
        <v>99</v>
      </c>
      <c r="B698" s="2646" t="s">
        <v>2776</v>
      </c>
      <c r="C698" s="2646">
        <v>32</v>
      </c>
      <c r="D698" s="2646">
        <v>65</v>
      </c>
      <c r="E698" s="2646">
        <v>18.25</v>
      </c>
      <c r="F698" s="2646" t="s">
        <v>2088</v>
      </c>
      <c r="G698" s="2646" t="s">
        <v>2088</v>
      </c>
      <c r="H698" s="2646" t="s">
        <v>2088</v>
      </c>
      <c r="I698" s="2646" t="s">
        <v>2088</v>
      </c>
      <c r="J698" s="2646">
        <v>0.28000000000000003</v>
      </c>
      <c r="L698" s="2646" t="s">
        <v>2777</v>
      </c>
    </row>
    <row r="699" spans="1:12">
      <c r="A699" s="2647" t="s">
        <v>99</v>
      </c>
      <c r="B699" s="2647" t="s">
        <v>2778</v>
      </c>
      <c r="C699" s="2647">
        <v>49.988</v>
      </c>
      <c r="D699" s="2647">
        <v>123.825</v>
      </c>
      <c r="E699" s="2647">
        <v>36.512</v>
      </c>
      <c r="F699" s="2647" t="s">
        <v>2088</v>
      </c>
      <c r="G699" s="2647" t="s">
        <v>2088</v>
      </c>
      <c r="H699" s="2647" t="s">
        <v>2088</v>
      </c>
      <c r="I699" s="2647" t="s">
        <v>2088</v>
      </c>
      <c r="J699" s="2647">
        <v>2.13</v>
      </c>
      <c r="K699" s="2648"/>
      <c r="L699" s="2647" t="s">
        <v>2088</v>
      </c>
    </row>
    <row r="700" spans="1:12">
      <c r="A700" s="2646" t="s">
        <v>99</v>
      </c>
      <c r="B700" s="2646" t="s">
        <v>2779</v>
      </c>
      <c r="C700" s="2646">
        <v>66.674999999999997</v>
      </c>
      <c r="D700" s="2646">
        <v>107.95</v>
      </c>
      <c r="E700" s="2646">
        <v>25.4</v>
      </c>
      <c r="F700" s="2646" t="s">
        <v>2088</v>
      </c>
      <c r="G700" s="2646" t="s">
        <v>2088</v>
      </c>
      <c r="H700" s="2646" t="s">
        <v>2088</v>
      </c>
      <c r="I700" s="2646" t="s">
        <v>2088</v>
      </c>
      <c r="J700" s="2646">
        <v>0.85399999999999998</v>
      </c>
      <c r="L700" s="2646" t="s">
        <v>2088</v>
      </c>
    </row>
    <row r="701" spans="1:12">
      <c r="A701" s="2647" t="s">
        <v>99</v>
      </c>
      <c r="B701" s="2647" t="s">
        <v>2780</v>
      </c>
      <c r="C701" s="2647">
        <v>45.618000000000002</v>
      </c>
      <c r="D701" s="2647">
        <v>82.930999999999997</v>
      </c>
      <c r="E701" s="2647">
        <v>23.81</v>
      </c>
      <c r="F701" s="2647" t="s">
        <v>2088</v>
      </c>
      <c r="G701" s="2647" t="s">
        <v>2088</v>
      </c>
      <c r="H701" s="2647" t="s">
        <v>2088</v>
      </c>
      <c r="I701" s="2647" t="s">
        <v>2088</v>
      </c>
      <c r="J701" s="2647">
        <v>0.55400000000000005</v>
      </c>
      <c r="K701" s="2648"/>
      <c r="L701" s="2647" t="s">
        <v>2088</v>
      </c>
    </row>
    <row r="702" spans="1:12">
      <c r="A702" s="2646" t="s">
        <v>99</v>
      </c>
      <c r="B702" s="2646" t="s">
        <v>2781</v>
      </c>
      <c r="C702" s="2646">
        <v>44.45</v>
      </c>
      <c r="D702" s="2646">
        <v>82.930999999999997</v>
      </c>
      <c r="E702" s="2646">
        <v>23.81</v>
      </c>
      <c r="F702" s="2646" t="s">
        <v>2088</v>
      </c>
      <c r="G702" s="2646" t="s">
        <v>2088</v>
      </c>
      <c r="H702" s="2646" t="s">
        <v>2088</v>
      </c>
      <c r="I702" s="2646" t="s">
        <v>2088</v>
      </c>
      <c r="J702" s="2646">
        <v>0.56999999999999995</v>
      </c>
      <c r="L702" s="2646" t="s">
        <v>2088</v>
      </c>
    </row>
    <row r="703" spans="1:12">
      <c r="A703" s="2647" t="s">
        <v>99</v>
      </c>
      <c r="B703" s="2647" t="s">
        <v>2782</v>
      </c>
      <c r="C703" s="2647">
        <v>32</v>
      </c>
      <c r="D703" s="2647">
        <v>75</v>
      </c>
      <c r="E703" s="2647">
        <v>29.75</v>
      </c>
      <c r="F703" s="2647" t="s">
        <v>2088</v>
      </c>
      <c r="G703" s="2647" t="s">
        <v>2088</v>
      </c>
      <c r="H703" s="2647" t="s">
        <v>2088</v>
      </c>
      <c r="I703" s="2647" t="s">
        <v>2088</v>
      </c>
      <c r="J703" s="2647">
        <v>0.64700000000000002</v>
      </c>
      <c r="K703" s="2648"/>
      <c r="L703" s="2647" t="s">
        <v>2783</v>
      </c>
    </row>
    <row r="704" spans="1:12">
      <c r="A704" s="2646" t="s">
        <v>99</v>
      </c>
      <c r="B704" s="2646" t="s">
        <v>2784</v>
      </c>
      <c r="C704" s="2646">
        <v>32</v>
      </c>
      <c r="D704" s="2646">
        <v>75</v>
      </c>
      <c r="E704" s="2646">
        <v>29.75</v>
      </c>
      <c r="F704" s="2646" t="s">
        <v>2088</v>
      </c>
      <c r="G704" s="2646" t="s">
        <v>2088</v>
      </c>
      <c r="H704" s="2646" t="s">
        <v>2088</v>
      </c>
      <c r="I704" s="2646" t="s">
        <v>2088</v>
      </c>
      <c r="J704" s="2646">
        <v>0.64700000000000002</v>
      </c>
      <c r="L704" s="2646" t="s">
        <v>2088</v>
      </c>
    </row>
    <row r="705" spans="1:12">
      <c r="A705" s="2647" t="s">
        <v>99</v>
      </c>
      <c r="B705" s="2647" t="s">
        <v>2785</v>
      </c>
      <c r="C705" s="2647">
        <v>40</v>
      </c>
      <c r="D705" s="2647">
        <v>90</v>
      </c>
      <c r="E705" s="2647">
        <v>25.25</v>
      </c>
      <c r="F705" s="2647" t="s">
        <v>2088</v>
      </c>
      <c r="G705" s="2647" t="s">
        <v>2088</v>
      </c>
      <c r="H705" s="2647" t="s">
        <v>2088</v>
      </c>
      <c r="I705" s="2647" t="s">
        <v>2088</v>
      </c>
      <c r="J705" s="2647">
        <v>0.71899999999999997</v>
      </c>
      <c r="K705" s="2648"/>
      <c r="L705" s="2647" t="s">
        <v>2785</v>
      </c>
    </row>
    <row r="706" spans="1:12">
      <c r="A706" s="2646" t="s">
        <v>99</v>
      </c>
      <c r="B706" s="2646" t="s">
        <v>2786</v>
      </c>
      <c r="C706" s="2646">
        <v>30</v>
      </c>
      <c r="D706" s="2646">
        <v>72</v>
      </c>
      <c r="E706" s="2646">
        <v>20.75</v>
      </c>
      <c r="F706" s="2646" t="s">
        <v>2088</v>
      </c>
      <c r="G706" s="2646" t="s">
        <v>2088</v>
      </c>
      <c r="H706" s="2646" t="s">
        <v>2088</v>
      </c>
      <c r="I706" s="2646" t="s">
        <v>2088</v>
      </c>
      <c r="J706" s="2646">
        <v>0.38900000000000001</v>
      </c>
      <c r="L706" s="2646" t="s">
        <v>2088</v>
      </c>
    </row>
    <row r="707" spans="1:12">
      <c r="A707" s="2647" t="s">
        <v>99</v>
      </c>
      <c r="B707" s="2647" t="s">
        <v>2787</v>
      </c>
      <c r="C707" s="2647">
        <v>45</v>
      </c>
      <c r="D707" s="2647">
        <v>95</v>
      </c>
      <c r="E707" s="2647">
        <v>36</v>
      </c>
      <c r="F707" s="2647" t="s">
        <v>2088</v>
      </c>
      <c r="G707" s="2647" t="s">
        <v>2088</v>
      </c>
      <c r="H707" s="2647" t="s">
        <v>2088</v>
      </c>
      <c r="I707" s="2647" t="s">
        <v>2088</v>
      </c>
      <c r="J707" s="2647">
        <v>1.18</v>
      </c>
      <c r="K707" s="2648"/>
      <c r="L707" s="2647" t="s">
        <v>2088</v>
      </c>
    </row>
    <row r="708" spans="1:12">
      <c r="A708" s="2646" t="s">
        <v>99</v>
      </c>
      <c r="B708" s="2646" t="s">
        <v>2788</v>
      </c>
      <c r="C708" s="2646">
        <v>30</v>
      </c>
      <c r="D708" s="2646">
        <v>56.369</v>
      </c>
      <c r="E708" s="2646">
        <v>16</v>
      </c>
      <c r="F708" s="2646" t="s">
        <v>2088</v>
      </c>
      <c r="G708" s="2646" t="s">
        <v>2088</v>
      </c>
      <c r="H708" s="2646" t="s">
        <v>2088</v>
      </c>
      <c r="I708" s="2646" t="s">
        <v>2088</v>
      </c>
      <c r="J708" s="2646">
        <v>0.14799999999999999</v>
      </c>
      <c r="L708" s="2646" t="s">
        <v>2789</v>
      </c>
    </row>
    <row r="709" spans="1:12">
      <c r="A709" s="2647" t="s">
        <v>99</v>
      </c>
      <c r="B709" s="2647" t="s">
        <v>2790</v>
      </c>
      <c r="C709" s="2647">
        <v>20</v>
      </c>
      <c r="D709" s="2647">
        <v>42.588999999999999</v>
      </c>
      <c r="E709" s="2647">
        <v>14</v>
      </c>
      <c r="F709" s="2647" t="s">
        <v>2088</v>
      </c>
      <c r="G709" s="2647" t="s">
        <v>2088</v>
      </c>
      <c r="H709" s="2647" t="s">
        <v>2088</v>
      </c>
      <c r="I709" s="2647" t="s">
        <v>2088</v>
      </c>
      <c r="J709" s="2647">
        <v>8.3000000000000004E-2</v>
      </c>
      <c r="K709" s="2648"/>
      <c r="L709" s="2647" t="s">
        <v>2791</v>
      </c>
    </row>
    <row r="710" spans="1:12">
      <c r="A710" s="2646" t="s">
        <v>99</v>
      </c>
      <c r="B710" s="2646" t="s">
        <v>2792</v>
      </c>
      <c r="C710" s="2646">
        <v>127</v>
      </c>
      <c r="D710" s="2646">
        <v>234.95</v>
      </c>
      <c r="E710" s="2646">
        <v>142.875</v>
      </c>
      <c r="F710" s="2646" t="s">
        <v>2088</v>
      </c>
      <c r="G710" s="2646" t="s">
        <v>2088</v>
      </c>
      <c r="H710" s="2646" t="s">
        <v>2088</v>
      </c>
      <c r="I710" s="2646" t="s">
        <v>2088</v>
      </c>
      <c r="J710" s="2646">
        <v>25.4</v>
      </c>
      <c r="L710" s="2646" t="s">
        <v>2793</v>
      </c>
    </row>
    <row r="711" spans="1:12">
      <c r="A711" s="2647" t="s">
        <v>99</v>
      </c>
      <c r="B711" s="2647" t="s">
        <v>2794</v>
      </c>
      <c r="C711" s="2647">
        <v>147.875</v>
      </c>
      <c r="D711" s="2647">
        <v>200.02500000000001</v>
      </c>
      <c r="E711" s="2647">
        <v>43.664999999999999</v>
      </c>
      <c r="F711" s="2647" t="s">
        <v>2088</v>
      </c>
      <c r="G711" s="2647" t="s">
        <v>2088</v>
      </c>
      <c r="H711" s="2647" t="s">
        <v>2088</v>
      </c>
      <c r="I711" s="2647" t="s">
        <v>2088</v>
      </c>
      <c r="J711" s="2647">
        <v>8.82</v>
      </c>
      <c r="K711" s="2648"/>
      <c r="L711" s="2647" t="s">
        <v>2088</v>
      </c>
    </row>
    <row r="712" spans="1:12">
      <c r="A712" s="2646" t="s">
        <v>99</v>
      </c>
      <c r="B712" s="2646" t="s">
        <v>2795</v>
      </c>
      <c r="C712" s="2646">
        <v>304.8</v>
      </c>
      <c r="D712" s="2646">
        <v>438.048</v>
      </c>
      <c r="E712" s="2646">
        <v>161.92500000000001</v>
      </c>
      <c r="F712" s="2646" t="s">
        <v>2088</v>
      </c>
      <c r="G712" s="2646" t="s">
        <v>2088</v>
      </c>
      <c r="H712" s="2646" t="s">
        <v>2088</v>
      </c>
      <c r="I712" s="2646" t="s">
        <v>2088</v>
      </c>
      <c r="J712" s="2646">
        <v>65.400000000000006</v>
      </c>
      <c r="L712" s="2646" t="s">
        <v>2796</v>
      </c>
    </row>
    <row r="713" spans="1:12">
      <c r="A713" s="2647" t="s">
        <v>99</v>
      </c>
      <c r="B713" s="2647" t="s">
        <v>2797</v>
      </c>
      <c r="C713" s="2647">
        <v>33.338000000000001</v>
      </c>
      <c r="D713" s="2647">
        <v>68.262</v>
      </c>
      <c r="E713" s="2647">
        <v>22.225000000000001</v>
      </c>
      <c r="F713" s="2647" t="s">
        <v>2088</v>
      </c>
      <c r="G713" s="2647" t="s">
        <v>2088</v>
      </c>
      <c r="H713" s="2647" t="s">
        <v>2088</v>
      </c>
      <c r="I713" s="2647" t="s">
        <v>2088</v>
      </c>
      <c r="J713" s="2647">
        <v>0.375</v>
      </c>
      <c r="K713" s="2648"/>
      <c r="L713" s="2647" t="s">
        <v>2088</v>
      </c>
    </row>
    <row r="714" spans="1:12">
      <c r="A714" s="2646" t="s">
        <v>99</v>
      </c>
      <c r="B714" s="2646" t="s">
        <v>2798</v>
      </c>
      <c r="C714" s="2646">
        <v>30.163</v>
      </c>
      <c r="D714" s="2646">
        <v>64.292000000000002</v>
      </c>
      <c r="E714" s="2646">
        <v>21.5</v>
      </c>
      <c r="F714" s="2646" t="s">
        <v>2088</v>
      </c>
      <c r="G714" s="2646" t="s">
        <v>2088</v>
      </c>
      <c r="H714" s="2646" t="s">
        <v>2088</v>
      </c>
      <c r="I714" s="2646" t="s">
        <v>2088</v>
      </c>
      <c r="J714" s="2646">
        <v>0.33900000000000002</v>
      </c>
      <c r="L714" s="2646" t="s">
        <v>2088</v>
      </c>
    </row>
    <row r="715" spans="1:12">
      <c r="A715" s="2647" t="s">
        <v>99</v>
      </c>
      <c r="B715" s="2647" t="s">
        <v>2799</v>
      </c>
      <c r="C715" s="2647">
        <v>30.161999999999999</v>
      </c>
      <c r="D715" s="2647">
        <v>64.292000000000002</v>
      </c>
      <c r="E715" s="2647">
        <v>21.433</v>
      </c>
      <c r="F715" s="2647" t="s">
        <v>2088</v>
      </c>
      <c r="G715" s="2647" t="s">
        <v>2088</v>
      </c>
      <c r="H715" s="2647" t="s">
        <v>2088</v>
      </c>
      <c r="I715" s="2647" t="s">
        <v>2088</v>
      </c>
      <c r="J715" s="2647">
        <v>0.34100000000000003</v>
      </c>
      <c r="K715" s="2648"/>
      <c r="L715" s="2647" t="s">
        <v>2088</v>
      </c>
    </row>
    <row r="716" spans="1:12">
      <c r="A716" s="2646" t="s">
        <v>99</v>
      </c>
      <c r="B716" s="2646" t="s">
        <v>2800</v>
      </c>
      <c r="C716" s="2646">
        <v>30.954999999999998</v>
      </c>
      <c r="D716" s="2646">
        <v>64.292000000000002</v>
      </c>
      <c r="E716" s="2646">
        <v>21.433</v>
      </c>
      <c r="F716" s="2646" t="s">
        <v>2088</v>
      </c>
      <c r="G716" s="2646" t="s">
        <v>2088</v>
      </c>
      <c r="H716" s="2646" t="s">
        <v>2088</v>
      </c>
      <c r="I716" s="2646" t="s">
        <v>2088</v>
      </c>
      <c r="J716" s="2646">
        <v>0</v>
      </c>
      <c r="L716" s="2646" t="s">
        <v>2088</v>
      </c>
    </row>
    <row r="717" spans="1:12">
      <c r="A717" s="2647" t="s">
        <v>99</v>
      </c>
      <c r="B717" s="2647" t="s">
        <v>2801</v>
      </c>
      <c r="C717" s="2647">
        <v>28.574999999999999</v>
      </c>
      <c r="D717" s="2647">
        <v>64.292000000000002</v>
      </c>
      <c r="E717" s="2647">
        <v>21.433</v>
      </c>
      <c r="F717" s="2647" t="s">
        <v>2088</v>
      </c>
      <c r="G717" s="2647" t="s">
        <v>2088</v>
      </c>
      <c r="H717" s="2647" t="s">
        <v>2088</v>
      </c>
      <c r="I717" s="2647" t="s">
        <v>2088</v>
      </c>
      <c r="J717" s="2647">
        <v>0</v>
      </c>
      <c r="K717" s="2648"/>
      <c r="L717" s="2647" t="s">
        <v>2088</v>
      </c>
    </row>
    <row r="718" spans="1:12">
      <c r="A718" s="2646" t="s">
        <v>99</v>
      </c>
      <c r="B718" s="2646" t="s">
        <v>2802</v>
      </c>
      <c r="C718" s="2646">
        <v>25.4</v>
      </c>
      <c r="D718" s="2646">
        <v>64.292000000000002</v>
      </c>
      <c r="E718" s="2646">
        <v>21.433</v>
      </c>
      <c r="F718" s="2646" t="s">
        <v>2088</v>
      </c>
      <c r="G718" s="2646" t="s">
        <v>2088</v>
      </c>
      <c r="H718" s="2646" t="s">
        <v>2088</v>
      </c>
      <c r="I718" s="2646" t="s">
        <v>2088</v>
      </c>
      <c r="J718" s="2646">
        <v>0</v>
      </c>
      <c r="L718" s="2646" t="s">
        <v>2088</v>
      </c>
    </row>
    <row r="719" spans="1:12">
      <c r="A719" s="2647" t="s">
        <v>99</v>
      </c>
      <c r="B719" s="2647" t="s">
        <v>2803</v>
      </c>
      <c r="C719" s="2647">
        <v>25.4</v>
      </c>
      <c r="D719" s="2647">
        <v>59.53</v>
      </c>
      <c r="E719" s="2647">
        <v>23.367999999999999</v>
      </c>
      <c r="F719" s="2647" t="s">
        <v>2088</v>
      </c>
      <c r="G719" s="2647" t="s">
        <v>2088</v>
      </c>
      <c r="H719" s="2647" t="s">
        <v>2088</v>
      </c>
      <c r="I719" s="2647" t="s">
        <v>2088</v>
      </c>
      <c r="J719" s="2647">
        <v>0</v>
      </c>
      <c r="K719" s="2648"/>
      <c r="L719" s="2647" t="s">
        <v>2088</v>
      </c>
    </row>
    <row r="720" spans="1:12">
      <c r="A720" s="2646" t="s">
        <v>99</v>
      </c>
      <c r="B720" s="2646" t="s">
        <v>2804</v>
      </c>
      <c r="C720" s="2646">
        <v>41.274999999999999</v>
      </c>
      <c r="D720" s="2646">
        <v>82.55</v>
      </c>
      <c r="E720" s="2646">
        <v>26.452999999999999</v>
      </c>
      <c r="F720" s="2646" t="s">
        <v>2088</v>
      </c>
      <c r="G720" s="2646" t="s">
        <v>2088</v>
      </c>
      <c r="H720" s="2646" t="s">
        <v>2088</v>
      </c>
      <c r="I720" s="2646" t="s">
        <v>2088</v>
      </c>
      <c r="J720" s="2646" t="s">
        <v>2088</v>
      </c>
      <c r="L720" s="2646" t="s">
        <v>2088</v>
      </c>
    </row>
    <row r="721" spans="1:12">
      <c r="A721" s="2647" t="s">
        <v>99</v>
      </c>
      <c r="B721" s="2647" t="s">
        <v>2805</v>
      </c>
      <c r="C721" s="2647">
        <v>257.18</v>
      </c>
      <c r="D721" s="2647">
        <v>342.9</v>
      </c>
      <c r="E721" s="2647">
        <v>57.15</v>
      </c>
      <c r="F721" s="2647" t="s">
        <v>2088</v>
      </c>
      <c r="G721" s="2647" t="s">
        <v>2088</v>
      </c>
      <c r="H721" s="2647" t="s">
        <v>2088</v>
      </c>
      <c r="I721" s="2647" t="s">
        <v>2088</v>
      </c>
      <c r="J721" s="2647">
        <v>14</v>
      </c>
      <c r="K721" s="2648"/>
      <c r="L721" s="2647" t="s">
        <v>2088</v>
      </c>
    </row>
    <row r="722" spans="1:12">
      <c r="A722" s="2646" t="s">
        <v>99</v>
      </c>
      <c r="B722" s="2646" t="s">
        <v>2806</v>
      </c>
      <c r="C722" s="2646">
        <v>247.65</v>
      </c>
      <c r="D722" s="2646">
        <v>346.07499999999999</v>
      </c>
      <c r="E722" s="2646">
        <v>63.5</v>
      </c>
      <c r="F722" s="2646" t="s">
        <v>2088</v>
      </c>
      <c r="G722" s="2646" t="s">
        <v>2088</v>
      </c>
      <c r="H722" s="2646" t="s">
        <v>2088</v>
      </c>
      <c r="I722" s="2646" t="s">
        <v>2088</v>
      </c>
      <c r="J722" s="2646">
        <v>0</v>
      </c>
      <c r="L722" s="2646" t="s">
        <v>2088</v>
      </c>
    </row>
    <row r="723" spans="1:12">
      <c r="A723" s="2647" t="s">
        <v>99</v>
      </c>
      <c r="B723" s="2647" t="s">
        <v>2807</v>
      </c>
      <c r="C723" s="2647">
        <v>595.31200000000001</v>
      </c>
      <c r="D723" s="2647">
        <v>844.55</v>
      </c>
      <c r="E723" s="2647">
        <v>296.86200000000002</v>
      </c>
      <c r="F723" s="2647" t="s">
        <v>2088</v>
      </c>
      <c r="G723" s="2647" t="s">
        <v>2088</v>
      </c>
      <c r="H723" s="2647" t="s">
        <v>2088</v>
      </c>
      <c r="I723" s="2647" t="s">
        <v>2088</v>
      </c>
      <c r="J723" s="2647">
        <v>523</v>
      </c>
      <c r="K723" s="2648"/>
      <c r="L723" s="2647" t="s">
        <v>2808</v>
      </c>
    </row>
    <row r="724" spans="1:12">
      <c r="A724" s="2646" t="s">
        <v>99</v>
      </c>
      <c r="B724" s="2646" t="s">
        <v>2809</v>
      </c>
      <c r="C724" s="2646">
        <v>571.5</v>
      </c>
      <c r="D724" s="2646">
        <v>812.8</v>
      </c>
      <c r="E724" s="2646">
        <v>285.25</v>
      </c>
      <c r="F724" s="2646" t="s">
        <v>2088</v>
      </c>
      <c r="G724" s="2646" t="s">
        <v>2088</v>
      </c>
      <c r="H724" s="2646" t="s">
        <v>2088</v>
      </c>
      <c r="I724" s="2646" t="s">
        <v>2088</v>
      </c>
      <c r="J724" s="2646">
        <v>491</v>
      </c>
      <c r="L724" s="2646" t="s">
        <v>2810</v>
      </c>
    </row>
    <row r="725" spans="1:12">
      <c r="A725" s="2647" t="s">
        <v>99</v>
      </c>
      <c r="B725" s="2647" t="s">
        <v>2811</v>
      </c>
      <c r="C725" s="2647">
        <v>447.67500000000001</v>
      </c>
      <c r="D725" s="2647">
        <v>635</v>
      </c>
      <c r="E725" s="2647">
        <v>120.65</v>
      </c>
      <c r="F725" s="2647" t="s">
        <v>2088</v>
      </c>
      <c r="G725" s="2647" t="s">
        <v>2088</v>
      </c>
      <c r="H725" s="2647" t="s">
        <v>2088</v>
      </c>
      <c r="I725" s="2647" t="s">
        <v>2088</v>
      </c>
      <c r="J725" s="2647">
        <v>0</v>
      </c>
      <c r="K725" s="2648"/>
      <c r="L725" s="2647" t="s">
        <v>2088</v>
      </c>
    </row>
    <row r="726" spans="1:12">
      <c r="A726" s="2646" t="s">
        <v>99</v>
      </c>
      <c r="B726" s="2646" t="s">
        <v>2812</v>
      </c>
      <c r="C726" s="2646">
        <v>415.92500000000001</v>
      </c>
      <c r="D726" s="2646">
        <v>590.54999999999995</v>
      </c>
      <c r="E726" s="2646">
        <v>114.3</v>
      </c>
      <c r="F726" s="2646" t="s">
        <v>2088</v>
      </c>
      <c r="G726" s="2646" t="s">
        <v>2088</v>
      </c>
      <c r="H726" s="2646" t="s">
        <v>2088</v>
      </c>
      <c r="I726" s="2646" t="s">
        <v>2088</v>
      </c>
      <c r="J726" s="2646">
        <v>0</v>
      </c>
      <c r="L726" s="2646" t="s">
        <v>2088</v>
      </c>
    </row>
    <row r="727" spans="1:12">
      <c r="A727" s="2647" t="s">
        <v>99</v>
      </c>
      <c r="B727" s="2647" t="s">
        <v>2813</v>
      </c>
      <c r="C727" s="2647">
        <v>288.92500000000001</v>
      </c>
      <c r="D727" s="2647">
        <v>406.4</v>
      </c>
      <c r="E727" s="2647">
        <v>77.188000000000002</v>
      </c>
      <c r="F727" s="2647" t="s">
        <v>2088</v>
      </c>
      <c r="G727" s="2647" t="s">
        <v>2088</v>
      </c>
      <c r="H727" s="2647" t="s">
        <v>2088</v>
      </c>
      <c r="I727" s="2647" t="s">
        <v>2088</v>
      </c>
      <c r="J727" s="2647">
        <v>30.1</v>
      </c>
      <c r="K727" s="2648"/>
      <c r="L727" s="2647" t="s">
        <v>2088</v>
      </c>
    </row>
    <row r="728" spans="1:12">
      <c r="A728" s="2646" t="s">
        <v>99</v>
      </c>
      <c r="B728" s="2646" t="s">
        <v>2814</v>
      </c>
      <c r="C728" s="2646">
        <v>269.875</v>
      </c>
      <c r="D728" s="2646">
        <v>381</v>
      </c>
      <c r="E728" s="2646">
        <v>282.57499999999999</v>
      </c>
      <c r="F728" s="2646" t="s">
        <v>2088</v>
      </c>
      <c r="G728" s="2646" t="s">
        <v>2088</v>
      </c>
      <c r="H728" s="2646" t="s">
        <v>2088</v>
      </c>
      <c r="I728" s="2646" t="s">
        <v>2088</v>
      </c>
      <c r="J728" s="2646">
        <v>101</v>
      </c>
      <c r="L728" s="2646" t="s">
        <v>2088</v>
      </c>
    </row>
    <row r="729" spans="1:12">
      <c r="A729" s="2647" t="s">
        <v>99</v>
      </c>
      <c r="B729" s="2647" t="s">
        <v>2815</v>
      </c>
      <c r="C729" s="2647">
        <v>269.875</v>
      </c>
      <c r="D729" s="2647">
        <v>381</v>
      </c>
      <c r="E729" s="2647">
        <v>136.52500000000001</v>
      </c>
      <c r="F729" s="2647" t="s">
        <v>2088</v>
      </c>
      <c r="G729" s="2647" t="s">
        <v>2088</v>
      </c>
      <c r="H729" s="2647" t="s">
        <v>2088</v>
      </c>
      <c r="I729" s="2647" t="s">
        <v>2088</v>
      </c>
      <c r="J729" s="2647">
        <v>51.5</v>
      </c>
      <c r="K729" s="2648"/>
      <c r="L729" s="2647" t="s">
        <v>2088</v>
      </c>
    </row>
    <row r="730" spans="1:12">
      <c r="A730" s="2646" t="s">
        <v>99</v>
      </c>
      <c r="B730" s="2646" t="s">
        <v>2816</v>
      </c>
      <c r="C730" s="2646">
        <v>269.875</v>
      </c>
      <c r="D730" s="2646">
        <v>381</v>
      </c>
      <c r="E730" s="2646">
        <v>74.611999999999995</v>
      </c>
      <c r="F730" s="2646" t="s">
        <v>2088</v>
      </c>
      <c r="G730" s="2646" t="s">
        <v>2088</v>
      </c>
      <c r="H730" s="2646" t="s">
        <v>2088</v>
      </c>
      <c r="I730" s="2646" t="s">
        <v>2088</v>
      </c>
      <c r="J730" s="2646">
        <v>0</v>
      </c>
      <c r="L730" s="2646" t="s">
        <v>2088</v>
      </c>
    </row>
    <row r="731" spans="1:12">
      <c r="A731" s="2647" t="s">
        <v>99</v>
      </c>
      <c r="B731" s="2647" t="s">
        <v>2817</v>
      </c>
      <c r="C731" s="2647">
        <v>254</v>
      </c>
      <c r="D731" s="2647">
        <v>358.77499999999998</v>
      </c>
      <c r="E731" s="2647">
        <v>71.438000000000002</v>
      </c>
      <c r="F731" s="2647" t="s">
        <v>2088</v>
      </c>
      <c r="G731" s="2647" t="s">
        <v>2088</v>
      </c>
      <c r="H731" s="2647" t="s">
        <v>2088</v>
      </c>
      <c r="I731" s="2647" t="s">
        <v>2088</v>
      </c>
      <c r="J731" s="2647">
        <v>0</v>
      </c>
      <c r="K731" s="2648"/>
      <c r="L731" s="2647" t="s">
        <v>2088</v>
      </c>
    </row>
    <row r="732" spans="1:12">
      <c r="A732" s="2646" t="s">
        <v>99</v>
      </c>
      <c r="B732" s="2646" t="s">
        <v>2818</v>
      </c>
      <c r="C732" s="2646">
        <v>220.66200000000001</v>
      </c>
      <c r="D732" s="2646">
        <v>314.32499999999999</v>
      </c>
      <c r="E732" s="2646">
        <v>61.911999999999999</v>
      </c>
      <c r="F732" s="2646" t="s">
        <v>2088</v>
      </c>
      <c r="G732" s="2646" t="s">
        <v>2088</v>
      </c>
      <c r="H732" s="2646" t="s">
        <v>2088</v>
      </c>
      <c r="I732" s="2646" t="s">
        <v>2088</v>
      </c>
      <c r="J732" s="2646">
        <v>0</v>
      </c>
      <c r="L732" s="2646" t="s">
        <v>2088</v>
      </c>
    </row>
    <row r="733" spans="1:12">
      <c r="A733" s="2647" t="s">
        <v>99</v>
      </c>
      <c r="B733" s="2647" t="s">
        <v>2819</v>
      </c>
      <c r="C733" s="2647">
        <v>203.2</v>
      </c>
      <c r="D733" s="2647">
        <v>292.10000000000002</v>
      </c>
      <c r="E733" s="2647">
        <v>57.945</v>
      </c>
      <c r="F733" s="2647" t="s">
        <v>2088</v>
      </c>
      <c r="G733" s="2647" t="s">
        <v>2088</v>
      </c>
      <c r="H733" s="2647" t="s">
        <v>2088</v>
      </c>
      <c r="I733" s="2647" t="s">
        <v>2088</v>
      </c>
      <c r="J733" s="2647">
        <v>0</v>
      </c>
      <c r="K733" s="2648"/>
      <c r="L733" s="2647" t="s">
        <v>2088</v>
      </c>
    </row>
    <row r="734" spans="1:12">
      <c r="A734" s="2646" t="s">
        <v>99</v>
      </c>
      <c r="B734" s="2646" t="s">
        <v>2820</v>
      </c>
      <c r="C734" s="2646">
        <v>177.8</v>
      </c>
      <c r="D734" s="2646">
        <v>269.875</v>
      </c>
      <c r="E734" s="2646">
        <v>119.062</v>
      </c>
      <c r="F734" s="2646" t="s">
        <v>2088</v>
      </c>
      <c r="G734" s="2646" t="s">
        <v>2088</v>
      </c>
      <c r="H734" s="2646" t="s">
        <v>2088</v>
      </c>
      <c r="I734" s="2646" t="s">
        <v>2088</v>
      </c>
      <c r="J734" s="2646">
        <v>22</v>
      </c>
      <c r="L734" s="2646" t="s">
        <v>2088</v>
      </c>
    </row>
    <row r="735" spans="1:12">
      <c r="A735" s="2647" t="s">
        <v>99</v>
      </c>
      <c r="B735" s="2647" t="s">
        <v>2821</v>
      </c>
      <c r="C735" s="2647">
        <v>177.8</v>
      </c>
      <c r="D735" s="2647">
        <v>260.35000000000002</v>
      </c>
      <c r="E735" s="2647">
        <v>53.975000000000001</v>
      </c>
      <c r="F735" s="2647" t="s">
        <v>2088</v>
      </c>
      <c r="G735" s="2647" t="s">
        <v>2088</v>
      </c>
      <c r="H735" s="2647" t="s">
        <v>2088</v>
      </c>
      <c r="I735" s="2647" t="s">
        <v>2088</v>
      </c>
      <c r="J735" s="2647">
        <v>9.08</v>
      </c>
      <c r="K735" s="2648"/>
      <c r="L735" s="2647" t="s">
        <v>2088</v>
      </c>
    </row>
    <row r="736" spans="1:12">
      <c r="A736" s="2646" t="s">
        <v>99</v>
      </c>
      <c r="B736" s="2646" t="s">
        <v>2822</v>
      </c>
      <c r="C736" s="2646">
        <v>177.8</v>
      </c>
      <c r="D736" s="2646">
        <v>260.35000000000002</v>
      </c>
      <c r="E736" s="2646">
        <v>53.975000000000001</v>
      </c>
      <c r="F736" s="2646" t="s">
        <v>2088</v>
      </c>
      <c r="G736" s="2646" t="s">
        <v>2088</v>
      </c>
      <c r="H736" s="2646" t="s">
        <v>2088</v>
      </c>
      <c r="I736" s="2646" t="s">
        <v>2088</v>
      </c>
      <c r="J736" s="2646">
        <v>0</v>
      </c>
      <c r="L736" s="2646" t="s">
        <v>2088</v>
      </c>
    </row>
    <row r="737" spans="1:12">
      <c r="A737" s="2647" t="s">
        <v>99</v>
      </c>
      <c r="B737" s="2647" t="s">
        <v>2823</v>
      </c>
      <c r="C737" s="2647">
        <v>120.65</v>
      </c>
      <c r="D737" s="2647">
        <v>174.625</v>
      </c>
      <c r="E737" s="2647">
        <v>35.72</v>
      </c>
      <c r="F737" s="2647" t="s">
        <v>2088</v>
      </c>
      <c r="G737" s="2647" t="s">
        <v>2088</v>
      </c>
      <c r="H737" s="2647" t="s">
        <v>2088</v>
      </c>
      <c r="I737" s="2647" t="s">
        <v>2088</v>
      </c>
      <c r="J737" s="2647">
        <v>0</v>
      </c>
      <c r="K737" s="2648"/>
      <c r="L737" s="2647" t="s">
        <v>2088</v>
      </c>
    </row>
    <row r="738" spans="1:12">
      <c r="A738" s="2646" t="s">
        <v>99</v>
      </c>
      <c r="B738" s="2646" t="s">
        <v>2824</v>
      </c>
      <c r="C738" s="2646">
        <v>39.688000000000002</v>
      </c>
      <c r="D738" s="2646">
        <v>73.025000000000006</v>
      </c>
      <c r="E738" s="2646">
        <v>25.654</v>
      </c>
      <c r="F738" s="2646" t="s">
        <v>2088</v>
      </c>
      <c r="G738" s="2646" t="s">
        <v>2088</v>
      </c>
      <c r="H738" s="2646" t="s">
        <v>2088</v>
      </c>
      <c r="I738" s="2646" t="s">
        <v>2088</v>
      </c>
      <c r="J738" s="2646">
        <v>0</v>
      </c>
      <c r="L738" s="2646" t="s">
        <v>2088</v>
      </c>
    </row>
    <row r="739" spans="1:12">
      <c r="A739" s="2647" t="s">
        <v>99</v>
      </c>
      <c r="B739" s="2647" t="s">
        <v>2825</v>
      </c>
      <c r="C739" s="2647">
        <v>39.688000000000002</v>
      </c>
      <c r="D739" s="2647">
        <v>73.025000000000006</v>
      </c>
      <c r="E739" s="2647">
        <v>25.654</v>
      </c>
      <c r="F739" s="2647" t="s">
        <v>2088</v>
      </c>
      <c r="G739" s="2647" t="s">
        <v>2088</v>
      </c>
      <c r="H739" s="2647" t="s">
        <v>2088</v>
      </c>
      <c r="I739" s="2647" t="s">
        <v>2088</v>
      </c>
      <c r="J739" s="2647">
        <v>0.44400000000000001</v>
      </c>
      <c r="K739" s="2648"/>
      <c r="L739" s="2647" t="s">
        <v>2088</v>
      </c>
    </row>
    <row r="740" spans="1:12">
      <c r="A740" s="2646" t="s">
        <v>99</v>
      </c>
      <c r="B740" s="2646" t="s">
        <v>2826</v>
      </c>
      <c r="C740" s="2646">
        <v>21.43</v>
      </c>
      <c r="D740" s="2646">
        <v>50.005000000000003</v>
      </c>
      <c r="E740" s="2646">
        <v>17.526</v>
      </c>
      <c r="F740" s="2646" t="s">
        <v>2088</v>
      </c>
      <c r="G740" s="2646" t="s">
        <v>2088</v>
      </c>
      <c r="H740" s="2646" t="s">
        <v>2088</v>
      </c>
      <c r="I740" s="2646" t="s">
        <v>2088</v>
      </c>
      <c r="J740" s="2646">
        <v>0</v>
      </c>
      <c r="L740" s="2646" t="s">
        <v>2088</v>
      </c>
    </row>
    <row r="741" spans="1:12">
      <c r="A741" s="2647" t="s">
        <v>99</v>
      </c>
      <c r="B741" s="2647" t="s">
        <v>2827</v>
      </c>
      <c r="C741" s="2647">
        <v>22.225000000000001</v>
      </c>
      <c r="D741" s="2647">
        <v>50.005000000000003</v>
      </c>
      <c r="E741" s="2647">
        <v>17.526</v>
      </c>
      <c r="F741" s="2647" t="s">
        <v>2088</v>
      </c>
      <c r="G741" s="2647" t="s">
        <v>2088</v>
      </c>
      <c r="H741" s="2647" t="s">
        <v>2088</v>
      </c>
      <c r="I741" s="2647" t="s">
        <v>2088</v>
      </c>
      <c r="J741" s="2647">
        <v>0</v>
      </c>
      <c r="K741" s="2648"/>
      <c r="L741" s="2647" t="s">
        <v>2088</v>
      </c>
    </row>
    <row r="742" spans="1:12">
      <c r="A742" s="2646" t="s">
        <v>99</v>
      </c>
      <c r="B742" s="2646" t="s">
        <v>2828</v>
      </c>
      <c r="C742" s="2646">
        <v>50</v>
      </c>
      <c r="D742" s="2646">
        <v>90</v>
      </c>
      <c r="E742" s="2646">
        <v>35</v>
      </c>
      <c r="F742" s="2646" t="s">
        <v>2088</v>
      </c>
      <c r="G742" s="2646" t="s">
        <v>2088</v>
      </c>
      <c r="H742" s="2646" t="s">
        <v>2088</v>
      </c>
      <c r="I742" s="2646" t="s">
        <v>2088</v>
      </c>
      <c r="J742" s="2646">
        <v>0.82099999999999995</v>
      </c>
      <c r="L742" s="2646" t="s">
        <v>2829</v>
      </c>
    </row>
    <row r="743" spans="1:12">
      <c r="A743" s="2647" t="s">
        <v>99</v>
      </c>
      <c r="B743" s="2647" t="s">
        <v>2830</v>
      </c>
      <c r="C743" s="2647">
        <v>50</v>
      </c>
      <c r="D743" s="2647">
        <v>100</v>
      </c>
      <c r="E743" s="2647">
        <v>57</v>
      </c>
      <c r="F743" s="2647" t="s">
        <v>2088</v>
      </c>
      <c r="G743" s="2647" t="s">
        <v>2088</v>
      </c>
      <c r="H743" s="2647" t="s">
        <v>2088</v>
      </c>
      <c r="I743" s="2647" t="s">
        <v>2088</v>
      </c>
      <c r="J743" s="2647">
        <v>1.76</v>
      </c>
      <c r="K743" s="2648"/>
      <c r="L743" s="2647" t="s">
        <v>2831</v>
      </c>
    </row>
    <row r="744" spans="1:12">
      <c r="A744" s="2646" t="s">
        <v>99</v>
      </c>
      <c r="B744" s="2646" t="s">
        <v>2832</v>
      </c>
      <c r="C744" s="2646">
        <v>60</v>
      </c>
      <c r="D744" s="2646">
        <v>110</v>
      </c>
      <c r="E744" s="2646">
        <v>34.1</v>
      </c>
      <c r="F744" s="2646" t="s">
        <v>2088</v>
      </c>
      <c r="G744" s="2646" t="s">
        <v>2088</v>
      </c>
      <c r="H744" s="2646" t="s">
        <v>2088</v>
      </c>
      <c r="I744" s="2646" t="s">
        <v>2088</v>
      </c>
      <c r="J744" s="2646">
        <v>1.25</v>
      </c>
      <c r="L744" s="2646" t="s">
        <v>2833</v>
      </c>
    </row>
    <row r="745" spans="1:12">
      <c r="A745" s="2647" t="s">
        <v>99</v>
      </c>
      <c r="B745" s="2647" t="s">
        <v>2834</v>
      </c>
      <c r="C745" s="2647">
        <v>56.62</v>
      </c>
      <c r="D745" s="2647">
        <v>88</v>
      </c>
      <c r="E745" s="2647">
        <v>21</v>
      </c>
      <c r="F745" s="2647" t="s">
        <v>2088</v>
      </c>
      <c r="G745" s="2647" t="s">
        <v>2088</v>
      </c>
      <c r="H745" s="2647" t="s">
        <v>2088</v>
      </c>
      <c r="I745" s="2647" t="s">
        <v>2088</v>
      </c>
      <c r="J745" s="2647">
        <v>0</v>
      </c>
      <c r="K745" s="2648"/>
      <c r="L745" s="2647">
        <v>977910</v>
      </c>
    </row>
    <row r="746" spans="1:12">
      <c r="A746" s="2646" t="s">
        <v>99</v>
      </c>
      <c r="B746" s="2646" t="s">
        <v>2835</v>
      </c>
      <c r="C746" s="2646">
        <v>35</v>
      </c>
      <c r="D746" s="2646">
        <v>62</v>
      </c>
      <c r="E746" s="2646">
        <v>16.649999999999999</v>
      </c>
      <c r="F746" s="2646" t="s">
        <v>2088</v>
      </c>
      <c r="G746" s="2646" t="s">
        <v>2088</v>
      </c>
      <c r="H746" s="2646" t="s">
        <v>2088</v>
      </c>
      <c r="I746" s="2646" t="s">
        <v>2088</v>
      </c>
      <c r="J746" s="2646">
        <v>0.20799999999999999</v>
      </c>
      <c r="L746" s="2646" t="s">
        <v>2088</v>
      </c>
    </row>
    <row r="747" spans="1:12">
      <c r="A747" s="2647" t="s">
        <v>99</v>
      </c>
      <c r="B747" s="2647" t="s">
        <v>2836</v>
      </c>
      <c r="C747" s="2647">
        <v>34.988</v>
      </c>
      <c r="D747" s="2647">
        <v>61.972999999999999</v>
      </c>
      <c r="E747" s="2647">
        <v>17</v>
      </c>
      <c r="F747" s="2647" t="s">
        <v>2088</v>
      </c>
      <c r="G747" s="2647" t="s">
        <v>2088</v>
      </c>
      <c r="H747" s="2647" t="s">
        <v>2088</v>
      </c>
      <c r="I747" s="2647" t="s">
        <v>2088</v>
      </c>
      <c r="J747" s="2647">
        <v>0.20899999999999999</v>
      </c>
      <c r="K747" s="2648"/>
      <c r="L747" s="2647" t="s">
        <v>2088</v>
      </c>
    </row>
    <row r="748" spans="1:12">
      <c r="A748" s="2646" t="s">
        <v>99</v>
      </c>
      <c r="B748" s="2646" t="s">
        <v>2837</v>
      </c>
      <c r="C748" s="2646">
        <v>488.95</v>
      </c>
      <c r="D748" s="2646">
        <v>634.87300000000005</v>
      </c>
      <c r="E748" s="2646">
        <v>84.138000000000005</v>
      </c>
      <c r="F748" s="2646" t="s">
        <v>2088</v>
      </c>
      <c r="G748" s="2646" t="s">
        <v>2088</v>
      </c>
      <c r="H748" s="2646" t="s">
        <v>2088</v>
      </c>
      <c r="I748" s="2646" t="s">
        <v>2088</v>
      </c>
      <c r="J748" s="2646">
        <v>0</v>
      </c>
      <c r="L748" s="2646" t="s">
        <v>2088</v>
      </c>
    </row>
    <row r="749" spans="1:12">
      <c r="A749" s="2647" t="s">
        <v>99</v>
      </c>
      <c r="B749" s="2647" t="s">
        <v>2838</v>
      </c>
      <c r="C749" s="2647">
        <v>304.8</v>
      </c>
      <c r="D749" s="2647">
        <v>406.4</v>
      </c>
      <c r="E749" s="2647">
        <v>63.5</v>
      </c>
      <c r="F749" s="2647" t="s">
        <v>2088</v>
      </c>
      <c r="G749" s="2647" t="s">
        <v>2088</v>
      </c>
      <c r="H749" s="2647" t="s">
        <v>2088</v>
      </c>
      <c r="I749" s="2647" t="s">
        <v>2088</v>
      </c>
      <c r="J749" s="2647">
        <v>21.2</v>
      </c>
      <c r="K749" s="2648"/>
      <c r="L749" s="2647" t="s">
        <v>2088</v>
      </c>
    </row>
    <row r="750" spans="1:12">
      <c r="A750" s="2646" t="s">
        <v>99</v>
      </c>
      <c r="B750" s="2646" t="s">
        <v>2839</v>
      </c>
      <c r="C750" s="2646">
        <v>215.9</v>
      </c>
      <c r="D750" s="2646">
        <v>288.92500000000001</v>
      </c>
      <c r="E750" s="2646">
        <v>46.037999999999997</v>
      </c>
      <c r="F750" s="2646" t="s">
        <v>2088</v>
      </c>
      <c r="G750" s="2646" t="s">
        <v>2088</v>
      </c>
      <c r="H750" s="2646" t="s">
        <v>2088</v>
      </c>
      <c r="I750" s="2646" t="s">
        <v>2088</v>
      </c>
      <c r="J750" s="2646">
        <v>0</v>
      </c>
      <c r="L750" s="2646" t="s">
        <v>2088</v>
      </c>
    </row>
    <row r="751" spans="1:12">
      <c r="A751" s="2647" t="s">
        <v>99</v>
      </c>
      <c r="B751" s="2647" t="s">
        <v>2840</v>
      </c>
      <c r="C751" s="2647">
        <v>212.72499999999999</v>
      </c>
      <c r="D751" s="2647">
        <v>285.75</v>
      </c>
      <c r="E751" s="2647">
        <v>46.037999999999997</v>
      </c>
      <c r="F751" s="2647" t="s">
        <v>2088</v>
      </c>
      <c r="G751" s="2647" t="s">
        <v>2088</v>
      </c>
      <c r="H751" s="2647" t="s">
        <v>2088</v>
      </c>
      <c r="I751" s="2647" t="s">
        <v>2088</v>
      </c>
      <c r="J751" s="2647">
        <v>0</v>
      </c>
      <c r="K751" s="2648"/>
      <c r="L751" s="2647" t="s">
        <v>2088</v>
      </c>
    </row>
    <row r="752" spans="1:12">
      <c r="A752" s="2646" t="s">
        <v>99</v>
      </c>
      <c r="B752" s="2646" t="s">
        <v>2841</v>
      </c>
      <c r="C752" s="2646">
        <v>196.85</v>
      </c>
      <c r="D752" s="2646">
        <v>257.17500000000001</v>
      </c>
      <c r="E752" s="2646">
        <v>39.688000000000002</v>
      </c>
      <c r="F752" s="2646" t="s">
        <v>2088</v>
      </c>
      <c r="G752" s="2646" t="s">
        <v>2088</v>
      </c>
      <c r="H752" s="2646" t="s">
        <v>2088</v>
      </c>
      <c r="I752" s="2646" t="s">
        <v>2088</v>
      </c>
      <c r="J752" s="2646">
        <v>0</v>
      </c>
      <c r="L752" s="2646" t="s">
        <v>2088</v>
      </c>
    </row>
    <row r="753" spans="1:12">
      <c r="A753" s="2647" t="s">
        <v>99</v>
      </c>
      <c r="B753" s="2647" t="s">
        <v>2842</v>
      </c>
      <c r="C753" s="2647">
        <v>35.000999999999998</v>
      </c>
      <c r="D753" s="2647">
        <v>59.131</v>
      </c>
      <c r="E753" s="2647">
        <v>16.763999999999999</v>
      </c>
      <c r="F753" s="2647" t="s">
        <v>2088</v>
      </c>
      <c r="G753" s="2647" t="s">
        <v>2088</v>
      </c>
      <c r="H753" s="2647" t="s">
        <v>2088</v>
      </c>
      <c r="I753" s="2647" t="s">
        <v>2088</v>
      </c>
      <c r="J753" s="2647">
        <v>0.17899999999999999</v>
      </c>
      <c r="K753" s="2648"/>
      <c r="L753" s="2647" t="s">
        <v>2088</v>
      </c>
    </row>
    <row r="754" spans="1:12">
      <c r="A754" s="2646" t="s">
        <v>99</v>
      </c>
      <c r="B754" s="2646" t="s">
        <v>2843</v>
      </c>
      <c r="C754" s="2646">
        <v>35.000999999999998</v>
      </c>
      <c r="D754" s="2646">
        <v>59.131</v>
      </c>
      <c r="E754" s="2646">
        <v>16.763999999999999</v>
      </c>
      <c r="F754" s="2646" t="s">
        <v>2088</v>
      </c>
      <c r="G754" s="2646" t="s">
        <v>2088</v>
      </c>
      <c r="H754" s="2646" t="s">
        <v>2088</v>
      </c>
      <c r="I754" s="2646" t="s">
        <v>2088</v>
      </c>
      <c r="J754" s="2646">
        <v>0.17899999999999999</v>
      </c>
      <c r="L754" s="2646" t="s">
        <v>2088</v>
      </c>
    </row>
    <row r="755" spans="1:12">
      <c r="A755" s="2647" t="s">
        <v>99</v>
      </c>
      <c r="B755" s="2647" t="s">
        <v>2844</v>
      </c>
      <c r="C755" s="2647">
        <v>31.75</v>
      </c>
      <c r="D755" s="2647">
        <v>59.131</v>
      </c>
      <c r="E755" s="2647">
        <v>16.763999999999999</v>
      </c>
      <c r="F755" s="2647" t="s">
        <v>2088</v>
      </c>
      <c r="G755" s="2647" t="s">
        <v>2088</v>
      </c>
      <c r="H755" s="2647" t="s">
        <v>2088</v>
      </c>
      <c r="I755" s="2647" t="s">
        <v>2088</v>
      </c>
      <c r="J755" s="2647">
        <v>0.183</v>
      </c>
      <c r="K755" s="2648"/>
      <c r="L755" s="2647" t="s">
        <v>2088</v>
      </c>
    </row>
    <row r="756" spans="1:12">
      <c r="A756" s="2646" t="s">
        <v>99</v>
      </c>
      <c r="B756" s="2646" t="s">
        <v>2845</v>
      </c>
      <c r="C756" s="2646">
        <v>31.75</v>
      </c>
      <c r="D756" s="2646">
        <v>59.13</v>
      </c>
      <c r="E756" s="2646">
        <v>15.88</v>
      </c>
      <c r="F756" s="2646" t="s">
        <v>2088</v>
      </c>
      <c r="G756" s="2646" t="s">
        <v>2088</v>
      </c>
      <c r="H756" s="2646" t="s">
        <v>2088</v>
      </c>
      <c r="I756" s="2646" t="s">
        <v>2088</v>
      </c>
      <c r="J756" s="2646">
        <v>0.18</v>
      </c>
      <c r="L756" s="2646" t="s">
        <v>2088</v>
      </c>
    </row>
    <row r="757" spans="1:12">
      <c r="A757" s="2647" t="s">
        <v>99</v>
      </c>
      <c r="B757" s="2647" t="s">
        <v>2846</v>
      </c>
      <c r="C757" s="2647">
        <v>285.75</v>
      </c>
      <c r="D757" s="2647">
        <v>380.89800000000002</v>
      </c>
      <c r="E757" s="2647">
        <v>65.087999999999994</v>
      </c>
      <c r="F757" s="2647" t="s">
        <v>2088</v>
      </c>
      <c r="G757" s="2647" t="s">
        <v>2088</v>
      </c>
      <c r="H757" s="2647" t="s">
        <v>2088</v>
      </c>
      <c r="I757" s="2647" t="s">
        <v>2088</v>
      </c>
      <c r="J757" s="2647">
        <v>0</v>
      </c>
      <c r="K757" s="2648"/>
      <c r="L757" s="2647" t="s">
        <v>2088</v>
      </c>
    </row>
    <row r="758" spans="1:12">
      <c r="A758" s="2646" t="s">
        <v>99</v>
      </c>
      <c r="B758" s="2646" t="s">
        <v>2847</v>
      </c>
      <c r="C758" s="2646">
        <v>31.75</v>
      </c>
      <c r="D758" s="2646">
        <v>59.131</v>
      </c>
      <c r="E758" s="2646">
        <v>15.875</v>
      </c>
      <c r="F758" s="2646" t="s">
        <v>2088</v>
      </c>
      <c r="G758" s="2646" t="s">
        <v>2088</v>
      </c>
      <c r="H758" s="2646" t="s">
        <v>2088</v>
      </c>
      <c r="I758" s="2646" t="s">
        <v>2088</v>
      </c>
      <c r="J758" s="2646">
        <v>0.182</v>
      </c>
      <c r="L758" s="2646" t="s">
        <v>2088</v>
      </c>
    </row>
    <row r="759" spans="1:12">
      <c r="A759" s="2647" t="s">
        <v>99</v>
      </c>
      <c r="B759" s="2647" t="s">
        <v>2848</v>
      </c>
      <c r="C759" s="2647">
        <v>31.75</v>
      </c>
      <c r="D759" s="2647">
        <v>59.131</v>
      </c>
      <c r="E759" s="2647">
        <v>15.875</v>
      </c>
      <c r="F759" s="2647" t="s">
        <v>2088</v>
      </c>
      <c r="G759" s="2647" t="s">
        <v>2088</v>
      </c>
      <c r="H759" s="2647" t="s">
        <v>2088</v>
      </c>
      <c r="I759" s="2647" t="s">
        <v>2088</v>
      </c>
      <c r="J759" s="2647">
        <v>0.17899999999999999</v>
      </c>
      <c r="K759" s="2648"/>
      <c r="L759" s="2647" t="s">
        <v>2088</v>
      </c>
    </row>
    <row r="760" spans="1:12">
      <c r="A760" s="2646" t="s">
        <v>99</v>
      </c>
      <c r="B760" s="2646" t="s">
        <v>2849</v>
      </c>
      <c r="C760" s="2646">
        <v>31.75</v>
      </c>
      <c r="D760" s="2646">
        <v>59.131</v>
      </c>
      <c r="E760" s="2646">
        <v>15.875</v>
      </c>
      <c r="F760" s="2646" t="s">
        <v>2088</v>
      </c>
      <c r="G760" s="2646" t="s">
        <v>2088</v>
      </c>
      <c r="H760" s="2646" t="s">
        <v>2088</v>
      </c>
      <c r="I760" s="2646" t="s">
        <v>2088</v>
      </c>
      <c r="J760" s="2646">
        <v>0.187</v>
      </c>
      <c r="L760" s="2646" t="s">
        <v>2088</v>
      </c>
    </row>
    <row r="761" spans="1:12">
      <c r="A761" s="2647" t="s">
        <v>99</v>
      </c>
      <c r="B761" s="2647" t="s">
        <v>2850</v>
      </c>
      <c r="C761" s="2647">
        <v>45.241999999999997</v>
      </c>
      <c r="D761" s="2647">
        <v>79.974000000000004</v>
      </c>
      <c r="E761" s="2647">
        <v>19.841999999999999</v>
      </c>
      <c r="F761" s="2647" t="s">
        <v>2088</v>
      </c>
      <c r="G761" s="2647" t="s">
        <v>2088</v>
      </c>
      <c r="H761" s="2647" t="s">
        <v>2088</v>
      </c>
      <c r="I761" s="2647" t="s">
        <v>2088</v>
      </c>
      <c r="J761" s="2647">
        <v>0</v>
      </c>
      <c r="K761" s="2648"/>
      <c r="L761" s="2647" t="s">
        <v>2088</v>
      </c>
    </row>
    <row r="762" spans="1:12">
      <c r="A762" s="2646" t="s">
        <v>99</v>
      </c>
      <c r="B762" s="2646" t="s">
        <v>2851</v>
      </c>
      <c r="C762" s="2646">
        <v>45.2</v>
      </c>
      <c r="D762" s="2646">
        <v>77.790000000000006</v>
      </c>
      <c r="E762" s="2646">
        <v>19.8</v>
      </c>
      <c r="F762" s="2646" t="s">
        <v>2088</v>
      </c>
      <c r="G762" s="2646" t="s">
        <v>2088</v>
      </c>
      <c r="H762" s="2646" t="s">
        <v>2088</v>
      </c>
      <c r="I762" s="2646" t="s">
        <v>2088</v>
      </c>
      <c r="J762" s="2646">
        <v>0.377</v>
      </c>
      <c r="L762" s="2646" t="s">
        <v>2088</v>
      </c>
    </row>
    <row r="763" spans="1:12">
      <c r="A763" s="2647" t="s">
        <v>99</v>
      </c>
      <c r="B763" s="2647" t="s">
        <v>2852</v>
      </c>
      <c r="C763" s="2647">
        <v>45.241999999999997</v>
      </c>
      <c r="D763" s="2647">
        <v>77.787999999999997</v>
      </c>
      <c r="E763" s="2647">
        <v>19.841999999999999</v>
      </c>
      <c r="F763" s="2647" t="s">
        <v>2088</v>
      </c>
      <c r="G763" s="2647" t="s">
        <v>2088</v>
      </c>
      <c r="H763" s="2647" t="s">
        <v>2088</v>
      </c>
      <c r="I763" s="2647" t="s">
        <v>2088</v>
      </c>
      <c r="J763" s="2647">
        <v>0</v>
      </c>
      <c r="K763" s="2648"/>
      <c r="L763" s="2647" t="s">
        <v>2088</v>
      </c>
    </row>
    <row r="764" spans="1:12">
      <c r="A764" s="2646" t="s">
        <v>99</v>
      </c>
      <c r="B764" s="2646" t="s">
        <v>2853</v>
      </c>
      <c r="C764" s="2646">
        <v>234.95</v>
      </c>
      <c r="D764" s="2646">
        <v>314.32499999999999</v>
      </c>
      <c r="E764" s="2646">
        <v>49.212000000000003</v>
      </c>
      <c r="F764" s="2646" t="s">
        <v>2088</v>
      </c>
      <c r="G764" s="2646" t="s">
        <v>2088</v>
      </c>
      <c r="H764" s="2646" t="s">
        <v>2088</v>
      </c>
      <c r="I764" s="2646" t="s">
        <v>2088</v>
      </c>
      <c r="J764" s="2646">
        <v>0</v>
      </c>
      <c r="L764" s="2646" t="s">
        <v>2088</v>
      </c>
    </row>
    <row r="765" spans="1:12">
      <c r="A765" s="2647" t="s">
        <v>99</v>
      </c>
      <c r="B765" s="2647" t="s">
        <v>2854</v>
      </c>
      <c r="C765" s="2647">
        <v>107.95</v>
      </c>
      <c r="D765" s="2647">
        <v>159.98699999999999</v>
      </c>
      <c r="E765" s="2647">
        <v>34.924999999999997</v>
      </c>
      <c r="F765" s="2647" t="s">
        <v>2088</v>
      </c>
      <c r="G765" s="2647" t="s">
        <v>2088</v>
      </c>
      <c r="H765" s="2647" t="s">
        <v>2088</v>
      </c>
      <c r="I765" s="2647" t="s">
        <v>2088</v>
      </c>
      <c r="J765" s="2647">
        <v>0</v>
      </c>
      <c r="K765" s="2648"/>
      <c r="L765" s="2647" t="s">
        <v>2088</v>
      </c>
    </row>
    <row r="766" spans="1:12">
      <c r="A766" s="2646" t="s">
        <v>99</v>
      </c>
      <c r="B766" s="2646" t="s">
        <v>2855</v>
      </c>
      <c r="C766" s="2646">
        <v>41.274999999999999</v>
      </c>
      <c r="D766" s="2646">
        <v>73.430999999999997</v>
      </c>
      <c r="E766" s="2646">
        <v>21.43</v>
      </c>
      <c r="F766" s="2646" t="s">
        <v>2088</v>
      </c>
      <c r="G766" s="2646" t="s">
        <v>2088</v>
      </c>
      <c r="H766" s="2646" t="s">
        <v>2088</v>
      </c>
      <c r="I766" s="2646" t="s">
        <v>2088</v>
      </c>
      <c r="J766" s="2646">
        <v>0.35399999999999998</v>
      </c>
      <c r="L766" s="2646" t="s">
        <v>2088</v>
      </c>
    </row>
    <row r="767" spans="1:12">
      <c r="A767" s="2647" t="s">
        <v>99</v>
      </c>
      <c r="B767" s="2647" t="s">
        <v>2856</v>
      </c>
      <c r="C767" s="2647">
        <v>41.274999999999999</v>
      </c>
      <c r="D767" s="2647">
        <v>73.430999999999997</v>
      </c>
      <c r="E767" s="2647">
        <v>21.43</v>
      </c>
      <c r="F767" s="2647" t="s">
        <v>2088</v>
      </c>
      <c r="G767" s="2647" t="s">
        <v>2088</v>
      </c>
      <c r="H767" s="2647" t="s">
        <v>2088</v>
      </c>
      <c r="I767" s="2647" t="s">
        <v>2088</v>
      </c>
      <c r="J767" s="2647">
        <v>0</v>
      </c>
      <c r="K767" s="2648"/>
      <c r="L767" s="2647" t="s">
        <v>2088</v>
      </c>
    </row>
    <row r="768" spans="1:12">
      <c r="A768" s="2646" t="s">
        <v>99</v>
      </c>
      <c r="B768" s="2646" t="s">
        <v>2857</v>
      </c>
      <c r="C768" s="2646">
        <v>41.274999999999999</v>
      </c>
      <c r="D768" s="2646">
        <v>73.430999999999997</v>
      </c>
      <c r="E768" s="2646">
        <v>23.012</v>
      </c>
      <c r="F768" s="2646" t="s">
        <v>2088</v>
      </c>
      <c r="G768" s="2646" t="s">
        <v>2088</v>
      </c>
      <c r="H768" s="2646" t="s">
        <v>2088</v>
      </c>
      <c r="I768" s="2646" t="s">
        <v>2088</v>
      </c>
      <c r="J768" s="2646">
        <v>0</v>
      </c>
      <c r="L768" s="2646" t="s">
        <v>2088</v>
      </c>
    </row>
    <row r="769" spans="1:12">
      <c r="A769" s="2647" t="s">
        <v>99</v>
      </c>
      <c r="B769" s="2647" t="s">
        <v>2858</v>
      </c>
      <c r="C769" s="2647">
        <v>41.274999999999999</v>
      </c>
      <c r="D769" s="2647">
        <v>73.45</v>
      </c>
      <c r="E769" s="2647">
        <v>19.558</v>
      </c>
      <c r="F769" s="2647" t="s">
        <v>2088</v>
      </c>
      <c r="G769" s="2647" t="s">
        <v>2088</v>
      </c>
      <c r="H769" s="2647" t="s">
        <v>2088</v>
      </c>
      <c r="I769" s="2647" t="s">
        <v>2088</v>
      </c>
      <c r="J769" s="2647">
        <v>0.33400000000000002</v>
      </c>
      <c r="K769" s="2648"/>
      <c r="L769" s="2647" t="s">
        <v>2088</v>
      </c>
    </row>
    <row r="770" spans="1:12">
      <c r="A770" s="2646" t="s">
        <v>99</v>
      </c>
      <c r="B770" s="2646" t="s">
        <v>2859</v>
      </c>
      <c r="C770" s="2646">
        <v>34.924999999999997</v>
      </c>
      <c r="D770" s="2646">
        <v>65.087999999999994</v>
      </c>
      <c r="E770" s="2646">
        <v>18.288</v>
      </c>
      <c r="F770" s="2646" t="s">
        <v>2088</v>
      </c>
      <c r="G770" s="2646" t="s">
        <v>2088</v>
      </c>
      <c r="H770" s="2646" t="s">
        <v>2088</v>
      </c>
      <c r="I770" s="2646" t="s">
        <v>2088</v>
      </c>
      <c r="J770" s="2646">
        <v>0.251</v>
      </c>
      <c r="L770" s="2646" t="s">
        <v>2088</v>
      </c>
    </row>
    <row r="771" spans="1:12">
      <c r="A771" s="2647" t="s">
        <v>99</v>
      </c>
      <c r="B771" s="2647" t="s">
        <v>2860</v>
      </c>
      <c r="C771" s="2647">
        <v>34.924999999999997</v>
      </c>
      <c r="D771" s="2647">
        <v>58.088000000000001</v>
      </c>
      <c r="E771" s="2647">
        <v>18.033999999999999</v>
      </c>
      <c r="F771" s="2647" t="s">
        <v>2088</v>
      </c>
      <c r="G771" s="2647" t="s">
        <v>2088</v>
      </c>
      <c r="H771" s="2647" t="s">
        <v>2088</v>
      </c>
      <c r="I771" s="2647" t="s">
        <v>2088</v>
      </c>
      <c r="J771" s="2647">
        <v>0</v>
      </c>
      <c r="K771" s="2648"/>
      <c r="L771" s="2647" t="s">
        <v>2088</v>
      </c>
    </row>
    <row r="772" spans="1:12">
      <c r="A772" s="2646" t="s">
        <v>99</v>
      </c>
      <c r="B772" s="2646" t="s">
        <v>2861</v>
      </c>
      <c r="C772" s="2646">
        <v>34.924999999999997</v>
      </c>
      <c r="D772" s="2646">
        <v>65.087999999999994</v>
      </c>
      <c r="E772" s="2646">
        <v>21.082000000000001</v>
      </c>
      <c r="F772" s="2646" t="s">
        <v>2088</v>
      </c>
      <c r="G772" s="2646" t="s">
        <v>2088</v>
      </c>
      <c r="H772" s="2646" t="s">
        <v>2088</v>
      </c>
      <c r="I772" s="2646" t="s">
        <v>2088</v>
      </c>
      <c r="J772" s="2646">
        <v>0</v>
      </c>
      <c r="L772" s="2646" t="s">
        <v>2088</v>
      </c>
    </row>
    <row r="773" spans="1:12">
      <c r="A773" s="2647" t="s">
        <v>99</v>
      </c>
      <c r="B773" s="2647" t="s">
        <v>2862</v>
      </c>
      <c r="C773" s="2647">
        <v>34.924999999999997</v>
      </c>
      <c r="D773" s="2647">
        <v>65.087999999999994</v>
      </c>
      <c r="E773" s="2647">
        <v>18.033999999999999</v>
      </c>
      <c r="F773" s="2647" t="s">
        <v>2088</v>
      </c>
      <c r="G773" s="2647" t="s">
        <v>2088</v>
      </c>
      <c r="H773" s="2647" t="s">
        <v>2088</v>
      </c>
      <c r="I773" s="2647" t="s">
        <v>2088</v>
      </c>
      <c r="J773" s="2647">
        <v>0.26200000000000001</v>
      </c>
      <c r="K773" s="2648"/>
      <c r="L773" s="2647" t="s">
        <v>2088</v>
      </c>
    </row>
    <row r="774" spans="1:12">
      <c r="A774" s="2646" t="s">
        <v>99</v>
      </c>
      <c r="B774" s="2646" t="s">
        <v>2863</v>
      </c>
      <c r="C774" s="2646">
        <v>34.924999999999997</v>
      </c>
      <c r="D774" s="2646">
        <v>65.087999999999994</v>
      </c>
      <c r="E774" s="2646">
        <v>18.033999999999999</v>
      </c>
      <c r="F774" s="2646" t="s">
        <v>2088</v>
      </c>
      <c r="G774" s="2646" t="s">
        <v>2088</v>
      </c>
      <c r="H774" s="2646" t="s">
        <v>2088</v>
      </c>
      <c r="I774" s="2646" t="s">
        <v>2088</v>
      </c>
      <c r="J774" s="2646">
        <v>0.26</v>
      </c>
      <c r="L774" s="2646" t="s">
        <v>2088</v>
      </c>
    </row>
    <row r="775" spans="1:12">
      <c r="A775" s="2647" t="s">
        <v>99</v>
      </c>
      <c r="B775" s="2647" t="s">
        <v>2864</v>
      </c>
      <c r="C775" s="2647">
        <v>266.7</v>
      </c>
      <c r="D775" s="2647">
        <v>355.6</v>
      </c>
      <c r="E775" s="2647">
        <v>57.15</v>
      </c>
      <c r="F775" s="2647" t="s">
        <v>2088</v>
      </c>
      <c r="G775" s="2647" t="s">
        <v>2088</v>
      </c>
      <c r="H775" s="2647" t="s">
        <v>2088</v>
      </c>
      <c r="I775" s="2647" t="s">
        <v>2088</v>
      </c>
      <c r="J775" s="2647">
        <v>0</v>
      </c>
      <c r="K775" s="2648"/>
      <c r="L775" s="2647" t="s">
        <v>2088</v>
      </c>
    </row>
    <row r="776" spans="1:12">
      <c r="A776" s="2646" t="s">
        <v>99</v>
      </c>
      <c r="B776" s="2646" t="s">
        <v>2865</v>
      </c>
      <c r="C776" s="2646">
        <v>266.7</v>
      </c>
      <c r="D776" s="2646">
        <v>355.6</v>
      </c>
      <c r="E776" s="2646">
        <v>57.15</v>
      </c>
      <c r="F776" s="2646" t="s">
        <v>2088</v>
      </c>
      <c r="G776" s="2646" t="s">
        <v>2088</v>
      </c>
      <c r="H776" s="2646" t="s">
        <v>2088</v>
      </c>
      <c r="I776" s="2646" t="s">
        <v>2088</v>
      </c>
      <c r="J776" s="2646">
        <v>15.1</v>
      </c>
      <c r="L776" s="2646" t="s">
        <v>2088</v>
      </c>
    </row>
    <row r="777" spans="1:12">
      <c r="A777" s="2647" t="s">
        <v>99</v>
      </c>
      <c r="B777" s="2647" t="s">
        <v>2866</v>
      </c>
      <c r="C777" s="2647">
        <v>263.52499999999998</v>
      </c>
      <c r="D777" s="2647">
        <v>355.6</v>
      </c>
      <c r="E777" s="2647">
        <v>57.15</v>
      </c>
      <c r="F777" s="2647" t="s">
        <v>2088</v>
      </c>
      <c r="G777" s="2647" t="s">
        <v>2088</v>
      </c>
      <c r="H777" s="2647" t="s">
        <v>2088</v>
      </c>
      <c r="I777" s="2647" t="s">
        <v>2088</v>
      </c>
      <c r="J777" s="2647">
        <v>0</v>
      </c>
      <c r="K777" s="2648"/>
      <c r="L777" s="2647" t="s">
        <v>2088</v>
      </c>
    </row>
    <row r="778" spans="1:12">
      <c r="A778" s="2646" t="s">
        <v>99</v>
      </c>
      <c r="B778" s="2646" t="s">
        <v>2867</v>
      </c>
      <c r="C778" s="2646">
        <v>558.79999999999995</v>
      </c>
      <c r="D778" s="2646">
        <v>736.6</v>
      </c>
      <c r="E778" s="2646">
        <v>104.77500000000001</v>
      </c>
      <c r="F778" s="2646" t="s">
        <v>2088</v>
      </c>
      <c r="G778" s="2646" t="s">
        <v>2088</v>
      </c>
      <c r="H778" s="2646" t="s">
        <v>2088</v>
      </c>
      <c r="I778" s="2646" t="s">
        <v>2088</v>
      </c>
      <c r="J778" s="2646">
        <v>0</v>
      </c>
      <c r="L778" s="2646" t="s">
        <v>2088</v>
      </c>
    </row>
    <row r="779" spans="1:12">
      <c r="A779" s="2647" t="s">
        <v>99</v>
      </c>
      <c r="B779" s="2647" t="s">
        <v>2868</v>
      </c>
      <c r="C779" s="2647">
        <v>40.988</v>
      </c>
      <c r="D779" s="2647">
        <v>67.974999999999994</v>
      </c>
      <c r="E779" s="2647">
        <v>17.5</v>
      </c>
      <c r="F779" s="2647" t="s">
        <v>2088</v>
      </c>
      <c r="G779" s="2647" t="s">
        <v>2088</v>
      </c>
      <c r="H779" s="2647" t="s">
        <v>2088</v>
      </c>
      <c r="I779" s="2647" t="s">
        <v>2088</v>
      </c>
      <c r="J779" s="2647">
        <v>0</v>
      </c>
      <c r="K779" s="2648"/>
      <c r="L779" s="2647" t="s">
        <v>2088</v>
      </c>
    </row>
    <row r="780" spans="1:12">
      <c r="A780" s="2646" t="s">
        <v>99</v>
      </c>
      <c r="B780" s="2646" t="s">
        <v>2869</v>
      </c>
      <c r="C780" s="2646">
        <v>38.1</v>
      </c>
      <c r="D780" s="2646">
        <v>65.087999999999994</v>
      </c>
      <c r="E780" s="2646">
        <v>19.812000000000001</v>
      </c>
      <c r="F780" s="2646" t="s">
        <v>2088</v>
      </c>
      <c r="G780" s="2646" t="s">
        <v>2088</v>
      </c>
      <c r="H780" s="2646" t="s">
        <v>2088</v>
      </c>
      <c r="I780" s="2646" t="s">
        <v>2088</v>
      </c>
      <c r="J780" s="2646">
        <v>0</v>
      </c>
      <c r="L780" s="2646" t="s">
        <v>2088</v>
      </c>
    </row>
    <row r="781" spans="1:12">
      <c r="A781" s="2647" t="s">
        <v>99</v>
      </c>
      <c r="B781" s="2647" t="s">
        <v>2870</v>
      </c>
      <c r="C781" s="2647">
        <v>38.1</v>
      </c>
      <c r="D781" s="2647">
        <v>65.087999999999994</v>
      </c>
      <c r="E781" s="2647">
        <v>18.033999999999999</v>
      </c>
      <c r="F781" s="2647" t="s">
        <v>2088</v>
      </c>
      <c r="G781" s="2647" t="s">
        <v>2088</v>
      </c>
      <c r="H781" s="2647" t="s">
        <v>2088</v>
      </c>
      <c r="I781" s="2647" t="s">
        <v>2088</v>
      </c>
      <c r="J781" s="2647">
        <v>0.23300000000000001</v>
      </c>
      <c r="K781" s="2648"/>
      <c r="L781" s="2647" t="s">
        <v>2088</v>
      </c>
    </row>
    <row r="782" spans="1:12">
      <c r="A782" s="2646" t="s">
        <v>99</v>
      </c>
      <c r="B782" s="2646" t="s">
        <v>2871</v>
      </c>
      <c r="C782" s="2646">
        <v>38.1</v>
      </c>
      <c r="D782" s="2646">
        <v>65.087999999999994</v>
      </c>
      <c r="E782" s="2646">
        <v>18.033999999999999</v>
      </c>
      <c r="F782" s="2646" t="s">
        <v>2088</v>
      </c>
      <c r="G782" s="2646" t="s">
        <v>2088</v>
      </c>
      <c r="H782" s="2646" t="s">
        <v>2088</v>
      </c>
      <c r="I782" s="2646" t="s">
        <v>2088</v>
      </c>
      <c r="J782" s="2646">
        <v>0.23</v>
      </c>
      <c r="L782" s="2646" t="s">
        <v>2088</v>
      </c>
    </row>
    <row r="783" spans="1:12">
      <c r="A783" s="2647" t="s">
        <v>99</v>
      </c>
      <c r="B783" s="2647" t="s">
        <v>2872</v>
      </c>
      <c r="C783" s="2647">
        <v>38.1</v>
      </c>
      <c r="D783" s="2647">
        <v>65.087999999999994</v>
      </c>
      <c r="E783" s="2647">
        <v>18.033999999999999</v>
      </c>
      <c r="F783" s="2647" t="s">
        <v>2088</v>
      </c>
      <c r="G783" s="2647" t="s">
        <v>2088</v>
      </c>
      <c r="H783" s="2647" t="s">
        <v>2088</v>
      </c>
      <c r="I783" s="2647" t="s">
        <v>2088</v>
      </c>
      <c r="J783" s="2647">
        <v>0</v>
      </c>
      <c r="K783" s="2648"/>
      <c r="L783" s="2647" t="s">
        <v>2088</v>
      </c>
    </row>
    <row r="784" spans="1:12">
      <c r="A784" s="2646" t="s">
        <v>99</v>
      </c>
      <c r="B784" s="2646" t="s">
        <v>2873</v>
      </c>
      <c r="C784" s="2646">
        <v>482.6</v>
      </c>
      <c r="D784" s="2646">
        <v>615.95000000000005</v>
      </c>
      <c r="E784" s="2646">
        <v>85.724999999999994</v>
      </c>
      <c r="F784" s="2646" t="s">
        <v>2088</v>
      </c>
      <c r="G784" s="2646" t="s">
        <v>2088</v>
      </c>
      <c r="H784" s="2646" t="s">
        <v>2088</v>
      </c>
      <c r="I784" s="2646" t="s">
        <v>2088</v>
      </c>
      <c r="J784" s="2646">
        <v>0</v>
      </c>
      <c r="L784" s="2646" t="s">
        <v>2088</v>
      </c>
    </row>
    <row r="785" spans="1:12">
      <c r="A785" s="2647" t="s">
        <v>99</v>
      </c>
      <c r="B785" s="2647" t="s">
        <v>2874</v>
      </c>
      <c r="C785" s="2647">
        <v>549.27499999999998</v>
      </c>
      <c r="D785" s="2647">
        <v>692.15</v>
      </c>
      <c r="E785" s="2647">
        <v>80.962000000000003</v>
      </c>
      <c r="F785" s="2647" t="s">
        <v>2088</v>
      </c>
      <c r="G785" s="2647" t="s">
        <v>2088</v>
      </c>
      <c r="H785" s="2647" t="s">
        <v>2088</v>
      </c>
      <c r="I785" s="2647" t="s">
        <v>2088</v>
      </c>
      <c r="J785" s="2647">
        <v>0</v>
      </c>
      <c r="K785" s="2648"/>
      <c r="L785" s="2647" t="s">
        <v>2088</v>
      </c>
    </row>
    <row r="786" spans="1:12">
      <c r="A786" s="2646" t="s">
        <v>99</v>
      </c>
      <c r="B786" s="2646" t="s">
        <v>2875</v>
      </c>
      <c r="C786" s="2646">
        <v>406.4</v>
      </c>
      <c r="D786" s="2646">
        <v>508</v>
      </c>
      <c r="E786" s="2646">
        <v>61.911999999999999</v>
      </c>
      <c r="F786" s="2646" t="s">
        <v>2088</v>
      </c>
      <c r="G786" s="2646" t="s">
        <v>2088</v>
      </c>
      <c r="H786" s="2646" t="s">
        <v>2088</v>
      </c>
      <c r="I786" s="2646" t="s">
        <v>2088</v>
      </c>
      <c r="J786" s="2646">
        <v>0</v>
      </c>
      <c r="L786" s="2646" t="s">
        <v>2088</v>
      </c>
    </row>
    <row r="787" spans="1:12">
      <c r="A787" s="2647" t="s">
        <v>99</v>
      </c>
      <c r="B787" s="2647" t="s">
        <v>2876</v>
      </c>
      <c r="C787" s="2647">
        <v>29</v>
      </c>
      <c r="D787" s="2647">
        <v>50.292000000000002</v>
      </c>
      <c r="E787" s="2647">
        <v>14.224</v>
      </c>
      <c r="F787" s="2647" t="s">
        <v>2088</v>
      </c>
      <c r="G787" s="2647" t="s">
        <v>2088</v>
      </c>
      <c r="H787" s="2647" t="s">
        <v>2088</v>
      </c>
      <c r="I787" s="2647" t="s">
        <v>2088</v>
      </c>
      <c r="J787" s="2647">
        <v>0.11799999999999999</v>
      </c>
      <c r="K787" s="2648"/>
      <c r="L787" s="2647" t="s">
        <v>2088</v>
      </c>
    </row>
    <row r="788" spans="1:12">
      <c r="A788" s="2646" t="s">
        <v>99</v>
      </c>
      <c r="B788" s="2646" t="s">
        <v>2877</v>
      </c>
      <c r="C788" s="2646">
        <v>26.988</v>
      </c>
      <c r="D788" s="2646">
        <v>50.292000000000002</v>
      </c>
      <c r="E788" s="2646">
        <v>14.224</v>
      </c>
      <c r="F788" s="2646" t="s">
        <v>2088</v>
      </c>
      <c r="G788" s="2646" t="s">
        <v>2088</v>
      </c>
      <c r="H788" s="2646" t="s">
        <v>2088</v>
      </c>
      <c r="I788" s="2646" t="s">
        <v>2088</v>
      </c>
      <c r="J788" s="2646">
        <v>0.126</v>
      </c>
      <c r="L788" s="2646" t="s">
        <v>2088</v>
      </c>
    </row>
    <row r="789" spans="1:12">
      <c r="A789" s="2647" t="s">
        <v>99</v>
      </c>
      <c r="B789" s="2647" t="s">
        <v>2878</v>
      </c>
      <c r="C789" s="2647">
        <v>26.9</v>
      </c>
      <c r="D789" s="2647">
        <v>50.3</v>
      </c>
      <c r="E789" s="2647">
        <v>14.22</v>
      </c>
      <c r="F789" s="2647" t="s">
        <v>2088</v>
      </c>
      <c r="G789" s="2647" t="s">
        <v>2088</v>
      </c>
      <c r="H789" s="2647" t="s">
        <v>2088</v>
      </c>
      <c r="I789" s="2647" t="s">
        <v>2088</v>
      </c>
      <c r="J789" s="2647">
        <v>0.122</v>
      </c>
      <c r="K789" s="2648"/>
      <c r="L789" s="2647" t="s">
        <v>2088</v>
      </c>
    </row>
    <row r="790" spans="1:12">
      <c r="A790" s="2646" t="s">
        <v>99</v>
      </c>
      <c r="B790" s="2646" t="s">
        <v>2879</v>
      </c>
      <c r="C790" s="2646">
        <v>25.4</v>
      </c>
      <c r="D790" s="2646">
        <v>50.292000000000002</v>
      </c>
      <c r="E790" s="2646">
        <v>14.22</v>
      </c>
      <c r="F790" s="2646" t="s">
        <v>2088</v>
      </c>
      <c r="G790" s="2646" t="s">
        <v>2088</v>
      </c>
      <c r="H790" s="2646" t="s">
        <v>2088</v>
      </c>
      <c r="I790" s="2646" t="s">
        <v>2088</v>
      </c>
      <c r="J790" s="2646">
        <v>0.129</v>
      </c>
      <c r="L790" s="2646" t="s">
        <v>2088</v>
      </c>
    </row>
    <row r="791" spans="1:12">
      <c r="A791" s="2647" t="s">
        <v>99</v>
      </c>
      <c r="B791" s="2647" t="s">
        <v>2880</v>
      </c>
      <c r="C791" s="2647">
        <v>25.4</v>
      </c>
      <c r="D791" s="2647">
        <v>50.29</v>
      </c>
      <c r="E791" s="2647">
        <v>14.224</v>
      </c>
      <c r="F791" s="2647" t="s">
        <v>2088</v>
      </c>
      <c r="G791" s="2647" t="s">
        <v>2088</v>
      </c>
      <c r="H791" s="2647" t="s">
        <v>2088</v>
      </c>
      <c r="I791" s="2647" t="s">
        <v>2088</v>
      </c>
      <c r="J791" s="2647">
        <v>0.128</v>
      </c>
      <c r="K791" s="2648"/>
      <c r="L791" s="2647" t="s">
        <v>2088</v>
      </c>
    </row>
    <row r="792" spans="1:12">
      <c r="A792" s="2646" t="s">
        <v>99</v>
      </c>
      <c r="B792" s="2646" t="s">
        <v>2881</v>
      </c>
      <c r="C792" s="2646">
        <v>25.4</v>
      </c>
      <c r="D792" s="2646">
        <v>50.292000000000002</v>
      </c>
      <c r="E792" s="2646">
        <v>14.224</v>
      </c>
      <c r="F792" s="2646" t="s">
        <v>2088</v>
      </c>
      <c r="G792" s="2646" t="s">
        <v>2088</v>
      </c>
      <c r="H792" s="2646" t="s">
        <v>2088</v>
      </c>
      <c r="I792" s="2646" t="s">
        <v>2088</v>
      </c>
      <c r="J792" s="2646">
        <v>0</v>
      </c>
      <c r="L792" s="2646" t="s">
        <v>2088</v>
      </c>
    </row>
    <row r="793" spans="1:12">
      <c r="A793" s="2647" t="s">
        <v>99</v>
      </c>
      <c r="B793" s="2647" t="s">
        <v>2882</v>
      </c>
      <c r="C793" s="2647">
        <v>23.812000000000001</v>
      </c>
      <c r="D793" s="2647">
        <v>50.292000000000002</v>
      </c>
      <c r="E793" s="2647">
        <v>14.224</v>
      </c>
      <c r="F793" s="2647" t="s">
        <v>2088</v>
      </c>
      <c r="G793" s="2647" t="s">
        <v>2088</v>
      </c>
      <c r="H793" s="2647" t="s">
        <v>2088</v>
      </c>
      <c r="I793" s="2647" t="s">
        <v>2088</v>
      </c>
      <c r="J793" s="2647">
        <v>0</v>
      </c>
      <c r="K793" s="2648"/>
      <c r="L793" s="2647" t="s">
        <v>2088</v>
      </c>
    </row>
    <row r="794" spans="1:12">
      <c r="A794" s="2646" t="s">
        <v>99</v>
      </c>
      <c r="B794" s="2646" t="s">
        <v>2883</v>
      </c>
      <c r="C794" s="2646">
        <v>158.75</v>
      </c>
      <c r="D794" s="2646">
        <v>205.583</v>
      </c>
      <c r="E794" s="2646">
        <v>23.812000000000001</v>
      </c>
      <c r="F794" s="2646" t="s">
        <v>2088</v>
      </c>
      <c r="G794" s="2646" t="s">
        <v>2088</v>
      </c>
      <c r="H794" s="2646" t="s">
        <v>2088</v>
      </c>
      <c r="I794" s="2646" t="s">
        <v>2088</v>
      </c>
      <c r="J794" s="2646">
        <v>0</v>
      </c>
      <c r="L794" s="2646" t="s">
        <v>2088</v>
      </c>
    </row>
    <row r="795" spans="1:12">
      <c r="A795" s="2647" t="s">
        <v>99</v>
      </c>
      <c r="B795" s="2647" t="s">
        <v>2884</v>
      </c>
      <c r="C795" s="2647">
        <v>304.8</v>
      </c>
      <c r="D795" s="2647">
        <v>393.7</v>
      </c>
      <c r="E795" s="2647">
        <v>107.95</v>
      </c>
      <c r="F795" s="2647" t="s">
        <v>2088</v>
      </c>
      <c r="G795" s="2647" t="s">
        <v>2088</v>
      </c>
      <c r="H795" s="2647" t="s">
        <v>2088</v>
      </c>
      <c r="I795" s="2647" t="s">
        <v>2088</v>
      </c>
      <c r="J795" s="2647">
        <v>29.8</v>
      </c>
      <c r="K795" s="2648"/>
      <c r="L795" s="2647" t="s">
        <v>2885</v>
      </c>
    </row>
    <row r="796" spans="1:12">
      <c r="A796" s="2646" t="s">
        <v>99</v>
      </c>
      <c r="B796" s="2646" t="s">
        <v>2886</v>
      </c>
      <c r="C796" s="2646">
        <v>304.8</v>
      </c>
      <c r="D796" s="2646">
        <v>393.7</v>
      </c>
      <c r="E796" s="2646">
        <v>107.95</v>
      </c>
      <c r="F796" s="2646" t="s">
        <v>2088</v>
      </c>
      <c r="G796" s="2646" t="s">
        <v>2088</v>
      </c>
      <c r="H796" s="2646" t="s">
        <v>2088</v>
      </c>
      <c r="I796" s="2646" t="s">
        <v>2088</v>
      </c>
      <c r="J796" s="2646">
        <v>30.1</v>
      </c>
      <c r="L796" s="2646" t="s">
        <v>2887</v>
      </c>
    </row>
    <row r="797" spans="1:12">
      <c r="A797" s="2647" t="s">
        <v>99</v>
      </c>
      <c r="B797" s="2647" t="s">
        <v>2888</v>
      </c>
      <c r="C797" s="2647">
        <v>304.8</v>
      </c>
      <c r="D797" s="2647">
        <v>393.7</v>
      </c>
      <c r="E797" s="2647">
        <v>50.8</v>
      </c>
      <c r="F797" s="2647" t="s">
        <v>2088</v>
      </c>
      <c r="G797" s="2647" t="s">
        <v>2088</v>
      </c>
      <c r="H797" s="2647" t="s">
        <v>2088</v>
      </c>
      <c r="I797" s="2647" t="s">
        <v>2088</v>
      </c>
      <c r="J797" s="2647">
        <v>14.6</v>
      </c>
      <c r="K797" s="2648"/>
      <c r="L797" s="2647" t="s">
        <v>2088</v>
      </c>
    </row>
    <row r="798" spans="1:12">
      <c r="A798" s="2646" t="s">
        <v>99</v>
      </c>
      <c r="B798" s="2646" t="s">
        <v>2889</v>
      </c>
      <c r="C798" s="2646">
        <v>127</v>
      </c>
      <c r="D798" s="2646">
        <v>180.97499999999999</v>
      </c>
      <c r="E798" s="2646">
        <v>25.4</v>
      </c>
      <c r="F798" s="2646" t="s">
        <v>2088</v>
      </c>
      <c r="G798" s="2646" t="s">
        <v>2088</v>
      </c>
      <c r="H798" s="2646" t="s">
        <v>2088</v>
      </c>
      <c r="I798" s="2646" t="s">
        <v>2088</v>
      </c>
      <c r="J798" s="2646">
        <v>0</v>
      </c>
      <c r="L798" s="2646" t="s">
        <v>2088</v>
      </c>
    </row>
    <row r="799" spans="1:12">
      <c r="A799" s="2647" t="s">
        <v>99</v>
      </c>
      <c r="B799" s="2647" t="s">
        <v>2890</v>
      </c>
      <c r="C799" s="2647">
        <v>120.65</v>
      </c>
      <c r="D799" s="2647">
        <v>196.86199999999999</v>
      </c>
      <c r="E799" s="2647">
        <v>25.4</v>
      </c>
      <c r="F799" s="2647" t="s">
        <v>2088</v>
      </c>
      <c r="G799" s="2647" t="s">
        <v>2088</v>
      </c>
      <c r="H799" s="2647" t="s">
        <v>2088</v>
      </c>
      <c r="I799" s="2647" t="s">
        <v>2088</v>
      </c>
      <c r="J799" s="2647">
        <v>0</v>
      </c>
      <c r="K799" s="2648"/>
      <c r="L799" s="2647" t="s">
        <v>2088</v>
      </c>
    </row>
    <row r="800" spans="1:12">
      <c r="A800" s="2646" t="s">
        <v>99</v>
      </c>
      <c r="B800" s="2646" t="s">
        <v>2891</v>
      </c>
      <c r="C800" s="2646">
        <v>762</v>
      </c>
      <c r="D800" s="2646">
        <v>889</v>
      </c>
      <c r="E800" s="2646">
        <v>88.9</v>
      </c>
      <c r="F800" s="2646" t="s">
        <v>2088</v>
      </c>
      <c r="G800" s="2646" t="s">
        <v>2088</v>
      </c>
      <c r="H800" s="2646" t="s">
        <v>2088</v>
      </c>
      <c r="I800" s="2646" t="s">
        <v>2088</v>
      </c>
      <c r="J800" s="2646">
        <v>91.9</v>
      </c>
      <c r="L800" s="2646" t="s">
        <v>2088</v>
      </c>
    </row>
    <row r="801" spans="1:12">
      <c r="A801" s="2647" t="s">
        <v>99</v>
      </c>
      <c r="B801" s="2647" t="s">
        <v>2892</v>
      </c>
      <c r="C801" s="2647">
        <v>760</v>
      </c>
      <c r="D801" s="2647">
        <v>889</v>
      </c>
      <c r="E801" s="2647">
        <v>88.9</v>
      </c>
      <c r="F801" s="2647" t="s">
        <v>2088</v>
      </c>
      <c r="G801" s="2647" t="s">
        <v>2088</v>
      </c>
      <c r="H801" s="2647" t="s">
        <v>2088</v>
      </c>
      <c r="I801" s="2647" t="s">
        <v>2088</v>
      </c>
      <c r="J801" s="2647">
        <v>93.5</v>
      </c>
      <c r="K801" s="2648"/>
      <c r="L801" s="2647" t="s">
        <v>2088</v>
      </c>
    </row>
    <row r="802" spans="1:12">
      <c r="A802" s="2646" t="s">
        <v>99</v>
      </c>
      <c r="B802" s="2646" t="s">
        <v>2893</v>
      </c>
      <c r="C802" s="2646">
        <v>355.6</v>
      </c>
      <c r="D802" s="2646">
        <v>444.5</v>
      </c>
      <c r="E802" s="2646">
        <v>136.52500000000001</v>
      </c>
      <c r="F802" s="2646" t="s">
        <v>2088</v>
      </c>
      <c r="G802" s="2646" t="s">
        <v>2088</v>
      </c>
      <c r="H802" s="2646" t="s">
        <v>2088</v>
      </c>
      <c r="I802" s="2646" t="s">
        <v>2088</v>
      </c>
      <c r="J802" s="2646">
        <v>44.6</v>
      </c>
      <c r="L802" s="2646" t="s">
        <v>2088</v>
      </c>
    </row>
    <row r="803" spans="1:12">
      <c r="A803" s="2647" t="s">
        <v>99</v>
      </c>
      <c r="B803" s="2647" t="s">
        <v>2894</v>
      </c>
      <c r="C803" s="2647">
        <v>355.6</v>
      </c>
      <c r="D803" s="2647">
        <v>444.5</v>
      </c>
      <c r="E803" s="2647">
        <v>60.325000000000003</v>
      </c>
      <c r="F803" s="2647" t="s">
        <v>2088</v>
      </c>
      <c r="G803" s="2647" t="s">
        <v>2088</v>
      </c>
      <c r="H803" s="2647" t="s">
        <v>2088</v>
      </c>
      <c r="I803" s="2647" t="s">
        <v>2088</v>
      </c>
      <c r="J803" s="2647">
        <v>0</v>
      </c>
      <c r="K803" s="2648"/>
      <c r="L803" s="2647" t="s">
        <v>2088</v>
      </c>
    </row>
    <row r="804" spans="1:12">
      <c r="A804" s="2646" t="s">
        <v>99</v>
      </c>
      <c r="B804" s="2646" t="s">
        <v>2895</v>
      </c>
      <c r="C804" s="2646">
        <v>33.338000000000001</v>
      </c>
      <c r="D804" s="2646">
        <v>68.262</v>
      </c>
      <c r="E804" s="2646">
        <v>22.225000000000001</v>
      </c>
      <c r="F804" s="2646" t="s">
        <v>2088</v>
      </c>
      <c r="G804" s="2646" t="s">
        <v>2088</v>
      </c>
      <c r="H804" s="2646" t="s">
        <v>2088</v>
      </c>
      <c r="I804" s="2646" t="s">
        <v>2088</v>
      </c>
      <c r="J804" s="2646">
        <v>0.38200000000000001</v>
      </c>
      <c r="L804" s="2646" t="s">
        <v>2088</v>
      </c>
    </row>
    <row r="805" spans="1:12">
      <c r="A805" s="2647" t="s">
        <v>99</v>
      </c>
      <c r="B805" s="2647" t="s">
        <v>2896</v>
      </c>
      <c r="C805" s="2647">
        <v>41.274999999999999</v>
      </c>
      <c r="D805" s="2647">
        <v>82.55</v>
      </c>
      <c r="E805" s="2647">
        <v>26.542999999999999</v>
      </c>
      <c r="F805" s="2647" t="s">
        <v>2088</v>
      </c>
      <c r="G805" s="2647" t="s">
        <v>2088</v>
      </c>
      <c r="H805" s="2647" t="s">
        <v>2088</v>
      </c>
      <c r="I805" s="2647" t="s">
        <v>2088</v>
      </c>
      <c r="J805" s="2647">
        <v>0.623</v>
      </c>
      <c r="K805" s="2648"/>
      <c r="L805" s="2647" t="s">
        <v>2088</v>
      </c>
    </row>
    <row r="806" spans="1:12">
      <c r="A806" s="2646" t="s">
        <v>99</v>
      </c>
      <c r="B806" s="2646" t="s">
        <v>2897</v>
      </c>
      <c r="C806" s="2646">
        <v>257.18</v>
      </c>
      <c r="D806" s="2646">
        <v>342.4</v>
      </c>
      <c r="E806" s="2646">
        <v>57.15</v>
      </c>
      <c r="F806" s="2646" t="s">
        <v>2088</v>
      </c>
      <c r="G806" s="2646" t="s">
        <v>2088</v>
      </c>
      <c r="H806" s="2646" t="s">
        <v>2088</v>
      </c>
      <c r="I806" s="2646" t="s">
        <v>2088</v>
      </c>
      <c r="J806" s="2646">
        <v>14</v>
      </c>
      <c r="L806" s="2646" t="s">
        <v>2088</v>
      </c>
    </row>
    <row r="807" spans="1:12">
      <c r="A807" s="2647" t="s">
        <v>99</v>
      </c>
      <c r="B807" s="2647" t="s">
        <v>2898</v>
      </c>
      <c r="C807" s="2647">
        <v>247.65</v>
      </c>
      <c r="D807" s="2647">
        <v>346.07499999999999</v>
      </c>
      <c r="E807" s="2647">
        <v>63.5</v>
      </c>
      <c r="F807" s="2647" t="s">
        <v>2088</v>
      </c>
      <c r="G807" s="2647" t="s">
        <v>2088</v>
      </c>
      <c r="H807" s="2647" t="s">
        <v>2088</v>
      </c>
      <c r="I807" s="2647" t="s">
        <v>2088</v>
      </c>
      <c r="J807" s="2647">
        <v>17.399999999999999</v>
      </c>
      <c r="K807" s="2648"/>
      <c r="L807" s="2647" t="s">
        <v>2088</v>
      </c>
    </row>
    <row r="808" spans="1:12">
      <c r="A808" s="2646" t="s">
        <v>99</v>
      </c>
      <c r="B808" s="2646" t="s">
        <v>2899</v>
      </c>
      <c r="C808" s="2646">
        <v>257.17500000000001</v>
      </c>
      <c r="D808" s="2646">
        <v>358.77499999999998</v>
      </c>
      <c r="E808" s="2646">
        <v>71.438000000000002</v>
      </c>
      <c r="F808" s="2646" t="s">
        <v>2088</v>
      </c>
      <c r="G808" s="2646" t="s">
        <v>2088</v>
      </c>
      <c r="H808" s="2646" t="s">
        <v>2088</v>
      </c>
      <c r="I808" s="2646" t="s">
        <v>2088</v>
      </c>
      <c r="J808" s="2646">
        <v>21.7</v>
      </c>
      <c r="L808" s="2646" t="s">
        <v>2088</v>
      </c>
    </row>
    <row r="809" spans="1:12">
      <c r="A809" s="2647" t="s">
        <v>99</v>
      </c>
      <c r="B809" s="2647" t="s">
        <v>2900</v>
      </c>
      <c r="C809" s="2647">
        <v>41.274999999999999</v>
      </c>
      <c r="D809" s="2647">
        <v>73.430999999999997</v>
      </c>
      <c r="E809" s="2647">
        <v>21.43</v>
      </c>
      <c r="F809" s="2647" t="s">
        <v>2088</v>
      </c>
      <c r="G809" s="2647" t="s">
        <v>2088</v>
      </c>
      <c r="H809" s="2647" t="s">
        <v>2088</v>
      </c>
      <c r="I809" s="2647" t="s">
        <v>2088</v>
      </c>
      <c r="J809" s="2647">
        <v>0.36</v>
      </c>
      <c r="K809" s="2648"/>
      <c r="L809" s="2647" t="s">
        <v>2088</v>
      </c>
    </row>
    <row r="810" spans="1:12">
      <c r="A810" s="2646" t="s">
        <v>99</v>
      </c>
      <c r="B810" s="2646" t="s">
        <v>2901</v>
      </c>
      <c r="C810" s="2646">
        <v>34.924999999999997</v>
      </c>
      <c r="D810" s="2646">
        <v>65.087999999999994</v>
      </c>
      <c r="E810" s="2646">
        <v>18.033999999999999</v>
      </c>
      <c r="F810" s="2646" t="s">
        <v>2088</v>
      </c>
      <c r="G810" s="2646" t="s">
        <v>2088</v>
      </c>
      <c r="H810" s="2646" t="s">
        <v>2088</v>
      </c>
      <c r="I810" s="2646" t="s">
        <v>2088</v>
      </c>
      <c r="J810" s="2646">
        <v>0.26</v>
      </c>
      <c r="L810" s="2646" t="s">
        <v>2088</v>
      </c>
    </row>
    <row r="811" spans="1:12">
      <c r="A811" s="2647" t="s">
        <v>99</v>
      </c>
      <c r="B811" s="2647" t="s">
        <v>2902</v>
      </c>
      <c r="C811" s="2647">
        <v>41</v>
      </c>
      <c r="D811" s="2647">
        <v>68</v>
      </c>
      <c r="E811" s="2647">
        <v>17.600000000000001</v>
      </c>
      <c r="F811" s="2647" t="s">
        <v>2088</v>
      </c>
      <c r="G811" s="2647" t="s">
        <v>2088</v>
      </c>
      <c r="H811" s="2647" t="s">
        <v>2088</v>
      </c>
      <c r="I811" s="2647" t="s">
        <v>2088</v>
      </c>
      <c r="J811" s="2647">
        <v>0.247</v>
      </c>
      <c r="K811" s="2648"/>
      <c r="L811" s="2647" t="s">
        <v>2088</v>
      </c>
    </row>
    <row r="812" spans="1:12">
      <c r="A812" s="2646" t="s">
        <v>99</v>
      </c>
      <c r="B812" s="2646" t="s">
        <v>2903</v>
      </c>
      <c r="C812" s="2646">
        <v>40.988</v>
      </c>
      <c r="D812" s="2646">
        <v>67.974999999999994</v>
      </c>
      <c r="E812" s="2646">
        <v>18</v>
      </c>
      <c r="F812" s="2646" t="s">
        <v>2088</v>
      </c>
      <c r="G812" s="2646" t="s">
        <v>2088</v>
      </c>
      <c r="H812" s="2646" t="s">
        <v>2088</v>
      </c>
      <c r="I812" s="2646" t="s">
        <v>2088</v>
      </c>
      <c r="J812" s="2646">
        <v>0.23899999999999999</v>
      </c>
      <c r="L812" s="2646" t="s">
        <v>2088</v>
      </c>
    </row>
    <row r="813" spans="1:12">
      <c r="A813" s="2647" t="s">
        <v>99</v>
      </c>
      <c r="B813" s="2647" t="s">
        <v>2904</v>
      </c>
      <c r="C813" s="2647">
        <v>38.1</v>
      </c>
      <c r="D813" s="2647">
        <v>65.087999999999994</v>
      </c>
      <c r="E813" s="2647">
        <v>18.288</v>
      </c>
      <c r="F813" s="2647" t="s">
        <v>2088</v>
      </c>
      <c r="G813" s="2647" t="s">
        <v>2088</v>
      </c>
      <c r="H813" s="2647" t="s">
        <v>2088</v>
      </c>
      <c r="I813" s="2647" t="s">
        <v>2088</v>
      </c>
      <c r="J813" s="2647">
        <v>0.23499999999999999</v>
      </c>
      <c r="K813" s="2648"/>
      <c r="L813" s="2647" t="s">
        <v>2088</v>
      </c>
    </row>
    <row r="814" spans="1:12">
      <c r="A814" s="2646" t="s">
        <v>99</v>
      </c>
      <c r="B814" s="2646" t="s">
        <v>2905</v>
      </c>
      <c r="C814" s="2646">
        <v>53.975000000000001</v>
      </c>
      <c r="D814" s="2646">
        <v>130.17500000000001</v>
      </c>
      <c r="E814" s="2646">
        <v>36.512</v>
      </c>
      <c r="F814" s="2646" t="s">
        <v>2088</v>
      </c>
      <c r="G814" s="2646" t="s">
        <v>2088</v>
      </c>
      <c r="H814" s="2646" t="s">
        <v>2088</v>
      </c>
      <c r="I814" s="2646" t="s">
        <v>2088</v>
      </c>
      <c r="J814" s="2646">
        <v>2.2400000000000002</v>
      </c>
      <c r="L814" s="2646" t="s">
        <v>2088</v>
      </c>
    </row>
    <row r="815" spans="1:12">
      <c r="A815" s="2647" t="s">
        <v>99</v>
      </c>
      <c r="B815" s="2647" t="s">
        <v>2906</v>
      </c>
      <c r="C815" s="2647">
        <v>110</v>
      </c>
      <c r="D815" s="2647">
        <v>165</v>
      </c>
      <c r="E815" s="2647">
        <v>35</v>
      </c>
      <c r="F815" s="2647" t="s">
        <v>2088</v>
      </c>
      <c r="G815" s="2647" t="s">
        <v>2088</v>
      </c>
      <c r="H815" s="2647" t="s">
        <v>2088</v>
      </c>
      <c r="I815" s="2647" t="s">
        <v>2088</v>
      </c>
      <c r="J815" s="2647">
        <v>2.63</v>
      </c>
      <c r="K815" s="2648"/>
      <c r="L815" s="2647" t="s">
        <v>2088</v>
      </c>
    </row>
    <row r="816" spans="1:12">
      <c r="A816" s="2646" t="s">
        <v>99</v>
      </c>
      <c r="B816" s="2646" t="s">
        <v>2907</v>
      </c>
      <c r="C816" s="2646">
        <v>170</v>
      </c>
      <c r="D816" s="2646">
        <v>240</v>
      </c>
      <c r="E816" s="2646">
        <v>46</v>
      </c>
      <c r="F816" s="2646" t="s">
        <v>2088</v>
      </c>
      <c r="G816" s="2646" t="s">
        <v>2088</v>
      </c>
      <c r="H816" s="2646" t="s">
        <v>2088</v>
      </c>
      <c r="I816" s="2646" t="s">
        <v>2088</v>
      </c>
      <c r="J816" s="2646">
        <v>6.28</v>
      </c>
      <c r="L816" s="2646" t="s">
        <v>2088</v>
      </c>
    </row>
    <row r="817" spans="1:12">
      <c r="A817" s="2647" t="s">
        <v>99</v>
      </c>
      <c r="B817" s="2647" t="s">
        <v>2908</v>
      </c>
      <c r="C817" s="2647">
        <v>85</v>
      </c>
      <c r="D817" s="2647">
        <v>130</v>
      </c>
      <c r="E817" s="2647">
        <v>30</v>
      </c>
      <c r="F817" s="2647" t="s">
        <v>2088</v>
      </c>
      <c r="G817" s="2647" t="s">
        <v>2088</v>
      </c>
      <c r="H817" s="2647" t="s">
        <v>2088</v>
      </c>
      <c r="I817" s="2647" t="s">
        <v>2088</v>
      </c>
      <c r="J817" s="2647">
        <v>1.39</v>
      </c>
      <c r="K817" s="2648"/>
      <c r="L817" s="2647" t="s">
        <v>2088</v>
      </c>
    </row>
    <row r="818" spans="1:12">
      <c r="A818" s="2646" t="s">
        <v>99</v>
      </c>
      <c r="B818" s="2646" t="s">
        <v>2909</v>
      </c>
      <c r="C818" s="2646">
        <v>75</v>
      </c>
      <c r="D818" s="2646">
        <v>120</v>
      </c>
      <c r="E818" s="2646">
        <v>31</v>
      </c>
      <c r="F818" s="2646" t="s">
        <v>2088</v>
      </c>
      <c r="G818" s="2646" t="s">
        <v>2088</v>
      </c>
      <c r="H818" s="2646" t="s">
        <v>2088</v>
      </c>
      <c r="I818" s="2646" t="s">
        <v>2088</v>
      </c>
      <c r="J818" s="2646">
        <v>1.28</v>
      </c>
      <c r="L818" s="2646" t="s">
        <v>2088</v>
      </c>
    </row>
    <row r="819" spans="1:12">
      <c r="A819" s="2647" t="s">
        <v>99</v>
      </c>
      <c r="B819" s="2647" t="s">
        <v>2910</v>
      </c>
      <c r="C819" s="2647">
        <v>254</v>
      </c>
      <c r="D819" s="2647">
        <v>347.62200000000001</v>
      </c>
      <c r="E819" s="2647">
        <v>101.6</v>
      </c>
      <c r="F819" s="2647" t="s">
        <v>2088</v>
      </c>
      <c r="G819" s="2647" t="s">
        <v>2088</v>
      </c>
      <c r="H819" s="2647" t="s">
        <v>2088</v>
      </c>
      <c r="I819" s="2647" t="s">
        <v>2088</v>
      </c>
      <c r="J819" s="2647">
        <v>23.9</v>
      </c>
      <c r="K819" s="2648"/>
      <c r="L819" s="2647" t="s">
        <v>2911</v>
      </c>
    </row>
    <row r="820" spans="1:12">
      <c r="A820" s="2646" t="s">
        <v>99</v>
      </c>
      <c r="B820" s="2646" t="s">
        <v>2912</v>
      </c>
      <c r="C820" s="2646">
        <v>203.2</v>
      </c>
      <c r="D820" s="2646">
        <v>276.22500000000002</v>
      </c>
      <c r="E820" s="2646">
        <v>42.862000000000002</v>
      </c>
      <c r="F820" s="2646" t="s">
        <v>2088</v>
      </c>
      <c r="G820" s="2646" t="s">
        <v>2088</v>
      </c>
      <c r="H820" s="2646" t="s">
        <v>2088</v>
      </c>
      <c r="I820" s="2646" t="s">
        <v>2088</v>
      </c>
      <c r="J820" s="2646">
        <v>0</v>
      </c>
      <c r="L820" s="2646" t="s">
        <v>2088</v>
      </c>
    </row>
    <row r="821" spans="1:12">
      <c r="A821" s="2647" t="s">
        <v>99</v>
      </c>
      <c r="B821" s="2647" t="s">
        <v>2913</v>
      </c>
      <c r="C821" s="2647">
        <v>63.5</v>
      </c>
      <c r="D821" s="2647">
        <v>122.238</v>
      </c>
      <c r="E821" s="2647">
        <v>38.1</v>
      </c>
      <c r="F821" s="2647" t="s">
        <v>2088</v>
      </c>
      <c r="G821" s="2647" t="s">
        <v>2088</v>
      </c>
      <c r="H821" s="2647" t="s">
        <v>2088</v>
      </c>
      <c r="I821" s="2647" t="s">
        <v>2088</v>
      </c>
      <c r="J821" s="2647">
        <v>1.93</v>
      </c>
      <c r="K821" s="2648"/>
      <c r="L821" s="2647" t="s">
        <v>2088</v>
      </c>
    </row>
    <row r="822" spans="1:12">
      <c r="A822" s="2646" t="s">
        <v>99</v>
      </c>
      <c r="B822" s="2646" t="s">
        <v>2914</v>
      </c>
      <c r="C822" s="2646">
        <v>21.978999999999999</v>
      </c>
      <c r="D822" s="2646">
        <v>45.975000000000001</v>
      </c>
      <c r="E822" s="2646">
        <v>15.494</v>
      </c>
      <c r="F822" s="2646" t="s">
        <v>2088</v>
      </c>
      <c r="G822" s="2646" t="s">
        <v>2088</v>
      </c>
      <c r="H822" s="2646" t="s">
        <v>2088</v>
      </c>
      <c r="I822" s="2646" t="s">
        <v>2088</v>
      </c>
      <c r="J822" s="2646">
        <v>0.12</v>
      </c>
      <c r="L822" s="2646" t="s">
        <v>2088</v>
      </c>
    </row>
    <row r="823" spans="1:12">
      <c r="A823" s="2647" t="s">
        <v>99</v>
      </c>
      <c r="B823" s="2647" t="s">
        <v>2915</v>
      </c>
      <c r="C823" s="2647">
        <v>21.978999999999999</v>
      </c>
      <c r="D823" s="2647">
        <v>45.237000000000002</v>
      </c>
      <c r="E823" s="2647">
        <v>15.494</v>
      </c>
      <c r="F823" s="2647" t="s">
        <v>2088</v>
      </c>
      <c r="G823" s="2647" t="s">
        <v>2088</v>
      </c>
      <c r="H823" s="2647" t="s">
        <v>2088</v>
      </c>
      <c r="I823" s="2647" t="s">
        <v>2088</v>
      </c>
      <c r="J823" s="2647">
        <v>0.11600000000000001</v>
      </c>
      <c r="K823" s="2648"/>
      <c r="L823" s="2647" t="s">
        <v>2088</v>
      </c>
    </row>
    <row r="824" spans="1:12">
      <c r="A824" s="2646" t="s">
        <v>99</v>
      </c>
      <c r="B824" s="2646" t="s">
        <v>2916</v>
      </c>
      <c r="C824" s="2646">
        <v>21.43</v>
      </c>
      <c r="D824" s="2646">
        <v>45.237000000000002</v>
      </c>
      <c r="E824" s="2646">
        <v>15.494</v>
      </c>
      <c r="F824" s="2646" t="s">
        <v>2088</v>
      </c>
      <c r="G824" s="2646" t="s">
        <v>2088</v>
      </c>
      <c r="H824" s="2646" t="s">
        <v>2088</v>
      </c>
      <c r="I824" s="2646" t="s">
        <v>2088</v>
      </c>
      <c r="J824" s="2646">
        <v>0.11799999999999999</v>
      </c>
      <c r="L824" s="2646" t="s">
        <v>2088</v>
      </c>
    </row>
    <row r="825" spans="1:12">
      <c r="A825" s="2647" t="s">
        <v>99</v>
      </c>
      <c r="B825" s="2647" t="s">
        <v>2917</v>
      </c>
      <c r="C825" s="2647">
        <v>19.05</v>
      </c>
      <c r="D825" s="2647">
        <v>45.237000000000002</v>
      </c>
      <c r="E825" s="2647">
        <v>15.49</v>
      </c>
      <c r="F825" s="2647" t="s">
        <v>2088</v>
      </c>
      <c r="G825" s="2647" t="s">
        <v>2088</v>
      </c>
      <c r="H825" s="2647" t="s">
        <v>2088</v>
      </c>
      <c r="I825" s="2647" t="s">
        <v>2088</v>
      </c>
      <c r="J825" s="2647">
        <v>0.122</v>
      </c>
      <c r="K825" s="2648"/>
      <c r="L825" s="2647" t="s">
        <v>2088</v>
      </c>
    </row>
    <row r="826" spans="1:12">
      <c r="A826" s="2646" t="s">
        <v>99</v>
      </c>
      <c r="B826" s="2646" t="s">
        <v>2918</v>
      </c>
      <c r="C826" s="2646">
        <v>17.462</v>
      </c>
      <c r="D826" s="2646">
        <v>28.5</v>
      </c>
      <c r="E826" s="2646">
        <v>14.605</v>
      </c>
      <c r="F826" s="2646" t="s">
        <v>2088</v>
      </c>
      <c r="G826" s="2646" t="s">
        <v>2088</v>
      </c>
      <c r="H826" s="2646" t="s">
        <v>2088</v>
      </c>
      <c r="I826" s="2646" t="s">
        <v>2088</v>
      </c>
      <c r="J826" s="2646">
        <v>2.5999999999999999E-2</v>
      </c>
      <c r="L826" s="2646" t="s">
        <v>2088</v>
      </c>
    </row>
    <row r="827" spans="1:12">
      <c r="A827" s="2647" t="s">
        <v>99</v>
      </c>
      <c r="B827" s="2647" t="s">
        <v>2919</v>
      </c>
      <c r="C827" s="2647">
        <v>49.987000000000002</v>
      </c>
      <c r="D827" s="2647">
        <v>82.55</v>
      </c>
      <c r="E827" s="2647">
        <v>21.59</v>
      </c>
      <c r="F827" s="2647" t="s">
        <v>2088</v>
      </c>
      <c r="G827" s="2647" t="s">
        <v>2088</v>
      </c>
      <c r="H827" s="2647" t="s">
        <v>2088</v>
      </c>
      <c r="I827" s="2647" t="s">
        <v>2088</v>
      </c>
      <c r="J827" s="2647">
        <v>0</v>
      </c>
      <c r="K827" s="2648"/>
      <c r="L827" s="2647" t="s">
        <v>2088</v>
      </c>
    </row>
    <row r="828" spans="1:12">
      <c r="A828" s="2646" t="s">
        <v>99</v>
      </c>
      <c r="B828" s="2646" t="s">
        <v>2920</v>
      </c>
      <c r="C828" s="2646">
        <v>50.8</v>
      </c>
      <c r="D828" s="2646">
        <v>82.55</v>
      </c>
      <c r="E828" s="2646">
        <v>21.59</v>
      </c>
      <c r="F828" s="2646" t="s">
        <v>2088</v>
      </c>
      <c r="G828" s="2646" t="s">
        <v>2088</v>
      </c>
      <c r="H828" s="2646" t="s">
        <v>2088</v>
      </c>
      <c r="I828" s="2646" t="s">
        <v>2088</v>
      </c>
      <c r="J828" s="2646">
        <v>0.96699999999999997</v>
      </c>
      <c r="L828" s="2646" t="s">
        <v>2088</v>
      </c>
    </row>
    <row r="829" spans="1:12">
      <c r="A829" s="2647" t="s">
        <v>99</v>
      </c>
      <c r="B829" s="2647" t="s">
        <v>2921</v>
      </c>
      <c r="C829" s="2647">
        <v>50.8</v>
      </c>
      <c r="D829" s="2647">
        <v>82.930999999999997</v>
      </c>
      <c r="E829" s="2647">
        <v>21.59</v>
      </c>
      <c r="F829" s="2647" t="s">
        <v>2088</v>
      </c>
      <c r="G829" s="2647" t="s">
        <v>2088</v>
      </c>
      <c r="H829" s="2647" t="s">
        <v>2088</v>
      </c>
      <c r="I829" s="2647" t="s">
        <v>2088</v>
      </c>
      <c r="J829" s="2647">
        <v>0</v>
      </c>
      <c r="K829" s="2648"/>
      <c r="L829" s="2647" t="s">
        <v>2088</v>
      </c>
    </row>
    <row r="830" spans="1:12">
      <c r="A830" s="2646" t="s">
        <v>99</v>
      </c>
      <c r="B830" s="2646" t="s">
        <v>2922</v>
      </c>
      <c r="C830" s="2646">
        <v>50.8</v>
      </c>
      <c r="D830" s="2646">
        <v>82.55</v>
      </c>
      <c r="E830" s="2646">
        <v>25</v>
      </c>
      <c r="F830" s="2646" t="s">
        <v>2088</v>
      </c>
      <c r="G830" s="2646" t="s">
        <v>2088</v>
      </c>
      <c r="H830" s="2646" t="s">
        <v>2088</v>
      </c>
      <c r="I830" s="2646" t="s">
        <v>2088</v>
      </c>
      <c r="J830" s="2646">
        <v>0.442</v>
      </c>
      <c r="L830" s="2646" t="s">
        <v>2088</v>
      </c>
    </row>
    <row r="831" spans="1:12">
      <c r="A831" s="2647" t="s">
        <v>99</v>
      </c>
      <c r="B831" s="2647" t="s">
        <v>2923</v>
      </c>
      <c r="C831" s="2647">
        <v>50.8</v>
      </c>
      <c r="D831" s="2647">
        <v>82.55</v>
      </c>
      <c r="E831" s="2647">
        <v>21.59</v>
      </c>
      <c r="F831" s="2647" t="s">
        <v>2088</v>
      </c>
      <c r="G831" s="2647" t="s">
        <v>2088</v>
      </c>
      <c r="H831" s="2647" t="s">
        <v>2088</v>
      </c>
      <c r="I831" s="2647" t="s">
        <v>2088</v>
      </c>
      <c r="J831" s="2647">
        <v>0.42899999999999999</v>
      </c>
      <c r="K831" s="2648"/>
      <c r="L831" s="2647" t="s">
        <v>2088</v>
      </c>
    </row>
    <row r="832" spans="1:12">
      <c r="A832" s="2646" t="s">
        <v>99</v>
      </c>
      <c r="B832" s="2646" t="s">
        <v>2924</v>
      </c>
      <c r="C832" s="2646">
        <v>50.8</v>
      </c>
      <c r="D832" s="2646">
        <v>82.55</v>
      </c>
      <c r="E832" s="2646">
        <v>21.59</v>
      </c>
      <c r="F832" s="2646" t="s">
        <v>2088</v>
      </c>
      <c r="G832" s="2646" t="s">
        <v>2088</v>
      </c>
      <c r="H832" s="2646" t="s">
        <v>2088</v>
      </c>
      <c r="I832" s="2646" t="s">
        <v>2088</v>
      </c>
      <c r="J832" s="2646">
        <v>0.41799999999999998</v>
      </c>
      <c r="L832" s="2646" t="s">
        <v>2088</v>
      </c>
    </row>
    <row r="833" spans="1:12">
      <c r="A833" s="2647" t="s">
        <v>99</v>
      </c>
      <c r="B833" s="2647" t="s">
        <v>2925</v>
      </c>
      <c r="C833" s="2647">
        <v>50.8</v>
      </c>
      <c r="D833" s="2647">
        <v>82</v>
      </c>
      <c r="E833" s="2647">
        <v>21.975000000000001</v>
      </c>
      <c r="F833" s="2647" t="s">
        <v>2088</v>
      </c>
      <c r="G833" s="2647" t="s">
        <v>2088</v>
      </c>
      <c r="H833" s="2647" t="s">
        <v>2088</v>
      </c>
      <c r="I833" s="2647" t="s">
        <v>2088</v>
      </c>
      <c r="J833" s="2647">
        <v>0</v>
      </c>
      <c r="K833" s="2648"/>
      <c r="L833" s="2647" t="s">
        <v>2088</v>
      </c>
    </row>
    <row r="834" spans="1:12">
      <c r="A834" s="2646" t="s">
        <v>99</v>
      </c>
      <c r="B834" s="2646" t="s">
        <v>2926</v>
      </c>
      <c r="C834" s="2646">
        <v>45.241999999999997</v>
      </c>
      <c r="D834" s="2646">
        <v>82.55</v>
      </c>
      <c r="E834" s="2646">
        <v>21.59</v>
      </c>
      <c r="F834" s="2646" t="s">
        <v>2088</v>
      </c>
      <c r="G834" s="2646" t="s">
        <v>2088</v>
      </c>
      <c r="H834" s="2646" t="s">
        <v>2088</v>
      </c>
      <c r="I834" s="2646" t="s">
        <v>2088</v>
      </c>
      <c r="J834" s="2646">
        <v>0</v>
      </c>
      <c r="L834" s="2646" t="s">
        <v>2088</v>
      </c>
    </row>
    <row r="835" spans="1:12">
      <c r="A835" s="2647" t="s">
        <v>99</v>
      </c>
      <c r="B835" s="2647" t="s">
        <v>2927</v>
      </c>
      <c r="C835" s="2647">
        <v>45.241999999999997</v>
      </c>
      <c r="D835" s="2647">
        <v>73.430999999999997</v>
      </c>
      <c r="E835" s="2647">
        <v>19.558</v>
      </c>
      <c r="F835" s="2647" t="s">
        <v>2088</v>
      </c>
      <c r="G835" s="2647" t="s">
        <v>2088</v>
      </c>
      <c r="H835" s="2647" t="s">
        <v>2088</v>
      </c>
      <c r="I835" s="2647" t="s">
        <v>2088</v>
      </c>
      <c r="J835" s="2647">
        <v>0.318</v>
      </c>
      <c r="K835" s="2648"/>
      <c r="L835" s="2647" t="s">
        <v>2088</v>
      </c>
    </row>
    <row r="836" spans="1:12">
      <c r="A836" s="2646" t="s">
        <v>99</v>
      </c>
      <c r="B836" s="2646" t="s">
        <v>2928</v>
      </c>
      <c r="C836" s="2646">
        <v>584.20000000000005</v>
      </c>
      <c r="D836" s="2646">
        <v>685.8</v>
      </c>
      <c r="E836" s="2646">
        <v>49.212000000000003</v>
      </c>
      <c r="F836" s="2646" t="s">
        <v>2088</v>
      </c>
      <c r="G836" s="2646" t="s">
        <v>2088</v>
      </c>
      <c r="H836" s="2646" t="s">
        <v>2088</v>
      </c>
      <c r="I836" s="2646" t="s">
        <v>2088</v>
      </c>
      <c r="J836" s="2646">
        <v>28.5</v>
      </c>
      <c r="L836" s="2646" t="s">
        <v>2088</v>
      </c>
    </row>
    <row r="837" spans="1:12">
      <c r="A837" s="2647" t="s">
        <v>99</v>
      </c>
      <c r="B837" s="2647" t="s">
        <v>2929</v>
      </c>
      <c r="C837" s="2647">
        <v>977.9</v>
      </c>
      <c r="D837" s="2647">
        <v>1130.3</v>
      </c>
      <c r="E837" s="2647">
        <v>66.674999999999997</v>
      </c>
      <c r="F837" s="2647" t="s">
        <v>2088</v>
      </c>
      <c r="G837" s="2647" t="s">
        <v>2088</v>
      </c>
      <c r="H837" s="2647" t="s">
        <v>2088</v>
      </c>
      <c r="I837" s="2647" t="s">
        <v>2088</v>
      </c>
      <c r="J837" s="2647">
        <v>0</v>
      </c>
      <c r="K837" s="2648"/>
      <c r="L837" s="2647" t="s">
        <v>2088</v>
      </c>
    </row>
    <row r="838" spans="1:12">
      <c r="A838" s="2646" t="s">
        <v>99</v>
      </c>
      <c r="B838" s="2646" t="s">
        <v>2930</v>
      </c>
      <c r="C838" s="2646">
        <v>127</v>
      </c>
      <c r="D838" s="2646">
        <v>165.89500000000001</v>
      </c>
      <c r="E838" s="2646">
        <v>18.257999999999999</v>
      </c>
      <c r="F838" s="2646" t="s">
        <v>2088</v>
      </c>
      <c r="G838" s="2646" t="s">
        <v>2088</v>
      </c>
      <c r="H838" s="2646" t="s">
        <v>2088</v>
      </c>
      <c r="I838" s="2646" t="s">
        <v>2088</v>
      </c>
      <c r="J838" s="2646">
        <v>0.46600000000000003</v>
      </c>
      <c r="L838" s="2646" t="s">
        <v>2088</v>
      </c>
    </row>
    <row r="839" spans="1:12">
      <c r="A839" s="2647" t="s">
        <v>99</v>
      </c>
      <c r="B839" s="2647" t="s">
        <v>2931</v>
      </c>
      <c r="C839" s="2647">
        <v>88.9</v>
      </c>
      <c r="D839" s="2647">
        <v>121.44199999999999</v>
      </c>
      <c r="E839" s="2647">
        <v>15.038</v>
      </c>
      <c r="F839" s="2647" t="s">
        <v>2088</v>
      </c>
      <c r="G839" s="2647" t="s">
        <v>2088</v>
      </c>
      <c r="H839" s="2647" t="s">
        <v>2088</v>
      </c>
      <c r="I839" s="2647" t="s">
        <v>2088</v>
      </c>
      <c r="J839" s="2647">
        <v>0</v>
      </c>
      <c r="K839" s="2648"/>
      <c r="L839" s="2647" t="s">
        <v>2088</v>
      </c>
    </row>
    <row r="840" spans="1:12">
      <c r="A840" s="2646" t="s">
        <v>99</v>
      </c>
      <c r="B840" s="2646" t="s">
        <v>2932</v>
      </c>
      <c r="C840" s="2646">
        <v>381</v>
      </c>
      <c r="D840" s="2646">
        <v>479.42500000000001</v>
      </c>
      <c r="E840" s="2646">
        <v>49.212000000000003</v>
      </c>
      <c r="F840" s="2646" t="s">
        <v>2088</v>
      </c>
      <c r="G840" s="2646" t="s">
        <v>2088</v>
      </c>
      <c r="H840" s="2646" t="s">
        <v>2088</v>
      </c>
      <c r="I840" s="2646" t="s">
        <v>2088</v>
      </c>
      <c r="J840" s="2646">
        <v>0</v>
      </c>
      <c r="L840" s="2646" t="s">
        <v>2088</v>
      </c>
    </row>
    <row r="841" spans="1:12">
      <c r="A841" s="2647" t="s">
        <v>99</v>
      </c>
      <c r="B841" s="2647" t="s">
        <v>2933</v>
      </c>
      <c r="C841" s="2647">
        <v>330.2</v>
      </c>
      <c r="D841" s="2647">
        <v>415.92500000000001</v>
      </c>
      <c r="E841" s="2647">
        <v>47.625</v>
      </c>
      <c r="F841" s="2647" t="s">
        <v>2088</v>
      </c>
      <c r="G841" s="2647" t="s">
        <v>2088</v>
      </c>
      <c r="H841" s="2647" t="s">
        <v>2088</v>
      </c>
      <c r="I841" s="2647" t="s">
        <v>2088</v>
      </c>
      <c r="J841" s="2647">
        <v>0</v>
      </c>
      <c r="K841" s="2648"/>
      <c r="L841" s="2647" t="s">
        <v>2088</v>
      </c>
    </row>
    <row r="842" spans="1:12">
      <c r="A842" s="2646" t="s">
        <v>99</v>
      </c>
      <c r="B842" s="2646" t="s">
        <v>2934</v>
      </c>
      <c r="C842" s="2646">
        <v>276.22500000000002</v>
      </c>
      <c r="D842" s="2646">
        <v>352.512</v>
      </c>
      <c r="E842" s="2646">
        <v>36.512</v>
      </c>
      <c r="F842" s="2646" t="s">
        <v>2088</v>
      </c>
      <c r="G842" s="2646" t="s">
        <v>2088</v>
      </c>
      <c r="H842" s="2646" t="s">
        <v>2088</v>
      </c>
      <c r="I842" s="2646" t="s">
        <v>2088</v>
      </c>
      <c r="J842" s="2646">
        <v>0</v>
      </c>
      <c r="L842" s="2646" t="s">
        <v>2088</v>
      </c>
    </row>
    <row r="843" spans="1:12">
      <c r="A843" s="2647" t="s">
        <v>99</v>
      </c>
      <c r="B843" s="2647" t="s">
        <v>2935</v>
      </c>
      <c r="C843" s="2647">
        <v>34.988</v>
      </c>
      <c r="D843" s="2647">
        <v>59.975000000000001</v>
      </c>
      <c r="E843" s="2647">
        <v>15.875</v>
      </c>
      <c r="F843" s="2647" t="s">
        <v>2088</v>
      </c>
      <c r="G843" s="2647" t="s">
        <v>2088</v>
      </c>
      <c r="H843" s="2647" t="s">
        <v>2088</v>
      </c>
      <c r="I843" s="2647" t="s">
        <v>2088</v>
      </c>
      <c r="J843" s="2647">
        <v>0</v>
      </c>
      <c r="K843" s="2648"/>
      <c r="L843" s="2647" t="s">
        <v>2088</v>
      </c>
    </row>
    <row r="844" spans="1:12">
      <c r="A844" s="2646" t="s">
        <v>99</v>
      </c>
      <c r="B844" s="2646" t="s">
        <v>2936</v>
      </c>
      <c r="C844" s="2646">
        <v>34.981000000000002</v>
      </c>
      <c r="D844" s="2646">
        <v>59.131</v>
      </c>
      <c r="E844" s="2646">
        <v>15.875</v>
      </c>
      <c r="F844" s="2646" t="s">
        <v>2088</v>
      </c>
      <c r="G844" s="2646" t="s">
        <v>2088</v>
      </c>
      <c r="H844" s="2646" t="s">
        <v>2088</v>
      </c>
      <c r="I844" s="2646" t="s">
        <v>2088</v>
      </c>
      <c r="J844" s="2646">
        <v>0.16600000000000001</v>
      </c>
      <c r="L844" s="2646" t="s">
        <v>2088</v>
      </c>
    </row>
    <row r="845" spans="1:12">
      <c r="A845" s="2647" t="s">
        <v>99</v>
      </c>
      <c r="B845" s="2647" t="s">
        <v>2937</v>
      </c>
      <c r="C845" s="2647">
        <v>63.5</v>
      </c>
      <c r="D845" s="2647">
        <v>94.457999999999998</v>
      </c>
      <c r="E845" s="2647">
        <v>19.05</v>
      </c>
      <c r="F845" s="2647" t="s">
        <v>2088</v>
      </c>
      <c r="G845" s="2647" t="s">
        <v>2088</v>
      </c>
      <c r="H845" s="2647" t="s">
        <v>2088</v>
      </c>
      <c r="I845" s="2647" t="s">
        <v>2088</v>
      </c>
      <c r="J845" s="2647">
        <v>0.44900000000000001</v>
      </c>
      <c r="K845" s="2648"/>
      <c r="L845" s="2647" t="s">
        <v>2088</v>
      </c>
    </row>
    <row r="846" spans="1:12">
      <c r="A846" s="2646" t="s">
        <v>99</v>
      </c>
      <c r="B846" s="2646" t="s">
        <v>2938</v>
      </c>
      <c r="C846" s="2646">
        <v>63.5</v>
      </c>
      <c r="D846" s="2646">
        <v>94.457999999999998</v>
      </c>
      <c r="E846" s="2646">
        <v>19.05</v>
      </c>
      <c r="F846" s="2646" t="s">
        <v>2088</v>
      </c>
      <c r="G846" s="2646" t="s">
        <v>2088</v>
      </c>
      <c r="H846" s="2646" t="s">
        <v>2088</v>
      </c>
      <c r="I846" s="2646" t="s">
        <v>2088</v>
      </c>
      <c r="J846" s="2646">
        <v>0</v>
      </c>
      <c r="L846" s="2646" t="s">
        <v>2088</v>
      </c>
    </row>
    <row r="847" spans="1:12">
      <c r="A847" s="2647" t="s">
        <v>99</v>
      </c>
      <c r="B847" s="2647" t="s">
        <v>2939</v>
      </c>
      <c r="C847" s="2647">
        <v>107.95</v>
      </c>
      <c r="D847" s="2647">
        <v>146.05000000000001</v>
      </c>
      <c r="E847" s="2647">
        <v>21.433</v>
      </c>
      <c r="F847" s="2647" t="s">
        <v>2088</v>
      </c>
      <c r="G847" s="2647" t="s">
        <v>2088</v>
      </c>
      <c r="H847" s="2647" t="s">
        <v>2088</v>
      </c>
      <c r="I847" s="2647" t="s">
        <v>2088</v>
      </c>
      <c r="J847" s="2647">
        <v>0</v>
      </c>
      <c r="K847" s="2648"/>
      <c r="L847" s="2647" t="s">
        <v>2088</v>
      </c>
    </row>
    <row r="848" spans="1:12">
      <c r="A848" s="2646" t="s">
        <v>99</v>
      </c>
      <c r="B848" s="2646" t="s">
        <v>2940</v>
      </c>
      <c r="C848" s="2646">
        <v>75</v>
      </c>
      <c r="D848" s="2646">
        <v>120</v>
      </c>
      <c r="E848" s="2646">
        <v>31</v>
      </c>
      <c r="F848" s="2646" t="s">
        <v>2088</v>
      </c>
      <c r="G848" s="2646" t="s">
        <v>2088</v>
      </c>
      <c r="H848" s="2646" t="s">
        <v>2088</v>
      </c>
      <c r="I848" s="2646" t="s">
        <v>2088</v>
      </c>
      <c r="J848" s="2646">
        <v>1.28</v>
      </c>
      <c r="L848" s="2646" t="s">
        <v>2088</v>
      </c>
    </row>
    <row r="849" spans="1:12">
      <c r="A849" s="2647" t="s">
        <v>99</v>
      </c>
      <c r="B849" s="2647" t="s">
        <v>2941</v>
      </c>
      <c r="C849" s="2647">
        <v>65</v>
      </c>
      <c r="D849" s="2647">
        <v>110</v>
      </c>
      <c r="E849" s="2647">
        <v>28</v>
      </c>
      <c r="F849" s="2647" t="s">
        <v>2088</v>
      </c>
      <c r="G849" s="2647" t="s">
        <v>2088</v>
      </c>
      <c r="H849" s="2647" t="s">
        <v>2088</v>
      </c>
      <c r="I849" s="2647" t="s">
        <v>2088</v>
      </c>
      <c r="J849" s="2647">
        <v>1.06</v>
      </c>
      <c r="K849" s="2648"/>
      <c r="L849" s="2647" t="s">
        <v>2088</v>
      </c>
    </row>
    <row r="850" spans="1:12">
      <c r="A850" s="2646" t="s">
        <v>99</v>
      </c>
      <c r="B850" s="2646" t="s">
        <v>2942</v>
      </c>
      <c r="C850" s="2646">
        <v>50</v>
      </c>
      <c r="D850" s="2646">
        <v>82</v>
      </c>
      <c r="E850" s="2646">
        <v>21.975999999999999</v>
      </c>
      <c r="F850" s="2646" t="s">
        <v>2088</v>
      </c>
      <c r="G850" s="2646" t="s">
        <v>2088</v>
      </c>
      <c r="H850" s="2646" t="s">
        <v>2088</v>
      </c>
      <c r="I850" s="2646" t="s">
        <v>2088</v>
      </c>
      <c r="J850" s="2646">
        <v>0.42499999999999999</v>
      </c>
      <c r="L850" s="2646" t="s">
        <v>2088</v>
      </c>
    </row>
    <row r="851" spans="1:12">
      <c r="A851" s="2647" t="s">
        <v>99</v>
      </c>
      <c r="B851" s="2647" t="s">
        <v>2943</v>
      </c>
      <c r="C851" s="2647">
        <v>254</v>
      </c>
      <c r="D851" s="2647">
        <v>324.97500000000002</v>
      </c>
      <c r="E851" s="2647">
        <v>39</v>
      </c>
      <c r="F851" s="2647" t="s">
        <v>2088</v>
      </c>
      <c r="G851" s="2647" t="s">
        <v>2088</v>
      </c>
      <c r="H851" s="2647" t="s">
        <v>2088</v>
      </c>
      <c r="I851" s="2647" t="s">
        <v>2088</v>
      </c>
      <c r="J851" s="2647">
        <v>8.06</v>
      </c>
      <c r="K851" s="2648"/>
      <c r="L851" s="2647" t="s">
        <v>2088</v>
      </c>
    </row>
    <row r="852" spans="1:12">
      <c r="A852" s="2646" t="s">
        <v>99</v>
      </c>
      <c r="B852" s="2646" t="s">
        <v>2944</v>
      </c>
      <c r="C852" s="2646">
        <v>170</v>
      </c>
      <c r="D852" s="2646">
        <v>230</v>
      </c>
      <c r="E852" s="2646">
        <v>39</v>
      </c>
      <c r="F852" s="2646" t="s">
        <v>2088</v>
      </c>
      <c r="G852" s="2646" t="s">
        <v>2088</v>
      </c>
      <c r="H852" s="2646" t="s">
        <v>2088</v>
      </c>
      <c r="I852" s="2646" t="s">
        <v>2088</v>
      </c>
      <c r="J852" s="2646">
        <v>4.45</v>
      </c>
      <c r="L852" s="2646" t="s">
        <v>2088</v>
      </c>
    </row>
    <row r="853" spans="1:12">
      <c r="A853" s="2647" t="s">
        <v>99</v>
      </c>
      <c r="B853" s="2647" t="s">
        <v>2945</v>
      </c>
      <c r="C853" s="2647">
        <v>65</v>
      </c>
      <c r="D853" s="2647">
        <v>120</v>
      </c>
      <c r="E853" s="2647">
        <v>39</v>
      </c>
      <c r="F853" s="2647" t="s">
        <v>2088</v>
      </c>
      <c r="G853" s="2647" t="s">
        <v>2088</v>
      </c>
      <c r="H853" s="2647" t="s">
        <v>2088</v>
      </c>
      <c r="I853" s="2647" t="s">
        <v>2088</v>
      </c>
      <c r="J853" s="2647">
        <v>1.86</v>
      </c>
      <c r="K853" s="2648"/>
      <c r="L853" s="2647" t="s">
        <v>2088</v>
      </c>
    </row>
    <row r="854" spans="1:12">
      <c r="A854" s="2646" t="s">
        <v>99</v>
      </c>
      <c r="B854" s="2646" t="s">
        <v>2946</v>
      </c>
      <c r="C854" s="2646">
        <v>114.3</v>
      </c>
      <c r="D854" s="2646">
        <v>228.6</v>
      </c>
      <c r="E854" s="2646">
        <v>33.975000000000001</v>
      </c>
      <c r="F854" s="2646" t="s">
        <v>2088</v>
      </c>
      <c r="G854" s="2646" t="s">
        <v>2088</v>
      </c>
      <c r="H854" s="2646" t="s">
        <v>2088</v>
      </c>
      <c r="I854" s="2646" t="s">
        <v>2088</v>
      </c>
      <c r="J854" s="2646">
        <v>9.7799999999999994</v>
      </c>
      <c r="L854" s="2646" t="s">
        <v>2088</v>
      </c>
    </row>
    <row r="855" spans="1:12">
      <c r="A855" s="2647" t="s">
        <v>99</v>
      </c>
      <c r="B855" s="2647" t="s">
        <v>2947</v>
      </c>
      <c r="C855" s="2647">
        <v>53.975000000000001</v>
      </c>
      <c r="D855" s="2647">
        <v>130.17500000000001</v>
      </c>
      <c r="E855" s="2647">
        <v>36.512</v>
      </c>
      <c r="F855" s="2647" t="s">
        <v>2088</v>
      </c>
      <c r="G855" s="2647" t="s">
        <v>2088</v>
      </c>
      <c r="H855" s="2647" t="s">
        <v>2088</v>
      </c>
      <c r="I855" s="2647" t="s">
        <v>2088</v>
      </c>
      <c r="J855" s="2647">
        <v>2.2400000000000002</v>
      </c>
      <c r="K855" s="2648"/>
      <c r="L855" s="2647" t="s">
        <v>2088</v>
      </c>
    </row>
    <row r="856" spans="1:12">
      <c r="A856" s="2646" t="s">
        <v>99</v>
      </c>
      <c r="B856" s="2646" t="s">
        <v>2948</v>
      </c>
      <c r="C856" s="2646">
        <v>117.8</v>
      </c>
      <c r="D856" s="2646">
        <v>288.92500000000001</v>
      </c>
      <c r="E856" s="2646">
        <v>63.5</v>
      </c>
      <c r="F856" s="2646" t="s">
        <v>2088</v>
      </c>
      <c r="G856" s="2646" t="s">
        <v>2088</v>
      </c>
      <c r="H856" s="2646" t="s">
        <v>2088</v>
      </c>
      <c r="I856" s="2646" t="s">
        <v>2088</v>
      </c>
      <c r="J856" s="2646">
        <v>16.7</v>
      </c>
      <c r="L856" s="2646" t="s">
        <v>2088</v>
      </c>
    </row>
    <row r="857" spans="1:12">
      <c r="A857" s="2647" t="s">
        <v>99</v>
      </c>
      <c r="B857" s="2647" t="s">
        <v>2949</v>
      </c>
      <c r="C857" s="2647">
        <v>174.625</v>
      </c>
      <c r="D857" s="2647">
        <v>288.92500000000001</v>
      </c>
      <c r="E857" s="2647">
        <v>63.5</v>
      </c>
      <c r="F857" s="2647" t="s">
        <v>2088</v>
      </c>
      <c r="G857" s="2647" t="s">
        <v>2088</v>
      </c>
      <c r="H857" s="2647" t="s">
        <v>2088</v>
      </c>
      <c r="I857" s="2647" t="s">
        <v>2088</v>
      </c>
      <c r="J857" s="2647">
        <v>16.899999999999999</v>
      </c>
      <c r="K857" s="2648"/>
      <c r="L857" s="2647" t="s">
        <v>2088</v>
      </c>
    </row>
    <row r="858" spans="1:12">
      <c r="A858" s="2646" t="s">
        <v>99</v>
      </c>
      <c r="B858" s="2646" t="s">
        <v>2950</v>
      </c>
      <c r="C858" s="2646">
        <v>165.1</v>
      </c>
      <c r="D858" s="2646">
        <v>336.55</v>
      </c>
      <c r="E858" s="2646">
        <v>92.075000000000003</v>
      </c>
      <c r="F858" s="2646" t="s">
        <v>2088</v>
      </c>
      <c r="G858" s="2646" t="s">
        <v>2088</v>
      </c>
      <c r="H858" s="2646" t="s">
        <v>2088</v>
      </c>
      <c r="I858" s="2646" t="s">
        <v>2088</v>
      </c>
      <c r="J858" s="2646">
        <v>37.4</v>
      </c>
      <c r="L858" s="2646" t="s">
        <v>2088</v>
      </c>
    </row>
    <row r="859" spans="1:12">
      <c r="A859" s="2647" t="s">
        <v>99</v>
      </c>
      <c r="B859" s="2647" t="s">
        <v>2951</v>
      </c>
      <c r="C859" s="2647">
        <v>206.375</v>
      </c>
      <c r="D859" s="2647">
        <v>336.55</v>
      </c>
      <c r="E859" s="2647">
        <v>98.424999999999997</v>
      </c>
      <c r="F859" s="2647" t="s">
        <v>2088</v>
      </c>
      <c r="G859" s="2647" t="s">
        <v>2088</v>
      </c>
      <c r="H859" s="2647" t="s">
        <v>2088</v>
      </c>
      <c r="I859" s="2647" t="s">
        <v>2088</v>
      </c>
      <c r="J859" s="2647">
        <v>33</v>
      </c>
      <c r="K859" s="2648"/>
      <c r="L859" s="2647" t="s">
        <v>2088</v>
      </c>
    </row>
    <row r="860" spans="1:12">
      <c r="A860" s="2646" t="s">
        <v>99</v>
      </c>
      <c r="B860" s="2646" t="s">
        <v>2952</v>
      </c>
      <c r="C860" s="2646">
        <v>127</v>
      </c>
      <c r="D860" s="2646">
        <v>228.6</v>
      </c>
      <c r="E860" s="2646">
        <v>53.975000000000001</v>
      </c>
      <c r="F860" s="2646" t="s">
        <v>2088</v>
      </c>
      <c r="G860" s="2646" t="s">
        <v>2088</v>
      </c>
      <c r="H860" s="2646" t="s">
        <v>2088</v>
      </c>
      <c r="I860" s="2646" t="s">
        <v>2088</v>
      </c>
      <c r="J860" s="2646">
        <v>0</v>
      </c>
      <c r="L860" s="2646" t="s">
        <v>2088</v>
      </c>
    </row>
    <row r="861" spans="1:12">
      <c r="A861" s="2647" t="s">
        <v>99</v>
      </c>
      <c r="B861" s="2647" t="s">
        <v>2953</v>
      </c>
      <c r="C861" s="2647">
        <v>60.325000000000003</v>
      </c>
      <c r="D861" s="2647">
        <v>130.17500000000001</v>
      </c>
      <c r="E861" s="2647">
        <v>36.512</v>
      </c>
      <c r="F861" s="2647" t="s">
        <v>2088</v>
      </c>
      <c r="G861" s="2647" t="s">
        <v>2088</v>
      </c>
      <c r="H861" s="2647" t="s">
        <v>2088</v>
      </c>
      <c r="I861" s="2647" t="s">
        <v>2088</v>
      </c>
      <c r="J861" s="2647">
        <v>0</v>
      </c>
      <c r="K861" s="2648"/>
      <c r="L861" s="2647" t="s">
        <v>2088</v>
      </c>
    </row>
    <row r="862" spans="1:12">
      <c r="A862" s="2646" t="s">
        <v>99</v>
      </c>
      <c r="B862" s="2646" t="s">
        <v>2954</v>
      </c>
      <c r="C862" s="2646">
        <v>44.45</v>
      </c>
      <c r="D862" s="2646">
        <v>95.25</v>
      </c>
      <c r="E862" s="2646">
        <v>30.957999999999998</v>
      </c>
      <c r="F862" s="2646" t="s">
        <v>2088</v>
      </c>
      <c r="G862" s="2646" t="s">
        <v>2088</v>
      </c>
      <c r="H862" s="2646" t="s">
        <v>2088</v>
      </c>
      <c r="I862" s="2646" t="s">
        <v>2088</v>
      </c>
      <c r="J862" s="2646">
        <v>0</v>
      </c>
      <c r="L862" s="2646" t="s">
        <v>2088</v>
      </c>
    </row>
    <row r="863" spans="1:12">
      <c r="A863" s="2647" t="s">
        <v>99</v>
      </c>
      <c r="B863" s="2647" t="s">
        <v>2955</v>
      </c>
      <c r="C863" s="2647">
        <v>44.45</v>
      </c>
      <c r="D863" s="2647">
        <v>95.25</v>
      </c>
      <c r="E863" s="2647">
        <v>30.957999999999998</v>
      </c>
      <c r="F863" s="2647" t="s">
        <v>2088</v>
      </c>
      <c r="G863" s="2647" t="s">
        <v>2088</v>
      </c>
      <c r="H863" s="2647" t="s">
        <v>2088</v>
      </c>
      <c r="I863" s="2647" t="s">
        <v>2088</v>
      </c>
      <c r="J863" s="2647">
        <v>0.99</v>
      </c>
      <c r="K863" s="2648"/>
      <c r="L863" s="2647" t="s">
        <v>2088</v>
      </c>
    </row>
    <row r="864" spans="1:12">
      <c r="A864" s="2646" t="s">
        <v>99</v>
      </c>
      <c r="B864" s="2646" t="s">
        <v>2956</v>
      </c>
      <c r="C864" s="2646">
        <v>36.512</v>
      </c>
      <c r="D864" s="2646">
        <v>76.2</v>
      </c>
      <c r="E864" s="2646">
        <v>29.37</v>
      </c>
      <c r="F864" s="2646" t="s">
        <v>2088</v>
      </c>
      <c r="G864" s="2646" t="s">
        <v>2088</v>
      </c>
      <c r="H864" s="2646" t="s">
        <v>2088</v>
      </c>
      <c r="I864" s="2646" t="s">
        <v>2088</v>
      </c>
      <c r="J864" s="2646">
        <v>0</v>
      </c>
      <c r="L864" s="2646" t="s">
        <v>2088</v>
      </c>
    </row>
    <row r="865" spans="1:12">
      <c r="A865" s="2647" t="s">
        <v>99</v>
      </c>
      <c r="B865" s="2647" t="s">
        <v>2957</v>
      </c>
      <c r="C865" s="2647">
        <v>36.512999999999998</v>
      </c>
      <c r="D865" s="2647">
        <v>76.2</v>
      </c>
      <c r="E865" s="2647">
        <v>29.37</v>
      </c>
      <c r="F865" s="2647" t="s">
        <v>2088</v>
      </c>
      <c r="G865" s="2647" t="s">
        <v>2088</v>
      </c>
      <c r="H865" s="2647" t="s">
        <v>2088</v>
      </c>
      <c r="I865" s="2647" t="s">
        <v>2088</v>
      </c>
      <c r="J865" s="2647">
        <v>0.63200000000000001</v>
      </c>
      <c r="K865" s="2648"/>
      <c r="L865" s="2647" t="s">
        <v>2088</v>
      </c>
    </row>
    <row r="866" spans="1:12">
      <c r="A866" s="2646" t="s">
        <v>99</v>
      </c>
      <c r="B866" s="2646" t="s">
        <v>2958</v>
      </c>
      <c r="C866" s="2646">
        <v>34.924999999999997</v>
      </c>
      <c r="D866" s="2646">
        <v>76.2</v>
      </c>
      <c r="E866" s="2646">
        <v>29.37</v>
      </c>
      <c r="F866" s="2646" t="s">
        <v>2088</v>
      </c>
      <c r="G866" s="2646" t="s">
        <v>2088</v>
      </c>
      <c r="H866" s="2646" t="s">
        <v>2088</v>
      </c>
      <c r="I866" s="2646" t="s">
        <v>2088</v>
      </c>
      <c r="J866" s="2646">
        <v>0.64600000000000002</v>
      </c>
      <c r="L866" s="2646" t="s">
        <v>2088</v>
      </c>
    </row>
    <row r="867" spans="1:12">
      <c r="A867" s="2647" t="s">
        <v>99</v>
      </c>
      <c r="B867" s="2647" t="s">
        <v>2959</v>
      </c>
      <c r="C867" s="2647">
        <v>34.924999999999997</v>
      </c>
      <c r="D867" s="2647">
        <v>76.2</v>
      </c>
      <c r="E867" s="2647">
        <v>29.37</v>
      </c>
      <c r="F867" s="2647" t="s">
        <v>2088</v>
      </c>
      <c r="G867" s="2647" t="s">
        <v>2088</v>
      </c>
      <c r="H867" s="2647" t="s">
        <v>2088</v>
      </c>
      <c r="I867" s="2647" t="s">
        <v>2088</v>
      </c>
      <c r="J867" s="2647">
        <v>0.65700000000000003</v>
      </c>
      <c r="K867" s="2648"/>
      <c r="L867" s="2647" t="s">
        <v>2088</v>
      </c>
    </row>
    <row r="868" spans="1:12">
      <c r="A868" s="2646" t="s">
        <v>99</v>
      </c>
      <c r="B868" s="2646" t="s">
        <v>2960</v>
      </c>
      <c r="C868" s="2646">
        <v>33.338000000000001</v>
      </c>
      <c r="D868" s="2646">
        <v>76.2</v>
      </c>
      <c r="E868" s="2646">
        <v>29.37</v>
      </c>
      <c r="F868" s="2646" t="s">
        <v>2088</v>
      </c>
      <c r="G868" s="2646" t="s">
        <v>2088</v>
      </c>
      <c r="H868" s="2646" t="s">
        <v>2088</v>
      </c>
      <c r="I868" s="2646" t="s">
        <v>2088</v>
      </c>
      <c r="J868" s="2646">
        <v>0</v>
      </c>
      <c r="L868" s="2646" t="s">
        <v>2088</v>
      </c>
    </row>
    <row r="869" spans="1:12">
      <c r="A869" s="2647" t="s">
        <v>99</v>
      </c>
      <c r="B869" s="2647" t="s">
        <v>2961</v>
      </c>
      <c r="C869" s="2647">
        <v>33.338000000000001</v>
      </c>
      <c r="D869" s="2647">
        <v>76.2</v>
      </c>
      <c r="E869" s="2647">
        <v>29.37</v>
      </c>
      <c r="F869" s="2647" t="s">
        <v>2088</v>
      </c>
      <c r="G869" s="2647" t="s">
        <v>2088</v>
      </c>
      <c r="H869" s="2647" t="s">
        <v>2088</v>
      </c>
      <c r="I869" s="2647" t="s">
        <v>2088</v>
      </c>
      <c r="J869" s="2647">
        <v>0</v>
      </c>
      <c r="K869" s="2648"/>
      <c r="L869" s="2647" t="s">
        <v>2088</v>
      </c>
    </row>
    <row r="870" spans="1:12">
      <c r="A870" s="2646" t="s">
        <v>99</v>
      </c>
      <c r="B870" s="2646" t="s">
        <v>2962</v>
      </c>
      <c r="C870" s="2646">
        <v>31.75</v>
      </c>
      <c r="D870" s="2646">
        <v>76.2</v>
      </c>
      <c r="E870" s="2646">
        <v>29.37</v>
      </c>
      <c r="F870" s="2646" t="s">
        <v>2088</v>
      </c>
      <c r="G870" s="2646" t="s">
        <v>2088</v>
      </c>
      <c r="H870" s="2646" t="s">
        <v>2088</v>
      </c>
      <c r="I870" s="2646" t="s">
        <v>2088</v>
      </c>
      <c r="J870" s="2646">
        <v>0</v>
      </c>
      <c r="L870" s="2646" t="s">
        <v>2088</v>
      </c>
    </row>
    <row r="871" spans="1:12">
      <c r="A871" s="2647" t="s">
        <v>99</v>
      </c>
      <c r="B871" s="2647" t="s">
        <v>2963</v>
      </c>
      <c r="C871" s="2647">
        <v>34.924999999999997</v>
      </c>
      <c r="D871" s="2647">
        <v>72.233000000000004</v>
      </c>
      <c r="E871" s="2647">
        <v>25.4</v>
      </c>
      <c r="F871" s="2647" t="s">
        <v>2088</v>
      </c>
      <c r="G871" s="2647" t="s">
        <v>2088</v>
      </c>
      <c r="H871" s="2647" t="s">
        <v>2088</v>
      </c>
      <c r="I871" s="2647" t="s">
        <v>2088</v>
      </c>
      <c r="J871" s="2647">
        <v>0.48899999999999999</v>
      </c>
      <c r="K871" s="2648"/>
      <c r="L871" s="2647" t="s">
        <v>2088</v>
      </c>
    </row>
    <row r="872" spans="1:12">
      <c r="A872" s="2646" t="s">
        <v>99</v>
      </c>
      <c r="B872" s="2646" t="s">
        <v>2964</v>
      </c>
      <c r="C872" s="2646">
        <v>0</v>
      </c>
      <c r="D872" s="2646">
        <v>0</v>
      </c>
      <c r="E872" s="2646">
        <v>0</v>
      </c>
      <c r="F872" s="2646" t="s">
        <v>2088</v>
      </c>
      <c r="G872" s="2646" t="s">
        <v>2088</v>
      </c>
      <c r="H872" s="2646" t="s">
        <v>2088</v>
      </c>
      <c r="I872" s="2646" t="s">
        <v>2088</v>
      </c>
      <c r="J872" s="2646">
        <v>0</v>
      </c>
      <c r="L872" s="2646" t="s">
        <v>2088</v>
      </c>
    </row>
    <row r="873" spans="1:12">
      <c r="A873" s="2647" t="s">
        <v>99</v>
      </c>
      <c r="B873" s="2647" t="s">
        <v>2965</v>
      </c>
      <c r="C873" s="2647">
        <v>31.75</v>
      </c>
      <c r="D873" s="2647">
        <v>73.025000000000006</v>
      </c>
      <c r="E873" s="2647">
        <v>29.37</v>
      </c>
      <c r="F873" s="2647" t="s">
        <v>2088</v>
      </c>
      <c r="G873" s="2647" t="s">
        <v>2088</v>
      </c>
      <c r="H873" s="2647" t="s">
        <v>2088</v>
      </c>
      <c r="I873" s="2647" t="s">
        <v>2088</v>
      </c>
      <c r="J873" s="2647">
        <v>0.61799999999999999</v>
      </c>
      <c r="K873" s="2648"/>
      <c r="L873" s="2647" t="s">
        <v>2088</v>
      </c>
    </row>
    <row r="874" spans="1:12">
      <c r="A874" s="2646" t="s">
        <v>99</v>
      </c>
      <c r="B874" s="2646" t="s">
        <v>2966</v>
      </c>
      <c r="C874" s="2646">
        <v>71.438000000000002</v>
      </c>
      <c r="D874" s="2646">
        <v>127</v>
      </c>
      <c r="E874" s="2646">
        <v>36.512</v>
      </c>
      <c r="F874" s="2646" t="s">
        <v>2088</v>
      </c>
      <c r="G874" s="2646" t="s">
        <v>2088</v>
      </c>
      <c r="H874" s="2646" t="s">
        <v>2088</v>
      </c>
      <c r="I874" s="2646" t="s">
        <v>2088</v>
      </c>
      <c r="J874" s="2646">
        <v>0</v>
      </c>
      <c r="L874" s="2646" t="s">
        <v>2088</v>
      </c>
    </row>
    <row r="875" spans="1:12">
      <c r="A875" s="2647" t="s">
        <v>99</v>
      </c>
      <c r="B875" s="2647" t="s">
        <v>2967</v>
      </c>
      <c r="C875" s="2647">
        <v>69.849999999999994</v>
      </c>
      <c r="D875" s="2647">
        <v>127</v>
      </c>
      <c r="E875" s="2647">
        <v>36.512</v>
      </c>
      <c r="F875" s="2647" t="s">
        <v>2088</v>
      </c>
      <c r="G875" s="2647" t="s">
        <v>2088</v>
      </c>
      <c r="H875" s="2647" t="s">
        <v>2088</v>
      </c>
      <c r="I875" s="2647" t="s">
        <v>2088</v>
      </c>
      <c r="J875" s="2647">
        <v>0</v>
      </c>
      <c r="K875" s="2648"/>
      <c r="L875" s="2647" t="s">
        <v>2088</v>
      </c>
    </row>
    <row r="876" spans="1:12">
      <c r="A876" s="2646" t="s">
        <v>99</v>
      </c>
      <c r="B876" s="2646" t="s">
        <v>2968</v>
      </c>
      <c r="C876" s="2646">
        <v>61.911999999999999</v>
      </c>
      <c r="D876" s="2646">
        <v>127</v>
      </c>
      <c r="E876" s="2646">
        <v>36.512</v>
      </c>
      <c r="F876" s="2646" t="s">
        <v>2088</v>
      </c>
      <c r="G876" s="2646" t="s">
        <v>2088</v>
      </c>
      <c r="H876" s="2646" t="s">
        <v>2088</v>
      </c>
      <c r="I876" s="2646" t="s">
        <v>2088</v>
      </c>
      <c r="J876" s="2646">
        <v>0</v>
      </c>
      <c r="L876" s="2646" t="s">
        <v>2088</v>
      </c>
    </row>
    <row r="877" spans="1:12">
      <c r="A877" s="2647" t="s">
        <v>99</v>
      </c>
      <c r="B877" s="2647" t="s">
        <v>2969</v>
      </c>
      <c r="C877" s="2647">
        <v>63.5</v>
      </c>
      <c r="D877" s="2647">
        <v>127</v>
      </c>
      <c r="E877" s="2647">
        <v>36.512</v>
      </c>
      <c r="F877" s="2647" t="s">
        <v>2088</v>
      </c>
      <c r="G877" s="2647" t="s">
        <v>2088</v>
      </c>
      <c r="H877" s="2647" t="s">
        <v>2088</v>
      </c>
      <c r="I877" s="2647" t="s">
        <v>2088</v>
      </c>
      <c r="J877" s="2647">
        <v>0</v>
      </c>
      <c r="K877" s="2648"/>
      <c r="L877" s="2647" t="s">
        <v>2088</v>
      </c>
    </row>
    <row r="878" spans="1:12">
      <c r="A878" s="2646" t="s">
        <v>99</v>
      </c>
      <c r="B878" s="2646" t="s">
        <v>2970</v>
      </c>
      <c r="C878" s="2646">
        <v>60.325000000000003</v>
      </c>
      <c r="D878" s="2646">
        <v>127</v>
      </c>
      <c r="E878" s="2646">
        <v>36.512</v>
      </c>
      <c r="F878" s="2646" t="s">
        <v>2088</v>
      </c>
      <c r="G878" s="2646" t="s">
        <v>2088</v>
      </c>
      <c r="H878" s="2646" t="s">
        <v>2088</v>
      </c>
      <c r="I878" s="2646" t="s">
        <v>2088</v>
      </c>
      <c r="J878" s="2646">
        <v>0</v>
      </c>
      <c r="L878" s="2646" t="s">
        <v>2088</v>
      </c>
    </row>
    <row r="879" spans="1:12">
      <c r="A879" s="2647" t="s">
        <v>99</v>
      </c>
      <c r="B879" s="2647" t="s">
        <v>2971</v>
      </c>
      <c r="C879" s="2647">
        <v>50.8</v>
      </c>
      <c r="D879" s="2647">
        <v>104.77500000000001</v>
      </c>
      <c r="E879" s="2647">
        <v>36.512</v>
      </c>
      <c r="F879" s="2647" t="s">
        <v>2088</v>
      </c>
      <c r="G879" s="2647" t="s">
        <v>2088</v>
      </c>
      <c r="H879" s="2647" t="s">
        <v>2088</v>
      </c>
      <c r="I879" s="2647" t="s">
        <v>2088</v>
      </c>
      <c r="J879" s="2647">
        <v>1.49</v>
      </c>
      <c r="K879" s="2648"/>
      <c r="L879" s="2647" t="s">
        <v>2088</v>
      </c>
    </row>
    <row r="880" spans="1:12">
      <c r="A880" s="2646" t="s">
        <v>99</v>
      </c>
      <c r="B880" s="2646" t="s">
        <v>2972</v>
      </c>
      <c r="C880" s="2646">
        <v>44.45</v>
      </c>
      <c r="D880" s="2646">
        <v>104.175</v>
      </c>
      <c r="E880" s="2646">
        <v>36.512</v>
      </c>
      <c r="F880" s="2646" t="s">
        <v>2088</v>
      </c>
      <c r="G880" s="2646" t="s">
        <v>2088</v>
      </c>
      <c r="H880" s="2646" t="s">
        <v>2088</v>
      </c>
      <c r="I880" s="2646" t="s">
        <v>2088</v>
      </c>
      <c r="J880" s="2646">
        <v>1.62</v>
      </c>
      <c r="L880" s="2646" t="s">
        <v>2088</v>
      </c>
    </row>
    <row r="881" spans="1:12">
      <c r="A881" s="2647" t="s">
        <v>99</v>
      </c>
      <c r="B881" s="2647" t="s">
        <v>2973</v>
      </c>
      <c r="C881" s="2647">
        <v>44.45</v>
      </c>
      <c r="D881" s="2647">
        <v>92.075000000000003</v>
      </c>
      <c r="E881" s="2647">
        <v>30.161999999999999</v>
      </c>
      <c r="F881" s="2647" t="s">
        <v>2088</v>
      </c>
      <c r="G881" s="2647" t="s">
        <v>2088</v>
      </c>
      <c r="H881" s="2647" t="s">
        <v>2088</v>
      </c>
      <c r="I881" s="2647" t="s">
        <v>2088</v>
      </c>
      <c r="J881" s="2647">
        <v>0.95299999999999996</v>
      </c>
      <c r="K881" s="2648"/>
      <c r="L881" s="2647" t="s">
        <v>2088</v>
      </c>
    </row>
    <row r="882" spans="1:12">
      <c r="A882" s="2646" t="s">
        <v>99</v>
      </c>
      <c r="B882" s="2646" t="s">
        <v>2974</v>
      </c>
      <c r="C882" s="2646">
        <v>44.45</v>
      </c>
      <c r="D882" s="2646">
        <v>88.9</v>
      </c>
      <c r="E882" s="2646">
        <v>30.161999999999999</v>
      </c>
      <c r="F882" s="2646" t="s">
        <v>2088</v>
      </c>
      <c r="G882" s="2646" t="s">
        <v>2088</v>
      </c>
      <c r="H882" s="2646" t="s">
        <v>2088</v>
      </c>
      <c r="I882" s="2646" t="s">
        <v>2088</v>
      </c>
      <c r="J882" s="2646">
        <v>0.83499999999999996</v>
      </c>
      <c r="L882" s="2646" t="s">
        <v>2088</v>
      </c>
    </row>
    <row r="883" spans="1:12">
      <c r="A883" s="2647" t="s">
        <v>99</v>
      </c>
      <c r="B883" s="2647" t="s">
        <v>2975</v>
      </c>
      <c r="C883" s="2647">
        <v>44.45</v>
      </c>
      <c r="D883" s="2647">
        <v>88.9</v>
      </c>
      <c r="E883" s="2647">
        <v>30.161999999999999</v>
      </c>
      <c r="F883" s="2647" t="s">
        <v>2088</v>
      </c>
      <c r="G883" s="2647" t="s">
        <v>2088</v>
      </c>
      <c r="H883" s="2647" t="s">
        <v>2088</v>
      </c>
      <c r="I883" s="2647" t="s">
        <v>2088</v>
      </c>
      <c r="J883" s="2647">
        <v>0.83</v>
      </c>
      <c r="K883" s="2648"/>
      <c r="L883" s="2647" t="s">
        <v>2088</v>
      </c>
    </row>
    <row r="884" spans="1:12">
      <c r="A884" s="2646" t="s">
        <v>99</v>
      </c>
      <c r="B884" s="2646" t="s">
        <v>2976</v>
      </c>
      <c r="C884" s="2646">
        <v>41.274999999999999</v>
      </c>
      <c r="D884" s="2646">
        <v>88.9</v>
      </c>
      <c r="E884" s="2646">
        <v>30.161999999999999</v>
      </c>
      <c r="F884" s="2646" t="s">
        <v>2088</v>
      </c>
      <c r="G884" s="2646" t="s">
        <v>2088</v>
      </c>
      <c r="H884" s="2646" t="s">
        <v>2088</v>
      </c>
      <c r="I884" s="2646" t="s">
        <v>2088</v>
      </c>
      <c r="J884" s="2646">
        <v>0.91500000000000004</v>
      </c>
      <c r="L884" s="2646" t="s">
        <v>2088</v>
      </c>
    </row>
    <row r="885" spans="1:12">
      <c r="A885" s="2647" t="s">
        <v>99</v>
      </c>
      <c r="B885" s="2647" t="s">
        <v>2977</v>
      </c>
      <c r="C885" s="2647">
        <v>41.274999999999999</v>
      </c>
      <c r="D885" s="2647">
        <v>88.9</v>
      </c>
      <c r="E885" s="2647">
        <v>30.163</v>
      </c>
      <c r="F885" s="2647" t="s">
        <v>2088</v>
      </c>
      <c r="G885" s="2647" t="s">
        <v>2088</v>
      </c>
      <c r="H885" s="2647" t="s">
        <v>2088</v>
      </c>
      <c r="I885" s="2647" t="s">
        <v>2088</v>
      </c>
      <c r="J885" s="2647">
        <v>0.89200000000000002</v>
      </c>
      <c r="K885" s="2648"/>
      <c r="L885" s="2647" t="s">
        <v>2088</v>
      </c>
    </row>
    <row r="886" spans="1:12">
      <c r="A886" s="2646" t="s">
        <v>99</v>
      </c>
      <c r="B886" s="2646" t="s">
        <v>2978</v>
      </c>
      <c r="C886" s="2646">
        <v>38.1</v>
      </c>
      <c r="D886" s="2646">
        <v>82.55</v>
      </c>
      <c r="E886" s="2646">
        <v>29.37</v>
      </c>
      <c r="F886" s="2646" t="s">
        <v>2088</v>
      </c>
      <c r="G886" s="2646" t="s">
        <v>2088</v>
      </c>
      <c r="H886" s="2646" t="s">
        <v>2088</v>
      </c>
      <c r="I886" s="2646" t="s">
        <v>2088</v>
      </c>
      <c r="J886" s="2646">
        <v>0.11</v>
      </c>
      <c r="L886" s="2646" t="s">
        <v>2088</v>
      </c>
    </row>
    <row r="887" spans="1:12">
      <c r="A887" s="2647" t="s">
        <v>99</v>
      </c>
      <c r="B887" s="2647" t="s">
        <v>2979</v>
      </c>
      <c r="C887" s="2647">
        <v>85.724999999999994</v>
      </c>
      <c r="D887" s="2647">
        <v>142.13800000000001</v>
      </c>
      <c r="E887" s="2647">
        <v>42.862000000000002</v>
      </c>
      <c r="F887" s="2647" t="s">
        <v>2088</v>
      </c>
      <c r="G887" s="2647" t="s">
        <v>2088</v>
      </c>
      <c r="H887" s="2647" t="s">
        <v>2088</v>
      </c>
      <c r="I887" s="2647" t="s">
        <v>2088</v>
      </c>
      <c r="J887" s="2647">
        <v>0</v>
      </c>
      <c r="K887" s="2648"/>
      <c r="L887" s="2647" t="s">
        <v>2088</v>
      </c>
    </row>
    <row r="888" spans="1:12">
      <c r="A888" s="2646" t="s">
        <v>99</v>
      </c>
      <c r="B888" s="2646" t="s">
        <v>2980</v>
      </c>
      <c r="C888" s="2646">
        <v>45.241999999999997</v>
      </c>
      <c r="D888" s="2646">
        <v>77.787999999999997</v>
      </c>
      <c r="E888" s="2646">
        <v>19.841999999999999</v>
      </c>
      <c r="F888" s="2646" t="s">
        <v>2088</v>
      </c>
      <c r="G888" s="2646" t="s">
        <v>2088</v>
      </c>
      <c r="H888" s="2646" t="s">
        <v>2088</v>
      </c>
      <c r="I888" s="2646" t="s">
        <v>2088</v>
      </c>
      <c r="J888" s="2646">
        <v>0.39100000000000001</v>
      </c>
      <c r="L888" s="2646" t="s">
        <v>2088</v>
      </c>
    </row>
    <row r="889" spans="1:12">
      <c r="A889" s="2647" t="s">
        <v>99</v>
      </c>
      <c r="B889" s="2647" t="s">
        <v>2981</v>
      </c>
      <c r="C889" s="2647">
        <v>88.9</v>
      </c>
      <c r="D889" s="2647">
        <v>152</v>
      </c>
      <c r="E889" s="2647">
        <v>39.688000000000002</v>
      </c>
      <c r="F889" s="2647" t="s">
        <v>2088</v>
      </c>
      <c r="G889" s="2647" t="s">
        <v>2088</v>
      </c>
      <c r="H889" s="2647" t="s">
        <v>2088</v>
      </c>
      <c r="I889" s="2647" t="s">
        <v>2088</v>
      </c>
      <c r="J889" s="2647">
        <v>0</v>
      </c>
      <c r="K889" s="2648"/>
      <c r="L889" s="2647" t="s">
        <v>2088</v>
      </c>
    </row>
    <row r="890" spans="1:12">
      <c r="A890" s="2646" t="s">
        <v>99</v>
      </c>
      <c r="B890" s="2646" t="s">
        <v>2982</v>
      </c>
      <c r="C890" s="2646">
        <v>88.9</v>
      </c>
      <c r="D890" s="2646">
        <v>152.4</v>
      </c>
      <c r="E890" s="2646">
        <v>39.688000000000002</v>
      </c>
      <c r="F890" s="2646" t="s">
        <v>2088</v>
      </c>
      <c r="G890" s="2646" t="s">
        <v>2088</v>
      </c>
      <c r="H890" s="2646" t="s">
        <v>2088</v>
      </c>
      <c r="I890" s="2646" t="s">
        <v>2088</v>
      </c>
      <c r="J890" s="2646">
        <v>2.86</v>
      </c>
      <c r="L890" s="2646" t="s">
        <v>2088</v>
      </c>
    </row>
    <row r="891" spans="1:12">
      <c r="A891" s="2647" t="s">
        <v>99</v>
      </c>
      <c r="B891" s="2647" t="s">
        <v>2983</v>
      </c>
      <c r="C891" s="2647">
        <v>82.55</v>
      </c>
      <c r="D891" s="2647">
        <v>133.35</v>
      </c>
      <c r="E891" s="2647">
        <v>39.688000000000002</v>
      </c>
      <c r="F891" s="2647" t="s">
        <v>2088</v>
      </c>
      <c r="G891" s="2647" t="s">
        <v>2088</v>
      </c>
      <c r="H891" s="2647" t="s">
        <v>2088</v>
      </c>
      <c r="I891" s="2647" t="s">
        <v>2088</v>
      </c>
      <c r="J891" s="2647">
        <v>0</v>
      </c>
      <c r="K891" s="2648"/>
      <c r="L891" s="2647" t="s">
        <v>2088</v>
      </c>
    </row>
    <row r="892" spans="1:12">
      <c r="A892" s="2646" t="s">
        <v>99</v>
      </c>
      <c r="B892" s="2646" t="s">
        <v>2984</v>
      </c>
      <c r="C892" s="2646">
        <v>384.17500000000001</v>
      </c>
      <c r="D892" s="2646">
        <v>546.1</v>
      </c>
      <c r="E892" s="2646">
        <v>104.77500000000001</v>
      </c>
      <c r="F892" s="2646" t="s">
        <v>2088</v>
      </c>
      <c r="G892" s="2646" t="s">
        <v>2088</v>
      </c>
      <c r="H892" s="2646" t="s">
        <v>2088</v>
      </c>
      <c r="I892" s="2646" t="s">
        <v>2088</v>
      </c>
      <c r="J892" s="2646">
        <v>0</v>
      </c>
      <c r="L892" s="2646" t="s">
        <v>2088</v>
      </c>
    </row>
    <row r="893" spans="1:12">
      <c r="A893" s="2647" t="s">
        <v>99</v>
      </c>
      <c r="B893" s="2647" t="s">
        <v>2985</v>
      </c>
      <c r="C893" s="2647">
        <v>101.6</v>
      </c>
      <c r="D893" s="2647">
        <v>250.875</v>
      </c>
      <c r="E893" s="2647">
        <v>76.2</v>
      </c>
      <c r="F893" s="2647" t="s">
        <v>2088</v>
      </c>
      <c r="G893" s="2647" t="s">
        <v>2088</v>
      </c>
      <c r="H893" s="2647" t="s">
        <v>2088</v>
      </c>
      <c r="I893" s="2647" t="s">
        <v>2088</v>
      </c>
      <c r="J893" s="2647">
        <v>0</v>
      </c>
      <c r="K893" s="2648"/>
      <c r="L893" s="2647" t="s">
        <v>2088</v>
      </c>
    </row>
    <row r="894" spans="1:12">
      <c r="A894" s="2646" t="s">
        <v>99</v>
      </c>
      <c r="B894" s="2646" t="s">
        <v>2986</v>
      </c>
      <c r="C894" s="2646">
        <v>49.212000000000003</v>
      </c>
      <c r="D894" s="2646">
        <v>114.3</v>
      </c>
      <c r="E894" s="2646">
        <v>44.45</v>
      </c>
      <c r="F894" s="2646" t="s">
        <v>2088</v>
      </c>
      <c r="G894" s="2646" t="s">
        <v>2088</v>
      </c>
      <c r="H894" s="2646" t="s">
        <v>2088</v>
      </c>
      <c r="I894" s="2646" t="s">
        <v>2088</v>
      </c>
      <c r="J894" s="2646">
        <v>0</v>
      </c>
      <c r="L894" s="2646" t="s">
        <v>2088</v>
      </c>
    </row>
    <row r="895" spans="1:12">
      <c r="A895" s="2647" t="s">
        <v>99</v>
      </c>
      <c r="B895" s="2647" t="s">
        <v>2987</v>
      </c>
      <c r="C895" s="2647">
        <v>247.65</v>
      </c>
      <c r="D895" s="2647">
        <v>406.4</v>
      </c>
      <c r="E895" s="2647">
        <v>115.88800000000001</v>
      </c>
      <c r="F895" s="2647" t="s">
        <v>2088</v>
      </c>
      <c r="G895" s="2647" t="s">
        <v>2088</v>
      </c>
      <c r="H895" s="2647" t="s">
        <v>2088</v>
      </c>
      <c r="I895" s="2647" t="s">
        <v>2088</v>
      </c>
      <c r="J895" s="2647">
        <v>0</v>
      </c>
      <c r="K895" s="2648"/>
      <c r="L895" s="2647" t="s">
        <v>2088</v>
      </c>
    </row>
    <row r="896" spans="1:12">
      <c r="A896" s="2646" t="s">
        <v>99</v>
      </c>
      <c r="B896" s="2646" t="s">
        <v>2988</v>
      </c>
      <c r="C896" s="2646">
        <v>152.4</v>
      </c>
      <c r="D896" s="2646">
        <v>307.97500000000002</v>
      </c>
      <c r="E896" s="2646">
        <v>88.9</v>
      </c>
      <c r="F896" s="2646" t="s">
        <v>2088</v>
      </c>
      <c r="G896" s="2646" t="s">
        <v>2088</v>
      </c>
      <c r="H896" s="2646" t="s">
        <v>2088</v>
      </c>
      <c r="I896" s="2646" t="s">
        <v>2088</v>
      </c>
      <c r="J896" s="2646">
        <v>30.9</v>
      </c>
      <c r="L896" s="2646" t="s">
        <v>2088</v>
      </c>
    </row>
    <row r="897" spans="1:12">
      <c r="A897" s="2647" t="s">
        <v>99</v>
      </c>
      <c r="B897" s="2647" t="s">
        <v>2989</v>
      </c>
      <c r="C897" s="2647">
        <v>114.3</v>
      </c>
      <c r="D897" s="2647">
        <v>212.72499999999999</v>
      </c>
      <c r="E897" s="2647">
        <v>66.674999999999997</v>
      </c>
      <c r="F897" s="2647" t="s">
        <v>2088</v>
      </c>
      <c r="G897" s="2647" t="s">
        <v>2088</v>
      </c>
      <c r="H897" s="2647" t="s">
        <v>2088</v>
      </c>
      <c r="I897" s="2647" t="s">
        <v>2088</v>
      </c>
      <c r="J897" s="2647">
        <v>0</v>
      </c>
      <c r="K897" s="2648"/>
      <c r="L897" s="2647" t="s">
        <v>2088</v>
      </c>
    </row>
    <row r="898" spans="1:12">
      <c r="A898" s="2646" t="s">
        <v>99</v>
      </c>
      <c r="B898" s="2646" t="s">
        <v>2990</v>
      </c>
      <c r="C898" s="2646">
        <v>107.95</v>
      </c>
      <c r="D898" s="2646">
        <v>212.72499999999999</v>
      </c>
      <c r="E898" s="2646">
        <v>66.674999999999997</v>
      </c>
      <c r="F898" s="2646" t="s">
        <v>2088</v>
      </c>
      <c r="G898" s="2646" t="s">
        <v>2088</v>
      </c>
      <c r="H898" s="2646" t="s">
        <v>2088</v>
      </c>
      <c r="I898" s="2646" t="s">
        <v>2088</v>
      </c>
      <c r="J898" s="2646">
        <v>0</v>
      </c>
      <c r="L898" s="2646" t="s">
        <v>2088</v>
      </c>
    </row>
    <row r="899" spans="1:12">
      <c r="A899" s="2647" t="s">
        <v>99</v>
      </c>
      <c r="B899" s="2647" t="s">
        <v>2991</v>
      </c>
      <c r="C899" s="2647">
        <v>101.6</v>
      </c>
      <c r="D899" s="2647">
        <v>212.72499999999999</v>
      </c>
      <c r="E899" s="2647">
        <v>66.674999999999997</v>
      </c>
      <c r="F899" s="2647" t="s">
        <v>2088</v>
      </c>
      <c r="G899" s="2647" t="s">
        <v>2088</v>
      </c>
      <c r="H899" s="2647" t="s">
        <v>2088</v>
      </c>
      <c r="I899" s="2647" t="s">
        <v>2088</v>
      </c>
      <c r="J899" s="2647">
        <v>11.1</v>
      </c>
      <c r="K899" s="2648"/>
      <c r="L899" s="2647" t="s">
        <v>2088</v>
      </c>
    </row>
    <row r="900" spans="1:12">
      <c r="A900" s="2646" t="s">
        <v>99</v>
      </c>
      <c r="B900" s="2646" t="s">
        <v>2992</v>
      </c>
      <c r="C900" s="2646">
        <v>101.6</v>
      </c>
      <c r="D900" s="2646">
        <v>190.5</v>
      </c>
      <c r="E900" s="2646">
        <v>57.15</v>
      </c>
      <c r="F900" s="2646" t="s">
        <v>2088</v>
      </c>
      <c r="G900" s="2646" t="s">
        <v>2088</v>
      </c>
      <c r="H900" s="2646" t="s">
        <v>2088</v>
      </c>
      <c r="I900" s="2646" t="s">
        <v>2088</v>
      </c>
      <c r="J900" s="2646">
        <v>7.87</v>
      </c>
      <c r="L900" s="2646" t="s">
        <v>2088</v>
      </c>
    </row>
    <row r="901" spans="1:12">
      <c r="A901" s="2647" t="s">
        <v>99</v>
      </c>
      <c r="B901" s="2647" t="s">
        <v>2993</v>
      </c>
      <c r="C901" s="2647">
        <v>88.9</v>
      </c>
      <c r="D901" s="2647">
        <v>190.5</v>
      </c>
      <c r="E901" s="2647">
        <v>57.15</v>
      </c>
      <c r="F901" s="2647" t="s">
        <v>2088</v>
      </c>
      <c r="G901" s="2647" t="s">
        <v>2088</v>
      </c>
      <c r="H901" s="2647" t="s">
        <v>2088</v>
      </c>
      <c r="I901" s="2647" t="s">
        <v>2088</v>
      </c>
      <c r="J901" s="2647">
        <v>7.87</v>
      </c>
      <c r="K901" s="2648"/>
      <c r="L901" s="2647" t="s">
        <v>2088</v>
      </c>
    </row>
    <row r="902" spans="1:12">
      <c r="A902" s="2646" t="s">
        <v>99</v>
      </c>
      <c r="B902" s="2646" t="s">
        <v>2994</v>
      </c>
      <c r="C902" s="2646">
        <v>76.2</v>
      </c>
      <c r="D902" s="2646">
        <v>190.5</v>
      </c>
      <c r="E902" s="2646">
        <v>57.15</v>
      </c>
      <c r="F902" s="2646" t="s">
        <v>2088</v>
      </c>
      <c r="G902" s="2646" t="s">
        <v>2088</v>
      </c>
      <c r="H902" s="2646" t="s">
        <v>2088</v>
      </c>
      <c r="I902" s="2646" t="s">
        <v>2088</v>
      </c>
      <c r="J902" s="2646">
        <v>0</v>
      </c>
      <c r="L902" s="2646" t="s">
        <v>2088</v>
      </c>
    </row>
    <row r="903" spans="1:12">
      <c r="A903" s="2647" t="s">
        <v>99</v>
      </c>
      <c r="B903" s="2647" t="s">
        <v>2995</v>
      </c>
      <c r="C903" s="2647">
        <v>76.2</v>
      </c>
      <c r="D903" s="2647">
        <v>180.97499999999999</v>
      </c>
      <c r="E903" s="2647">
        <v>14.3</v>
      </c>
      <c r="F903" s="2647" t="s">
        <v>2088</v>
      </c>
      <c r="G903" s="2647" t="s">
        <v>2088</v>
      </c>
      <c r="H903" s="2647" t="s">
        <v>2088</v>
      </c>
      <c r="I903" s="2647" t="s">
        <v>2088</v>
      </c>
      <c r="J903" s="2647">
        <v>13.6</v>
      </c>
      <c r="K903" s="2648"/>
      <c r="L903" s="2647" t="s">
        <v>2088</v>
      </c>
    </row>
    <row r="904" spans="1:12">
      <c r="A904" s="2646" t="s">
        <v>99</v>
      </c>
      <c r="B904" s="2646" t="s">
        <v>2996</v>
      </c>
      <c r="C904" s="2646">
        <v>69.849999999999994</v>
      </c>
      <c r="D904" s="2646">
        <v>146.05000000000001</v>
      </c>
      <c r="E904" s="2646">
        <v>41.174999999999997</v>
      </c>
      <c r="F904" s="2646" t="s">
        <v>2088</v>
      </c>
      <c r="G904" s="2646" t="s">
        <v>2088</v>
      </c>
      <c r="H904" s="2646" t="s">
        <v>2088</v>
      </c>
      <c r="I904" s="2646" t="s">
        <v>2088</v>
      </c>
      <c r="J904" s="2646">
        <v>2.97</v>
      </c>
      <c r="L904" s="2646" t="s">
        <v>2088</v>
      </c>
    </row>
    <row r="905" spans="1:12">
      <c r="A905" s="2647" t="s">
        <v>99</v>
      </c>
      <c r="B905" s="2647" t="s">
        <v>2997</v>
      </c>
      <c r="C905" s="2647">
        <v>61.911999999999999</v>
      </c>
      <c r="D905" s="2647">
        <v>146.05000000000001</v>
      </c>
      <c r="E905" s="2647">
        <v>41.274999999999999</v>
      </c>
      <c r="F905" s="2647" t="s">
        <v>2088</v>
      </c>
      <c r="G905" s="2647" t="s">
        <v>2088</v>
      </c>
      <c r="H905" s="2647" t="s">
        <v>2088</v>
      </c>
      <c r="I905" s="2647" t="s">
        <v>2088</v>
      </c>
      <c r="J905" s="2647">
        <v>0</v>
      </c>
      <c r="K905" s="2648"/>
      <c r="L905" s="2647" t="s">
        <v>2088</v>
      </c>
    </row>
    <row r="906" spans="1:12">
      <c r="A906" s="2646" t="s">
        <v>99</v>
      </c>
      <c r="B906" s="2646" t="s">
        <v>2998</v>
      </c>
      <c r="C906" s="2646">
        <v>68.262</v>
      </c>
      <c r="D906" s="2646">
        <v>136.52500000000001</v>
      </c>
      <c r="E906" s="2646">
        <v>46.037999999999997</v>
      </c>
      <c r="F906" s="2646" t="s">
        <v>2088</v>
      </c>
      <c r="G906" s="2646" t="s">
        <v>2088</v>
      </c>
      <c r="H906" s="2646" t="s">
        <v>2088</v>
      </c>
      <c r="I906" s="2646" t="s">
        <v>2088</v>
      </c>
      <c r="J906" s="2646">
        <v>0</v>
      </c>
      <c r="L906" s="2646" t="s">
        <v>2088</v>
      </c>
    </row>
    <row r="907" spans="1:12">
      <c r="A907" s="2647" t="s">
        <v>99</v>
      </c>
      <c r="B907" s="2647" t="s">
        <v>2999</v>
      </c>
      <c r="C907" s="2647">
        <v>66.674999999999997</v>
      </c>
      <c r="D907" s="2647">
        <v>136.52500000000001</v>
      </c>
      <c r="E907" s="2647">
        <v>46.037999999999997</v>
      </c>
      <c r="F907" s="2647" t="s">
        <v>2088</v>
      </c>
      <c r="G907" s="2647" t="s">
        <v>2088</v>
      </c>
      <c r="H907" s="2647" t="s">
        <v>2088</v>
      </c>
      <c r="I907" s="2647" t="s">
        <v>2088</v>
      </c>
      <c r="J907" s="2647">
        <v>0</v>
      </c>
      <c r="K907" s="2648"/>
      <c r="L907" s="2647" t="s">
        <v>2088</v>
      </c>
    </row>
    <row r="908" spans="1:12">
      <c r="A908" s="2646" t="s">
        <v>99</v>
      </c>
      <c r="B908" s="2646" t="s">
        <v>3000</v>
      </c>
      <c r="C908" s="2646">
        <v>65.087999999999994</v>
      </c>
      <c r="D908" s="2646">
        <v>136.52500000000001</v>
      </c>
      <c r="E908" s="2646">
        <v>46.037999999999997</v>
      </c>
      <c r="F908" s="2646" t="s">
        <v>2088</v>
      </c>
      <c r="G908" s="2646" t="s">
        <v>2088</v>
      </c>
      <c r="H908" s="2646" t="s">
        <v>2088</v>
      </c>
      <c r="I908" s="2646" t="s">
        <v>2088</v>
      </c>
      <c r="J908" s="2646">
        <v>0</v>
      </c>
      <c r="L908" s="2646" t="s">
        <v>2088</v>
      </c>
    </row>
    <row r="909" spans="1:12">
      <c r="A909" s="2647" t="s">
        <v>99</v>
      </c>
      <c r="B909" s="2647" t="s">
        <v>3001</v>
      </c>
      <c r="C909" s="2647">
        <v>63.5</v>
      </c>
      <c r="D909" s="2647">
        <v>136.52500000000001</v>
      </c>
      <c r="E909" s="2647">
        <v>46.037999999999997</v>
      </c>
      <c r="F909" s="2647" t="s">
        <v>2088</v>
      </c>
      <c r="G909" s="2647" t="s">
        <v>2088</v>
      </c>
      <c r="H909" s="2647" t="s">
        <v>2088</v>
      </c>
      <c r="I909" s="2647" t="s">
        <v>2088</v>
      </c>
      <c r="J909" s="2647">
        <v>0</v>
      </c>
      <c r="K909" s="2648"/>
      <c r="L909" s="2647" t="s">
        <v>2088</v>
      </c>
    </row>
    <row r="910" spans="1:12">
      <c r="A910" s="2646" t="s">
        <v>99</v>
      </c>
      <c r="B910" s="2646" t="s">
        <v>3002</v>
      </c>
      <c r="C910" s="2646">
        <v>61.911999999999999</v>
      </c>
      <c r="D910" s="2646">
        <v>139.69999999999999</v>
      </c>
      <c r="E910" s="2646">
        <v>46.037999999999997</v>
      </c>
      <c r="F910" s="2646" t="s">
        <v>2088</v>
      </c>
      <c r="G910" s="2646" t="s">
        <v>2088</v>
      </c>
      <c r="H910" s="2646" t="s">
        <v>2088</v>
      </c>
      <c r="I910" s="2646" t="s">
        <v>2088</v>
      </c>
      <c r="J910" s="2646">
        <v>0</v>
      </c>
      <c r="L910" s="2646" t="s">
        <v>2088</v>
      </c>
    </row>
    <row r="911" spans="1:12">
      <c r="A911" s="2647" t="s">
        <v>99</v>
      </c>
      <c r="B911" s="2647" t="s">
        <v>3003</v>
      </c>
      <c r="C911" s="2647">
        <v>60.325000000000003</v>
      </c>
      <c r="D911" s="2647">
        <v>136.52500000000001</v>
      </c>
      <c r="E911" s="2647">
        <v>46.037999999999997</v>
      </c>
      <c r="F911" s="2647" t="s">
        <v>2088</v>
      </c>
      <c r="G911" s="2647" t="s">
        <v>2088</v>
      </c>
      <c r="H911" s="2647" t="s">
        <v>2088</v>
      </c>
      <c r="I911" s="2647" t="s">
        <v>2088</v>
      </c>
      <c r="J911" s="2647">
        <v>0</v>
      </c>
      <c r="K911" s="2648"/>
      <c r="L911" s="2647" t="s">
        <v>2088</v>
      </c>
    </row>
    <row r="912" spans="1:12">
      <c r="A912" s="2646" t="s">
        <v>99</v>
      </c>
      <c r="B912" s="2646" t="s">
        <v>3004</v>
      </c>
      <c r="C912" s="2646">
        <v>71.438000000000002</v>
      </c>
      <c r="D912" s="2646">
        <v>136.52500000000001</v>
      </c>
      <c r="E912" s="2646">
        <v>46.037999999999997</v>
      </c>
      <c r="F912" s="2646" t="s">
        <v>2088</v>
      </c>
      <c r="G912" s="2646" t="s">
        <v>2088</v>
      </c>
      <c r="H912" s="2646" t="s">
        <v>2088</v>
      </c>
      <c r="I912" s="2646" t="s">
        <v>2088</v>
      </c>
      <c r="J912" s="2646">
        <v>0</v>
      </c>
      <c r="L912" s="2646" t="s">
        <v>2088</v>
      </c>
    </row>
    <row r="913" spans="1:12">
      <c r="A913" s="2647" t="s">
        <v>99</v>
      </c>
      <c r="B913" s="2647" t="s">
        <v>3005</v>
      </c>
      <c r="C913" s="2647">
        <v>71.438000000000002</v>
      </c>
      <c r="D913" s="2647">
        <v>136.52500000000001</v>
      </c>
      <c r="E913" s="2647">
        <v>41.274999999999999</v>
      </c>
      <c r="F913" s="2647" t="s">
        <v>2088</v>
      </c>
      <c r="G913" s="2647" t="s">
        <v>2088</v>
      </c>
      <c r="H913" s="2647" t="s">
        <v>2088</v>
      </c>
      <c r="I913" s="2647" t="s">
        <v>2088</v>
      </c>
      <c r="J913" s="2647">
        <v>0</v>
      </c>
      <c r="K913" s="2648"/>
      <c r="L913" s="2647" t="s">
        <v>2088</v>
      </c>
    </row>
    <row r="914" spans="1:12">
      <c r="A914" s="2646" t="s">
        <v>99</v>
      </c>
      <c r="B914" s="2646" t="s">
        <v>3006</v>
      </c>
      <c r="C914" s="2646">
        <v>68.262</v>
      </c>
      <c r="D914" s="2646">
        <v>136.52500000000001</v>
      </c>
      <c r="E914" s="2646">
        <v>41.274999999999999</v>
      </c>
      <c r="F914" s="2646" t="s">
        <v>2088</v>
      </c>
      <c r="G914" s="2646" t="s">
        <v>2088</v>
      </c>
      <c r="H914" s="2646" t="s">
        <v>2088</v>
      </c>
      <c r="I914" s="2646" t="s">
        <v>2088</v>
      </c>
      <c r="J914" s="2646">
        <v>0</v>
      </c>
      <c r="L914" s="2646" t="s">
        <v>2088</v>
      </c>
    </row>
    <row r="915" spans="1:12">
      <c r="A915" s="2647" t="s">
        <v>99</v>
      </c>
      <c r="B915" s="2647" t="s">
        <v>3007</v>
      </c>
      <c r="C915" s="2647">
        <v>66.674999999999997</v>
      </c>
      <c r="D915" s="2647">
        <v>136.52500000000001</v>
      </c>
      <c r="E915" s="2647">
        <v>41.274999999999999</v>
      </c>
      <c r="F915" s="2647" t="s">
        <v>2088</v>
      </c>
      <c r="G915" s="2647" t="s">
        <v>2088</v>
      </c>
      <c r="H915" s="2647" t="s">
        <v>2088</v>
      </c>
      <c r="I915" s="2647" t="s">
        <v>2088</v>
      </c>
      <c r="J915" s="2647">
        <v>0</v>
      </c>
      <c r="K915" s="2648"/>
      <c r="L915" s="2647" t="s">
        <v>2088</v>
      </c>
    </row>
    <row r="916" spans="1:12">
      <c r="A916" s="2646" t="s">
        <v>99</v>
      </c>
      <c r="B916" s="2646" t="s">
        <v>3008</v>
      </c>
      <c r="C916" s="2646">
        <v>63.5</v>
      </c>
      <c r="D916" s="2646">
        <v>136.52500000000001</v>
      </c>
      <c r="E916" s="2646">
        <v>41.274999999999999</v>
      </c>
      <c r="F916" s="2646" t="s">
        <v>2088</v>
      </c>
      <c r="G916" s="2646" t="s">
        <v>2088</v>
      </c>
      <c r="H916" s="2646" t="s">
        <v>2088</v>
      </c>
      <c r="I916" s="2646" t="s">
        <v>2088</v>
      </c>
      <c r="J916" s="2646">
        <v>3.03</v>
      </c>
      <c r="L916" s="2646" t="s">
        <v>2088</v>
      </c>
    </row>
    <row r="917" spans="1:12">
      <c r="A917" s="2647" t="s">
        <v>99</v>
      </c>
      <c r="B917" s="2647" t="s">
        <v>3009</v>
      </c>
      <c r="C917" s="2647">
        <v>234.95</v>
      </c>
      <c r="D917" s="2647">
        <v>384.17500000000001</v>
      </c>
      <c r="E917" s="2647">
        <v>112.712</v>
      </c>
      <c r="F917" s="2647" t="s">
        <v>2088</v>
      </c>
      <c r="G917" s="2647" t="s">
        <v>2088</v>
      </c>
      <c r="H917" s="2647" t="s">
        <v>2088</v>
      </c>
      <c r="I917" s="2647" t="s">
        <v>2088</v>
      </c>
      <c r="J917" s="2647">
        <v>0</v>
      </c>
      <c r="K917" s="2648"/>
      <c r="L917" s="2647" t="s">
        <v>2088</v>
      </c>
    </row>
    <row r="918" spans="1:12">
      <c r="A918" s="2646" t="s">
        <v>99</v>
      </c>
      <c r="B918" s="2646" t="s">
        <v>3010</v>
      </c>
      <c r="C918" s="2646">
        <v>200.02500000000001</v>
      </c>
      <c r="D918" s="2646">
        <v>384.17500000000001</v>
      </c>
      <c r="E918" s="2646">
        <v>112.712</v>
      </c>
      <c r="F918" s="2646" t="s">
        <v>2088</v>
      </c>
      <c r="G918" s="2646" t="s">
        <v>2088</v>
      </c>
      <c r="H918" s="2646" t="s">
        <v>2088</v>
      </c>
      <c r="I918" s="2646" t="s">
        <v>2088</v>
      </c>
      <c r="J918" s="2646">
        <v>0</v>
      </c>
      <c r="L918" s="2646" t="s">
        <v>2088</v>
      </c>
    </row>
    <row r="919" spans="1:12">
      <c r="A919" s="2647" t="s">
        <v>99</v>
      </c>
      <c r="B919" s="2647" t="s">
        <v>3011</v>
      </c>
      <c r="C919" s="2647">
        <v>206.375</v>
      </c>
      <c r="D919" s="2647">
        <v>336.55</v>
      </c>
      <c r="E919" s="2647">
        <v>98.424999999999997</v>
      </c>
      <c r="F919" s="2647" t="s">
        <v>2088</v>
      </c>
      <c r="G919" s="2647" t="s">
        <v>2088</v>
      </c>
      <c r="H919" s="2647" t="s">
        <v>2088</v>
      </c>
      <c r="I919" s="2647" t="s">
        <v>2088</v>
      </c>
      <c r="J919" s="2647">
        <v>0</v>
      </c>
      <c r="K919" s="2648"/>
      <c r="L919" s="2647" t="s">
        <v>2088</v>
      </c>
    </row>
    <row r="920" spans="1:12">
      <c r="A920" s="2646" t="s">
        <v>99</v>
      </c>
      <c r="B920" s="2646" t="s">
        <v>3012</v>
      </c>
      <c r="C920" s="2646">
        <v>187.32499999999999</v>
      </c>
      <c r="D920" s="2646">
        <v>320.67500000000001</v>
      </c>
      <c r="E920" s="2646">
        <v>88.9</v>
      </c>
      <c r="F920" s="2646" t="s">
        <v>2088</v>
      </c>
      <c r="G920" s="2646" t="s">
        <v>2088</v>
      </c>
      <c r="H920" s="2646" t="s">
        <v>2088</v>
      </c>
      <c r="I920" s="2646" t="s">
        <v>2088</v>
      </c>
      <c r="J920" s="2646">
        <v>0</v>
      </c>
      <c r="L920" s="2646" t="s">
        <v>2088</v>
      </c>
    </row>
    <row r="921" spans="1:12">
      <c r="A921" s="2647" t="s">
        <v>99</v>
      </c>
      <c r="B921" s="2647" t="s">
        <v>3013</v>
      </c>
      <c r="C921" s="2647">
        <v>99.995000000000005</v>
      </c>
      <c r="D921" s="2647">
        <v>225</v>
      </c>
      <c r="E921" s="2647">
        <v>119.962</v>
      </c>
      <c r="F921" s="2647" t="s">
        <v>2088</v>
      </c>
      <c r="G921" s="2647" t="s">
        <v>2088</v>
      </c>
      <c r="H921" s="2647" t="s">
        <v>2088</v>
      </c>
      <c r="I921" s="2647" t="s">
        <v>2088</v>
      </c>
      <c r="J921" s="2647">
        <v>25.1</v>
      </c>
      <c r="K921" s="2648"/>
      <c r="L921" s="2647" t="s">
        <v>2088</v>
      </c>
    </row>
    <row r="922" spans="1:12">
      <c r="A922" s="2646" t="s">
        <v>99</v>
      </c>
      <c r="B922" s="2646" t="s">
        <v>3014</v>
      </c>
      <c r="C922" s="2646">
        <v>304.8</v>
      </c>
      <c r="D922" s="2646">
        <v>495.3</v>
      </c>
      <c r="E922" s="2646">
        <v>76.2</v>
      </c>
      <c r="F922" s="2646" t="s">
        <v>2088</v>
      </c>
      <c r="G922" s="2646" t="s">
        <v>2088</v>
      </c>
      <c r="H922" s="2646" t="s">
        <v>2088</v>
      </c>
      <c r="I922" s="2646" t="s">
        <v>2088</v>
      </c>
      <c r="J922" s="2646">
        <v>0</v>
      </c>
      <c r="L922" s="2646" t="s">
        <v>2088</v>
      </c>
    </row>
    <row r="923" spans="1:12">
      <c r="A923" s="2647" t="s">
        <v>99</v>
      </c>
      <c r="B923" s="2647" t="s">
        <v>3015</v>
      </c>
      <c r="C923" s="2647">
        <v>241.3</v>
      </c>
      <c r="D923" s="2647">
        <v>444.5</v>
      </c>
      <c r="E923" s="2647">
        <v>101.6</v>
      </c>
      <c r="F923" s="2647" t="s">
        <v>2088</v>
      </c>
      <c r="G923" s="2647" t="s">
        <v>2088</v>
      </c>
      <c r="H923" s="2647" t="s">
        <v>2088</v>
      </c>
      <c r="I923" s="2647" t="s">
        <v>2088</v>
      </c>
      <c r="J923" s="2647">
        <v>65.900000000000006</v>
      </c>
      <c r="K923" s="2648"/>
      <c r="L923" s="2647" t="s">
        <v>2088</v>
      </c>
    </row>
    <row r="924" spans="1:12">
      <c r="A924" s="2646" t="s">
        <v>99</v>
      </c>
      <c r="B924" s="2646" t="s">
        <v>3016</v>
      </c>
      <c r="C924" s="2646">
        <v>406.4</v>
      </c>
      <c r="D924" s="2646">
        <v>609.6</v>
      </c>
      <c r="E924" s="2646">
        <v>92.075000000000003</v>
      </c>
      <c r="F924" s="2646" t="s">
        <v>2088</v>
      </c>
      <c r="G924" s="2646" t="s">
        <v>2088</v>
      </c>
      <c r="H924" s="2646" t="s">
        <v>2088</v>
      </c>
      <c r="I924" s="2646" t="s">
        <v>2088</v>
      </c>
      <c r="J924" s="2646">
        <v>0</v>
      </c>
      <c r="L924" s="2646" t="s">
        <v>2088</v>
      </c>
    </row>
    <row r="925" spans="1:12">
      <c r="A925" s="2647" t="s">
        <v>99</v>
      </c>
      <c r="B925" s="2647" t="s">
        <v>3017</v>
      </c>
      <c r="C925" s="2647">
        <v>558.79999999999995</v>
      </c>
      <c r="D925" s="2647">
        <v>736.6</v>
      </c>
      <c r="E925" s="2647">
        <v>88.108000000000004</v>
      </c>
      <c r="F925" s="2647" t="s">
        <v>2088</v>
      </c>
      <c r="G925" s="2647" t="s">
        <v>2088</v>
      </c>
      <c r="H925" s="2647" t="s">
        <v>2088</v>
      </c>
      <c r="I925" s="2647" t="s">
        <v>2088</v>
      </c>
      <c r="J925" s="2647">
        <v>0</v>
      </c>
      <c r="K925" s="2648"/>
      <c r="L925" s="2647" t="s">
        <v>2088</v>
      </c>
    </row>
    <row r="926" spans="1:12">
      <c r="A926" s="2646" t="s">
        <v>99</v>
      </c>
      <c r="B926" s="2646" t="s">
        <v>3018</v>
      </c>
      <c r="C926" s="2646">
        <v>254</v>
      </c>
      <c r="D926" s="2646">
        <v>444.5</v>
      </c>
      <c r="E926" s="2646">
        <v>76.2</v>
      </c>
      <c r="F926" s="2646" t="s">
        <v>2088</v>
      </c>
      <c r="G926" s="2646" t="s">
        <v>2088</v>
      </c>
      <c r="H926" s="2646" t="s">
        <v>2088</v>
      </c>
      <c r="I926" s="2646" t="s">
        <v>2088</v>
      </c>
      <c r="J926" s="2646">
        <v>0</v>
      </c>
      <c r="L926" s="2646" t="s">
        <v>2088</v>
      </c>
    </row>
    <row r="927" spans="1:12">
      <c r="A927" s="2647" t="s">
        <v>99</v>
      </c>
      <c r="B927" s="2647" t="s">
        <v>3019</v>
      </c>
      <c r="C927" s="2647">
        <v>304.8</v>
      </c>
      <c r="D927" s="2647">
        <v>558.79999999999995</v>
      </c>
      <c r="E927" s="2647">
        <v>136.52500000000001</v>
      </c>
      <c r="F927" s="2647" t="s">
        <v>2088</v>
      </c>
      <c r="G927" s="2647" t="s">
        <v>2088</v>
      </c>
      <c r="H927" s="2647" t="s">
        <v>2088</v>
      </c>
      <c r="I927" s="2647" t="s">
        <v>2088</v>
      </c>
      <c r="J927" s="2647">
        <v>0</v>
      </c>
      <c r="K927" s="2648"/>
      <c r="L927" s="2647" t="s">
        <v>2088</v>
      </c>
    </row>
    <row r="928" spans="1:12">
      <c r="A928" s="2646" t="s">
        <v>99</v>
      </c>
      <c r="B928" s="2646" t="s">
        <v>3020</v>
      </c>
      <c r="C928" s="2646">
        <v>292.10000000000002</v>
      </c>
      <c r="D928" s="2646">
        <v>558.79999999999995</v>
      </c>
      <c r="E928" s="2646">
        <v>136.52500000000001</v>
      </c>
      <c r="F928" s="2646" t="s">
        <v>2088</v>
      </c>
      <c r="G928" s="2646" t="s">
        <v>2088</v>
      </c>
      <c r="H928" s="2646" t="s">
        <v>2088</v>
      </c>
      <c r="I928" s="2646" t="s">
        <v>2088</v>
      </c>
      <c r="J928" s="2646">
        <v>0</v>
      </c>
      <c r="L928" s="2646" t="s">
        <v>2088</v>
      </c>
    </row>
    <row r="929" spans="1:12">
      <c r="A929" s="2647" t="s">
        <v>99</v>
      </c>
      <c r="B929" s="2647" t="s">
        <v>3021</v>
      </c>
      <c r="C929" s="2647">
        <v>838.2</v>
      </c>
      <c r="D929" s="2647">
        <v>1041.4000000000001</v>
      </c>
      <c r="E929" s="2647">
        <v>93.662000000000006</v>
      </c>
      <c r="F929" s="2647" t="s">
        <v>2088</v>
      </c>
      <c r="G929" s="2647" t="s">
        <v>2088</v>
      </c>
      <c r="H929" s="2647" t="s">
        <v>2088</v>
      </c>
      <c r="I929" s="2647" t="s">
        <v>2088</v>
      </c>
      <c r="J929" s="2647">
        <v>168</v>
      </c>
      <c r="K929" s="2648"/>
      <c r="L929" s="2647" t="s">
        <v>2088</v>
      </c>
    </row>
    <row r="930" spans="1:12">
      <c r="A930" s="2646" t="s">
        <v>99</v>
      </c>
      <c r="B930" s="2646" t="s">
        <v>3022</v>
      </c>
      <c r="C930" s="2646">
        <v>723.9</v>
      </c>
      <c r="D930" s="2646">
        <v>914.4</v>
      </c>
      <c r="E930" s="2646">
        <v>84.138000000000005</v>
      </c>
      <c r="F930" s="2646" t="s">
        <v>2088</v>
      </c>
      <c r="G930" s="2646" t="s">
        <v>2088</v>
      </c>
      <c r="H930" s="2646" t="s">
        <v>2088</v>
      </c>
      <c r="I930" s="2646" t="s">
        <v>2088</v>
      </c>
      <c r="J930" s="2646">
        <v>0</v>
      </c>
      <c r="L930" s="2646" t="s">
        <v>2088</v>
      </c>
    </row>
    <row r="931" spans="1:12">
      <c r="A931" s="2647" t="s">
        <v>99</v>
      </c>
      <c r="B931" s="2647" t="s">
        <v>3023</v>
      </c>
      <c r="C931" s="2647">
        <v>711.2</v>
      </c>
      <c r="D931" s="2647">
        <v>914.4</v>
      </c>
      <c r="E931" s="2647">
        <v>85.724999999999994</v>
      </c>
      <c r="F931" s="2647" t="s">
        <v>2088</v>
      </c>
      <c r="G931" s="2647" t="s">
        <v>2088</v>
      </c>
      <c r="H931" s="2647" t="s">
        <v>2088</v>
      </c>
      <c r="I931" s="2647" t="s">
        <v>2088</v>
      </c>
      <c r="J931" s="2647">
        <v>0</v>
      </c>
      <c r="K931" s="2648"/>
      <c r="L931" s="2647" t="s">
        <v>2088</v>
      </c>
    </row>
    <row r="932" spans="1:12">
      <c r="A932" s="2646" t="s">
        <v>99</v>
      </c>
      <c r="B932" s="2646" t="s">
        <v>3024</v>
      </c>
      <c r="C932" s="2646">
        <v>762</v>
      </c>
      <c r="D932" s="2646">
        <v>965.2</v>
      </c>
      <c r="E932" s="2646">
        <v>93.662000000000006</v>
      </c>
      <c r="F932" s="2646" t="s">
        <v>2088</v>
      </c>
      <c r="G932" s="2646" t="s">
        <v>2088</v>
      </c>
      <c r="H932" s="2646" t="s">
        <v>2088</v>
      </c>
      <c r="I932" s="2646" t="s">
        <v>2088</v>
      </c>
      <c r="J932" s="2646">
        <v>0</v>
      </c>
      <c r="L932" s="2646" t="s">
        <v>2088</v>
      </c>
    </row>
    <row r="933" spans="1:12">
      <c r="A933" s="2647" t="s">
        <v>99</v>
      </c>
      <c r="B933" s="2647" t="s">
        <v>3025</v>
      </c>
      <c r="C933" s="2647">
        <v>304.8</v>
      </c>
      <c r="D933" s="2647">
        <v>495.3</v>
      </c>
      <c r="E933" s="2647">
        <v>95.25</v>
      </c>
      <c r="F933" s="2647" t="s">
        <v>2088</v>
      </c>
      <c r="G933" s="2647" t="s">
        <v>2088</v>
      </c>
      <c r="H933" s="2647" t="s">
        <v>2088</v>
      </c>
      <c r="I933" s="2647" t="s">
        <v>2088</v>
      </c>
      <c r="J933" s="2647">
        <v>0</v>
      </c>
      <c r="K933" s="2648"/>
      <c r="L933" s="2647" t="s">
        <v>2088</v>
      </c>
    </row>
    <row r="934" spans="1:12">
      <c r="A934" s="2646" t="s">
        <v>99</v>
      </c>
      <c r="B934" s="2646" t="s">
        <v>3026</v>
      </c>
      <c r="C934" s="2646">
        <v>279.39999999999998</v>
      </c>
      <c r="D934" s="2646">
        <v>469.9</v>
      </c>
      <c r="E934" s="2646">
        <v>95.25</v>
      </c>
      <c r="F934" s="2646" t="s">
        <v>2088</v>
      </c>
      <c r="G934" s="2646" t="s">
        <v>2088</v>
      </c>
      <c r="H934" s="2646" t="s">
        <v>2088</v>
      </c>
      <c r="I934" s="2646" t="s">
        <v>2088</v>
      </c>
      <c r="J934" s="2646">
        <v>0</v>
      </c>
      <c r="L934" s="2646" t="s">
        <v>2088</v>
      </c>
    </row>
    <row r="935" spans="1:12">
      <c r="A935" s="2647" t="s">
        <v>99</v>
      </c>
      <c r="B935" s="2647" t="s">
        <v>3027</v>
      </c>
      <c r="C935" s="2647">
        <v>685.8</v>
      </c>
      <c r="D935" s="2647">
        <v>876.3</v>
      </c>
      <c r="E935" s="2647">
        <v>93.662000000000006</v>
      </c>
      <c r="F935" s="2647" t="s">
        <v>2088</v>
      </c>
      <c r="G935" s="2647" t="s">
        <v>2088</v>
      </c>
      <c r="H935" s="2647" t="s">
        <v>2088</v>
      </c>
      <c r="I935" s="2647" t="s">
        <v>2088</v>
      </c>
      <c r="J935" s="2647">
        <v>0</v>
      </c>
      <c r="K935" s="2648"/>
      <c r="L935" s="2647" t="s">
        <v>2088</v>
      </c>
    </row>
    <row r="936" spans="1:12">
      <c r="A936" s="2646" t="s">
        <v>99</v>
      </c>
      <c r="B936" s="2646" t="s">
        <v>3028</v>
      </c>
      <c r="C936" s="2646">
        <v>609.6</v>
      </c>
      <c r="D936" s="2646">
        <v>787.4</v>
      </c>
      <c r="E936" s="2646">
        <v>93.662000000000006</v>
      </c>
      <c r="F936" s="2646" t="s">
        <v>2088</v>
      </c>
      <c r="G936" s="2646" t="s">
        <v>2088</v>
      </c>
      <c r="H936" s="2646" t="s">
        <v>2088</v>
      </c>
      <c r="I936" s="2646" t="s">
        <v>2088</v>
      </c>
      <c r="J936" s="2646">
        <v>110</v>
      </c>
      <c r="L936" s="2646" t="s">
        <v>2088</v>
      </c>
    </row>
    <row r="937" spans="1:12">
      <c r="A937" s="2647" t="s">
        <v>99</v>
      </c>
      <c r="B937" s="2647" t="s">
        <v>3029</v>
      </c>
      <c r="C937" s="2647">
        <v>609.6</v>
      </c>
      <c r="D937" s="2647">
        <v>787.4</v>
      </c>
      <c r="E937" s="2647">
        <v>93.662000000000006</v>
      </c>
      <c r="F937" s="2647" t="s">
        <v>2088</v>
      </c>
      <c r="G937" s="2647" t="s">
        <v>2088</v>
      </c>
      <c r="H937" s="2647" t="s">
        <v>2088</v>
      </c>
      <c r="I937" s="2647" t="s">
        <v>2088</v>
      </c>
      <c r="J937" s="2647">
        <v>108</v>
      </c>
      <c r="K937" s="2648"/>
      <c r="L937" s="2647" t="s">
        <v>2088</v>
      </c>
    </row>
    <row r="938" spans="1:12">
      <c r="A938" s="2646" t="s">
        <v>99</v>
      </c>
      <c r="B938" s="2646" t="s">
        <v>3030</v>
      </c>
      <c r="C938" s="2646">
        <v>488.95</v>
      </c>
      <c r="D938" s="2646">
        <v>660.4</v>
      </c>
      <c r="E938" s="2646">
        <v>93.662000000000006</v>
      </c>
      <c r="F938" s="2646" t="s">
        <v>2088</v>
      </c>
      <c r="G938" s="2646" t="s">
        <v>2088</v>
      </c>
      <c r="H938" s="2646" t="s">
        <v>2088</v>
      </c>
      <c r="I938" s="2646" t="s">
        <v>2088</v>
      </c>
      <c r="J938" s="2646">
        <v>0</v>
      </c>
      <c r="L938" s="2646" t="s">
        <v>2088</v>
      </c>
    </row>
    <row r="939" spans="1:12">
      <c r="A939" s="2647" t="s">
        <v>99</v>
      </c>
      <c r="B939" s="2647" t="s">
        <v>3031</v>
      </c>
      <c r="C939" s="2647">
        <v>330.2</v>
      </c>
      <c r="D939" s="2647">
        <v>482.6</v>
      </c>
      <c r="E939" s="2647">
        <v>85.724999999999994</v>
      </c>
      <c r="F939" s="2647" t="s">
        <v>2088</v>
      </c>
      <c r="G939" s="2647" t="s">
        <v>2088</v>
      </c>
      <c r="H939" s="2647" t="s">
        <v>2088</v>
      </c>
      <c r="I939" s="2647" t="s">
        <v>2088</v>
      </c>
      <c r="J939" s="2647">
        <v>0</v>
      </c>
      <c r="K939" s="2648"/>
      <c r="L939" s="2647" t="s">
        <v>2088</v>
      </c>
    </row>
    <row r="940" spans="1:12">
      <c r="A940" s="2646" t="s">
        <v>99</v>
      </c>
      <c r="B940" s="2646" t="s">
        <v>3032</v>
      </c>
      <c r="C940" s="2646">
        <v>228.6</v>
      </c>
      <c r="D940" s="2646">
        <v>400.05</v>
      </c>
      <c r="E940" s="2646">
        <v>88.9</v>
      </c>
      <c r="F940" s="2646" t="s">
        <v>2088</v>
      </c>
      <c r="G940" s="2646" t="s">
        <v>2088</v>
      </c>
      <c r="H940" s="2646" t="s">
        <v>2088</v>
      </c>
      <c r="I940" s="2646" t="s">
        <v>2088</v>
      </c>
      <c r="J940" s="2646">
        <v>0</v>
      </c>
      <c r="L940" s="2646" t="s">
        <v>2088</v>
      </c>
    </row>
    <row r="941" spans="1:12">
      <c r="A941" s="2647" t="s">
        <v>99</v>
      </c>
      <c r="B941" s="2647" t="s">
        <v>3033</v>
      </c>
      <c r="C941" s="2647">
        <v>225.42500000000001</v>
      </c>
      <c r="D941" s="2647">
        <v>400.05</v>
      </c>
      <c r="E941" s="2647">
        <v>88.6</v>
      </c>
      <c r="F941" s="2647" t="s">
        <v>2088</v>
      </c>
      <c r="G941" s="2647" t="s">
        <v>2088</v>
      </c>
      <c r="H941" s="2647" t="s">
        <v>2088</v>
      </c>
      <c r="I941" s="2647" t="s">
        <v>2088</v>
      </c>
      <c r="J941" s="2647">
        <v>0</v>
      </c>
      <c r="K941" s="2648"/>
      <c r="L941" s="2647" t="s">
        <v>2088</v>
      </c>
    </row>
    <row r="942" spans="1:12">
      <c r="A942" s="2646" t="s">
        <v>99</v>
      </c>
      <c r="B942" s="2646" t="s">
        <v>3034</v>
      </c>
      <c r="C942" s="2646">
        <v>190.5</v>
      </c>
      <c r="D942" s="2646">
        <v>365.04899999999998</v>
      </c>
      <c r="E942" s="2646">
        <v>92.075000000000003</v>
      </c>
      <c r="F942" s="2646" t="s">
        <v>2088</v>
      </c>
      <c r="G942" s="2646" t="s">
        <v>2088</v>
      </c>
      <c r="H942" s="2646" t="s">
        <v>2088</v>
      </c>
      <c r="I942" s="2646" t="s">
        <v>2088</v>
      </c>
      <c r="J942" s="2646">
        <v>38.5</v>
      </c>
      <c r="L942" s="2646" t="s">
        <v>2088</v>
      </c>
    </row>
    <row r="943" spans="1:12">
      <c r="A943" s="2647" t="s">
        <v>99</v>
      </c>
      <c r="B943" s="2647" t="s">
        <v>3035</v>
      </c>
      <c r="C943" s="2647">
        <v>241.3</v>
      </c>
      <c r="D943" s="2647">
        <v>508</v>
      </c>
      <c r="E943" s="2647">
        <v>117.47499999999999</v>
      </c>
      <c r="F943" s="2647" t="s">
        <v>2088</v>
      </c>
      <c r="G943" s="2647" t="s">
        <v>2088</v>
      </c>
      <c r="H943" s="2647" t="s">
        <v>2088</v>
      </c>
      <c r="I943" s="2647" t="s">
        <v>2088</v>
      </c>
      <c r="J943" s="2647">
        <v>96.4</v>
      </c>
      <c r="K943" s="2648"/>
      <c r="L943" s="2647" t="s">
        <v>2088</v>
      </c>
    </row>
    <row r="944" spans="1:12">
      <c r="A944" s="2646" t="s">
        <v>99</v>
      </c>
      <c r="B944" s="2646" t="s">
        <v>3036</v>
      </c>
      <c r="C944" s="2646">
        <v>190.5</v>
      </c>
      <c r="D944" s="2646">
        <v>428.625</v>
      </c>
      <c r="E944" s="2646">
        <v>106.36199999999999</v>
      </c>
      <c r="F944" s="2646" t="s">
        <v>2088</v>
      </c>
      <c r="G944" s="2646" t="s">
        <v>2088</v>
      </c>
      <c r="H944" s="2646" t="s">
        <v>2088</v>
      </c>
      <c r="I944" s="2646" t="s">
        <v>2088</v>
      </c>
      <c r="J944" s="2646">
        <v>70.56</v>
      </c>
      <c r="L944" s="2646" t="s">
        <v>2088</v>
      </c>
    </row>
    <row r="945" spans="1:12">
      <c r="A945" s="2647" t="s">
        <v>99</v>
      </c>
      <c r="B945" s="2647" t="s">
        <v>3037</v>
      </c>
      <c r="C945" s="2647">
        <v>355.6</v>
      </c>
      <c r="D945" s="2647">
        <v>501.65</v>
      </c>
      <c r="E945" s="2647">
        <v>90.488</v>
      </c>
      <c r="F945" s="2647" t="s">
        <v>2088</v>
      </c>
      <c r="G945" s="2647" t="s">
        <v>2088</v>
      </c>
      <c r="H945" s="2647" t="s">
        <v>2088</v>
      </c>
      <c r="I945" s="2647" t="s">
        <v>2088</v>
      </c>
      <c r="J945" s="2647">
        <v>0</v>
      </c>
      <c r="K945" s="2648"/>
      <c r="L945" s="2647" t="s">
        <v>2088</v>
      </c>
    </row>
    <row r="946" spans="1:12">
      <c r="A946" s="2646" t="s">
        <v>99</v>
      </c>
      <c r="B946" s="2646" t="s">
        <v>3038</v>
      </c>
      <c r="C946" s="2646">
        <v>349.25</v>
      </c>
      <c r="D946" s="2646">
        <v>501.65</v>
      </c>
      <c r="E946" s="2646">
        <v>90.488</v>
      </c>
      <c r="F946" s="2646" t="s">
        <v>2088</v>
      </c>
      <c r="G946" s="2646" t="s">
        <v>2088</v>
      </c>
      <c r="H946" s="2646" t="s">
        <v>2088</v>
      </c>
      <c r="I946" s="2646" t="s">
        <v>2088</v>
      </c>
      <c r="J946" s="2646">
        <v>0</v>
      </c>
      <c r="L946" s="2646" t="s">
        <v>2088</v>
      </c>
    </row>
    <row r="947" spans="1:12">
      <c r="A947" s="2647" t="s">
        <v>99</v>
      </c>
      <c r="B947" s="2647" t="s">
        <v>3039</v>
      </c>
      <c r="C947" s="2647">
        <v>425.45</v>
      </c>
      <c r="D947" s="2647">
        <v>685.69799999999998</v>
      </c>
      <c r="E947" s="2647">
        <v>142.875</v>
      </c>
      <c r="F947" s="2647" t="s">
        <v>2088</v>
      </c>
      <c r="G947" s="2647" t="s">
        <v>2088</v>
      </c>
      <c r="H947" s="2647" t="s">
        <v>2088</v>
      </c>
      <c r="I947" s="2647" t="s">
        <v>2088</v>
      </c>
      <c r="J947" s="2647">
        <v>0</v>
      </c>
      <c r="K947" s="2648"/>
      <c r="L947" s="2647" t="s">
        <v>2088</v>
      </c>
    </row>
    <row r="948" spans="1:12">
      <c r="A948" s="2646" t="s">
        <v>99</v>
      </c>
      <c r="B948" s="2646" t="s">
        <v>3040</v>
      </c>
      <c r="C948" s="2646">
        <v>241.3</v>
      </c>
      <c r="D948" s="2646">
        <v>488.95</v>
      </c>
      <c r="E948" s="2646">
        <v>120.65</v>
      </c>
      <c r="F948" s="2646" t="s">
        <v>2088</v>
      </c>
      <c r="G948" s="2646" t="s">
        <v>2088</v>
      </c>
      <c r="H948" s="2646" t="s">
        <v>2088</v>
      </c>
      <c r="I948" s="2646" t="s">
        <v>2088</v>
      </c>
      <c r="J948" s="2646">
        <v>0</v>
      </c>
      <c r="L948" s="2646" t="s">
        <v>2088</v>
      </c>
    </row>
    <row r="949" spans="1:12">
      <c r="A949" s="2647" t="s">
        <v>99</v>
      </c>
      <c r="B949" s="2647" t="s">
        <v>3041</v>
      </c>
      <c r="C949" s="2647">
        <v>279.39999999999998</v>
      </c>
      <c r="D949" s="2647">
        <v>488.95</v>
      </c>
      <c r="E949" s="2647">
        <v>120.65</v>
      </c>
      <c r="F949" s="2647" t="s">
        <v>2088</v>
      </c>
      <c r="G949" s="2647" t="s">
        <v>2088</v>
      </c>
      <c r="H949" s="2647" t="s">
        <v>2088</v>
      </c>
      <c r="I949" s="2647" t="s">
        <v>2088</v>
      </c>
      <c r="J949" s="2647">
        <v>0</v>
      </c>
      <c r="K949" s="2648"/>
      <c r="L949" s="2647" t="s">
        <v>2088</v>
      </c>
    </row>
    <row r="950" spans="1:12">
      <c r="A950" s="2646" t="s">
        <v>99</v>
      </c>
      <c r="B950" s="2646" t="s">
        <v>3042</v>
      </c>
      <c r="C950" s="2646">
        <v>260.35000000000002</v>
      </c>
      <c r="D950" s="2646">
        <v>488.95</v>
      </c>
      <c r="E950" s="2646">
        <v>120.65</v>
      </c>
      <c r="F950" s="2646" t="s">
        <v>2088</v>
      </c>
      <c r="G950" s="2646" t="s">
        <v>2088</v>
      </c>
      <c r="H950" s="2646" t="s">
        <v>2088</v>
      </c>
      <c r="I950" s="2646" t="s">
        <v>2088</v>
      </c>
      <c r="J950" s="2646">
        <v>0</v>
      </c>
      <c r="L950" s="2646" t="s">
        <v>2088</v>
      </c>
    </row>
    <row r="951" spans="1:12">
      <c r="A951" s="2647" t="s">
        <v>99</v>
      </c>
      <c r="B951" s="2647" t="s">
        <v>3043</v>
      </c>
      <c r="C951" s="2647">
        <v>317.5</v>
      </c>
      <c r="D951" s="2647">
        <v>444.5</v>
      </c>
      <c r="E951" s="2647">
        <v>63.5</v>
      </c>
      <c r="F951" s="2647" t="s">
        <v>2088</v>
      </c>
      <c r="G951" s="2647" t="s">
        <v>2088</v>
      </c>
      <c r="H951" s="2647" t="s">
        <v>2088</v>
      </c>
      <c r="I951" s="2647" t="s">
        <v>2088</v>
      </c>
      <c r="J951" s="2647">
        <v>0</v>
      </c>
      <c r="K951" s="2648"/>
      <c r="L951" s="2647" t="s">
        <v>2088</v>
      </c>
    </row>
    <row r="952" spans="1:12">
      <c r="A952" s="2646" t="s">
        <v>99</v>
      </c>
      <c r="B952" s="2646" t="s">
        <v>3044</v>
      </c>
      <c r="C952" s="2646">
        <v>304.8</v>
      </c>
      <c r="D952" s="2646">
        <v>444.5</v>
      </c>
      <c r="E952" s="2646">
        <v>63.5</v>
      </c>
      <c r="F952" s="2646" t="s">
        <v>2088</v>
      </c>
      <c r="G952" s="2646" t="s">
        <v>2088</v>
      </c>
      <c r="H952" s="2646" t="s">
        <v>2088</v>
      </c>
      <c r="I952" s="2646" t="s">
        <v>2088</v>
      </c>
      <c r="J952" s="2646">
        <v>25.1</v>
      </c>
      <c r="L952" s="2646" t="s">
        <v>3045</v>
      </c>
    </row>
    <row r="953" spans="1:12">
      <c r="A953" s="2647" t="s">
        <v>99</v>
      </c>
      <c r="B953" s="2647" t="s">
        <v>3046</v>
      </c>
      <c r="C953" s="2647">
        <v>1155.7</v>
      </c>
      <c r="D953" s="2647">
        <v>1435.1</v>
      </c>
      <c r="E953" s="2647">
        <v>120.65</v>
      </c>
      <c r="F953" s="2647" t="s">
        <v>2088</v>
      </c>
      <c r="G953" s="2647" t="s">
        <v>2088</v>
      </c>
      <c r="H953" s="2647" t="s">
        <v>2088</v>
      </c>
      <c r="I953" s="2647" t="s">
        <v>2088</v>
      </c>
      <c r="J953" s="2647">
        <v>0</v>
      </c>
      <c r="K953" s="2648"/>
      <c r="L953" s="2647" t="s">
        <v>2088</v>
      </c>
    </row>
    <row r="954" spans="1:12">
      <c r="A954" s="2646" t="s">
        <v>99</v>
      </c>
      <c r="B954" s="2646" t="s">
        <v>3047</v>
      </c>
      <c r="C954" s="2646">
        <v>273.05</v>
      </c>
      <c r="D954" s="2646">
        <v>393.7</v>
      </c>
      <c r="E954" s="2646">
        <v>73.816999999999993</v>
      </c>
      <c r="F954" s="2646" t="s">
        <v>2088</v>
      </c>
      <c r="G954" s="2646" t="s">
        <v>2088</v>
      </c>
      <c r="H954" s="2646" t="s">
        <v>2088</v>
      </c>
      <c r="I954" s="2646" t="s">
        <v>2088</v>
      </c>
      <c r="J954" s="2646">
        <v>0</v>
      </c>
      <c r="L954" s="2646" t="s">
        <v>2088</v>
      </c>
    </row>
    <row r="955" spans="1:12">
      <c r="A955" s="2647" t="s">
        <v>99</v>
      </c>
      <c r="B955" s="2647" t="s">
        <v>3048</v>
      </c>
      <c r="C955" s="2647">
        <v>266.7</v>
      </c>
      <c r="D955" s="2647">
        <v>393.7</v>
      </c>
      <c r="E955" s="2647">
        <v>73.816999999999993</v>
      </c>
      <c r="F955" s="2647" t="s">
        <v>2088</v>
      </c>
      <c r="G955" s="2647" t="s">
        <v>2088</v>
      </c>
      <c r="H955" s="2647" t="s">
        <v>2088</v>
      </c>
      <c r="I955" s="2647" t="s">
        <v>2088</v>
      </c>
      <c r="J955" s="2647">
        <v>0</v>
      </c>
      <c r="K955" s="2648"/>
      <c r="L955" s="2647" t="s">
        <v>2088</v>
      </c>
    </row>
    <row r="956" spans="1:12">
      <c r="A956" s="2646" t="s">
        <v>99</v>
      </c>
      <c r="B956" s="2646" t="s">
        <v>3049</v>
      </c>
      <c r="C956" s="2646">
        <v>254</v>
      </c>
      <c r="D956" s="2646">
        <v>393.7</v>
      </c>
      <c r="E956" s="2646">
        <v>73.816999999999993</v>
      </c>
      <c r="F956" s="2646" t="s">
        <v>2088</v>
      </c>
      <c r="G956" s="2646" t="s">
        <v>2088</v>
      </c>
      <c r="H956" s="2646" t="s">
        <v>2088</v>
      </c>
      <c r="I956" s="2646" t="s">
        <v>2088</v>
      </c>
      <c r="J956" s="2646">
        <v>0</v>
      </c>
      <c r="L956" s="2646" t="s">
        <v>2088</v>
      </c>
    </row>
    <row r="957" spans="1:12">
      <c r="A957" s="2647" t="s">
        <v>99</v>
      </c>
      <c r="B957" s="2647" t="s">
        <v>3050</v>
      </c>
      <c r="C957" s="2647">
        <v>241.3</v>
      </c>
      <c r="D957" s="2647">
        <v>393.7</v>
      </c>
      <c r="E957" s="2647">
        <v>73.816999999999993</v>
      </c>
      <c r="F957" s="2647" t="s">
        <v>2088</v>
      </c>
      <c r="G957" s="2647" t="s">
        <v>2088</v>
      </c>
      <c r="H957" s="2647" t="s">
        <v>2088</v>
      </c>
      <c r="I957" s="2647" t="s">
        <v>2088</v>
      </c>
      <c r="J957" s="2647">
        <v>0</v>
      </c>
      <c r="K957" s="2648"/>
      <c r="L957" s="2647" t="s">
        <v>2088</v>
      </c>
    </row>
    <row r="958" spans="1:12">
      <c r="A958" s="2646" t="s">
        <v>99</v>
      </c>
      <c r="B958" s="2646" t="s">
        <v>3051</v>
      </c>
      <c r="C958" s="2646">
        <v>457.2</v>
      </c>
      <c r="D958" s="2646">
        <v>596.9</v>
      </c>
      <c r="E958" s="2646">
        <v>76.2</v>
      </c>
      <c r="F958" s="2646" t="s">
        <v>2088</v>
      </c>
      <c r="G958" s="2646" t="s">
        <v>2088</v>
      </c>
      <c r="H958" s="2646" t="s">
        <v>2088</v>
      </c>
      <c r="I958" s="2646" t="s">
        <v>2088</v>
      </c>
      <c r="J958" s="2646">
        <v>0</v>
      </c>
      <c r="L958" s="2646" t="s">
        <v>2088</v>
      </c>
    </row>
    <row r="959" spans="1:12">
      <c r="A959" s="2647" t="s">
        <v>99</v>
      </c>
      <c r="B959" s="2647" t="s">
        <v>3052</v>
      </c>
      <c r="C959" s="2647">
        <v>498.47500000000002</v>
      </c>
      <c r="D959" s="2647">
        <v>634.87300000000005</v>
      </c>
      <c r="E959" s="2647">
        <v>80.962000000000003</v>
      </c>
      <c r="F959" s="2647" t="s">
        <v>2088</v>
      </c>
      <c r="G959" s="2647" t="s">
        <v>2088</v>
      </c>
      <c r="H959" s="2647" t="s">
        <v>2088</v>
      </c>
      <c r="I959" s="2647" t="s">
        <v>2088</v>
      </c>
      <c r="J959" s="2647">
        <v>62.33</v>
      </c>
      <c r="K959" s="2648"/>
      <c r="L959" s="2647" t="s">
        <v>2088</v>
      </c>
    </row>
    <row r="960" spans="1:12">
      <c r="A960" s="2646" t="s">
        <v>99</v>
      </c>
      <c r="B960" s="2646" t="s">
        <v>3053</v>
      </c>
      <c r="C960" s="2646">
        <v>489.02600000000001</v>
      </c>
      <c r="D960" s="2646">
        <v>634.87300000000005</v>
      </c>
      <c r="E960" s="2646">
        <v>80.962000000000003</v>
      </c>
      <c r="F960" s="2646" t="s">
        <v>2088</v>
      </c>
      <c r="G960" s="2646" t="s">
        <v>2088</v>
      </c>
      <c r="H960" s="2646" t="s">
        <v>2088</v>
      </c>
      <c r="I960" s="2646" t="s">
        <v>2088</v>
      </c>
      <c r="J960" s="2646">
        <v>0</v>
      </c>
      <c r="L960" s="2646" t="s">
        <v>2088</v>
      </c>
    </row>
    <row r="961" spans="1:12">
      <c r="A961" s="2647" t="s">
        <v>99</v>
      </c>
      <c r="B961" s="2647" t="s">
        <v>3054</v>
      </c>
      <c r="C961" s="2647">
        <v>482.6</v>
      </c>
      <c r="D961" s="2647">
        <v>634.87300000000005</v>
      </c>
      <c r="E961" s="2647">
        <v>80.962000000000003</v>
      </c>
      <c r="F961" s="2647" t="s">
        <v>2088</v>
      </c>
      <c r="G961" s="2647" t="s">
        <v>2088</v>
      </c>
      <c r="H961" s="2647" t="s">
        <v>2088</v>
      </c>
      <c r="I961" s="2647" t="s">
        <v>2088</v>
      </c>
      <c r="J961" s="2647">
        <v>0</v>
      </c>
      <c r="K961" s="2648"/>
      <c r="L961" s="2647" t="s">
        <v>2088</v>
      </c>
    </row>
    <row r="962" spans="1:12">
      <c r="A962" s="2646" t="s">
        <v>99</v>
      </c>
      <c r="B962" s="2646" t="s">
        <v>3055</v>
      </c>
      <c r="C962" s="2646">
        <v>431.8</v>
      </c>
      <c r="D962" s="2646">
        <v>603.25</v>
      </c>
      <c r="E962" s="2646">
        <v>76.2</v>
      </c>
      <c r="F962" s="2646" t="s">
        <v>2088</v>
      </c>
      <c r="G962" s="2646" t="s">
        <v>2088</v>
      </c>
      <c r="H962" s="2646" t="s">
        <v>2088</v>
      </c>
      <c r="I962" s="2646" t="s">
        <v>2088</v>
      </c>
      <c r="J962" s="2646">
        <v>0</v>
      </c>
      <c r="L962" s="2646" t="s">
        <v>2088</v>
      </c>
    </row>
    <row r="963" spans="1:12">
      <c r="A963" s="2647" t="s">
        <v>99</v>
      </c>
      <c r="B963" s="2647" t="s">
        <v>3056</v>
      </c>
      <c r="C963" s="2647">
        <v>406.4</v>
      </c>
      <c r="D963" s="2647">
        <v>558.79999999999995</v>
      </c>
      <c r="E963" s="2647">
        <v>65.087999999999994</v>
      </c>
      <c r="F963" s="2647" t="s">
        <v>2088</v>
      </c>
      <c r="G963" s="2647" t="s">
        <v>2088</v>
      </c>
      <c r="H963" s="2647" t="s">
        <v>2088</v>
      </c>
      <c r="I963" s="2647" t="s">
        <v>2088</v>
      </c>
      <c r="J963" s="2647">
        <v>0</v>
      </c>
      <c r="K963" s="2648"/>
      <c r="L963" s="2647" t="s">
        <v>2088</v>
      </c>
    </row>
    <row r="964" spans="1:12">
      <c r="A964" s="2646" t="s">
        <v>99</v>
      </c>
      <c r="B964" s="2646" t="s">
        <v>3057</v>
      </c>
      <c r="C964" s="2646">
        <v>396.875</v>
      </c>
      <c r="D964" s="2646">
        <v>546.1</v>
      </c>
      <c r="E964" s="2646">
        <v>76.2</v>
      </c>
      <c r="F964" s="2646" t="s">
        <v>2088</v>
      </c>
      <c r="G964" s="2646" t="s">
        <v>2088</v>
      </c>
      <c r="H964" s="2646" t="s">
        <v>2088</v>
      </c>
      <c r="I964" s="2646" t="s">
        <v>2088</v>
      </c>
      <c r="J964" s="2646">
        <v>0</v>
      </c>
      <c r="L964" s="2646" t="s">
        <v>2088</v>
      </c>
    </row>
    <row r="965" spans="1:12">
      <c r="A965" s="2647" t="s">
        <v>99</v>
      </c>
      <c r="B965" s="2647" t="s">
        <v>3058</v>
      </c>
      <c r="C965" s="2647">
        <v>371.47500000000002</v>
      </c>
      <c r="D965" s="2647">
        <v>514.35</v>
      </c>
      <c r="E965" s="2647">
        <v>74.611999999999995</v>
      </c>
      <c r="F965" s="2647" t="s">
        <v>2088</v>
      </c>
      <c r="G965" s="2647" t="s">
        <v>2088</v>
      </c>
      <c r="H965" s="2647" t="s">
        <v>2088</v>
      </c>
      <c r="I965" s="2647" t="s">
        <v>2088</v>
      </c>
      <c r="J965" s="2647">
        <v>0</v>
      </c>
      <c r="K965" s="2648"/>
      <c r="L965" s="2647" t="s">
        <v>2088</v>
      </c>
    </row>
    <row r="966" spans="1:12">
      <c r="A966" s="2646" t="s">
        <v>99</v>
      </c>
      <c r="B966" s="2646" t="s">
        <v>3059</v>
      </c>
      <c r="C966" s="2646">
        <v>260.35000000000002</v>
      </c>
      <c r="D966" s="2646">
        <v>400.05</v>
      </c>
      <c r="E966" s="2646">
        <v>69.849999999999994</v>
      </c>
      <c r="F966" s="2646" t="s">
        <v>2088</v>
      </c>
      <c r="G966" s="2646" t="s">
        <v>2088</v>
      </c>
      <c r="H966" s="2646" t="s">
        <v>2088</v>
      </c>
      <c r="I966" s="2646" t="s">
        <v>2088</v>
      </c>
      <c r="J966" s="2646">
        <v>0</v>
      </c>
      <c r="L966" s="2646" t="s">
        <v>2088</v>
      </c>
    </row>
    <row r="967" spans="1:12">
      <c r="A967" s="2647" t="s">
        <v>99</v>
      </c>
      <c r="B967" s="2647" t="s">
        <v>3060</v>
      </c>
      <c r="C967" s="2647">
        <v>346.07499999999999</v>
      </c>
      <c r="D967" s="2647">
        <v>482.6</v>
      </c>
      <c r="E967" s="2647">
        <v>66.674999999999997</v>
      </c>
      <c r="F967" s="2647" t="s">
        <v>2088</v>
      </c>
      <c r="G967" s="2647" t="s">
        <v>2088</v>
      </c>
      <c r="H967" s="2647" t="s">
        <v>2088</v>
      </c>
      <c r="I967" s="2647" t="s">
        <v>2088</v>
      </c>
      <c r="J967" s="2647">
        <v>0</v>
      </c>
      <c r="K967" s="2648"/>
      <c r="L967" s="2647" t="s">
        <v>2088</v>
      </c>
    </row>
    <row r="968" spans="1:12">
      <c r="A968" s="2646" t="s">
        <v>99</v>
      </c>
      <c r="B968" s="2646" t="s">
        <v>3061</v>
      </c>
      <c r="C968" s="2646">
        <v>247.65</v>
      </c>
      <c r="D968" s="2646">
        <v>368.3</v>
      </c>
      <c r="E968" s="2646">
        <v>50.8</v>
      </c>
      <c r="F968" s="2646" t="s">
        <v>2088</v>
      </c>
      <c r="G968" s="2646" t="s">
        <v>2088</v>
      </c>
      <c r="H968" s="2646" t="s">
        <v>2088</v>
      </c>
      <c r="I968" s="2646" t="s">
        <v>2088</v>
      </c>
      <c r="J968" s="2646">
        <v>0</v>
      </c>
      <c r="L968" s="2646" t="s">
        <v>2088</v>
      </c>
    </row>
    <row r="969" spans="1:12">
      <c r="A969" s="2647" t="s">
        <v>99</v>
      </c>
      <c r="B969" s="2647" t="s">
        <v>3062</v>
      </c>
      <c r="C969" s="2647">
        <v>241.3</v>
      </c>
      <c r="D969" s="2647">
        <v>365.04899999999998</v>
      </c>
      <c r="E969" s="2647">
        <v>50.8</v>
      </c>
      <c r="F969" s="2647" t="s">
        <v>2088</v>
      </c>
      <c r="G969" s="2647" t="s">
        <v>2088</v>
      </c>
      <c r="H969" s="2647" t="s">
        <v>2088</v>
      </c>
      <c r="I969" s="2647" t="s">
        <v>2088</v>
      </c>
      <c r="J969" s="2647">
        <v>0</v>
      </c>
      <c r="K969" s="2648"/>
      <c r="L969" s="2647" t="s">
        <v>2088</v>
      </c>
    </row>
    <row r="970" spans="1:12">
      <c r="A970" s="2646" t="s">
        <v>99</v>
      </c>
      <c r="B970" s="2646" t="s">
        <v>3063</v>
      </c>
      <c r="C970" s="2646">
        <v>1016</v>
      </c>
      <c r="D970" s="2646">
        <v>1270</v>
      </c>
      <c r="E970" s="2646">
        <v>101.6</v>
      </c>
      <c r="F970" s="2646" t="s">
        <v>2088</v>
      </c>
      <c r="G970" s="2646" t="s">
        <v>2088</v>
      </c>
      <c r="H970" s="2646" t="s">
        <v>2088</v>
      </c>
      <c r="I970" s="2646" t="s">
        <v>2088</v>
      </c>
      <c r="J970" s="2646">
        <v>269.39999999999998</v>
      </c>
      <c r="L970" s="2646" t="s">
        <v>3064</v>
      </c>
    </row>
    <row r="971" spans="1:12">
      <c r="A971" s="2647" t="s">
        <v>99</v>
      </c>
      <c r="B971" s="2647" t="s">
        <v>3065</v>
      </c>
      <c r="C971" s="2647">
        <v>1016</v>
      </c>
      <c r="D971" s="2647">
        <v>1270</v>
      </c>
      <c r="E971" s="2647">
        <v>101</v>
      </c>
      <c r="F971" s="2647" t="s">
        <v>2088</v>
      </c>
      <c r="G971" s="2647" t="s">
        <v>2088</v>
      </c>
      <c r="H971" s="2647" t="s">
        <v>2088</v>
      </c>
      <c r="I971" s="2647" t="s">
        <v>2088</v>
      </c>
      <c r="J971" s="2647">
        <v>0</v>
      </c>
      <c r="K971" s="2648"/>
      <c r="L971" s="2647" t="s">
        <v>2088</v>
      </c>
    </row>
    <row r="972" spans="1:12">
      <c r="A972" s="2646" t="s">
        <v>99</v>
      </c>
      <c r="B972" s="2646" t="s">
        <v>3066</v>
      </c>
      <c r="C972" s="2646">
        <v>355.6</v>
      </c>
      <c r="D972" s="2646">
        <v>469.9</v>
      </c>
      <c r="E972" s="2646">
        <v>60.325000000000003</v>
      </c>
      <c r="F972" s="2646" t="s">
        <v>2088</v>
      </c>
      <c r="G972" s="2646" t="s">
        <v>2088</v>
      </c>
      <c r="H972" s="2646" t="s">
        <v>2088</v>
      </c>
      <c r="I972" s="2646" t="s">
        <v>2088</v>
      </c>
      <c r="J972" s="2646">
        <v>0</v>
      </c>
      <c r="L972" s="2646" t="s">
        <v>2088</v>
      </c>
    </row>
    <row r="973" spans="1:12">
      <c r="A973" s="2647" t="s">
        <v>99</v>
      </c>
      <c r="B973" s="2647" t="s">
        <v>3067</v>
      </c>
      <c r="C973" s="2647">
        <v>346.07499999999999</v>
      </c>
      <c r="D973" s="2647">
        <v>482.6</v>
      </c>
      <c r="E973" s="2647">
        <v>60.325000000000003</v>
      </c>
      <c r="F973" s="2647" t="s">
        <v>2088</v>
      </c>
      <c r="G973" s="2647" t="s">
        <v>2088</v>
      </c>
      <c r="H973" s="2647" t="s">
        <v>2088</v>
      </c>
      <c r="I973" s="2647" t="s">
        <v>2088</v>
      </c>
      <c r="J973" s="2647">
        <v>0</v>
      </c>
      <c r="K973" s="2648"/>
      <c r="L973" s="2647" t="s">
        <v>2088</v>
      </c>
    </row>
    <row r="974" spans="1:12">
      <c r="A974" s="2646" t="s">
        <v>99</v>
      </c>
      <c r="B974" s="2646" t="s">
        <v>3068</v>
      </c>
      <c r="C974" s="2646">
        <v>330.2</v>
      </c>
      <c r="D974" s="2646">
        <v>496.9</v>
      </c>
      <c r="E974" s="2646">
        <v>60.325000000000003</v>
      </c>
      <c r="F974" s="2646" t="s">
        <v>2088</v>
      </c>
      <c r="G974" s="2646" t="s">
        <v>2088</v>
      </c>
      <c r="H974" s="2646" t="s">
        <v>2088</v>
      </c>
      <c r="I974" s="2646" t="s">
        <v>2088</v>
      </c>
      <c r="J974" s="2646">
        <v>0</v>
      </c>
      <c r="L974" s="2646" t="s">
        <v>2088</v>
      </c>
    </row>
    <row r="975" spans="1:12">
      <c r="A975" s="2647" t="s">
        <v>99</v>
      </c>
      <c r="B975" s="2647" t="s">
        <v>3069</v>
      </c>
      <c r="C975" s="2647">
        <v>260.35000000000002</v>
      </c>
      <c r="D975" s="2647">
        <v>365.125</v>
      </c>
      <c r="E975" s="2647">
        <v>58.738</v>
      </c>
      <c r="F975" s="2647" t="s">
        <v>2088</v>
      </c>
      <c r="G975" s="2647" t="s">
        <v>2088</v>
      </c>
      <c r="H975" s="2647" t="s">
        <v>2088</v>
      </c>
      <c r="I975" s="2647" t="s">
        <v>2088</v>
      </c>
      <c r="J975" s="2647">
        <v>0</v>
      </c>
      <c r="K975" s="2648"/>
      <c r="L975" s="2647" t="s">
        <v>2088</v>
      </c>
    </row>
    <row r="976" spans="1:12">
      <c r="A976" s="2646" t="s">
        <v>99</v>
      </c>
      <c r="B976" s="2646" t="s">
        <v>3070</v>
      </c>
      <c r="C976" s="2646">
        <v>206.375</v>
      </c>
      <c r="D976" s="2646">
        <v>317.5</v>
      </c>
      <c r="E976" s="2646">
        <v>53.975000000000001</v>
      </c>
      <c r="F976" s="2646" t="s">
        <v>2088</v>
      </c>
      <c r="G976" s="2646" t="s">
        <v>2088</v>
      </c>
      <c r="H976" s="2646" t="s">
        <v>2088</v>
      </c>
      <c r="I976" s="2646" t="s">
        <v>2088</v>
      </c>
      <c r="J976" s="2646">
        <v>0</v>
      </c>
      <c r="L976" s="2646" t="s">
        <v>2088</v>
      </c>
    </row>
    <row r="977" spans="1:12">
      <c r="A977" s="2647" t="s">
        <v>99</v>
      </c>
      <c r="B977" s="2647" t="s">
        <v>3071</v>
      </c>
      <c r="C977" s="2647">
        <v>228.6</v>
      </c>
      <c r="D977" s="2647">
        <v>355.6</v>
      </c>
      <c r="E977" s="2647">
        <v>69.849999999999994</v>
      </c>
      <c r="F977" s="2647" t="s">
        <v>2088</v>
      </c>
      <c r="G977" s="2647" t="s">
        <v>2088</v>
      </c>
      <c r="H977" s="2647" t="s">
        <v>2088</v>
      </c>
      <c r="I977" s="2647" t="s">
        <v>2088</v>
      </c>
      <c r="J977" s="2647">
        <v>0</v>
      </c>
      <c r="K977" s="2648"/>
      <c r="L977" s="2647" t="s">
        <v>2088</v>
      </c>
    </row>
    <row r="978" spans="1:12">
      <c r="A978" s="2646" t="s">
        <v>99</v>
      </c>
      <c r="B978" s="2646" t="s">
        <v>3072</v>
      </c>
      <c r="C978" s="2646">
        <v>225.42500000000001</v>
      </c>
      <c r="D978" s="2646">
        <v>355.6</v>
      </c>
      <c r="E978" s="2646">
        <v>69.849999999999994</v>
      </c>
      <c r="F978" s="2646" t="s">
        <v>2088</v>
      </c>
      <c r="G978" s="2646" t="s">
        <v>2088</v>
      </c>
      <c r="H978" s="2646" t="s">
        <v>2088</v>
      </c>
      <c r="I978" s="2646" t="s">
        <v>2088</v>
      </c>
      <c r="J978" s="2646">
        <v>0</v>
      </c>
      <c r="L978" s="2646" t="s">
        <v>2088</v>
      </c>
    </row>
    <row r="979" spans="1:12">
      <c r="A979" s="2647" t="s">
        <v>99</v>
      </c>
      <c r="B979" s="2647" t="s">
        <v>3073</v>
      </c>
      <c r="C979" s="2647">
        <v>215.9</v>
      </c>
      <c r="D979" s="2647">
        <v>355.6</v>
      </c>
      <c r="E979" s="2647">
        <v>69.849999999999994</v>
      </c>
      <c r="F979" s="2647" t="s">
        <v>2088</v>
      </c>
      <c r="G979" s="2647" t="s">
        <v>2088</v>
      </c>
      <c r="H979" s="2647" t="s">
        <v>2088</v>
      </c>
      <c r="I979" s="2647" t="s">
        <v>2088</v>
      </c>
      <c r="J979" s="2647">
        <v>0</v>
      </c>
      <c r="K979" s="2648"/>
      <c r="L979" s="2647" t="s">
        <v>2088</v>
      </c>
    </row>
    <row r="980" spans="1:12">
      <c r="A980" s="2646" t="s">
        <v>99</v>
      </c>
      <c r="B980" s="2646" t="s">
        <v>3074</v>
      </c>
      <c r="C980" s="2646">
        <v>280.19200000000001</v>
      </c>
      <c r="D980" s="2646">
        <v>406.4</v>
      </c>
      <c r="E980" s="2646">
        <v>69.849999999999994</v>
      </c>
      <c r="F980" s="2646" t="s">
        <v>2088</v>
      </c>
      <c r="G980" s="2646" t="s">
        <v>2088</v>
      </c>
      <c r="H980" s="2646" t="s">
        <v>2088</v>
      </c>
      <c r="I980" s="2646" t="s">
        <v>2088</v>
      </c>
      <c r="J980" s="2646">
        <v>0</v>
      </c>
      <c r="L980" s="2646" t="s">
        <v>2088</v>
      </c>
    </row>
    <row r="981" spans="1:12">
      <c r="A981" s="2647" t="s">
        <v>99</v>
      </c>
      <c r="B981" s="2647" t="s">
        <v>3075</v>
      </c>
      <c r="C981" s="2647">
        <v>152.4</v>
      </c>
      <c r="D981" s="2647">
        <v>168.28800000000001</v>
      </c>
      <c r="E981" s="2647">
        <v>74.611999999999995</v>
      </c>
      <c r="F981" s="2647" t="s">
        <v>2088</v>
      </c>
      <c r="G981" s="2647" t="s">
        <v>2088</v>
      </c>
      <c r="H981" s="2647" t="s">
        <v>2088</v>
      </c>
      <c r="I981" s="2647" t="s">
        <v>2088</v>
      </c>
      <c r="J981" s="2647">
        <v>0</v>
      </c>
      <c r="K981" s="2648"/>
      <c r="L981" s="2647" t="s">
        <v>2088</v>
      </c>
    </row>
    <row r="982" spans="1:12">
      <c r="A982" s="2646" t="s">
        <v>99</v>
      </c>
      <c r="B982" s="2646" t="s">
        <v>3076</v>
      </c>
      <c r="C982" s="2646">
        <v>228.6</v>
      </c>
      <c r="D982" s="2646">
        <v>320.67500000000001</v>
      </c>
      <c r="E982" s="2646">
        <v>50.8</v>
      </c>
      <c r="F982" s="2646" t="s">
        <v>2088</v>
      </c>
      <c r="G982" s="2646" t="s">
        <v>2088</v>
      </c>
      <c r="H982" s="2646" t="s">
        <v>2088</v>
      </c>
      <c r="I982" s="2646" t="s">
        <v>2088</v>
      </c>
      <c r="J982" s="2646">
        <v>0</v>
      </c>
      <c r="L982" s="2646" t="s">
        <v>2088</v>
      </c>
    </row>
    <row r="983" spans="1:12">
      <c r="A983" s="2647" t="s">
        <v>99</v>
      </c>
      <c r="B983" s="2647" t="s">
        <v>3077</v>
      </c>
      <c r="C983" s="2647">
        <v>190.5</v>
      </c>
      <c r="D983" s="2647">
        <v>282.57499999999999</v>
      </c>
      <c r="E983" s="2647">
        <v>50.8</v>
      </c>
      <c r="F983" s="2647" t="s">
        <v>2088</v>
      </c>
      <c r="G983" s="2647" t="s">
        <v>2088</v>
      </c>
      <c r="H983" s="2647" t="s">
        <v>2088</v>
      </c>
      <c r="I983" s="2647" t="s">
        <v>2088</v>
      </c>
      <c r="J983" s="2647">
        <v>0</v>
      </c>
      <c r="K983" s="2648"/>
      <c r="L983" s="2647" t="s">
        <v>2088</v>
      </c>
    </row>
    <row r="984" spans="1:12">
      <c r="A984" s="2646" t="s">
        <v>99</v>
      </c>
      <c r="B984" s="2646" t="s">
        <v>3078</v>
      </c>
      <c r="C984" s="2646">
        <v>137.32499999999999</v>
      </c>
      <c r="D984" s="2646">
        <v>282.57499999999999</v>
      </c>
      <c r="E984" s="2646">
        <v>50.3</v>
      </c>
      <c r="F984" s="2646" t="s">
        <v>2088</v>
      </c>
      <c r="G984" s="2646" t="s">
        <v>2088</v>
      </c>
      <c r="H984" s="2646" t="s">
        <v>2088</v>
      </c>
      <c r="I984" s="2646" t="s">
        <v>2088</v>
      </c>
      <c r="J984" s="2646">
        <v>0</v>
      </c>
      <c r="L984" s="2646" t="s">
        <v>2088</v>
      </c>
    </row>
    <row r="985" spans="1:12">
      <c r="A985" s="2647" t="s">
        <v>99</v>
      </c>
      <c r="B985" s="2647" t="s">
        <v>3079</v>
      </c>
      <c r="C985" s="2647">
        <v>87.311999999999998</v>
      </c>
      <c r="D985" s="2647">
        <v>190.5</v>
      </c>
      <c r="E985" s="2647">
        <v>57.15</v>
      </c>
      <c r="F985" s="2647" t="s">
        <v>2088</v>
      </c>
      <c r="G985" s="2647" t="s">
        <v>2088</v>
      </c>
      <c r="H985" s="2647" t="s">
        <v>2088</v>
      </c>
      <c r="I985" s="2647" t="s">
        <v>2088</v>
      </c>
      <c r="J985" s="2647">
        <v>0</v>
      </c>
      <c r="K985" s="2648"/>
      <c r="L985" s="2647" t="s">
        <v>2088</v>
      </c>
    </row>
    <row r="986" spans="1:12">
      <c r="A986" s="2646" t="s">
        <v>99</v>
      </c>
      <c r="B986" s="2646" t="s">
        <v>3080</v>
      </c>
      <c r="C986" s="2646">
        <v>165.1</v>
      </c>
      <c r="D986" s="2646">
        <v>254</v>
      </c>
      <c r="E986" s="2646">
        <v>46.037999999999997</v>
      </c>
      <c r="F986" s="2646" t="s">
        <v>2088</v>
      </c>
      <c r="G986" s="2646" t="s">
        <v>2088</v>
      </c>
      <c r="H986" s="2646" t="s">
        <v>2088</v>
      </c>
      <c r="I986" s="2646" t="s">
        <v>2088</v>
      </c>
      <c r="J986" s="2646">
        <v>0</v>
      </c>
      <c r="L986" s="2646" t="s">
        <v>2088</v>
      </c>
    </row>
    <row r="987" spans="1:12">
      <c r="A987" s="2647" t="s">
        <v>99</v>
      </c>
      <c r="B987" s="2647" t="s">
        <v>3081</v>
      </c>
      <c r="C987" s="2647">
        <v>98.424999999999997</v>
      </c>
      <c r="D987" s="2647">
        <v>190.5</v>
      </c>
      <c r="E987" s="2647">
        <v>57.15</v>
      </c>
      <c r="F987" s="2647" t="s">
        <v>2088</v>
      </c>
      <c r="G987" s="2647" t="s">
        <v>2088</v>
      </c>
      <c r="H987" s="2647" t="s">
        <v>2088</v>
      </c>
      <c r="I987" s="2647" t="s">
        <v>2088</v>
      </c>
      <c r="J987" s="2647">
        <v>0</v>
      </c>
      <c r="K987" s="2648"/>
      <c r="L987" s="2647" t="s">
        <v>2088</v>
      </c>
    </row>
    <row r="988" spans="1:12">
      <c r="A988" s="2646" t="s">
        <v>99</v>
      </c>
      <c r="B988" s="2646" t="s">
        <v>3082</v>
      </c>
      <c r="C988" s="2646">
        <v>95.25</v>
      </c>
      <c r="D988" s="2646">
        <v>190.5</v>
      </c>
      <c r="E988" s="2646">
        <v>57.15</v>
      </c>
      <c r="F988" s="2646" t="s">
        <v>2088</v>
      </c>
      <c r="G988" s="2646" t="s">
        <v>2088</v>
      </c>
      <c r="H988" s="2646" t="s">
        <v>2088</v>
      </c>
      <c r="I988" s="2646" t="s">
        <v>2088</v>
      </c>
      <c r="J988" s="2646">
        <v>7.12</v>
      </c>
      <c r="L988" s="2646" t="s">
        <v>2088</v>
      </c>
    </row>
    <row r="989" spans="1:12">
      <c r="A989" s="2647" t="s">
        <v>99</v>
      </c>
      <c r="B989" s="2647" t="s">
        <v>3083</v>
      </c>
      <c r="C989" s="2647">
        <v>101.6</v>
      </c>
      <c r="D989" s="2647">
        <v>190.5</v>
      </c>
      <c r="E989" s="2647">
        <v>127</v>
      </c>
      <c r="F989" s="2647" t="s">
        <v>2088</v>
      </c>
      <c r="G989" s="2647" t="s">
        <v>2088</v>
      </c>
      <c r="H989" s="2647" t="s">
        <v>2088</v>
      </c>
      <c r="I989" s="2647" t="s">
        <v>2088</v>
      </c>
      <c r="J989" s="2647">
        <v>15.59</v>
      </c>
      <c r="K989" s="2648"/>
      <c r="L989" s="2647" t="s">
        <v>2088</v>
      </c>
    </row>
    <row r="990" spans="1:12">
      <c r="A990" s="2646" t="s">
        <v>99</v>
      </c>
      <c r="B990" s="2646" t="s">
        <v>3084</v>
      </c>
      <c r="C990" s="2646">
        <v>101.6</v>
      </c>
      <c r="D990" s="2646">
        <v>190.5</v>
      </c>
      <c r="E990" s="2646">
        <v>57.15</v>
      </c>
      <c r="F990" s="2646" t="s">
        <v>2088</v>
      </c>
      <c r="G990" s="2646" t="s">
        <v>2088</v>
      </c>
      <c r="H990" s="2646" t="s">
        <v>2088</v>
      </c>
      <c r="I990" s="2646" t="s">
        <v>2088</v>
      </c>
      <c r="J990" s="2646">
        <v>0</v>
      </c>
      <c r="L990" s="2646" t="s">
        <v>2088</v>
      </c>
    </row>
    <row r="991" spans="1:12">
      <c r="A991" s="2647" t="s">
        <v>99</v>
      </c>
      <c r="B991" s="2647" t="s">
        <v>3085</v>
      </c>
      <c r="C991" s="2647">
        <v>241.3</v>
      </c>
      <c r="D991" s="2647">
        <v>327.02499999999998</v>
      </c>
      <c r="E991" s="2647">
        <v>114.3</v>
      </c>
      <c r="F991" s="2647" t="s">
        <v>2088</v>
      </c>
      <c r="G991" s="2647" t="s">
        <v>2088</v>
      </c>
      <c r="H991" s="2647" t="s">
        <v>2088</v>
      </c>
      <c r="I991" s="2647" t="s">
        <v>2088</v>
      </c>
      <c r="J991" s="2647">
        <v>25</v>
      </c>
      <c r="K991" s="2648"/>
      <c r="L991" s="2647" t="s">
        <v>2088</v>
      </c>
    </row>
    <row r="992" spans="1:12">
      <c r="A992" s="2646" t="s">
        <v>99</v>
      </c>
      <c r="B992" s="2646" t="s">
        <v>3086</v>
      </c>
      <c r="C992" s="2646">
        <v>241.3</v>
      </c>
      <c r="D992" s="2646">
        <v>327.02499999999998</v>
      </c>
      <c r="E992" s="2646">
        <v>52.387999999999998</v>
      </c>
      <c r="F992" s="2646" t="s">
        <v>2088</v>
      </c>
      <c r="G992" s="2646" t="s">
        <v>2088</v>
      </c>
      <c r="H992" s="2646" t="s">
        <v>2088</v>
      </c>
      <c r="I992" s="2646" t="s">
        <v>2088</v>
      </c>
      <c r="J992" s="2646">
        <v>0</v>
      </c>
      <c r="L992" s="2646" t="s">
        <v>2088</v>
      </c>
    </row>
    <row r="993" spans="1:12">
      <c r="A993" s="2647" t="s">
        <v>99</v>
      </c>
      <c r="B993" s="2647" t="s">
        <v>3087</v>
      </c>
      <c r="C993" s="2647">
        <v>234.95</v>
      </c>
      <c r="D993" s="2647">
        <v>327.02499999999998</v>
      </c>
      <c r="E993" s="2647">
        <v>52.387999999999998</v>
      </c>
      <c r="F993" s="2647" t="s">
        <v>2088</v>
      </c>
      <c r="G993" s="2647" t="s">
        <v>2088</v>
      </c>
      <c r="H993" s="2647" t="s">
        <v>2088</v>
      </c>
      <c r="I993" s="2647" t="s">
        <v>2088</v>
      </c>
      <c r="J993" s="2647">
        <v>0</v>
      </c>
      <c r="K993" s="2648"/>
      <c r="L993" s="2647" t="s">
        <v>2088</v>
      </c>
    </row>
    <row r="994" spans="1:12">
      <c r="A994" s="2646" t="s">
        <v>99</v>
      </c>
      <c r="B994" s="2646" t="s">
        <v>3088</v>
      </c>
      <c r="C994" s="2646">
        <v>228.6</v>
      </c>
      <c r="D994" s="2646">
        <v>327.02499999999998</v>
      </c>
      <c r="E994" s="2646">
        <v>52.387999999999998</v>
      </c>
      <c r="F994" s="2646" t="s">
        <v>2088</v>
      </c>
      <c r="G994" s="2646" t="s">
        <v>2088</v>
      </c>
      <c r="H994" s="2646" t="s">
        <v>2088</v>
      </c>
      <c r="I994" s="2646" t="s">
        <v>2088</v>
      </c>
      <c r="J994" s="2646">
        <v>0</v>
      </c>
      <c r="L994" s="2646" t="s">
        <v>2088</v>
      </c>
    </row>
    <row r="995" spans="1:12">
      <c r="A995" s="2647" t="s">
        <v>99</v>
      </c>
      <c r="B995" s="2647" t="s">
        <v>3089</v>
      </c>
      <c r="C995" s="2647">
        <v>92.075000000000003</v>
      </c>
      <c r="D995" s="2647">
        <v>190.5</v>
      </c>
      <c r="E995" s="2647">
        <v>57.15</v>
      </c>
      <c r="F995" s="2647" t="s">
        <v>2088</v>
      </c>
      <c r="G995" s="2647" t="s">
        <v>2088</v>
      </c>
      <c r="H995" s="2647" t="s">
        <v>2088</v>
      </c>
      <c r="I995" s="2647" t="s">
        <v>2088</v>
      </c>
      <c r="J995" s="2647">
        <v>0</v>
      </c>
      <c r="K995" s="2648"/>
      <c r="L995" s="2647" t="s">
        <v>2088</v>
      </c>
    </row>
    <row r="996" spans="1:12">
      <c r="A996" s="2646" t="s">
        <v>99</v>
      </c>
      <c r="B996" s="2646" t="s">
        <v>3090</v>
      </c>
      <c r="C996" s="2646">
        <v>88.9</v>
      </c>
      <c r="D996" s="2646">
        <v>190.5</v>
      </c>
      <c r="E996" s="2646">
        <v>57.5</v>
      </c>
      <c r="F996" s="2646" t="s">
        <v>2088</v>
      </c>
      <c r="G996" s="2646" t="s">
        <v>2088</v>
      </c>
      <c r="H996" s="2646" t="s">
        <v>2088</v>
      </c>
      <c r="I996" s="2646" t="s">
        <v>2088</v>
      </c>
      <c r="J996" s="2646">
        <v>7.71</v>
      </c>
      <c r="L996" s="2646" t="s">
        <v>2088</v>
      </c>
    </row>
    <row r="997" spans="1:12">
      <c r="A997" s="2647" t="s">
        <v>99</v>
      </c>
      <c r="B997" s="2647" t="s">
        <v>3091</v>
      </c>
      <c r="C997" s="2647">
        <v>88.9</v>
      </c>
      <c r="D997" s="2647">
        <v>190.5</v>
      </c>
      <c r="E997" s="2647">
        <v>57.15</v>
      </c>
      <c r="F997" s="2647" t="s">
        <v>2088</v>
      </c>
      <c r="G997" s="2647" t="s">
        <v>2088</v>
      </c>
      <c r="H997" s="2647" t="s">
        <v>2088</v>
      </c>
      <c r="I997" s="2647" t="s">
        <v>2088</v>
      </c>
      <c r="J997" s="2647">
        <v>0</v>
      </c>
      <c r="K997" s="2648"/>
      <c r="L997" s="2647" t="s">
        <v>2088</v>
      </c>
    </row>
    <row r="998" spans="1:12">
      <c r="A998" s="2646" t="s">
        <v>99</v>
      </c>
      <c r="B998" s="2646" t="s">
        <v>3092</v>
      </c>
      <c r="C998" s="2646">
        <v>88.9</v>
      </c>
      <c r="D998" s="2646">
        <v>168.27500000000001</v>
      </c>
      <c r="E998" s="2646">
        <v>53.975000000000001</v>
      </c>
      <c r="F998" s="2646" t="s">
        <v>2088</v>
      </c>
      <c r="G998" s="2646" t="s">
        <v>2088</v>
      </c>
      <c r="H998" s="2646" t="s">
        <v>2088</v>
      </c>
      <c r="I998" s="2646" t="s">
        <v>2088</v>
      </c>
      <c r="J998" s="2646">
        <v>0</v>
      </c>
      <c r="L998" s="2646" t="s">
        <v>2088</v>
      </c>
    </row>
    <row r="999" spans="1:12">
      <c r="A999" s="2647" t="s">
        <v>99</v>
      </c>
      <c r="B999" s="2647" t="s">
        <v>3093</v>
      </c>
      <c r="C999" s="2647">
        <v>82.55</v>
      </c>
      <c r="D999" s="2647">
        <v>168.27500000000001</v>
      </c>
      <c r="E999" s="2647">
        <v>53.975000000000001</v>
      </c>
      <c r="F999" s="2647" t="s">
        <v>2088</v>
      </c>
      <c r="G999" s="2647" t="s">
        <v>2088</v>
      </c>
      <c r="H999" s="2647" t="s">
        <v>2088</v>
      </c>
      <c r="I999" s="2647" t="s">
        <v>2088</v>
      </c>
      <c r="J999" s="2647">
        <v>0</v>
      </c>
      <c r="K999" s="2648"/>
      <c r="L999" s="2647" t="s">
        <v>2088</v>
      </c>
    </row>
    <row r="1000" spans="1:12">
      <c r="A1000" s="2646" t="s">
        <v>99</v>
      </c>
      <c r="B1000" s="2646" t="s">
        <v>3094</v>
      </c>
      <c r="C1000" s="2646">
        <v>85.724999999999994</v>
      </c>
      <c r="D1000" s="2646">
        <v>168.27500000000001</v>
      </c>
      <c r="E1000" s="2646">
        <v>53.975000000000001</v>
      </c>
      <c r="F1000" s="2646" t="s">
        <v>2088</v>
      </c>
      <c r="G1000" s="2646" t="s">
        <v>2088</v>
      </c>
      <c r="H1000" s="2646" t="s">
        <v>2088</v>
      </c>
      <c r="I1000" s="2646" t="s">
        <v>2088</v>
      </c>
      <c r="J1000" s="2646">
        <v>0</v>
      </c>
      <c r="L1000" s="2646" t="s">
        <v>2088</v>
      </c>
    </row>
    <row r="1001" spans="1:12">
      <c r="A1001" s="2647" t="s">
        <v>99</v>
      </c>
      <c r="B1001" s="2647" t="s">
        <v>3095</v>
      </c>
      <c r="C1001" s="2647">
        <v>80.962000000000003</v>
      </c>
      <c r="D1001" s="2647">
        <v>168.27500000000001</v>
      </c>
      <c r="E1001" s="2647">
        <v>53.975000000000001</v>
      </c>
      <c r="F1001" s="2647" t="s">
        <v>2088</v>
      </c>
      <c r="G1001" s="2647" t="s">
        <v>2088</v>
      </c>
      <c r="H1001" s="2647" t="s">
        <v>2088</v>
      </c>
      <c r="I1001" s="2647" t="s">
        <v>2088</v>
      </c>
      <c r="J1001" s="2647">
        <v>0</v>
      </c>
      <c r="K1001" s="2648"/>
      <c r="L1001" s="2647" t="s">
        <v>2088</v>
      </c>
    </row>
    <row r="1002" spans="1:12">
      <c r="A1002" s="2646" t="s">
        <v>99</v>
      </c>
      <c r="B1002" s="2646" t="s">
        <v>3096</v>
      </c>
      <c r="C1002" s="2646">
        <v>146.05000000000001</v>
      </c>
      <c r="D1002" s="2646">
        <v>241.3</v>
      </c>
      <c r="E1002" s="2646">
        <v>57.15</v>
      </c>
      <c r="F1002" s="2646" t="s">
        <v>2088</v>
      </c>
      <c r="G1002" s="2646" t="s">
        <v>2088</v>
      </c>
      <c r="H1002" s="2646" t="s">
        <v>2088</v>
      </c>
      <c r="I1002" s="2646" t="s">
        <v>2088</v>
      </c>
      <c r="J1002" s="2646">
        <v>0</v>
      </c>
      <c r="L1002" s="2646" t="s">
        <v>2088</v>
      </c>
    </row>
    <row r="1003" spans="1:12">
      <c r="A1003" s="2647" t="s">
        <v>99</v>
      </c>
      <c r="B1003" s="2647" t="s">
        <v>3097</v>
      </c>
      <c r="C1003" s="2647">
        <v>142.875</v>
      </c>
      <c r="D1003" s="2647">
        <v>236.53800000000001</v>
      </c>
      <c r="E1003" s="2647">
        <v>131.76300000000001</v>
      </c>
      <c r="F1003" s="2647" t="s">
        <v>2088</v>
      </c>
      <c r="G1003" s="2647" t="s">
        <v>2088</v>
      </c>
      <c r="H1003" s="2647" t="s">
        <v>2088</v>
      </c>
      <c r="I1003" s="2647" t="s">
        <v>2088</v>
      </c>
      <c r="J1003" s="2647">
        <v>23.3</v>
      </c>
      <c r="K1003" s="2648"/>
      <c r="L1003" s="2647" t="s">
        <v>2088</v>
      </c>
    </row>
    <row r="1004" spans="1:12">
      <c r="A1004" s="2646" t="s">
        <v>99</v>
      </c>
      <c r="B1004" s="2646" t="s">
        <v>3098</v>
      </c>
      <c r="C1004" s="2646">
        <v>139.702</v>
      </c>
      <c r="D1004" s="2646">
        <v>236.53800000000001</v>
      </c>
      <c r="E1004" s="2646">
        <v>131.76300000000001</v>
      </c>
      <c r="F1004" s="2646" t="s">
        <v>2088</v>
      </c>
      <c r="G1004" s="2646" t="s">
        <v>2088</v>
      </c>
      <c r="H1004" s="2646" t="s">
        <v>2088</v>
      </c>
      <c r="I1004" s="2646" t="s">
        <v>2088</v>
      </c>
      <c r="J1004" s="2646">
        <v>23.4</v>
      </c>
      <c r="L1004" s="2646" t="s">
        <v>2088</v>
      </c>
    </row>
    <row r="1005" spans="1:12">
      <c r="A1005" s="2647" t="s">
        <v>99</v>
      </c>
      <c r="B1005" s="2647" t="s">
        <v>3099</v>
      </c>
      <c r="C1005" s="2647">
        <v>139.69999999999999</v>
      </c>
      <c r="D1005" s="2647">
        <v>241.3</v>
      </c>
      <c r="E1005" s="2647">
        <v>57.15</v>
      </c>
      <c r="F1005" s="2647" t="s">
        <v>2088</v>
      </c>
      <c r="G1005" s="2647" t="s">
        <v>2088</v>
      </c>
      <c r="H1005" s="2647" t="s">
        <v>2088</v>
      </c>
      <c r="I1005" s="2647" t="s">
        <v>2088</v>
      </c>
      <c r="J1005" s="2647">
        <v>0</v>
      </c>
      <c r="K1005" s="2648"/>
      <c r="L1005" s="2647" t="s">
        <v>2088</v>
      </c>
    </row>
    <row r="1006" spans="1:12">
      <c r="A1006" s="2646" t="s">
        <v>99</v>
      </c>
      <c r="B1006" s="2646" t="s">
        <v>3100</v>
      </c>
      <c r="C1006" s="2646">
        <v>76.2</v>
      </c>
      <c r="D1006" s="2646">
        <v>168.27500000000001</v>
      </c>
      <c r="E1006" s="2646">
        <v>53.975000000000001</v>
      </c>
      <c r="F1006" s="2646" t="s">
        <v>2088</v>
      </c>
      <c r="G1006" s="2646" t="s">
        <v>2088</v>
      </c>
      <c r="H1006" s="2646" t="s">
        <v>2088</v>
      </c>
      <c r="I1006" s="2646" t="s">
        <v>2088</v>
      </c>
      <c r="J1006" s="2646">
        <v>0</v>
      </c>
      <c r="L1006" s="2646" t="s">
        <v>2088</v>
      </c>
    </row>
    <row r="1007" spans="1:12">
      <c r="A1007" s="2647" t="s">
        <v>99</v>
      </c>
      <c r="B1007" s="2647" t="s">
        <v>3101</v>
      </c>
      <c r="C1007" s="2647">
        <v>431.8</v>
      </c>
      <c r="D1007" s="2647">
        <v>533.4</v>
      </c>
      <c r="E1007" s="2647">
        <v>46.037999999999997</v>
      </c>
      <c r="F1007" s="2647" t="s">
        <v>2088</v>
      </c>
      <c r="G1007" s="2647" t="s">
        <v>2088</v>
      </c>
      <c r="H1007" s="2647" t="s">
        <v>2088</v>
      </c>
      <c r="I1007" s="2647" t="s">
        <v>2088</v>
      </c>
      <c r="J1007" s="2647">
        <v>0</v>
      </c>
      <c r="K1007" s="2648"/>
      <c r="L1007" s="2647" t="s">
        <v>2088</v>
      </c>
    </row>
    <row r="1008" spans="1:12">
      <c r="A1008" s="2646" t="s">
        <v>99</v>
      </c>
      <c r="B1008" s="2646" t="s">
        <v>3102</v>
      </c>
      <c r="C1008" s="2646">
        <v>41.274999999999999</v>
      </c>
      <c r="D1008" s="2646">
        <v>82.55</v>
      </c>
      <c r="E1008" s="2646">
        <v>26.542999999999999</v>
      </c>
      <c r="F1008" s="2646" t="s">
        <v>2088</v>
      </c>
      <c r="G1008" s="2646" t="s">
        <v>2088</v>
      </c>
      <c r="H1008" s="2646" t="s">
        <v>2088</v>
      </c>
      <c r="I1008" s="2646" t="s">
        <v>2088</v>
      </c>
      <c r="J1008" s="2646">
        <v>0.61699999999999999</v>
      </c>
      <c r="L1008" s="2646" t="s">
        <v>2088</v>
      </c>
    </row>
    <row r="1009" spans="1:12">
      <c r="A1009" s="2647" t="s">
        <v>99</v>
      </c>
      <c r="B1009" s="2647" t="s">
        <v>3103</v>
      </c>
      <c r="C1009" s="2647">
        <v>128.58799999999999</v>
      </c>
      <c r="D1009" s="2647">
        <v>206.375</v>
      </c>
      <c r="E1009" s="2647">
        <v>47.625</v>
      </c>
      <c r="F1009" s="2647" t="s">
        <v>2088</v>
      </c>
      <c r="G1009" s="2647" t="s">
        <v>2088</v>
      </c>
      <c r="H1009" s="2647" t="s">
        <v>2088</v>
      </c>
      <c r="I1009" s="2647" t="s">
        <v>2088</v>
      </c>
      <c r="J1009" s="2647">
        <v>0</v>
      </c>
      <c r="K1009" s="2648"/>
      <c r="L1009" s="2647" t="s">
        <v>2088</v>
      </c>
    </row>
    <row r="1010" spans="1:12">
      <c r="A1010" s="2646" t="s">
        <v>99</v>
      </c>
      <c r="B1010" s="2646" t="s">
        <v>3104</v>
      </c>
      <c r="C1010" s="2646">
        <v>120.65</v>
      </c>
      <c r="D1010" s="2646">
        <v>206.375</v>
      </c>
      <c r="E1010" s="2646">
        <v>47.625</v>
      </c>
      <c r="F1010" s="2646" t="s">
        <v>2088</v>
      </c>
      <c r="G1010" s="2646" t="s">
        <v>2088</v>
      </c>
      <c r="H1010" s="2646" t="s">
        <v>2088</v>
      </c>
      <c r="I1010" s="2646" t="s">
        <v>2088</v>
      </c>
      <c r="J1010" s="2646">
        <v>0</v>
      </c>
      <c r="L1010" s="2646" t="s">
        <v>2088</v>
      </c>
    </row>
    <row r="1011" spans="1:12">
      <c r="A1011" s="2647" t="s">
        <v>99</v>
      </c>
      <c r="B1011" s="2647" t="s">
        <v>3105</v>
      </c>
      <c r="C1011" s="2647">
        <v>104.77500000000001</v>
      </c>
      <c r="D1011" s="2647">
        <v>180.97499999999999</v>
      </c>
      <c r="E1011" s="2647">
        <v>47.625</v>
      </c>
      <c r="F1011" s="2647" t="s">
        <v>2088</v>
      </c>
      <c r="G1011" s="2647" t="s">
        <v>2088</v>
      </c>
      <c r="H1011" s="2647" t="s">
        <v>2088</v>
      </c>
      <c r="I1011" s="2647" t="s">
        <v>2088</v>
      </c>
      <c r="J1011" s="2647">
        <v>0</v>
      </c>
      <c r="K1011" s="2648"/>
      <c r="L1011" s="2647" t="s">
        <v>2088</v>
      </c>
    </row>
    <row r="1012" spans="1:12">
      <c r="A1012" s="2646" t="s">
        <v>99</v>
      </c>
      <c r="B1012" s="2646" t="s">
        <v>3106</v>
      </c>
      <c r="C1012" s="2646">
        <v>104.77500000000001</v>
      </c>
      <c r="D1012" s="2646">
        <v>180.97499999999999</v>
      </c>
      <c r="E1012" s="2646">
        <v>47.625</v>
      </c>
      <c r="F1012" s="2646" t="s">
        <v>2088</v>
      </c>
      <c r="G1012" s="2646" t="s">
        <v>2088</v>
      </c>
      <c r="H1012" s="2646" t="s">
        <v>2088</v>
      </c>
      <c r="I1012" s="2646" t="s">
        <v>2088</v>
      </c>
      <c r="J1012" s="2646">
        <v>0</v>
      </c>
      <c r="L1012" s="2646" t="s">
        <v>2088</v>
      </c>
    </row>
    <row r="1013" spans="1:12">
      <c r="A1013" s="2647" t="s">
        <v>99</v>
      </c>
      <c r="B1013" s="2647" t="s">
        <v>3107</v>
      </c>
      <c r="C1013" s="2647">
        <v>100</v>
      </c>
      <c r="D1013" s="2647">
        <v>180.97499999999999</v>
      </c>
      <c r="E1013" s="2647">
        <v>47.625</v>
      </c>
      <c r="F1013" s="2647" t="s">
        <v>2088</v>
      </c>
      <c r="G1013" s="2647" t="s">
        <v>2088</v>
      </c>
      <c r="H1013" s="2647" t="s">
        <v>2088</v>
      </c>
      <c r="I1013" s="2647" t="s">
        <v>2088</v>
      </c>
      <c r="J1013" s="2647">
        <v>0</v>
      </c>
      <c r="K1013" s="2648"/>
      <c r="L1013" s="2647" t="s">
        <v>2088</v>
      </c>
    </row>
    <row r="1014" spans="1:12">
      <c r="A1014" s="2646" t="s">
        <v>99</v>
      </c>
      <c r="B1014" s="2646" t="s">
        <v>3108</v>
      </c>
      <c r="C1014" s="2646">
        <v>63.5</v>
      </c>
      <c r="D1014" s="2646">
        <v>140.30000000000001</v>
      </c>
      <c r="E1014" s="2646">
        <v>36.512</v>
      </c>
      <c r="F1014" s="2646" t="s">
        <v>2088</v>
      </c>
      <c r="G1014" s="2646" t="s">
        <v>2088</v>
      </c>
      <c r="H1014" s="2646" t="s">
        <v>2088</v>
      </c>
      <c r="I1014" s="2646" t="s">
        <v>2088</v>
      </c>
      <c r="J1014" s="2646">
        <v>0</v>
      </c>
      <c r="L1014" s="2646" t="s">
        <v>2088</v>
      </c>
    </row>
    <row r="1015" spans="1:12">
      <c r="A1015" s="2647" t="s">
        <v>99</v>
      </c>
      <c r="B1015" s="2647" t="s">
        <v>3109</v>
      </c>
      <c r="C1015" s="2647">
        <v>104.77500000000001</v>
      </c>
      <c r="D1015" s="2647">
        <v>180.97499999999999</v>
      </c>
      <c r="E1015" s="2647">
        <v>47.625</v>
      </c>
      <c r="F1015" s="2647" t="s">
        <v>2088</v>
      </c>
      <c r="G1015" s="2647" t="s">
        <v>2088</v>
      </c>
      <c r="H1015" s="2647" t="s">
        <v>2088</v>
      </c>
      <c r="I1015" s="2647" t="s">
        <v>2088</v>
      </c>
      <c r="J1015" s="2647">
        <v>4.8630000000000004</v>
      </c>
      <c r="K1015" s="2648"/>
      <c r="L1015" s="2647" t="s">
        <v>2088</v>
      </c>
    </row>
    <row r="1016" spans="1:12">
      <c r="A1016" s="2646" t="s">
        <v>99</v>
      </c>
      <c r="B1016" s="2646" t="s">
        <v>3110</v>
      </c>
      <c r="C1016" s="2646">
        <v>101.6</v>
      </c>
      <c r="D1016" s="2646">
        <v>180.97499999999999</v>
      </c>
      <c r="E1016" s="2646">
        <v>47.625</v>
      </c>
      <c r="F1016" s="2646" t="s">
        <v>2088</v>
      </c>
      <c r="G1016" s="2646" t="s">
        <v>2088</v>
      </c>
      <c r="H1016" s="2646" t="s">
        <v>2088</v>
      </c>
      <c r="I1016" s="2646" t="s">
        <v>2088</v>
      </c>
      <c r="J1016" s="2646">
        <v>0</v>
      </c>
      <c r="L1016" s="2646" t="s">
        <v>2088</v>
      </c>
    </row>
    <row r="1017" spans="1:12">
      <c r="A1017" s="2647" t="s">
        <v>99</v>
      </c>
      <c r="B1017" s="2647" t="s">
        <v>3111</v>
      </c>
      <c r="C1017" s="2647">
        <v>101.6</v>
      </c>
      <c r="D1017" s="2647">
        <v>180.97499999999999</v>
      </c>
      <c r="E1017" s="2647">
        <v>47.625</v>
      </c>
      <c r="F1017" s="2647" t="s">
        <v>2088</v>
      </c>
      <c r="G1017" s="2647" t="s">
        <v>2088</v>
      </c>
      <c r="H1017" s="2647" t="s">
        <v>2088</v>
      </c>
      <c r="I1017" s="2647" t="s">
        <v>2088</v>
      </c>
      <c r="J1017" s="2647">
        <v>0</v>
      </c>
      <c r="K1017" s="2648"/>
      <c r="L1017" s="2647" t="s">
        <v>2088</v>
      </c>
    </row>
    <row r="1018" spans="1:12">
      <c r="A1018" s="2646" t="s">
        <v>99</v>
      </c>
      <c r="B1018" s="2646" t="s">
        <v>3112</v>
      </c>
      <c r="C1018" s="2646">
        <v>98.424999999999997</v>
      </c>
      <c r="D1018" s="2646">
        <v>180.97499999999999</v>
      </c>
      <c r="E1018" s="2646">
        <v>47.625</v>
      </c>
      <c r="F1018" s="2646" t="s">
        <v>2088</v>
      </c>
      <c r="G1018" s="2646" t="s">
        <v>2088</v>
      </c>
      <c r="H1018" s="2646" t="s">
        <v>2088</v>
      </c>
      <c r="I1018" s="2646" t="s">
        <v>2088</v>
      </c>
      <c r="J1018" s="2646">
        <v>0</v>
      </c>
      <c r="L1018" s="2646" t="s">
        <v>2088</v>
      </c>
    </row>
    <row r="1019" spans="1:12">
      <c r="A1019" s="2647" t="s">
        <v>99</v>
      </c>
      <c r="B1019" s="2647" t="s">
        <v>3113</v>
      </c>
      <c r="C1019" s="2647">
        <v>92.075000000000003</v>
      </c>
      <c r="D1019" s="2647">
        <v>180.97499999999999</v>
      </c>
      <c r="E1019" s="2647">
        <v>47.625</v>
      </c>
      <c r="F1019" s="2647" t="s">
        <v>2088</v>
      </c>
      <c r="G1019" s="2647" t="s">
        <v>2088</v>
      </c>
      <c r="H1019" s="2647" t="s">
        <v>2088</v>
      </c>
      <c r="I1019" s="2647" t="s">
        <v>2088</v>
      </c>
      <c r="J1019" s="2647">
        <v>0</v>
      </c>
      <c r="K1019" s="2648"/>
      <c r="L1019" s="2647" t="s">
        <v>2088</v>
      </c>
    </row>
    <row r="1020" spans="1:12">
      <c r="A1020" s="2646" t="s">
        <v>99</v>
      </c>
      <c r="B1020" s="2646" t="s">
        <v>3114</v>
      </c>
      <c r="C1020" s="2646">
        <v>95.25</v>
      </c>
      <c r="D1020" s="2646">
        <v>171.45</v>
      </c>
      <c r="E1020" s="2646">
        <v>47.625</v>
      </c>
      <c r="F1020" s="2646" t="s">
        <v>2088</v>
      </c>
      <c r="G1020" s="2646" t="s">
        <v>2088</v>
      </c>
      <c r="H1020" s="2646" t="s">
        <v>2088</v>
      </c>
      <c r="I1020" s="2646" t="s">
        <v>2088</v>
      </c>
      <c r="J1020" s="2646">
        <v>0</v>
      </c>
      <c r="L1020" s="2646" t="s">
        <v>2088</v>
      </c>
    </row>
    <row r="1021" spans="1:12">
      <c r="A1021" s="2647" t="s">
        <v>99</v>
      </c>
      <c r="B1021" s="2647" t="s">
        <v>3115</v>
      </c>
      <c r="C1021" s="2647">
        <v>88.9</v>
      </c>
      <c r="D1021" s="2647">
        <v>171.45</v>
      </c>
      <c r="E1021" s="2647">
        <v>47.625</v>
      </c>
      <c r="F1021" s="2647" t="s">
        <v>2088</v>
      </c>
      <c r="G1021" s="2647" t="s">
        <v>2088</v>
      </c>
      <c r="H1021" s="2647" t="s">
        <v>2088</v>
      </c>
      <c r="I1021" s="2647" t="s">
        <v>2088</v>
      </c>
      <c r="J1021" s="2647">
        <v>0</v>
      </c>
      <c r="K1021" s="2648"/>
      <c r="L1021" s="2647" t="s">
        <v>2088</v>
      </c>
    </row>
    <row r="1022" spans="1:12">
      <c r="A1022" s="2646" t="s">
        <v>99</v>
      </c>
      <c r="B1022" s="2646" t="s">
        <v>3116</v>
      </c>
      <c r="C1022" s="2646">
        <v>90.488</v>
      </c>
      <c r="D1022" s="2646">
        <v>161.92500000000001</v>
      </c>
      <c r="E1022" s="2646">
        <v>47.625</v>
      </c>
      <c r="F1022" s="2646" t="s">
        <v>2088</v>
      </c>
      <c r="G1022" s="2646" t="s">
        <v>2088</v>
      </c>
      <c r="H1022" s="2646" t="s">
        <v>2088</v>
      </c>
      <c r="I1022" s="2646" t="s">
        <v>2088</v>
      </c>
      <c r="J1022" s="2646">
        <v>0</v>
      </c>
      <c r="L1022" s="2646" t="s">
        <v>2088</v>
      </c>
    </row>
    <row r="1023" spans="1:12">
      <c r="A1023" s="2647" t="s">
        <v>99</v>
      </c>
      <c r="B1023" s="2647" t="s">
        <v>3117</v>
      </c>
      <c r="C1023" s="2647">
        <v>85.724999999999994</v>
      </c>
      <c r="D1023" s="2647">
        <v>161.92500000000001</v>
      </c>
      <c r="E1023" s="2647">
        <v>47.625</v>
      </c>
      <c r="F1023" s="2647" t="s">
        <v>2088</v>
      </c>
      <c r="G1023" s="2647" t="s">
        <v>2088</v>
      </c>
      <c r="H1023" s="2647" t="s">
        <v>2088</v>
      </c>
      <c r="I1023" s="2647" t="s">
        <v>2088</v>
      </c>
      <c r="J1023" s="2647">
        <v>0</v>
      </c>
      <c r="K1023" s="2648"/>
      <c r="L1023" s="2647" t="s">
        <v>2088</v>
      </c>
    </row>
    <row r="1024" spans="1:12">
      <c r="A1024" s="2646" t="s">
        <v>99</v>
      </c>
      <c r="B1024" s="2646" t="s">
        <v>3118</v>
      </c>
      <c r="C1024" s="2646">
        <v>82.55</v>
      </c>
      <c r="D1024" s="2646">
        <v>161.92500000000001</v>
      </c>
      <c r="E1024" s="2646">
        <v>47.625</v>
      </c>
      <c r="F1024" s="2646" t="s">
        <v>2088</v>
      </c>
      <c r="G1024" s="2646" t="s">
        <v>2088</v>
      </c>
      <c r="H1024" s="2646" t="s">
        <v>2088</v>
      </c>
      <c r="I1024" s="2646" t="s">
        <v>2088</v>
      </c>
      <c r="J1024" s="2646">
        <v>0</v>
      </c>
      <c r="L1024" s="2646" t="s">
        <v>2088</v>
      </c>
    </row>
    <row r="1025" spans="1:12">
      <c r="A1025" s="2647" t="s">
        <v>99</v>
      </c>
      <c r="B1025" s="2647" t="s">
        <v>3119</v>
      </c>
      <c r="C1025" s="2647">
        <v>79.375</v>
      </c>
      <c r="D1025" s="2647">
        <v>161.92500000000001</v>
      </c>
      <c r="E1025" s="2647">
        <v>47.625</v>
      </c>
      <c r="F1025" s="2647" t="s">
        <v>2088</v>
      </c>
      <c r="G1025" s="2647" t="s">
        <v>2088</v>
      </c>
      <c r="H1025" s="2647" t="s">
        <v>2088</v>
      </c>
      <c r="I1025" s="2647" t="s">
        <v>2088</v>
      </c>
      <c r="J1025" s="2647">
        <v>0</v>
      </c>
      <c r="K1025" s="2648"/>
      <c r="L1025" s="2647" t="s">
        <v>2088</v>
      </c>
    </row>
    <row r="1026" spans="1:12">
      <c r="A1026" s="2646" t="s">
        <v>99</v>
      </c>
      <c r="B1026" s="2646" t="s">
        <v>3120</v>
      </c>
      <c r="C1026" s="2646">
        <v>76.2</v>
      </c>
      <c r="D1026" s="2646">
        <v>161.92500000000001</v>
      </c>
      <c r="E1026" s="2646">
        <v>47.625</v>
      </c>
      <c r="F1026" s="2646" t="s">
        <v>2088</v>
      </c>
      <c r="G1026" s="2646" t="s">
        <v>2088</v>
      </c>
      <c r="H1026" s="2646" t="s">
        <v>2088</v>
      </c>
      <c r="I1026" s="2646" t="s">
        <v>2088</v>
      </c>
      <c r="J1026" s="2646">
        <v>0.86899999999999999</v>
      </c>
      <c r="L1026" s="2646" t="s">
        <v>2088</v>
      </c>
    </row>
    <row r="1027" spans="1:12">
      <c r="A1027" s="2647" t="s">
        <v>99</v>
      </c>
      <c r="B1027" s="2647" t="s">
        <v>3121</v>
      </c>
      <c r="C1027" s="2647">
        <v>79.375</v>
      </c>
      <c r="D1027" s="2647">
        <v>150.089</v>
      </c>
      <c r="E1027" s="2647">
        <v>44.45</v>
      </c>
      <c r="F1027" s="2647" t="s">
        <v>2088</v>
      </c>
      <c r="G1027" s="2647" t="s">
        <v>2088</v>
      </c>
      <c r="H1027" s="2647" t="s">
        <v>2088</v>
      </c>
      <c r="I1027" s="2647" t="s">
        <v>2088</v>
      </c>
      <c r="J1027" s="2647">
        <v>0</v>
      </c>
      <c r="K1027" s="2648"/>
      <c r="L1027" s="2647" t="s">
        <v>2088</v>
      </c>
    </row>
    <row r="1028" spans="1:12">
      <c r="A1028" s="2646" t="s">
        <v>99</v>
      </c>
      <c r="B1028" s="2646" t="s">
        <v>3122</v>
      </c>
      <c r="C1028" s="2646">
        <v>85.025999999999996</v>
      </c>
      <c r="D1028" s="2646">
        <v>150.089</v>
      </c>
      <c r="E1028" s="2646">
        <v>44.45</v>
      </c>
      <c r="F1028" s="2646" t="s">
        <v>2088</v>
      </c>
      <c r="G1028" s="2646" t="s">
        <v>2088</v>
      </c>
      <c r="H1028" s="2646" t="s">
        <v>2088</v>
      </c>
      <c r="I1028" s="2646" t="s">
        <v>2088</v>
      </c>
      <c r="J1028" s="2646">
        <v>3.22</v>
      </c>
      <c r="L1028" s="2646" t="s">
        <v>2088</v>
      </c>
    </row>
    <row r="1029" spans="1:12">
      <c r="A1029" s="2647" t="s">
        <v>99</v>
      </c>
      <c r="B1029" s="2647" t="s">
        <v>3123</v>
      </c>
      <c r="C1029" s="2647">
        <v>63.5</v>
      </c>
      <c r="D1029" s="2647">
        <v>150.88999999999999</v>
      </c>
      <c r="E1029" s="2647">
        <v>44.45</v>
      </c>
      <c r="F1029" s="2647" t="s">
        <v>2088</v>
      </c>
      <c r="G1029" s="2647" t="s">
        <v>2088</v>
      </c>
      <c r="H1029" s="2647" t="s">
        <v>2088</v>
      </c>
      <c r="I1029" s="2647" t="s">
        <v>2088</v>
      </c>
      <c r="J1029" s="2647">
        <v>0</v>
      </c>
      <c r="K1029" s="2648"/>
      <c r="L1029" s="2647" t="s">
        <v>2088</v>
      </c>
    </row>
    <row r="1030" spans="1:12">
      <c r="A1030" s="2646" t="s">
        <v>99</v>
      </c>
      <c r="B1030" s="2646" t="s">
        <v>3124</v>
      </c>
      <c r="C1030" s="2646">
        <v>69.849999999999994</v>
      </c>
      <c r="D1030" s="2646">
        <v>150.089</v>
      </c>
      <c r="E1030" s="2646">
        <v>44.45</v>
      </c>
      <c r="F1030" s="2646" t="s">
        <v>2088</v>
      </c>
      <c r="G1030" s="2646" t="s">
        <v>2088</v>
      </c>
      <c r="H1030" s="2646" t="s">
        <v>2088</v>
      </c>
      <c r="I1030" s="2646" t="s">
        <v>2088</v>
      </c>
      <c r="J1030" s="2646">
        <v>0</v>
      </c>
      <c r="L1030" s="2646" t="s">
        <v>2088</v>
      </c>
    </row>
    <row r="1031" spans="1:12">
      <c r="A1031" s="2647" t="s">
        <v>99</v>
      </c>
      <c r="B1031" s="2647" t="s">
        <v>3125</v>
      </c>
      <c r="C1031" s="2647">
        <v>139.69999999999999</v>
      </c>
      <c r="D1031" s="2647">
        <v>215.9</v>
      </c>
      <c r="E1031" s="2647">
        <v>47.625</v>
      </c>
      <c r="F1031" s="2647" t="s">
        <v>2088</v>
      </c>
      <c r="G1031" s="2647" t="s">
        <v>2088</v>
      </c>
      <c r="H1031" s="2647" t="s">
        <v>2088</v>
      </c>
      <c r="I1031" s="2647" t="s">
        <v>2088</v>
      </c>
      <c r="J1031" s="2647">
        <v>0</v>
      </c>
      <c r="K1031" s="2648"/>
      <c r="L1031" s="2647" t="s">
        <v>2088</v>
      </c>
    </row>
    <row r="1032" spans="1:12">
      <c r="A1032" s="2646" t="s">
        <v>99</v>
      </c>
      <c r="B1032" s="2646" t="s">
        <v>3126</v>
      </c>
      <c r="C1032" s="2646">
        <v>136.52500000000001</v>
      </c>
      <c r="D1032" s="2646">
        <v>215.9</v>
      </c>
      <c r="E1032" s="2646">
        <v>47.625</v>
      </c>
      <c r="F1032" s="2646" t="s">
        <v>2088</v>
      </c>
      <c r="G1032" s="2646" t="s">
        <v>2088</v>
      </c>
      <c r="H1032" s="2646" t="s">
        <v>2088</v>
      </c>
      <c r="I1032" s="2646" t="s">
        <v>2088</v>
      </c>
      <c r="J1032" s="2646">
        <v>0</v>
      </c>
      <c r="L1032" s="2646" t="s">
        <v>2088</v>
      </c>
    </row>
    <row r="1033" spans="1:12">
      <c r="A1033" s="2647" t="s">
        <v>99</v>
      </c>
      <c r="B1033" s="2647" t="s">
        <v>3127</v>
      </c>
      <c r="C1033" s="2647">
        <v>127</v>
      </c>
      <c r="D1033" s="2647">
        <v>215.9</v>
      </c>
      <c r="E1033" s="2647">
        <v>47.625</v>
      </c>
      <c r="F1033" s="2647" t="s">
        <v>2088</v>
      </c>
      <c r="G1033" s="2647" t="s">
        <v>2088</v>
      </c>
      <c r="H1033" s="2647" t="s">
        <v>2088</v>
      </c>
      <c r="I1033" s="2647" t="s">
        <v>2088</v>
      </c>
      <c r="J1033" s="2647">
        <v>0</v>
      </c>
      <c r="K1033" s="2648"/>
      <c r="L1033" s="2647" t="s">
        <v>2088</v>
      </c>
    </row>
    <row r="1034" spans="1:12">
      <c r="A1034" s="2646" t="s">
        <v>99</v>
      </c>
      <c r="B1034" s="2646" t="s">
        <v>3128</v>
      </c>
      <c r="C1034" s="2646">
        <v>73.025000000000006</v>
      </c>
      <c r="D1034" s="2646">
        <v>150.089</v>
      </c>
      <c r="E1034" s="2646">
        <v>44.45</v>
      </c>
      <c r="F1034" s="2646" t="s">
        <v>2088</v>
      </c>
      <c r="G1034" s="2646" t="s">
        <v>2088</v>
      </c>
      <c r="H1034" s="2646" t="s">
        <v>2088</v>
      </c>
      <c r="I1034" s="2646" t="s">
        <v>2088</v>
      </c>
      <c r="J1034" s="2646">
        <v>0</v>
      </c>
      <c r="L1034" s="2646" t="s">
        <v>2088</v>
      </c>
    </row>
    <row r="1035" spans="1:12">
      <c r="A1035" s="2647" t="s">
        <v>99</v>
      </c>
      <c r="B1035" s="2647" t="s">
        <v>3129</v>
      </c>
      <c r="C1035" s="2647">
        <v>80.962000000000003</v>
      </c>
      <c r="D1035" s="2647">
        <v>150.089</v>
      </c>
      <c r="E1035" s="2647">
        <v>44.45</v>
      </c>
      <c r="F1035" s="2647" t="s">
        <v>2088</v>
      </c>
      <c r="G1035" s="2647" t="s">
        <v>2088</v>
      </c>
      <c r="H1035" s="2647" t="s">
        <v>2088</v>
      </c>
      <c r="I1035" s="2647" t="s">
        <v>2088</v>
      </c>
      <c r="J1035" s="2647">
        <v>0</v>
      </c>
      <c r="K1035" s="2648"/>
      <c r="L1035" s="2647" t="s">
        <v>2088</v>
      </c>
    </row>
    <row r="1036" spans="1:12">
      <c r="A1036" s="2646" t="s">
        <v>99</v>
      </c>
      <c r="B1036" s="2646" t="s">
        <v>3130</v>
      </c>
      <c r="C1036" s="2646">
        <v>50.8</v>
      </c>
      <c r="D1036" s="2646">
        <v>123.825</v>
      </c>
      <c r="E1036" s="2646">
        <v>36.512</v>
      </c>
      <c r="F1036" s="2646" t="s">
        <v>2088</v>
      </c>
      <c r="G1036" s="2646" t="s">
        <v>2088</v>
      </c>
      <c r="H1036" s="2646" t="s">
        <v>2088</v>
      </c>
      <c r="I1036" s="2646" t="s">
        <v>2088</v>
      </c>
      <c r="J1036" s="2646">
        <v>0</v>
      </c>
      <c r="L1036" s="2646" t="s">
        <v>2088</v>
      </c>
    </row>
    <row r="1037" spans="1:12">
      <c r="A1037" s="2647" t="s">
        <v>99</v>
      </c>
      <c r="B1037" s="2647" t="s">
        <v>3131</v>
      </c>
      <c r="C1037" s="2647">
        <v>115.087</v>
      </c>
      <c r="D1037" s="2647">
        <v>190.5</v>
      </c>
      <c r="E1037" s="2647">
        <v>47.625</v>
      </c>
      <c r="F1037" s="2647" t="s">
        <v>2088</v>
      </c>
      <c r="G1037" s="2647" t="s">
        <v>2088</v>
      </c>
      <c r="H1037" s="2647" t="s">
        <v>2088</v>
      </c>
      <c r="I1037" s="2647" t="s">
        <v>2088</v>
      </c>
      <c r="J1037" s="2647">
        <v>4.952</v>
      </c>
      <c r="K1037" s="2648"/>
      <c r="L1037" s="2647" t="s">
        <v>2088</v>
      </c>
    </row>
    <row r="1038" spans="1:12">
      <c r="A1038" s="2646" t="s">
        <v>99</v>
      </c>
      <c r="B1038" s="2646" t="s">
        <v>3132</v>
      </c>
      <c r="C1038" s="2646">
        <v>115.087</v>
      </c>
      <c r="D1038" s="2646">
        <v>190.5</v>
      </c>
      <c r="E1038" s="2646">
        <v>47.625</v>
      </c>
      <c r="F1038" s="2646" t="s">
        <v>2088</v>
      </c>
      <c r="G1038" s="2646" t="s">
        <v>2088</v>
      </c>
      <c r="H1038" s="2646" t="s">
        <v>2088</v>
      </c>
      <c r="I1038" s="2646" t="s">
        <v>2088</v>
      </c>
      <c r="J1038" s="2646">
        <v>0</v>
      </c>
      <c r="L1038" s="2646" t="s">
        <v>2088</v>
      </c>
    </row>
    <row r="1039" spans="1:12">
      <c r="A1039" s="2647" t="s">
        <v>99</v>
      </c>
      <c r="B1039" s="2647" t="s">
        <v>3133</v>
      </c>
      <c r="C1039" s="2647">
        <v>114.3</v>
      </c>
      <c r="D1039" s="2647">
        <v>190.5</v>
      </c>
      <c r="E1039" s="2647">
        <v>47.625</v>
      </c>
      <c r="F1039" s="2647" t="s">
        <v>2088</v>
      </c>
      <c r="G1039" s="2647" t="s">
        <v>2088</v>
      </c>
      <c r="H1039" s="2647" t="s">
        <v>2088</v>
      </c>
      <c r="I1039" s="2647" t="s">
        <v>2088</v>
      </c>
      <c r="J1039" s="2647">
        <v>5.1100000000000003</v>
      </c>
      <c r="K1039" s="2648"/>
      <c r="L1039" s="2647" t="s">
        <v>2088</v>
      </c>
    </row>
    <row r="1040" spans="1:12">
      <c r="A1040" s="2646" t="s">
        <v>99</v>
      </c>
      <c r="B1040" s="2646" t="s">
        <v>3134</v>
      </c>
      <c r="C1040" s="2646">
        <v>107.95</v>
      </c>
      <c r="D1040" s="2646">
        <v>190.5</v>
      </c>
      <c r="E1040" s="2646">
        <v>47.625</v>
      </c>
      <c r="F1040" s="2646" t="s">
        <v>2088</v>
      </c>
      <c r="G1040" s="2646" t="s">
        <v>2088</v>
      </c>
      <c r="H1040" s="2646" t="s">
        <v>2088</v>
      </c>
      <c r="I1040" s="2646" t="s">
        <v>2088</v>
      </c>
      <c r="J1040" s="2646">
        <v>0</v>
      </c>
      <c r="L1040" s="2646" t="s">
        <v>2088</v>
      </c>
    </row>
    <row r="1041" spans="1:12">
      <c r="A1041" s="2647" t="s">
        <v>99</v>
      </c>
      <c r="B1041" s="2647" t="s">
        <v>3135</v>
      </c>
      <c r="C1041" s="2647">
        <v>104.77500000000001</v>
      </c>
      <c r="D1041" s="2647">
        <v>190.5</v>
      </c>
      <c r="E1041" s="2647">
        <v>47.625</v>
      </c>
      <c r="F1041" s="2647" t="s">
        <v>2088</v>
      </c>
      <c r="G1041" s="2647" t="s">
        <v>2088</v>
      </c>
      <c r="H1041" s="2647" t="s">
        <v>2088</v>
      </c>
      <c r="I1041" s="2647" t="s">
        <v>2088</v>
      </c>
      <c r="J1041" s="2647">
        <v>0</v>
      </c>
      <c r="K1041" s="2648"/>
      <c r="L1041" s="2647" t="s">
        <v>2088</v>
      </c>
    </row>
    <row r="1042" spans="1:12">
      <c r="A1042" s="2646" t="s">
        <v>99</v>
      </c>
      <c r="B1042" s="2646" t="s">
        <v>3136</v>
      </c>
      <c r="C1042" s="2646">
        <v>101.6</v>
      </c>
      <c r="D1042" s="2646">
        <v>168.27500000000001</v>
      </c>
      <c r="E1042" s="2646">
        <v>92.075000000000003</v>
      </c>
      <c r="F1042" s="2646" t="s">
        <v>2088</v>
      </c>
      <c r="G1042" s="2646" t="s">
        <v>2088</v>
      </c>
      <c r="H1042" s="2646" t="s">
        <v>2088</v>
      </c>
      <c r="I1042" s="2646" t="s">
        <v>2088</v>
      </c>
      <c r="J1042" s="2646">
        <v>8.18</v>
      </c>
      <c r="L1042" s="2646" t="s">
        <v>2088</v>
      </c>
    </row>
    <row r="1043" spans="1:12">
      <c r="A1043" s="2647" t="s">
        <v>99</v>
      </c>
      <c r="B1043" s="2647" t="s">
        <v>3137</v>
      </c>
      <c r="C1043" s="2647">
        <v>101.6</v>
      </c>
      <c r="D1043" s="2647">
        <v>168.27500000000001</v>
      </c>
      <c r="E1043" s="2647">
        <v>41.274999999999999</v>
      </c>
      <c r="F1043" s="2647" t="s">
        <v>2088</v>
      </c>
      <c r="G1043" s="2647" t="s">
        <v>2088</v>
      </c>
      <c r="H1043" s="2647" t="s">
        <v>2088</v>
      </c>
      <c r="I1043" s="2647" t="s">
        <v>2088</v>
      </c>
      <c r="J1043" s="2647">
        <v>0</v>
      </c>
      <c r="K1043" s="2648"/>
      <c r="L1043" s="2647" t="s">
        <v>2088</v>
      </c>
    </row>
    <row r="1044" spans="1:12">
      <c r="A1044" s="2646" t="s">
        <v>99</v>
      </c>
      <c r="B1044" s="2646" t="s">
        <v>3138</v>
      </c>
      <c r="C1044" s="2646">
        <v>98.424999999999997</v>
      </c>
      <c r="D1044" s="2646">
        <v>168.27500000000001</v>
      </c>
      <c r="E1044" s="2646">
        <v>41.274999999999999</v>
      </c>
      <c r="F1044" s="2646" t="s">
        <v>2088</v>
      </c>
      <c r="G1044" s="2646" t="s">
        <v>2088</v>
      </c>
      <c r="H1044" s="2646" t="s">
        <v>2088</v>
      </c>
      <c r="I1044" s="2646" t="s">
        <v>2088</v>
      </c>
      <c r="J1044" s="2646">
        <v>0</v>
      </c>
      <c r="L1044" s="2646" t="s">
        <v>2088</v>
      </c>
    </row>
    <row r="1045" spans="1:12">
      <c r="A1045" s="2647" t="s">
        <v>99</v>
      </c>
      <c r="B1045" s="2647" t="s">
        <v>3139</v>
      </c>
      <c r="C1045" s="2647">
        <v>114.3</v>
      </c>
      <c r="D1045" s="2647">
        <v>180.97499999999999</v>
      </c>
      <c r="E1045" s="2647">
        <v>34.924999999999997</v>
      </c>
      <c r="F1045" s="2647" t="s">
        <v>2088</v>
      </c>
      <c r="G1045" s="2647" t="s">
        <v>2088</v>
      </c>
      <c r="H1045" s="2647" t="s">
        <v>2088</v>
      </c>
      <c r="I1045" s="2647" t="s">
        <v>2088</v>
      </c>
      <c r="J1045" s="2647">
        <v>0</v>
      </c>
      <c r="K1045" s="2648"/>
      <c r="L1045" s="2647" t="s">
        <v>2088</v>
      </c>
    </row>
    <row r="1046" spans="1:12">
      <c r="A1046" s="2646" t="s">
        <v>99</v>
      </c>
      <c r="B1046" s="2646" t="s">
        <v>3140</v>
      </c>
      <c r="C1046" s="2646">
        <v>95.25</v>
      </c>
      <c r="D1046" s="2646">
        <v>168.27500000000001</v>
      </c>
      <c r="E1046" s="2646">
        <v>41.274999999999999</v>
      </c>
      <c r="F1046" s="2646" t="s">
        <v>2088</v>
      </c>
      <c r="G1046" s="2646" t="s">
        <v>2088</v>
      </c>
      <c r="H1046" s="2646" t="s">
        <v>2088</v>
      </c>
      <c r="I1046" s="2646" t="s">
        <v>2088</v>
      </c>
      <c r="J1046" s="2646">
        <v>0</v>
      </c>
      <c r="L1046" s="2646" t="s">
        <v>2088</v>
      </c>
    </row>
    <row r="1047" spans="1:12">
      <c r="A1047" s="2647" t="s">
        <v>99</v>
      </c>
      <c r="B1047" s="2647" t="s">
        <v>3141</v>
      </c>
      <c r="C1047" s="2647">
        <v>92.075000000000003</v>
      </c>
      <c r="D1047" s="2647">
        <v>168.27500000000001</v>
      </c>
      <c r="E1047" s="2647">
        <v>41.274999999999999</v>
      </c>
      <c r="F1047" s="2647" t="s">
        <v>2088</v>
      </c>
      <c r="G1047" s="2647" t="s">
        <v>2088</v>
      </c>
      <c r="H1047" s="2647" t="s">
        <v>2088</v>
      </c>
      <c r="I1047" s="2647" t="s">
        <v>2088</v>
      </c>
      <c r="J1047" s="2647">
        <v>0</v>
      </c>
      <c r="K1047" s="2648"/>
      <c r="L1047" s="2647" t="s">
        <v>2088</v>
      </c>
    </row>
    <row r="1048" spans="1:12">
      <c r="A1048" s="2646" t="s">
        <v>99</v>
      </c>
      <c r="B1048" s="2646" t="s">
        <v>3142</v>
      </c>
      <c r="C1048" s="2646">
        <v>209.5</v>
      </c>
      <c r="D1048" s="2646">
        <v>282.60000000000002</v>
      </c>
      <c r="E1048" s="2646">
        <v>46.04</v>
      </c>
      <c r="F1048" s="2646" t="s">
        <v>2088</v>
      </c>
      <c r="G1048" s="2646" t="s">
        <v>2088</v>
      </c>
      <c r="H1048" s="2646" t="s">
        <v>2088</v>
      </c>
      <c r="I1048" s="2646" t="s">
        <v>2088</v>
      </c>
      <c r="J1048" s="2646">
        <v>7.7210000000000001</v>
      </c>
      <c r="L1048" s="2646" t="s">
        <v>2088</v>
      </c>
    </row>
    <row r="1049" spans="1:12">
      <c r="A1049" s="2647" t="s">
        <v>99</v>
      </c>
      <c r="B1049" s="2647" t="s">
        <v>3143</v>
      </c>
      <c r="C1049" s="2647">
        <v>206.375</v>
      </c>
      <c r="D1049" s="2647">
        <v>282.57499999999999</v>
      </c>
      <c r="E1049" s="2647">
        <v>46.037999999999997</v>
      </c>
      <c r="F1049" s="2647" t="s">
        <v>2088</v>
      </c>
      <c r="G1049" s="2647" t="s">
        <v>2088</v>
      </c>
      <c r="H1049" s="2647" t="s">
        <v>2088</v>
      </c>
      <c r="I1049" s="2647" t="s">
        <v>2088</v>
      </c>
      <c r="J1049" s="2647">
        <v>0</v>
      </c>
      <c r="K1049" s="2648"/>
      <c r="L1049" s="2647" t="s">
        <v>2088</v>
      </c>
    </row>
    <row r="1050" spans="1:12">
      <c r="A1050" s="2646" t="s">
        <v>99</v>
      </c>
      <c r="B1050" s="2646" t="s">
        <v>3144</v>
      </c>
      <c r="C1050" s="2646">
        <v>203.2</v>
      </c>
      <c r="D1050" s="2646">
        <v>282.57499999999999</v>
      </c>
      <c r="E1050" s="2646">
        <v>46.037999999999997</v>
      </c>
      <c r="F1050" s="2646" t="s">
        <v>2088</v>
      </c>
      <c r="G1050" s="2646" t="s">
        <v>2088</v>
      </c>
      <c r="H1050" s="2646" t="s">
        <v>2088</v>
      </c>
      <c r="I1050" s="2646" t="s">
        <v>2088</v>
      </c>
      <c r="J1050" s="2646">
        <v>0</v>
      </c>
      <c r="L1050" s="2646" t="s">
        <v>2088</v>
      </c>
    </row>
    <row r="1051" spans="1:12">
      <c r="A1051" s="2647" t="s">
        <v>99</v>
      </c>
      <c r="B1051" s="2647" t="s">
        <v>3145</v>
      </c>
      <c r="C1051" s="2647">
        <v>88.9</v>
      </c>
      <c r="D1051" s="2647">
        <v>168.27500000000001</v>
      </c>
      <c r="E1051" s="2647">
        <v>41.274999999999999</v>
      </c>
      <c r="F1051" s="2647" t="s">
        <v>2088</v>
      </c>
      <c r="G1051" s="2647" t="s">
        <v>2088</v>
      </c>
      <c r="H1051" s="2647" t="s">
        <v>2088</v>
      </c>
      <c r="I1051" s="2647" t="s">
        <v>2088</v>
      </c>
      <c r="J1051" s="2647">
        <v>0</v>
      </c>
      <c r="K1051" s="2648"/>
      <c r="L1051" s="2647" t="s">
        <v>2088</v>
      </c>
    </row>
    <row r="1052" spans="1:12">
      <c r="A1052" s="2646" t="s">
        <v>99</v>
      </c>
      <c r="B1052" s="2646" t="s">
        <v>3146</v>
      </c>
      <c r="C1052" s="2646">
        <v>190.5</v>
      </c>
      <c r="D1052" s="2646">
        <v>266.7</v>
      </c>
      <c r="E1052" s="2646">
        <v>47.625</v>
      </c>
      <c r="F1052" s="2646" t="s">
        <v>2088</v>
      </c>
      <c r="G1052" s="2646" t="s">
        <v>2088</v>
      </c>
      <c r="H1052" s="2646" t="s">
        <v>2088</v>
      </c>
      <c r="I1052" s="2646" t="s">
        <v>2088</v>
      </c>
      <c r="J1052" s="2646">
        <v>0</v>
      </c>
      <c r="L1052" s="2646" t="s">
        <v>2088</v>
      </c>
    </row>
    <row r="1053" spans="1:12">
      <c r="A1053" s="2647" t="s">
        <v>99</v>
      </c>
      <c r="B1053" s="2647" t="s">
        <v>3147</v>
      </c>
      <c r="C1053" s="2647">
        <v>187.32499999999999</v>
      </c>
      <c r="D1053" s="2647">
        <v>266.7</v>
      </c>
      <c r="E1053" s="2647">
        <v>47.625</v>
      </c>
      <c r="F1053" s="2647" t="s">
        <v>2088</v>
      </c>
      <c r="G1053" s="2647" t="s">
        <v>2088</v>
      </c>
      <c r="H1053" s="2647" t="s">
        <v>2088</v>
      </c>
      <c r="I1053" s="2647" t="s">
        <v>2088</v>
      </c>
      <c r="J1053" s="2647">
        <v>0</v>
      </c>
      <c r="K1053" s="2648"/>
      <c r="L1053" s="2647" t="s">
        <v>2088</v>
      </c>
    </row>
    <row r="1054" spans="1:12">
      <c r="A1054" s="2646" t="s">
        <v>99</v>
      </c>
      <c r="B1054" s="2646" t="s">
        <v>3148</v>
      </c>
      <c r="C1054" s="2646">
        <v>184.15</v>
      </c>
      <c r="D1054" s="2646">
        <v>266.7</v>
      </c>
      <c r="E1054" s="2646">
        <v>47.625</v>
      </c>
      <c r="F1054" s="2646" t="s">
        <v>2088</v>
      </c>
      <c r="G1054" s="2646" t="s">
        <v>2088</v>
      </c>
      <c r="H1054" s="2646" t="s">
        <v>2088</v>
      </c>
      <c r="I1054" s="2646" t="s">
        <v>2088</v>
      </c>
      <c r="J1054" s="2646">
        <v>8.34</v>
      </c>
      <c r="L1054" s="2646" t="s">
        <v>2088</v>
      </c>
    </row>
    <row r="1055" spans="1:12">
      <c r="A1055" s="2647" t="s">
        <v>99</v>
      </c>
      <c r="B1055" s="2647" t="s">
        <v>3149</v>
      </c>
      <c r="C1055" s="2647">
        <v>177.8</v>
      </c>
      <c r="D1055" s="2647">
        <v>247.65</v>
      </c>
      <c r="E1055" s="2647">
        <v>47.625</v>
      </c>
      <c r="F1055" s="2647" t="s">
        <v>2088</v>
      </c>
      <c r="G1055" s="2647" t="s">
        <v>2088</v>
      </c>
      <c r="H1055" s="2647" t="s">
        <v>2088</v>
      </c>
      <c r="I1055" s="2647" t="s">
        <v>2088</v>
      </c>
      <c r="J1055" s="2647">
        <v>7.12</v>
      </c>
      <c r="K1055" s="2648"/>
      <c r="L1055" s="2647" t="s">
        <v>2088</v>
      </c>
    </row>
    <row r="1056" spans="1:12">
      <c r="A1056" s="2646" t="s">
        <v>99</v>
      </c>
      <c r="B1056" s="2646" t="s">
        <v>3150</v>
      </c>
      <c r="C1056" s="2646">
        <v>165.1</v>
      </c>
      <c r="D1056" s="2646">
        <v>247.65</v>
      </c>
      <c r="E1056" s="2646">
        <v>47.625</v>
      </c>
      <c r="F1056" s="2646" t="s">
        <v>2088</v>
      </c>
      <c r="G1056" s="2646" t="s">
        <v>2088</v>
      </c>
      <c r="H1056" s="2646" t="s">
        <v>2088</v>
      </c>
      <c r="I1056" s="2646" t="s">
        <v>2088</v>
      </c>
      <c r="J1056" s="2646">
        <v>0</v>
      </c>
      <c r="L1056" s="2646" t="s">
        <v>2088</v>
      </c>
    </row>
    <row r="1057" spans="1:12">
      <c r="A1057" s="2647" t="s">
        <v>99</v>
      </c>
      <c r="B1057" s="2647" t="s">
        <v>3151</v>
      </c>
      <c r="C1057" s="2647">
        <v>85.724999999999994</v>
      </c>
      <c r="D1057" s="2647">
        <v>168.27500000000001</v>
      </c>
      <c r="E1057" s="2647">
        <v>41.274999999999999</v>
      </c>
      <c r="F1057" s="2647" t="s">
        <v>2088</v>
      </c>
      <c r="G1057" s="2647" t="s">
        <v>2088</v>
      </c>
      <c r="H1057" s="2647" t="s">
        <v>2088</v>
      </c>
      <c r="I1057" s="2647" t="s">
        <v>2088</v>
      </c>
      <c r="J1057" s="2647">
        <v>4.1760000000000002</v>
      </c>
      <c r="K1057" s="2648"/>
      <c r="L1057" s="2647" t="s">
        <v>2088</v>
      </c>
    </row>
    <row r="1058" spans="1:12">
      <c r="A1058" s="2646" t="s">
        <v>99</v>
      </c>
      <c r="B1058" s="2646" t="s">
        <v>3152</v>
      </c>
      <c r="C1058" s="2646">
        <v>110</v>
      </c>
      <c r="D1058" s="2646">
        <v>165</v>
      </c>
      <c r="E1058" s="2646">
        <v>35</v>
      </c>
      <c r="F1058" s="2646" t="s">
        <v>2088</v>
      </c>
      <c r="G1058" s="2646" t="s">
        <v>2088</v>
      </c>
      <c r="H1058" s="2646" t="s">
        <v>2088</v>
      </c>
      <c r="I1058" s="2646" t="s">
        <v>2088</v>
      </c>
      <c r="J1058" s="2646">
        <v>2.4900000000000002</v>
      </c>
      <c r="L1058" s="2646" t="s">
        <v>2088</v>
      </c>
    </row>
    <row r="1059" spans="1:12">
      <c r="A1059" s="2647" t="s">
        <v>99</v>
      </c>
      <c r="B1059" s="2647" t="s">
        <v>3153</v>
      </c>
      <c r="C1059" s="2647">
        <v>170</v>
      </c>
      <c r="D1059" s="2647">
        <v>240</v>
      </c>
      <c r="E1059" s="2647">
        <v>46</v>
      </c>
      <c r="F1059" s="2647" t="s">
        <v>2088</v>
      </c>
      <c r="G1059" s="2647" t="s">
        <v>2088</v>
      </c>
      <c r="H1059" s="2647" t="s">
        <v>2088</v>
      </c>
      <c r="I1059" s="2647" t="s">
        <v>2088</v>
      </c>
      <c r="J1059" s="2647">
        <v>6.28</v>
      </c>
      <c r="K1059" s="2648"/>
      <c r="L1059" s="2647" t="s">
        <v>2088</v>
      </c>
    </row>
    <row r="1060" spans="1:12">
      <c r="A1060" s="2646" t="s">
        <v>99</v>
      </c>
      <c r="B1060" s="2646" t="s">
        <v>3154</v>
      </c>
      <c r="C1060" s="2646">
        <v>85</v>
      </c>
      <c r="D1060" s="2646">
        <v>130</v>
      </c>
      <c r="E1060" s="2646">
        <v>30</v>
      </c>
      <c r="F1060" s="2646" t="s">
        <v>2088</v>
      </c>
      <c r="G1060" s="2646" t="s">
        <v>2088</v>
      </c>
      <c r="H1060" s="2646" t="s">
        <v>2088</v>
      </c>
      <c r="I1060" s="2646" t="s">
        <v>2088</v>
      </c>
      <c r="J1060" s="2646">
        <v>1.38</v>
      </c>
      <c r="L1060" s="2646" t="s">
        <v>2088</v>
      </c>
    </row>
    <row r="1061" spans="1:12">
      <c r="A1061" s="2647" t="s">
        <v>99</v>
      </c>
      <c r="B1061" s="2647" t="s">
        <v>3155</v>
      </c>
      <c r="C1061" s="2647">
        <v>75</v>
      </c>
      <c r="D1061" s="2647">
        <v>120</v>
      </c>
      <c r="E1061" s="2647">
        <v>31</v>
      </c>
      <c r="F1061" s="2647" t="s">
        <v>2088</v>
      </c>
      <c r="G1061" s="2647" t="s">
        <v>2088</v>
      </c>
      <c r="H1061" s="2647" t="s">
        <v>2088</v>
      </c>
      <c r="I1061" s="2647" t="s">
        <v>2088</v>
      </c>
      <c r="J1061" s="2647">
        <v>1.27</v>
      </c>
      <c r="K1061" s="2648"/>
      <c r="L1061" s="2647" t="s">
        <v>2088</v>
      </c>
    </row>
    <row r="1062" spans="1:12">
      <c r="A1062" s="2646" t="s">
        <v>99</v>
      </c>
      <c r="B1062" s="2646" t="s">
        <v>3156</v>
      </c>
      <c r="C1062" s="2646">
        <v>80</v>
      </c>
      <c r="D1062" s="2646">
        <v>130</v>
      </c>
      <c r="E1062" s="2646">
        <v>35</v>
      </c>
      <c r="F1062" s="2646" t="s">
        <v>2088</v>
      </c>
      <c r="G1062" s="2646" t="s">
        <v>2088</v>
      </c>
      <c r="H1062" s="2646" t="s">
        <v>2088</v>
      </c>
      <c r="I1062" s="2646" t="s">
        <v>2088</v>
      </c>
      <c r="J1062" s="2646">
        <v>1.82</v>
      </c>
      <c r="L1062" s="2646" t="s">
        <v>2088</v>
      </c>
    </row>
    <row r="1063" spans="1:12">
      <c r="A1063" s="2647" t="s">
        <v>99</v>
      </c>
      <c r="B1063" s="2647" t="s">
        <v>3157</v>
      </c>
      <c r="C1063" s="2647">
        <v>65</v>
      </c>
      <c r="D1063" s="2647">
        <v>110</v>
      </c>
      <c r="E1063" s="2647">
        <v>28</v>
      </c>
      <c r="F1063" s="2647" t="s">
        <v>2088</v>
      </c>
      <c r="G1063" s="2647" t="s">
        <v>2088</v>
      </c>
      <c r="H1063" s="2647" t="s">
        <v>2088</v>
      </c>
      <c r="I1063" s="2647" t="s">
        <v>2088</v>
      </c>
      <c r="J1063" s="2647">
        <v>1.06</v>
      </c>
      <c r="K1063" s="2648"/>
      <c r="L1063" s="2647" t="s">
        <v>2088</v>
      </c>
    </row>
    <row r="1064" spans="1:12">
      <c r="A1064" s="2646" t="s">
        <v>99</v>
      </c>
      <c r="B1064" s="2646" t="s">
        <v>3158</v>
      </c>
      <c r="C1064" s="2646">
        <v>65</v>
      </c>
      <c r="D1064" s="2646">
        <v>110</v>
      </c>
      <c r="E1064" s="2646">
        <v>22.5</v>
      </c>
      <c r="F1064" s="2646" t="s">
        <v>2088</v>
      </c>
      <c r="G1064" s="2646" t="s">
        <v>2088</v>
      </c>
      <c r="H1064" s="2646" t="s">
        <v>2088</v>
      </c>
      <c r="I1064" s="2646" t="s">
        <v>2088</v>
      </c>
      <c r="J1064" s="2646">
        <v>1.06</v>
      </c>
      <c r="L1064" s="2646" t="s">
        <v>2088</v>
      </c>
    </row>
    <row r="1065" spans="1:12">
      <c r="A1065" s="2647" t="s">
        <v>99</v>
      </c>
      <c r="B1065" s="2647" t="s">
        <v>3159</v>
      </c>
      <c r="C1065" s="2647">
        <v>55</v>
      </c>
      <c r="D1065" s="2647">
        <v>95</v>
      </c>
      <c r="E1065" s="2647">
        <v>29</v>
      </c>
      <c r="F1065" s="2647" t="s">
        <v>2088</v>
      </c>
      <c r="G1065" s="2647" t="s">
        <v>2088</v>
      </c>
      <c r="H1065" s="2647" t="s">
        <v>2088</v>
      </c>
      <c r="I1065" s="2647" t="s">
        <v>2088</v>
      </c>
      <c r="J1065" s="2647">
        <v>0.8</v>
      </c>
      <c r="K1065" s="2648"/>
      <c r="L1065" s="2647" t="s">
        <v>2088</v>
      </c>
    </row>
    <row r="1066" spans="1:12">
      <c r="A1066" s="2646" t="s">
        <v>99</v>
      </c>
      <c r="B1066" s="2646" t="s">
        <v>3160</v>
      </c>
      <c r="C1066" s="2646">
        <v>50</v>
      </c>
      <c r="D1066" s="2646">
        <v>90</v>
      </c>
      <c r="E1066" s="2646">
        <v>28</v>
      </c>
      <c r="F1066" s="2646" t="s">
        <v>2088</v>
      </c>
      <c r="G1066" s="2646" t="s">
        <v>2088</v>
      </c>
      <c r="H1066" s="2646" t="s">
        <v>2088</v>
      </c>
      <c r="I1066" s="2646" t="s">
        <v>2088</v>
      </c>
      <c r="J1066" s="2646">
        <v>0.75800000000000001</v>
      </c>
      <c r="L1066" s="2646" t="s">
        <v>2088</v>
      </c>
    </row>
    <row r="1067" spans="1:12">
      <c r="A1067" s="2647" t="s">
        <v>99</v>
      </c>
      <c r="B1067" s="2647" t="s">
        <v>3161</v>
      </c>
      <c r="C1067" s="2647">
        <v>70</v>
      </c>
      <c r="D1067" s="2647">
        <v>110</v>
      </c>
      <c r="E1067" s="2647">
        <v>26</v>
      </c>
      <c r="F1067" s="2647" t="s">
        <v>2088</v>
      </c>
      <c r="G1067" s="2647" t="s">
        <v>2088</v>
      </c>
      <c r="H1067" s="2647" t="s">
        <v>2088</v>
      </c>
      <c r="I1067" s="2647" t="s">
        <v>2088</v>
      </c>
      <c r="J1067" s="2647">
        <v>0.88700000000000001</v>
      </c>
      <c r="K1067" s="2648"/>
      <c r="L1067" s="2647" t="s">
        <v>2088</v>
      </c>
    </row>
    <row r="1068" spans="1:12">
      <c r="A1068" s="2646" t="s">
        <v>99</v>
      </c>
      <c r="B1068" s="2646" t="s">
        <v>3162</v>
      </c>
      <c r="C1068" s="2646">
        <v>75</v>
      </c>
      <c r="D1068" s="2646">
        <v>120</v>
      </c>
      <c r="E1068" s="2646">
        <v>31</v>
      </c>
      <c r="F1068" s="2646" t="s">
        <v>2088</v>
      </c>
      <c r="G1068" s="2646" t="s">
        <v>2088</v>
      </c>
      <c r="H1068" s="2646" t="s">
        <v>2088</v>
      </c>
      <c r="I1068" s="2646" t="s">
        <v>2088</v>
      </c>
      <c r="J1068" s="2646">
        <v>1.2989999999999999</v>
      </c>
      <c r="L1068" s="2646" t="s">
        <v>2088</v>
      </c>
    </row>
    <row r="1069" spans="1:12">
      <c r="A1069" s="2647" t="s">
        <v>99</v>
      </c>
      <c r="B1069" s="2647" t="s">
        <v>3163</v>
      </c>
      <c r="C1069" s="2647">
        <v>75</v>
      </c>
      <c r="D1069" s="2647">
        <v>115.1</v>
      </c>
      <c r="E1069" s="2647">
        <v>25</v>
      </c>
      <c r="F1069" s="2647" t="s">
        <v>2088</v>
      </c>
      <c r="G1069" s="2647" t="s">
        <v>2088</v>
      </c>
      <c r="H1069" s="2647" t="s">
        <v>2088</v>
      </c>
      <c r="I1069" s="2647" t="s">
        <v>2088</v>
      </c>
      <c r="J1069" s="2647">
        <v>0.95</v>
      </c>
      <c r="K1069" s="2648"/>
      <c r="L1069" s="2647" t="s">
        <v>2088</v>
      </c>
    </row>
    <row r="1070" spans="1:12">
      <c r="A1070" s="2646" t="s">
        <v>99</v>
      </c>
      <c r="B1070" s="2646" t="s">
        <v>3164</v>
      </c>
      <c r="C1070" s="2646">
        <v>55</v>
      </c>
      <c r="D1070" s="2646">
        <v>90</v>
      </c>
      <c r="E1070" s="2646">
        <v>23</v>
      </c>
      <c r="F1070" s="2646" t="s">
        <v>2088</v>
      </c>
      <c r="G1070" s="2646" t="s">
        <v>2088</v>
      </c>
      <c r="H1070" s="2646" t="s">
        <v>2088</v>
      </c>
      <c r="I1070" s="2646" t="s">
        <v>2088</v>
      </c>
      <c r="J1070" s="2646">
        <v>0.55000000000000004</v>
      </c>
      <c r="L1070" s="2646" t="s">
        <v>2088</v>
      </c>
    </row>
    <row r="1071" spans="1:12">
      <c r="A1071" s="2647" t="s">
        <v>99</v>
      </c>
      <c r="B1071" s="2647" t="s">
        <v>3165</v>
      </c>
      <c r="C1071" s="2647">
        <v>55</v>
      </c>
      <c r="D1071" s="2647">
        <v>90</v>
      </c>
      <c r="E1071" s="2647">
        <v>23</v>
      </c>
      <c r="F1071" s="2647" t="s">
        <v>2088</v>
      </c>
      <c r="G1071" s="2647" t="s">
        <v>2088</v>
      </c>
      <c r="H1071" s="2647" t="s">
        <v>2088</v>
      </c>
      <c r="I1071" s="2647" t="s">
        <v>2088</v>
      </c>
      <c r="J1071" s="2647">
        <v>0.58599999999999997</v>
      </c>
      <c r="K1071" s="2648"/>
      <c r="L1071" s="2647" t="s">
        <v>2088</v>
      </c>
    </row>
    <row r="1072" spans="1:12">
      <c r="A1072" s="2646" t="s">
        <v>99</v>
      </c>
      <c r="B1072" s="2646" t="s">
        <v>3166</v>
      </c>
      <c r="C1072" s="2646">
        <v>39</v>
      </c>
      <c r="D1072" s="2646">
        <v>68</v>
      </c>
      <c r="E1072" s="2646">
        <v>37</v>
      </c>
      <c r="F1072" s="2646" t="s">
        <v>2088</v>
      </c>
      <c r="G1072" s="2646" t="s">
        <v>2088</v>
      </c>
      <c r="H1072" s="2646" t="s">
        <v>2088</v>
      </c>
      <c r="I1072" s="2646" t="s">
        <v>2088</v>
      </c>
      <c r="J1072" s="2646">
        <v>0.55100000000000005</v>
      </c>
      <c r="L1072" s="2646" t="s">
        <v>2088</v>
      </c>
    </row>
    <row r="1073" spans="1:12">
      <c r="A1073" s="2647" t="s">
        <v>99</v>
      </c>
      <c r="B1073" s="2647" t="s">
        <v>3167</v>
      </c>
      <c r="C1073" s="2647">
        <v>50</v>
      </c>
      <c r="D1073" s="2647">
        <v>82</v>
      </c>
      <c r="E1073" s="2647">
        <v>21.5</v>
      </c>
      <c r="F1073" s="2647" t="s">
        <v>2088</v>
      </c>
      <c r="G1073" s="2647" t="s">
        <v>2088</v>
      </c>
      <c r="H1073" s="2647" t="s">
        <v>2088</v>
      </c>
      <c r="I1073" s="2647" t="s">
        <v>2088</v>
      </c>
      <c r="J1073" s="2647">
        <v>0.42199999999999999</v>
      </c>
      <c r="K1073" s="2648"/>
      <c r="L1073" s="2647" t="s">
        <v>2088</v>
      </c>
    </row>
    <row r="1074" spans="1:12">
      <c r="A1074" s="2646" t="s">
        <v>99</v>
      </c>
      <c r="B1074" s="2646" t="s">
        <v>3168</v>
      </c>
      <c r="C1074" s="2646">
        <v>50</v>
      </c>
      <c r="D1074" s="2646">
        <v>82</v>
      </c>
      <c r="E1074" s="2646">
        <v>21.5</v>
      </c>
      <c r="F1074" s="2646" t="s">
        <v>2088</v>
      </c>
      <c r="G1074" s="2646" t="s">
        <v>2088</v>
      </c>
      <c r="H1074" s="2646" t="s">
        <v>2088</v>
      </c>
      <c r="I1074" s="2646" t="s">
        <v>2088</v>
      </c>
      <c r="J1074" s="2646">
        <v>0</v>
      </c>
      <c r="L1074" s="2646" t="s">
        <v>2088</v>
      </c>
    </row>
    <row r="1075" spans="1:12">
      <c r="A1075" s="2647" t="s">
        <v>99</v>
      </c>
      <c r="B1075" s="2647" t="s">
        <v>3169</v>
      </c>
      <c r="C1075" s="2647">
        <v>50</v>
      </c>
      <c r="D1075" s="2647">
        <v>82</v>
      </c>
      <c r="E1075" s="2647">
        <v>21.98</v>
      </c>
      <c r="F1075" s="2647" t="s">
        <v>2088</v>
      </c>
      <c r="G1075" s="2647" t="s">
        <v>2088</v>
      </c>
      <c r="H1075" s="2647" t="s">
        <v>2088</v>
      </c>
      <c r="I1075" s="2647" t="s">
        <v>2088</v>
      </c>
      <c r="J1075" s="2647">
        <v>0.42199999999999999</v>
      </c>
      <c r="K1075" s="2648"/>
      <c r="L1075" s="2647" t="s">
        <v>2088</v>
      </c>
    </row>
    <row r="1076" spans="1:12">
      <c r="A1076" s="2646" t="s">
        <v>99</v>
      </c>
      <c r="B1076" s="2646" t="s">
        <v>3170</v>
      </c>
      <c r="C1076" s="2646">
        <v>50</v>
      </c>
      <c r="D1076" s="2646">
        <v>82</v>
      </c>
      <c r="E1076" s="2646">
        <v>21.5</v>
      </c>
      <c r="F1076" s="2646" t="s">
        <v>2088</v>
      </c>
      <c r="G1076" s="2646" t="s">
        <v>2088</v>
      </c>
      <c r="H1076" s="2646" t="s">
        <v>2088</v>
      </c>
      <c r="I1076" s="2646" t="s">
        <v>2088</v>
      </c>
      <c r="J1076" s="2646">
        <v>0.42099999999999999</v>
      </c>
      <c r="L1076" s="2646" t="s">
        <v>2088</v>
      </c>
    </row>
    <row r="1077" spans="1:12">
      <c r="A1077" s="2647" t="s">
        <v>99</v>
      </c>
      <c r="B1077" s="2647" t="s">
        <v>3171</v>
      </c>
      <c r="C1077" s="2647">
        <v>95</v>
      </c>
      <c r="D1077" s="2647">
        <v>135</v>
      </c>
      <c r="E1077" s="2647">
        <v>20</v>
      </c>
      <c r="F1077" s="2647" t="s">
        <v>2088</v>
      </c>
      <c r="G1077" s="2647" t="s">
        <v>2088</v>
      </c>
      <c r="H1077" s="2647" t="s">
        <v>2088</v>
      </c>
      <c r="I1077" s="2647" t="s">
        <v>2088</v>
      </c>
      <c r="J1077" s="2647">
        <v>0.83699999999999997</v>
      </c>
      <c r="K1077" s="2648"/>
      <c r="L1077" s="2647" t="s">
        <v>2088</v>
      </c>
    </row>
    <row r="1078" spans="1:12">
      <c r="A1078" s="2646" t="s">
        <v>99</v>
      </c>
      <c r="B1078" s="2646" t="s">
        <v>3172</v>
      </c>
      <c r="C1078" s="2646">
        <v>38</v>
      </c>
      <c r="D1078" s="2646">
        <v>63</v>
      </c>
      <c r="E1078" s="2646">
        <v>17</v>
      </c>
      <c r="F1078" s="2646" t="s">
        <v>2088</v>
      </c>
      <c r="G1078" s="2646" t="s">
        <v>2088</v>
      </c>
      <c r="H1078" s="2646" t="s">
        <v>2088</v>
      </c>
      <c r="I1078" s="2646" t="s">
        <v>2088</v>
      </c>
      <c r="J1078" s="2646">
        <v>0.186</v>
      </c>
      <c r="L1078" s="2646" t="s">
        <v>2088</v>
      </c>
    </row>
    <row r="1079" spans="1:12">
      <c r="A1079" s="2647" t="s">
        <v>99</v>
      </c>
      <c r="B1079" s="2647" t="s">
        <v>3173</v>
      </c>
      <c r="C1079" s="2647">
        <v>35</v>
      </c>
      <c r="D1079" s="2647">
        <v>60</v>
      </c>
      <c r="E1079" s="2647">
        <v>16.763999999999999</v>
      </c>
      <c r="F1079" s="2647" t="s">
        <v>2088</v>
      </c>
      <c r="G1079" s="2647" t="s">
        <v>2088</v>
      </c>
      <c r="H1079" s="2647" t="s">
        <v>2088</v>
      </c>
      <c r="I1079" s="2647" t="s">
        <v>2088</v>
      </c>
      <c r="J1079" s="2647">
        <v>0.17899999999999999</v>
      </c>
      <c r="K1079" s="2648"/>
      <c r="L1079" s="2647" t="s">
        <v>2088</v>
      </c>
    </row>
    <row r="1080" spans="1:12">
      <c r="A1080" s="2646" t="s">
        <v>99</v>
      </c>
      <c r="B1080" s="2646" t="s">
        <v>3174</v>
      </c>
      <c r="C1080" s="2646">
        <v>35</v>
      </c>
      <c r="D1080" s="2646">
        <v>60</v>
      </c>
      <c r="E1080" s="2646">
        <v>15.875</v>
      </c>
      <c r="F1080" s="2646" t="s">
        <v>2088</v>
      </c>
      <c r="G1080" s="2646" t="s">
        <v>2088</v>
      </c>
      <c r="H1080" s="2646" t="s">
        <v>2088</v>
      </c>
      <c r="I1080" s="2646" t="s">
        <v>2088</v>
      </c>
      <c r="J1080" s="2646">
        <v>0.188</v>
      </c>
      <c r="L1080" s="2646" t="s">
        <v>2088</v>
      </c>
    </row>
    <row r="1081" spans="1:12">
      <c r="A1081" s="2647" t="s">
        <v>99</v>
      </c>
      <c r="B1081" s="2647" t="s">
        <v>3175</v>
      </c>
      <c r="C1081" s="2647">
        <v>200</v>
      </c>
      <c r="D1081" s="2647">
        <v>300</v>
      </c>
      <c r="E1081" s="2647">
        <v>65</v>
      </c>
      <c r="F1081" s="2647" t="s">
        <v>2088</v>
      </c>
      <c r="G1081" s="2647" t="s">
        <v>2088</v>
      </c>
      <c r="H1081" s="2647" t="s">
        <v>2088</v>
      </c>
      <c r="I1081" s="2647" t="s">
        <v>2088</v>
      </c>
      <c r="J1081" s="2647">
        <v>15.5</v>
      </c>
      <c r="K1081" s="2648"/>
      <c r="L1081" s="2647" t="s">
        <v>2088</v>
      </c>
    </row>
    <row r="1082" spans="1:12">
      <c r="A1082" s="2646" t="s">
        <v>99</v>
      </c>
      <c r="B1082" s="2646" t="s">
        <v>3176</v>
      </c>
      <c r="C1082" s="2646">
        <v>110</v>
      </c>
      <c r="D1082" s="2646">
        <v>180</v>
      </c>
      <c r="E1082" s="2646">
        <v>47</v>
      </c>
      <c r="F1082" s="2646" t="s">
        <v>2088</v>
      </c>
      <c r="G1082" s="2646" t="s">
        <v>2088</v>
      </c>
      <c r="H1082" s="2646" t="s">
        <v>2088</v>
      </c>
      <c r="I1082" s="2646" t="s">
        <v>2088</v>
      </c>
      <c r="J1082" s="2646">
        <v>4.5599999999999996</v>
      </c>
      <c r="L1082" s="2646" t="s">
        <v>2088</v>
      </c>
    </row>
    <row r="1083" spans="1:12">
      <c r="A1083" s="2647" t="s">
        <v>99</v>
      </c>
      <c r="B1083" s="2647" t="s">
        <v>3177</v>
      </c>
      <c r="C1083" s="2647">
        <v>90</v>
      </c>
      <c r="D1083" s="2647">
        <v>155</v>
      </c>
      <c r="E1083" s="2647">
        <v>88</v>
      </c>
      <c r="F1083" s="2647" t="s">
        <v>2088</v>
      </c>
      <c r="G1083" s="2647" t="s">
        <v>2088</v>
      </c>
      <c r="H1083" s="2647" t="s">
        <v>2088</v>
      </c>
      <c r="I1083" s="2647" t="s">
        <v>2088</v>
      </c>
      <c r="J1083" s="2647">
        <v>6.66</v>
      </c>
      <c r="K1083" s="2648"/>
      <c r="L1083" s="2647" t="s">
        <v>2088</v>
      </c>
    </row>
    <row r="1084" spans="1:12">
      <c r="A1084" s="2646" t="s">
        <v>99</v>
      </c>
      <c r="B1084" s="2646" t="s">
        <v>3178</v>
      </c>
      <c r="C1084" s="2646">
        <v>55</v>
      </c>
      <c r="D1084" s="2646">
        <v>110</v>
      </c>
      <c r="E1084" s="2646">
        <v>32</v>
      </c>
      <c r="F1084" s="2646" t="s">
        <v>2088</v>
      </c>
      <c r="G1084" s="2646" t="s">
        <v>2088</v>
      </c>
      <c r="H1084" s="2646" t="s">
        <v>2088</v>
      </c>
      <c r="I1084" s="2646" t="s">
        <v>2088</v>
      </c>
      <c r="J1084" s="2646">
        <v>1.7</v>
      </c>
      <c r="L1084" s="2646" t="s">
        <v>2088</v>
      </c>
    </row>
    <row r="1085" spans="1:12">
      <c r="A1085" s="2647" t="s">
        <v>99</v>
      </c>
      <c r="B1085" s="2647" t="s">
        <v>3179</v>
      </c>
      <c r="C1085" s="2647">
        <v>65</v>
      </c>
      <c r="D1085" s="2647">
        <v>120</v>
      </c>
      <c r="E1085" s="2647">
        <v>39</v>
      </c>
      <c r="F1085" s="2647" t="s">
        <v>2088</v>
      </c>
      <c r="G1085" s="2647" t="s">
        <v>2088</v>
      </c>
      <c r="H1085" s="2647" t="s">
        <v>2088</v>
      </c>
      <c r="I1085" s="2647" t="s">
        <v>2088</v>
      </c>
      <c r="J1085" s="2647">
        <v>1.86</v>
      </c>
      <c r="K1085" s="2648"/>
      <c r="L1085" s="2647" t="s">
        <v>2088</v>
      </c>
    </row>
    <row r="1086" spans="1:12">
      <c r="A1086" s="2646" t="s">
        <v>99</v>
      </c>
      <c r="B1086" s="2646" t="s">
        <v>3180</v>
      </c>
      <c r="C1086" s="2646">
        <v>305</v>
      </c>
      <c r="D1086" s="2646">
        <v>559.86699999999996</v>
      </c>
      <c r="E1086" s="2646">
        <v>170.434</v>
      </c>
      <c r="F1086" s="2646" t="s">
        <v>2088</v>
      </c>
      <c r="G1086" s="2646" t="s">
        <v>2088</v>
      </c>
      <c r="H1086" s="2646" t="s">
        <v>2088</v>
      </c>
      <c r="I1086" s="2646" t="s">
        <v>2088</v>
      </c>
      <c r="J1086" s="2646">
        <v>187</v>
      </c>
      <c r="L1086" s="2646" t="s">
        <v>3181</v>
      </c>
    </row>
    <row r="1087" spans="1:12">
      <c r="A1087" s="2647" t="s">
        <v>99</v>
      </c>
      <c r="B1087" s="2647" t="s">
        <v>3182</v>
      </c>
      <c r="C1087" s="2647">
        <v>146.05000000000001</v>
      </c>
      <c r="D1087" s="2647">
        <v>304.8</v>
      </c>
      <c r="E1087" s="2647">
        <v>88.9</v>
      </c>
      <c r="F1087" s="2647" t="s">
        <v>2088</v>
      </c>
      <c r="G1087" s="2647" t="s">
        <v>2088</v>
      </c>
      <c r="H1087" s="2647" t="s">
        <v>2088</v>
      </c>
      <c r="I1087" s="2647" t="s">
        <v>2088</v>
      </c>
      <c r="J1087" s="2647">
        <v>0</v>
      </c>
      <c r="K1087" s="2648"/>
      <c r="L1087" s="2647" t="s">
        <v>2088</v>
      </c>
    </row>
    <row r="1088" spans="1:12">
      <c r="A1088" s="2646" t="s">
        <v>99</v>
      </c>
      <c r="B1088" s="2646" t="s">
        <v>3183</v>
      </c>
      <c r="C1088" s="2646">
        <v>346.07499999999999</v>
      </c>
      <c r="D1088" s="2646">
        <v>488.95</v>
      </c>
      <c r="E1088" s="2646">
        <v>95.25</v>
      </c>
      <c r="F1088" s="2646" t="s">
        <v>2088</v>
      </c>
      <c r="G1088" s="2646" t="s">
        <v>2088</v>
      </c>
      <c r="H1088" s="2646" t="s">
        <v>2088</v>
      </c>
      <c r="I1088" s="2646" t="s">
        <v>2088</v>
      </c>
      <c r="J1088" s="2646">
        <v>0</v>
      </c>
      <c r="L1088" s="2646" t="s">
        <v>2088</v>
      </c>
    </row>
    <row r="1089" spans="1:12">
      <c r="A1089" s="2647" t="s">
        <v>99</v>
      </c>
      <c r="B1089" s="2647" t="s">
        <v>3184</v>
      </c>
      <c r="C1089" s="2647">
        <v>333.375</v>
      </c>
      <c r="D1089" s="2647">
        <v>469.9</v>
      </c>
      <c r="E1089" s="2647">
        <v>90.447999999999993</v>
      </c>
      <c r="F1089" s="2647" t="s">
        <v>2088</v>
      </c>
      <c r="G1089" s="2647" t="s">
        <v>2088</v>
      </c>
      <c r="H1089" s="2647" t="s">
        <v>2088</v>
      </c>
      <c r="I1089" s="2647" t="s">
        <v>2088</v>
      </c>
      <c r="J1089" s="2647">
        <v>0</v>
      </c>
      <c r="K1089" s="2648"/>
      <c r="L1089" s="2647" t="s">
        <v>2088</v>
      </c>
    </row>
    <row r="1090" spans="1:12">
      <c r="A1090" s="2646" t="s">
        <v>99</v>
      </c>
      <c r="B1090" s="2646" t="s">
        <v>3185</v>
      </c>
      <c r="C1090" s="2646">
        <v>317.5</v>
      </c>
      <c r="D1090" s="2646">
        <v>447.625</v>
      </c>
      <c r="E1090" s="2646">
        <v>85.724999999999994</v>
      </c>
      <c r="F1090" s="2646" t="s">
        <v>2088</v>
      </c>
      <c r="G1090" s="2646" t="s">
        <v>2088</v>
      </c>
      <c r="H1090" s="2646" t="s">
        <v>2088</v>
      </c>
      <c r="I1090" s="2646" t="s">
        <v>2088</v>
      </c>
      <c r="J1090" s="2646">
        <v>0</v>
      </c>
      <c r="L1090" s="2646" t="s">
        <v>2088</v>
      </c>
    </row>
    <row r="1091" spans="1:12">
      <c r="A1091" s="2647" t="s">
        <v>99</v>
      </c>
      <c r="B1091" s="2647" t="s">
        <v>3186</v>
      </c>
      <c r="C1091" s="2647">
        <v>300.03800000000001</v>
      </c>
      <c r="D1091" s="2647">
        <v>422.27499999999998</v>
      </c>
      <c r="E1091" s="2647">
        <v>82.55</v>
      </c>
      <c r="F1091" s="2647" t="s">
        <v>2088</v>
      </c>
      <c r="G1091" s="2647" t="s">
        <v>2088</v>
      </c>
      <c r="H1091" s="2647" t="s">
        <v>2088</v>
      </c>
      <c r="I1091" s="2647" t="s">
        <v>2088</v>
      </c>
      <c r="J1091" s="2647">
        <v>0</v>
      </c>
      <c r="K1091" s="2648"/>
      <c r="L1091" s="2647" t="s">
        <v>2088</v>
      </c>
    </row>
    <row r="1092" spans="1:12">
      <c r="A1092" s="2646" t="s">
        <v>99</v>
      </c>
      <c r="B1092" s="2646" t="s">
        <v>3187</v>
      </c>
      <c r="C1092" s="2646">
        <v>260.35000000000002</v>
      </c>
      <c r="D1092" s="2646">
        <v>422.27499999999998</v>
      </c>
      <c r="E1092" s="2646">
        <v>86.120999999999995</v>
      </c>
      <c r="F1092" s="2646" t="s">
        <v>2088</v>
      </c>
      <c r="G1092" s="2646" t="s">
        <v>2088</v>
      </c>
      <c r="H1092" s="2646" t="s">
        <v>2088</v>
      </c>
      <c r="I1092" s="2646" t="s">
        <v>2088</v>
      </c>
      <c r="J1092" s="2646">
        <v>42.8</v>
      </c>
      <c r="L1092" s="2646" t="s">
        <v>2088</v>
      </c>
    </row>
    <row r="1093" spans="1:12">
      <c r="A1093" s="2647" t="s">
        <v>99</v>
      </c>
      <c r="B1093" s="2647" t="s">
        <v>3188</v>
      </c>
      <c r="C1093" s="2647">
        <v>254</v>
      </c>
      <c r="D1093" s="2647">
        <v>422.27499999999998</v>
      </c>
      <c r="E1093" s="2647">
        <v>86.120999999999995</v>
      </c>
      <c r="F1093" s="2647" t="s">
        <v>2088</v>
      </c>
      <c r="G1093" s="2647" t="s">
        <v>2088</v>
      </c>
      <c r="H1093" s="2647" t="s">
        <v>2088</v>
      </c>
      <c r="I1093" s="2647" t="s">
        <v>2088</v>
      </c>
      <c r="J1093" s="2647">
        <v>0</v>
      </c>
      <c r="K1093" s="2648"/>
      <c r="L1093" s="2647" t="s">
        <v>2088</v>
      </c>
    </row>
    <row r="1094" spans="1:12">
      <c r="A1094" s="2646" t="s">
        <v>99</v>
      </c>
      <c r="B1094" s="2646" t="s">
        <v>3189</v>
      </c>
      <c r="C1094" s="2646">
        <v>177.8</v>
      </c>
      <c r="D1094" s="2646">
        <v>288.92500000000001</v>
      </c>
      <c r="E1094" s="2646">
        <v>63.5</v>
      </c>
      <c r="F1094" s="2646" t="s">
        <v>2088</v>
      </c>
      <c r="G1094" s="2646" t="s">
        <v>2088</v>
      </c>
      <c r="H1094" s="2646" t="s">
        <v>2088</v>
      </c>
      <c r="I1094" s="2646" t="s">
        <v>2088</v>
      </c>
      <c r="J1094" s="2646">
        <v>0</v>
      </c>
      <c r="L1094" s="2646" t="s">
        <v>2088</v>
      </c>
    </row>
    <row r="1095" spans="1:12">
      <c r="A1095" s="2647" t="s">
        <v>99</v>
      </c>
      <c r="B1095" s="2647" t="s">
        <v>3190</v>
      </c>
      <c r="C1095" s="2647">
        <v>174.625</v>
      </c>
      <c r="D1095" s="2647">
        <v>288.92500000000001</v>
      </c>
      <c r="E1095" s="2647">
        <v>63.5</v>
      </c>
      <c r="F1095" s="2647" t="s">
        <v>2088</v>
      </c>
      <c r="G1095" s="2647" t="s">
        <v>2088</v>
      </c>
      <c r="H1095" s="2647" t="s">
        <v>2088</v>
      </c>
      <c r="I1095" s="2647" t="s">
        <v>2088</v>
      </c>
      <c r="J1095" s="2647">
        <v>0</v>
      </c>
      <c r="K1095" s="2648"/>
      <c r="L1095" s="2647" t="s">
        <v>2088</v>
      </c>
    </row>
    <row r="1096" spans="1:12">
      <c r="A1096" s="2646" t="s">
        <v>99</v>
      </c>
      <c r="B1096" s="2646" t="s">
        <v>3191</v>
      </c>
      <c r="C1096" s="2646">
        <v>165.1</v>
      </c>
      <c r="D1096" s="2646">
        <v>288.92500000000001</v>
      </c>
      <c r="E1096" s="2646">
        <v>63.5</v>
      </c>
      <c r="F1096" s="2646" t="s">
        <v>2088</v>
      </c>
      <c r="G1096" s="2646" t="s">
        <v>2088</v>
      </c>
      <c r="H1096" s="2646" t="s">
        <v>2088</v>
      </c>
      <c r="I1096" s="2646" t="s">
        <v>2088</v>
      </c>
      <c r="J1096" s="2646">
        <v>0</v>
      </c>
      <c r="L1096" s="2646" t="s">
        <v>2088</v>
      </c>
    </row>
    <row r="1097" spans="1:12">
      <c r="A1097" s="2647" t="s">
        <v>99</v>
      </c>
      <c r="B1097" s="2647" t="s">
        <v>3192</v>
      </c>
      <c r="C1097" s="2647">
        <v>149.22499999999999</v>
      </c>
      <c r="D1097" s="2647">
        <v>236.53800000000001</v>
      </c>
      <c r="E1097" s="2647">
        <v>57.15</v>
      </c>
      <c r="F1097" s="2647" t="s">
        <v>2088</v>
      </c>
      <c r="G1097" s="2647" t="s">
        <v>2088</v>
      </c>
      <c r="H1097" s="2647" t="s">
        <v>2088</v>
      </c>
      <c r="I1097" s="2647" t="s">
        <v>2088</v>
      </c>
      <c r="J1097" s="2647">
        <v>0</v>
      </c>
      <c r="K1097" s="2648"/>
      <c r="L1097" s="2647" t="s">
        <v>2088</v>
      </c>
    </row>
    <row r="1098" spans="1:12">
      <c r="A1098" s="2646" t="s">
        <v>99</v>
      </c>
      <c r="B1098" s="2646" t="s">
        <v>3193</v>
      </c>
      <c r="C1098" s="2646">
        <v>101.6</v>
      </c>
      <c r="D1098" s="2646">
        <v>190.5</v>
      </c>
      <c r="E1098" s="2646">
        <v>57.15</v>
      </c>
      <c r="F1098" s="2646" t="s">
        <v>2088</v>
      </c>
      <c r="G1098" s="2646" t="s">
        <v>2088</v>
      </c>
      <c r="H1098" s="2646" t="s">
        <v>2088</v>
      </c>
      <c r="I1098" s="2646" t="s">
        <v>2088</v>
      </c>
      <c r="J1098" s="2646">
        <v>0</v>
      </c>
      <c r="L1098" s="2646" t="s">
        <v>2088</v>
      </c>
    </row>
    <row r="1099" spans="1:12">
      <c r="A1099" s="2647" t="s">
        <v>99</v>
      </c>
      <c r="B1099" s="2647" t="s">
        <v>3194</v>
      </c>
      <c r="C1099" s="2647">
        <v>99.974999999999994</v>
      </c>
      <c r="D1099" s="2647">
        <v>156.97499999999999</v>
      </c>
      <c r="E1099" s="2647">
        <v>42</v>
      </c>
      <c r="F1099" s="2647" t="s">
        <v>2088</v>
      </c>
      <c r="G1099" s="2647" t="s">
        <v>2088</v>
      </c>
      <c r="H1099" s="2647" t="s">
        <v>2088</v>
      </c>
      <c r="I1099" s="2647" t="s">
        <v>2088</v>
      </c>
      <c r="J1099" s="2647">
        <v>0</v>
      </c>
      <c r="K1099" s="2648"/>
      <c r="L1099" s="2647" t="s">
        <v>2088</v>
      </c>
    </row>
    <row r="1100" spans="1:12">
      <c r="A1100" s="2646" t="s">
        <v>99</v>
      </c>
      <c r="B1100" s="2646" t="s">
        <v>3195</v>
      </c>
      <c r="C1100" s="2646">
        <v>89.974000000000004</v>
      </c>
      <c r="D1100" s="2646">
        <v>146.97499999999999</v>
      </c>
      <c r="E1100" s="2646">
        <v>40</v>
      </c>
      <c r="F1100" s="2646" t="s">
        <v>2088</v>
      </c>
      <c r="G1100" s="2646" t="s">
        <v>2088</v>
      </c>
      <c r="H1100" s="2646" t="s">
        <v>2088</v>
      </c>
      <c r="I1100" s="2646" t="s">
        <v>2088</v>
      </c>
      <c r="J1100" s="2646">
        <v>2.5419999999999998</v>
      </c>
      <c r="L1100" s="2646" t="s">
        <v>2088</v>
      </c>
    </row>
    <row r="1101" spans="1:12">
      <c r="A1101" s="2647" t="s">
        <v>99</v>
      </c>
      <c r="B1101" s="2647" t="s">
        <v>3196</v>
      </c>
      <c r="C1101" s="2647">
        <v>89.974000000000004</v>
      </c>
      <c r="D1101" s="2647">
        <v>146.97499999999999</v>
      </c>
      <c r="E1101" s="2647">
        <v>40</v>
      </c>
      <c r="F1101" s="2647" t="s">
        <v>2088</v>
      </c>
      <c r="G1101" s="2647" t="s">
        <v>2088</v>
      </c>
      <c r="H1101" s="2647" t="s">
        <v>2088</v>
      </c>
      <c r="I1101" s="2647" t="s">
        <v>2088</v>
      </c>
      <c r="J1101" s="2647">
        <v>0</v>
      </c>
      <c r="K1101" s="2648"/>
      <c r="L1101" s="2647" t="s">
        <v>2088</v>
      </c>
    </row>
    <row r="1102" spans="1:12">
      <c r="A1102" s="2646" t="s">
        <v>99</v>
      </c>
      <c r="B1102" s="2646" t="s">
        <v>3197</v>
      </c>
      <c r="C1102" s="2646">
        <v>79.974000000000004</v>
      </c>
      <c r="D1102" s="2646">
        <v>146.97499999999999</v>
      </c>
      <c r="E1102" s="2646">
        <v>40</v>
      </c>
      <c r="F1102" s="2646" t="s">
        <v>2088</v>
      </c>
      <c r="G1102" s="2646" t="s">
        <v>2088</v>
      </c>
      <c r="H1102" s="2646" t="s">
        <v>2088</v>
      </c>
      <c r="I1102" s="2646" t="s">
        <v>2088</v>
      </c>
      <c r="J1102" s="2646">
        <v>0</v>
      </c>
      <c r="L1102" s="2646" t="s">
        <v>2088</v>
      </c>
    </row>
    <row r="1103" spans="1:12">
      <c r="A1103" s="2647" t="s">
        <v>99</v>
      </c>
      <c r="B1103" s="2647" t="s">
        <v>3198</v>
      </c>
      <c r="C1103" s="2647">
        <v>66.674999999999997</v>
      </c>
      <c r="D1103" s="2647">
        <v>122.238</v>
      </c>
      <c r="E1103" s="2647">
        <v>38.1</v>
      </c>
      <c r="F1103" s="2647" t="s">
        <v>2088</v>
      </c>
      <c r="G1103" s="2647" t="s">
        <v>2088</v>
      </c>
      <c r="H1103" s="2647" t="s">
        <v>2088</v>
      </c>
      <c r="I1103" s="2647" t="s">
        <v>2088</v>
      </c>
      <c r="J1103" s="2647">
        <v>0</v>
      </c>
      <c r="K1103" s="2648"/>
      <c r="L1103" s="2647" t="s">
        <v>2088</v>
      </c>
    </row>
    <row r="1104" spans="1:12">
      <c r="A1104" s="2646" t="s">
        <v>99</v>
      </c>
      <c r="B1104" s="2646" t="s">
        <v>3199</v>
      </c>
      <c r="C1104" s="2646">
        <v>66.680000000000007</v>
      </c>
      <c r="D1104" s="2646">
        <v>122.2</v>
      </c>
      <c r="E1104" s="2646">
        <v>38.1</v>
      </c>
      <c r="F1104" s="2646" t="s">
        <v>2088</v>
      </c>
      <c r="G1104" s="2646" t="s">
        <v>2088</v>
      </c>
      <c r="H1104" s="2646" t="s">
        <v>2088</v>
      </c>
      <c r="I1104" s="2646" t="s">
        <v>2088</v>
      </c>
      <c r="J1104" s="2646">
        <v>1.84</v>
      </c>
      <c r="L1104" s="2646" t="s">
        <v>2088</v>
      </c>
    </row>
    <row r="1105" spans="1:12">
      <c r="A1105" s="2647" t="s">
        <v>99</v>
      </c>
      <c r="B1105" s="2647" t="s">
        <v>3200</v>
      </c>
      <c r="C1105" s="2647">
        <v>66.680000000000007</v>
      </c>
      <c r="D1105" s="2647">
        <v>122.2</v>
      </c>
      <c r="E1105" s="2647">
        <v>38.1</v>
      </c>
      <c r="F1105" s="2647" t="s">
        <v>2088</v>
      </c>
      <c r="G1105" s="2647" t="s">
        <v>2088</v>
      </c>
      <c r="H1105" s="2647" t="s">
        <v>2088</v>
      </c>
      <c r="I1105" s="2647" t="s">
        <v>2088</v>
      </c>
      <c r="J1105" s="2647">
        <v>1.85</v>
      </c>
      <c r="K1105" s="2648"/>
      <c r="L1105" s="2647" t="s">
        <v>2088</v>
      </c>
    </row>
    <row r="1106" spans="1:12">
      <c r="A1106" s="2646" t="s">
        <v>99</v>
      </c>
      <c r="B1106" s="2646" t="s">
        <v>3201</v>
      </c>
      <c r="C1106" s="2646">
        <v>63.5</v>
      </c>
      <c r="D1106" s="2646">
        <v>122.238</v>
      </c>
      <c r="E1106" s="2646">
        <v>38.1</v>
      </c>
      <c r="F1106" s="2646" t="s">
        <v>2088</v>
      </c>
      <c r="G1106" s="2646" t="s">
        <v>2088</v>
      </c>
      <c r="H1106" s="2646" t="s">
        <v>2088</v>
      </c>
      <c r="I1106" s="2646" t="s">
        <v>2088</v>
      </c>
      <c r="J1106" s="2646">
        <v>1.9219999999999999</v>
      </c>
      <c r="L1106" s="2646" t="s">
        <v>2088</v>
      </c>
    </row>
    <row r="1107" spans="1:12">
      <c r="A1107" s="2647" t="s">
        <v>99</v>
      </c>
      <c r="B1107" s="2647" t="s">
        <v>3202</v>
      </c>
      <c r="C1107" s="2647">
        <v>63.5</v>
      </c>
      <c r="D1107" s="2647">
        <v>122.238</v>
      </c>
      <c r="E1107" s="2647">
        <v>38.1</v>
      </c>
      <c r="F1107" s="2647" t="s">
        <v>2088</v>
      </c>
      <c r="G1107" s="2647" t="s">
        <v>2088</v>
      </c>
      <c r="H1107" s="2647" t="s">
        <v>2088</v>
      </c>
      <c r="I1107" s="2647" t="s">
        <v>2088</v>
      </c>
      <c r="J1107" s="2647">
        <v>0</v>
      </c>
      <c r="K1107" s="2648"/>
      <c r="L1107" s="2647" t="s">
        <v>2088</v>
      </c>
    </row>
    <row r="1108" spans="1:12">
      <c r="A1108" s="2646" t="s">
        <v>99</v>
      </c>
      <c r="B1108" s="2646" t="s">
        <v>3203</v>
      </c>
      <c r="C1108" s="2646">
        <v>63</v>
      </c>
      <c r="D1108" s="2646">
        <v>122.238</v>
      </c>
      <c r="E1108" s="2646">
        <v>38.1</v>
      </c>
      <c r="F1108" s="2646" t="s">
        <v>2088</v>
      </c>
      <c r="G1108" s="2646" t="s">
        <v>2088</v>
      </c>
      <c r="H1108" s="2646" t="s">
        <v>2088</v>
      </c>
      <c r="I1108" s="2646" t="s">
        <v>2088</v>
      </c>
      <c r="J1108" s="2646">
        <v>0</v>
      </c>
      <c r="L1108" s="2646" t="s">
        <v>2088</v>
      </c>
    </row>
    <row r="1109" spans="1:12">
      <c r="A1109" s="2647" t="s">
        <v>99</v>
      </c>
      <c r="B1109" s="2647" t="s">
        <v>3204</v>
      </c>
      <c r="C1109" s="2647">
        <v>63.5</v>
      </c>
      <c r="D1109" s="2647">
        <v>122.238</v>
      </c>
      <c r="E1109" s="2647">
        <v>38.1</v>
      </c>
      <c r="F1109" s="2647" t="s">
        <v>2088</v>
      </c>
      <c r="G1109" s="2647" t="s">
        <v>2088</v>
      </c>
      <c r="H1109" s="2647" t="s">
        <v>2088</v>
      </c>
      <c r="I1109" s="2647" t="s">
        <v>2088</v>
      </c>
      <c r="J1109" s="2647">
        <v>0</v>
      </c>
      <c r="K1109" s="2648"/>
      <c r="L1109" s="2647" t="s">
        <v>2088</v>
      </c>
    </row>
    <row r="1110" spans="1:12">
      <c r="A1110" s="2646" t="s">
        <v>99</v>
      </c>
      <c r="B1110" s="2646" t="s">
        <v>3205</v>
      </c>
      <c r="C1110" s="2646">
        <v>60.325000000000003</v>
      </c>
      <c r="D1110" s="2646">
        <v>122.238</v>
      </c>
      <c r="E1110" s="2646">
        <v>38.1</v>
      </c>
      <c r="F1110" s="2646" t="s">
        <v>2088</v>
      </c>
      <c r="G1110" s="2646" t="s">
        <v>2088</v>
      </c>
      <c r="H1110" s="2646" t="s">
        <v>2088</v>
      </c>
      <c r="I1110" s="2646" t="s">
        <v>2088</v>
      </c>
      <c r="J1110" s="2646">
        <v>0</v>
      </c>
      <c r="L1110" s="2646" t="s">
        <v>2088</v>
      </c>
    </row>
    <row r="1111" spans="1:12">
      <c r="A1111" s="2647" t="s">
        <v>99</v>
      </c>
      <c r="B1111" s="2647" t="s">
        <v>3206</v>
      </c>
      <c r="C1111" s="2647">
        <v>60.325000000000003</v>
      </c>
      <c r="D1111" s="2647">
        <v>122.238</v>
      </c>
      <c r="E1111" s="2647">
        <v>38.1</v>
      </c>
      <c r="F1111" s="2647" t="s">
        <v>2088</v>
      </c>
      <c r="G1111" s="2647" t="s">
        <v>2088</v>
      </c>
      <c r="H1111" s="2647" t="s">
        <v>2088</v>
      </c>
      <c r="I1111" s="2647" t="s">
        <v>2088</v>
      </c>
      <c r="J1111" s="2647">
        <v>0</v>
      </c>
      <c r="K1111" s="2648"/>
      <c r="L1111" s="2647" t="s">
        <v>2088</v>
      </c>
    </row>
    <row r="1112" spans="1:12">
      <c r="A1112" s="2646" t="s">
        <v>99</v>
      </c>
      <c r="B1112" s="2646" t="s">
        <v>3207</v>
      </c>
      <c r="C1112" s="2646">
        <v>63.5</v>
      </c>
      <c r="D1112" s="2646">
        <v>122.238</v>
      </c>
      <c r="E1112" s="2646">
        <v>38.1</v>
      </c>
      <c r="F1112" s="2646" t="s">
        <v>2088</v>
      </c>
      <c r="G1112" s="2646" t="s">
        <v>2088</v>
      </c>
      <c r="H1112" s="2646" t="s">
        <v>2088</v>
      </c>
      <c r="I1112" s="2646" t="s">
        <v>2088</v>
      </c>
      <c r="J1112" s="2646">
        <v>0</v>
      </c>
      <c r="L1112" s="2646" t="s">
        <v>2088</v>
      </c>
    </row>
    <row r="1113" spans="1:12">
      <c r="A1113" s="2647" t="s">
        <v>99</v>
      </c>
      <c r="B1113" s="2647" t="s">
        <v>3208</v>
      </c>
      <c r="C1113" s="2647">
        <v>120.65</v>
      </c>
      <c r="D1113" s="2647">
        <v>273.05</v>
      </c>
      <c r="E1113" s="2647">
        <v>82.55</v>
      </c>
      <c r="F1113" s="2647" t="s">
        <v>2088</v>
      </c>
      <c r="G1113" s="2647" t="s">
        <v>2088</v>
      </c>
      <c r="H1113" s="2647" t="s">
        <v>2088</v>
      </c>
      <c r="I1113" s="2647" t="s">
        <v>2088</v>
      </c>
      <c r="J1113" s="2647">
        <v>22.1</v>
      </c>
      <c r="K1113" s="2648"/>
      <c r="L1113" s="2647" t="s">
        <v>2088</v>
      </c>
    </row>
    <row r="1114" spans="1:12">
      <c r="A1114" s="2646" t="s">
        <v>99</v>
      </c>
      <c r="B1114" s="2646" t="s">
        <v>3209</v>
      </c>
      <c r="C1114" s="2646">
        <v>146.05000000000001</v>
      </c>
      <c r="D1114" s="2646">
        <v>268.28800000000001</v>
      </c>
      <c r="E1114" s="2646">
        <v>74.611999999999995</v>
      </c>
      <c r="F1114" s="2646" t="s">
        <v>2088</v>
      </c>
      <c r="G1114" s="2646" t="s">
        <v>2088</v>
      </c>
      <c r="H1114" s="2646" t="s">
        <v>2088</v>
      </c>
      <c r="I1114" s="2646" t="s">
        <v>2088</v>
      </c>
      <c r="J1114" s="2646">
        <v>0</v>
      </c>
      <c r="L1114" s="2646" t="s">
        <v>2088</v>
      </c>
    </row>
    <row r="1115" spans="1:12">
      <c r="A1115" s="2647" t="s">
        <v>99</v>
      </c>
      <c r="B1115" s="2647" t="s">
        <v>3210</v>
      </c>
      <c r="C1115" s="2647">
        <v>419.22699999999998</v>
      </c>
      <c r="D1115" s="2647">
        <v>736.44799999999998</v>
      </c>
      <c r="E1115" s="2647">
        <v>406.4</v>
      </c>
      <c r="F1115" s="2647" t="s">
        <v>2088</v>
      </c>
      <c r="G1115" s="2647" t="s">
        <v>2088</v>
      </c>
      <c r="H1115" s="2647" t="s">
        <v>2088</v>
      </c>
      <c r="I1115" s="2647" t="s">
        <v>2088</v>
      </c>
      <c r="J1115" s="2647">
        <v>799</v>
      </c>
      <c r="K1115" s="2648"/>
      <c r="L1115" s="2647">
        <v>87984</v>
      </c>
    </row>
    <row r="1116" spans="1:12">
      <c r="A1116" s="2646" t="s">
        <v>99</v>
      </c>
      <c r="B1116" s="2646" t="s">
        <v>3211</v>
      </c>
      <c r="C1116" s="2646">
        <v>152.4</v>
      </c>
      <c r="D1116" s="2646">
        <v>254</v>
      </c>
      <c r="E1116" s="2646">
        <v>66.674999999999997</v>
      </c>
      <c r="F1116" s="2646" t="s">
        <v>2088</v>
      </c>
      <c r="G1116" s="2646" t="s">
        <v>2088</v>
      </c>
      <c r="H1116" s="2646" t="s">
        <v>2088</v>
      </c>
      <c r="I1116" s="2646" t="s">
        <v>2088</v>
      </c>
      <c r="J1116" s="2646">
        <v>12.36</v>
      </c>
      <c r="L1116" s="2646" t="s">
        <v>2088</v>
      </c>
    </row>
    <row r="1117" spans="1:12">
      <c r="A1117" s="2647" t="s">
        <v>99</v>
      </c>
      <c r="B1117" s="2647" t="s">
        <v>3212</v>
      </c>
      <c r="C1117" s="2647">
        <v>149.22499999999999</v>
      </c>
      <c r="D1117" s="2647">
        <v>254</v>
      </c>
      <c r="E1117" s="2647">
        <v>66.674999999999997</v>
      </c>
      <c r="F1117" s="2647" t="s">
        <v>2088</v>
      </c>
      <c r="G1117" s="2647" t="s">
        <v>2088</v>
      </c>
      <c r="H1117" s="2647" t="s">
        <v>2088</v>
      </c>
      <c r="I1117" s="2647" t="s">
        <v>2088</v>
      </c>
      <c r="J1117" s="2647">
        <v>0</v>
      </c>
      <c r="K1117" s="2648"/>
      <c r="L1117" s="2647" t="s">
        <v>2088</v>
      </c>
    </row>
    <row r="1118" spans="1:12">
      <c r="A1118" s="2646" t="s">
        <v>99</v>
      </c>
      <c r="B1118" s="2646" t="s">
        <v>3213</v>
      </c>
      <c r="C1118" s="2646">
        <v>146.05000000000001</v>
      </c>
      <c r="D1118" s="2646">
        <v>254</v>
      </c>
      <c r="E1118" s="2646">
        <v>149.22499999999999</v>
      </c>
      <c r="F1118" s="2646" t="s">
        <v>2088</v>
      </c>
      <c r="G1118" s="2646" t="s">
        <v>2088</v>
      </c>
      <c r="H1118" s="2646" t="s">
        <v>2088</v>
      </c>
      <c r="I1118" s="2646" t="s">
        <v>2088</v>
      </c>
      <c r="J1118" s="2646">
        <v>28</v>
      </c>
      <c r="L1118" s="2646" t="s">
        <v>2088</v>
      </c>
    </row>
    <row r="1119" spans="1:12">
      <c r="A1119" s="2647" t="s">
        <v>99</v>
      </c>
      <c r="B1119" s="2647" t="s">
        <v>3214</v>
      </c>
      <c r="C1119" s="2647">
        <v>146.05000000000001</v>
      </c>
      <c r="D1119" s="2647">
        <v>254</v>
      </c>
      <c r="E1119" s="2647">
        <v>66.674999999999997</v>
      </c>
      <c r="F1119" s="2647" t="s">
        <v>2088</v>
      </c>
      <c r="G1119" s="2647" t="s">
        <v>2088</v>
      </c>
      <c r="H1119" s="2647" t="s">
        <v>2088</v>
      </c>
      <c r="I1119" s="2647" t="s">
        <v>2088</v>
      </c>
      <c r="J1119" s="2647">
        <v>0</v>
      </c>
      <c r="K1119" s="2648"/>
      <c r="L1119" s="2647" t="s">
        <v>2088</v>
      </c>
    </row>
    <row r="1120" spans="1:12">
      <c r="A1120" s="2646" t="s">
        <v>99</v>
      </c>
      <c r="B1120" s="2646" t="s">
        <v>3215</v>
      </c>
      <c r="C1120" s="2646">
        <v>139.69999999999999</v>
      </c>
      <c r="D1120" s="2646">
        <v>254</v>
      </c>
      <c r="E1120" s="2646">
        <v>66.674999999999997</v>
      </c>
      <c r="F1120" s="2646" t="s">
        <v>2088</v>
      </c>
      <c r="G1120" s="2646" t="s">
        <v>2088</v>
      </c>
      <c r="H1120" s="2646" t="s">
        <v>2088</v>
      </c>
      <c r="I1120" s="2646" t="s">
        <v>2088</v>
      </c>
      <c r="J1120" s="2646">
        <v>14</v>
      </c>
      <c r="L1120" s="2646" t="s">
        <v>2088</v>
      </c>
    </row>
    <row r="1121" spans="1:12">
      <c r="A1121" s="2647" t="s">
        <v>99</v>
      </c>
      <c r="B1121" s="2647" t="s">
        <v>3216</v>
      </c>
      <c r="C1121" s="2647">
        <v>63.5</v>
      </c>
      <c r="D1121" s="2647">
        <v>110</v>
      </c>
      <c r="E1121" s="2647">
        <v>22</v>
      </c>
      <c r="F1121" s="2647" t="s">
        <v>2088</v>
      </c>
      <c r="G1121" s="2647" t="s">
        <v>2088</v>
      </c>
      <c r="H1121" s="2647" t="s">
        <v>2088</v>
      </c>
      <c r="I1121" s="2647" t="s">
        <v>2088</v>
      </c>
      <c r="J1121" s="2647">
        <v>0</v>
      </c>
      <c r="K1121" s="2648"/>
      <c r="L1121" s="2647" t="s">
        <v>2088</v>
      </c>
    </row>
    <row r="1122" spans="1:12">
      <c r="A1122" s="2646" t="s">
        <v>99</v>
      </c>
      <c r="B1122" s="2646" t="s">
        <v>3217</v>
      </c>
      <c r="C1122" s="2646">
        <v>101.6</v>
      </c>
      <c r="D1122" s="2646">
        <v>200</v>
      </c>
      <c r="E1122" s="2646">
        <v>52.761000000000003</v>
      </c>
      <c r="F1122" s="2646" t="s">
        <v>2088</v>
      </c>
      <c r="G1122" s="2646" t="s">
        <v>2088</v>
      </c>
      <c r="H1122" s="2646" t="s">
        <v>2088</v>
      </c>
      <c r="I1122" s="2646" t="s">
        <v>2088</v>
      </c>
      <c r="J1122" s="2646">
        <v>0</v>
      </c>
      <c r="L1122" s="2646" t="s">
        <v>2088</v>
      </c>
    </row>
    <row r="1123" spans="1:12">
      <c r="A1123" s="2647" t="s">
        <v>99</v>
      </c>
      <c r="B1123" s="2647" t="s">
        <v>3218</v>
      </c>
      <c r="C1123" s="2647">
        <v>88.9</v>
      </c>
      <c r="D1123" s="2647">
        <v>200</v>
      </c>
      <c r="E1123" s="2647">
        <v>52.761000000000003</v>
      </c>
      <c r="F1123" s="2647" t="s">
        <v>2088</v>
      </c>
      <c r="G1123" s="2647" t="s">
        <v>2088</v>
      </c>
      <c r="H1123" s="2647" t="s">
        <v>2088</v>
      </c>
      <c r="I1123" s="2647" t="s">
        <v>2088</v>
      </c>
      <c r="J1123" s="2647">
        <v>0</v>
      </c>
      <c r="K1123" s="2648"/>
      <c r="L1123" s="2647" t="s">
        <v>2088</v>
      </c>
    </row>
    <row r="1124" spans="1:12">
      <c r="A1124" s="2646" t="s">
        <v>99</v>
      </c>
      <c r="B1124" s="2646" t="s">
        <v>3219</v>
      </c>
      <c r="C1124" s="2646">
        <v>234.95</v>
      </c>
      <c r="D1124" s="2646">
        <v>355.6</v>
      </c>
      <c r="E1124" s="2646">
        <v>68.262</v>
      </c>
      <c r="F1124" s="2646" t="s">
        <v>2088</v>
      </c>
      <c r="G1124" s="2646" t="s">
        <v>2088</v>
      </c>
      <c r="H1124" s="2646" t="s">
        <v>2088</v>
      </c>
      <c r="I1124" s="2646" t="s">
        <v>2088</v>
      </c>
      <c r="J1124" s="2646">
        <v>0</v>
      </c>
      <c r="L1124" s="2646" t="s">
        <v>2088</v>
      </c>
    </row>
    <row r="1125" spans="1:12">
      <c r="A1125" s="2647" t="s">
        <v>99</v>
      </c>
      <c r="B1125" s="2647" t="s">
        <v>3220</v>
      </c>
      <c r="C1125" s="2647">
        <v>228.6</v>
      </c>
      <c r="D1125" s="2647">
        <v>335.5</v>
      </c>
      <c r="E1125" s="2647">
        <v>68.262</v>
      </c>
      <c r="F1125" s="2647" t="s">
        <v>2088</v>
      </c>
      <c r="G1125" s="2647" t="s">
        <v>2088</v>
      </c>
      <c r="H1125" s="2647" t="s">
        <v>2088</v>
      </c>
      <c r="I1125" s="2647" t="s">
        <v>2088</v>
      </c>
      <c r="J1125" s="2647">
        <v>0</v>
      </c>
      <c r="K1125" s="2648"/>
      <c r="L1125" s="2647" t="s">
        <v>2088</v>
      </c>
    </row>
    <row r="1126" spans="1:12">
      <c r="A1126" s="2646" t="s">
        <v>99</v>
      </c>
      <c r="B1126" s="2646" t="s">
        <v>3221</v>
      </c>
      <c r="C1126" s="2646">
        <v>209.55</v>
      </c>
      <c r="D1126" s="2646">
        <v>355.6</v>
      </c>
      <c r="E1126" s="2646">
        <v>68.262</v>
      </c>
      <c r="F1126" s="2646" t="s">
        <v>2088</v>
      </c>
      <c r="G1126" s="2646" t="s">
        <v>2088</v>
      </c>
      <c r="H1126" s="2646" t="s">
        <v>2088</v>
      </c>
      <c r="I1126" s="2646" t="s">
        <v>2088</v>
      </c>
      <c r="J1126" s="2646">
        <v>0</v>
      </c>
      <c r="L1126" s="2646" t="s">
        <v>2088</v>
      </c>
    </row>
    <row r="1127" spans="1:12">
      <c r="A1127" s="2647" t="s">
        <v>99</v>
      </c>
      <c r="B1127" s="2647" t="s">
        <v>3222</v>
      </c>
      <c r="C1127" s="2647">
        <v>133.35</v>
      </c>
      <c r="D1127" s="2647">
        <v>234.95</v>
      </c>
      <c r="E1127" s="2647">
        <v>63.5</v>
      </c>
      <c r="F1127" s="2647" t="s">
        <v>2088</v>
      </c>
      <c r="G1127" s="2647" t="s">
        <v>2088</v>
      </c>
      <c r="H1127" s="2647" t="s">
        <v>2088</v>
      </c>
      <c r="I1127" s="2647" t="s">
        <v>2088</v>
      </c>
      <c r="J1127" s="2647">
        <v>11.1</v>
      </c>
      <c r="K1127" s="2648"/>
      <c r="L1127" s="2647" t="s">
        <v>2088</v>
      </c>
    </row>
    <row r="1128" spans="1:12">
      <c r="A1128" s="2646" t="s">
        <v>99</v>
      </c>
      <c r="B1128" s="2646" t="s">
        <v>3223</v>
      </c>
      <c r="C1128" s="2646">
        <v>127</v>
      </c>
      <c r="D1128" s="2646">
        <v>231.95</v>
      </c>
      <c r="E1128" s="2646">
        <v>63.5</v>
      </c>
      <c r="F1128" s="2646" t="s">
        <v>2088</v>
      </c>
      <c r="G1128" s="2646" t="s">
        <v>2088</v>
      </c>
      <c r="H1128" s="2646" t="s">
        <v>2088</v>
      </c>
      <c r="I1128" s="2646" t="s">
        <v>2088</v>
      </c>
      <c r="J1128" s="2646">
        <v>0</v>
      </c>
      <c r="L1128" s="2646" t="s">
        <v>2088</v>
      </c>
    </row>
    <row r="1129" spans="1:12">
      <c r="A1129" s="2647" t="s">
        <v>99</v>
      </c>
      <c r="B1129" s="2647" t="s">
        <v>3224</v>
      </c>
      <c r="C1129" s="2647">
        <v>120.65</v>
      </c>
      <c r="D1129" s="2647">
        <v>234.95</v>
      </c>
      <c r="E1129" s="2647">
        <v>63.5</v>
      </c>
      <c r="F1129" s="2647" t="s">
        <v>2088</v>
      </c>
      <c r="G1129" s="2647" t="s">
        <v>2088</v>
      </c>
      <c r="H1129" s="2647" t="s">
        <v>2088</v>
      </c>
      <c r="I1129" s="2647" t="s">
        <v>2088</v>
      </c>
      <c r="J1129" s="2647">
        <v>0</v>
      </c>
      <c r="K1129" s="2648"/>
      <c r="L1129" s="2647" t="s">
        <v>2088</v>
      </c>
    </row>
    <row r="1130" spans="1:12">
      <c r="A1130" s="2646" t="s">
        <v>99</v>
      </c>
      <c r="B1130" s="2646" t="s">
        <v>3225</v>
      </c>
      <c r="C1130" s="2646">
        <v>21</v>
      </c>
      <c r="D1130" s="2646">
        <v>62</v>
      </c>
      <c r="E1130" s="2646">
        <v>18.5</v>
      </c>
      <c r="F1130" s="2646" t="s">
        <v>2088</v>
      </c>
      <c r="G1130" s="2646" t="s">
        <v>2088</v>
      </c>
      <c r="H1130" s="2646" t="s">
        <v>2088</v>
      </c>
      <c r="I1130" s="2646" t="s">
        <v>2088</v>
      </c>
      <c r="J1130" s="2646">
        <v>0.27300000000000002</v>
      </c>
      <c r="L1130" s="2646" t="s">
        <v>2088</v>
      </c>
    </row>
    <row r="1131" spans="1:12">
      <c r="A1131" s="2647" t="s">
        <v>99</v>
      </c>
      <c r="B1131" s="2647" t="s">
        <v>3226</v>
      </c>
      <c r="C1131" s="2647">
        <v>177.8</v>
      </c>
      <c r="D1131" s="2647">
        <v>288.92500000000001</v>
      </c>
      <c r="E1131" s="2647">
        <v>63.5</v>
      </c>
      <c r="F1131" s="2647" t="s">
        <v>2088</v>
      </c>
      <c r="G1131" s="2647" t="s">
        <v>2088</v>
      </c>
      <c r="H1131" s="2647" t="s">
        <v>2088</v>
      </c>
      <c r="I1131" s="2647" t="s">
        <v>2088</v>
      </c>
      <c r="J1131" s="2647">
        <v>0</v>
      </c>
      <c r="K1131" s="2648"/>
      <c r="L1131" s="2647" t="s">
        <v>2088</v>
      </c>
    </row>
    <row r="1132" spans="1:12">
      <c r="A1132" s="2646" t="s">
        <v>99</v>
      </c>
      <c r="B1132" s="2646" t="s">
        <v>3227</v>
      </c>
      <c r="C1132" s="2646">
        <v>165.1</v>
      </c>
      <c r="D1132" s="2646">
        <v>288.92500000000001</v>
      </c>
      <c r="E1132" s="2646">
        <v>63.5</v>
      </c>
      <c r="F1132" s="2646" t="s">
        <v>2088</v>
      </c>
      <c r="G1132" s="2646" t="s">
        <v>2088</v>
      </c>
      <c r="H1132" s="2646" t="s">
        <v>2088</v>
      </c>
      <c r="I1132" s="2646" t="s">
        <v>2088</v>
      </c>
      <c r="J1132" s="2646">
        <v>0</v>
      </c>
      <c r="L1132" s="2646" t="s">
        <v>2088</v>
      </c>
    </row>
    <row r="1133" spans="1:12">
      <c r="A1133" s="2647" t="s">
        <v>99</v>
      </c>
      <c r="B1133" s="2647" t="s">
        <v>3228</v>
      </c>
      <c r="C1133" s="2647">
        <v>174.625</v>
      </c>
      <c r="D1133" s="2647">
        <v>288.92500000000001</v>
      </c>
      <c r="E1133" s="2647">
        <v>63.5</v>
      </c>
      <c r="F1133" s="2647" t="s">
        <v>2088</v>
      </c>
      <c r="G1133" s="2647" t="s">
        <v>2088</v>
      </c>
      <c r="H1133" s="2647" t="s">
        <v>2088</v>
      </c>
      <c r="I1133" s="2647" t="s">
        <v>2088</v>
      </c>
      <c r="J1133" s="2647">
        <v>0</v>
      </c>
      <c r="K1133" s="2648"/>
      <c r="L1133" s="2647" t="s">
        <v>2088</v>
      </c>
    </row>
    <row r="1134" spans="1:12">
      <c r="A1134" s="2646" t="s">
        <v>99</v>
      </c>
      <c r="B1134" s="2646" t="s">
        <v>3229</v>
      </c>
      <c r="C1134" s="2646">
        <v>101.6</v>
      </c>
      <c r="D1134" s="2646">
        <v>212.72499999999999</v>
      </c>
      <c r="E1134" s="2646">
        <v>66.674999999999997</v>
      </c>
      <c r="F1134" s="2646" t="s">
        <v>2088</v>
      </c>
      <c r="G1134" s="2646" t="s">
        <v>2088</v>
      </c>
      <c r="H1134" s="2646" t="s">
        <v>2088</v>
      </c>
      <c r="I1134" s="2646" t="s">
        <v>2088</v>
      </c>
      <c r="J1134" s="2646">
        <v>0</v>
      </c>
      <c r="L1134" s="2646" t="s">
        <v>2088</v>
      </c>
    </row>
    <row r="1135" spans="1:12">
      <c r="A1135" s="2647" t="s">
        <v>99</v>
      </c>
      <c r="B1135" s="2647" t="s">
        <v>3230</v>
      </c>
      <c r="C1135" s="2647">
        <v>84.138000000000005</v>
      </c>
      <c r="D1135" s="2647">
        <v>171.45</v>
      </c>
      <c r="E1135" s="2647">
        <v>49.212000000000003</v>
      </c>
      <c r="F1135" s="2647" t="s">
        <v>2088</v>
      </c>
      <c r="G1135" s="2647" t="s">
        <v>2088</v>
      </c>
      <c r="H1135" s="2647" t="s">
        <v>2088</v>
      </c>
      <c r="I1135" s="2647" t="s">
        <v>2088</v>
      </c>
      <c r="J1135" s="2647">
        <v>0</v>
      </c>
      <c r="K1135" s="2648"/>
      <c r="L1135" s="2647" t="s">
        <v>2088</v>
      </c>
    </row>
    <row r="1136" spans="1:12">
      <c r="A1136" s="2646" t="s">
        <v>99</v>
      </c>
      <c r="B1136" s="2646" t="s">
        <v>3231</v>
      </c>
      <c r="C1136" s="2646">
        <v>209.55</v>
      </c>
      <c r="D1136" s="2646">
        <v>317.5</v>
      </c>
      <c r="E1136" s="2646">
        <v>63.5</v>
      </c>
      <c r="F1136" s="2646" t="s">
        <v>2088</v>
      </c>
      <c r="G1136" s="2646" t="s">
        <v>2088</v>
      </c>
      <c r="H1136" s="2646" t="s">
        <v>2088</v>
      </c>
      <c r="I1136" s="2646" t="s">
        <v>2088</v>
      </c>
      <c r="J1136" s="2646">
        <v>0</v>
      </c>
      <c r="L1136" s="2646" t="s">
        <v>2088</v>
      </c>
    </row>
    <row r="1137" spans="1:12">
      <c r="A1137" s="2647" t="s">
        <v>99</v>
      </c>
      <c r="B1137" s="2647" t="s">
        <v>3232</v>
      </c>
      <c r="C1137" s="2647">
        <v>206.375</v>
      </c>
      <c r="D1137" s="2647">
        <v>317.5</v>
      </c>
      <c r="E1137" s="2647">
        <v>63.5</v>
      </c>
      <c r="F1137" s="2647" t="s">
        <v>2088</v>
      </c>
      <c r="G1137" s="2647" t="s">
        <v>2088</v>
      </c>
      <c r="H1137" s="2647" t="s">
        <v>2088</v>
      </c>
      <c r="I1137" s="2647" t="s">
        <v>2088</v>
      </c>
      <c r="J1137" s="2647">
        <v>0</v>
      </c>
      <c r="K1137" s="2648"/>
      <c r="L1137" s="2647" t="s">
        <v>2088</v>
      </c>
    </row>
    <row r="1138" spans="1:12">
      <c r="A1138" s="2646" t="s">
        <v>99</v>
      </c>
      <c r="B1138" s="2646" t="s">
        <v>3233</v>
      </c>
      <c r="C1138" s="2646">
        <v>203.2</v>
      </c>
      <c r="D1138" s="2646">
        <v>317.5</v>
      </c>
      <c r="E1138" s="2646">
        <v>63.5</v>
      </c>
      <c r="F1138" s="2646" t="s">
        <v>2088</v>
      </c>
      <c r="G1138" s="2646" t="s">
        <v>2088</v>
      </c>
      <c r="H1138" s="2646" t="s">
        <v>2088</v>
      </c>
      <c r="I1138" s="2646" t="s">
        <v>2088</v>
      </c>
      <c r="J1138" s="2646">
        <v>0</v>
      </c>
      <c r="L1138" s="2646" t="s">
        <v>2088</v>
      </c>
    </row>
    <row r="1139" spans="1:12">
      <c r="A1139" s="2647" t="s">
        <v>99</v>
      </c>
      <c r="B1139" s="2647" t="s">
        <v>3234</v>
      </c>
      <c r="C1139" s="2647">
        <v>76.2</v>
      </c>
      <c r="D1139" s="2647">
        <v>171.45</v>
      </c>
      <c r="E1139" s="2647">
        <v>49.212000000000003</v>
      </c>
      <c r="F1139" s="2647" t="s">
        <v>2088</v>
      </c>
      <c r="G1139" s="2647" t="s">
        <v>2088</v>
      </c>
      <c r="H1139" s="2647" t="s">
        <v>2088</v>
      </c>
      <c r="I1139" s="2647" t="s">
        <v>2088</v>
      </c>
      <c r="J1139" s="2647">
        <v>0</v>
      </c>
      <c r="K1139" s="2648"/>
      <c r="L1139" s="2647" t="s">
        <v>2088</v>
      </c>
    </row>
    <row r="1140" spans="1:12">
      <c r="A1140" s="2646" t="s">
        <v>99</v>
      </c>
      <c r="B1140" s="2646" t="s">
        <v>3235</v>
      </c>
      <c r="C1140" s="2646">
        <v>114.3</v>
      </c>
      <c r="D1140" s="2646">
        <v>212.72499999999999</v>
      </c>
      <c r="E1140" s="2646">
        <v>66.674999999999997</v>
      </c>
      <c r="F1140" s="2646" t="s">
        <v>2088</v>
      </c>
      <c r="G1140" s="2646" t="s">
        <v>2088</v>
      </c>
      <c r="H1140" s="2646" t="s">
        <v>2088</v>
      </c>
      <c r="I1140" s="2646" t="s">
        <v>2088</v>
      </c>
      <c r="J1140" s="2646">
        <v>0</v>
      </c>
      <c r="L1140" s="2646" t="s">
        <v>2088</v>
      </c>
    </row>
    <row r="1141" spans="1:12">
      <c r="A1141" s="2647" t="s">
        <v>99</v>
      </c>
      <c r="B1141" s="2647" t="s">
        <v>3236</v>
      </c>
      <c r="C1141" s="2647">
        <v>200.02500000000001</v>
      </c>
      <c r="D1141" s="2647">
        <v>317.5</v>
      </c>
      <c r="E1141" s="2647">
        <v>63.5</v>
      </c>
      <c r="F1141" s="2647" t="s">
        <v>2088</v>
      </c>
      <c r="G1141" s="2647" t="s">
        <v>2088</v>
      </c>
      <c r="H1141" s="2647" t="s">
        <v>2088</v>
      </c>
      <c r="I1141" s="2647" t="s">
        <v>2088</v>
      </c>
      <c r="J1141" s="2647">
        <v>0</v>
      </c>
      <c r="K1141" s="2648"/>
      <c r="L1141" s="2647" t="s">
        <v>2088</v>
      </c>
    </row>
    <row r="1142" spans="1:12">
      <c r="A1142" s="2646" t="s">
        <v>99</v>
      </c>
      <c r="B1142" s="2646" t="s">
        <v>3237</v>
      </c>
      <c r="C1142" s="2646">
        <v>196.85</v>
      </c>
      <c r="D1142" s="2646">
        <v>317.5</v>
      </c>
      <c r="E1142" s="2646">
        <v>63.5</v>
      </c>
      <c r="F1142" s="2646" t="s">
        <v>2088</v>
      </c>
      <c r="G1142" s="2646" t="s">
        <v>2088</v>
      </c>
      <c r="H1142" s="2646" t="s">
        <v>2088</v>
      </c>
      <c r="I1142" s="2646" t="s">
        <v>2088</v>
      </c>
      <c r="J1142" s="2646">
        <v>0</v>
      </c>
      <c r="L1142" s="2646" t="s">
        <v>2088</v>
      </c>
    </row>
    <row r="1143" spans="1:12">
      <c r="A1143" s="2647" t="s">
        <v>99</v>
      </c>
      <c r="B1143" s="2647" t="s">
        <v>3238</v>
      </c>
      <c r="C1143" s="2647">
        <v>190.5</v>
      </c>
      <c r="D1143" s="2647">
        <v>317.5</v>
      </c>
      <c r="E1143" s="2647">
        <v>68.262</v>
      </c>
      <c r="F1143" s="2647" t="s">
        <v>2088</v>
      </c>
      <c r="G1143" s="2647" t="s">
        <v>2088</v>
      </c>
      <c r="H1143" s="2647" t="s">
        <v>2088</v>
      </c>
      <c r="I1143" s="2647" t="s">
        <v>2088</v>
      </c>
      <c r="J1143" s="2647">
        <v>0</v>
      </c>
      <c r="K1143" s="2648"/>
      <c r="L1143" s="2647" t="s">
        <v>2088</v>
      </c>
    </row>
    <row r="1144" spans="1:12">
      <c r="A1144" s="2646" t="s">
        <v>99</v>
      </c>
      <c r="B1144" s="2646" t="s">
        <v>3239</v>
      </c>
      <c r="C1144" s="2646">
        <v>107.95</v>
      </c>
      <c r="D1144" s="2646">
        <v>212.72499999999999</v>
      </c>
      <c r="E1144" s="2646">
        <v>66.674999999999997</v>
      </c>
      <c r="F1144" s="2646" t="s">
        <v>2088</v>
      </c>
      <c r="G1144" s="2646" t="s">
        <v>2088</v>
      </c>
      <c r="H1144" s="2646" t="s">
        <v>2088</v>
      </c>
      <c r="I1144" s="2646" t="s">
        <v>2088</v>
      </c>
      <c r="J1144" s="2646">
        <v>0</v>
      </c>
      <c r="L1144" s="2646" t="s">
        <v>2088</v>
      </c>
    </row>
    <row r="1145" spans="1:12">
      <c r="A1145" s="2647" t="s">
        <v>99</v>
      </c>
      <c r="B1145" s="2647" t="s">
        <v>3240</v>
      </c>
      <c r="C1145" s="2647">
        <v>76.2</v>
      </c>
      <c r="D1145" s="2647">
        <v>161.92500000000001</v>
      </c>
      <c r="E1145" s="2647">
        <v>49.212000000000003</v>
      </c>
      <c r="F1145" s="2647" t="s">
        <v>2088</v>
      </c>
      <c r="G1145" s="2647" t="s">
        <v>2088</v>
      </c>
      <c r="H1145" s="2647" t="s">
        <v>2088</v>
      </c>
      <c r="I1145" s="2647" t="s">
        <v>2088</v>
      </c>
      <c r="J1145" s="2647">
        <v>0</v>
      </c>
      <c r="K1145" s="2648"/>
      <c r="L1145" s="2647" t="s">
        <v>2088</v>
      </c>
    </row>
    <row r="1146" spans="1:12">
      <c r="A1146" s="2646" t="s">
        <v>99</v>
      </c>
      <c r="B1146" s="2646" t="s">
        <v>3241</v>
      </c>
      <c r="C1146" s="2646">
        <v>68.262</v>
      </c>
      <c r="D1146" s="2646">
        <v>152.4</v>
      </c>
      <c r="E1146" s="2646">
        <v>47.625</v>
      </c>
      <c r="F1146" s="2646" t="s">
        <v>2088</v>
      </c>
      <c r="G1146" s="2646" t="s">
        <v>2088</v>
      </c>
      <c r="H1146" s="2646" t="s">
        <v>2088</v>
      </c>
      <c r="I1146" s="2646" t="s">
        <v>2088</v>
      </c>
      <c r="J1146" s="2646">
        <v>0</v>
      </c>
      <c r="L1146" s="2646" t="s">
        <v>2088</v>
      </c>
    </row>
    <row r="1147" spans="1:12">
      <c r="A1147" s="2647" t="s">
        <v>99</v>
      </c>
      <c r="B1147" s="2647" t="s">
        <v>3242</v>
      </c>
      <c r="C1147" s="2647">
        <v>139.69999999999999</v>
      </c>
      <c r="D1147" s="2647">
        <v>228.6</v>
      </c>
      <c r="E1147" s="2647">
        <v>57.15</v>
      </c>
      <c r="F1147" s="2647" t="s">
        <v>2088</v>
      </c>
      <c r="G1147" s="2647" t="s">
        <v>2088</v>
      </c>
      <c r="H1147" s="2647" t="s">
        <v>2088</v>
      </c>
      <c r="I1147" s="2647" t="s">
        <v>2088</v>
      </c>
      <c r="J1147" s="2647">
        <v>0</v>
      </c>
      <c r="K1147" s="2648"/>
      <c r="L1147" s="2647" t="s">
        <v>2088</v>
      </c>
    </row>
    <row r="1148" spans="1:12">
      <c r="A1148" s="2646" t="s">
        <v>99</v>
      </c>
      <c r="B1148" s="2646" t="s">
        <v>3243</v>
      </c>
      <c r="C1148" s="2646">
        <v>136.52500000000001</v>
      </c>
      <c r="D1148" s="2646">
        <v>228.6</v>
      </c>
      <c r="E1148" s="2646">
        <v>123.825</v>
      </c>
      <c r="F1148" s="2646" t="s">
        <v>2088</v>
      </c>
      <c r="G1148" s="2646" t="s">
        <v>2088</v>
      </c>
      <c r="H1148" s="2646" t="s">
        <v>2088</v>
      </c>
      <c r="I1148" s="2646" t="s">
        <v>2088</v>
      </c>
      <c r="J1148" s="2646">
        <v>20.6</v>
      </c>
      <c r="L1148" s="2646" t="s">
        <v>3244</v>
      </c>
    </row>
    <row r="1149" spans="1:12">
      <c r="A1149" s="2647" t="s">
        <v>99</v>
      </c>
      <c r="B1149" s="2647" t="s">
        <v>3245</v>
      </c>
      <c r="C1149" s="2647">
        <v>136.52500000000001</v>
      </c>
      <c r="D1149" s="2647">
        <v>228.6</v>
      </c>
      <c r="E1149" s="2647">
        <v>57.15</v>
      </c>
      <c r="F1149" s="2647" t="s">
        <v>2088</v>
      </c>
      <c r="G1149" s="2647" t="s">
        <v>2088</v>
      </c>
      <c r="H1149" s="2647" t="s">
        <v>2088</v>
      </c>
      <c r="I1149" s="2647" t="s">
        <v>2088</v>
      </c>
      <c r="J1149" s="2647">
        <v>0</v>
      </c>
      <c r="K1149" s="2648"/>
      <c r="L1149" s="2647" t="s">
        <v>2088</v>
      </c>
    </row>
    <row r="1150" spans="1:12">
      <c r="A1150" s="2646" t="s">
        <v>99</v>
      </c>
      <c r="B1150" s="2646" t="s">
        <v>3246</v>
      </c>
      <c r="C1150" s="2646">
        <v>31.75</v>
      </c>
      <c r="D1150" s="2646">
        <v>76.2</v>
      </c>
      <c r="E1150" s="2646">
        <v>26.195</v>
      </c>
      <c r="F1150" s="2646" t="s">
        <v>2088</v>
      </c>
      <c r="G1150" s="2646" t="s">
        <v>2088</v>
      </c>
      <c r="H1150" s="2646" t="s">
        <v>2088</v>
      </c>
      <c r="I1150" s="2646" t="s">
        <v>2088</v>
      </c>
      <c r="J1150" s="2646">
        <v>0.112</v>
      </c>
      <c r="L1150" s="2646" t="s">
        <v>2088</v>
      </c>
    </row>
    <row r="1151" spans="1:12">
      <c r="A1151" s="2647" t="s">
        <v>99</v>
      </c>
      <c r="B1151" s="2647" t="s">
        <v>3247</v>
      </c>
      <c r="C1151" s="2647">
        <v>234.95</v>
      </c>
      <c r="D1151" s="2647">
        <v>327.02499999999998</v>
      </c>
      <c r="E1151" s="2647">
        <v>52.387999999999998</v>
      </c>
      <c r="F1151" s="2647" t="s">
        <v>2088</v>
      </c>
      <c r="G1151" s="2647" t="s">
        <v>2088</v>
      </c>
      <c r="H1151" s="2647" t="s">
        <v>2088</v>
      </c>
      <c r="I1151" s="2647" t="s">
        <v>2088</v>
      </c>
      <c r="J1151" s="2647">
        <v>0</v>
      </c>
      <c r="K1151" s="2648"/>
      <c r="L1151" s="2647" t="s">
        <v>2088</v>
      </c>
    </row>
    <row r="1152" spans="1:12">
      <c r="A1152" s="2646" t="s">
        <v>99</v>
      </c>
      <c r="B1152" s="2646" t="s">
        <v>3248</v>
      </c>
      <c r="C1152" s="2646">
        <v>133.35</v>
      </c>
      <c r="D1152" s="2646">
        <v>203.2</v>
      </c>
      <c r="E1152" s="2646">
        <v>46.037999999999997</v>
      </c>
      <c r="F1152" s="2646" t="s">
        <v>2088</v>
      </c>
      <c r="G1152" s="2646" t="s">
        <v>2088</v>
      </c>
      <c r="H1152" s="2646" t="s">
        <v>2088</v>
      </c>
      <c r="I1152" s="2646" t="s">
        <v>2088</v>
      </c>
      <c r="J1152" s="2646">
        <v>0</v>
      </c>
      <c r="L1152" s="2646" t="s">
        <v>2088</v>
      </c>
    </row>
    <row r="1153" spans="1:12">
      <c r="A1153" s="2647" t="s">
        <v>99</v>
      </c>
      <c r="B1153" s="2647" t="s">
        <v>3249</v>
      </c>
      <c r="C1153" s="2647">
        <v>133.35</v>
      </c>
      <c r="D1153" s="2647">
        <v>196.85</v>
      </c>
      <c r="E1153" s="2647">
        <v>46.037999999999997</v>
      </c>
      <c r="F1153" s="2647" t="s">
        <v>2088</v>
      </c>
      <c r="G1153" s="2647" t="s">
        <v>2088</v>
      </c>
      <c r="H1153" s="2647" t="s">
        <v>2088</v>
      </c>
      <c r="I1153" s="2647" t="s">
        <v>2088</v>
      </c>
      <c r="J1153" s="2647">
        <v>4.71</v>
      </c>
      <c r="K1153" s="2648"/>
      <c r="L1153" s="2647" t="s">
        <v>2088</v>
      </c>
    </row>
    <row r="1154" spans="1:12">
      <c r="A1154" s="2646" t="s">
        <v>99</v>
      </c>
      <c r="B1154" s="2646" t="s">
        <v>3250</v>
      </c>
      <c r="C1154" s="2646">
        <v>127</v>
      </c>
      <c r="D1154" s="2646">
        <v>196.85</v>
      </c>
      <c r="E1154" s="2646">
        <v>46.037999999999997</v>
      </c>
      <c r="F1154" s="2646" t="s">
        <v>2088</v>
      </c>
      <c r="G1154" s="2646" t="s">
        <v>2088</v>
      </c>
      <c r="H1154" s="2646" t="s">
        <v>2088</v>
      </c>
      <c r="I1154" s="2646" t="s">
        <v>2088</v>
      </c>
      <c r="J1154" s="2646">
        <v>0</v>
      </c>
      <c r="L1154" s="2646" t="s">
        <v>2088</v>
      </c>
    </row>
    <row r="1155" spans="1:12">
      <c r="A1155" s="2647" t="s">
        <v>99</v>
      </c>
      <c r="B1155" s="2647" t="s">
        <v>3251</v>
      </c>
      <c r="C1155" s="2647">
        <v>85.724999999999994</v>
      </c>
      <c r="D1155" s="2647">
        <v>140.05000000000001</v>
      </c>
      <c r="E1155" s="2647">
        <v>41.274999999999999</v>
      </c>
      <c r="F1155" s="2647" t="s">
        <v>2088</v>
      </c>
      <c r="G1155" s="2647" t="s">
        <v>2088</v>
      </c>
      <c r="H1155" s="2647" t="s">
        <v>2088</v>
      </c>
      <c r="I1155" s="2647" t="s">
        <v>2088</v>
      </c>
      <c r="J1155" s="2647">
        <v>0</v>
      </c>
      <c r="K1155" s="2648"/>
      <c r="L1155" s="2647" t="s">
        <v>2088</v>
      </c>
    </row>
    <row r="1156" spans="1:12">
      <c r="A1156" s="2646" t="s">
        <v>99</v>
      </c>
      <c r="B1156" s="2646" t="s">
        <v>3252</v>
      </c>
      <c r="C1156" s="2646">
        <v>85.724999999999994</v>
      </c>
      <c r="D1156" s="2646">
        <v>146.05000000000001</v>
      </c>
      <c r="E1156" s="2646">
        <v>41.274999999999999</v>
      </c>
      <c r="F1156" s="2646" t="s">
        <v>2088</v>
      </c>
      <c r="G1156" s="2646" t="s">
        <v>2088</v>
      </c>
      <c r="H1156" s="2646" t="s">
        <v>2088</v>
      </c>
      <c r="I1156" s="2646" t="s">
        <v>2088</v>
      </c>
      <c r="J1156" s="2646">
        <v>0</v>
      </c>
      <c r="L1156" s="2646" t="s">
        <v>2088</v>
      </c>
    </row>
    <row r="1157" spans="1:12">
      <c r="A1157" s="2647" t="s">
        <v>99</v>
      </c>
      <c r="B1157" s="2647" t="s">
        <v>3253</v>
      </c>
      <c r="C1157" s="2647">
        <v>82.55</v>
      </c>
      <c r="D1157" s="2647">
        <v>146</v>
      </c>
      <c r="E1157" s="2647">
        <v>41.274999999999999</v>
      </c>
      <c r="F1157" s="2647" t="s">
        <v>2088</v>
      </c>
      <c r="G1157" s="2647" t="s">
        <v>2088</v>
      </c>
      <c r="H1157" s="2647" t="s">
        <v>2088</v>
      </c>
      <c r="I1157" s="2647" t="s">
        <v>2088</v>
      </c>
      <c r="J1157" s="2647">
        <v>2.87</v>
      </c>
      <c r="K1157" s="2648"/>
      <c r="L1157" s="2647" t="s">
        <v>2088</v>
      </c>
    </row>
    <row r="1158" spans="1:12">
      <c r="A1158" s="2646" t="s">
        <v>99</v>
      </c>
      <c r="B1158" s="2646" t="s">
        <v>3254</v>
      </c>
      <c r="C1158" s="2646">
        <v>82.55</v>
      </c>
      <c r="D1158" s="2646">
        <v>152.4</v>
      </c>
      <c r="E1158" s="2646">
        <v>41.274999999999999</v>
      </c>
      <c r="F1158" s="2646" t="s">
        <v>2088</v>
      </c>
      <c r="G1158" s="2646" t="s">
        <v>2088</v>
      </c>
      <c r="H1158" s="2646" t="s">
        <v>2088</v>
      </c>
      <c r="I1158" s="2646" t="s">
        <v>2088</v>
      </c>
      <c r="J1158" s="2646">
        <v>0</v>
      </c>
      <c r="L1158" s="2646" t="s">
        <v>2088</v>
      </c>
    </row>
    <row r="1159" spans="1:12">
      <c r="A1159" s="2647" t="s">
        <v>99</v>
      </c>
      <c r="B1159" s="2647" t="s">
        <v>3255</v>
      </c>
      <c r="C1159" s="2647">
        <v>57.15</v>
      </c>
      <c r="D1159" s="2647">
        <v>117.47499999999999</v>
      </c>
      <c r="E1159" s="2647">
        <v>33.338000000000001</v>
      </c>
      <c r="F1159" s="2647" t="s">
        <v>2088</v>
      </c>
      <c r="G1159" s="2647" t="s">
        <v>2088</v>
      </c>
      <c r="H1159" s="2647" t="s">
        <v>2088</v>
      </c>
      <c r="I1159" s="2647" t="s">
        <v>2088</v>
      </c>
      <c r="J1159" s="2647">
        <v>0</v>
      </c>
      <c r="K1159" s="2648"/>
      <c r="L1159" s="2647" t="s">
        <v>2088</v>
      </c>
    </row>
    <row r="1160" spans="1:12">
      <c r="A1160" s="2646" t="s">
        <v>99</v>
      </c>
      <c r="B1160" s="2646" t="s">
        <v>3256</v>
      </c>
      <c r="C1160" s="2646">
        <v>79.375</v>
      </c>
      <c r="D1160" s="2646">
        <v>146.05000000000001</v>
      </c>
      <c r="E1160" s="2646">
        <v>41.274999999999999</v>
      </c>
      <c r="F1160" s="2646" t="s">
        <v>2088</v>
      </c>
      <c r="G1160" s="2646" t="s">
        <v>2088</v>
      </c>
      <c r="H1160" s="2646" t="s">
        <v>2088</v>
      </c>
      <c r="I1160" s="2646" t="s">
        <v>2088</v>
      </c>
      <c r="J1160" s="2646">
        <v>0</v>
      </c>
      <c r="L1160" s="2646" t="s">
        <v>2088</v>
      </c>
    </row>
    <row r="1161" spans="1:12">
      <c r="A1161" s="2647" t="s">
        <v>99</v>
      </c>
      <c r="B1161" s="2647" t="s">
        <v>3257</v>
      </c>
      <c r="C1161" s="2647">
        <v>79.375</v>
      </c>
      <c r="D1161" s="2647">
        <v>146.05000000000001</v>
      </c>
      <c r="E1161" s="2647">
        <v>41.274999999999999</v>
      </c>
      <c r="F1161" s="2647" t="s">
        <v>2088</v>
      </c>
      <c r="G1161" s="2647" t="s">
        <v>2088</v>
      </c>
      <c r="H1161" s="2647" t="s">
        <v>2088</v>
      </c>
      <c r="I1161" s="2647" t="s">
        <v>2088</v>
      </c>
      <c r="J1161" s="2647">
        <v>0</v>
      </c>
      <c r="K1161" s="2648"/>
      <c r="L1161" s="2647" t="s">
        <v>2088</v>
      </c>
    </row>
    <row r="1162" spans="1:12">
      <c r="A1162" s="2646" t="s">
        <v>99</v>
      </c>
      <c r="B1162" s="2646" t="s">
        <v>3258</v>
      </c>
      <c r="C1162" s="2646">
        <v>76.2</v>
      </c>
      <c r="D1162" s="2646">
        <v>146.05000000000001</v>
      </c>
      <c r="E1162" s="2646">
        <v>41.274999999999999</v>
      </c>
      <c r="F1162" s="2646" t="s">
        <v>2088</v>
      </c>
      <c r="G1162" s="2646" t="s">
        <v>2088</v>
      </c>
      <c r="H1162" s="2646" t="s">
        <v>2088</v>
      </c>
      <c r="I1162" s="2646" t="s">
        <v>2088</v>
      </c>
      <c r="J1162" s="2646">
        <v>0</v>
      </c>
      <c r="L1162" s="2646" t="s">
        <v>2088</v>
      </c>
    </row>
    <row r="1163" spans="1:12">
      <c r="A1163" s="2647" t="s">
        <v>99</v>
      </c>
      <c r="B1163" s="2647" t="s">
        <v>3259</v>
      </c>
      <c r="C1163" s="2647">
        <v>76.2</v>
      </c>
      <c r="D1163" s="2647">
        <v>152.4</v>
      </c>
      <c r="E1163" s="2647">
        <v>41.274999999999999</v>
      </c>
      <c r="F1163" s="2647" t="s">
        <v>2088</v>
      </c>
      <c r="G1163" s="2647" t="s">
        <v>2088</v>
      </c>
      <c r="H1163" s="2647" t="s">
        <v>2088</v>
      </c>
      <c r="I1163" s="2647" t="s">
        <v>2088</v>
      </c>
      <c r="J1163" s="2647">
        <v>0</v>
      </c>
      <c r="K1163" s="2648"/>
      <c r="L1163" s="2647" t="s">
        <v>2088</v>
      </c>
    </row>
    <row r="1164" spans="1:12">
      <c r="A1164" s="2646" t="s">
        <v>99</v>
      </c>
      <c r="B1164" s="2646" t="s">
        <v>3260</v>
      </c>
      <c r="C1164" s="2646">
        <v>88.9</v>
      </c>
      <c r="D1164" s="2646">
        <v>161.92500000000001</v>
      </c>
      <c r="E1164" s="2646">
        <v>53.975000000000001</v>
      </c>
      <c r="F1164" s="2646" t="s">
        <v>2088</v>
      </c>
      <c r="G1164" s="2646" t="s">
        <v>2088</v>
      </c>
      <c r="H1164" s="2646" t="s">
        <v>2088</v>
      </c>
      <c r="I1164" s="2646" t="s">
        <v>2088</v>
      </c>
      <c r="J1164" s="2646">
        <v>4.7949999999999999</v>
      </c>
      <c r="L1164" s="2646" t="s">
        <v>2088</v>
      </c>
    </row>
    <row r="1165" spans="1:12">
      <c r="A1165" s="2647" t="s">
        <v>99</v>
      </c>
      <c r="B1165" s="2647" t="s">
        <v>3261</v>
      </c>
      <c r="C1165" s="2647">
        <v>88.9</v>
      </c>
      <c r="D1165" s="2647">
        <v>161.92500000000001</v>
      </c>
      <c r="E1165" s="2647">
        <v>53.924999999999997</v>
      </c>
      <c r="F1165" s="2647" t="s">
        <v>2088</v>
      </c>
      <c r="G1165" s="2647" t="s">
        <v>2088</v>
      </c>
      <c r="H1165" s="2647" t="s">
        <v>2088</v>
      </c>
      <c r="I1165" s="2647" t="s">
        <v>2088</v>
      </c>
      <c r="J1165" s="2647">
        <v>4.7300000000000004</v>
      </c>
      <c r="K1165" s="2648"/>
      <c r="L1165" s="2647" t="s">
        <v>2088</v>
      </c>
    </row>
    <row r="1166" spans="1:12">
      <c r="A1166" s="2646" t="s">
        <v>99</v>
      </c>
      <c r="B1166" s="2646" t="s">
        <v>3262</v>
      </c>
      <c r="C1166" s="2646">
        <v>74.611999999999995</v>
      </c>
      <c r="D1166" s="2646">
        <v>150</v>
      </c>
      <c r="E1166" s="2646">
        <v>41.274999999999999</v>
      </c>
      <c r="F1166" s="2646" t="s">
        <v>2088</v>
      </c>
      <c r="G1166" s="2646" t="s">
        <v>2088</v>
      </c>
      <c r="H1166" s="2646" t="s">
        <v>2088</v>
      </c>
      <c r="I1166" s="2646" t="s">
        <v>2088</v>
      </c>
      <c r="J1166" s="2646">
        <v>0</v>
      </c>
      <c r="L1166" s="2646" t="s">
        <v>2088</v>
      </c>
    </row>
    <row r="1167" spans="1:12">
      <c r="A1167" s="2647" t="s">
        <v>99</v>
      </c>
      <c r="B1167" s="2647" t="s">
        <v>3263</v>
      </c>
      <c r="C1167" s="2647">
        <v>76.2</v>
      </c>
      <c r="D1167" s="2647">
        <v>161.92500000000001</v>
      </c>
      <c r="E1167" s="2647">
        <v>53.975000000000001</v>
      </c>
      <c r="F1167" s="2647" t="s">
        <v>2088</v>
      </c>
      <c r="G1167" s="2647" t="s">
        <v>2088</v>
      </c>
      <c r="H1167" s="2647" t="s">
        <v>2088</v>
      </c>
      <c r="I1167" s="2647" t="s">
        <v>2088</v>
      </c>
      <c r="J1167" s="2647">
        <v>5.4279999999999999</v>
      </c>
      <c r="K1167" s="2648"/>
      <c r="L1167" s="2647" t="s">
        <v>2088</v>
      </c>
    </row>
    <row r="1168" spans="1:12">
      <c r="A1168" s="2646" t="s">
        <v>99</v>
      </c>
      <c r="B1168" s="2646" t="s">
        <v>3264</v>
      </c>
      <c r="C1168" s="2646">
        <v>82.55</v>
      </c>
      <c r="D1168" s="2646">
        <v>161.92500000000001</v>
      </c>
      <c r="E1168" s="2646">
        <v>53.975000000000001</v>
      </c>
      <c r="F1168" s="2646" t="s">
        <v>2088</v>
      </c>
      <c r="G1168" s="2646" t="s">
        <v>2088</v>
      </c>
      <c r="H1168" s="2646" t="s">
        <v>2088</v>
      </c>
      <c r="I1168" s="2646" t="s">
        <v>2088</v>
      </c>
      <c r="J1168" s="2646">
        <v>0</v>
      </c>
      <c r="L1168" s="2646" t="s">
        <v>2088</v>
      </c>
    </row>
    <row r="1169" spans="1:12">
      <c r="A1169" s="2647" t="s">
        <v>99</v>
      </c>
      <c r="B1169" s="2647" t="s">
        <v>3265</v>
      </c>
      <c r="C1169" s="2647">
        <v>69.849999999999994</v>
      </c>
      <c r="D1169" s="2647">
        <v>140.05000000000001</v>
      </c>
      <c r="E1169" s="2647">
        <v>41.274999999999999</v>
      </c>
      <c r="F1169" s="2647" t="s">
        <v>2088</v>
      </c>
      <c r="G1169" s="2647" t="s">
        <v>2088</v>
      </c>
      <c r="H1169" s="2647" t="s">
        <v>2088</v>
      </c>
      <c r="I1169" s="2647" t="s">
        <v>2088</v>
      </c>
      <c r="J1169" s="2647">
        <v>0</v>
      </c>
      <c r="K1169" s="2648"/>
      <c r="L1169" s="2647" t="s">
        <v>2088</v>
      </c>
    </row>
    <row r="1170" spans="1:12">
      <c r="A1170" s="2646" t="s">
        <v>99</v>
      </c>
      <c r="B1170" s="2646" t="s">
        <v>3266</v>
      </c>
      <c r="C1170" s="2646">
        <v>58.738</v>
      </c>
      <c r="D1170" s="2646">
        <v>127</v>
      </c>
      <c r="E1170" s="2646">
        <v>44.45</v>
      </c>
      <c r="F1170" s="2646" t="s">
        <v>2088</v>
      </c>
      <c r="G1170" s="2646" t="s">
        <v>2088</v>
      </c>
      <c r="H1170" s="2646" t="s">
        <v>2088</v>
      </c>
      <c r="I1170" s="2646" t="s">
        <v>2088</v>
      </c>
      <c r="J1170" s="2646">
        <v>0</v>
      </c>
      <c r="L1170" s="2646" t="s">
        <v>2088</v>
      </c>
    </row>
    <row r="1171" spans="1:12">
      <c r="A1171" s="2647" t="s">
        <v>99</v>
      </c>
      <c r="B1171" s="2647" t="s">
        <v>3267</v>
      </c>
      <c r="C1171" s="2647">
        <v>57.15</v>
      </c>
      <c r="D1171" s="2647">
        <v>127</v>
      </c>
      <c r="E1171" s="2647">
        <v>44.45</v>
      </c>
      <c r="F1171" s="2647" t="s">
        <v>2088</v>
      </c>
      <c r="G1171" s="2647" t="s">
        <v>2088</v>
      </c>
      <c r="H1171" s="2647" t="s">
        <v>2088</v>
      </c>
      <c r="I1171" s="2647" t="s">
        <v>2088</v>
      </c>
      <c r="J1171" s="2647">
        <v>0</v>
      </c>
      <c r="K1171" s="2648"/>
      <c r="L1171" s="2647" t="s">
        <v>2088</v>
      </c>
    </row>
    <row r="1172" spans="1:12">
      <c r="A1172" s="2646" t="s">
        <v>99</v>
      </c>
      <c r="B1172" s="2646" t="s">
        <v>3268</v>
      </c>
      <c r="C1172" s="2646">
        <v>53.975000000000001</v>
      </c>
      <c r="D1172" s="2646">
        <v>127</v>
      </c>
      <c r="E1172" s="2646">
        <v>44.45</v>
      </c>
      <c r="F1172" s="2646" t="s">
        <v>2088</v>
      </c>
      <c r="G1172" s="2646" t="s">
        <v>2088</v>
      </c>
      <c r="H1172" s="2646" t="s">
        <v>2088</v>
      </c>
      <c r="I1172" s="2646" t="s">
        <v>2088</v>
      </c>
      <c r="J1172" s="2646">
        <v>0</v>
      </c>
      <c r="L1172" s="2646" t="s">
        <v>2088</v>
      </c>
    </row>
    <row r="1173" spans="1:12">
      <c r="A1173" s="2647" t="s">
        <v>99</v>
      </c>
      <c r="B1173" s="2647" t="s">
        <v>3269</v>
      </c>
      <c r="C1173" s="2647">
        <v>50.8</v>
      </c>
      <c r="D1173" s="2647">
        <v>127</v>
      </c>
      <c r="E1173" s="2647">
        <v>44.45</v>
      </c>
      <c r="F1173" s="2647" t="s">
        <v>2088</v>
      </c>
      <c r="G1173" s="2647" t="s">
        <v>2088</v>
      </c>
      <c r="H1173" s="2647" t="s">
        <v>2088</v>
      </c>
      <c r="I1173" s="2647" t="s">
        <v>2088</v>
      </c>
      <c r="J1173" s="2647">
        <v>0</v>
      </c>
      <c r="K1173" s="2648"/>
      <c r="L1173" s="2647" t="s">
        <v>2088</v>
      </c>
    </row>
    <row r="1174" spans="1:12">
      <c r="A1174" s="2646" t="s">
        <v>99</v>
      </c>
      <c r="B1174" s="2646" t="s">
        <v>3270</v>
      </c>
      <c r="C1174" s="2646">
        <v>73.025000000000006</v>
      </c>
      <c r="D1174" s="2646">
        <v>149.22499999999999</v>
      </c>
      <c r="E1174" s="2646">
        <v>53.975000000000001</v>
      </c>
      <c r="F1174" s="2646" t="s">
        <v>2088</v>
      </c>
      <c r="G1174" s="2646" t="s">
        <v>2088</v>
      </c>
      <c r="H1174" s="2646" t="s">
        <v>2088</v>
      </c>
      <c r="I1174" s="2646" t="s">
        <v>2088</v>
      </c>
      <c r="J1174" s="2646">
        <v>0</v>
      </c>
      <c r="L1174" s="2646" t="s">
        <v>2088</v>
      </c>
    </row>
    <row r="1175" spans="1:12">
      <c r="A1175" s="2647" t="s">
        <v>99</v>
      </c>
      <c r="B1175" s="2647" t="s">
        <v>3271</v>
      </c>
      <c r="C1175" s="2647">
        <v>69.849999999999994</v>
      </c>
      <c r="D1175" s="2647">
        <v>149.22499999999999</v>
      </c>
      <c r="E1175" s="2647">
        <v>53.975000000000001</v>
      </c>
      <c r="F1175" s="2647" t="s">
        <v>2088</v>
      </c>
      <c r="G1175" s="2647" t="s">
        <v>2088</v>
      </c>
      <c r="H1175" s="2647" t="s">
        <v>2088</v>
      </c>
      <c r="I1175" s="2647" t="s">
        <v>2088</v>
      </c>
      <c r="J1175" s="2647">
        <v>0</v>
      </c>
      <c r="K1175" s="2648"/>
      <c r="L1175" s="2647" t="s">
        <v>2088</v>
      </c>
    </row>
    <row r="1176" spans="1:12">
      <c r="A1176" s="2646" t="s">
        <v>99</v>
      </c>
      <c r="B1176" s="2646" t="s">
        <v>3272</v>
      </c>
      <c r="C1176" s="2646">
        <v>114.3</v>
      </c>
      <c r="D1176" s="2646">
        <v>177.8</v>
      </c>
      <c r="E1176" s="2646">
        <v>41.274999999999999</v>
      </c>
      <c r="F1176" s="2646" t="s">
        <v>2088</v>
      </c>
      <c r="G1176" s="2646" t="s">
        <v>2088</v>
      </c>
      <c r="H1176" s="2646" t="s">
        <v>2088</v>
      </c>
      <c r="I1176" s="2646" t="s">
        <v>2088</v>
      </c>
      <c r="J1176" s="2646">
        <v>0</v>
      </c>
      <c r="L1176" s="2646" t="s">
        <v>2088</v>
      </c>
    </row>
    <row r="1177" spans="1:12">
      <c r="A1177" s="2647" t="s">
        <v>99</v>
      </c>
      <c r="B1177" s="2647" t="s">
        <v>3273</v>
      </c>
      <c r="C1177" s="2647">
        <v>71.438000000000002</v>
      </c>
      <c r="D1177" s="2647">
        <v>130.17500000000001</v>
      </c>
      <c r="E1177" s="2647">
        <v>41.274999999999999</v>
      </c>
      <c r="F1177" s="2647" t="s">
        <v>2088</v>
      </c>
      <c r="G1177" s="2647" t="s">
        <v>2088</v>
      </c>
      <c r="H1177" s="2647" t="s">
        <v>2088</v>
      </c>
      <c r="I1177" s="2647" t="s">
        <v>2088</v>
      </c>
      <c r="J1177" s="2647">
        <v>0</v>
      </c>
      <c r="K1177" s="2648"/>
      <c r="L1177" s="2647" t="s">
        <v>2088</v>
      </c>
    </row>
    <row r="1178" spans="1:12">
      <c r="A1178" s="2646" t="s">
        <v>99</v>
      </c>
      <c r="B1178" s="2646" t="s">
        <v>3274</v>
      </c>
      <c r="C1178" s="2646">
        <v>66.674999999999997</v>
      </c>
      <c r="D1178" s="2646">
        <v>130.17500000000001</v>
      </c>
      <c r="E1178" s="2646">
        <v>41.274999999999999</v>
      </c>
      <c r="F1178" s="2646" t="s">
        <v>2088</v>
      </c>
      <c r="G1178" s="2646" t="s">
        <v>2088</v>
      </c>
      <c r="H1178" s="2646" t="s">
        <v>2088</v>
      </c>
      <c r="I1178" s="2646" t="s">
        <v>2088</v>
      </c>
      <c r="J1178" s="2646">
        <v>0</v>
      </c>
      <c r="L1178" s="2646" t="s">
        <v>2088</v>
      </c>
    </row>
    <row r="1179" spans="1:12">
      <c r="A1179" s="2647" t="s">
        <v>99</v>
      </c>
      <c r="B1179" s="2647" t="s">
        <v>3275</v>
      </c>
      <c r="C1179" s="2647">
        <v>63.5</v>
      </c>
      <c r="D1179" s="2647">
        <v>130.17500000000001</v>
      </c>
      <c r="E1179" s="2647">
        <v>41.274999999999999</v>
      </c>
      <c r="F1179" s="2647" t="s">
        <v>2088</v>
      </c>
      <c r="G1179" s="2647" t="s">
        <v>2088</v>
      </c>
      <c r="H1179" s="2647" t="s">
        <v>2088</v>
      </c>
      <c r="I1179" s="2647" t="s">
        <v>2088</v>
      </c>
      <c r="J1179" s="2647">
        <v>0</v>
      </c>
      <c r="K1179" s="2648"/>
      <c r="L1179" s="2647" t="s">
        <v>2088</v>
      </c>
    </row>
    <row r="1180" spans="1:12">
      <c r="A1180" s="2646" t="s">
        <v>99</v>
      </c>
      <c r="B1180" s="2646" t="s">
        <v>3276</v>
      </c>
      <c r="C1180" s="2646">
        <v>65.087999999999994</v>
      </c>
      <c r="D1180" s="2646">
        <v>135.755</v>
      </c>
      <c r="E1180" s="2646">
        <v>53.975000000000001</v>
      </c>
      <c r="F1180" s="2646" t="s">
        <v>2088</v>
      </c>
      <c r="G1180" s="2646" t="s">
        <v>2088</v>
      </c>
      <c r="H1180" s="2646" t="s">
        <v>2088</v>
      </c>
      <c r="I1180" s="2646" t="s">
        <v>2088</v>
      </c>
      <c r="J1180" s="2646">
        <v>0</v>
      </c>
      <c r="L1180" s="2646" t="s">
        <v>2088</v>
      </c>
    </row>
    <row r="1181" spans="1:12">
      <c r="A1181" s="2647" t="s">
        <v>99</v>
      </c>
      <c r="B1181" s="2647" t="s">
        <v>3277</v>
      </c>
      <c r="C1181" s="2647">
        <v>60.325000000000003</v>
      </c>
      <c r="D1181" s="2647">
        <v>135.755</v>
      </c>
      <c r="E1181" s="2647">
        <v>53.975000000000001</v>
      </c>
      <c r="F1181" s="2647" t="s">
        <v>2088</v>
      </c>
      <c r="G1181" s="2647" t="s">
        <v>2088</v>
      </c>
      <c r="H1181" s="2647" t="s">
        <v>2088</v>
      </c>
      <c r="I1181" s="2647" t="s">
        <v>2088</v>
      </c>
      <c r="J1181" s="2647">
        <v>0</v>
      </c>
      <c r="K1181" s="2648"/>
      <c r="L1181" s="2647" t="s">
        <v>2088</v>
      </c>
    </row>
    <row r="1182" spans="1:12">
      <c r="A1182" s="2646" t="s">
        <v>99</v>
      </c>
      <c r="B1182" s="2646" t="s">
        <v>3278</v>
      </c>
      <c r="C1182" s="2646">
        <v>60.325000000000003</v>
      </c>
      <c r="D1182" s="2646">
        <v>130.17500000000001</v>
      </c>
      <c r="E1182" s="2646">
        <v>41.274999999999999</v>
      </c>
      <c r="F1182" s="2646" t="s">
        <v>2088</v>
      </c>
      <c r="G1182" s="2646" t="s">
        <v>2088</v>
      </c>
      <c r="H1182" s="2646" t="s">
        <v>2088</v>
      </c>
      <c r="I1182" s="2646" t="s">
        <v>2088</v>
      </c>
      <c r="J1182" s="2646">
        <v>0</v>
      </c>
      <c r="L1182" s="2646" t="s">
        <v>2088</v>
      </c>
    </row>
    <row r="1183" spans="1:12">
      <c r="A1183" s="2647" t="s">
        <v>99</v>
      </c>
      <c r="B1183" s="2647" t="s">
        <v>3279</v>
      </c>
      <c r="C1183" s="2647">
        <v>57.15</v>
      </c>
      <c r="D1183" s="2647">
        <v>136.52500000000001</v>
      </c>
      <c r="E1183" s="2647">
        <v>41.274999999999999</v>
      </c>
      <c r="F1183" s="2647" t="s">
        <v>2088</v>
      </c>
      <c r="G1183" s="2647" t="s">
        <v>2088</v>
      </c>
      <c r="H1183" s="2647" t="s">
        <v>2088</v>
      </c>
      <c r="I1183" s="2647" t="s">
        <v>2088</v>
      </c>
      <c r="J1183" s="2647">
        <v>0</v>
      </c>
      <c r="K1183" s="2648"/>
      <c r="L1183" s="2647" t="s">
        <v>2088</v>
      </c>
    </row>
    <row r="1184" spans="1:12">
      <c r="A1184" s="2646" t="s">
        <v>99</v>
      </c>
      <c r="B1184" s="2646" t="s">
        <v>3280</v>
      </c>
      <c r="C1184" s="2646">
        <v>53.975000000000001</v>
      </c>
      <c r="D1184" s="2646">
        <v>127</v>
      </c>
      <c r="E1184" s="2646">
        <v>50.8</v>
      </c>
      <c r="F1184" s="2646" t="s">
        <v>2088</v>
      </c>
      <c r="G1184" s="2646" t="s">
        <v>2088</v>
      </c>
      <c r="H1184" s="2646" t="s">
        <v>2088</v>
      </c>
      <c r="I1184" s="2646" t="s">
        <v>2088</v>
      </c>
      <c r="J1184" s="2646">
        <v>0</v>
      </c>
      <c r="L1184" s="2646" t="s">
        <v>2088</v>
      </c>
    </row>
    <row r="1185" spans="1:12">
      <c r="A1185" s="2647" t="s">
        <v>99</v>
      </c>
      <c r="B1185" s="2647" t="s">
        <v>3281</v>
      </c>
      <c r="C1185" s="2647">
        <v>53.975000000000001</v>
      </c>
      <c r="D1185" s="2647">
        <v>120.65</v>
      </c>
      <c r="E1185" s="2647">
        <v>41.274999999999999</v>
      </c>
      <c r="F1185" s="2647" t="s">
        <v>2088</v>
      </c>
      <c r="G1185" s="2647" t="s">
        <v>2088</v>
      </c>
      <c r="H1185" s="2647" t="s">
        <v>2088</v>
      </c>
      <c r="I1185" s="2647" t="s">
        <v>2088</v>
      </c>
      <c r="J1185" s="2647">
        <v>0</v>
      </c>
      <c r="K1185" s="2648"/>
      <c r="L1185" s="2647" t="s">
        <v>2088</v>
      </c>
    </row>
    <row r="1186" spans="1:12">
      <c r="A1186" s="2646" t="s">
        <v>99</v>
      </c>
      <c r="B1186" s="2646" t="s">
        <v>3282</v>
      </c>
      <c r="C1186" s="2646">
        <v>57.15</v>
      </c>
      <c r="D1186" s="2646">
        <v>149.22499999999999</v>
      </c>
      <c r="E1186" s="2646">
        <v>53.975000000000001</v>
      </c>
      <c r="F1186" s="2646" t="s">
        <v>2088</v>
      </c>
      <c r="G1186" s="2646" t="s">
        <v>2088</v>
      </c>
      <c r="H1186" s="2646" t="s">
        <v>2088</v>
      </c>
      <c r="I1186" s="2646" t="s">
        <v>2088</v>
      </c>
      <c r="J1186" s="2646">
        <v>0</v>
      </c>
      <c r="L1186" s="2646" t="s">
        <v>2088</v>
      </c>
    </row>
    <row r="1187" spans="1:12">
      <c r="A1187" s="2647" t="s">
        <v>99</v>
      </c>
      <c r="B1187" s="2647" t="s">
        <v>3283</v>
      </c>
      <c r="C1187" s="2647">
        <v>85</v>
      </c>
      <c r="D1187" s="2647">
        <v>150</v>
      </c>
      <c r="E1187" s="2647">
        <v>35.991999999999997</v>
      </c>
      <c r="F1187" s="2647" t="s">
        <v>2088</v>
      </c>
      <c r="G1187" s="2647" t="s">
        <v>2088</v>
      </c>
      <c r="H1187" s="2647" t="s">
        <v>2088</v>
      </c>
      <c r="I1187" s="2647" t="s">
        <v>2088</v>
      </c>
      <c r="J1187" s="2647">
        <v>0</v>
      </c>
      <c r="K1187" s="2648"/>
      <c r="L1187" s="2647" t="s">
        <v>2088</v>
      </c>
    </row>
    <row r="1188" spans="1:12">
      <c r="A1188" s="2646" t="s">
        <v>99</v>
      </c>
      <c r="B1188" s="2646" t="s">
        <v>3284</v>
      </c>
      <c r="C1188" s="2646">
        <v>92.075000000000003</v>
      </c>
      <c r="D1188" s="2646">
        <v>150</v>
      </c>
      <c r="E1188" s="2646">
        <v>35.991999999999997</v>
      </c>
      <c r="F1188" s="2646" t="s">
        <v>2088</v>
      </c>
      <c r="G1188" s="2646" t="s">
        <v>2088</v>
      </c>
      <c r="H1188" s="2646" t="s">
        <v>2088</v>
      </c>
      <c r="I1188" s="2646" t="s">
        <v>2088</v>
      </c>
      <c r="J1188" s="2646">
        <v>2.37</v>
      </c>
      <c r="L1188" s="2646" t="s">
        <v>2088</v>
      </c>
    </row>
    <row r="1189" spans="1:12">
      <c r="A1189" s="2647" t="s">
        <v>99</v>
      </c>
      <c r="B1189" s="2647" t="s">
        <v>3285</v>
      </c>
      <c r="C1189" s="2647">
        <v>92.075000000000003</v>
      </c>
      <c r="D1189" s="2647">
        <v>152.4</v>
      </c>
      <c r="E1189" s="2647">
        <v>39.688000000000002</v>
      </c>
      <c r="F1189" s="2647" t="s">
        <v>2088</v>
      </c>
      <c r="G1189" s="2647" t="s">
        <v>2088</v>
      </c>
      <c r="H1189" s="2647" t="s">
        <v>2088</v>
      </c>
      <c r="I1189" s="2647" t="s">
        <v>2088</v>
      </c>
      <c r="J1189" s="2647">
        <v>2.67</v>
      </c>
      <c r="K1189" s="2648"/>
      <c r="L1189" s="2647" t="s">
        <v>2088</v>
      </c>
    </row>
    <row r="1190" spans="1:12">
      <c r="A1190" s="2646" t="s">
        <v>99</v>
      </c>
      <c r="B1190" s="2646" t="s">
        <v>3286</v>
      </c>
      <c r="C1190" s="2646">
        <v>92.075000000000003</v>
      </c>
      <c r="D1190" s="2646">
        <v>147.63800000000001</v>
      </c>
      <c r="E1190" s="2646">
        <v>35.716999999999999</v>
      </c>
      <c r="F1190" s="2646" t="s">
        <v>2088</v>
      </c>
      <c r="G1190" s="2646" t="s">
        <v>2088</v>
      </c>
      <c r="H1190" s="2646" t="s">
        <v>2088</v>
      </c>
      <c r="I1190" s="2646" t="s">
        <v>2088</v>
      </c>
      <c r="J1190" s="2646">
        <v>0</v>
      </c>
      <c r="L1190" s="2646" t="s">
        <v>2088</v>
      </c>
    </row>
    <row r="1191" spans="1:12">
      <c r="A1191" s="2647" t="s">
        <v>99</v>
      </c>
      <c r="B1191" s="2647" t="s">
        <v>3287</v>
      </c>
      <c r="C1191" s="2647">
        <v>92.075000000000003</v>
      </c>
      <c r="D1191" s="2647">
        <v>152.4</v>
      </c>
      <c r="E1191" s="2647">
        <v>82.55</v>
      </c>
      <c r="F1191" s="2647" t="s">
        <v>2088</v>
      </c>
      <c r="G1191" s="2647" t="s">
        <v>2088</v>
      </c>
      <c r="H1191" s="2647" t="s">
        <v>2088</v>
      </c>
      <c r="I1191" s="2647" t="s">
        <v>2088</v>
      </c>
      <c r="J1191" s="2647">
        <v>5.74</v>
      </c>
      <c r="K1191" s="2648"/>
      <c r="L1191" s="2647" t="s">
        <v>2088</v>
      </c>
    </row>
    <row r="1192" spans="1:12">
      <c r="A1192" s="2646" t="s">
        <v>99</v>
      </c>
      <c r="B1192" s="2646" t="s">
        <v>3288</v>
      </c>
      <c r="C1192" s="2646">
        <v>92.75</v>
      </c>
      <c r="D1192" s="2646">
        <v>152.4</v>
      </c>
      <c r="E1192" s="2646">
        <v>39.688000000000002</v>
      </c>
      <c r="F1192" s="2646" t="s">
        <v>2088</v>
      </c>
      <c r="G1192" s="2646" t="s">
        <v>2088</v>
      </c>
      <c r="H1192" s="2646" t="s">
        <v>2088</v>
      </c>
      <c r="I1192" s="2646" t="s">
        <v>2088</v>
      </c>
      <c r="J1192" s="2646">
        <v>0</v>
      </c>
      <c r="L1192" s="2646" t="s">
        <v>2088</v>
      </c>
    </row>
    <row r="1193" spans="1:12">
      <c r="A1193" s="2647" t="s">
        <v>99</v>
      </c>
      <c r="B1193" s="2647" t="s">
        <v>3289</v>
      </c>
      <c r="C1193" s="2647">
        <v>92.075000000000003</v>
      </c>
      <c r="D1193" s="2647">
        <v>152.4</v>
      </c>
      <c r="E1193" s="2647">
        <v>39.688000000000002</v>
      </c>
      <c r="F1193" s="2647" t="s">
        <v>2088</v>
      </c>
      <c r="G1193" s="2647" t="s">
        <v>2088</v>
      </c>
      <c r="H1193" s="2647" t="s">
        <v>2088</v>
      </c>
      <c r="I1193" s="2647" t="s">
        <v>2088</v>
      </c>
      <c r="J1193" s="2647">
        <v>0</v>
      </c>
      <c r="K1193" s="2648"/>
      <c r="L1193" s="2647" t="s">
        <v>2088</v>
      </c>
    </row>
    <row r="1194" spans="1:12">
      <c r="A1194" s="2646" t="s">
        <v>99</v>
      </c>
      <c r="B1194" s="2646" t="s">
        <v>3290</v>
      </c>
      <c r="C1194" s="2646">
        <v>85.724999999999994</v>
      </c>
      <c r="D1194" s="2646">
        <v>152.4</v>
      </c>
      <c r="E1194" s="2646">
        <v>39.688000000000002</v>
      </c>
      <c r="F1194" s="2646" t="s">
        <v>2088</v>
      </c>
      <c r="G1194" s="2646" t="s">
        <v>2088</v>
      </c>
      <c r="H1194" s="2646" t="s">
        <v>2088</v>
      </c>
      <c r="I1194" s="2646" t="s">
        <v>2088</v>
      </c>
      <c r="J1194" s="2646">
        <v>0</v>
      </c>
      <c r="L1194" s="2646" t="s">
        <v>2088</v>
      </c>
    </row>
    <row r="1195" spans="1:12">
      <c r="A1195" s="2647" t="s">
        <v>99</v>
      </c>
      <c r="B1195" s="2647" t="s">
        <v>3291</v>
      </c>
      <c r="C1195" s="2647">
        <v>82.55</v>
      </c>
      <c r="D1195" s="2647">
        <v>152.4</v>
      </c>
      <c r="E1195" s="2647">
        <v>39.688000000000002</v>
      </c>
      <c r="F1195" s="2647" t="s">
        <v>2088</v>
      </c>
      <c r="G1195" s="2647" t="s">
        <v>2088</v>
      </c>
      <c r="H1195" s="2647" t="s">
        <v>2088</v>
      </c>
      <c r="I1195" s="2647" t="s">
        <v>2088</v>
      </c>
      <c r="J1195" s="2647">
        <v>0</v>
      </c>
      <c r="K1195" s="2648"/>
      <c r="L1195" s="2647" t="s">
        <v>2088</v>
      </c>
    </row>
    <row r="1196" spans="1:12">
      <c r="A1196" s="2646" t="s">
        <v>99</v>
      </c>
      <c r="B1196" s="2646" t="s">
        <v>3292</v>
      </c>
      <c r="C1196" s="2646">
        <v>95.25</v>
      </c>
      <c r="D1196" s="2646">
        <v>147.63800000000001</v>
      </c>
      <c r="E1196" s="2646">
        <v>35.716999999999999</v>
      </c>
      <c r="F1196" s="2646" t="s">
        <v>2088</v>
      </c>
      <c r="G1196" s="2646" t="s">
        <v>2088</v>
      </c>
      <c r="H1196" s="2646" t="s">
        <v>2088</v>
      </c>
      <c r="I1196" s="2646" t="s">
        <v>2088</v>
      </c>
      <c r="J1196" s="2646">
        <v>0</v>
      </c>
      <c r="L1196" s="2646" t="s">
        <v>2088</v>
      </c>
    </row>
    <row r="1197" spans="1:12">
      <c r="A1197" s="2647" t="s">
        <v>99</v>
      </c>
      <c r="B1197" s="2647" t="s">
        <v>3293</v>
      </c>
      <c r="C1197" s="2647">
        <v>95.25</v>
      </c>
      <c r="D1197" s="2647">
        <v>152</v>
      </c>
      <c r="E1197" s="2647">
        <v>39.688000000000002</v>
      </c>
      <c r="F1197" s="2647" t="s">
        <v>2088</v>
      </c>
      <c r="G1197" s="2647" t="s">
        <v>2088</v>
      </c>
      <c r="H1197" s="2647" t="s">
        <v>2088</v>
      </c>
      <c r="I1197" s="2647" t="s">
        <v>2088</v>
      </c>
      <c r="J1197" s="2647">
        <v>2.54</v>
      </c>
      <c r="K1197" s="2648"/>
      <c r="L1197" s="2647" t="s">
        <v>2088</v>
      </c>
    </row>
    <row r="1198" spans="1:12">
      <c r="A1198" s="2646" t="s">
        <v>99</v>
      </c>
      <c r="B1198" s="2646" t="s">
        <v>3294</v>
      </c>
      <c r="C1198" s="2646">
        <v>95.25</v>
      </c>
      <c r="D1198" s="2646">
        <v>147.63800000000001</v>
      </c>
      <c r="E1198" s="2646">
        <v>35.716999999999999</v>
      </c>
      <c r="F1198" s="2646" t="s">
        <v>2088</v>
      </c>
      <c r="G1198" s="2646" t="s">
        <v>2088</v>
      </c>
      <c r="H1198" s="2646" t="s">
        <v>2088</v>
      </c>
      <c r="I1198" s="2646" t="s">
        <v>2088</v>
      </c>
      <c r="J1198" s="2646">
        <v>0</v>
      </c>
      <c r="L1198" s="2646" t="s">
        <v>2088</v>
      </c>
    </row>
    <row r="1199" spans="1:12">
      <c r="A1199" s="2647" t="s">
        <v>99</v>
      </c>
      <c r="B1199" s="2647" t="s">
        <v>3295</v>
      </c>
      <c r="C1199" s="2647">
        <v>95.25</v>
      </c>
      <c r="D1199" s="2647">
        <v>152.4</v>
      </c>
      <c r="E1199" s="2647">
        <v>39.688000000000002</v>
      </c>
      <c r="F1199" s="2647" t="s">
        <v>2088</v>
      </c>
      <c r="G1199" s="2647" t="s">
        <v>2088</v>
      </c>
      <c r="H1199" s="2647" t="s">
        <v>2088</v>
      </c>
      <c r="I1199" s="2647" t="s">
        <v>2088</v>
      </c>
      <c r="J1199" s="2647">
        <v>0</v>
      </c>
      <c r="K1199" s="2648"/>
      <c r="L1199" s="2647" t="s">
        <v>2088</v>
      </c>
    </row>
    <row r="1200" spans="1:12">
      <c r="A1200" s="2646" t="s">
        <v>99</v>
      </c>
      <c r="B1200" s="2646" t="s">
        <v>3296</v>
      </c>
      <c r="C1200" s="2646">
        <v>88.9</v>
      </c>
      <c r="D1200" s="2646">
        <v>152.4</v>
      </c>
      <c r="E1200" s="2646">
        <v>39.688000000000002</v>
      </c>
      <c r="F1200" s="2646" t="s">
        <v>2088</v>
      </c>
      <c r="G1200" s="2646" t="s">
        <v>2088</v>
      </c>
      <c r="H1200" s="2646" t="s">
        <v>2088</v>
      </c>
      <c r="I1200" s="2646" t="s">
        <v>2088</v>
      </c>
      <c r="J1200" s="2646">
        <v>0</v>
      </c>
      <c r="L1200" s="2646" t="s">
        <v>2088</v>
      </c>
    </row>
    <row r="1201" spans="1:12">
      <c r="A1201" s="2647" t="s">
        <v>99</v>
      </c>
      <c r="B1201" s="2647" t="s">
        <v>3297</v>
      </c>
      <c r="C1201" s="2647">
        <v>88.9</v>
      </c>
      <c r="D1201" s="2647">
        <v>147.63800000000001</v>
      </c>
      <c r="E1201" s="2647">
        <v>35.716999999999999</v>
      </c>
      <c r="F1201" s="2647" t="s">
        <v>2088</v>
      </c>
      <c r="G1201" s="2647" t="s">
        <v>2088</v>
      </c>
      <c r="H1201" s="2647" t="s">
        <v>2088</v>
      </c>
      <c r="I1201" s="2647" t="s">
        <v>2088</v>
      </c>
      <c r="J1201" s="2647">
        <v>0</v>
      </c>
      <c r="K1201" s="2648"/>
      <c r="L1201" s="2647" t="s">
        <v>2088</v>
      </c>
    </row>
    <row r="1202" spans="1:12">
      <c r="A1202" s="2646" t="s">
        <v>99</v>
      </c>
      <c r="B1202" s="2646" t="s">
        <v>3298</v>
      </c>
      <c r="C1202" s="2646">
        <v>88.9</v>
      </c>
      <c r="D1202" s="2646">
        <v>152.4</v>
      </c>
      <c r="E1202" s="2646">
        <v>39.688000000000002</v>
      </c>
      <c r="F1202" s="2646" t="s">
        <v>2088</v>
      </c>
      <c r="G1202" s="2646" t="s">
        <v>2088</v>
      </c>
      <c r="H1202" s="2646" t="s">
        <v>2088</v>
      </c>
      <c r="I1202" s="2646" t="s">
        <v>2088</v>
      </c>
      <c r="J1202" s="2646">
        <v>0</v>
      </c>
      <c r="L1202" s="2646" t="s">
        <v>2088</v>
      </c>
    </row>
    <row r="1203" spans="1:12">
      <c r="A1203" s="2647" t="s">
        <v>99</v>
      </c>
      <c r="B1203" s="2647" t="s">
        <v>3299</v>
      </c>
      <c r="C1203" s="2647">
        <v>76.2</v>
      </c>
      <c r="D1203" s="2647">
        <v>152.4</v>
      </c>
      <c r="E1203" s="2647">
        <v>39.688000000000002</v>
      </c>
      <c r="F1203" s="2647" t="s">
        <v>2088</v>
      </c>
      <c r="G1203" s="2647" t="s">
        <v>2088</v>
      </c>
      <c r="H1203" s="2647" t="s">
        <v>2088</v>
      </c>
      <c r="I1203" s="2647" t="s">
        <v>2088</v>
      </c>
      <c r="J1203" s="2647">
        <v>0</v>
      </c>
      <c r="K1203" s="2648"/>
      <c r="L1203" s="2647" t="s">
        <v>2088</v>
      </c>
    </row>
    <row r="1204" spans="1:12">
      <c r="A1204" s="2646" t="s">
        <v>99</v>
      </c>
      <c r="B1204" s="2646" t="s">
        <v>3300</v>
      </c>
      <c r="C1204" s="2646">
        <v>82.55</v>
      </c>
      <c r="D1204" s="2646">
        <v>139.99199999999999</v>
      </c>
      <c r="E1204" s="2646">
        <v>36.512</v>
      </c>
      <c r="F1204" s="2646" t="s">
        <v>2088</v>
      </c>
      <c r="G1204" s="2646" t="s">
        <v>2088</v>
      </c>
      <c r="H1204" s="2646" t="s">
        <v>2088</v>
      </c>
      <c r="I1204" s="2646" t="s">
        <v>2088</v>
      </c>
      <c r="J1204" s="2646">
        <v>0</v>
      </c>
      <c r="L1204" s="2646" t="s">
        <v>2088</v>
      </c>
    </row>
    <row r="1205" spans="1:12">
      <c r="A1205" s="2647" t="s">
        <v>99</v>
      </c>
      <c r="B1205" s="2647" t="s">
        <v>3301</v>
      </c>
      <c r="C1205" s="2647">
        <v>80.962000000000003</v>
      </c>
      <c r="D1205" s="2647">
        <v>139.69999999999999</v>
      </c>
      <c r="E1205" s="2647">
        <v>36.512</v>
      </c>
      <c r="F1205" s="2647" t="s">
        <v>2088</v>
      </c>
      <c r="G1205" s="2647" t="s">
        <v>2088</v>
      </c>
      <c r="H1205" s="2647" t="s">
        <v>2088</v>
      </c>
      <c r="I1205" s="2647" t="s">
        <v>2088</v>
      </c>
      <c r="J1205" s="2647">
        <v>0</v>
      </c>
      <c r="K1205" s="2648"/>
      <c r="L1205" s="2647" t="s">
        <v>2088</v>
      </c>
    </row>
    <row r="1206" spans="1:12">
      <c r="A1206" s="2646" t="s">
        <v>99</v>
      </c>
      <c r="B1206" s="2646" t="s">
        <v>3302</v>
      </c>
      <c r="C1206" s="2646">
        <v>80.962000000000003</v>
      </c>
      <c r="D1206" s="2646">
        <v>139.99199999999999</v>
      </c>
      <c r="E1206" s="2646">
        <v>36.512</v>
      </c>
      <c r="F1206" s="2646" t="s">
        <v>2088</v>
      </c>
      <c r="G1206" s="2646" t="s">
        <v>2088</v>
      </c>
      <c r="H1206" s="2646" t="s">
        <v>2088</v>
      </c>
      <c r="I1206" s="2646" t="s">
        <v>2088</v>
      </c>
      <c r="J1206" s="2646">
        <v>0</v>
      </c>
      <c r="L1206" s="2646" t="s">
        <v>2088</v>
      </c>
    </row>
    <row r="1207" spans="1:12">
      <c r="A1207" s="2647" t="s">
        <v>99</v>
      </c>
      <c r="B1207" s="2647" t="s">
        <v>3303</v>
      </c>
      <c r="C1207" s="2647">
        <v>82.55</v>
      </c>
      <c r="D1207" s="2647">
        <v>139.69999999999999</v>
      </c>
      <c r="E1207" s="2647">
        <v>36.512</v>
      </c>
      <c r="F1207" s="2647" t="s">
        <v>2088</v>
      </c>
      <c r="G1207" s="2647" t="s">
        <v>2088</v>
      </c>
      <c r="H1207" s="2647" t="s">
        <v>2088</v>
      </c>
      <c r="I1207" s="2647" t="s">
        <v>2088</v>
      </c>
      <c r="J1207" s="2647">
        <v>0</v>
      </c>
      <c r="K1207" s="2648"/>
      <c r="L1207" s="2647" t="s">
        <v>2088</v>
      </c>
    </row>
    <row r="1208" spans="1:12">
      <c r="A1208" s="2646" t="s">
        <v>99</v>
      </c>
      <c r="B1208" s="2646" t="s">
        <v>3304</v>
      </c>
      <c r="C1208" s="2646">
        <v>82.55</v>
      </c>
      <c r="D1208" s="2646">
        <v>139.99199999999999</v>
      </c>
      <c r="E1208" s="2646">
        <v>14.288</v>
      </c>
      <c r="F1208" s="2646" t="s">
        <v>2088</v>
      </c>
      <c r="G1208" s="2646" t="s">
        <v>2088</v>
      </c>
      <c r="H1208" s="2646" t="s">
        <v>2088</v>
      </c>
      <c r="I1208" s="2646" t="s">
        <v>2088</v>
      </c>
      <c r="J1208" s="2646">
        <v>0</v>
      </c>
      <c r="L1208" s="2646" t="s">
        <v>2088</v>
      </c>
    </row>
    <row r="1209" spans="1:12">
      <c r="A1209" s="2647" t="s">
        <v>99</v>
      </c>
      <c r="B1209" s="2647" t="s">
        <v>3305</v>
      </c>
      <c r="C1209" s="2647">
        <v>82.55</v>
      </c>
      <c r="D1209" s="2647">
        <v>139.99199999999999</v>
      </c>
      <c r="E1209" s="2647">
        <v>36.512</v>
      </c>
      <c r="F1209" s="2647" t="s">
        <v>2088</v>
      </c>
      <c r="G1209" s="2647" t="s">
        <v>2088</v>
      </c>
      <c r="H1209" s="2647" t="s">
        <v>2088</v>
      </c>
      <c r="I1209" s="2647" t="s">
        <v>2088</v>
      </c>
      <c r="J1209" s="2647">
        <v>0</v>
      </c>
      <c r="K1209" s="2648"/>
      <c r="L1209" s="2647" t="s">
        <v>2088</v>
      </c>
    </row>
    <row r="1210" spans="1:12">
      <c r="A1210" s="2646" t="s">
        <v>99</v>
      </c>
      <c r="B1210" s="2646" t="s">
        <v>3306</v>
      </c>
      <c r="C1210" s="2646">
        <v>77.787999999999997</v>
      </c>
      <c r="D1210" s="2646">
        <v>135.733</v>
      </c>
      <c r="E1210" s="2646">
        <v>44.45</v>
      </c>
      <c r="F1210" s="2646" t="s">
        <v>2088</v>
      </c>
      <c r="G1210" s="2646" t="s">
        <v>2088</v>
      </c>
      <c r="H1210" s="2646" t="s">
        <v>2088</v>
      </c>
      <c r="I1210" s="2646" t="s">
        <v>2088</v>
      </c>
      <c r="J1210" s="2646">
        <v>0</v>
      </c>
      <c r="L1210" s="2646" t="s">
        <v>2088</v>
      </c>
    </row>
    <row r="1211" spans="1:12">
      <c r="A1211" s="2647" t="s">
        <v>99</v>
      </c>
      <c r="B1211" s="2647" t="s">
        <v>3307</v>
      </c>
      <c r="C1211" s="2647">
        <v>74.611999999999995</v>
      </c>
      <c r="D1211" s="2647">
        <v>139.99199999999999</v>
      </c>
      <c r="E1211" s="2647">
        <v>36.512</v>
      </c>
      <c r="F1211" s="2647" t="s">
        <v>2088</v>
      </c>
      <c r="G1211" s="2647" t="s">
        <v>2088</v>
      </c>
      <c r="H1211" s="2647" t="s">
        <v>2088</v>
      </c>
      <c r="I1211" s="2647" t="s">
        <v>2088</v>
      </c>
      <c r="J1211" s="2647">
        <v>0</v>
      </c>
      <c r="K1211" s="2648"/>
      <c r="L1211" s="2647" t="s">
        <v>2088</v>
      </c>
    </row>
    <row r="1212" spans="1:12">
      <c r="A1212" s="2646" t="s">
        <v>99</v>
      </c>
      <c r="B1212" s="2646" t="s">
        <v>3308</v>
      </c>
      <c r="C1212" s="2646">
        <v>76.2</v>
      </c>
      <c r="D1212" s="2646">
        <v>135.733</v>
      </c>
      <c r="E1212" s="2646">
        <v>44.45</v>
      </c>
      <c r="F1212" s="2646" t="s">
        <v>2088</v>
      </c>
      <c r="G1212" s="2646" t="s">
        <v>2088</v>
      </c>
      <c r="H1212" s="2646" t="s">
        <v>2088</v>
      </c>
      <c r="I1212" s="2646" t="s">
        <v>2088</v>
      </c>
      <c r="J1212" s="2646">
        <v>0</v>
      </c>
      <c r="L1212" s="2646" t="s">
        <v>2088</v>
      </c>
    </row>
    <row r="1213" spans="1:12">
      <c r="A1213" s="2647" t="s">
        <v>99</v>
      </c>
      <c r="B1213" s="2647" t="s">
        <v>3309</v>
      </c>
      <c r="C1213" s="2647">
        <v>73.025000000000006</v>
      </c>
      <c r="D1213" s="2647">
        <v>139.69999999999999</v>
      </c>
      <c r="E1213" s="2647">
        <v>36.512</v>
      </c>
      <c r="F1213" s="2647" t="s">
        <v>2088</v>
      </c>
      <c r="G1213" s="2647" t="s">
        <v>2088</v>
      </c>
      <c r="H1213" s="2647" t="s">
        <v>2088</v>
      </c>
      <c r="I1213" s="2647" t="s">
        <v>2088</v>
      </c>
      <c r="J1213" s="2647">
        <v>0</v>
      </c>
      <c r="K1213" s="2648"/>
      <c r="L1213" s="2647" t="s">
        <v>2088</v>
      </c>
    </row>
    <row r="1214" spans="1:12">
      <c r="A1214" s="2646" t="s">
        <v>99</v>
      </c>
      <c r="B1214" s="2646" t="s">
        <v>3310</v>
      </c>
      <c r="C1214" s="2646">
        <v>76.2</v>
      </c>
      <c r="D1214" s="2646">
        <v>139.99199999999999</v>
      </c>
      <c r="E1214" s="2646">
        <v>36.512</v>
      </c>
      <c r="F1214" s="2646" t="s">
        <v>2088</v>
      </c>
      <c r="G1214" s="2646" t="s">
        <v>2088</v>
      </c>
      <c r="H1214" s="2646" t="s">
        <v>2088</v>
      </c>
      <c r="I1214" s="2646" t="s">
        <v>2088</v>
      </c>
      <c r="J1214" s="2646">
        <v>0</v>
      </c>
      <c r="L1214" s="2646" t="s">
        <v>2088</v>
      </c>
    </row>
    <row r="1215" spans="1:12">
      <c r="A1215" s="2647" t="s">
        <v>99</v>
      </c>
      <c r="B1215" s="2647" t="s">
        <v>3311</v>
      </c>
      <c r="C1215" s="2647">
        <v>76.2</v>
      </c>
      <c r="D1215" s="2647">
        <v>139.69999999999999</v>
      </c>
      <c r="E1215" s="2647">
        <v>36.512</v>
      </c>
      <c r="F1215" s="2647" t="s">
        <v>2088</v>
      </c>
      <c r="G1215" s="2647" t="s">
        <v>2088</v>
      </c>
      <c r="H1215" s="2647" t="s">
        <v>2088</v>
      </c>
      <c r="I1215" s="2647" t="s">
        <v>2088</v>
      </c>
      <c r="J1215" s="2647">
        <v>0</v>
      </c>
      <c r="K1215" s="2648"/>
      <c r="L1215" s="2647" t="s">
        <v>2088</v>
      </c>
    </row>
    <row r="1216" spans="1:12">
      <c r="A1216" s="2646" t="s">
        <v>99</v>
      </c>
      <c r="B1216" s="2646" t="s">
        <v>3312</v>
      </c>
      <c r="C1216" s="2646">
        <v>76.2</v>
      </c>
      <c r="D1216" s="2646">
        <v>139.99199999999999</v>
      </c>
      <c r="E1216" s="2646">
        <v>36.512</v>
      </c>
      <c r="F1216" s="2646" t="s">
        <v>2088</v>
      </c>
      <c r="G1216" s="2646" t="s">
        <v>2088</v>
      </c>
      <c r="H1216" s="2646" t="s">
        <v>2088</v>
      </c>
      <c r="I1216" s="2646" t="s">
        <v>2088</v>
      </c>
      <c r="J1216" s="2646">
        <v>0</v>
      </c>
      <c r="L1216" s="2646" t="s">
        <v>2088</v>
      </c>
    </row>
    <row r="1217" spans="1:12">
      <c r="A1217" s="2647" t="s">
        <v>99</v>
      </c>
      <c r="B1217" s="2647" t="s">
        <v>3313</v>
      </c>
      <c r="C1217" s="2647">
        <v>41</v>
      </c>
      <c r="D1217" s="2647">
        <v>68</v>
      </c>
      <c r="E1217" s="2647">
        <v>17.5</v>
      </c>
      <c r="F1217" s="2647" t="s">
        <v>2088</v>
      </c>
      <c r="G1217" s="2647" t="s">
        <v>2088</v>
      </c>
      <c r="H1217" s="2647" t="s">
        <v>2088</v>
      </c>
      <c r="I1217" s="2647" t="s">
        <v>2088</v>
      </c>
      <c r="J1217" s="2647">
        <v>0.24</v>
      </c>
      <c r="K1217" s="2648"/>
      <c r="L1217" s="2647" t="s">
        <v>2088</v>
      </c>
    </row>
    <row r="1218" spans="1:12">
      <c r="A1218" s="2646" t="s">
        <v>99</v>
      </c>
      <c r="B1218" s="2646" t="s">
        <v>3314</v>
      </c>
      <c r="C1218" s="2646">
        <v>68.262</v>
      </c>
      <c r="D1218" s="2646">
        <v>127</v>
      </c>
      <c r="E1218" s="2646">
        <v>36.512</v>
      </c>
      <c r="F1218" s="2646" t="s">
        <v>2088</v>
      </c>
      <c r="G1218" s="2646" t="s">
        <v>2088</v>
      </c>
      <c r="H1218" s="2646" t="s">
        <v>2088</v>
      </c>
      <c r="I1218" s="2646" t="s">
        <v>2088</v>
      </c>
      <c r="J1218" s="2646">
        <v>0</v>
      </c>
      <c r="L1218" s="2646" t="s">
        <v>2088</v>
      </c>
    </row>
    <row r="1219" spans="1:12">
      <c r="A1219" s="2647" t="s">
        <v>99</v>
      </c>
      <c r="B1219" s="2647" t="s">
        <v>3315</v>
      </c>
      <c r="C1219" s="2647">
        <v>64.962999999999994</v>
      </c>
      <c r="D1219" s="2647">
        <v>127</v>
      </c>
      <c r="E1219" s="2647">
        <v>36.512</v>
      </c>
      <c r="F1219" s="2647" t="s">
        <v>2088</v>
      </c>
      <c r="G1219" s="2647" t="s">
        <v>2088</v>
      </c>
      <c r="H1219" s="2647" t="s">
        <v>2088</v>
      </c>
      <c r="I1219" s="2647" t="s">
        <v>2088</v>
      </c>
      <c r="J1219" s="2647">
        <v>0</v>
      </c>
      <c r="K1219" s="2648"/>
      <c r="L1219" s="2647" t="s">
        <v>2088</v>
      </c>
    </row>
    <row r="1220" spans="1:12">
      <c r="A1220" s="2646" t="s">
        <v>99</v>
      </c>
      <c r="B1220" s="2646" t="s">
        <v>3316</v>
      </c>
      <c r="C1220" s="2646">
        <v>73.025000000000006</v>
      </c>
      <c r="D1220" s="2646">
        <v>127</v>
      </c>
      <c r="E1220" s="2646">
        <v>36.512</v>
      </c>
      <c r="F1220" s="2646" t="s">
        <v>2088</v>
      </c>
      <c r="G1220" s="2646" t="s">
        <v>2088</v>
      </c>
      <c r="H1220" s="2646" t="s">
        <v>2088</v>
      </c>
      <c r="I1220" s="2646" t="s">
        <v>2088</v>
      </c>
      <c r="J1220" s="2646">
        <v>0</v>
      </c>
      <c r="L1220" s="2646" t="s">
        <v>2088</v>
      </c>
    </row>
    <row r="1221" spans="1:12">
      <c r="A1221" s="2647" t="s">
        <v>99</v>
      </c>
      <c r="B1221" s="2647" t="s">
        <v>3317</v>
      </c>
      <c r="C1221" s="2647">
        <v>73.025000000000006</v>
      </c>
      <c r="D1221" s="2647">
        <v>127</v>
      </c>
      <c r="E1221" s="2647">
        <v>36.512999999999998</v>
      </c>
      <c r="F1221" s="2647" t="s">
        <v>2088</v>
      </c>
      <c r="G1221" s="2647" t="s">
        <v>2088</v>
      </c>
      <c r="H1221" s="2647" t="s">
        <v>2088</v>
      </c>
      <c r="I1221" s="2647" t="s">
        <v>2088</v>
      </c>
      <c r="J1221" s="2647">
        <v>1.81</v>
      </c>
      <c r="K1221" s="2648"/>
      <c r="L1221" s="2647" t="s">
        <v>2088</v>
      </c>
    </row>
    <row r="1222" spans="1:12">
      <c r="A1222" s="2646" t="s">
        <v>99</v>
      </c>
      <c r="B1222" s="2646" t="s">
        <v>3318</v>
      </c>
      <c r="C1222" s="2646">
        <v>63.5</v>
      </c>
      <c r="D1222" s="2646">
        <v>127</v>
      </c>
      <c r="E1222" s="2646">
        <v>36.512</v>
      </c>
      <c r="F1222" s="2646" t="s">
        <v>2088</v>
      </c>
      <c r="G1222" s="2646" t="s">
        <v>2088</v>
      </c>
      <c r="H1222" s="2646" t="s">
        <v>2088</v>
      </c>
      <c r="I1222" s="2646" t="s">
        <v>2088</v>
      </c>
      <c r="J1222" s="2646">
        <v>0</v>
      </c>
      <c r="L1222" s="2646" t="s">
        <v>2088</v>
      </c>
    </row>
    <row r="1223" spans="1:12">
      <c r="A1223" s="2647" t="s">
        <v>99</v>
      </c>
      <c r="B1223" s="2647" t="s">
        <v>3319</v>
      </c>
      <c r="C1223" s="2647">
        <v>107.95</v>
      </c>
      <c r="D1223" s="2647">
        <v>165.1</v>
      </c>
      <c r="E1223" s="2647">
        <v>36.512</v>
      </c>
      <c r="F1223" s="2647" t="s">
        <v>2088</v>
      </c>
      <c r="G1223" s="2647" t="s">
        <v>2088</v>
      </c>
      <c r="H1223" s="2647" t="s">
        <v>2088</v>
      </c>
      <c r="I1223" s="2647" t="s">
        <v>2088</v>
      </c>
      <c r="J1223" s="2647">
        <v>0</v>
      </c>
      <c r="K1223" s="2648"/>
      <c r="L1223" s="2647" t="s">
        <v>2088</v>
      </c>
    </row>
    <row r="1224" spans="1:12">
      <c r="A1224" s="2646" t="s">
        <v>99</v>
      </c>
      <c r="B1224" s="2646" t="s">
        <v>3320</v>
      </c>
      <c r="C1224" s="2646">
        <v>107.95</v>
      </c>
      <c r="D1224" s="2646">
        <v>168.27500000000001</v>
      </c>
      <c r="E1224" s="2646">
        <v>36.512</v>
      </c>
      <c r="F1224" s="2646" t="s">
        <v>2088</v>
      </c>
      <c r="G1224" s="2646" t="s">
        <v>2088</v>
      </c>
      <c r="H1224" s="2646" t="s">
        <v>2088</v>
      </c>
      <c r="I1224" s="2646" t="s">
        <v>2088</v>
      </c>
      <c r="J1224" s="2646">
        <v>0</v>
      </c>
      <c r="L1224" s="2646" t="s">
        <v>3321</v>
      </c>
    </row>
    <row r="1225" spans="1:12">
      <c r="A1225" s="2647" t="s">
        <v>99</v>
      </c>
      <c r="B1225" s="2647" t="s">
        <v>3322</v>
      </c>
      <c r="C1225" s="2647">
        <v>107.95</v>
      </c>
      <c r="D1225" s="2647">
        <v>165.1</v>
      </c>
      <c r="E1225" s="2647">
        <v>36.512</v>
      </c>
      <c r="F1225" s="2647" t="s">
        <v>2088</v>
      </c>
      <c r="G1225" s="2647" t="s">
        <v>2088</v>
      </c>
      <c r="H1225" s="2647" t="s">
        <v>2088</v>
      </c>
      <c r="I1225" s="2647" t="s">
        <v>2088</v>
      </c>
      <c r="J1225" s="2647">
        <v>0</v>
      </c>
      <c r="K1225" s="2648"/>
      <c r="L1225" s="2647" t="s">
        <v>2088</v>
      </c>
    </row>
    <row r="1226" spans="1:12">
      <c r="A1226" s="2646" t="s">
        <v>99</v>
      </c>
      <c r="B1226" s="2646" t="s">
        <v>3323</v>
      </c>
      <c r="C1226" s="2646">
        <v>106.36199999999999</v>
      </c>
      <c r="D1226" s="2646">
        <v>165.1</v>
      </c>
      <c r="E1226" s="2646">
        <v>36.512</v>
      </c>
      <c r="F1226" s="2646" t="s">
        <v>2088</v>
      </c>
      <c r="G1226" s="2646" t="s">
        <v>2088</v>
      </c>
      <c r="H1226" s="2646" t="s">
        <v>2088</v>
      </c>
      <c r="I1226" s="2646" t="s">
        <v>2088</v>
      </c>
      <c r="J1226" s="2646">
        <v>0</v>
      </c>
      <c r="L1226" s="2646" t="s">
        <v>2088</v>
      </c>
    </row>
    <row r="1227" spans="1:12">
      <c r="A1227" s="2647" t="s">
        <v>99</v>
      </c>
      <c r="B1227" s="2647" t="s">
        <v>3324</v>
      </c>
      <c r="C1227" s="2647">
        <v>68.262</v>
      </c>
      <c r="D1227" s="2647">
        <v>122.238</v>
      </c>
      <c r="E1227" s="2647">
        <v>38.1</v>
      </c>
      <c r="F1227" s="2647" t="s">
        <v>2088</v>
      </c>
      <c r="G1227" s="2647" t="s">
        <v>2088</v>
      </c>
      <c r="H1227" s="2647" t="s">
        <v>2088</v>
      </c>
      <c r="I1227" s="2647" t="s">
        <v>2088</v>
      </c>
      <c r="J1227" s="2647">
        <v>0</v>
      </c>
      <c r="K1227" s="2648"/>
      <c r="L1227" s="2647" t="s">
        <v>2088</v>
      </c>
    </row>
    <row r="1228" spans="1:12">
      <c r="A1228" s="2646" t="s">
        <v>99</v>
      </c>
      <c r="B1228" s="2646" t="s">
        <v>3325</v>
      </c>
      <c r="C1228" s="2646">
        <v>68.263000000000005</v>
      </c>
      <c r="D1228" s="2646">
        <v>123.825</v>
      </c>
      <c r="E1228" s="2646">
        <v>38.1</v>
      </c>
      <c r="F1228" s="2646" t="s">
        <v>2088</v>
      </c>
      <c r="G1228" s="2646" t="s">
        <v>2088</v>
      </c>
      <c r="H1228" s="2646" t="s">
        <v>2088</v>
      </c>
      <c r="I1228" s="2646" t="s">
        <v>2088</v>
      </c>
      <c r="J1228" s="2646">
        <v>1.8220000000000001</v>
      </c>
      <c r="L1228" s="2646" t="s">
        <v>2088</v>
      </c>
    </row>
    <row r="1229" spans="1:12">
      <c r="A1229" s="2647" t="s">
        <v>99</v>
      </c>
      <c r="B1229" s="2647" t="s">
        <v>3326</v>
      </c>
      <c r="C1229" s="2647">
        <v>50.8</v>
      </c>
      <c r="D1229" s="2647">
        <v>101.6</v>
      </c>
      <c r="E1229" s="2647">
        <v>31.75</v>
      </c>
      <c r="F1229" s="2647" t="s">
        <v>2088</v>
      </c>
      <c r="G1229" s="2647" t="s">
        <v>2088</v>
      </c>
      <c r="H1229" s="2647" t="s">
        <v>2088</v>
      </c>
      <c r="I1229" s="2647" t="s">
        <v>2088</v>
      </c>
      <c r="J1229" s="2647">
        <v>0</v>
      </c>
      <c r="K1229" s="2648"/>
      <c r="L1229" s="2647" t="s">
        <v>2088</v>
      </c>
    </row>
    <row r="1230" spans="1:12">
      <c r="A1230" s="2646" t="s">
        <v>99</v>
      </c>
      <c r="B1230" s="2646" t="s">
        <v>3327</v>
      </c>
      <c r="C1230" s="2646">
        <v>82.55</v>
      </c>
      <c r="D1230" s="2646">
        <v>133.35</v>
      </c>
      <c r="E1230" s="2646">
        <v>30.161999999999999</v>
      </c>
      <c r="F1230" s="2646" t="s">
        <v>2088</v>
      </c>
      <c r="G1230" s="2646" t="s">
        <v>2088</v>
      </c>
      <c r="H1230" s="2646" t="s">
        <v>2088</v>
      </c>
      <c r="I1230" s="2646" t="s">
        <v>2088</v>
      </c>
      <c r="J1230" s="2646">
        <v>0</v>
      </c>
      <c r="L1230" s="2646" t="s">
        <v>2088</v>
      </c>
    </row>
    <row r="1231" spans="1:12">
      <c r="A1231" s="2647" t="s">
        <v>99</v>
      </c>
      <c r="B1231" s="2647" t="s">
        <v>3328</v>
      </c>
      <c r="C1231" s="2647">
        <v>142.875</v>
      </c>
      <c r="D1231" s="2647">
        <v>200.02500000000001</v>
      </c>
      <c r="E1231" s="2647">
        <v>41.274999999999999</v>
      </c>
      <c r="F1231" s="2647" t="s">
        <v>2088</v>
      </c>
      <c r="G1231" s="2647" t="s">
        <v>2088</v>
      </c>
      <c r="H1231" s="2647" t="s">
        <v>2088</v>
      </c>
      <c r="I1231" s="2647" t="s">
        <v>2088</v>
      </c>
      <c r="J1231" s="2647">
        <v>0</v>
      </c>
      <c r="K1231" s="2648"/>
      <c r="L1231" s="2647" t="s">
        <v>2088</v>
      </c>
    </row>
    <row r="1232" spans="1:12">
      <c r="A1232" s="2646" t="s">
        <v>99</v>
      </c>
      <c r="B1232" s="2646" t="s">
        <v>3329</v>
      </c>
      <c r="C1232" s="2646">
        <v>128.58799999999999</v>
      </c>
      <c r="D1232" s="2646">
        <v>190.5</v>
      </c>
      <c r="E1232" s="2646">
        <v>34.924999999999997</v>
      </c>
      <c r="F1232" s="2646" t="s">
        <v>2088</v>
      </c>
      <c r="G1232" s="2646" t="s">
        <v>2088</v>
      </c>
      <c r="H1232" s="2646" t="s">
        <v>2088</v>
      </c>
      <c r="I1232" s="2646" t="s">
        <v>2088</v>
      </c>
      <c r="J1232" s="2646">
        <v>0</v>
      </c>
      <c r="L1232" s="2646" t="s">
        <v>2458</v>
      </c>
    </row>
    <row r="1233" spans="1:12">
      <c r="A1233" s="2647" t="s">
        <v>99</v>
      </c>
      <c r="B1233" s="2647" t="s">
        <v>3330</v>
      </c>
      <c r="C1233" s="2647">
        <v>70</v>
      </c>
      <c r="D1233" s="2647">
        <v>120</v>
      </c>
      <c r="E1233" s="2647">
        <v>29.193999999999999</v>
      </c>
      <c r="F1233" s="2647" t="s">
        <v>2088</v>
      </c>
      <c r="G1233" s="2647" t="s">
        <v>2088</v>
      </c>
      <c r="H1233" s="2647" t="s">
        <v>2088</v>
      </c>
      <c r="I1233" s="2647" t="s">
        <v>2088</v>
      </c>
      <c r="J1233" s="2647">
        <v>1.304</v>
      </c>
      <c r="K1233" s="2648"/>
      <c r="L1233" s="2647" t="s">
        <v>2088</v>
      </c>
    </row>
    <row r="1234" spans="1:12">
      <c r="A1234" s="2646" t="s">
        <v>99</v>
      </c>
      <c r="B1234" s="2646" t="s">
        <v>3331</v>
      </c>
      <c r="C1234" s="2646">
        <v>136.52500000000001</v>
      </c>
      <c r="D1234" s="2646">
        <v>190.5</v>
      </c>
      <c r="E1234" s="2646">
        <v>39.688000000000002</v>
      </c>
      <c r="F1234" s="2646" t="s">
        <v>2088</v>
      </c>
      <c r="G1234" s="2646" t="s">
        <v>2088</v>
      </c>
      <c r="H1234" s="2646" t="s">
        <v>2088</v>
      </c>
      <c r="I1234" s="2646" t="s">
        <v>2088</v>
      </c>
      <c r="J1234" s="2646">
        <v>3.3140000000000001</v>
      </c>
      <c r="L1234" s="2646" t="s">
        <v>2088</v>
      </c>
    </row>
    <row r="1235" spans="1:12">
      <c r="A1235" s="2647" t="s">
        <v>99</v>
      </c>
      <c r="B1235" s="2647" t="s">
        <v>3332</v>
      </c>
      <c r="C1235" s="2647">
        <v>133.35</v>
      </c>
      <c r="D1235" s="2647">
        <v>190.5</v>
      </c>
      <c r="E1235" s="2647">
        <v>39.688000000000002</v>
      </c>
      <c r="F1235" s="2647" t="s">
        <v>2088</v>
      </c>
      <c r="G1235" s="2647" t="s">
        <v>2088</v>
      </c>
      <c r="H1235" s="2647" t="s">
        <v>2088</v>
      </c>
      <c r="I1235" s="2647" t="s">
        <v>2088</v>
      </c>
      <c r="J1235" s="2647">
        <v>0</v>
      </c>
      <c r="K1235" s="2648"/>
      <c r="L1235" s="2647" t="s">
        <v>2458</v>
      </c>
    </row>
    <row r="1236" spans="1:12">
      <c r="A1236" s="2646" t="s">
        <v>99</v>
      </c>
      <c r="B1236" s="2646" t="s">
        <v>3333</v>
      </c>
      <c r="C1236" s="2646">
        <v>63.5</v>
      </c>
      <c r="D1236" s="2646">
        <v>120</v>
      </c>
      <c r="E1236" s="2646">
        <v>29.001999999999999</v>
      </c>
      <c r="F1236" s="2646" t="s">
        <v>2088</v>
      </c>
      <c r="G1236" s="2646" t="s">
        <v>2088</v>
      </c>
      <c r="H1236" s="2646" t="s">
        <v>2088</v>
      </c>
      <c r="I1236" s="2646" t="s">
        <v>2088</v>
      </c>
      <c r="J1236" s="2646">
        <v>0</v>
      </c>
      <c r="L1236" s="2646" t="s">
        <v>2088</v>
      </c>
    </row>
    <row r="1237" spans="1:12">
      <c r="A1237" s="2647" t="s">
        <v>99</v>
      </c>
      <c r="B1237" s="2647" t="s">
        <v>3334</v>
      </c>
      <c r="C1237" s="2647">
        <v>63.5</v>
      </c>
      <c r="D1237" s="2647">
        <v>120</v>
      </c>
      <c r="E1237" s="2647">
        <v>29.795000000000002</v>
      </c>
      <c r="F1237" s="2647" t="s">
        <v>2088</v>
      </c>
      <c r="G1237" s="2647" t="s">
        <v>2088</v>
      </c>
      <c r="H1237" s="2647" t="s">
        <v>2088</v>
      </c>
      <c r="I1237" s="2647" t="s">
        <v>2088</v>
      </c>
      <c r="J1237" s="2647">
        <v>0</v>
      </c>
      <c r="K1237" s="2648"/>
      <c r="L1237" s="2647" t="s">
        <v>2088</v>
      </c>
    </row>
    <row r="1238" spans="1:12">
      <c r="A1238" s="2646" t="s">
        <v>99</v>
      </c>
      <c r="B1238" s="2646" t="s">
        <v>3335</v>
      </c>
      <c r="C1238" s="2646">
        <v>123.825</v>
      </c>
      <c r="D1238" s="2646">
        <v>182.56200000000001</v>
      </c>
      <c r="E1238" s="2646">
        <v>39.688000000000002</v>
      </c>
      <c r="F1238" s="2646" t="s">
        <v>2088</v>
      </c>
      <c r="G1238" s="2646" t="s">
        <v>2088</v>
      </c>
      <c r="H1238" s="2646" t="s">
        <v>2088</v>
      </c>
      <c r="I1238" s="2646" t="s">
        <v>2088</v>
      </c>
      <c r="J1238" s="2646">
        <v>0</v>
      </c>
      <c r="L1238" s="2646" t="s">
        <v>2088</v>
      </c>
    </row>
    <row r="1239" spans="1:12">
      <c r="A1239" s="2647" t="s">
        <v>99</v>
      </c>
      <c r="B1239" s="2647" t="s">
        <v>3336</v>
      </c>
      <c r="C1239" s="2647">
        <v>123.825</v>
      </c>
      <c r="D1239" s="2647">
        <v>182.56200000000001</v>
      </c>
      <c r="E1239" s="2647">
        <v>39.688000000000002</v>
      </c>
      <c r="F1239" s="2647" t="s">
        <v>2088</v>
      </c>
      <c r="G1239" s="2647" t="s">
        <v>2088</v>
      </c>
      <c r="H1239" s="2647" t="s">
        <v>2088</v>
      </c>
      <c r="I1239" s="2647" t="s">
        <v>2088</v>
      </c>
      <c r="J1239" s="2647">
        <v>3.2389999999999999</v>
      </c>
      <c r="K1239" s="2648"/>
      <c r="L1239" s="2647" t="s">
        <v>2088</v>
      </c>
    </row>
    <row r="1240" spans="1:12">
      <c r="A1240" s="2646" t="s">
        <v>99</v>
      </c>
      <c r="B1240" s="2646" t="s">
        <v>3337</v>
      </c>
      <c r="C1240" s="2646">
        <v>69.849999999999994</v>
      </c>
      <c r="D1240" s="2646">
        <v>120</v>
      </c>
      <c r="E1240" s="2646">
        <v>29.001999999999999</v>
      </c>
      <c r="F1240" s="2646" t="s">
        <v>2088</v>
      </c>
      <c r="G1240" s="2646" t="s">
        <v>2088</v>
      </c>
      <c r="H1240" s="2646" t="s">
        <v>2088</v>
      </c>
      <c r="I1240" s="2646" t="s">
        <v>2088</v>
      </c>
      <c r="J1240" s="2646">
        <v>0</v>
      </c>
      <c r="L1240" s="2646" t="s">
        <v>2088</v>
      </c>
    </row>
    <row r="1241" spans="1:12">
      <c r="A1241" s="2647" t="s">
        <v>99</v>
      </c>
      <c r="B1241" s="2647" t="s">
        <v>3338</v>
      </c>
      <c r="C1241" s="2647">
        <v>69.849999999999994</v>
      </c>
      <c r="D1241" s="2647">
        <v>120</v>
      </c>
      <c r="E1241" s="2647">
        <v>29.795000000000002</v>
      </c>
      <c r="F1241" s="2647" t="s">
        <v>2088</v>
      </c>
      <c r="G1241" s="2647" t="s">
        <v>2088</v>
      </c>
      <c r="H1241" s="2647" t="s">
        <v>2088</v>
      </c>
      <c r="I1241" s="2647" t="s">
        <v>2088</v>
      </c>
      <c r="J1241" s="2647">
        <v>1.32</v>
      </c>
      <c r="K1241" s="2648"/>
      <c r="L1241" s="2647" t="s">
        <v>2088</v>
      </c>
    </row>
    <row r="1242" spans="1:12">
      <c r="A1242" s="2646" t="s">
        <v>99</v>
      </c>
      <c r="B1242" s="2646" t="s">
        <v>3339</v>
      </c>
      <c r="C1242" s="2646">
        <v>107.65</v>
      </c>
      <c r="D1242" s="2646">
        <v>161.92500000000001</v>
      </c>
      <c r="E1242" s="2646">
        <v>34.924999999999997</v>
      </c>
      <c r="F1242" s="2646" t="s">
        <v>2088</v>
      </c>
      <c r="G1242" s="2646" t="s">
        <v>2088</v>
      </c>
      <c r="H1242" s="2646" t="s">
        <v>2088</v>
      </c>
      <c r="I1242" s="2646" t="s">
        <v>2088</v>
      </c>
      <c r="J1242" s="2646">
        <v>0</v>
      </c>
      <c r="L1242" s="2646" t="s">
        <v>2088</v>
      </c>
    </row>
    <row r="1243" spans="1:12">
      <c r="A1243" s="2647" t="s">
        <v>99</v>
      </c>
      <c r="B1243" s="2647" t="s">
        <v>3340</v>
      </c>
      <c r="C1243" s="2647">
        <v>68.262</v>
      </c>
      <c r="D1243" s="2647">
        <v>120</v>
      </c>
      <c r="E1243" s="2647">
        <v>29.001999999999999</v>
      </c>
      <c r="F1243" s="2647" t="s">
        <v>2088</v>
      </c>
      <c r="G1243" s="2647" t="s">
        <v>2088</v>
      </c>
      <c r="H1243" s="2647" t="s">
        <v>2088</v>
      </c>
      <c r="I1243" s="2647" t="s">
        <v>2088</v>
      </c>
      <c r="J1243" s="2647">
        <v>0</v>
      </c>
      <c r="K1243" s="2648"/>
      <c r="L1243" s="2647" t="s">
        <v>2088</v>
      </c>
    </row>
    <row r="1244" spans="1:12">
      <c r="A1244" s="2646" t="s">
        <v>99</v>
      </c>
      <c r="B1244" s="2646" t="s">
        <v>3341</v>
      </c>
      <c r="C1244" s="2646">
        <v>68.262</v>
      </c>
      <c r="D1244" s="2646">
        <v>120</v>
      </c>
      <c r="E1244" s="2646">
        <v>29.974</v>
      </c>
      <c r="F1244" s="2646" t="s">
        <v>2088</v>
      </c>
      <c r="G1244" s="2646" t="s">
        <v>2088</v>
      </c>
      <c r="H1244" s="2646" t="s">
        <v>2088</v>
      </c>
      <c r="I1244" s="2646" t="s">
        <v>2088</v>
      </c>
      <c r="J1244" s="2646">
        <v>0</v>
      </c>
      <c r="L1244" s="2646" t="s">
        <v>2088</v>
      </c>
    </row>
    <row r="1245" spans="1:12">
      <c r="A1245" s="2647" t="s">
        <v>99</v>
      </c>
      <c r="B1245" s="2647" t="s">
        <v>3342</v>
      </c>
      <c r="C1245" s="2647">
        <v>95.25</v>
      </c>
      <c r="D1245" s="2647">
        <v>146.05000000000001</v>
      </c>
      <c r="E1245" s="2647">
        <v>33.338000000000001</v>
      </c>
      <c r="F1245" s="2647" t="s">
        <v>2088</v>
      </c>
      <c r="G1245" s="2647" t="s">
        <v>2088</v>
      </c>
      <c r="H1245" s="2647" t="s">
        <v>2088</v>
      </c>
      <c r="I1245" s="2647" t="s">
        <v>2088</v>
      </c>
      <c r="J1245" s="2647">
        <v>0</v>
      </c>
      <c r="K1245" s="2648"/>
      <c r="L1245" s="2647" t="s">
        <v>2088</v>
      </c>
    </row>
    <row r="1246" spans="1:12">
      <c r="A1246" s="2646" t="s">
        <v>99</v>
      </c>
      <c r="B1246" s="2646" t="s">
        <v>3343</v>
      </c>
      <c r="C1246" s="2646">
        <v>92.075000000000003</v>
      </c>
      <c r="D1246" s="2646">
        <v>146.05000000000001</v>
      </c>
      <c r="E1246" s="2646">
        <v>33.338000000000001</v>
      </c>
      <c r="F1246" s="2646" t="s">
        <v>2088</v>
      </c>
      <c r="G1246" s="2646" t="s">
        <v>2088</v>
      </c>
      <c r="H1246" s="2646" t="s">
        <v>2088</v>
      </c>
      <c r="I1246" s="2646" t="s">
        <v>2088</v>
      </c>
      <c r="J1246" s="2646">
        <v>0</v>
      </c>
      <c r="L1246" s="2646" t="s">
        <v>2088</v>
      </c>
    </row>
    <row r="1247" spans="1:12">
      <c r="A1247" s="2647" t="s">
        <v>99</v>
      </c>
      <c r="B1247" s="2647" t="s">
        <v>3344</v>
      </c>
      <c r="C1247" s="2647">
        <v>63.5</v>
      </c>
      <c r="D1247" s="2647">
        <v>120</v>
      </c>
      <c r="E1247" s="2647">
        <v>0</v>
      </c>
      <c r="F1247" s="2647" t="s">
        <v>2088</v>
      </c>
      <c r="G1247" s="2647" t="s">
        <v>2088</v>
      </c>
      <c r="H1247" s="2647" t="s">
        <v>2088</v>
      </c>
      <c r="I1247" s="2647" t="s">
        <v>2088</v>
      </c>
      <c r="J1247" s="2647">
        <v>0</v>
      </c>
      <c r="K1247" s="2648"/>
      <c r="L1247" s="2647" t="s">
        <v>2088</v>
      </c>
    </row>
    <row r="1248" spans="1:12">
      <c r="A1248" s="2646" t="s">
        <v>99</v>
      </c>
      <c r="B1248" s="2646" t="s">
        <v>3345</v>
      </c>
      <c r="C1248" s="2646">
        <v>82.55</v>
      </c>
      <c r="D1248" s="2646">
        <v>133.35</v>
      </c>
      <c r="E1248" s="2646">
        <v>33.338000000000001</v>
      </c>
      <c r="F1248" s="2646" t="s">
        <v>2088</v>
      </c>
      <c r="G1248" s="2646" t="s">
        <v>2088</v>
      </c>
      <c r="H1248" s="2646" t="s">
        <v>2088</v>
      </c>
      <c r="I1248" s="2646" t="s">
        <v>2088</v>
      </c>
      <c r="J1248" s="2646">
        <v>1.675</v>
      </c>
      <c r="L1248" s="2646" t="s">
        <v>2088</v>
      </c>
    </row>
    <row r="1249" spans="1:12">
      <c r="A1249" s="2647" t="s">
        <v>99</v>
      </c>
      <c r="B1249" s="2647" t="s">
        <v>3346</v>
      </c>
      <c r="C1249" s="2647">
        <v>82.55</v>
      </c>
      <c r="D1249" s="2647">
        <v>133.35</v>
      </c>
      <c r="E1249" s="2647">
        <v>33.338000000000001</v>
      </c>
      <c r="F1249" s="2647" t="s">
        <v>2088</v>
      </c>
      <c r="G1249" s="2647" t="s">
        <v>2088</v>
      </c>
      <c r="H1249" s="2647" t="s">
        <v>2088</v>
      </c>
      <c r="I1249" s="2647" t="s">
        <v>2088</v>
      </c>
      <c r="J1249" s="2647">
        <v>1.71</v>
      </c>
      <c r="K1249" s="2648"/>
      <c r="L1249" s="2647" t="s">
        <v>2088</v>
      </c>
    </row>
    <row r="1250" spans="1:12">
      <c r="A1250" s="2646" t="s">
        <v>99</v>
      </c>
      <c r="B1250" s="2646" t="s">
        <v>3347</v>
      </c>
      <c r="C1250" s="2646">
        <v>82.55</v>
      </c>
      <c r="D1250" s="2646">
        <v>133.35</v>
      </c>
      <c r="E1250" s="2646">
        <v>33.338000000000001</v>
      </c>
      <c r="F1250" s="2646" t="s">
        <v>2088</v>
      </c>
      <c r="G1250" s="2646" t="s">
        <v>2088</v>
      </c>
      <c r="H1250" s="2646" t="s">
        <v>2088</v>
      </c>
      <c r="I1250" s="2646" t="s">
        <v>2088</v>
      </c>
      <c r="J1250" s="2646">
        <v>1.696</v>
      </c>
      <c r="L1250" s="2646" t="s">
        <v>2088</v>
      </c>
    </row>
    <row r="1251" spans="1:12">
      <c r="A1251" s="2647" t="s">
        <v>99</v>
      </c>
      <c r="B1251" s="2647" t="s">
        <v>3348</v>
      </c>
      <c r="C1251" s="2647">
        <v>71.438000000000002</v>
      </c>
      <c r="D1251" s="2647">
        <v>133.35</v>
      </c>
      <c r="E1251" s="2647">
        <v>33.338000000000001</v>
      </c>
      <c r="F1251" s="2647" t="s">
        <v>2088</v>
      </c>
      <c r="G1251" s="2647" t="s">
        <v>2088</v>
      </c>
      <c r="H1251" s="2647" t="s">
        <v>2088</v>
      </c>
      <c r="I1251" s="2647" t="s">
        <v>2088</v>
      </c>
      <c r="J1251" s="2647">
        <v>0</v>
      </c>
      <c r="K1251" s="2648"/>
      <c r="L1251" s="2647" t="s">
        <v>2088</v>
      </c>
    </row>
    <row r="1252" spans="1:12">
      <c r="A1252" s="2646" t="s">
        <v>99</v>
      </c>
      <c r="B1252" s="2646" t="s">
        <v>3349</v>
      </c>
      <c r="C1252" s="2646">
        <v>60</v>
      </c>
      <c r="D1252" s="2646">
        <v>120</v>
      </c>
      <c r="E1252" s="2646">
        <v>0</v>
      </c>
      <c r="F1252" s="2646" t="s">
        <v>2088</v>
      </c>
      <c r="G1252" s="2646" t="s">
        <v>2088</v>
      </c>
      <c r="H1252" s="2646" t="s">
        <v>2088</v>
      </c>
      <c r="I1252" s="2646" t="s">
        <v>2088</v>
      </c>
      <c r="J1252" s="2646">
        <v>0</v>
      </c>
      <c r="L1252" s="2646" t="s">
        <v>2088</v>
      </c>
    </row>
    <row r="1253" spans="1:12">
      <c r="A1253" s="2647" t="s">
        <v>99</v>
      </c>
      <c r="B1253" s="2647" t="s">
        <v>3350</v>
      </c>
      <c r="C1253" s="2647">
        <v>55</v>
      </c>
      <c r="D1253" s="2647">
        <v>120</v>
      </c>
      <c r="E1253" s="2647">
        <v>0</v>
      </c>
      <c r="F1253" s="2647" t="s">
        <v>2088</v>
      </c>
      <c r="G1253" s="2647" t="s">
        <v>2088</v>
      </c>
      <c r="H1253" s="2647" t="s">
        <v>2088</v>
      </c>
      <c r="I1253" s="2647" t="s">
        <v>2088</v>
      </c>
      <c r="J1253" s="2647">
        <v>0</v>
      </c>
      <c r="K1253" s="2648"/>
      <c r="L1253" s="2647" t="s">
        <v>2088</v>
      </c>
    </row>
    <row r="1254" spans="1:12">
      <c r="A1254" s="2646" t="s">
        <v>99</v>
      </c>
      <c r="B1254" s="2646" t="s">
        <v>3351</v>
      </c>
      <c r="C1254" s="2646">
        <v>71.438000000000002</v>
      </c>
      <c r="D1254" s="2646">
        <v>120</v>
      </c>
      <c r="E1254" s="2646">
        <v>32.545000000000002</v>
      </c>
      <c r="F1254" s="2646" t="s">
        <v>2088</v>
      </c>
      <c r="G1254" s="2646" t="s">
        <v>2088</v>
      </c>
      <c r="H1254" s="2646" t="s">
        <v>2088</v>
      </c>
      <c r="I1254" s="2646" t="s">
        <v>2088</v>
      </c>
      <c r="J1254" s="2646">
        <v>0</v>
      </c>
      <c r="L1254" s="2646" t="s">
        <v>2088</v>
      </c>
    </row>
    <row r="1255" spans="1:12">
      <c r="A1255" s="2647" t="s">
        <v>99</v>
      </c>
      <c r="B1255" s="2647" t="s">
        <v>3352</v>
      </c>
      <c r="C1255" s="2647">
        <v>69.849999999999994</v>
      </c>
      <c r="D1255" s="2647">
        <v>120</v>
      </c>
      <c r="E1255" s="2647">
        <v>32.515000000000001</v>
      </c>
      <c r="F1255" s="2647" t="s">
        <v>2088</v>
      </c>
      <c r="G1255" s="2647" t="s">
        <v>2088</v>
      </c>
      <c r="H1255" s="2647" t="s">
        <v>2088</v>
      </c>
      <c r="I1255" s="2647" t="s">
        <v>2088</v>
      </c>
      <c r="J1255" s="2647">
        <v>0</v>
      </c>
      <c r="K1255" s="2648"/>
      <c r="L1255" s="2647" t="s">
        <v>2088</v>
      </c>
    </row>
    <row r="1256" spans="1:12">
      <c r="A1256" s="2646" t="s">
        <v>99</v>
      </c>
      <c r="B1256" s="2646" t="s">
        <v>3353</v>
      </c>
      <c r="C1256" s="2646">
        <v>57.15</v>
      </c>
      <c r="D1256" s="2646">
        <v>110</v>
      </c>
      <c r="E1256" s="2646">
        <v>27.795000000000002</v>
      </c>
      <c r="F1256" s="2646" t="s">
        <v>2088</v>
      </c>
      <c r="G1256" s="2646" t="s">
        <v>2088</v>
      </c>
      <c r="H1256" s="2646" t="s">
        <v>2088</v>
      </c>
      <c r="I1256" s="2646" t="s">
        <v>2088</v>
      </c>
      <c r="J1256" s="2646">
        <v>0</v>
      </c>
      <c r="L1256" s="2646" t="s">
        <v>2088</v>
      </c>
    </row>
    <row r="1257" spans="1:12">
      <c r="A1257" s="2647" t="s">
        <v>99</v>
      </c>
      <c r="B1257" s="2647" t="s">
        <v>3354</v>
      </c>
      <c r="C1257" s="2647">
        <v>57.15</v>
      </c>
      <c r="D1257" s="2647">
        <v>104.77500000000001</v>
      </c>
      <c r="E1257" s="2647">
        <v>30.161999999999999</v>
      </c>
      <c r="F1257" s="2647" t="s">
        <v>2088</v>
      </c>
      <c r="G1257" s="2647" t="s">
        <v>2088</v>
      </c>
      <c r="H1257" s="2647" t="s">
        <v>2088</v>
      </c>
      <c r="I1257" s="2647" t="s">
        <v>2088</v>
      </c>
      <c r="J1257" s="2647">
        <v>0</v>
      </c>
      <c r="K1257" s="2648"/>
      <c r="L1257" s="2647">
        <v>7911</v>
      </c>
    </row>
    <row r="1258" spans="1:12">
      <c r="A1258" s="2646" t="s">
        <v>99</v>
      </c>
      <c r="B1258" s="2646" t="s">
        <v>3355</v>
      </c>
      <c r="C1258" s="2646">
        <v>57.15</v>
      </c>
      <c r="D1258" s="2646">
        <v>107.95</v>
      </c>
      <c r="E1258" s="2646">
        <v>27.795000000000002</v>
      </c>
      <c r="F1258" s="2646" t="s">
        <v>2088</v>
      </c>
      <c r="G1258" s="2646" t="s">
        <v>2088</v>
      </c>
      <c r="H1258" s="2646" t="s">
        <v>2088</v>
      </c>
      <c r="I1258" s="2646" t="s">
        <v>2088</v>
      </c>
      <c r="J1258" s="2646">
        <v>0</v>
      </c>
      <c r="L1258" s="2646" t="s">
        <v>2088</v>
      </c>
    </row>
    <row r="1259" spans="1:12">
      <c r="A1259" s="2647" t="s">
        <v>99</v>
      </c>
      <c r="B1259" s="2647" t="s">
        <v>3356</v>
      </c>
      <c r="C1259" s="2647">
        <v>57.15</v>
      </c>
      <c r="D1259" s="2647">
        <v>101.77500000000001</v>
      </c>
      <c r="E1259" s="2647">
        <v>30.161999999999999</v>
      </c>
      <c r="F1259" s="2647" t="s">
        <v>2088</v>
      </c>
      <c r="G1259" s="2647" t="s">
        <v>2088</v>
      </c>
      <c r="H1259" s="2647" t="s">
        <v>2088</v>
      </c>
      <c r="I1259" s="2647" t="s">
        <v>2088</v>
      </c>
      <c r="J1259" s="2647">
        <v>0</v>
      </c>
      <c r="K1259" s="2648"/>
      <c r="L1259" s="2647" t="s">
        <v>2088</v>
      </c>
    </row>
    <row r="1260" spans="1:12">
      <c r="A1260" s="2646" t="s">
        <v>99</v>
      </c>
      <c r="B1260" s="2646" t="s">
        <v>3357</v>
      </c>
      <c r="C1260" s="2646">
        <v>52.387999999999998</v>
      </c>
      <c r="D1260" s="2646">
        <v>104.77500000000001</v>
      </c>
      <c r="E1260" s="2646">
        <v>30.161999999999999</v>
      </c>
      <c r="F1260" s="2646" t="s">
        <v>2088</v>
      </c>
      <c r="G1260" s="2646" t="s">
        <v>2088</v>
      </c>
      <c r="H1260" s="2646" t="s">
        <v>2088</v>
      </c>
      <c r="I1260" s="2646" t="s">
        <v>2088</v>
      </c>
      <c r="J1260" s="2646">
        <v>0</v>
      </c>
      <c r="L1260" s="2646" t="s">
        <v>2088</v>
      </c>
    </row>
    <row r="1261" spans="1:12">
      <c r="A1261" s="2647" t="s">
        <v>99</v>
      </c>
      <c r="B1261" s="2647" t="s">
        <v>3358</v>
      </c>
      <c r="C1261" s="2647">
        <v>165.1</v>
      </c>
      <c r="D1261" s="2647">
        <v>225.42500000000001</v>
      </c>
      <c r="E1261" s="2647">
        <v>41.274999999999999</v>
      </c>
      <c r="F1261" s="2647" t="s">
        <v>2088</v>
      </c>
      <c r="G1261" s="2647" t="s">
        <v>2088</v>
      </c>
      <c r="H1261" s="2647" t="s">
        <v>2088</v>
      </c>
      <c r="I1261" s="2647" t="s">
        <v>2088</v>
      </c>
      <c r="J1261" s="2647">
        <v>4.6900000000000004</v>
      </c>
      <c r="K1261" s="2648"/>
      <c r="L1261" s="2647" t="s">
        <v>2088</v>
      </c>
    </row>
    <row r="1262" spans="1:12">
      <c r="A1262" s="2646" t="s">
        <v>99</v>
      </c>
      <c r="B1262" s="2646" t="s">
        <v>3359</v>
      </c>
      <c r="C1262" s="2646">
        <v>158.75</v>
      </c>
      <c r="D1262" s="2646">
        <v>225.42500000000001</v>
      </c>
      <c r="E1262" s="2646">
        <v>41.274999999999999</v>
      </c>
      <c r="F1262" s="2646" t="s">
        <v>2088</v>
      </c>
      <c r="G1262" s="2646" t="s">
        <v>2088</v>
      </c>
      <c r="H1262" s="2646" t="s">
        <v>2088</v>
      </c>
      <c r="I1262" s="2646" t="s">
        <v>2088</v>
      </c>
      <c r="J1262" s="2646">
        <v>0</v>
      </c>
      <c r="L1262" s="2646" t="s">
        <v>2088</v>
      </c>
    </row>
    <row r="1263" spans="1:12">
      <c r="A1263" s="2647" t="s">
        <v>99</v>
      </c>
      <c r="B1263" s="2647" t="s">
        <v>3360</v>
      </c>
      <c r="C1263" s="2647">
        <v>158.75</v>
      </c>
      <c r="D1263" s="2647">
        <v>225.42500000000001</v>
      </c>
      <c r="E1263" s="2647">
        <v>41.274999999999999</v>
      </c>
      <c r="F1263" s="2647" t="s">
        <v>2088</v>
      </c>
      <c r="G1263" s="2647" t="s">
        <v>2088</v>
      </c>
      <c r="H1263" s="2647" t="s">
        <v>2088</v>
      </c>
      <c r="I1263" s="2647" t="s">
        <v>2088</v>
      </c>
      <c r="J1263" s="2647">
        <v>5.24</v>
      </c>
      <c r="K1263" s="2648"/>
      <c r="L1263" s="2647" t="s">
        <v>2088</v>
      </c>
    </row>
    <row r="1264" spans="1:12">
      <c r="A1264" s="2646" t="s">
        <v>99</v>
      </c>
      <c r="B1264" s="2646" t="s">
        <v>3361</v>
      </c>
      <c r="C1264" s="2646">
        <v>47.625</v>
      </c>
      <c r="D1264" s="2646">
        <v>104.77500000000001</v>
      </c>
      <c r="E1264" s="2646">
        <v>30.161999999999999</v>
      </c>
      <c r="F1264" s="2646" t="s">
        <v>2088</v>
      </c>
      <c r="G1264" s="2646" t="s">
        <v>2088</v>
      </c>
      <c r="H1264" s="2646" t="s">
        <v>2088</v>
      </c>
      <c r="I1264" s="2646" t="s">
        <v>2088</v>
      </c>
      <c r="J1264" s="2646">
        <v>0</v>
      </c>
      <c r="L1264" s="2646" t="s">
        <v>2088</v>
      </c>
    </row>
    <row r="1265" spans="1:12">
      <c r="A1265" s="2647" t="s">
        <v>99</v>
      </c>
      <c r="B1265" s="2647" t="s">
        <v>3362</v>
      </c>
      <c r="C1265" s="2647">
        <v>54.988</v>
      </c>
      <c r="D1265" s="2647">
        <v>104.77500000000001</v>
      </c>
      <c r="E1265" s="2647">
        <v>30.161999999999999</v>
      </c>
      <c r="F1265" s="2647" t="s">
        <v>2088</v>
      </c>
      <c r="G1265" s="2647" t="s">
        <v>2088</v>
      </c>
      <c r="H1265" s="2647" t="s">
        <v>2088</v>
      </c>
      <c r="I1265" s="2647" t="s">
        <v>2088</v>
      </c>
      <c r="J1265" s="2647">
        <v>0</v>
      </c>
      <c r="K1265" s="2648"/>
      <c r="L1265" s="2647" t="s">
        <v>2088</v>
      </c>
    </row>
    <row r="1266" spans="1:12">
      <c r="A1266" s="2646" t="s">
        <v>99</v>
      </c>
      <c r="B1266" s="2646" t="s">
        <v>3363</v>
      </c>
      <c r="C1266" s="2646">
        <v>47.625</v>
      </c>
      <c r="D1266" s="2646">
        <v>104.77500000000001</v>
      </c>
      <c r="E1266" s="2646">
        <v>30.161999999999999</v>
      </c>
      <c r="F1266" s="2646" t="s">
        <v>2088</v>
      </c>
      <c r="G1266" s="2646" t="s">
        <v>2088</v>
      </c>
      <c r="H1266" s="2646" t="s">
        <v>2088</v>
      </c>
      <c r="I1266" s="2646" t="s">
        <v>2088</v>
      </c>
      <c r="J1266" s="2646">
        <v>0</v>
      </c>
      <c r="L1266" s="2646" t="s">
        <v>2088</v>
      </c>
    </row>
    <row r="1267" spans="1:12">
      <c r="A1267" s="2647" t="s">
        <v>99</v>
      </c>
      <c r="B1267" s="2647" t="s">
        <v>3364</v>
      </c>
      <c r="C1267" s="2647">
        <v>57.15</v>
      </c>
      <c r="D1267" s="2647">
        <v>110</v>
      </c>
      <c r="E1267" s="2647">
        <v>27.795000000000002</v>
      </c>
      <c r="F1267" s="2647" t="s">
        <v>2088</v>
      </c>
      <c r="G1267" s="2647" t="s">
        <v>2088</v>
      </c>
      <c r="H1267" s="2647" t="s">
        <v>2088</v>
      </c>
      <c r="I1267" s="2647" t="s">
        <v>2088</v>
      </c>
      <c r="J1267" s="2647">
        <v>1.23</v>
      </c>
      <c r="K1267" s="2648"/>
      <c r="L1267" s="2647" t="s">
        <v>2088</v>
      </c>
    </row>
    <row r="1268" spans="1:12">
      <c r="A1268" s="2646" t="s">
        <v>99</v>
      </c>
      <c r="B1268" s="2646" t="s">
        <v>3365</v>
      </c>
      <c r="C1268" s="2646">
        <v>57.15</v>
      </c>
      <c r="D1268" s="2646">
        <v>104.7</v>
      </c>
      <c r="E1268" s="2646">
        <v>30.16</v>
      </c>
      <c r="F1268" s="2646" t="s">
        <v>2088</v>
      </c>
      <c r="G1268" s="2646" t="s">
        <v>2088</v>
      </c>
      <c r="H1268" s="2646" t="s">
        <v>2088</v>
      </c>
      <c r="I1268" s="2646" t="s">
        <v>2088</v>
      </c>
      <c r="J1268" s="2646">
        <v>1.0820000000000001</v>
      </c>
      <c r="L1268" s="2646" t="s">
        <v>2088</v>
      </c>
    </row>
    <row r="1269" spans="1:12">
      <c r="A1269" s="2647" t="s">
        <v>99</v>
      </c>
      <c r="B1269" s="2647" t="s">
        <v>3366</v>
      </c>
      <c r="C1269" s="2647">
        <v>36.512</v>
      </c>
      <c r="D1269" s="2647">
        <v>93.662000000000006</v>
      </c>
      <c r="E1269" s="2647">
        <v>31.75</v>
      </c>
      <c r="F1269" s="2647" t="s">
        <v>2088</v>
      </c>
      <c r="G1269" s="2647" t="s">
        <v>2088</v>
      </c>
      <c r="H1269" s="2647" t="s">
        <v>2088</v>
      </c>
      <c r="I1269" s="2647" t="s">
        <v>2088</v>
      </c>
      <c r="J1269" s="2647">
        <v>1.1779999999999999</v>
      </c>
      <c r="K1269" s="2648"/>
      <c r="L1269" s="2647" t="s">
        <v>2088</v>
      </c>
    </row>
    <row r="1270" spans="1:12">
      <c r="A1270" s="2646" t="s">
        <v>99</v>
      </c>
      <c r="B1270" s="2646" t="s">
        <v>3367</v>
      </c>
      <c r="C1270" s="2646">
        <v>44.45</v>
      </c>
      <c r="D1270" s="2646">
        <v>107.95</v>
      </c>
      <c r="E1270" s="2646">
        <v>27.783000000000001</v>
      </c>
      <c r="F1270" s="2646" t="s">
        <v>2088</v>
      </c>
      <c r="G1270" s="2646" t="s">
        <v>2088</v>
      </c>
      <c r="H1270" s="2646" t="s">
        <v>2088</v>
      </c>
      <c r="I1270" s="2646" t="s">
        <v>2088</v>
      </c>
      <c r="J1270" s="2646">
        <v>1.341</v>
      </c>
      <c r="L1270" s="2646" t="s">
        <v>2088</v>
      </c>
    </row>
    <row r="1271" spans="1:12">
      <c r="A1271" s="2647" t="s">
        <v>99</v>
      </c>
      <c r="B1271" s="2647" t="s">
        <v>3368</v>
      </c>
      <c r="C1271" s="2647">
        <v>44.45</v>
      </c>
      <c r="D1271" s="2647">
        <v>104.77500000000001</v>
      </c>
      <c r="E1271" s="2647">
        <v>30.161999999999999</v>
      </c>
      <c r="F1271" s="2647" t="s">
        <v>2088</v>
      </c>
      <c r="G1271" s="2647" t="s">
        <v>2088</v>
      </c>
      <c r="H1271" s="2647" t="s">
        <v>2088</v>
      </c>
      <c r="I1271" s="2647" t="s">
        <v>2088</v>
      </c>
      <c r="J1271" s="2647">
        <v>0</v>
      </c>
      <c r="K1271" s="2648"/>
      <c r="L1271" s="2647" t="s">
        <v>2088</v>
      </c>
    </row>
    <row r="1272" spans="1:12">
      <c r="A1272" s="2646" t="s">
        <v>99</v>
      </c>
      <c r="B1272" s="2646" t="s">
        <v>3369</v>
      </c>
      <c r="C1272" s="2646">
        <v>53.975000000000001</v>
      </c>
      <c r="D1272" s="2646">
        <v>104.77500000000001</v>
      </c>
      <c r="E1272" s="2646">
        <v>30.161999999999999</v>
      </c>
      <c r="F1272" s="2646" t="s">
        <v>2088</v>
      </c>
      <c r="G1272" s="2646" t="s">
        <v>2088</v>
      </c>
      <c r="H1272" s="2646" t="s">
        <v>2088</v>
      </c>
      <c r="I1272" s="2646" t="s">
        <v>2088</v>
      </c>
      <c r="J1272" s="2646">
        <v>0</v>
      </c>
      <c r="L1272" s="2646" t="s">
        <v>2088</v>
      </c>
    </row>
    <row r="1273" spans="1:12">
      <c r="A1273" s="2647" t="s">
        <v>99</v>
      </c>
      <c r="B1273" s="2647" t="s">
        <v>3370</v>
      </c>
      <c r="C1273" s="2647">
        <v>50.8</v>
      </c>
      <c r="D1273" s="2647">
        <v>104.77500000000001</v>
      </c>
      <c r="E1273" s="2647">
        <v>30.161999999999999</v>
      </c>
      <c r="F1273" s="2647" t="s">
        <v>2088</v>
      </c>
      <c r="G1273" s="2647" t="s">
        <v>2088</v>
      </c>
      <c r="H1273" s="2647" t="s">
        <v>2088</v>
      </c>
      <c r="I1273" s="2647" t="s">
        <v>2088</v>
      </c>
      <c r="J1273" s="2647">
        <v>0</v>
      </c>
      <c r="K1273" s="2648"/>
      <c r="L1273" s="2647" t="s">
        <v>2088</v>
      </c>
    </row>
    <row r="1274" spans="1:12">
      <c r="A1274" s="2646" t="s">
        <v>99</v>
      </c>
      <c r="B1274" s="2646" t="s">
        <v>3371</v>
      </c>
      <c r="C1274" s="2646">
        <v>50.8</v>
      </c>
      <c r="D1274" s="2646">
        <v>104.77500000000001</v>
      </c>
      <c r="E1274" s="2646">
        <v>30.161999999999999</v>
      </c>
      <c r="F1274" s="2646" t="s">
        <v>2088</v>
      </c>
      <c r="G1274" s="2646" t="s">
        <v>2088</v>
      </c>
      <c r="H1274" s="2646" t="s">
        <v>2088</v>
      </c>
      <c r="I1274" s="2646" t="s">
        <v>2088</v>
      </c>
      <c r="J1274" s="2646">
        <v>0</v>
      </c>
      <c r="L1274" s="2646" t="s">
        <v>2088</v>
      </c>
    </row>
    <row r="1275" spans="1:12">
      <c r="A1275" s="2647" t="s">
        <v>99</v>
      </c>
      <c r="B1275" s="2647" t="s">
        <v>3372</v>
      </c>
      <c r="C1275" s="2647">
        <v>50.8</v>
      </c>
      <c r="D1275" s="2647">
        <v>107.59</v>
      </c>
      <c r="E1275" s="2647">
        <v>27.783000000000001</v>
      </c>
      <c r="F1275" s="2647" t="s">
        <v>2088</v>
      </c>
      <c r="G1275" s="2647" t="s">
        <v>2088</v>
      </c>
      <c r="H1275" s="2647" t="s">
        <v>2088</v>
      </c>
      <c r="I1275" s="2647" t="s">
        <v>2088</v>
      </c>
      <c r="J1275" s="2647">
        <v>1.23</v>
      </c>
      <c r="K1275" s="2648"/>
      <c r="L1275" s="2647" t="s">
        <v>2088</v>
      </c>
    </row>
    <row r="1276" spans="1:12">
      <c r="A1276" s="2646" t="s">
        <v>99</v>
      </c>
      <c r="B1276" s="2646" t="s">
        <v>3373</v>
      </c>
      <c r="C1276" s="2646">
        <v>57.15</v>
      </c>
      <c r="D1276" s="2646">
        <v>104.77500000000001</v>
      </c>
      <c r="E1276" s="2646">
        <v>30.163</v>
      </c>
      <c r="F1276" s="2646" t="s">
        <v>2088</v>
      </c>
      <c r="G1276" s="2646" t="s">
        <v>2088</v>
      </c>
      <c r="H1276" s="2646" t="s">
        <v>2088</v>
      </c>
      <c r="I1276" s="2646" t="s">
        <v>2088</v>
      </c>
      <c r="J1276" s="2646">
        <v>0</v>
      </c>
      <c r="L1276" s="2646" t="s">
        <v>2088</v>
      </c>
    </row>
    <row r="1277" spans="1:12">
      <c r="A1277" s="2647" t="s">
        <v>99</v>
      </c>
      <c r="B1277" s="2647" t="s">
        <v>3374</v>
      </c>
      <c r="C1277" s="2647">
        <v>50.8</v>
      </c>
      <c r="D1277" s="2647">
        <v>104.77500000000001</v>
      </c>
      <c r="E1277" s="2647">
        <v>30.161999999999999</v>
      </c>
      <c r="F1277" s="2647" t="s">
        <v>2088</v>
      </c>
      <c r="G1277" s="2647" t="s">
        <v>2088</v>
      </c>
      <c r="H1277" s="2647" t="s">
        <v>2088</v>
      </c>
      <c r="I1277" s="2647" t="s">
        <v>2088</v>
      </c>
      <c r="J1277" s="2647">
        <v>1.22</v>
      </c>
      <c r="K1277" s="2648"/>
      <c r="L1277" s="2647" t="s">
        <v>2088</v>
      </c>
    </row>
    <row r="1278" spans="1:12">
      <c r="A1278" s="2646" t="s">
        <v>99</v>
      </c>
      <c r="B1278" s="2646" t="s">
        <v>3375</v>
      </c>
      <c r="C1278" s="2646">
        <v>50.8</v>
      </c>
      <c r="D1278" s="2646">
        <v>104.77500000000001</v>
      </c>
      <c r="E1278" s="2646">
        <v>30.161999999999999</v>
      </c>
      <c r="F1278" s="2646" t="s">
        <v>2088</v>
      </c>
      <c r="G1278" s="2646" t="s">
        <v>2088</v>
      </c>
      <c r="H1278" s="2646" t="s">
        <v>2088</v>
      </c>
      <c r="I1278" s="2646" t="s">
        <v>2088</v>
      </c>
      <c r="J1278" s="2646">
        <v>1.214</v>
      </c>
      <c r="L1278" s="2646" t="s">
        <v>2088</v>
      </c>
    </row>
    <row r="1279" spans="1:12">
      <c r="A1279" s="2647" t="s">
        <v>99</v>
      </c>
      <c r="B1279" s="2647" t="s">
        <v>3376</v>
      </c>
      <c r="C1279" s="2647">
        <v>50.8</v>
      </c>
      <c r="D1279" s="2647">
        <v>104.77500000000001</v>
      </c>
      <c r="E1279" s="2647">
        <v>30.161999999999999</v>
      </c>
      <c r="F1279" s="2647" t="s">
        <v>2088</v>
      </c>
      <c r="G1279" s="2647" t="s">
        <v>2088</v>
      </c>
      <c r="H1279" s="2647" t="s">
        <v>2088</v>
      </c>
      <c r="I1279" s="2647" t="s">
        <v>2088</v>
      </c>
      <c r="J1279" s="2647">
        <v>0</v>
      </c>
      <c r="K1279" s="2648"/>
      <c r="L1279" s="2647" t="s">
        <v>2088</v>
      </c>
    </row>
    <row r="1280" spans="1:12">
      <c r="A1280" s="2646" t="s">
        <v>99</v>
      </c>
      <c r="B1280" s="2646" t="s">
        <v>3377</v>
      </c>
      <c r="C1280" s="2646">
        <v>41.274999999999999</v>
      </c>
      <c r="D1280" s="2646">
        <v>90.488</v>
      </c>
      <c r="E1280" s="2646">
        <v>39.688000000000002</v>
      </c>
      <c r="F1280" s="2646" t="s">
        <v>2088</v>
      </c>
      <c r="G1280" s="2646" t="s">
        <v>2088</v>
      </c>
      <c r="H1280" s="2646" t="s">
        <v>2088</v>
      </c>
      <c r="I1280" s="2646" t="s">
        <v>2088</v>
      </c>
      <c r="J1280" s="2646">
        <v>1.218</v>
      </c>
      <c r="L1280" s="2646" t="s">
        <v>2088</v>
      </c>
    </row>
    <row r="1281" spans="1:12">
      <c r="A1281" s="2647" t="s">
        <v>99</v>
      </c>
      <c r="B1281" s="2647" t="s">
        <v>3378</v>
      </c>
      <c r="C1281" s="2647">
        <v>76.2</v>
      </c>
      <c r="D1281" s="2647">
        <v>127</v>
      </c>
      <c r="E1281" s="2647">
        <v>30.161999999999999</v>
      </c>
      <c r="F1281" s="2647" t="s">
        <v>2088</v>
      </c>
      <c r="G1281" s="2647" t="s">
        <v>2088</v>
      </c>
      <c r="H1281" s="2647" t="s">
        <v>2088</v>
      </c>
      <c r="I1281" s="2647" t="s">
        <v>2088</v>
      </c>
      <c r="J1281" s="2647">
        <v>1.44</v>
      </c>
      <c r="K1281" s="2648"/>
      <c r="L1281" s="2647" t="s">
        <v>2088</v>
      </c>
    </row>
    <row r="1282" spans="1:12">
      <c r="A1282" s="2646" t="s">
        <v>99</v>
      </c>
      <c r="B1282" s="2646" t="s">
        <v>3379</v>
      </c>
      <c r="C1282" s="2646">
        <v>76.2</v>
      </c>
      <c r="D1282" s="2646">
        <v>127</v>
      </c>
      <c r="E1282" s="2646">
        <v>30.161999999999999</v>
      </c>
      <c r="F1282" s="2646" t="s">
        <v>2088</v>
      </c>
      <c r="G1282" s="2646" t="s">
        <v>2088</v>
      </c>
      <c r="H1282" s="2646" t="s">
        <v>2088</v>
      </c>
      <c r="I1282" s="2646" t="s">
        <v>2088</v>
      </c>
      <c r="J1282" s="2646">
        <v>0</v>
      </c>
      <c r="L1282" s="2646" t="s">
        <v>2088</v>
      </c>
    </row>
    <row r="1283" spans="1:12">
      <c r="A1283" s="2647" t="s">
        <v>99</v>
      </c>
      <c r="B1283" s="2647" t="s">
        <v>3380</v>
      </c>
      <c r="C1283" s="2647">
        <v>73.025000000000006</v>
      </c>
      <c r="D1283" s="2647">
        <v>127</v>
      </c>
      <c r="E1283" s="2647">
        <v>30.161999999999999</v>
      </c>
      <c r="F1283" s="2647" t="s">
        <v>2088</v>
      </c>
      <c r="G1283" s="2647" t="s">
        <v>2088</v>
      </c>
      <c r="H1283" s="2647" t="s">
        <v>2088</v>
      </c>
      <c r="I1283" s="2647" t="s">
        <v>2088</v>
      </c>
      <c r="J1283" s="2647">
        <v>0</v>
      </c>
      <c r="K1283" s="2648"/>
      <c r="L1283" s="2647" t="s">
        <v>2088</v>
      </c>
    </row>
    <row r="1284" spans="1:12">
      <c r="A1284" s="2646" t="s">
        <v>99</v>
      </c>
      <c r="B1284" s="2646" t="s">
        <v>3381</v>
      </c>
      <c r="C1284" s="2646">
        <v>93.662000000000006</v>
      </c>
      <c r="D1284" s="2646">
        <v>148.43</v>
      </c>
      <c r="E1284" s="2646">
        <v>28.574999999999999</v>
      </c>
      <c r="F1284" s="2646" t="s">
        <v>2088</v>
      </c>
      <c r="G1284" s="2646" t="s">
        <v>2088</v>
      </c>
      <c r="H1284" s="2646" t="s">
        <v>2088</v>
      </c>
      <c r="I1284" s="2646" t="s">
        <v>2088</v>
      </c>
      <c r="J1284" s="2646">
        <v>0</v>
      </c>
      <c r="L1284" s="2646" t="s">
        <v>2088</v>
      </c>
    </row>
    <row r="1285" spans="1:12">
      <c r="A1285" s="2647" t="s">
        <v>99</v>
      </c>
      <c r="B1285" s="2647" t="s">
        <v>3382</v>
      </c>
      <c r="C1285" s="2647">
        <v>92.075000000000003</v>
      </c>
      <c r="D1285" s="2647">
        <v>148.43</v>
      </c>
      <c r="E1285" s="2647">
        <v>28.574999999999999</v>
      </c>
      <c r="F1285" s="2647" t="s">
        <v>2088</v>
      </c>
      <c r="G1285" s="2647" t="s">
        <v>2088</v>
      </c>
      <c r="H1285" s="2647" t="s">
        <v>2088</v>
      </c>
      <c r="I1285" s="2647" t="s">
        <v>2088</v>
      </c>
      <c r="J1285" s="2647">
        <v>0</v>
      </c>
      <c r="K1285" s="2648"/>
      <c r="L1285" s="2647" t="s">
        <v>2088</v>
      </c>
    </row>
    <row r="1286" spans="1:12">
      <c r="A1286" s="2646" t="s">
        <v>99</v>
      </c>
      <c r="B1286" s="2646" t="s">
        <v>3383</v>
      </c>
      <c r="C1286" s="2646">
        <v>88.9</v>
      </c>
      <c r="D1286" s="2646">
        <v>149.22499999999999</v>
      </c>
      <c r="E1286" s="2646">
        <v>31.75</v>
      </c>
      <c r="F1286" s="2646" t="s">
        <v>2088</v>
      </c>
      <c r="G1286" s="2646" t="s">
        <v>2088</v>
      </c>
      <c r="H1286" s="2646" t="s">
        <v>2088</v>
      </c>
      <c r="I1286" s="2646" t="s">
        <v>2088</v>
      </c>
      <c r="J1286" s="2646">
        <v>0</v>
      </c>
      <c r="L1286" s="2646" t="s">
        <v>2088</v>
      </c>
    </row>
    <row r="1287" spans="1:12">
      <c r="A1287" s="2647" t="s">
        <v>99</v>
      </c>
      <c r="B1287" s="2647" t="s">
        <v>3384</v>
      </c>
      <c r="C1287" s="2647">
        <v>40</v>
      </c>
      <c r="D1287" s="2647">
        <v>88.5</v>
      </c>
      <c r="E1287" s="2647">
        <v>26.988</v>
      </c>
      <c r="F1287" s="2647" t="s">
        <v>2088</v>
      </c>
      <c r="G1287" s="2647" t="s">
        <v>2088</v>
      </c>
      <c r="H1287" s="2647" t="s">
        <v>2088</v>
      </c>
      <c r="I1287" s="2647" t="s">
        <v>2088</v>
      </c>
      <c r="J1287" s="2647">
        <v>0</v>
      </c>
      <c r="K1287" s="2648"/>
      <c r="L1287" s="2647" t="s">
        <v>2088</v>
      </c>
    </row>
    <row r="1288" spans="1:12">
      <c r="A1288" s="2646" t="s">
        <v>99</v>
      </c>
      <c r="B1288" s="2646" t="s">
        <v>3385</v>
      </c>
      <c r="C1288" s="2646">
        <v>41.274999999999999</v>
      </c>
      <c r="D1288" s="2646">
        <v>88.5</v>
      </c>
      <c r="E1288" s="2646">
        <v>26.988</v>
      </c>
      <c r="F1288" s="2646" t="s">
        <v>2088</v>
      </c>
      <c r="G1288" s="2646" t="s">
        <v>2088</v>
      </c>
      <c r="H1288" s="2646" t="s">
        <v>2088</v>
      </c>
      <c r="I1288" s="2646" t="s">
        <v>2088</v>
      </c>
      <c r="J1288" s="2646">
        <v>0</v>
      </c>
      <c r="L1288" s="2646" t="s">
        <v>2088</v>
      </c>
    </row>
    <row r="1289" spans="1:12">
      <c r="A1289" s="2647" t="s">
        <v>99</v>
      </c>
      <c r="B1289" s="2647" t="s">
        <v>3386</v>
      </c>
      <c r="C1289" s="2647">
        <v>38.1</v>
      </c>
      <c r="D1289" s="2647">
        <v>88.5</v>
      </c>
      <c r="E1289" s="2647">
        <v>26.988</v>
      </c>
      <c r="F1289" s="2647" t="s">
        <v>2088</v>
      </c>
      <c r="G1289" s="2647" t="s">
        <v>2088</v>
      </c>
      <c r="H1289" s="2647" t="s">
        <v>2088</v>
      </c>
      <c r="I1289" s="2647" t="s">
        <v>2088</v>
      </c>
      <c r="J1289" s="2647">
        <v>0.32700000000000001</v>
      </c>
      <c r="K1289" s="2648"/>
      <c r="L1289" s="2647" t="s">
        <v>2088</v>
      </c>
    </row>
    <row r="1290" spans="1:12">
      <c r="A1290" s="2646" t="s">
        <v>99</v>
      </c>
      <c r="B1290" s="2646" t="s">
        <v>3387</v>
      </c>
      <c r="C1290" s="2646">
        <v>28.574999999999999</v>
      </c>
      <c r="D1290" s="2646">
        <v>76.676000000000002</v>
      </c>
      <c r="E1290" s="2646">
        <v>24.608000000000001</v>
      </c>
      <c r="F1290" s="2646" t="s">
        <v>2088</v>
      </c>
      <c r="G1290" s="2646" t="s">
        <v>2088</v>
      </c>
      <c r="H1290" s="2646" t="s">
        <v>2088</v>
      </c>
      <c r="I1290" s="2646" t="s">
        <v>2088</v>
      </c>
      <c r="J1290" s="2646">
        <v>0.46899999999999997</v>
      </c>
      <c r="L1290" s="2646" t="s">
        <v>2088</v>
      </c>
    </row>
    <row r="1291" spans="1:12">
      <c r="A1291" s="2647" t="s">
        <v>99</v>
      </c>
      <c r="B1291" s="2647" t="s">
        <v>3388</v>
      </c>
      <c r="C1291" s="2647">
        <v>68.262</v>
      </c>
      <c r="D1291" s="2647">
        <v>110</v>
      </c>
      <c r="E1291" s="2647">
        <v>22</v>
      </c>
      <c r="F1291" s="2647" t="s">
        <v>2088</v>
      </c>
      <c r="G1291" s="2647" t="s">
        <v>2088</v>
      </c>
      <c r="H1291" s="2647" t="s">
        <v>2088</v>
      </c>
      <c r="I1291" s="2647" t="s">
        <v>2088</v>
      </c>
      <c r="J1291" s="2647">
        <v>0.76</v>
      </c>
      <c r="K1291" s="2648"/>
      <c r="L1291" s="2647" t="s">
        <v>2088</v>
      </c>
    </row>
    <row r="1292" spans="1:12">
      <c r="A1292" s="2646" t="s">
        <v>99</v>
      </c>
      <c r="B1292" s="2646" t="s">
        <v>3389</v>
      </c>
      <c r="C1292" s="2646">
        <v>68.262</v>
      </c>
      <c r="D1292" s="2646">
        <v>110</v>
      </c>
      <c r="E1292" s="2646">
        <v>22</v>
      </c>
      <c r="F1292" s="2646" t="s">
        <v>2088</v>
      </c>
      <c r="G1292" s="2646" t="s">
        <v>2088</v>
      </c>
      <c r="H1292" s="2646" t="s">
        <v>2088</v>
      </c>
      <c r="I1292" s="2646" t="s">
        <v>2088</v>
      </c>
      <c r="J1292" s="2646">
        <v>0</v>
      </c>
      <c r="L1292" s="2646" t="s">
        <v>2088</v>
      </c>
    </row>
    <row r="1293" spans="1:12">
      <c r="A1293" s="2647" t="s">
        <v>99</v>
      </c>
      <c r="B1293" s="2647" t="s">
        <v>3390</v>
      </c>
      <c r="C1293" s="2647">
        <v>0</v>
      </c>
      <c r="D1293" s="2647">
        <v>0</v>
      </c>
      <c r="E1293" s="2647">
        <v>0</v>
      </c>
      <c r="F1293" s="2647" t="s">
        <v>2088</v>
      </c>
      <c r="G1293" s="2647" t="s">
        <v>2088</v>
      </c>
      <c r="H1293" s="2647" t="s">
        <v>2088</v>
      </c>
      <c r="I1293" s="2647" t="s">
        <v>2088</v>
      </c>
      <c r="J1293" s="2647">
        <v>0</v>
      </c>
      <c r="K1293" s="2648"/>
      <c r="L1293" s="2647" t="s">
        <v>2088</v>
      </c>
    </row>
    <row r="1294" spans="1:12">
      <c r="A1294" s="2646" t="s">
        <v>99</v>
      </c>
      <c r="B1294" s="2646" t="s">
        <v>3391</v>
      </c>
      <c r="C1294" s="2646">
        <v>63.5</v>
      </c>
      <c r="D1294" s="2646">
        <v>112.712</v>
      </c>
      <c r="E1294" s="2646">
        <v>30.161999999999999</v>
      </c>
      <c r="F1294" s="2646" t="s">
        <v>2088</v>
      </c>
      <c r="G1294" s="2646" t="s">
        <v>2088</v>
      </c>
      <c r="H1294" s="2646" t="s">
        <v>2088</v>
      </c>
      <c r="I1294" s="2646" t="s">
        <v>2088</v>
      </c>
      <c r="J1294" s="2646">
        <v>0</v>
      </c>
      <c r="L1294" s="2646" t="s">
        <v>2088</v>
      </c>
    </row>
    <row r="1295" spans="1:12">
      <c r="A1295" s="2647" t="s">
        <v>99</v>
      </c>
      <c r="B1295" s="2647" t="s">
        <v>3392</v>
      </c>
      <c r="C1295" s="2647">
        <v>63.5</v>
      </c>
      <c r="D1295" s="2647">
        <v>112.712</v>
      </c>
      <c r="E1295" s="2647">
        <v>30.161999999999999</v>
      </c>
      <c r="F1295" s="2647" t="s">
        <v>2088</v>
      </c>
      <c r="G1295" s="2647" t="s">
        <v>2088</v>
      </c>
      <c r="H1295" s="2647" t="s">
        <v>2088</v>
      </c>
      <c r="I1295" s="2647" t="s">
        <v>2088</v>
      </c>
      <c r="J1295" s="2647">
        <v>1.26</v>
      </c>
      <c r="K1295" s="2648"/>
      <c r="L1295" s="2647" t="s">
        <v>2088</v>
      </c>
    </row>
    <row r="1296" spans="1:12">
      <c r="A1296" s="2646" t="s">
        <v>99</v>
      </c>
      <c r="B1296" s="2646" t="s">
        <v>3393</v>
      </c>
      <c r="C1296" s="2646">
        <v>58.738</v>
      </c>
      <c r="D1296" s="2646">
        <v>112.712</v>
      </c>
      <c r="E1296" s="2646">
        <v>30.161999999999999</v>
      </c>
      <c r="F1296" s="2646" t="s">
        <v>2088</v>
      </c>
      <c r="G1296" s="2646" t="s">
        <v>2088</v>
      </c>
      <c r="H1296" s="2646" t="s">
        <v>2088</v>
      </c>
      <c r="I1296" s="2646" t="s">
        <v>2088</v>
      </c>
      <c r="J1296" s="2646">
        <v>0</v>
      </c>
      <c r="L1296" s="2646" t="s">
        <v>2088</v>
      </c>
    </row>
    <row r="1297" spans="1:12">
      <c r="A1297" s="2647" t="s">
        <v>99</v>
      </c>
      <c r="B1297" s="2647" t="s">
        <v>3394</v>
      </c>
      <c r="C1297" s="2647">
        <v>60.325000000000003</v>
      </c>
      <c r="D1297" s="2647">
        <v>112.712</v>
      </c>
      <c r="E1297" s="2647">
        <v>30.161999999999999</v>
      </c>
      <c r="F1297" s="2647" t="s">
        <v>2088</v>
      </c>
      <c r="G1297" s="2647" t="s">
        <v>2088</v>
      </c>
      <c r="H1297" s="2647" t="s">
        <v>2088</v>
      </c>
      <c r="I1297" s="2647" t="s">
        <v>2088</v>
      </c>
      <c r="J1297" s="2647">
        <v>0</v>
      </c>
      <c r="K1297" s="2648"/>
      <c r="L1297" s="2647" t="s">
        <v>2088</v>
      </c>
    </row>
    <row r="1298" spans="1:12">
      <c r="A1298" s="2646" t="s">
        <v>99</v>
      </c>
      <c r="B1298" s="2646" t="s">
        <v>3395</v>
      </c>
      <c r="C1298" s="2646">
        <v>57.15</v>
      </c>
      <c r="D1298" s="2646">
        <v>112.712</v>
      </c>
      <c r="E1298" s="2646">
        <v>30.161999999999999</v>
      </c>
      <c r="F1298" s="2646" t="s">
        <v>2088</v>
      </c>
      <c r="G1298" s="2646" t="s">
        <v>2088</v>
      </c>
      <c r="H1298" s="2646" t="s">
        <v>2088</v>
      </c>
      <c r="I1298" s="2646" t="s">
        <v>2088</v>
      </c>
      <c r="J1298" s="2646">
        <v>0</v>
      </c>
      <c r="L1298" s="2646" t="s">
        <v>2088</v>
      </c>
    </row>
    <row r="1299" spans="1:12">
      <c r="A1299" s="2647" t="s">
        <v>99</v>
      </c>
      <c r="B1299" s="2647" t="s">
        <v>3396</v>
      </c>
      <c r="C1299" s="2647">
        <v>60</v>
      </c>
      <c r="D1299" s="2647">
        <v>112.715</v>
      </c>
      <c r="E1299" s="2647">
        <v>30.161999999999999</v>
      </c>
      <c r="F1299" s="2647" t="s">
        <v>2088</v>
      </c>
      <c r="G1299" s="2647" t="s">
        <v>2088</v>
      </c>
      <c r="H1299" s="2647" t="s">
        <v>2088</v>
      </c>
      <c r="I1299" s="2647" t="s">
        <v>2088</v>
      </c>
      <c r="J1299" s="2647">
        <v>0</v>
      </c>
      <c r="K1299" s="2648"/>
      <c r="L1299" s="2647" t="s">
        <v>2088</v>
      </c>
    </row>
    <row r="1300" spans="1:12">
      <c r="A1300" s="2646" t="s">
        <v>99</v>
      </c>
      <c r="B1300" s="2646" t="s">
        <v>3397</v>
      </c>
      <c r="C1300" s="2646">
        <v>50.8</v>
      </c>
      <c r="D1300" s="2646">
        <v>112.712</v>
      </c>
      <c r="E1300" s="2646">
        <v>33.338000000000001</v>
      </c>
      <c r="F1300" s="2646" t="s">
        <v>2088</v>
      </c>
      <c r="G1300" s="2646" t="s">
        <v>2088</v>
      </c>
      <c r="H1300" s="2646" t="s">
        <v>2088</v>
      </c>
      <c r="I1300" s="2646" t="s">
        <v>2088</v>
      </c>
      <c r="J1300" s="2646">
        <v>1.59</v>
      </c>
      <c r="L1300" s="2646" t="s">
        <v>2088</v>
      </c>
    </row>
    <row r="1301" spans="1:12">
      <c r="A1301" s="2647" t="s">
        <v>99</v>
      </c>
      <c r="B1301" s="2647" t="s">
        <v>3398</v>
      </c>
      <c r="C1301" s="2647">
        <v>50.8</v>
      </c>
      <c r="D1301" s="2647">
        <v>112.712</v>
      </c>
      <c r="E1301" s="2647">
        <v>30.161999999999999</v>
      </c>
      <c r="F1301" s="2647" t="s">
        <v>2088</v>
      </c>
      <c r="G1301" s="2647" t="s">
        <v>2088</v>
      </c>
      <c r="H1301" s="2647" t="s">
        <v>2088</v>
      </c>
      <c r="I1301" s="2647" t="s">
        <v>2088</v>
      </c>
      <c r="J1301" s="2647">
        <v>0</v>
      </c>
      <c r="K1301" s="2648"/>
      <c r="L1301" s="2647" t="s">
        <v>2088</v>
      </c>
    </row>
    <row r="1302" spans="1:12">
      <c r="A1302" s="2646" t="s">
        <v>99</v>
      </c>
      <c r="B1302" s="2646" t="s">
        <v>3399</v>
      </c>
      <c r="C1302" s="2646">
        <v>65.674999999999997</v>
      </c>
      <c r="D1302" s="2646">
        <v>110</v>
      </c>
      <c r="E1302" s="2646">
        <v>22</v>
      </c>
      <c r="F1302" s="2646" t="s">
        <v>2088</v>
      </c>
      <c r="G1302" s="2646" t="s">
        <v>2088</v>
      </c>
      <c r="H1302" s="2646" t="s">
        <v>2088</v>
      </c>
      <c r="I1302" s="2646" t="s">
        <v>2088</v>
      </c>
      <c r="J1302" s="2646">
        <v>0</v>
      </c>
      <c r="L1302" s="2646" t="s">
        <v>2088</v>
      </c>
    </row>
    <row r="1303" spans="1:12">
      <c r="A1303" s="2647" t="s">
        <v>99</v>
      </c>
      <c r="B1303" s="2647" t="s">
        <v>3400</v>
      </c>
      <c r="C1303" s="2647">
        <v>66.674999999999997</v>
      </c>
      <c r="D1303" s="2647">
        <v>110</v>
      </c>
      <c r="E1303" s="2647">
        <v>22</v>
      </c>
      <c r="F1303" s="2647" t="s">
        <v>2088</v>
      </c>
      <c r="G1303" s="2647" t="s">
        <v>2088</v>
      </c>
      <c r="H1303" s="2647" t="s">
        <v>2088</v>
      </c>
      <c r="I1303" s="2647" t="s">
        <v>2088</v>
      </c>
      <c r="J1303" s="2647">
        <v>0.89100000000000001</v>
      </c>
      <c r="K1303" s="2648"/>
      <c r="L1303" s="2647" t="s">
        <v>2088</v>
      </c>
    </row>
    <row r="1304" spans="1:12">
      <c r="A1304" s="2646" t="s">
        <v>99</v>
      </c>
      <c r="B1304" s="2646" t="s">
        <v>3401</v>
      </c>
      <c r="C1304" s="2646">
        <v>52.387999999999998</v>
      </c>
      <c r="D1304" s="2646">
        <v>93.263999999999996</v>
      </c>
      <c r="E1304" s="2646">
        <v>30.161999999999999</v>
      </c>
      <c r="F1304" s="2646" t="s">
        <v>2088</v>
      </c>
      <c r="G1304" s="2646" t="s">
        <v>2088</v>
      </c>
      <c r="H1304" s="2646" t="s">
        <v>2088</v>
      </c>
      <c r="I1304" s="2646" t="s">
        <v>2088</v>
      </c>
      <c r="J1304" s="2646">
        <v>0</v>
      </c>
      <c r="L1304" s="2646" t="s">
        <v>2088</v>
      </c>
    </row>
    <row r="1305" spans="1:12">
      <c r="A1305" s="2647" t="s">
        <v>99</v>
      </c>
      <c r="B1305" s="2647" t="s">
        <v>3402</v>
      </c>
      <c r="C1305" s="2647">
        <v>107.95</v>
      </c>
      <c r="D1305" s="2647">
        <v>158.75</v>
      </c>
      <c r="E1305" s="2647">
        <v>23.02</v>
      </c>
      <c r="F1305" s="2647" t="s">
        <v>2088</v>
      </c>
      <c r="G1305" s="2647" t="s">
        <v>2088</v>
      </c>
      <c r="H1305" s="2647" t="s">
        <v>2088</v>
      </c>
      <c r="I1305" s="2647" t="s">
        <v>2088</v>
      </c>
      <c r="J1305" s="2647">
        <v>0</v>
      </c>
      <c r="K1305" s="2648"/>
      <c r="L1305" s="2647" t="s">
        <v>2088</v>
      </c>
    </row>
    <row r="1306" spans="1:12">
      <c r="A1306" s="2646" t="s">
        <v>99</v>
      </c>
      <c r="B1306" s="2646" t="s">
        <v>3403</v>
      </c>
      <c r="C1306" s="2646">
        <v>80</v>
      </c>
      <c r="D1306" s="2646">
        <v>140</v>
      </c>
      <c r="E1306" s="2646">
        <v>56.75</v>
      </c>
      <c r="F1306" s="2646" t="s">
        <v>2088</v>
      </c>
      <c r="G1306" s="2646" t="s">
        <v>2088</v>
      </c>
      <c r="H1306" s="2646" t="s">
        <v>2088</v>
      </c>
      <c r="I1306" s="2646" t="s">
        <v>2088</v>
      </c>
      <c r="J1306" s="2646">
        <v>3.28</v>
      </c>
      <c r="L1306" s="2646" t="s">
        <v>3404</v>
      </c>
    </row>
    <row r="1307" spans="1:12">
      <c r="A1307" s="2647" t="s">
        <v>99</v>
      </c>
      <c r="B1307" s="2647" t="s">
        <v>3405</v>
      </c>
      <c r="C1307" s="2647">
        <v>80</v>
      </c>
      <c r="D1307" s="2647">
        <v>140</v>
      </c>
      <c r="E1307" s="2647">
        <v>56.75</v>
      </c>
      <c r="F1307" s="2647" t="s">
        <v>2088</v>
      </c>
      <c r="G1307" s="2647" t="s">
        <v>2088</v>
      </c>
      <c r="H1307" s="2647" t="s">
        <v>2088</v>
      </c>
      <c r="I1307" s="2647" t="s">
        <v>2088</v>
      </c>
      <c r="J1307" s="2647">
        <v>3.28</v>
      </c>
      <c r="K1307" s="2648"/>
      <c r="L1307" s="2647" t="s">
        <v>3406</v>
      </c>
    </row>
    <row r="1308" spans="1:12">
      <c r="A1308" s="2646" t="s">
        <v>99</v>
      </c>
      <c r="B1308" s="2646" t="s">
        <v>3407</v>
      </c>
      <c r="C1308" s="2646">
        <v>80</v>
      </c>
      <c r="D1308" s="2646">
        <v>125</v>
      </c>
      <c r="E1308" s="2646">
        <v>58</v>
      </c>
      <c r="F1308" s="2646" t="s">
        <v>2088</v>
      </c>
      <c r="G1308" s="2646" t="s">
        <v>2088</v>
      </c>
      <c r="H1308" s="2646" t="s">
        <v>2088</v>
      </c>
      <c r="I1308" s="2646" t="s">
        <v>2088</v>
      </c>
      <c r="J1308" s="2646">
        <v>2.61</v>
      </c>
      <c r="L1308" s="2646" t="s">
        <v>3408</v>
      </c>
    </row>
    <row r="1309" spans="1:12">
      <c r="A1309" s="2647" t="s">
        <v>99</v>
      </c>
      <c r="B1309" s="2647" t="s">
        <v>3409</v>
      </c>
      <c r="C1309" s="2647">
        <v>55</v>
      </c>
      <c r="D1309" s="2647">
        <v>90</v>
      </c>
      <c r="E1309" s="2647">
        <v>54</v>
      </c>
      <c r="F1309" s="2647" t="s">
        <v>2088</v>
      </c>
      <c r="G1309" s="2647" t="s">
        <v>2088</v>
      </c>
      <c r="H1309" s="2647" t="s">
        <v>2088</v>
      </c>
      <c r="I1309" s="2647" t="s">
        <v>2088</v>
      </c>
      <c r="J1309" s="2647">
        <v>1.73</v>
      </c>
      <c r="K1309" s="2648"/>
      <c r="L1309" s="2647">
        <v>3187111</v>
      </c>
    </row>
    <row r="1310" spans="1:12">
      <c r="A1310" s="2646" t="s">
        <v>99</v>
      </c>
      <c r="B1310" s="2646" t="s">
        <v>3410</v>
      </c>
      <c r="C1310" s="2646">
        <v>400</v>
      </c>
      <c r="D1310" s="2646">
        <v>650</v>
      </c>
      <c r="E1310" s="2646">
        <v>240</v>
      </c>
      <c r="F1310" s="2646" t="s">
        <v>2088</v>
      </c>
      <c r="G1310" s="2646" t="s">
        <v>2088</v>
      </c>
      <c r="H1310" s="2646" t="s">
        <v>2088</v>
      </c>
      <c r="I1310" s="2646" t="s">
        <v>2088</v>
      </c>
      <c r="J1310" s="2646">
        <v>276</v>
      </c>
      <c r="L1310" s="2646" t="s">
        <v>3411</v>
      </c>
    </row>
    <row r="1311" spans="1:12">
      <c r="A1311" s="2647" t="s">
        <v>99</v>
      </c>
      <c r="B1311" s="2647">
        <v>370622</v>
      </c>
      <c r="C1311" s="2647">
        <v>110</v>
      </c>
      <c r="D1311" s="2647">
        <v>240</v>
      </c>
      <c r="E1311" s="2647">
        <v>118</v>
      </c>
      <c r="F1311" s="2647" t="s">
        <v>2088</v>
      </c>
      <c r="G1311" s="2647" t="s">
        <v>2088</v>
      </c>
      <c r="H1311" s="2647" t="s">
        <v>2088</v>
      </c>
      <c r="I1311" s="2647" t="s">
        <v>2088</v>
      </c>
      <c r="J1311" s="2647">
        <v>25.1</v>
      </c>
      <c r="K1311" s="2648"/>
      <c r="L1311" s="2647">
        <v>87722</v>
      </c>
    </row>
    <row r="1312" spans="1:12">
      <c r="A1312" s="2646" t="s">
        <v>99</v>
      </c>
      <c r="B1312" s="2646" t="s">
        <v>3412</v>
      </c>
      <c r="C1312" s="2646">
        <v>670</v>
      </c>
      <c r="D1312" s="2646">
        <v>980</v>
      </c>
      <c r="E1312" s="2646">
        <v>230</v>
      </c>
      <c r="F1312" s="2646" t="s">
        <v>2088</v>
      </c>
      <c r="G1312" s="2646" t="s">
        <v>2088</v>
      </c>
      <c r="H1312" s="2646" t="s">
        <v>2088</v>
      </c>
      <c r="I1312" s="2646" t="s">
        <v>2088</v>
      </c>
      <c r="J1312" s="2646">
        <v>553</v>
      </c>
      <c r="L1312" s="2646" t="s">
        <v>3413</v>
      </c>
    </row>
    <row r="1313" spans="1:12">
      <c r="A1313" s="2647" t="s">
        <v>99</v>
      </c>
      <c r="B1313" s="2647" t="s">
        <v>3414</v>
      </c>
      <c r="C1313" s="2647">
        <v>570</v>
      </c>
      <c r="D1313" s="2647">
        <v>750</v>
      </c>
      <c r="E1313" s="2647">
        <v>280</v>
      </c>
      <c r="F1313" s="2647" t="s">
        <v>2088</v>
      </c>
      <c r="G1313" s="2647" t="s">
        <v>2088</v>
      </c>
      <c r="H1313" s="2647" t="s">
        <v>2088</v>
      </c>
      <c r="I1313" s="2647" t="s">
        <v>2088</v>
      </c>
      <c r="J1313" s="2647">
        <v>287</v>
      </c>
      <c r="K1313" s="2648"/>
      <c r="L1313" s="2647" t="s">
        <v>3415</v>
      </c>
    </row>
    <row r="1314" spans="1:12">
      <c r="A1314" s="2646" t="s">
        <v>99</v>
      </c>
      <c r="B1314" s="2646" t="s">
        <v>3416</v>
      </c>
      <c r="C1314" s="2646">
        <v>550</v>
      </c>
      <c r="D1314" s="2646">
        <v>920</v>
      </c>
      <c r="E1314" s="2646">
        <v>330</v>
      </c>
      <c r="F1314" s="2646" t="s">
        <v>2088</v>
      </c>
      <c r="G1314" s="2646" t="s">
        <v>2088</v>
      </c>
      <c r="H1314" s="2646" t="s">
        <v>2088</v>
      </c>
      <c r="I1314" s="2646" t="s">
        <v>2088</v>
      </c>
      <c r="J1314" s="2646">
        <v>909</v>
      </c>
      <c r="L1314" s="2646" t="s">
        <v>3417</v>
      </c>
    </row>
    <row r="1315" spans="1:12">
      <c r="A1315" s="2647" t="s">
        <v>99</v>
      </c>
      <c r="B1315" s="2647" t="s">
        <v>3418</v>
      </c>
      <c r="C1315" s="2647">
        <v>501.625</v>
      </c>
      <c r="D1315" s="2647">
        <v>711.2</v>
      </c>
      <c r="E1315" s="2647">
        <v>250.82499999999999</v>
      </c>
      <c r="F1315" s="2647" t="s">
        <v>2088</v>
      </c>
      <c r="G1315" s="2647" t="s">
        <v>2088</v>
      </c>
      <c r="H1315" s="2647" t="s">
        <v>2088</v>
      </c>
      <c r="I1315" s="2647" t="s">
        <v>2088</v>
      </c>
      <c r="J1315" s="2647">
        <v>323</v>
      </c>
      <c r="K1315" s="2648"/>
      <c r="L1315" s="2647" t="s">
        <v>3419</v>
      </c>
    </row>
    <row r="1316" spans="1:12">
      <c r="A1316" s="2646" t="s">
        <v>99</v>
      </c>
      <c r="B1316" s="2646" t="s">
        <v>3420</v>
      </c>
      <c r="C1316" s="2646">
        <v>501.625</v>
      </c>
      <c r="D1316" s="2646">
        <v>711.2</v>
      </c>
      <c r="E1316" s="2646">
        <v>250.82499999999999</v>
      </c>
      <c r="F1316" s="2646" t="s">
        <v>2088</v>
      </c>
      <c r="G1316" s="2646" t="s">
        <v>2088</v>
      </c>
      <c r="H1316" s="2646" t="s">
        <v>2088</v>
      </c>
      <c r="I1316" s="2646" t="s">
        <v>2088</v>
      </c>
      <c r="J1316" s="2646">
        <v>323</v>
      </c>
      <c r="L1316" s="2646" t="s">
        <v>3421</v>
      </c>
    </row>
    <row r="1317" spans="1:12">
      <c r="A1317" s="2647" t="s">
        <v>99</v>
      </c>
      <c r="B1317" s="2647" t="s">
        <v>3422</v>
      </c>
      <c r="C1317" s="2647">
        <v>500</v>
      </c>
      <c r="D1317" s="2647">
        <v>730</v>
      </c>
      <c r="E1317" s="2647">
        <v>280</v>
      </c>
      <c r="F1317" s="2647" t="s">
        <v>2088</v>
      </c>
      <c r="G1317" s="2647" t="s">
        <v>2088</v>
      </c>
      <c r="H1317" s="2647" t="s">
        <v>2088</v>
      </c>
      <c r="I1317" s="2647" t="s">
        <v>2088</v>
      </c>
      <c r="J1317" s="2647">
        <v>420</v>
      </c>
      <c r="K1317" s="2648"/>
      <c r="L1317" s="2647" t="s">
        <v>3421</v>
      </c>
    </row>
    <row r="1318" spans="1:12">
      <c r="A1318" s="2646" t="s">
        <v>99</v>
      </c>
      <c r="B1318" s="2646" t="s">
        <v>3423</v>
      </c>
      <c r="C1318" s="2646">
        <v>305.07900000000001</v>
      </c>
      <c r="D1318" s="2646">
        <v>500</v>
      </c>
      <c r="E1318" s="2646">
        <v>200</v>
      </c>
      <c r="F1318" s="2646" t="s">
        <v>2088</v>
      </c>
      <c r="G1318" s="2646" t="s">
        <v>2088</v>
      </c>
      <c r="H1318" s="2646" t="s">
        <v>2088</v>
      </c>
      <c r="I1318" s="2646" t="s">
        <v>2088</v>
      </c>
      <c r="J1318" s="2646">
        <v>141</v>
      </c>
      <c r="L1318" s="2646">
        <v>187761</v>
      </c>
    </row>
    <row r="1319" spans="1:12">
      <c r="A1319" s="2647" t="s">
        <v>99</v>
      </c>
      <c r="B1319" s="2647" t="s">
        <v>3424</v>
      </c>
      <c r="C1319" s="2647">
        <v>305.07</v>
      </c>
      <c r="D1319" s="2647">
        <v>500</v>
      </c>
      <c r="E1319" s="2647">
        <v>200</v>
      </c>
      <c r="F1319" s="2647" t="s">
        <v>2088</v>
      </c>
      <c r="G1319" s="2647" t="s">
        <v>2088</v>
      </c>
      <c r="H1319" s="2647" t="s">
        <v>2088</v>
      </c>
      <c r="I1319" s="2647" t="s">
        <v>2088</v>
      </c>
      <c r="J1319" s="2647">
        <v>122</v>
      </c>
      <c r="K1319" s="2648"/>
      <c r="L1319" s="2647" t="s">
        <v>3425</v>
      </c>
    </row>
    <row r="1320" spans="1:12">
      <c r="A1320" s="2646" t="s">
        <v>99</v>
      </c>
      <c r="B1320" s="2646" t="s">
        <v>3426</v>
      </c>
      <c r="C1320" s="2646">
        <v>50.8</v>
      </c>
      <c r="D1320" s="2646">
        <v>88.9</v>
      </c>
      <c r="E1320" s="2646">
        <v>20.638000000000002</v>
      </c>
      <c r="F1320" s="2646" t="s">
        <v>2088</v>
      </c>
      <c r="G1320" s="2646" t="s">
        <v>2088</v>
      </c>
      <c r="H1320" s="2646" t="s">
        <v>2088</v>
      </c>
      <c r="I1320" s="2646" t="s">
        <v>2088</v>
      </c>
      <c r="J1320" s="2646">
        <v>0.52</v>
      </c>
      <c r="L1320" s="2646" t="s">
        <v>2088</v>
      </c>
    </row>
    <row r="1321" spans="1:12">
      <c r="A1321" s="2647" t="s">
        <v>99</v>
      </c>
      <c r="B1321" s="2647" t="s">
        <v>3427</v>
      </c>
      <c r="C1321" s="2647">
        <v>50.8</v>
      </c>
      <c r="D1321" s="2647">
        <v>88.9</v>
      </c>
      <c r="E1321" s="2647">
        <v>20.638000000000002</v>
      </c>
      <c r="F1321" s="2647" t="s">
        <v>2088</v>
      </c>
      <c r="G1321" s="2647" t="s">
        <v>2088</v>
      </c>
      <c r="H1321" s="2647" t="s">
        <v>2088</v>
      </c>
      <c r="I1321" s="2647" t="s">
        <v>2088</v>
      </c>
      <c r="J1321" s="2647">
        <v>0</v>
      </c>
      <c r="K1321" s="2648"/>
      <c r="L1321" s="2647" t="s">
        <v>2088</v>
      </c>
    </row>
    <row r="1322" spans="1:12">
      <c r="A1322" s="2646" t="s">
        <v>99</v>
      </c>
      <c r="B1322" s="2646" t="s">
        <v>3428</v>
      </c>
      <c r="C1322" s="2646">
        <v>66.674999999999997</v>
      </c>
      <c r="D1322" s="2646">
        <v>122.238</v>
      </c>
      <c r="E1322" s="2646">
        <v>38.1</v>
      </c>
      <c r="F1322" s="2646" t="s">
        <v>2088</v>
      </c>
      <c r="G1322" s="2646" t="s">
        <v>2088</v>
      </c>
      <c r="H1322" s="2646" t="s">
        <v>2088</v>
      </c>
      <c r="I1322" s="2646" t="s">
        <v>2088</v>
      </c>
      <c r="J1322" s="2646">
        <v>0</v>
      </c>
      <c r="L1322" s="2646" t="s">
        <v>2088</v>
      </c>
    </row>
    <row r="1323" spans="1:12">
      <c r="A1323" s="2647" t="s">
        <v>99</v>
      </c>
      <c r="B1323" s="2647" t="s">
        <v>3429</v>
      </c>
      <c r="C1323" s="2647">
        <v>63.5</v>
      </c>
      <c r="D1323" s="2647">
        <v>123.825</v>
      </c>
      <c r="E1323" s="2647">
        <v>38.1</v>
      </c>
      <c r="F1323" s="2647" t="s">
        <v>2088</v>
      </c>
      <c r="G1323" s="2647" t="s">
        <v>2088</v>
      </c>
      <c r="H1323" s="2647" t="s">
        <v>2088</v>
      </c>
      <c r="I1323" s="2647" t="s">
        <v>2088</v>
      </c>
      <c r="J1323" s="2647">
        <v>1.99</v>
      </c>
      <c r="K1323" s="2648"/>
      <c r="L1323" s="2647" t="s">
        <v>2088</v>
      </c>
    </row>
    <row r="1324" spans="1:12">
      <c r="A1324" s="2646" t="s">
        <v>99</v>
      </c>
      <c r="B1324" s="2646" t="s">
        <v>3430</v>
      </c>
      <c r="C1324" s="2646">
        <v>63.5</v>
      </c>
      <c r="D1324" s="2646">
        <v>123.825</v>
      </c>
      <c r="E1324" s="2646">
        <v>38.1</v>
      </c>
      <c r="F1324" s="2646" t="s">
        <v>2088</v>
      </c>
      <c r="G1324" s="2646" t="s">
        <v>2088</v>
      </c>
      <c r="H1324" s="2646" t="s">
        <v>2088</v>
      </c>
      <c r="I1324" s="2646" t="s">
        <v>2088</v>
      </c>
      <c r="J1324" s="2646">
        <v>2.0350000000000001</v>
      </c>
      <c r="L1324" s="2646" t="s">
        <v>2088</v>
      </c>
    </row>
    <row r="1325" spans="1:12">
      <c r="A1325" s="2647" t="s">
        <v>99</v>
      </c>
      <c r="B1325" s="2647" t="s">
        <v>3431</v>
      </c>
      <c r="C1325" s="2647">
        <v>53.975000000000001</v>
      </c>
      <c r="D1325" s="2647">
        <v>123.825</v>
      </c>
      <c r="E1325" s="2647">
        <v>38.1</v>
      </c>
      <c r="F1325" s="2647" t="s">
        <v>2088</v>
      </c>
      <c r="G1325" s="2647" t="s">
        <v>2088</v>
      </c>
      <c r="H1325" s="2647" t="s">
        <v>2088</v>
      </c>
      <c r="I1325" s="2647" t="s">
        <v>2088</v>
      </c>
      <c r="J1325" s="2647">
        <v>0</v>
      </c>
      <c r="K1325" s="2648"/>
      <c r="L1325" s="2647" t="s">
        <v>2088</v>
      </c>
    </row>
    <row r="1326" spans="1:12">
      <c r="A1326" s="2646" t="s">
        <v>99</v>
      </c>
      <c r="B1326" s="2646" t="s">
        <v>3432</v>
      </c>
      <c r="C1326" s="2646">
        <v>50.8</v>
      </c>
      <c r="D1326" s="2646">
        <v>107</v>
      </c>
      <c r="E1326" s="2646">
        <v>36.512</v>
      </c>
      <c r="F1326" s="2646" t="s">
        <v>2088</v>
      </c>
      <c r="G1326" s="2646" t="s">
        <v>2088</v>
      </c>
      <c r="H1326" s="2646" t="s">
        <v>2088</v>
      </c>
      <c r="I1326" s="2646" t="s">
        <v>2088</v>
      </c>
      <c r="J1326" s="2646">
        <v>0</v>
      </c>
      <c r="L1326" s="2646" t="s">
        <v>2088</v>
      </c>
    </row>
    <row r="1327" spans="1:12">
      <c r="A1327" s="2647" t="s">
        <v>99</v>
      </c>
      <c r="B1327" s="2647" t="s">
        <v>3433</v>
      </c>
      <c r="C1327" s="2647">
        <v>55.561999999999998</v>
      </c>
      <c r="D1327" s="2647">
        <v>122.238</v>
      </c>
      <c r="E1327" s="2647">
        <v>43.658000000000001</v>
      </c>
      <c r="F1327" s="2647" t="s">
        <v>2088</v>
      </c>
      <c r="G1327" s="2647" t="s">
        <v>2088</v>
      </c>
      <c r="H1327" s="2647" t="s">
        <v>2088</v>
      </c>
      <c r="I1327" s="2647" t="s">
        <v>2088</v>
      </c>
      <c r="J1327" s="2647">
        <v>0</v>
      </c>
      <c r="K1327" s="2648"/>
      <c r="L1327" s="2647" t="s">
        <v>2088</v>
      </c>
    </row>
    <row r="1328" spans="1:12">
      <c r="A1328" s="2646" t="s">
        <v>99</v>
      </c>
      <c r="B1328" s="2646" t="s">
        <v>3434</v>
      </c>
      <c r="C1328" s="2646">
        <v>50.8</v>
      </c>
      <c r="D1328" s="2646">
        <v>122.238</v>
      </c>
      <c r="E1328" s="2646">
        <v>43.08</v>
      </c>
      <c r="F1328" s="2646" t="s">
        <v>2088</v>
      </c>
      <c r="G1328" s="2646" t="s">
        <v>2088</v>
      </c>
      <c r="H1328" s="2646" t="s">
        <v>2088</v>
      </c>
      <c r="I1328" s="2646" t="s">
        <v>2088</v>
      </c>
      <c r="J1328" s="2646">
        <v>2.76</v>
      </c>
      <c r="L1328" s="2646" t="s">
        <v>2088</v>
      </c>
    </row>
    <row r="1329" spans="1:12">
      <c r="A1329" s="2647" t="s">
        <v>99</v>
      </c>
      <c r="B1329" s="2647" t="s">
        <v>3435</v>
      </c>
      <c r="C1329" s="2647">
        <v>57.15</v>
      </c>
      <c r="D1329" s="2647">
        <v>122.238</v>
      </c>
      <c r="E1329" s="2647">
        <v>38.1</v>
      </c>
      <c r="F1329" s="2647" t="s">
        <v>2088</v>
      </c>
      <c r="G1329" s="2647" t="s">
        <v>2088</v>
      </c>
      <c r="H1329" s="2647" t="s">
        <v>2088</v>
      </c>
      <c r="I1329" s="2647" t="s">
        <v>2088</v>
      </c>
      <c r="J1329" s="2647">
        <v>0</v>
      </c>
      <c r="K1329" s="2648"/>
      <c r="L1329" s="2647" t="s">
        <v>2088</v>
      </c>
    </row>
    <row r="1330" spans="1:12">
      <c r="A1330" s="2646" t="s">
        <v>99</v>
      </c>
      <c r="B1330" s="2646" t="s">
        <v>3436</v>
      </c>
      <c r="C1330" s="2646">
        <v>50.8</v>
      </c>
      <c r="D1330" s="2646">
        <v>122.238</v>
      </c>
      <c r="E1330" s="2646">
        <v>38.1</v>
      </c>
      <c r="F1330" s="2646" t="s">
        <v>2088</v>
      </c>
      <c r="G1330" s="2646" t="s">
        <v>2088</v>
      </c>
      <c r="H1330" s="2646" t="s">
        <v>2088</v>
      </c>
      <c r="I1330" s="2646" t="s">
        <v>2088</v>
      </c>
      <c r="J1330" s="2646">
        <v>0</v>
      </c>
      <c r="L1330" s="2646" t="s">
        <v>2088</v>
      </c>
    </row>
    <row r="1331" spans="1:12">
      <c r="A1331" s="2647" t="s">
        <v>99</v>
      </c>
      <c r="B1331" s="2647" t="s">
        <v>3437</v>
      </c>
      <c r="C1331" s="2647">
        <v>61.911999999999999</v>
      </c>
      <c r="D1331" s="2647">
        <v>122.238</v>
      </c>
      <c r="E1331" s="2647">
        <v>38.1</v>
      </c>
      <c r="F1331" s="2647" t="s">
        <v>2088</v>
      </c>
      <c r="G1331" s="2647" t="s">
        <v>2088</v>
      </c>
      <c r="H1331" s="2647" t="s">
        <v>2088</v>
      </c>
      <c r="I1331" s="2647" t="s">
        <v>2088</v>
      </c>
      <c r="J1331" s="2647">
        <v>0</v>
      </c>
      <c r="K1331" s="2648"/>
      <c r="L1331" s="2647" t="s">
        <v>2088</v>
      </c>
    </row>
    <row r="1332" spans="1:12">
      <c r="A1332" s="2646" t="s">
        <v>99</v>
      </c>
      <c r="B1332" s="2646" t="s">
        <v>3438</v>
      </c>
      <c r="C1332" s="2646">
        <v>50.8</v>
      </c>
      <c r="D1332" s="2646">
        <v>111.125</v>
      </c>
      <c r="E1332" s="2646">
        <v>30.161999999999999</v>
      </c>
      <c r="F1332" s="2646" t="s">
        <v>2088</v>
      </c>
      <c r="G1332" s="2646" t="s">
        <v>2088</v>
      </c>
      <c r="H1332" s="2646" t="s">
        <v>2088</v>
      </c>
      <c r="I1332" s="2646" t="s">
        <v>2088</v>
      </c>
      <c r="J1332" s="2646">
        <v>0</v>
      </c>
      <c r="L1332" s="2646" t="s">
        <v>2088</v>
      </c>
    </row>
    <row r="1333" spans="1:12">
      <c r="A1333" s="2647" t="s">
        <v>99</v>
      </c>
      <c r="B1333" s="2647" t="s">
        <v>3439</v>
      </c>
      <c r="C1333" s="2647">
        <v>47.625</v>
      </c>
      <c r="D1333" s="2647">
        <v>111.125</v>
      </c>
      <c r="E1333" s="2647">
        <v>30.161999999999999</v>
      </c>
      <c r="F1333" s="2647" t="s">
        <v>2088</v>
      </c>
      <c r="G1333" s="2647" t="s">
        <v>2088</v>
      </c>
      <c r="H1333" s="2647" t="s">
        <v>2088</v>
      </c>
      <c r="I1333" s="2647" t="s">
        <v>2088</v>
      </c>
      <c r="J1333" s="2647">
        <v>0</v>
      </c>
      <c r="K1333" s="2648"/>
      <c r="L1333" s="2647" t="s">
        <v>2088</v>
      </c>
    </row>
    <row r="1334" spans="1:12">
      <c r="A1334" s="2646" t="s">
        <v>99</v>
      </c>
      <c r="B1334" s="2646" t="s">
        <v>3440</v>
      </c>
      <c r="C1334" s="2646">
        <v>44.45</v>
      </c>
      <c r="D1334" s="2646">
        <v>112.712</v>
      </c>
      <c r="E1334" s="2646">
        <v>30.161999999999999</v>
      </c>
      <c r="F1334" s="2646" t="s">
        <v>2088</v>
      </c>
      <c r="G1334" s="2646" t="s">
        <v>2088</v>
      </c>
      <c r="H1334" s="2646" t="s">
        <v>2088</v>
      </c>
      <c r="I1334" s="2646" t="s">
        <v>2088</v>
      </c>
      <c r="J1334" s="2646">
        <v>0</v>
      </c>
      <c r="L1334" s="2646" t="s">
        <v>2088</v>
      </c>
    </row>
    <row r="1335" spans="1:12">
      <c r="A1335" s="2647" t="s">
        <v>99</v>
      </c>
      <c r="B1335" s="2647" t="s">
        <v>3441</v>
      </c>
      <c r="C1335" s="2647">
        <v>285.75</v>
      </c>
      <c r="D1335" s="2647">
        <v>354.012</v>
      </c>
      <c r="E1335" s="2647">
        <v>33.338000000000001</v>
      </c>
      <c r="F1335" s="2647" t="s">
        <v>2088</v>
      </c>
      <c r="G1335" s="2647" t="s">
        <v>2088</v>
      </c>
      <c r="H1335" s="2647" t="s">
        <v>2088</v>
      </c>
      <c r="I1335" s="2647" t="s">
        <v>2088</v>
      </c>
      <c r="J1335" s="2647">
        <v>0</v>
      </c>
      <c r="K1335" s="2648"/>
      <c r="L1335" s="2647" t="s">
        <v>2088</v>
      </c>
    </row>
    <row r="1336" spans="1:12">
      <c r="A1336" s="2646" t="s">
        <v>99</v>
      </c>
      <c r="B1336" s="2646" t="s">
        <v>3442</v>
      </c>
      <c r="C1336" s="2646">
        <v>231.77500000000001</v>
      </c>
      <c r="D1336" s="2646">
        <v>300.03800000000001</v>
      </c>
      <c r="E1336" s="2646">
        <v>33.338000000000001</v>
      </c>
      <c r="F1336" s="2646" t="s">
        <v>2088</v>
      </c>
      <c r="G1336" s="2646" t="s">
        <v>2088</v>
      </c>
      <c r="H1336" s="2646" t="s">
        <v>2088</v>
      </c>
      <c r="I1336" s="2646" t="s">
        <v>2088</v>
      </c>
      <c r="J1336" s="2646">
        <v>0</v>
      </c>
      <c r="L1336" s="2646" t="s">
        <v>2088</v>
      </c>
    </row>
    <row r="1337" spans="1:12">
      <c r="A1337" s="2647" t="s">
        <v>99</v>
      </c>
      <c r="B1337" s="2647" t="s">
        <v>3443</v>
      </c>
      <c r="C1337" s="2647">
        <v>228.6</v>
      </c>
      <c r="D1337" s="2647">
        <v>300.03800000000001</v>
      </c>
      <c r="E1337" s="2647">
        <v>33.338000000000001</v>
      </c>
      <c r="F1337" s="2647" t="s">
        <v>2088</v>
      </c>
      <c r="G1337" s="2647" t="s">
        <v>2088</v>
      </c>
      <c r="H1337" s="2647" t="s">
        <v>2088</v>
      </c>
      <c r="I1337" s="2647" t="s">
        <v>2088</v>
      </c>
      <c r="J1337" s="2647">
        <v>0</v>
      </c>
      <c r="K1337" s="2648"/>
      <c r="L1337" s="2647" t="s">
        <v>2088</v>
      </c>
    </row>
    <row r="1338" spans="1:12">
      <c r="A1338" s="2646" t="s">
        <v>99</v>
      </c>
      <c r="B1338" s="2646" t="s">
        <v>3444</v>
      </c>
      <c r="C1338" s="2646">
        <v>228.6</v>
      </c>
      <c r="D1338" s="2646">
        <v>295.27499999999998</v>
      </c>
      <c r="E1338" s="2646">
        <v>33.338000000000001</v>
      </c>
      <c r="F1338" s="2646" t="s">
        <v>2088</v>
      </c>
      <c r="G1338" s="2646" t="s">
        <v>2088</v>
      </c>
      <c r="H1338" s="2646" t="s">
        <v>2088</v>
      </c>
      <c r="I1338" s="2646" t="s">
        <v>2088</v>
      </c>
      <c r="J1338" s="2646">
        <v>0</v>
      </c>
      <c r="L1338" s="2646" t="s">
        <v>2088</v>
      </c>
    </row>
    <row r="1339" spans="1:12">
      <c r="A1339" s="2647" t="s">
        <v>99</v>
      </c>
      <c r="B1339" s="2647" t="s">
        <v>3445</v>
      </c>
      <c r="C1339" s="2647">
        <v>49.212000000000003</v>
      </c>
      <c r="D1339" s="2647">
        <v>103.188</v>
      </c>
      <c r="E1339" s="2647">
        <v>43.658000000000001</v>
      </c>
      <c r="F1339" s="2647" t="s">
        <v>2088</v>
      </c>
      <c r="G1339" s="2647" t="s">
        <v>2088</v>
      </c>
      <c r="H1339" s="2647" t="s">
        <v>2088</v>
      </c>
      <c r="I1339" s="2647" t="s">
        <v>2088</v>
      </c>
      <c r="J1339" s="2647">
        <v>0</v>
      </c>
      <c r="K1339" s="2648"/>
      <c r="L1339" s="2647" t="s">
        <v>2088</v>
      </c>
    </row>
    <row r="1340" spans="1:12">
      <c r="A1340" s="2646" t="s">
        <v>99</v>
      </c>
      <c r="B1340" s="2646" t="s">
        <v>3446</v>
      </c>
      <c r="C1340" s="2646">
        <v>44.45</v>
      </c>
      <c r="D1340" s="2646">
        <v>92</v>
      </c>
      <c r="E1340" s="2646">
        <v>26</v>
      </c>
      <c r="F1340" s="2646" t="s">
        <v>2088</v>
      </c>
      <c r="G1340" s="2646" t="s">
        <v>2088</v>
      </c>
      <c r="H1340" s="2646" t="s">
        <v>2088</v>
      </c>
      <c r="I1340" s="2646" t="s">
        <v>2088</v>
      </c>
      <c r="J1340" s="2646">
        <v>0.623</v>
      </c>
      <c r="L1340" s="2646" t="s">
        <v>2088</v>
      </c>
    </row>
    <row r="1341" spans="1:12">
      <c r="A1341" s="2647" t="s">
        <v>99</v>
      </c>
      <c r="B1341" s="2647" t="s">
        <v>3447</v>
      </c>
      <c r="C1341" s="2647">
        <v>44.45</v>
      </c>
      <c r="D1341" s="2647">
        <v>95.25</v>
      </c>
      <c r="E1341" s="2647">
        <v>30.957999999999998</v>
      </c>
      <c r="F1341" s="2647" t="s">
        <v>2088</v>
      </c>
      <c r="G1341" s="2647" t="s">
        <v>2088</v>
      </c>
      <c r="H1341" s="2647" t="s">
        <v>2088</v>
      </c>
      <c r="I1341" s="2647" t="s">
        <v>2088</v>
      </c>
      <c r="J1341" s="2647">
        <v>0.92700000000000005</v>
      </c>
      <c r="K1341" s="2648"/>
      <c r="L1341" s="2647" t="s">
        <v>2088</v>
      </c>
    </row>
    <row r="1342" spans="1:12">
      <c r="A1342" s="2646" t="s">
        <v>99</v>
      </c>
      <c r="B1342" s="2646" t="s">
        <v>3448</v>
      </c>
      <c r="C1342" s="2646">
        <v>101.6</v>
      </c>
      <c r="D1342" s="2646">
        <v>157.16200000000001</v>
      </c>
      <c r="E1342" s="2646">
        <v>36.512</v>
      </c>
      <c r="F1342" s="2646" t="s">
        <v>2088</v>
      </c>
      <c r="G1342" s="2646" t="s">
        <v>2088</v>
      </c>
      <c r="H1342" s="2646" t="s">
        <v>2088</v>
      </c>
      <c r="I1342" s="2646" t="s">
        <v>2088</v>
      </c>
      <c r="J1342" s="2646">
        <v>0</v>
      </c>
      <c r="L1342" s="2646" t="s">
        <v>2088</v>
      </c>
    </row>
    <row r="1343" spans="1:12">
      <c r="A1343" s="2647" t="s">
        <v>99</v>
      </c>
      <c r="B1343" s="2647" t="s">
        <v>3449</v>
      </c>
      <c r="C1343" s="2647">
        <v>100.012</v>
      </c>
      <c r="D1343" s="2647">
        <v>157.16200000000001</v>
      </c>
      <c r="E1343" s="2647">
        <v>36.512</v>
      </c>
      <c r="F1343" s="2647" t="s">
        <v>2088</v>
      </c>
      <c r="G1343" s="2647" t="s">
        <v>2088</v>
      </c>
      <c r="H1343" s="2647" t="s">
        <v>2088</v>
      </c>
      <c r="I1343" s="2647" t="s">
        <v>2088</v>
      </c>
      <c r="J1343" s="2647">
        <v>0</v>
      </c>
      <c r="K1343" s="2648"/>
      <c r="L1343" s="2647" t="s">
        <v>2088</v>
      </c>
    </row>
    <row r="1344" spans="1:12">
      <c r="A1344" s="2646" t="s">
        <v>99</v>
      </c>
      <c r="B1344" s="2646" t="s">
        <v>3450</v>
      </c>
      <c r="C1344" s="2646">
        <v>98.424999999999997</v>
      </c>
      <c r="D1344" s="2646">
        <v>161.92500000000001</v>
      </c>
      <c r="E1344" s="2646">
        <v>36.512</v>
      </c>
      <c r="F1344" s="2646" t="s">
        <v>2088</v>
      </c>
      <c r="G1344" s="2646" t="s">
        <v>2088</v>
      </c>
      <c r="H1344" s="2646" t="s">
        <v>2088</v>
      </c>
      <c r="I1344" s="2646" t="s">
        <v>2088</v>
      </c>
      <c r="J1344" s="2646">
        <v>0</v>
      </c>
      <c r="L1344" s="2646" t="s">
        <v>2088</v>
      </c>
    </row>
    <row r="1345" spans="1:12">
      <c r="A1345" s="2647" t="s">
        <v>99</v>
      </c>
      <c r="B1345" s="2647" t="s">
        <v>3451</v>
      </c>
      <c r="C1345" s="2647">
        <v>95.25</v>
      </c>
      <c r="D1345" s="2647">
        <v>157.16200000000001</v>
      </c>
      <c r="E1345" s="2647">
        <v>36.512</v>
      </c>
      <c r="F1345" s="2647" t="s">
        <v>2088</v>
      </c>
      <c r="G1345" s="2647" t="s">
        <v>2088</v>
      </c>
      <c r="H1345" s="2647" t="s">
        <v>2088</v>
      </c>
      <c r="I1345" s="2647" t="s">
        <v>2088</v>
      </c>
      <c r="J1345" s="2647">
        <v>0</v>
      </c>
      <c r="K1345" s="2648"/>
      <c r="L1345" s="2647" t="s">
        <v>2088</v>
      </c>
    </row>
    <row r="1346" spans="1:12">
      <c r="A1346" s="2646" t="s">
        <v>99</v>
      </c>
      <c r="B1346" s="2646" t="s">
        <v>3452</v>
      </c>
      <c r="C1346" s="2646">
        <v>84.138000000000005</v>
      </c>
      <c r="D1346" s="2646">
        <v>133.35</v>
      </c>
      <c r="E1346" s="2646">
        <v>30.161999999999999</v>
      </c>
      <c r="F1346" s="2646" t="s">
        <v>2088</v>
      </c>
      <c r="G1346" s="2646" t="s">
        <v>2088</v>
      </c>
      <c r="H1346" s="2646" t="s">
        <v>2088</v>
      </c>
      <c r="I1346" s="2646" t="s">
        <v>2088</v>
      </c>
      <c r="J1346" s="2646">
        <v>1.47</v>
      </c>
      <c r="L1346" s="2646" t="s">
        <v>2088</v>
      </c>
    </row>
    <row r="1347" spans="1:12">
      <c r="A1347" s="2647" t="s">
        <v>99</v>
      </c>
      <c r="B1347" s="2647" t="s">
        <v>3453</v>
      </c>
      <c r="C1347" s="2647">
        <v>84.138000000000005</v>
      </c>
      <c r="D1347" s="2647">
        <v>133.35</v>
      </c>
      <c r="E1347" s="2647">
        <v>30.161999999999999</v>
      </c>
      <c r="F1347" s="2647" t="s">
        <v>2088</v>
      </c>
      <c r="G1347" s="2647" t="s">
        <v>2088</v>
      </c>
      <c r="H1347" s="2647" t="s">
        <v>2088</v>
      </c>
      <c r="I1347" s="2647" t="s">
        <v>2088</v>
      </c>
      <c r="J1347" s="2647">
        <v>0</v>
      </c>
      <c r="K1347" s="2648"/>
      <c r="L1347" s="2647" t="s">
        <v>2088</v>
      </c>
    </row>
    <row r="1348" spans="1:12">
      <c r="A1348" s="2646" t="s">
        <v>99</v>
      </c>
      <c r="B1348" s="2646" t="s">
        <v>3454</v>
      </c>
      <c r="C1348" s="2646">
        <v>85.125</v>
      </c>
      <c r="D1348" s="2646">
        <v>136.52500000000001</v>
      </c>
      <c r="E1348" s="2646">
        <v>30.163</v>
      </c>
      <c r="F1348" s="2646" t="s">
        <v>2088</v>
      </c>
      <c r="G1348" s="2646" t="s">
        <v>2088</v>
      </c>
      <c r="H1348" s="2646" t="s">
        <v>2088</v>
      </c>
      <c r="I1348" s="2646" t="s">
        <v>2088</v>
      </c>
      <c r="J1348" s="2646">
        <v>1.6</v>
      </c>
      <c r="L1348" s="2646" t="s">
        <v>2088</v>
      </c>
    </row>
    <row r="1349" spans="1:12">
      <c r="A1349" s="2647" t="s">
        <v>99</v>
      </c>
      <c r="B1349" s="2647" t="s">
        <v>3455</v>
      </c>
      <c r="C1349" s="2647">
        <v>85.724999999999994</v>
      </c>
      <c r="D1349" s="2647">
        <v>133.35</v>
      </c>
      <c r="E1349" s="2647">
        <v>30.161999999999999</v>
      </c>
      <c r="F1349" s="2647" t="s">
        <v>2088</v>
      </c>
      <c r="G1349" s="2647" t="s">
        <v>2088</v>
      </c>
      <c r="H1349" s="2647" t="s">
        <v>2088</v>
      </c>
      <c r="I1349" s="2647" t="s">
        <v>2088</v>
      </c>
      <c r="J1349" s="2647">
        <v>1.4219999999999999</v>
      </c>
      <c r="K1349" s="2648"/>
      <c r="L1349" s="2647" t="s">
        <v>2088</v>
      </c>
    </row>
    <row r="1350" spans="1:12">
      <c r="A1350" s="2646" t="s">
        <v>99</v>
      </c>
      <c r="B1350" s="2646" t="s">
        <v>3456</v>
      </c>
      <c r="C1350" s="2646">
        <v>80.962000000000003</v>
      </c>
      <c r="D1350" s="2646">
        <v>133.35</v>
      </c>
      <c r="E1350" s="2646">
        <v>33.338000000000001</v>
      </c>
      <c r="F1350" s="2646" t="s">
        <v>2088</v>
      </c>
      <c r="G1350" s="2646" t="s">
        <v>2088</v>
      </c>
      <c r="H1350" s="2646" t="s">
        <v>2088</v>
      </c>
      <c r="I1350" s="2646" t="s">
        <v>2088</v>
      </c>
      <c r="J1350" s="2646">
        <v>0</v>
      </c>
      <c r="L1350" s="2646" t="s">
        <v>2088</v>
      </c>
    </row>
    <row r="1351" spans="1:12">
      <c r="A1351" s="2647" t="s">
        <v>99</v>
      </c>
      <c r="B1351" s="2647" t="s">
        <v>3457</v>
      </c>
      <c r="C1351" s="2647">
        <v>80.962000000000003</v>
      </c>
      <c r="D1351" s="2647">
        <v>136.52500000000001</v>
      </c>
      <c r="E1351" s="2647">
        <v>30.161999999999999</v>
      </c>
      <c r="F1351" s="2647" t="s">
        <v>2088</v>
      </c>
      <c r="G1351" s="2647" t="s">
        <v>2088</v>
      </c>
      <c r="H1351" s="2647" t="s">
        <v>2088</v>
      </c>
      <c r="I1351" s="2647" t="s">
        <v>2088</v>
      </c>
      <c r="J1351" s="2647">
        <v>1.75</v>
      </c>
      <c r="K1351" s="2648"/>
      <c r="L1351" s="2647" t="s">
        <v>2088</v>
      </c>
    </row>
    <row r="1352" spans="1:12">
      <c r="A1352" s="2646" t="s">
        <v>99</v>
      </c>
      <c r="B1352" s="2646" t="s">
        <v>3458</v>
      </c>
      <c r="C1352" s="2646">
        <v>80.962000000000003</v>
      </c>
      <c r="D1352" s="2646">
        <v>133.35</v>
      </c>
      <c r="E1352" s="2646">
        <v>30.161999999999999</v>
      </c>
      <c r="F1352" s="2646" t="s">
        <v>2088</v>
      </c>
      <c r="G1352" s="2646" t="s">
        <v>2088</v>
      </c>
      <c r="H1352" s="2646" t="s">
        <v>2088</v>
      </c>
      <c r="I1352" s="2646" t="s">
        <v>2088</v>
      </c>
      <c r="J1352" s="2646">
        <v>0</v>
      </c>
      <c r="L1352" s="2646" t="s">
        <v>2088</v>
      </c>
    </row>
    <row r="1353" spans="1:12">
      <c r="A1353" s="2647" t="s">
        <v>99</v>
      </c>
      <c r="B1353" s="2647" t="s">
        <v>3459</v>
      </c>
      <c r="C1353" s="2647">
        <v>76.2</v>
      </c>
      <c r="D1353" s="2647">
        <v>133.35</v>
      </c>
      <c r="E1353" s="2647">
        <v>30.161999999999999</v>
      </c>
      <c r="F1353" s="2647" t="s">
        <v>2088</v>
      </c>
      <c r="G1353" s="2647" t="s">
        <v>2088</v>
      </c>
      <c r="H1353" s="2647" t="s">
        <v>2088</v>
      </c>
      <c r="I1353" s="2647" t="s">
        <v>2088</v>
      </c>
      <c r="J1353" s="2647">
        <v>0</v>
      </c>
      <c r="K1353" s="2648"/>
      <c r="L1353" s="2647" t="s">
        <v>2088</v>
      </c>
    </row>
    <row r="1354" spans="1:12">
      <c r="A1354" s="2646" t="s">
        <v>99</v>
      </c>
      <c r="B1354" s="2646" t="s">
        <v>3460</v>
      </c>
      <c r="C1354" s="2646">
        <v>77.787999999999997</v>
      </c>
      <c r="D1354" s="2646">
        <v>133.35</v>
      </c>
      <c r="E1354" s="2646">
        <v>30.161999999999999</v>
      </c>
      <c r="F1354" s="2646" t="s">
        <v>2088</v>
      </c>
      <c r="G1354" s="2646" t="s">
        <v>2088</v>
      </c>
      <c r="H1354" s="2646" t="s">
        <v>2088</v>
      </c>
      <c r="I1354" s="2646" t="s">
        <v>2088</v>
      </c>
      <c r="J1354" s="2646">
        <v>0</v>
      </c>
      <c r="L1354" s="2646" t="s">
        <v>2088</v>
      </c>
    </row>
    <row r="1355" spans="1:12">
      <c r="A1355" s="2647" t="s">
        <v>99</v>
      </c>
      <c r="B1355" s="2647" t="s">
        <v>3461</v>
      </c>
      <c r="C1355" s="2647">
        <v>76.2</v>
      </c>
      <c r="D1355" s="2647">
        <v>136.52500000000001</v>
      </c>
      <c r="E1355" s="2647">
        <v>30.161999999999999</v>
      </c>
      <c r="F1355" s="2647" t="s">
        <v>2088</v>
      </c>
      <c r="G1355" s="2647" t="s">
        <v>2088</v>
      </c>
      <c r="H1355" s="2647" t="s">
        <v>2088</v>
      </c>
      <c r="I1355" s="2647" t="s">
        <v>2088</v>
      </c>
      <c r="J1355" s="2647">
        <v>1.82</v>
      </c>
      <c r="K1355" s="2648"/>
      <c r="L1355" s="2647" t="s">
        <v>2088</v>
      </c>
    </row>
    <row r="1356" spans="1:12">
      <c r="A1356" s="2646" t="s">
        <v>99</v>
      </c>
      <c r="B1356" s="2646" t="s">
        <v>3462</v>
      </c>
      <c r="C1356" s="2646">
        <v>66.674999999999997</v>
      </c>
      <c r="D1356" s="2646">
        <v>112.71299999999999</v>
      </c>
      <c r="E1356" s="2646">
        <v>30.163</v>
      </c>
      <c r="F1356" s="2646" t="s">
        <v>2088</v>
      </c>
      <c r="G1356" s="2646" t="s">
        <v>2088</v>
      </c>
      <c r="H1356" s="2646" t="s">
        <v>2088</v>
      </c>
      <c r="I1356" s="2646" t="s">
        <v>2088</v>
      </c>
      <c r="J1356" s="2646">
        <v>1.143</v>
      </c>
      <c r="L1356" s="2646">
        <v>7913</v>
      </c>
    </row>
    <row r="1357" spans="1:12">
      <c r="A1357" s="2647" t="s">
        <v>99</v>
      </c>
      <c r="B1357" s="2647" t="s">
        <v>3463</v>
      </c>
      <c r="C1357" s="2647">
        <v>63.5</v>
      </c>
      <c r="D1357" s="2647">
        <v>112.71299999999999</v>
      </c>
      <c r="E1357" s="2647">
        <v>30.161999999999999</v>
      </c>
      <c r="F1357" s="2647" t="s">
        <v>2088</v>
      </c>
      <c r="G1357" s="2647" t="s">
        <v>2088</v>
      </c>
      <c r="H1357" s="2647" t="s">
        <v>2088</v>
      </c>
      <c r="I1357" s="2647" t="s">
        <v>2088</v>
      </c>
      <c r="J1357" s="2647">
        <v>1.236</v>
      </c>
      <c r="K1357" s="2648"/>
      <c r="L1357" s="2647" t="s">
        <v>2088</v>
      </c>
    </row>
    <row r="1358" spans="1:12">
      <c r="A1358" s="2646" t="s">
        <v>99</v>
      </c>
      <c r="B1358" s="2646" t="s">
        <v>3464</v>
      </c>
      <c r="C1358" s="2646">
        <v>57.15</v>
      </c>
      <c r="D1358" s="2646">
        <v>112.712</v>
      </c>
      <c r="E1358" s="2646">
        <v>30.161999999999999</v>
      </c>
      <c r="F1358" s="2646" t="s">
        <v>2088</v>
      </c>
      <c r="G1358" s="2646" t="s">
        <v>2088</v>
      </c>
      <c r="H1358" s="2646" t="s">
        <v>2088</v>
      </c>
      <c r="I1358" s="2646" t="s">
        <v>2088</v>
      </c>
      <c r="J1358" s="2646">
        <v>1.42</v>
      </c>
      <c r="L1358" s="2646" t="s">
        <v>2088</v>
      </c>
    </row>
    <row r="1359" spans="1:12">
      <c r="A1359" s="2647" t="s">
        <v>99</v>
      </c>
      <c r="B1359" s="2647" t="s">
        <v>3465</v>
      </c>
      <c r="C1359" s="2647">
        <v>53.975000000000001</v>
      </c>
      <c r="D1359" s="2647">
        <v>112.712</v>
      </c>
      <c r="E1359" s="2647">
        <v>30.161999999999999</v>
      </c>
      <c r="F1359" s="2647" t="s">
        <v>2088</v>
      </c>
      <c r="G1359" s="2647" t="s">
        <v>2088</v>
      </c>
      <c r="H1359" s="2647" t="s">
        <v>2088</v>
      </c>
      <c r="I1359" s="2647" t="s">
        <v>2088</v>
      </c>
      <c r="J1359" s="2647">
        <v>0</v>
      </c>
      <c r="K1359" s="2648"/>
      <c r="L1359" s="2647" t="s">
        <v>2088</v>
      </c>
    </row>
    <row r="1360" spans="1:12">
      <c r="A1360" s="2646" t="s">
        <v>99</v>
      </c>
      <c r="B1360" s="2646" t="s">
        <v>3466</v>
      </c>
      <c r="C1360" s="2646">
        <v>63.5</v>
      </c>
      <c r="D1360" s="2646">
        <v>110</v>
      </c>
      <c r="E1360" s="2646">
        <v>22</v>
      </c>
      <c r="F1360" s="2646" t="s">
        <v>2088</v>
      </c>
      <c r="G1360" s="2646" t="s">
        <v>2088</v>
      </c>
      <c r="H1360" s="2646" t="s">
        <v>2088</v>
      </c>
      <c r="I1360" s="2646" t="s">
        <v>2088</v>
      </c>
      <c r="J1360" s="2646">
        <v>0.84299999999999997</v>
      </c>
      <c r="L1360" s="2646" t="s">
        <v>2088</v>
      </c>
    </row>
    <row r="1361" spans="1:12">
      <c r="A1361" s="2647" t="s">
        <v>99</v>
      </c>
      <c r="B1361" s="2647" t="s">
        <v>3467</v>
      </c>
      <c r="C1361" s="2647">
        <v>63.5</v>
      </c>
      <c r="D1361" s="2647">
        <v>110</v>
      </c>
      <c r="E1361" s="2647">
        <v>22</v>
      </c>
      <c r="F1361" s="2647" t="s">
        <v>2088</v>
      </c>
      <c r="G1361" s="2647" t="s">
        <v>2088</v>
      </c>
      <c r="H1361" s="2647" t="s">
        <v>2088</v>
      </c>
      <c r="I1361" s="2647" t="s">
        <v>2088</v>
      </c>
      <c r="J1361" s="2647">
        <v>0.85</v>
      </c>
      <c r="K1361" s="2648"/>
      <c r="L1361" s="2647" t="s">
        <v>2088</v>
      </c>
    </row>
    <row r="1362" spans="1:12">
      <c r="A1362" s="2646" t="s">
        <v>99</v>
      </c>
      <c r="B1362" s="2646" t="s">
        <v>3468</v>
      </c>
      <c r="C1362" s="2646">
        <v>53.975000000000001</v>
      </c>
      <c r="D1362" s="2646">
        <v>96.837999999999994</v>
      </c>
      <c r="E1362" s="2646">
        <v>21</v>
      </c>
      <c r="F1362" s="2646" t="s">
        <v>2088</v>
      </c>
      <c r="G1362" s="2646" t="s">
        <v>2088</v>
      </c>
      <c r="H1362" s="2646" t="s">
        <v>2088</v>
      </c>
      <c r="I1362" s="2646" t="s">
        <v>2088</v>
      </c>
      <c r="J1362" s="2646">
        <v>0</v>
      </c>
      <c r="L1362" s="2646" t="s">
        <v>2088</v>
      </c>
    </row>
    <row r="1363" spans="1:12">
      <c r="A1363" s="2647" t="s">
        <v>99</v>
      </c>
      <c r="B1363" s="2647" t="s">
        <v>3469</v>
      </c>
      <c r="C1363" s="2647">
        <v>53.975000000000001</v>
      </c>
      <c r="D1363" s="2647">
        <v>98.424999999999997</v>
      </c>
      <c r="E1363" s="2647">
        <v>21</v>
      </c>
      <c r="F1363" s="2647" t="s">
        <v>2088</v>
      </c>
      <c r="G1363" s="2647" t="s">
        <v>2088</v>
      </c>
      <c r="H1363" s="2647" t="s">
        <v>2088</v>
      </c>
      <c r="I1363" s="2647" t="s">
        <v>2088</v>
      </c>
      <c r="J1363" s="2647">
        <v>0</v>
      </c>
      <c r="K1363" s="2648"/>
      <c r="L1363" s="2647" t="s">
        <v>2088</v>
      </c>
    </row>
    <row r="1364" spans="1:12">
      <c r="A1364" s="2646" t="s">
        <v>99</v>
      </c>
      <c r="B1364" s="2646" t="s">
        <v>3470</v>
      </c>
      <c r="C1364" s="2646">
        <v>63.5</v>
      </c>
      <c r="D1364" s="2646">
        <v>112.712</v>
      </c>
      <c r="E1364" s="2646">
        <v>30.161999999999999</v>
      </c>
      <c r="F1364" s="2646" t="s">
        <v>2088</v>
      </c>
      <c r="G1364" s="2646" t="s">
        <v>2088</v>
      </c>
      <c r="H1364" s="2646" t="s">
        <v>2088</v>
      </c>
      <c r="I1364" s="2646" t="s">
        <v>2088</v>
      </c>
      <c r="J1364" s="2646">
        <v>0</v>
      </c>
      <c r="L1364" s="2646" t="s">
        <v>2088</v>
      </c>
    </row>
    <row r="1365" spans="1:12">
      <c r="A1365" s="2647" t="s">
        <v>99</v>
      </c>
      <c r="B1365" s="2647" t="s">
        <v>3471</v>
      </c>
      <c r="C1365" s="2647">
        <v>55.575000000000003</v>
      </c>
      <c r="D1365" s="2647">
        <v>96.837999999999994</v>
      </c>
      <c r="E1365" s="2647">
        <v>21</v>
      </c>
      <c r="F1365" s="2647" t="s">
        <v>2088</v>
      </c>
      <c r="G1365" s="2647" t="s">
        <v>2088</v>
      </c>
      <c r="H1365" s="2647" t="s">
        <v>2088</v>
      </c>
      <c r="I1365" s="2647" t="s">
        <v>2088</v>
      </c>
      <c r="J1365" s="2647">
        <v>0</v>
      </c>
      <c r="K1365" s="2648"/>
      <c r="L1365" s="2647" t="s">
        <v>2088</v>
      </c>
    </row>
    <row r="1366" spans="1:12">
      <c r="A1366" s="2646" t="s">
        <v>99</v>
      </c>
      <c r="B1366" s="2646" t="s">
        <v>3472</v>
      </c>
      <c r="C1366" s="2646">
        <v>60.325000000000003</v>
      </c>
      <c r="D1366" s="2646">
        <v>112.712</v>
      </c>
      <c r="E1366" s="2646">
        <v>30.161999999999999</v>
      </c>
      <c r="F1366" s="2646" t="s">
        <v>2088</v>
      </c>
      <c r="G1366" s="2646" t="s">
        <v>2088</v>
      </c>
      <c r="H1366" s="2646" t="s">
        <v>2088</v>
      </c>
      <c r="I1366" s="2646" t="s">
        <v>2088</v>
      </c>
      <c r="J1366" s="2646">
        <v>0</v>
      </c>
      <c r="L1366" s="2646" t="s">
        <v>2088</v>
      </c>
    </row>
    <row r="1367" spans="1:12">
      <c r="A1367" s="2647" t="s">
        <v>99</v>
      </c>
      <c r="B1367" s="2647" t="s">
        <v>3473</v>
      </c>
      <c r="C1367" s="2647">
        <v>57.15</v>
      </c>
      <c r="D1367" s="2647">
        <v>96.837999999999994</v>
      </c>
      <c r="E1367" s="2647">
        <v>21</v>
      </c>
      <c r="F1367" s="2647" t="s">
        <v>2088</v>
      </c>
      <c r="G1367" s="2647" t="s">
        <v>2088</v>
      </c>
      <c r="H1367" s="2647" t="s">
        <v>2088</v>
      </c>
      <c r="I1367" s="2647" t="s">
        <v>2088</v>
      </c>
      <c r="J1367" s="2647">
        <v>0</v>
      </c>
      <c r="K1367" s="2648"/>
      <c r="L1367" s="2647" t="s">
        <v>2088</v>
      </c>
    </row>
    <row r="1368" spans="1:12">
      <c r="A1368" s="2646" t="s">
        <v>99</v>
      </c>
      <c r="B1368" s="2646" t="s">
        <v>3474</v>
      </c>
      <c r="C1368" s="2646">
        <v>57.15</v>
      </c>
      <c r="D1368" s="2646">
        <v>100</v>
      </c>
      <c r="E1368" s="2646">
        <v>21</v>
      </c>
      <c r="F1368" s="2646" t="s">
        <v>2088</v>
      </c>
      <c r="G1368" s="2646" t="s">
        <v>2088</v>
      </c>
      <c r="H1368" s="2646" t="s">
        <v>2088</v>
      </c>
      <c r="I1368" s="2646" t="s">
        <v>2088</v>
      </c>
      <c r="J1368" s="2646">
        <v>0</v>
      </c>
      <c r="L1368" s="2646" t="s">
        <v>2088</v>
      </c>
    </row>
    <row r="1369" spans="1:12">
      <c r="A1369" s="2647" t="s">
        <v>99</v>
      </c>
      <c r="B1369" s="2647" t="s">
        <v>3475</v>
      </c>
      <c r="C1369" s="2647">
        <v>57.15</v>
      </c>
      <c r="D1369" s="2647">
        <v>96.837999999999994</v>
      </c>
      <c r="E1369" s="2647">
        <v>25.4</v>
      </c>
      <c r="F1369" s="2647" t="s">
        <v>2088</v>
      </c>
      <c r="G1369" s="2647" t="s">
        <v>2088</v>
      </c>
      <c r="H1369" s="2647" t="s">
        <v>2088</v>
      </c>
      <c r="I1369" s="2647" t="s">
        <v>2088</v>
      </c>
      <c r="J1369" s="2647">
        <v>0</v>
      </c>
      <c r="K1369" s="2648"/>
      <c r="L1369" s="2647" t="s">
        <v>2088</v>
      </c>
    </row>
    <row r="1370" spans="1:12">
      <c r="A1370" s="2646" t="s">
        <v>99</v>
      </c>
      <c r="B1370" s="2646" t="s">
        <v>3476</v>
      </c>
      <c r="C1370" s="2646">
        <v>57.15</v>
      </c>
      <c r="D1370" s="2646">
        <v>96.837999999999994</v>
      </c>
      <c r="E1370" s="2646">
        <v>21.001000000000001</v>
      </c>
      <c r="F1370" s="2646" t="s">
        <v>2088</v>
      </c>
      <c r="G1370" s="2646" t="s">
        <v>2088</v>
      </c>
      <c r="H1370" s="2646" t="s">
        <v>2088</v>
      </c>
      <c r="I1370" s="2646" t="s">
        <v>2088</v>
      </c>
      <c r="J1370" s="2646">
        <v>0.58299999999999996</v>
      </c>
      <c r="L1370" s="2646" t="s">
        <v>2088</v>
      </c>
    </row>
    <row r="1371" spans="1:12">
      <c r="A1371" s="2647" t="s">
        <v>99</v>
      </c>
      <c r="B1371" s="2647" t="s">
        <v>3477</v>
      </c>
      <c r="C1371" s="2647">
        <v>57.15</v>
      </c>
      <c r="D1371" s="2647">
        <v>98.424999999999997</v>
      </c>
      <c r="E1371" s="2647">
        <v>21</v>
      </c>
      <c r="F1371" s="2647" t="s">
        <v>2088</v>
      </c>
      <c r="G1371" s="2647" t="s">
        <v>2088</v>
      </c>
      <c r="H1371" s="2647" t="s">
        <v>2088</v>
      </c>
      <c r="I1371" s="2647" t="s">
        <v>2088</v>
      </c>
      <c r="J1371" s="2647">
        <v>0</v>
      </c>
      <c r="K1371" s="2648"/>
      <c r="L1371" s="2647" t="s">
        <v>2088</v>
      </c>
    </row>
    <row r="1372" spans="1:12">
      <c r="A1372" s="2646" t="s">
        <v>99</v>
      </c>
      <c r="B1372" s="2646" t="s">
        <v>3478</v>
      </c>
      <c r="C1372" s="2646">
        <v>36.512</v>
      </c>
      <c r="D1372" s="2646">
        <v>85.724999999999994</v>
      </c>
      <c r="E1372" s="2646">
        <v>30.161999999999999</v>
      </c>
      <c r="F1372" s="2646" t="s">
        <v>2088</v>
      </c>
      <c r="G1372" s="2646" t="s">
        <v>2088</v>
      </c>
      <c r="H1372" s="2646" t="s">
        <v>2088</v>
      </c>
      <c r="I1372" s="2646" t="s">
        <v>2088</v>
      </c>
      <c r="J1372" s="2646">
        <v>0</v>
      </c>
      <c r="L1372" s="2646" t="s">
        <v>2088</v>
      </c>
    </row>
    <row r="1373" spans="1:12">
      <c r="A1373" s="2647" t="s">
        <v>99</v>
      </c>
      <c r="B1373" s="2647" t="s">
        <v>3479</v>
      </c>
      <c r="C1373" s="2647">
        <v>34.9</v>
      </c>
      <c r="D1373" s="2647">
        <v>85.72</v>
      </c>
      <c r="E1373" s="2647">
        <v>30.16</v>
      </c>
      <c r="F1373" s="2647" t="s">
        <v>2088</v>
      </c>
      <c r="G1373" s="2647" t="s">
        <v>2088</v>
      </c>
      <c r="H1373" s="2647" t="s">
        <v>2088</v>
      </c>
      <c r="I1373" s="2647" t="s">
        <v>2088</v>
      </c>
      <c r="J1373" s="2647">
        <v>0.88</v>
      </c>
      <c r="K1373" s="2648"/>
      <c r="L1373" s="2647" t="s">
        <v>2088</v>
      </c>
    </row>
    <row r="1374" spans="1:12">
      <c r="A1374" s="2646" t="s">
        <v>99</v>
      </c>
      <c r="B1374" s="2646" t="s">
        <v>3480</v>
      </c>
      <c r="C1374" s="2646">
        <v>57.15</v>
      </c>
      <c r="D1374" s="2646">
        <v>100</v>
      </c>
      <c r="E1374" s="2646">
        <v>21</v>
      </c>
      <c r="F1374" s="2646" t="s">
        <v>2088</v>
      </c>
      <c r="G1374" s="2646" t="s">
        <v>2088</v>
      </c>
      <c r="H1374" s="2646" t="s">
        <v>2088</v>
      </c>
      <c r="I1374" s="2646" t="s">
        <v>2088</v>
      </c>
      <c r="J1374" s="2646">
        <v>0.6</v>
      </c>
      <c r="L1374" s="2646" t="s">
        <v>2088</v>
      </c>
    </row>
    <row r="1375" spans="1:12">
      <c r="A1375" s="2647" t="s">
        <v>99</v>
      </c>
      <c r="B1375" s="2647" t="s">
        <v>3481</v>
      </c>
      <c r="C1375" s="2647">
        <v>57.15</v>
      </c>
      <c r="D1375" s="2647">
        <v>96.837999999999994</v>
      </c>
      <c r="E1375" s="2647">
        <v>25.4</v>
      </c>
      <c r="F1375" s="2647" t="s">
        <v>2088</v>
      </c>
      <c r="G1375" s="2647" t="s">
        <v>2088</v>
      </c>
      <c r="H1375" s="2647" t="s">
        <v>2088</v>
      </c>
      <c r="I1375" s="2647" t="s">
        <v>2088</v>
      </c>
      <c r="J1375" s="2647">
        <v>0.65400000000000003</v>
      </c>
      <c r="K1375" s="2648"/>
      <c r="L1375" s="2647" t="s">
        <v>2088</v>
      </c>
    </row>
    <row r="1376" spans="1:12">
      <c r="A1376" s="2646" t="s">
        <v>99</v>
      </c>
      <c r="B1376" s="2646" t="s">
        <v>3482</v>
      </c>
      <c r="C1376" s="2646">
        <v>55.15</v>
      </c>
      <c r="D1376" s="2646">
        <v>96.837999999999994</v>
      </c>
      <c r="E1376" s="2646">
        <v>21</v>
      </c>
      <c r="F1376" s="2646" t="s">
        <v>2088</v>
      </c>
      <c r="G1376" s="2646" t="s">
        <v>2088</v>
      </c>
      <c r="H1376" s="2646" t="s">
        <v>2088</v>
      </c>
      <c r="I1376" s="2646" t="s">
        <v>2088</v>
      </c>
      <c r="J1376" s="2646">
        <v>0</v>
      </c>
      <c r="L1376" s="2646" t="s">
        <v>2088</v>
      </c>
    </row>
    <row r="1377" spans="1:12">
      <c r="A1377" s="2647" t="s">
        <v>99</v>
      </c>
      <c r="B1377" s="2647" t="s">
        <v>3483</v>
      </c>
      <c r="C1377" s="2647">
        <v>47.625</v>
      </c>
      <c r="D1377" s="2647">
        <v>96.837999999999994</v>
      </c>
      <c r="E1377" s="2647">
        <v>21</v>
      </c>
      <c r="F1377" s="2647" t="s">
        <v>2088</v>
      </c>
      <c r="G1377" s="2647" t="s">
        <v>2088</v>
      </c>
      <c r="H1377" s="2647" t="s">
        <v>2088</v>
      </c>
      <c r="I1377" s="2647" t="s">
        <v>2088</v>
      </c>
      <c r="J1377" s="2647">
        <v>0</v>
      </c>
      <c r="K1377" s="2648"/>
      <c r="L1377" s="2647" t="s">
        <v>2088</v>
      </c>
    </row>
    <row r="1378" spans="1:12">
      <c r="A1378" s="2646" t="s">
        <v>99</v>
      </c>
      <c r="B1378" s="2646" t="s">
        <v>3484</v>
      </c>
      <c r="C1378" s="2646">
        <v>55</v>
      </c>
      <c r="D1378" s="2646">
        <v>96.837999999999994</v>
      </c>
      <c r="E1378" s="2646">
        <v>21</v>
      </c>
      <c r="F1378" s="2646" t="s">
        <v>2088</v>
      </c>
      <c r="G1378" s="2646" t="s">
        <v>2088</v>
      </c>
      <c r="H1378" s="2646" t="s">
        <v>2088</v>
      </c>
      <c r="I1378" s="2646" t="s">
        <v>2088</v>
      </c>
      <c r="J1378" s="2646">
        <v>0</v>
      </c>
      <c r="L1378" s="2646" t="s">
        <v>2088</v>
      </c>
    </row>
    <row r="1379" spans="1:12">
      <c r="A1379" s="2647" t="s">
        <v>99</v>
      </c>
      <c r="B1379" s="2647" t="s">
        <v>3485</v>
      </c>
      <c r="C1379" s="2647">
        <v>55</v>
      </c>
      <c r="D1379" s="2647">
        <v>96.837999999999994</v>
      </c>
      <c r="E1379" s="2647">
        <v>21</v>
      </c>
      <c r="F1379" s="2647" t="s">
        <v>2088</v>
      </c>
      <c r="G1379" s="2647" t="s">
        <v>2088</v>
      </c>
      <c r="H1379" s="2647" t="s">
        <v>2088</v>
      </c>
      <c r="I1379" s="2647" t="s">
        <v>2088</v>
      </c>
      <c r="J1379" s="2647">
        <v>0</v>
      </c>
      <c r="K1379" s="2648"/>
      <c r="L1379" s="2647" t="s">
        <v>2088</v>
      </c>
    </row>
    <row r="1380" spans="1:12">
      <c r="A1380" s="2646" t="s">
        <v>99</v>
      </c>
      <c r="B1380" s="2646" t="s">
        <v>3486</v>
      </c>
      <c r="C1380" s="2646">
        <v>50.8</v>
      </c>
      <c r="D1380" s="2646">
        <v>93.263999999999996</v>
      </c>
      <c r="E1380" s="2646">
        <v>30.161999999999999</v>
      </c>
      <c r="F1380" s="2646" t="s">
        <v>2088</v>
      </c>
      <c r="G1380" s="2646" t="s">
        <v>2088</v>
      </c>
      <c r="H1380" s="2646" t="s">
        <v>2088</v>
      </c>
      <c r="I1380" s="2646" t="s">
        <v>2088</v>
      </c>
      <c r="J1380" s="2646">
        <v>0</v>
      </c>
      <c r="L1380" s="2646" t="s">
        <v>2088</v>
      </c>
    </row>
    <row r="1381" spans="1:12">
      <c r="A1381" s="2647" t="s">
        <v>99</v>
      </c>
      <c r="B1381" s="2647" t="s">
        <v>3487</v>
      </c>
      <c r="C1381" s="2647">
        <v>49.212000000000003</v>
      </c>
      <c r="D1381" s="2647">
        <v>93.263999999999996</v>
      </c>
      <c r="E1381" s="2647">
        <v>30.161999999999999</v>
      </c>
      <c r="F1381" s="2647" t="s">
        <v>2088</v>
      </c>
      <c r="G1381" s="2647" t="s">
        <v>2088</v>
      </c>
      <c r="H1381" s="2647" t="s">
        <v>2088</v>
      </c>
      <c r="I1381" s="2647" t="s">
        <v>2088</v>
      </c>
      <c r="J1381" s="2647">
        <v>0</v>
      </c>
      <c r="K1381" s="2648"/>
      <c r="L1381" s="2647" t="s">
        <v>2088</v>
      </c>
    </row>
    <row r="1382" spans="1:12">
      <c r="A1382" s="2646" t="s">
        <v>99</v>
      </c>
      <c r="B1382" s="2646" t="s">
        <v>3488</v>
      </c>
      <c r="C1382" s="2646">
        <v>49.212000000000003</v>
      </c>
      <c r="D1382" s="2646">
        <v>93.623999999999995</v>
      </c>
      <c r="E1382" s="2646">
        <v>30.161999999999999</v>
      </c>
      <c r="F1382" s="2646" t="s">
        <v>2088</v>
      </c>
      <c r="G1382" s="2646" t="s">
        <v>2088</v>
      </c>
      <c r="H1382" s="2646" t="s">
        <v>2088</v>
      </c>
      <c r="I1382" s="2646" t="s">
        <v>2088</v>
      </c>
      <c r="J1382" s="2646">
        <v>0</v>
      </c>
      <c r="L1382" s="2646" t="s">
        <v>2088</v>
      </c>
    </row>
    <row r="1383" spans="1:12">
      <c r="A1383" s="2647" t="s">
        <v>99</v>
      </c>
      <c r="B1383" s="2647" t="s">
        <v>3489</v>
      </c>
      <c r="C1383" s="2647">
        <v>50.8</v>
      </c>
      <c r="D1383" s="2647">
        <v>98.424999999999997</v>
      </c>
      <c r="E1383" s="2647">
        <v>30.161999999999999</v>
      </c>
      <c r="F1383" s="2647" t="s">
        <v>2088</v>
      </c>
      <c r="G1383" s="2647" t="s">
        <v>2088</v>
      </c>
      <c r="H1383" s="2647" t="s">
        <v>2088</v>
      </c>
      <c r="I1383" s="2647" t="s">
        <v>2088</v>
      </c>
      <c r="J1383" s="2647">
        <v>0</v>
      </c>
      <c r="K1383" s="2648"/>
      <c r="L1383" s="2647" t="s">
        <v>2088</v>
      </c>
    </row>
    <row r="1384" spans="1:12">
      <c r="A1384" s="2646" t="s">
        <v>99</v>
      </c>
      <c r="B1384" s="2646" t="s">
        <v>3490</v>
      </c>
      <c r="C1384" s="2646">
        <v>50.8</v>
      </c>
      <c r="D1384" s="2646">
        <v>93.263999999999996</v>
      </c>
      <c r="E1384" s="2646">
        <v>30.161999999999999</v>
      </c>
      <c r="F1384" s="2646" t="s">
        <v>2088</v>
      </c>
      <c r="G1384" s="2646" t="s">
        <v>2088</v>
      </c>
      <c r="H1384" s="2646" t="s">
        <v>2088</v>
      </c>
      <c r="I1384" s="2646" t="s">
        <v>2088</v>
      </c>
      <c r="J1384" s="2646">
        <v>0</v>
      </c>
      <c r="L1384" s="2646" t="s">
        <v>2088</v>
      </c>
    </row>
    <row r="1385" spans="1:12">
      <c r="A1385" s="2647" t="s">
        <v>99</v>
      </c>
      <c r="B1385" s="2647" t="s">
        <v>3491</v>
      </c>
      <c r="C1385" s="2647">
        <v>50.8</v>
      </c>
      <c r="D1385" s="2647">
        <v>95.25</v>
      </c>
      <c r="E1385" s="2647">
        <v>30.161999999999999</v>
      </c>
      <c r="F1385" s="2647" t="s">
        <v>2088</v>
      </c>
      <c r="G1385" s="2647" t="s">
        <v>2088</v>
      </c>
      <c r="H1385" s="2647" t="s">
        <v>2088</v>
      </c>
      <c r="I1385" s="2647" t="s">
        <v>2088</v>
      </c>
      <c r="J1385" s="2647">
        <v>0</v>
      </c>
      <c r="K1385" s="2648"/>
      <c r="L1385" s="2647" t="s">
        <v>2088</v>
      </c>
    </row>
    <row r="1386" spans="1:12">
      <c r="A1386" s="2646" t="s">
        <v>99</v>
      </c>
      <c r="B1386" s="2646" t="s">
        <v>3492</v>
      </c>
      <c r="C1386" s="2646">
        <v>50.8</v>
      </c>
      <c r="D1386" s="2646">
        <v>93.263999999999996</v>
      </c>
      <c r="E1386" s="2646">
        <v>30.161999999999999</v>
      </c>
      <c r="F1386" s="2646" t="s">
        <v>2088</v>
      </c>
      <c r="G1386" s="2646" t="s">
        <v>2088</v>
      </c>
      <c r="H1386" s="2646" t="s">
        <v>2088</v>
      </c>
      <c r="I1386" s="2646" t="s">
        <v>2088</v>
      </c>
      <c r="J1386" s="2646">
        <v>0.87</v>
      </c>
      <c r="L1386" s="2646" t="s">
        <v>2088</v>
      </c>
    </row>
    <row r="1387" spans="1:12">
      <c r="A1387" s="2647" t="s">
        <v>99</v>
      </c>
      <c r="B1387" s="2647" t="s">
        <v>3493</v>
      </c>
      <c r="C1387" s="2647">
        <v>47.625</v>
      </c>
      <c r="D1387" s="2647">
        <v>93.263999999999996</v>
      </c>
      <c r="E1387" s="2647">
        <v>30.161999999999999</v>
      </c>
      <c r="F1387" s="2647" t="s">
        <v>2088</v>
      </c>
      <c r="G1387" s="2647" t="s">
        <v>2088</v>
      </c>
      <c r="H1387" s="2647" t="s">
        <v>2088</v>
      </c>
      <c r="I1387" s="2647" t="s">
        <v>2088</v>
      </c>
      <c r="J1387" s="2647">
        <v>0</v>
      </c>
      <c r="K1387" s="2648"/>
      <c r="L1387" s="2647" t="s">
        <v>2088</v>
      </c>
    </row>
    <row r="1388" spans="1:12">
      <c r="A1388" s="2646" t="s">
        <v>99</v>
      </c>
      <c r="B1388" s="2646" t="s">
        <v>3494</v>
      </c>
      <c r="C1388" s="2646">
        <v>47.625</v>
      </c>
      <c r="D1388" s="2646">
        <v>93.263999999999996</v>
      </c>
      <c r="E1388" s="2646">
        <v>30.161999999999999</v>
      </c>
      <c r="F1388" s="2646" t="s">
        <v>2088</v>
      </c>
      <c r="G1388" s="2646" t="s">
        <v>2088</v>
      </c>
      <c r="H1388" s="2646" t="s">
        <v>2088</v>
      </c>
      <c r="I1388" s="2646" t="s">
        <v>2088</v>
      </c>
      <c r="J1388" s="2646">
        <v>0</v>
      </c>
      <c r="L1388" s="2646" t="s">
        <v>2088</v>
      </c>
    </row>
    <row r="1389" spans="1:12">
      <c r="A1389" s="2647" t="s">
        <v>99</v>
      </c>
      <c r="B1389" s="2647" t="s">
        <v>3495</v>
      </c>
      <c r="C1389" s="2647">
        <v>46.037999999999997</v>
      </c>
      <c r="D1389" s="2647">
        <v>93.263999999999996</v>
      </c>
      <c r="E1389" s="2647">
        <v>30.161999999999999</v>
      </c>
      <c r="F1389" s="2647" t="s">
        <v>2088</v>
      </c>
      <c r="G1389" s="2647" t="s">
        <v>2088</v>
      </c>
      <c r="H1389" s="2647" t="s">
        <v>2088</v>
      </c>
      <c r="I1389" s="2647" t="s">
        <v>2088</v>
      </c>
      <c r="J1389" s="2647">
        <v>0</v>
      </c>
      <c r="K1389" s="2648"/>
      <c r="L1389" s="2647" t="s">
        <v>2088</v>
      </c>
    </row>
    <row r="1390" spans="1:12">
      <c r="A1390" s="2646" t="s">
        <v>99</v>
      </c>
      <c r="B1390" s="2646" t="s">
        <v>3496</v>
      </c>
      <c r="C1390" s="2646">
        <v>44.982999999999997</v>
      </c>
      <c r="D1390" s="2646">
        <v>93.263999999999996</v>
      </c>
      <c r="E1390" s="2646">
        <v>30.161999999999999</v>
      </c>
      <c r="F1390" s="2646" t="s">
        <v>2088</v>
      </c>
      <c r="G1390" s="2646" t="s">
        <v>2088</v>
      </c>
      <c r="H1390" s="2646" t="s">
        <v>2088</v>
      </c>
      <c r="I1390" s="2646" t="s">
        <v>2088</v>
      </c>
      <c r="J1390" s="2646">
        <v>0</v>
      </c>
      <c r="L1390" s="2646" t="s">
        <v>2088</v>
      </c>
    </row>
    <row r="1391" spans="1:12">
      <c r="A1391" s="2647" t="s">
        <v>99</v>
      </c>
      <c r="B1391" s="2647" t="s">
        <v>3497</v>
      </c>
      <c r="C1391" s="2647">
        <v>50.8</v>
      </c>
      <c r="D1391" s="2647">
        <v>93.263999999999996</v>
      </c>
      <c r="E1391" s="2647">
        <v>30.161999999999999</v>
      </c>
      <c r="F1391" s="2647" t="s">
        <v>2088</v>
      </c>
      <c r="G1391" s="2647" t="s">
        <v>2088</v>
      </c>
      <c r="H1391" s="2647" t="s">
        <v>2088</v>
      </c>
      <c r="I1391" s="2647" t="s">
        <v>2088</v>
      </c>
      <c r="J1391" s="2647">
        <v>0.87</v>
      </c>
      <c r="K1391" s="2648"/>
      <c r="L1391" s="2647" t="s">
        <v>2088</v>
      </c>
    </row>
    <row r="1392" spans="1:12">
      <c r="A1392" s="2646" t="s">
        <v>99</v>
      </c>
      <c r="B1392" s="2646" t="s">
        <v>3498</v>
      </c>
      <c r="C1392" s="2646">
        <v>50.8</v>
      </c>
      <c r="D1392" s="2646">
        <v>93.263999999999996</v>
      </c>
      <c r="E1392" s="2646">
        <v>30.161999999999999</v>
      </c>
      <c r="F1392" s="2646" t="s">
        <v>2088</v>
      </c>
      <c r="G1392" s="2646" t="s">
        <v>2088</v>
      </c>
      <c r="H1392" s="2646" t="s">
        <v>2088</v>
      </c>
      <c r="I1392" s="2646" t="s">
        <v>2088</v>
      </c>
      <c r="J1392" s="2646">
        <v>0</v>
      </c>
      <c r="L1392" s="2646" t="s">
        <v>2088</v>
      </c>
    </row>
    <row r="1393" spans="1:12">
      <c r="A1393" s="2647" t="s">
        <v>99</v>
      </c>
      <c r="B1393" s="2647" t="s">
        <v>3499</v>
      </c>
      <c r="C1393" s="2647">
        <v>50.8</v>
      </c>
      <c r="D1393" s="2647">
        <v>88.9</v>
      </c>
      <c r="E1393" s="2647">
        <v>20.638000000000002</v>
      </c>
      <c r="F1393" s="2647" t="s">
        <v>2088</v>
      </c>
      <c r="G1393" s="2647" t="s">
        <v>2088</v>
      </c>
      <c r="H1393" s="2647" t="s">
        <v>2088</v>
      </c>
      <c r="I1393" s="2647" t="s">
        <v>2088</v>
      </c>
      <c r="J1393" s="2647">
        <v>0</v>
      </c>
      <c r="K1393" s="2648"/>
      <c r="L1393" s="2647" t="s">
        <v>2088</v>
      </c>
    </row>
    <row r="1394" spans="1:12">
      <c r="A1394" s="2646" t="s">
        <v>99</v>
      </c>
      <c r="B1394" s="2646" t="s">
        <v>3500</v>
      </c>
      <c r="C1394" s="2646">
        <v>146.05000000000001</v>
      </c>
      <c r="D1394" s="2646">
        <v>193.67500000000001</v>
      </c>
      <c r="E1394" s="2646">
        <v>28.574999999999999</v>
      </c>
      <c r="F1394" s="2646" t="s">
        <v>2088</v>
      </c>
      <c r="G1394" s="2646" t="s">
        <v>2088</v>
      </c>
      <c r="H1394" s="2646" t="s">
        <v>2088</v>
      </c>
      <c r="I1394" s="2646" t="s">
        <v>2088</v>
      </c>
      <c r="J1394" s="2646">
        <v>0</v>
      </c>
      <c r="L1394" s="2646" t="s">
        <v>2088</v>
      </c>
    </row>
    <row r="1395" spans="1:12">
      <c r="A1395" s="2647" t="s">
        <v>99</v>
      </c>
      <c r="B1395" s="2647" t="s">
        <v>3501</v>
      </c>
      <c r="C1395" s="2647">
        <v>146.05000000000001</v>
      </c>
      <c r="D1395" s="2647">
        <v>203.2</v>
      </c>
      <c r="E1395" s="2647">
        <v>28.574999999999999</v>
      </c>
      <c r="F1395" s="2647" t="s">
        <v>2088</v>
      </c>
      <c r="G1395" s="2647" t="s">
        <v>2088</v>
      </c>
      <c r="H1395" s="2647" t="s">
        <v>2088</v>
      </c>
      <c r="I1395" s="2647" t="s">
        <v>2088</v>
      </c>
      <c r="J1395" s="2647">
        <v>0</v>
      </c>
      <c r="K1395" s="2648"/>
      <c r="L1395" s="2647" t="s">
        <v>2088</v>
      </c>
    </row>
    <row r="1396" spans="1:12">
      <c r="A1396" s="2646" t="s">
        <v>99</v>
      </c>
      <c r="B1396" s="2646" t="s">
        <v>3502</v>
      </c>
      <c r="C1396" s="2646">
        <v>46.037999999999997</v>
      </c>
      <c r="D1396" s="2646">
        <v>85</v>
      </c>
      <c r="E1396" s="2646">
        <v>20.638000000000002</v>
      </c>
      <c r="F1396" s="2646" t="s">
        <v>2088</v>
      </c>
      <c r="G1396" s="2646" t="s">
        <v>2088</v>
      </c>
      <c r="H1396" s="2646" t="s">
        <v>2088</v>
      </c>
      <c r="I1396" s="2646" t="s">
        <v>2088</v>
      </c>
      <c r="J1396" s="2646">
        <v>0</v>
      </c>
      <c r="L1396" s="2646" t="s">
        <v>2088</v>
      </c>
    </row>
    <row r="1397" spans="1:12">
      <c r="A1397" s="2647" t="s">
        <v>99</v>
      </c>
      <c r="B1397" s="2647" t="s">
        <v>3503</v>
      </c>
      <c r="C1397" s="2647">
        <v>46.037999999999997</v>
      </c>
      <c r="D1397" s="2647">
        <v>90.119</v>
      </c>
      <c r="E1397" s="2647">
        <v>23</v>
      </c>
      <c r="F1397" s="2647" t="s">
        <v>2088</v>
      </c>
      <c r="G1397" s="2647" t="s">
        <v>2088</v>
      </c>
      <c r="H1397" s="2647" t="s">
        <v>2088</v>
      </c>
      <c r="I1397" s="2647" t="s">
        <v>2088</v>
      </c>
      <c r="J1397" s="2647">
        <v>0</v>
      </c>
      <c r="K1397" s="2648"/>
      <c r="L1397" s="2647" t="s">
        <v>2088</v>
      </c>
    </row>
    <row r="1398" spans="1:12">
      <c r="A1398" s="2646" t="s">
        <v>99</v>
      </c>
      <c r="B1398" s="2646" t="s">
        <v>3504</v>
      </c>
      <c r="C1398" s="2646">
        <v>46.037999999999997</v>
      </c>
      <c r="D1398" s="2646">
        <v>85</v>
      </c>
      <c r="E1398" s="2646">
        <v>20.638000000000002</v>
      </c>
      <c r="F1398" s="2646" t="s">
        <v>2088</v>
      </c>
      <c r="G1398" s="2646" t="s">
        <v>2088</v>
      </c>
      <c r="H1398" s="2646" t="s">
        <v>2088</v>
      </c>
      <c r="I1398" s="2646" t="s">
        <v>2088</v>
      </c>
      <c r="J1398" s="2646">
        <v>0</v>
      </c>
      <c r="L1398" s="2646" t="s">
        <v>2088</v>
      </c>
    </row>
    <row r="1399" spans="1:12">
      <c r="A1399" s="2647" t="s">
        <v>99</v>
      </c>
      <c r="B1399" s="2647" t="s">
        <v>3505</v>
      </c>
      <c r="C1399" s="2647">
        <v>41.274999999999999</v>
      </c>
      <c r="D1399" s="2647">
        <v>87.311999999999998</v>
      </c>
      <c r="E1399" s="2647">
        <v>30.161999999999999</v>
      </c>
      <c r="F1399" s="2647" t="s">
        <v>2088</v>
      </c>
      <c r="G1399" s="2647" t="s">
        <v>2088</v>
      </c>
      <c r="H1399" s="2647" t="s">
        <v>2088</v>
      </c>
      <c r="I1399" s="2647" t="s">
        <v>2088</v>
      </c>
      <c r="J1399" s="2647">
        <v>0.84499999999999997</v>
      </c>
      <c r="K1399" s="2648"/>
      <c r="L1399" s="2647" t="s">
        <v>2088</v>
      </c>
    </row>
    <row r="1400" spans="1:12">
      <c r="A1400" s="2646" t="s">
        <v>99</v>
      </c>
      <c r="B1400" s="2646" t="s">
        <v>3506</v>
      </c>
      <c r="C1400" s="2646">
        <v>45</v>
      </c>
      <c r="D1400" s="2646">
        <v>85</v>
      </c>
      <c r="E1400" s="2646">
        <v>20.638000000000002</v>
      </c>
      <c r="F1400" s="2646" t="s">
        <v>2088</v>
      </c>
      <c r="G1400" s="2646" t="s">
        <v>2088</v>
      </c>
      <c r="H1400" s="2646" t="s">
        <v>2088</v>
      </c>
      <c r="I1400" s="2646" t="s">
        <v>2088</v>
      </c>
      <c r="J1400" s="2646">
        <v>0</v>
      </c>
      <c r="L1400" s="2646" t="s">
        <v>2088</v>
      </c>
    </row>
    <row r="1401" spans="1:12">
      <c r="A1401" s="2647" t="s">
        <v>99</v>
      </c>
      <c r="B1401" s="2647" t="s">
        <v>3507</v>
      </c>
      <c r="C1401" s="2647">
        <v>42.78</v>
      </c>
      <c r="D1401" s="2647">
        <v>87.28</v>
      </c>
      <c r="E1401" s="2647">
        <v>30.161999999999999</v>
      </c>
      <c r="F1401" s="2647" t="s">
        <v>2088</v>
      </c>
      <c r="G1401" s="2647" t="s">
        <v>2088</v>
      </c>
      <c r="H1401" s="2647" t="s">
        <v>2088</v>
      </c>
      <c r="I1401" s="2647" t="s">
        <v>2088</v>
      </c>
      <c r="J1401" s="2647">
        <v>0</v>
      </c>
      <c r="K1401" s="2648"/>
      <c r="L1401" s="2647" t="s">
        <v>2088</v>
      </c>
    </row>
    <row r="1402" spans="1:12">
      <c r="A1402" s="2646" t="s">
        <v>99</v>
      </c>
      <c r="B1402" s="2646" t="s">
        <v>3508</v>
      </c>
      <c r="C1402" s="2646">
        <v>44.45</v>
      </c>
      <c r="D1402" s="2646">
        <v>87.311999999999998</v>
      </c>
      <c r="E1402" s="2646">
        <v>30.161999999999999</v>
      </c>
      <c r="F1402" s="2646" t="s">
        <v>2088</v>
      </c>
      <c r="G1402" s="2646" t="s">
        <v>2088</v>
      </c>
      <c r="H1402" s="2646" t="s">
        <v>2088</v>
      </c>
      <c r="I1402" s="2646" t="s">
        <v>2088</v>
      </c>
      <c r="J1402" s="2646">
        <v>0.78900000000000003</v>
      </c>
      <c r="L1402" s="2646" t="s">
        <v>2088</v>
      </c>
    </row>
    <row r="1403" spans="1:12">
      <c r="A1403" s="2647" t="s">
        <v>99</v>
      </c>
      <c r="B1403" s="2647" t="s">
        <v>3509</v>
      </c>
      <c r="C1403" s="2647">
        <v>44.45</v>
      </c>
      <c r="D1403" s="2647">
        <v>85</v>
      </c>
      <c r="E1403" s="2647">
        <v>20.638000000000002</v>
      </c>
      <c r="F1403" s="2647" t="s">
        <v>2088</v>
      </c>
      <c r="G1403" s="2647" t="s">
        <v>2088</v>
      </c>
      <c r="H1403" s="2647" t="s">
        <v>2088</v>
      </c>
      <c r="I1403" s="2647" t="s">
        <v>2088</v>
      </c>
      <c r="J1403" s="2647">
        <v>0</v>
      </c>
      <c r="K1403" s="2648"/>
      <c r="L1403" s="2647" t="s">
        <v>2088</v>
      </c>
    </row>
    <row r="1404" spans="1:12">
      <c r="A1404" s="2646" t="s">
        <v>99</v>
      </c>
      <c r="B1404" s="2646" t="s">
        <v>3510</v>
      </c>
      <c r="C1404" s="2646">
        <v>44.45</v>
      </c>
      <c r="D1404" s="2646">
        <v>85</v>
      </c>
      <c r="E1404" s="2646">
        <v>20.638000000000002</v>
      </c>
      <c r="F1404" s="2646" t="s">
        <v>2088</v>
      </c>
      <c r="G1404" s="2646" t="s">
        <v>2088</v>
      </c>
      <c r="H1404" s="2646" t="s">
        <v>2088</v>
      </c>
      <c r="I1404" s="2646" t="s">
        <v>2088</v>
      </c>
      <c r="J1404" s="2646">
        <v>0</v>
      </c>
      <c r="L1404" s="2646" t="s">
        <v>2088</v>
      </c>
    </row>
    <row r="1405" spans="1:12">
      <c r="A1405" s="2647" t="s">
        <v>99</v>
      </c>
      <c r="B1405" s="2647" t="s">
        <v>3511</v>
      </c>
      <c r="C1405" s="2647">
        <v>360</v>
      </c>
      <c r="D1405" s="2647">
        <v>480</v>
      </c>
      <c r="E1405" s="2647">
        <v>160</v>
      </c>
      <c r="F1405" s="2647" t="s">
        <v>2088</v>
      </c>
      <c r="G1405" s="2647" t="s">
        <v>2088</v>
      </c>
      <c r="H1405" s="2647" t="s">
        <v>2088</v>
      </c>
      <c r="I1405" s="2647" t="s">
        <v>2088</v>
      </c>
      <c r="J1405" s="2647">
        <v>74.7</v>
      </c>
      <c r="K1405" s="2648"/>
      <c r="L1405" s="2647">
        <v>2097972</v>
      </c>
    </row>
    <row r="1406" spans="1:12">
      <c r="A1406" s="2646" t="s">
        <v>99</v>
      </c>
      <c r="B1406" s="2646" t="s">
        <v>3512</v>
      </c>
      <c r="C1406" s="2646">
        <v>340</v>
      </c>
      <c r="D1406" s="2646">
        <v>460</v>
      </c>
      <c r="E1406" s="2646">
        <v>160</v>
      </c>
      <c r="F1406" s="2646" t="s">
        <v>2088</v>
      </c>
      <c r="G1406" s="2646" t="s">
        <v>2088</v>
      </c>
      <c r="H1406" s="2646" t="s">
        <v>2088</v>
      </c>
      <c r="I1406" s="2646" t="s">
        <v>2088</v>
      </c>
      <c r="J1406" s="2646">
        <v>71</v>
      </c>
      <c r="L1406" s="2646">
        <v>2097968</v>
      </c>
    </row>
    <row r="1407" spans="1:12">
      <c r="A1407" s="2647" t="s">
        <v>99</v>
      </c>
      <c r="B1407" s="2647" t="s">
        <v>3513</v>
      </c>
      <c r="C1407" s="2647">
        <v>320</v>
      </c>
      <c r="D1407" s="2647">
        <v>440</v>
      </c>
      <c r="E1407" s="2647">
        <v>160</v>
      </c>
      <c r="F1407" s="2647" t="s">
        <v>2088</v>
      </c>
      <c r="G1407" s="2647" t="s">
        <v>2088</v>
      </c>
      <c r="H1407" s="2647" t="s">
        <v>2088</v>
      </c>
      <c r="I1407" s="2647" t="s">
        <v>2088</v>
      </c>
      <c r="J1407" s="2647">
        <v>67</v>
      </c>
      <c r="K1407" s="2648"/>
      <c r="L1407" s="2647" t="s">
        <v>3514</v>
      </c>
    </row>
    <row r="1408" spans="1:12">
      <c r="A1408" s="2646" t="s">
        <v>99</v>
      </c>
      <c r="B1408" s="2646" t="s">
        <v>3515</v>
      </c>
      <c r="C1408" s="2646">
        <v>320</v>
      </c>
      <c r="D1408" s="2646">
        <v>440</v>
      </c>
      <c r="E1408" s="2646">
        <v>160</v>
      </c>
      <c r="F1408" s="2646" t="s">
        <v>2088</v>
      </c>
      <c r="G1408" s="2646" t="s">
        <v>2088</v>
      </c>
      <c r="H1408" s="2646" t="s">
        <v>2088</v>
      </c>
      <c r="I1408" s="2646" t="s">
        <v>2088</v>
      </c>
      <c r="J1408" s="2646">
        <v>67</v>
      </c>
      <c r="L1408" s="2646">
        <v>2097964</v>
      </c>
    </row>
    <row r="1409" spans="1:12">
      <c r="A1409" s="2647" t="s">
        <v>99</v>
      </c>
      <c r="B1409" s="2647" t="s">
        <v>3516</v>
      </c>
      <c r="C1409" s="2647">
        <v>300</v>
      </c>
      <c r="D1409" s="2647">
        <v>420</v>
      </c>
      <c r="E1409" s="2647">
        <v>160</v>
      </c>
      <c r="F1409" s="2647" t="s">
        <v>2088</v>
      </c>
      <c r="G1409" s="2647" t="s">
        <v>2088</v>
      </c>
      <c r="H1409" s="2647" t="s">
        <v>2088</v>
      </c>
      <c r="I1409" s="2647" t="s">
        <v>2088</v>
      </c>
      <c r="J1409" s="2647">
        <v>63</v>
      </c>
      <c r="K1409" s="2648"/>
      <c r="L1409" s="2647" t="s">
        <v>3517</v>
      </c>
    </row>
    <row r="1410" spans="1:12">
      <c r="A1410" s="2646" t="s">
        <v>99</v>
      </c>
      <c r="B1410" s="2646" t="s">
        <v>3518</v>
      </c>
      <c r="C1410" s="2646">
        <v>300</v>
      </c>
      <c r="D1410" s="2646">
        <v>420</v>
      </c>
      <c r="E1410" s="2646">
        <v>175</v>
      </c>
      <c r="F1410" s="2646" t="s">
        <v>2088</v>
      </c>
      <c r="G1410" s="2646" t="s">
        <v>2088</v>
      </c>
      <c r="H1410" s="2646" t="s">
        <v>2088</v>
      </c>
      <c r="I1410" s="2646" t="s">
        <v>2088</v>
      </c>
      <c r="J1410" s="2646">
        <v>70</v>
      </c>
      <c r="L1410" s="2646">
        <v>97860</v>
      </c>
    </row>
    <row r="1411" spans="1:12">
      <c r="A1411" s="2647" t="s">
        <v>99</v>
      </c>
      <c r="B1411" s="2647" t="s">
        <v>3519</v>
      </c>
      <c r="C1411" s="2647">
        <v>300</v>
      </c>
      <c r="D1411" s="2647">
        <v>420</v>
      </c>
      <c r="E1411" s="2647">
        <v>160</v>
      </c>
      <c r="F1411" s="2647" t="s">
        <v>2088</v>
      </c>
      <c r="G1411" s="2647" t="s">
        <v>2088</v>
      </c>
      <c r="H1411" s="2647" t="s">
        <v>2088</v>
      </c>
      <c r="I1411" s="2647" t="s">
        <v>2088</v>
      </c>
      <c r="J1411" s="2647">
        <v>60.8</v>
      </c>
      <c r="K1411" s="2648"/>
      <c r="L1411" s="2647">
        <v>2097960</v>
      </c>
    </row>
    <row r="1412" spans="1:12">
      <c r="A1412" s="2646" t="s">
        <v>99</v>
      </c>
      <c r="B1412" s="2646">
        <v>352960</v>
      </c>
      <c r="C1412" s="2646">
        <v>300</v>
      </c>
      <c r="D1412" s="2646">
        <v>420</v>
      </c>
      <c r="E1412" s="2646">
        <v>166</v>
      </c>
      <c r="F1412" s="2646" t="s">
        <v>2088</v>
      </c>
      <c r="G1412" s="2646" t="s">
        <v>2088</v>
      </c>
      <c r="H1412" s="2646" t="s">
        <v>2088</v>
      </c>
      <c r="I1412" s="2646" t="s">
        <v>2088</v>
      </c>
      <c r="J1412" s="2646">
        <v>60.8</v>
      </c>
      <c r="L1412" s="2646" t="s">
        <v>3520</v>
      </c>
    </row>
    <row r="1413" spans="1:12">
      <c r="A1413" s="2647" t="s">
        <v>99</v>
      </c>
      <c r="B1413" s="2647" t="s">
        <v>3521</v>
      </c>
      <c r="C1413" s="2647">
        <v>280</v>
      </c>
      <c r="D1413" s="2647">
        <v>380</v>
      </c>
      <c r="E1413" s="2647">
        <v>134</v>
      </c>
      <c r="F1413" s="2647" t="s">
        <v>2088</v>
      </c>
      <c r="G1413" s="2647" t="s">
        <v>2088</v>
      </c>
      <c r="H1413" s="2647" t="s">
        <v>2088</v>
      </c>
      <c r="I1413" s="2647" t="s">
        <v>2088</v>
      </c>
      <c r="J1413" s="2647">
        <v>41.3</v>
      </c>
      <c r="K1413" s="2648"/>
      <c r="L1413" s="2647" t="s">
        <v>3522</v>
      </c>
    </row>
    <row r="1414" spans="1:12">
      <c r="A1414" s="2646" t="s">
        <v>99</v>
      </c>
      <c r="B1414" s="2646" t="s">
        <v>3523</v>
      </c>
      <c r="C1414" s="2646">
        <v>280</v>
      </c>
      <c r="D1414" s="2646">
        <v>380</v>
      </c>
      <c r="E1414" s="2646">
        <v>134</v>
      </c>
      <c r="F1414" s="2646" t="s">
        <v>2088</v>
      </c>
      <c r="G1414" s="2646" t="s">
        <v>2088</v>
      </c>
      <c r="H1414" s="2646" t="s">
        <v>2088</v>
      </c>
      <c r="I1414" s="2646" t="s">
        <v>2088</v>
      </c>
      <c r="J1414" s="2646">
        <v>44</v>
      </c>
      <c r="L1414" s="2646">
        <v>2097956</v>
      </c>
    </row>
    <row r="1415" spans="1:12">
      <c r="A1415" s="2647" t="s">
        <v>99</v>
      </c>
      <c r="B1415" s="2647">
        <v>352956</v>
      </c>
      <c r="C1415" s="2647">
        <v>280</v>
      </c>
      <c r="D1415" s="2647">
        <v>380</v>
      </c>
      <c r="E1415" s="2647">
        <v>141</v>
      </c>
      <c r="F1415" s="2647" t="s">
        <v>2088</v>
      </c>
      <c r="G1415" s="2647" t="s">
        <v>2088</v>
      </c>
      <c r="H1415" s="2647" t="s">
        <v>2088</v>
      </c>
      <c r="I1415" s="2647" t="s">
        <v>2088</v>
      </c>
      <c r="J1415" s="2647">
        <v>41.3</v>
      </c>
      <c r="K1415" s="2648"/>
      <c r="L1415" s="2647" t="s">
        <v>3524</v>
      </c>
    </row>
    <row r="1416" spans="1:12">
      <c r="A1416" s="2646" t="s">
        <v>99</v>
      </c>
      <c r="B1416" s="2646">
        <v>352928</v>
      </c>
      <c r="C1416" s="2646">
        <v>140</v>
      </c>
      <c r="D1416" s="2646">
        <v>190</v>
      </c>
      <c r="E1416" s="2646">
        <v>73</v>
      </c>
      <c r="F1416" s="2646" t="s">
        <v>2088</v>
      </c>
      <c r="G1416" s="2646" t="s">
        <v>2088</v>
      </c>
      <c r="H1416" s="2646" t="s">
        <v>2088</v>
      </c>
      <c r="I1416" s="2646" t="s">
        <v>2088</v>
      </c>
      <c r="J1416" s="2646">
        <v>6.2</v>
      </c>
      <c r="L1416" s="2646" t="s">
        <v>3525</v>
      </c>
    </row>
    <row r="1417" spans="1:12">
      <c r="A1417" s="2647" t="s">
        <v>99</v>
      </c>
      <c r="B1417" s="2647" t="s">
        <v>3526</v>
      </c>
      <c r="C1417" s="2647">
        <v>130</v>
      </c>
      <c r="D1417" s="2647">
        <v>180</v>
      </c>
      <c r="E1417" s="2647">
        <v>70</v>
      </c>
      <c r="F1417" s="2647" t="s">
        <v>2088</v>
      </c>
      <c r="G1417" s="2647" t="s">
        <v>2088</v>
      </c>
      <c r="H1417" s="2647" t="s">
        <v>2088</v>
      </c>
      <c r="I1417" s="2647" t="s">
        <v>2088</v>
      </c>
      <c r="J1417" s="2647">
        <v>4.87</v>
      </c>
      <c r="K1417" s="2648"/>
      <c r="L1417" s="2647">
        <v>2097926</v>
      </c>
    </row>
    <row r="1418" spans="1:12">
      <c r="A1418" s="2646" t="s">
        <v>99</v>
      </c>
      <c r="B1418" s="2646">
        <v>352926</v>
      </c>
      <c r="C1418" s="2646">
        <v>130</v>
      </c>
      <c r="D1418" s="2646">
        <v>180</v>
      </c>
      <c r="E1418" s="2646">
        <v>73</v>
      </c>
      <c r="F1418" s="2646" t="s">
        <v>2088</v>
      </c>
      <c r="G1418" s="2646" t="s">
        <v>2088</v>
      </c>
      <c r="H1418" s="2646" t="s">
        <v>2088</v>
      </c>
      <c r="I1418" s="2646" t="s">
        <v>2088</v>
      </c>
      <c r="J1418" s="2646">
        <v>4.84</v>
      </c>
      <c r="L1418" s="2646" t="s">
        <v>3527</v>
      </c>
    </row>
    <row r="1419" spans="1:12">
      <c r="A1419" s="2647" t="s">
        <v>99</v>
      </c>
      <c r="B1419" s="2647">
        <v>352238</v>
      </c>
      <c r="C1419" s="2647">
        <v>190</v>
      </c>
      <c r="D1419" s="2647">
        <v>340</v>
      </c>
      <c r="E1419" s="2647">
        <v>204</v>
      </c>
      <c r="F1419" s="2647" t="s">
        <v>2088</v>
      </c>
      <c r="G1419" s="2647" t="s">
        <v>2088</v>
      </c>
      <c r="H1419" s="2647" t="s">
        <v>2088</v>
      </c>
      <c r="I1419" s="2647" t="s">
        <v>2088</v>
      </c>
      <c r="J1419" s="2647">
        <v>69.8</v>
      </c>
      <c r="K1419" s="2648"/>
      <c r="L1419" s="2647" t="s">
        <v>3528</v>
      </c>
    </row>
    <row r="1420" spans="1:12">
      <c r="A1420" s="2646" t="s">
        <v>99</v>
      </c>
      <c r="B1420" s="2646" t="s">
        <v>3529</v>
      </c>
      <c r="C1420" s="2646">
        <v>180</v>
      </c>
      <c r="D1420" s="2646">
        <v>320</v>
      </c>
      <c r="E1420" s="2646">
        <v>190</v>
      </c>
      <c r="F1420" s="2646" t="s">
        <v>2088</v>
      </c>
      <c r="G1420" s="2646" t="s">
        <v>2088</v>
      </c>
      <c r="H1420" s="2646" t="s">
        <v>2088</v>
      </c>
      <c r="I1420" s="2646" t="s">
        <v>2088</v>
      </c>
      <c r="J1420" s="2646">
        <v>62.7</v>
      </c>
      <c r="L1420" s="2646" t="s">
        <v>3530</v>
      </c>
    </row>
    <row r="1421" spans="1:12">
      <c r="A1421" s="2647" t="s">
        <v>99</v>
      </c>
      <c r="B1421" s="2647" t="s">
        <v>3531</v>
      </c>
      <c r="C1421" s="2647">
        <v>180</v>
      </c>
      <c r="D1421" s="2647">
        <v>320</v>
      </c>
      <c r="E1421" s="2647">
        <v>192</v>
      </c>
      <c r="F1421" s="2647" t="s">
        <v>2088</v>
      </c>
      <c r="G1421" s="2647" t="s">
        <v>2088</v>
      </c>
      <c r="H1421" s="2647" t="s">
        <v>2088</v>
      </c>
      <c r="I1421" s="2647" t="s">
        <v>2088</v>
      </c>
      <c r="J1421" s="2647">
        <v>60</v>
      </c>
      <c r="K1421" s="2648"/>
      <c r="L1421" s="2647" t="s">
        <v>3532</v>
      </c>
    </row>
    <row r="1422" spans="1:12">
      <c r="A1422" s="2646" t="s">
        <v>99</v>
      </c>
      <c r="B1422" s="2646">
        <v>352234</v>
      </c>
      <c r="C1422" s="2646">
        <v>170</v>
      </c>
      <c r="D1422" s="2646">
        <v>310</v>
      </c>
      <c r="E1422" s="2646">
        <v>192</v>
      </c>
      <c r="F1422" s="2646" t="s">
        <v>2088</v>
      </c>
      <c r="G1422" s="2646" t="s">
        <v>2088</v>
      </c>
      <c r="H1422" s="2646" t="s">
        <v>2088</v>
      </c>
      <c r="I1422" s="2646" t="s">
        <v>2088</v>
      </c>
      <c r="J1422" s="2646">
        <v>58.2</v>
      </c>
      <c r="L1422" s="2646" t="s">
        <v>3533</v>
      </c>
    </row>
    <row r="1423" spans="1:12">
      <c r="A1423" s="2647" t="s">
        <v>99</v>
      </c>
      <c r="B1423" s="2647" t="s">
        <v>3534</v>
      </c>
      <c r="C1423" s="2647">
        <v>160</v>
      </c>
      <c r="D1423" s="2647">
        <v>290</v>
      </c>
      <c r="E1423" s="2647">
        <v>180</v>
      </c>
      <c r="F1423" s="2647" t="s">
        <v>2088</v>
      </c>
      <c r="G1423" s="2647" t="s">
        <v>2088</v>
      </c>
      <c r="H1423" s="2647" t="s">
        <v>2088</v>
      </c>
      <c r="I1423" s="2647" t="s">
        <v>2088</v>
      </c>
      <c r="J1423" s="2647">
        <v>46.2</v>
      </c>
      <c r="K1423" s="2648"/>
      <c r="L1423" s="2647">
        <v>97532</v>
      </c>
    </row>
    <row r="1424" spans="1:12">
      <c r="A1424" s="2646" t="s">
        <v>99</v>
      </c>
      <c r="B1424" s="2646" t="s">
        <v>3535</v>
      </c>
      <c r="C1424" s="2646">
        <v>150</v>
      </c>
      <c r="D1424" s="2646">
        <v>270</v>
      </c>
      <c r="E1424" s="2646">
        <v>169</v>
      </c>
      <c r="F1424" s="2646" t="s">
        <v>2088</v>
      </c>
      <c r="G1424" s="2646" t="s">
        <v>2088</v>
      </c>
      <c r="H1424" s="2646" t="s">
        <v>2088</v>
      </c>
      <c r="I1424" s="2646" t="s">
        <v>2088</v>
      </c>
      <c r="J1424" s="2646">
        <v>39.4</v>
      </c>
      <c r="L1424" s="2646" t="s">
        <v>3536</v>
      </c>
    </row>
    <row r="1425" spans="1:12">
      <c r="A1425" s="2647" t="s">
        <v>99</v>
      </c>
      <c r="B1425" s="2647" t="s">
        <v>3537</v>
      </c>
      <c r="C1425" s="2647">
        <v>150</v>
      </c>
      <c r="D1425" s="2647">
        <v>270</v>
      </c>
      <c r="E1425" s="2647">
        <v>172</v>
      </c>
      <c r="F1425" s="2647" t="s">
        <v>2088</v>
      </c>
      <c r="G1425" s="2647" t="s">
        <v>2088</v>
      </c>
      <c r="H1425" s="2647" t="s">
        <v>2088</v>
      </c>
      <c r="I1425" s="2647" t="s">
        <v>2088</v>
      </c>
      <c r="J1425" s="2647">
        <v>40</v>
      </c>
      <c r="K1425" s="2648"/>
      <c r="L1425" s="2647">
        <v>97530</v>
      </c>
    </row>
    <row r="1426" spans="1:12">
      <c r="A1426" s="2646" t="s">
        <v>99</v>
      </c>
      <c r="B1426" s="2646" t="s">
        <v>3538</v>
      </c>
      <c r="C1426" s="2646">
        <v>150</v>
      </c>
      <c r="D1426" s="2646">
        <v>270</v>
      </c>
      <c r="E1426" s="2646">
        <v>228</v>
      </c>
      <c r="F1426" s="2646" t="s">
        <v>2088</v>
      </c>
      <c r="G1426" s="2646" t="s">
        <v>2088</v>
      </c>
      <c r="H1426" s="2646" t="s">
        <v>2088</v>
      </c>
      <c r="I1426" s="2646" t="s">
        <v>2088</v>
      </c>
      <c r="J1426" s="2646">
        <v>43.8</v>
      </c>
      <c r="L1426" s="2646">
        <v>197730</v>
      </c>
    </row>
    <row r="1427" spans="1:12">
      <c r="A1427" s="2647" t="s">
        <v>99</v>
      </c>
      <c r="B1427" s="2647" t="s">
        <v>3539</v>
      </c>
      <c r="C1427" s="2647">
        <v>140</v>
      </c>
      <c r="D1427" s="2647">
        <v>250</v>
      </c>
      <c r="E1427" s="2647">
        <v>157</v>
      </c>
      <c r="F1427" s="2647" t="s">
        <v>2088</v>
      </c>
      <c r="G1427" s="2647" t="s">
        <v>2088</v>
      </c>
      <c r="H1427" s="2647" t="s">
        <v>2088</v>
      </c>
      <c r="I1427" s="2647" t="s">
        <v>2088</v>
      </c>
      <c r="J1427" s="2647">
        <v>31.7</v>
      </c>
      <c r="K1427" s="2648"/>
      <c r="L1427" s="2647" t="s">
        <v>3540</v>
      </c>
    </row>
    <row r="1428" spans="1:12">
      <c r="A1428" s="2646" t="s">
        <v>99</v>
      </c>
      <c r="B1428" s="2646" t="s">
        <v>3541</v>
      </c>
      <c r="C1428" s="2646">
        <v>130</v>
      </c>
      <c r="D1428" s="2646">
        <v>250</v>
      </c>
      <c r="E1428" s="2646">
        <v>160</v>
      </c>
      <c r="F1428" s="2646" t="s">
        <v>2088</v>
      </c>
      <c r="G1428" s="2646" t="s">
        <v>2088</v>
      </c>
      <c r="H1428" s="2646" t="s">
        <v>2088</v>
      </c>
      <c r="I1428" s="2646" t="s">
        <v>2088</v>
      </c>
      <c r="J1428" s="2646">
        <v>39.299999999999997</v>
      </c>
      <c r="L1428" s="2646" t="s">
        <v>3542</v>
      </c>
    </row>
    <row r="1429" spans="1:12">
      <c r="A1429" s="2647" t="s">
        <v>99</v>
      </c>
      <c r="B1429" s="2647" t="s">
        <v>3543</v>
      </c>
      <c r="C1429" s="2647">
        <v>129</v>
      </c>
      <c r="D1429" s="2647">
        <v>230</v>
      </c>
      <c r="E1429" s="2647">
        <v>222</v>
      </c>
      <c r="F1429" s="2647" t="s">
        <v>2088</v>
      </c>
      <c r="G1429" s="2647" t="s">
        <v>2088</v>
      </c>
      <c r="H1429" s="2647" t="s">
        <v>2088</v>
      </c>
      <c r="I1429" s="2647" t="s">
        <v>2088</v>
      </c>
      <c r="J1429" s="2647">
        <v>30.1</v>
      </c>
      <c r="K1429" s="2648"/>
      <c r="L1429" s="2647" t="s">
        <v>3544</v>
      </c>
    </row>
    <row r="1430" spans="1:12">
      <c r="A1430" s="2646" t="s">
        <v>99</v>
      </c>
      <c r="B1430" s="2646" t="s">
        <v>3545</v>
      </c>
      <c r="C1430" s="2646">
        <v>130</v>
      </c>
      <c r="D1430" s="2646">
        <v>230</v>
      </c>
      <c r="E1430" s="2646">
        <v>222</v>
      </c>
      <c r="F1430" s="2646" t="s">
        <v>2088</v>
      </c>
      <c r="G1430" s="2646" t="s">
        <v>2088</v>
      </c>
      <c r="H1430" s="2646" t="s">
        <v>2088</v>
      </c>
      <c r="I1430" s="2646" t="s">
        <v>2088</v>
      </c>
      <c r="J1430" s="2646">
        <v>29.5</v>
      </c>
      <c r="L1430" s="2646">
        <v>197726</v>
      </c>
    </row>
    <row r="1431" spans="1:12">
      <c r="A1431" s="2647" t="s">
        <v>99</v>
      </c>
      <c r="B1431" s="2647" t="s">
        <v>3546</v>
      </c>
      <c r="C1431" s="2647">
        <v>130</v>
      </c>
      <c r="D1431" s="2647">
        <v>230</v>
      </c>
      <c r="E1431" s="2647">
        <v>149</v>
      </c>
      <c r="F1431" s="2647" t="s">
        <v>2088</v>
      </c>
      <c r="G1431" s="2647" t="s">
        <v>2088</v>
      </c>
      <c r="H1431" s="2647" t="s">
        <v>2088</v>
      </c>
      <c r="I1431" s="2647" t="s">
        <v>2088</v>
      </c>
      <c r="J1431" s="2647">
        <v>27.6</v>
      </c>
      <c r="K1431" s="2648"/>
      <c r="L1431" s="2647" t="s">
        <v>2546</v>
      </c>
    </row>
    <row r="1432" spans="1:12">
      <c r="A1432" s="2646" t="s">
        <v>99</v>
      </c>
      <c r="B1432" s="2646" t="s">
        <v>3547</v>
      </c>
      <c r="C1432" s="2646">
        <v>120</v>
      </c>
      <c r="D1432" s="2646">
        <v>215</v>
      </c>
      <c r="E1432" s="2646">
        <v>132</v>
      </c>
      <c r="F1432" s="2646" t="s">
        <v>2088</v>
      </c>
      <c r="G1432" s="2646" t="s">
        <v>2088</v>
      </c>
      <c r="H1432" s="2646" t="s">
        <v>2088</v>
      </c>
      <c r="I1432" s="2646" t="s">
        <v>2088</v>
      </c>
      <c r="J1432" s="2646">
        <v>19.600000000000001</v>
      </c>
      <c r="L1432" s="2646">
        <v>57524</v>
      </c>
    </row>
    <row r="1433" spans="1:12">
      <c r="A1433" s="2647" t="s">
        <v>99</v>
      </c>
      <c r="B1433" s="2647" t="s">
        <v>3548</v>
      </c>
      <c r="C1433" s="2647">
        <v>120</v>
      </c>
      <c r="D1433" s="2647">
        <v>215</v>
      </c>
      <c r="E1433" s="2647">
        <v>132</v>
      </c>
      <c r="F1433" s="2647" t="s">
        <v>2088</v>
      </c>
      <c r="G1433" s="2647" t="s">
        <v>2088</v>
      </c>
      <c r="H1433" s="2647" t="s">
        <v>2088</v>
      </c>
      <c r="I1433" s="2647" t="s">
        <v>2088</v>
      </c>
      <c r="J1433" s="2647">
        <v>19.2</v>
      </c>
      <c r="K1433" s="2648"/>
      <c r="L1433" s="2647" t="s">
        <v>3549</v>
      </c>
    </row>
    <row r="1434" spans="1:12">
      <c r="A1434" s="2646" t="s">
        <v>99</v>
      </c>
      <c r="B1434" s="2646" t="s">
        <v>3550</v>
      </c>
      <c r="C1434" s="2646">
        <v>110</v>
      </c>
      <c r="D1434" s="2646">
        <v>200</v>
      </c>
      <c r="E1434" s="2646">
        <v>92</v>
      </c>
      <c r="F1434" s="2646" t="s">
        <v>2088</v>
      </c>
      <c r="G1434" s="2646" t="s">
        <v>2088</v>
      </c>
      <c r="H1434" s="2646" t="s">
        <v>2088</v>
      </c>
      <c r="I1434" s="2646" t="s">
        <v>2088</v>
      </c>
      <c r="J1434" s="2646">
        <v>11.5</v>
      </c>
      <c r="L1434" s="2646" t="s">
        <v>3551</v>
      </c>
    </row>
    <row r="1435" spans="1:12">
      <c r="A1435" s="2647" t="s">
        <v>99</v>
      </c>
      <c r="B1435" s="2647" t="s">
        <v>3552</v>
      </c>
      <c r="C1435" s="2647">
        <v>105</v>
      </c>
      <c r="D1435" s="2647">
        <v>190</v>
      </c>
      <c r="E1435" s="2647">
        <v>117</v>
      </c>
      <c r="F1435" s="2647" t="s">
        <v>2088</v>
      </c>
      <c r="G1435" s="2647" t="s">
        <v>2088</v>
      </c>
      <c r="H1435" s="2647" t="s">
        <v>2088</v>
      </c>
      <c r="I1435" s="2647" t="s">
        <v>2088</v>
      </c>
      <c r="J1435" s="2647">
        <v>13.7</v>
      </c>
      <c r="K1435" s="2648"/>
      <c r="L1435" s="2647" t="s">
        <v>3553</v>
      </c>
    </row>
    <row r="1436" spans="1:12">
      <c r="A1436" s="2646" t="s">
        <v>99</v>
      </c>
      <c r="B1436" s="2646">
        <v>352221</v>
      </c>
      <c r="C1436" s="2646">
        <v>105</v>
      </c>
      <c r="D1436" s="2646">
        <v>190</v>
      </c>
      <c r="E1436" s="2646">
        <v>115</v>
      </c>
      <c r="F1436" s="2646" t="s">
        <v>2088</v>
      </c>
      <c r="G1436" s="2646" t="s">
        <v>2088</v>
      </c>
      <c r="H1436" s="2646" t="s">
        <v>2088</v>
      </c>
      <c r="I1436" s="2646" t="s">
        <v>2088</v>
      </c>
      <c r="J1436" s="2646">
        <v>0</v>
      </c>
      <c r="L1436" s="2646" t="s">
        <v>3554</v>
      </c>
    </row>
    <row r="1437" spans="1:12">
      <c r="A1437" s="2647" t="s">
        <v>99</v>
      </c>
      <c r="B1437" s="2647" t="s">
        <v>3555</v>
      </c>
      <c r="C1437" s="2647">
        <v>100</v>
      </c>
      <c r="D1437" s="2647">
        <v>182</v>
      </c>
      <c r="E1437" s="2647">
        <v>189</v>
      </c>
      <c r="F1437" s="2647" t="s">
        <v>2088</v>
      </c>
      <c r="G1437" s="2647" t="s">
        <v>2088</v>
      </c>
      <c r="H1437" s="2647" t="s">
        <v>2088</v>
      </c>
      <c r="I1437" s="2647" t="s">
        <v>2088</v>
      </c>
      <c r="J1437" s="2647">
        <v>15.9</v>
      </c>
      <c r="K1437" s="2648"/>
      <c r="L1437" s="2647">
        <v>197720</v>
      </c>
    </row>
    <row r="1438" spans="1:12">
      <c r="A1438" s="2646" t="s">
        <v>99</v>
      </c>
      <c r="B1438" s="2646" t="s">
        <v>3556</v>
      </c>
      <c r="C1438" s="2646">
        <v>100</v>
      </c>
      <c r="D1438" s="2646">
        <v>180</v>
      </c>
      <c r="E1438" s="2646">
        <v>83</v>
      </c>
      <c r="F1438" s="2646" t="s">
        <v>2088</v>
      </c>
      <c r="G1438" s="2646" t="s">
        <v>2088</v>
      </c>
      <c r="H1438" s="2646" t="s">
        <v>2088</v>
      </c>
      <c r="I1438" s="2646" t="s">
        <v>2088</v>
      </c>
      <c r="J1438" s="2646">
        <v>6.51</v>
      </c>
      <c r="L1438" s="2646">
        <v>97820</v>
      </c>
    </row>
    <row r="1439" spans="1:12">
      <c r="A1439" s="2647" t="s">
        <v>99</v>
      </c>
      <c r="B1439" s="2647">
        <v>352219</v>
      </c>
      <c r="C1439" s="2647">
        <v>95</v>
      </c>
      <c r="D1439" s="2647">
        <v>170</v>
      </c>
      <c r="E1439" s="2647">
        <v>100</v>
      </c>
      <c r="F1439" s="2647" t="s">
        <v>2088</v>
      </c>
      <c r="G1439" s="2647" t="s">
        <v>2088</v>
      </c>
      <c r="H1439" s="2647" t="s">
        <v>2088</v>
      </c>
      <c r="I1439" s="2647" t="s">
        <v>2088</v>
      </c>
      <c r="J1439" s="2647">
        <v>9.02</v>
      </c>
      <c r="K1439" s="2648"/>
      <c r="L1439" s="2647" t="s">
        <v>3557</v>
      </c>
    </row>
    <row r="1440" spans="1:12">
      <c r="A1440" s="2646" t="s">
        <v>99</v>
      </c>
      <c r="B1440" s="2646" t="s">
        <v>3558</v>
      </c>
      <c r="C1440" s="2646">
        <v>90</v>
      </c>
      <c r="D1440" s="2646">
        <v>160</v>
      </c>
      <c r="E1440" s="2646">
        <v>40</v>
      </c>
      <c r="F1440" s="2646">
        <v>400</v>
      </c>
      <c r="G1440" s="2646">
        <v>525</v>
      </c>
      <c r="H1440" s="2646">
        <v>1900</v>
      </c>
      <c r="I1440" s="2646">
        <v>2500</v>
      </c>
      <c r="J1440" s="2646">
        <v>7.8</v>
      </c>
      <c r="L1440" s="2646" t="s">
        <v>2541</v>
      </c>
    </row>
    <row r="1441" spans="1:12">
      <c r="A1441" s="2647" t="s">
        <v>99</v>
      </c>
      <c r="B1441" s="2647" t="s">
        <v>3559</v>
      </c>
      <c r="C1441" s="2647">
        <v>85</v>
      </c>
      <c r="D1441" s="2647">
        <v>150</v>
      </c>
      <c r="E1441" s="2647">
        <v>84</v>
      </c>
      <c r="F1441" s="2647" t="s">
        <v>2088</v>
      </c>
      <c r="G1441" s="2647" t="s">
        <v>2088</v>
      </c>
      <c r="H1441" s="2647" t="s">
        <v>2088</v>
      </c>
      <c r="I1441" s="2647" t="s">
        <v>2088</v>
      </c>
      <c r="J1441" s="2647">
        <v>5.59</v>
      </c>
      <c r="K1441" s="2648"/>
      <c r="L1441" s="2647" t="s">
        <v>3560</v>
      </c>
    </row>
    <row r="1442" spans="1:12">
      <c r="A1442" s="2646" t="s">
        <v>99</v>
      </c>
      <c r="B1442" s="2646" t="s">
        <v>3561</v>
      </c>
      <c r="C1442" s="2646">
        <v>80</v>
      </c>
      <c r="D1442" s="2646">
        <v>140</v>
      </c>
      <c r="E1442" s="2646">
        <v>80</v>
      </c>
      <c r="F1442" s="2646" t="s">
        <v>2088</v>
      </c>
      <c r="G1442" s="2646" t="s">
        <v>2088</v>
      </c>
      <c r="H1442" s="2646" t="s">
        <v>2088</v>
      </c>
      <c r="I1442" s="2646" t="s">
        <v>2088</v>
      </c>
      <c r="J1442" s="2646">
        <v>4.97</v>
      </c>
      <c r="L1442" s="2646">
        <v>97516</v>
      </c>
    </row>
    <row r="1443" spans="1:12">
      <c r="A1443" s="2647" t="s">
        <v>99</v>
      </c>
      <c r="B1443" s="2647" t="s">
        <v>3562</v>
      </c>
      <c r="C1443" s="2647">
        <v>70</v>
      </c>
      <c r="D1443" s="2647">
        <v>125</v>
      </c>
      <c r="E1443" s="2647">
        <v>75</v>
      </c>
      <c r="F1443" s="2647" t="s">
        <v>2088</v>
      </c>
      <c r="G1443" s="2647" t="s">
        <v>2088</v>
      </c>
      <c r="H1443" s="2647" t="s">
        <v>2088</v>
      </c>
      <c r="I1443" s="2647" t="s">
        <v>2088</v>
      </c>
      <c r="J1443" s="2647">
        <v>3.6059999999999999</v>
      </c>
      <c r="K1443" s="2648"/>
      <c r="L1443" s="2647" t="s">
        <v>3563</v>
      </c>
    </row>
    <row r="1444" spans="1:12">
      <c r="A1444" s="2646" t="s">
        <v>99</v>
      </c>
      <c r="B1444" s="2646">
        <v>352152</v>
      </c>
      <c r="C1444" s="2646">
        <v>260</v>
      </c>
      <c r="D1444" s="2646">
        <v>440</v>
      </c>
      <c r="E1444" s="2646">
        <v>225</v>
      </c>
      <c r="F1444" s="2646" t="s">
        <v>2088</v>
      </c>
      <c r="G1444" s="2646" t="s">
        <v>2088</v>
      </c>
      <c r="H1444" s="2646" t="s">
        <v>2088</v>
      </c>
      <c r="I1444" s="2646" t="s">
        <v>2088</v>
      </c>
      <c r="J1444" s="2646">
        <v>124</v>
      </c>
      <c r="L1444" s="2646">
        <v>2097752</v>
      </c>
    </row>
    <row r="1445" spans="1:12">
      <c r="A1445" s="2647" t="s">
        <v>99</v>
      </c>
      <c r="B1445" s="2647">
        <v>352148</v>
      </c>
      <c r="C1445" s="2647">
        <v>240</v>
      </c>
      <c r="D1445" s="2647">
        <v>400</v>
      </c>
      <c r="E1445" s="2647">
        <v>210</v>
      </c>
      <c r="F1445" s="2647" t="s">
        <v>2088</v>
      </c>
      <c r="G1445" s="2647" t="s">
        <v>2088</v>
      </c>
      <c r="H1445" s="2647" t="s">
        <v>2088</v>
      </c>
      <c r="I1445" s="2647" t="s">
        <v>2088</v>
      </c>
      <c r="J1445" s="2647">
        <v>98.1</v>
      </c>
      <c r="K1445" s="2648"/>
      <c r="L1445" s="2647">
        <v>2097748</v>
      </c>
    </row>
    <row r="1446" spans="1:12">
      <c r="A1446" s="2646" t="s">
        <v>99</v>
      </c>
      <c r="B1446" s="2646">
        <v>352144</v>
      </c>
      <c r="C1446" s="2646">
        <v>220</v>
      </c>
      <c r="D1446" s="2646">
        <v>370</v>
      </c>
      <c r="E1446" s="2646">
        <v>195</v>
      </c>
      <c r="F1446" s="2646" t="s">
        <v>2088</v>
      </c>
      <c r="G1446" s="2646" t="s">
        <v>2088</v>
      </c>
      <c r="H1446" s="2646" t="s">
        <v>2088</v>
      </c>
      <c r="I1446" s="2646" t="s">
        <v>2088</v>
      </c>
      <c r="J1446" s="2646">
        <v>76.3</v>
      </c>
      <c r="L1446" s="2646">
        <v>2097744</v>
      </c>
    </row>
    <row r="1447" spans="1:12">
      <c r="A1447" s="2647" t="s">
        <v>99</v>
      </c>
      <c r="B1447" s="2647" t="s">
        <v>3564</v>
      </c>
      <c r="C1447" s="2647">
        <v>200</v>
      </c>
      <c r="D1447" s="2647">
        <v>340</v>
      </c>
      <c r="E1447" s="2647">
        <v>184</v>
      </c>
      <c r="F1447" s="2647" t="s">
        <v>2088</v>
      </c>
      <c r="G1447" s="2647" t="s">
        <v>2088</v>
      </c>
      <c r="H1447" s="2647" t="s">
        <v>2088</v>
      </c>
      <c r="I1447" s="2647" t="s">
        <v>2088</v>
      </c>
      <c r="J1447" s="2647">
        <v>0</v>
      </c>
      <c r="K1447" s="2648"/>
      <c r="L1447" s="2647">
        <v>2097740</v>
      </c>
    </row>
    <row r="1448" spans="1:12">
      <c r="A1448" s="2646" t="s">
        <v>99</v>
      </c>
      <c r="B1448" s="2646">
        <v>352140</v>
      </c>
      <c r="C1448" s="2646">
        <v>200</v>
      </c>
      <c r="D1448" s="2646">
        <v>340</v>
      </c>
      <c r="E1448" s="2646">
        <v>184</v>
      </c>
      <c r="F1448" s="2646" t="s">
        <v>2088</v>
      </c>
      <c r="G1448" s="2646" t="s">
        <v>2088</v>
      </c>
      <c r="H1448" s="2646" t="s">
        <v>2088</v>
      </c>
      <c r="I1448" s="2646" t="s">
        <v>2088</v>
      </c>
      <c r="J1448" s="2646">
        <v>63.8</v>
      </c>
      <c r="L1448" s="2646">
        <v>2097740</v>
      </c>
    </row>
    <row r="1449" spans="1:12">
      <c r="A1449" s="2647" t="s">
        <v>99</v>
      </c>
      <c r="B1449" s="2647" t="s">
        <v>3565</v>
      </c>
      <c r="C1449" s="2647">
        <v>150</v>
      </c>
      <c r="D1449" s="2647">
        <v>250</v>
      </c>
      <c r="E1449" s="2647">
        <v>109</v>
      </c>
      <c r="F1449" s="2647" t="s">
        <v>2088</v>
      </c>
      <c r="G1449" s="2647" t="s">
        <v>2088</v>
      </c>
      <c r="H1449" s="2647" t="s">
        <v>2088</v>
      </c>
      <c r="I1449" s="2647" t="s">
        <v>2088</v>
      </c>
      <c r="J1449" s="2647">
        <v>24.5</v>
      </c>
      <c r="K1449" s="2648"/>
      <c r="L1449" s="2647" t="s">
        <v>3566</v>
      </c>
    </row>
    <row r="1450" spans="1:12">
      <c r="A1450" s="2646" t="s">
        <v>99</v>
      </c>
      <c r="B1450" s="2646">
        <v>352138</v>
      </c>
      <c r="C1450" s="2646">
        <v>190</v>
      </c>
      <c r="D1450" s="2646">
        <v>320</v>
      </c>
      <c r="E1450" s="2646">
        <v>170</v>
      </c>
      <c r="F1450" s="2646" t="s">
        <v>2088</v>
      </c>
      <c r="G1450" s="2646" t="s">
        <v>2088</v>
      </c>
      <c r="H1450" s="2646" t="s">
        <v>2088</v>
      </c>
      <c r="I1450" s="2646" t="s">
        <v>2088</v>
      </c>
      <c r="J1450" s="2646">
        <v>53.62</v>
      </c>
      <c r="L1450" s="2646" t="s">
        <v>3567</v>
      </c>
    </row>
    <row r="1451" spans="1:12">
      <c r="A1451" s="2647" t="s">
        <v>99</v>
      </c>
      <c r="B1451" s="2647">
        <v>352136</v>
      </c>
      <c r="C1451" s="2647">
        <v>180</v>
      </c>
      <c r="D1451" s="2647">
        <v>300</v>
      </c>
      <c r="E1451" s="2647">
        <v>164</v>
      </c>
      <c r="F1451" s="2647" t="s">
        <v>2088</v>
      </c>
      <c r="G1451" s="2647" t="s">
        <v>2088</v>
      </c>
      <c r="H1451" s="2647" t="s">
        <v>2088</v>
      </c>
      <c r="I1451" s="2647" t="s">
        <v>2088</v>
      </c>
      <c r="J1451" s="2647">
        <v>39.9</v>
      </c>
      <c r="K1451" s="2648"/>
      <c r="L1451" s="2647">
        <v>2097736</v>
      </c>
    </row>
    <row r="1452" spans="1:12">
      <c r="A1452" s="2646" t="s">
        <v>99</v>
      </c>
      <c r="B1452" s="2646" t="s">
        <v>3568</v>
      </c>
      <c r="C1452" s="2646">
        <v>170</v>
      </c>
      <c r="D1452" s="2646">
        <v>280</v>
      </c>
      <c r="E1452" s="2646">
        <v>150</v>
      </c>
      <c r="F1452" s="2646" t="s">
        <v>2088</v>
      </c>
      <c r="G1452" s="2646" t="s">
        <v>2088</v>
      </c>
      <c r="H1452" s="2646" t="s">
        <v>2088</v>
      </c>
      <c r="I1452" s="2646" t="s">
        <v>2088</v>
      </c>
      <c r="J1452" s="2646">
        <v>33.9</v>
      </c>
      <c r="L1452" s="2646" t="s">
        <v>3569</v>
      </c>
    </row>
    <row r="1453" spans="1:12">
      <c r="A1453" s="2647" t="s">
        <v>99</v>
      </c>
      <c r="B1453" s="2647">
        <v>352134</v>
      </c>
      <c r="C1453" s="2647">
        <v>170</v>
      </c>
      <c r="D1453" s="2647">
        <v>280</v>
      </c>
      <c r="E1453" s="2647">
        <v>150</v>
      </c>
      <c r="F1453" s="2647" t="s">
        <v>2088</v>
      </c>
      <c r="G1453" s="2647" t="s">
        <v>2088</v>
      </c>
      <c r="H1453" s="2647" t="s">
        <v>2088</v>
      </c>
      <c r="I1453" s="2647" t="s">
        <v>2088</v>
      </c>
      <c r="J1453" s="2647">
        <v>35.6</v>
      </c>
      <c r="K1453" s="2648"/>
      <c r="L1453" s="2647">
        <v>2097734</v>
      </c>
    </row>
    <row r="1454" spans="1:12">
      <c r="A1454" s="2646" t="s">
        <v>99</v>
      </c>
      <c r="B1454" s="2646" t="s">
        <v>3570</v>
      </c>
      <c r="C1454" s="2646">
        <v>160</v>
      </c>
      <c r="D1454" s="2646">
        <v>270</v>
      </c>
      <c r="E1454" s="2646">
        <v>150</v>
      </c>
      <c r="F1454" s="2646" t="s">
        <v>2088</v>
      </c>
      <c r="G1454" s="2646" t="s">
        <v>2088</v>
      </c>
      <c r="H1454" s="2646" t="s">
        <v>2088</v>
      </c>
      <c r="I1454" s="2646" t="s">
        <v>2088</v>
      </c>
      <c r="J1454" s="2646">
        <v>18.3</v>
      </c>
      <c r="L1454" s="2646" t="s">
        <v>3571</v>
      </c>
    </row>
    <row r="1455" spans="1:12">
      <c r="A1455" s="2647" t="s">
        <v>99</v>
      </c>
      <c r="B1455" s="2647" t="s">
        <v>3572</v>
      </c>
      <c r="C1455" s="2647">
        <v>160</v>
      </c>
      <c r="D1455" s="2647">
        <v>270</v>
      </c>
      <c r="E1455" s="2647">
        <v>150</v>
      </c>
      <c r="F1455" s="2647" t="s">
        <v>2088</v>
      </c>
      <c r="G1455" s="2647" t="s">
        <v>2088</v>
      </c>
      <c r="H1455" s="2647" t="s">
        <v>2088</v>
      </c>
      <c r="I1455" s="2647" t="s">
        <v>2088</v>
      </c>
      <c r="J1455" s="2647">
        <v>0</v>
      </c>
      <c r="K1455" s="2648"/>
      <c r="L1455" s="2647">
        <v>2097732</v>
      </c>
    </row>
    <row r="1456" spans="1:12">
      <c r="A1456" s="2646" t="s">
        <v>99</v>
      </c>
      <c r="B1456" s="2646" t="s">
        <v>3573</v>
      </c>
      <c r="C1456" s="2646">
        <v>150</v>
      </c>
      <c r="D1456" s="2646">
        <v>250</v>
      </c>
      <c r="E1456" s="2646">
        <v>109</v>
      </c>
      <c r="F1456" s="2646" t="s">
        <v>2088</v>
      </c>
      <c r="G1456" s="2646" t="s">
        <v>2088</v>
      </c>
      <c r="H1456" s="2646" t="s">
        <v>2088</v>
      </c>
      <c r="I1456" s="2646" t="s">
        <v>2088</v>
      </c>
      <c r="J1456" s="2646">
        <v>24.5</v>
      </c>
      <c r="L1456" s="2646">
        <v>97730</v>
      </c>
    </row>
    <row r="1457" spans="1:12">
      <c r="A1457" s="2647" t="s">
        <v>99</v>
      </c>
      <c r="B1457" s="2647" t="s">
        <v>3574</v>
      </c>
      <c r="C1457" s="2647">
        <v>400</v>
      </c>
      <c r="D1457" s="2647">
        <v>600</v>
      </c>
      <c r="E1457" s="2647">
        <v>230</v>
      </c>
      <c r="F1457" s="2647" t="s">
        <v>2088</v>
      </c>
      <c r="G1457" s="2647" t="s">
        <v>2088</v>
      </c>
      <c r="H1457" s="2647" t="s">
        <v>2088</v>
      </c>
      <c r="I1457" s="2647" t="s">
        <v>2088</v>
      </c>
      <c r="J1457" s="2647">
        <v>206</v>
      </c>
      <c r="K1457" s="2648"/>
      <c r="L1457" s="2647">
        <v>97880</v>
      </c>
    </row>
    <row r="1458" spans="1:12">
      <c r="A1458" s="2646" t="s">
        <v>99</v>
      </c>
      <c r="B1458" s="2646" t="s">
        <v>3575</v>
      </c>
      <c r="C1458" s="2646">
        <v>360</v>
      </c>
      <c r="D1458" s="2646">
        <v>540</v>
      </c>
      <c r="E1458" s="2646">
        <v>220</v>
      </c>
      <c r="F1458" s="2646" t="s">
        <v>2088</v>
      </c>
      <c r="G1458" s="2646" t="s">
        <v>2088</v>
      </c>
      <c r="H1458" s="2646" t="s">
        <v>2088</v>
      </c>
      <c r="I1458" s="2646" t="s">
        <v>2088</v>
      </c>
      <c r="J1458" s="2646">
        <v>162</v>
      </c>
      <c r="L1458" s="2646">
        <v>2097172</v>
      </c>
    </row>
    <row r="1459" spans="1:12">
      <c r="A1459" s="2647" t="s">
        <v>99</v>
      </c>
      <c r="B1459" s="2647" t="s">
        <v>3576</v>
      </c>
      <c r="C1459" s="2647">
        <v>360</v>
      </c>
      <c r="D1459" s="2647">
        <v>540</v>
      </c>
      <c r="E1459" s="2647">
        <v>220</v>
      </c>
      <c r="F1459" s="2647" t="s">
        <v>2088</v>
      </c>
      <c r="G1459" s="2647" t="s">
        <v>2088</v>
      </c>
      <c r="H1459" s="2647" t="s">
        <v>2088</v>
      </c>
      <c r="I1459" s="2647" t="s">
        <v>2088</v>
      </c>
      <c r="J1459" s="2647">
        <v>162</v>
      </c>
      <c r="K1459" s="2648"/>
      <c r="L1459" s="2647">
        <v>2097172</v>
      </c>
    </row>
    <row r="1460" spans="1:12">
      <c r="A1460" s="2646" t="s">
        <v>99</v>
      </c>
      <c r="B1460" s="2646" t="s">
        <v>3577</v>
      </c>
      <c r="C1460" s="2646">
        <v>320</v>
      </c>
      <c r="D1460" s="2646">
        <v>480</v>
      </c>
      <c r="E1460" s="2646">
        <v>210</v>
      </c>
      <c r="F1460" s="2646" t="s">
        <v>2088</v>
      </c>
      <c r="G1460" s="2646" t="s">
        <v>2088</v>
      </c>
      <c r="H1460" s="2646" t="s">
        <v>2088</v>
      </c>
      <c r="I1460" s="2646" t="s">
        <v>2088</v>
      </c>
      <c r="J1460" s="2646">
        <v>119.6</v>
      </c>
      <c r="L1460" s="2646" t="s">
        <v>3578</v>
      </c>
    </row>
    <row r="1461" spans="1:12">
      <c r="A1461" s="2647" t="s">
        <v>99</v>
      </c>
      <c r="B1461" s="2647" t="s">
        <v>3579</v>
      </c>
      <c r="C1461" s="2647">
        <v>320</v>
      </c>
      <c r="D1461" s="2647">
        <v>480</v>
      </c>
      <c r="E1461" s="2647">
        <v>210</v>
      </c>
      <c r="F1461" s="2647" t="s">
        <v>2088</v>
      </c>
      <c r="G1461" s="2647" t="s">
        <v>2088</v>
      </c>
      <c r="H1461" s="2647" t="s">
        <v>2088</v>
      </c>
      <c r="I1461" s="2647" t="s">
        <v>2088</v>
      </c>
      <c r="J1461" s="2647">
        <v>121</v>
      </c>
      <c r="K1461" s="2648"/>
      <c r="L1461" s="2647">
        <v>2097164</v>
      </c>
    </row>
    <row r="1462" spans="1:12">
      <c r="A1462" s="2646" t="s">
        <v>99</v>
      </c>
      <c r="B1462" s="2646" t="s">
        <v>3580</v>
      </c>
      <c r="C1462" s="2646">
        <v>320</v>
      </c>
      <c r="D1462" s="2646">
        <v>480</v>
      </c>
      <c r="E1462" s="2646">
        <v>210</v>
      </c>
      <c r="F1462" s="2646" t="s">
        <v>2088</v>
      </c>
      <c r="G1462" s="2646" t="s">
        <v>2088</v>
      </c>
      <c r="H1462" s="2646" t="s">
        <v>2088</v>
      </c>
      <c r="I1462" s="2646" t="s">
        <v>2088</v>
      </c>
      <c r="J1462" s="2646">
        <v>122</v>
      </c>
      <c r="L1462" s="2646" t="s">
        <v>3581</v>
      </c>
    </row>
    <row r="1463" spans="1:12">
      <c r="A1463" s="2647" t="s">
        <v>99</v>
      </c>
      <c r="B1463" s="2647" t="s">
        <v>3582</v>
      </c>
      <c r="C1463" s="2647">
        <v>320</v>
      </c>
      <c r="D1463" s="2647">
        <v>480</v>
      </c>
      <c r="E1463" s="2647">
        <v>210</v>
      </c>
      <c r="F1463" s="2647" t="s">
        <v>2088</v>
      </c>
      <c r="G1463" s="2647" t="s">
        <v>2088</v>
      </c>
      <c r="H1463" s="2647" t="s">
        <v>2088</v>
      </c>
      <c r="I1463" s="2647" t="s">
        <v>2088</v>
      </c>
      <c r="J1463" s="2647">
        <v>122</v>
      </c>
      <c r="K1463" s="2648"/>
      <c r="L1463" s="2647" t="s">
        <v>3583</v>
      </c>
    </row>
    <row r="1464" spans="1:12">
      <c r="A1464" s="2646" t="s">
        <v>99</v>
      </c>
      <c r="B1464" s="2646" t="s">
        <v>3584</v>
      </c>
      <c r="C1464" s="2646">
        <v>320</v>
      </c>
      <c r="D1464" s="2646">
        <v>480</v>
      </c>
      <c r="E1464" s="2646">
        <v>151</v>
      </c>
      <c r="F1464" s="2646" t="s">
        <v>2088</v>
      </c>
      <c r="G1464" s="2646" t="s">
        <v>2088</v>
      </c>
      <c r="H1464" s="2646" t="s">
        <v>2088</v>
      </c>
      <c r="I1464" s="2646" t="s">
        <v>2088</v>
      </c>
      <c r="J1464" s="2646">
        <v>88.9</v>
      </c>
      <c r="L1464" s="2646">
        <v>97764</v>
      </c>
    </row>
    <row r="1465" spans="1:12">
      <c r="A1465" s="2647" t="s">
        <v>99</v>
      </c>
      <c r="B1465" s="2647" t="s">
        <v>3585</v>
      </c>
      <c r="C1465" s="2647">
        <v>300</v>
      </c>
      <c r="D1465" s="2647">
        <v>460</v>
      </c>
      <c r="E1465" s="2647">
        <v>210</v>
      </c>
      <c r="F1465" s="2647" t="s">
        <v>2088</v>
      </c>
      <c r="G1465" s="2647" t="s">
        <v>2088</v>
      </c>
      <c r="H1465" s="2647" t="s">
        <v>2088</v>
      </c>
      <c r="I1465" s="2647" t="s">
        <v>2088</v>
      </c>
      <c r="J1465" s="2647">
        <v>117</v>
      </c>
      <c r="K1465" s="2648"/>
      <c r="L1465" s="2647" t="s">
        <v>3586</v>
      </c>
    </row>
    <row r="1466" spans="1:12">
      <c r="A1466" s="2646" t="s">
        <v>99</v>
      </c>
      <c r="B1466" s="2646" t="s">
        <v>3587</v>
      </c>
      <c r="C1466" s="2646">
        <v>300</v>
      </c>
      <c r="D1466" s="2646">
        <v>460</v>
      </c>
      <c r="E1466" s="2646">
        <v>210</v>
      </c>
      <c r="F1466" s="2646" t="s">
        <v>2088</v>
      </c>
      <c r="G1466" s="2646" t="s">
        <v>2088</v>
      </c>
      <c r="H1466" s="2646" t="s">
        <v>2088</v>
      </c>
      <c r="I1466" s="2646" t="s">
        <v>2088</v>
      </c>
      <c r="J1466" s="2646">
        <v>118</v>
      </c>
      <c r="L1466" s="2646">
        <v>2097160</v>
      </c>
    </row>
    <row r="1467" spans="1:12">
      <c r="A1467" s="2647" t="s">
        <v>99</v>
      </c>
      <c r="B1467" s="2647" t="s">
        <v>3588</v>
      </c>
      <c r="C1467" s="2647">
        <v>280</v>
      </c>
      <c r="D1467" s="2647">
        <v>420</v>
      </c>
      <c r="E1467" s="2647">
        <v>186</v>
      </c>
      <c r="F1467" s="2647" t="s">
        <v>2088</v>
      </c>
      <c r="G1467" s="2647" t="s">
        <v>2088</v>
      </c>
      <c r="H1467" s="2647" t="s">
        <v>2088</v>
      </c>
      <c r="I1467" s="2647" t="s">
        <v>2088</v>
      </c>
      <c r="J1467" s="2647">
        <v>82.7</v>
      </c>
      <c r="K1467" s="2648"/>
      <c r="L1467" s="2647">
        <v>2097156</v>
      </c>
    </row>
    <row r="1468" spans="1:12">
      <c r="A1468" s="2646" t="s">
        <v>99</v>
      </c>
      <c r="B1468" s="2646" t="s">
        <v>3589</v>
      </c>
      <c r="C1468" s="2646">
        <v>280</v>
      </c>
      <c r="D1468" s="2646">
        <v>420</v>
      </c>
      <c r="E1468" s="2646">
        <v>186</v>
      </c>
      <c r="F1468" s="2646" t="s">
        <v>2088</v>
      </c>
      <c r="G1468" s="2646" t="s">
        <v>2088</v>
      </c>
      <c r="H1468" s="2646" t="s">
        <v>2088</v>
      </c>
      <c r="I1468" s="2646" t="s">
        <v>2088</v>
      </c>
      <c r="J1468" s="2646">
        <v>81.5</v>
      </c>
      <c r="L1468" s="2646">
        <v>2097156</v>
      </c>
    </row>
    <row r="1469" spans="1:12">
      <c r="A1469" s="2647" t="s">
        <v>99</v>
      </c>
      <c r="B1469" s="2647" t="s">
        <v>3590</v>
      </c>
      <c r="C1469" s="2647">
        <v>260</v>
      </c>
      <c r="D1469" s="2647">
        <v>400</v>
      </c>
      <c r="E1469" s="2647">
        <v>186</v>
      </c>
      <c r="F1469" s="2647" t="s">
        <v>2088</v>
      </c>
      <c r="G1469" s="2647" t="s">
        <v>2088</v>
      </c>
      <c r="H1469" s="2647" t="s">
        <v>2088</v>
      </c>
      <c r="I1469" s="2647" t="s">
        <v>2088</v>
      </c>
      <c r="J1469" s="2647">
        <v>79.7</v>
      </c>
      <c r="K1469" s="2648"/>
      <c r="L1469" s="2647">
        <v>2097152</v>
      </c>
    </row>
    <row r="1470" spans="1:12">
      <c r="A1470" s="2646" t="s">
        <v>99</v>
      </c>
      <c r="B1470" s="2646" t="s">
        <v>3591</v>
      </c>
      <c r="C1470" s="2646">
        <v>420</v>
      </c>
      <c r="D1470" s="2646">
        <v>560</v>
      </c>
      <c r="E1470" s="2646">
        <v>145</v>
      </c>
      <c r="F1470" s="2646" t="s">
        <v>2088</v>
      </c>
      <c r="G1470" s="2646" t="s">
        <v>2088</v>
      </c>
      <c r="H1470" s="2646" t="s">
        <v>2088</v>
      </c>
      <c r="I1470" s="2646" t="s">
        <v>2088</v>
      </c>
      <c r="J1470" s="2646">
        <v>88.7</v>
      </c>
      <c r="L1470" s="2646" t="s">
        <v>3592</v>
      </c>
    </row>
    <row r="1471" spans="1:12">
      <c r="A1471" s="2647" t="s">
        <v>99</v>
      </c>
      <c r="B1471" s="2647">
        <v>351984</v>
      </c>
      <c r="C1471" s="2647">
        <v>420</v>
      </c>
      <c r="D1471" s="2647">
        <v>560</v>
      </c>
      <c r="E1471" s="2647">
        <v>145</v>
      </c>
      <c r="F1471" s="2647" t="s">
        <v>2088</v>
      </c>
      <c r="G1471" s="2647" t="s">
        <v>2088</v>
      </c>
      <c r="H1471" s="2647" t="s">
        <v>2088</v>
      </c>
      <c r="I1471" s="2647" t="s">
        <v>2088</v>
      </c>
      <c r="J1471" s="2647">
        <v>88.7</v>
      </c>
      <c r="K1471" s="2648"/>
      <c r="L1471" s="2647">
        <v>1097984</v>
      </c>
    </row>
    <row r="1472" spans="1:12">
      <c r="A1472" s="2646" t="s">
        <v>99</v>
      </c>
      <c r="B1472" s="2646" t="s">
        <v>3593</v>
      </c>
      <c r="C1472" s="2646">
        <v>400</v>
      </c>
      <c r="D1472" s="2646">
        <v>540</v>
      </c>
      <c r="E1472" s="2646">
        <v>70</v>
      </c>
      <c r="F1472" s="2646" t="s">
        <v>2088</v>
      </c>
      <c r="G1472" s="2646" t="s">
        <v>2088</v>
      </c>
      <c r="H1472" s="2646" t="s">
        <v>2088</v>
      </c>
      <c r="I1472" s="2646" t="s">
        <v>2088</v>
      </c>
      <c r="J1472" s="2646">
        <v>0</v>
      </c>
      <c r="L1472" s="2646">
        <v>1007980</v>
      </c>
    </row>
    <row r="1473" spans="1:12">
      <c r="A1473" s="2647" t="s">
        <v>99</v>
      </c>
      <c r="B1473" s="2647">
        <v>351980</v>
      </c>
      <c r="C1473" s="2647">
        <v>400</v>
      </c>
      <c r="D1473" s="2647">
        <v>540</v>
      </c>
      <c r="E1473" s="2647">
        <v>65</v>
      </c>
      <c r="F1473" s="2647" t="s">
        <v>2088</v>
      </c>
      <c r="G1473" s="2647" t="s">
        <v>2088</v>
      </c>
      <c r="H1473" s="2647" t="s">
        <v>2088</v>
      </c>
      <c r="I1473" s="2647" t="s">
        <v>2088</v>
      </c>
      <c r="J1473" s="2647">
        <v>86.9</v>
      </c>
      <c r="K1473" s="2648"/>
      <c r="L1473" s="2647">
        <v>1097980</v>
      </c>
    </row>
    <row r="1474" spans="1:12">
      <c r="A1474" s="2646" t="s">
        <v>99</v>
      </c>
      <c r="B1474" s="2646">
        <v>351976</v>
      </c>
      <c r="C1474" s="2646">
        <v>380</v>
      </c>
      <c r="D1474" s="2646">
        <v>520</v>
      </c>
      <c r="E1474" s="2646">
        <v>145</v>
      </c>
      <c r="F1474" s="2646" t="s">
        <v>2088</v>
      </c>
      <c r="G1474" s="2646" t="s">
        <v>2088</v>
      </c>
      <c r="H1474" s="2646" t="s">
        <v>2088</v>
      </c>
      <c r="I1474" s="2646" t="s">
        <v>2088</v>
      </c>
      <c r="J1474" s="2646">
        <v>78.8</v>
      </c>
      <c r="L1474" s="2646">
        <v>1097976</v>
      </c>
    </row>
    <row r="1475" spans="1:12">
      <c r="A1475" s="2647" t="s">
        <v>99</v>
      </c>
      <c r="B1475" s="2647" t="s">
        <v>3594</v>
      </c>
      <c r="C1475" s="2647">
        <v>950</v>
      </c>
      <c r="D1475" s="2647">
        <v>1250</v>
      </c>
      <c r="E1475" s="2647">
        <v>220</v>
      </c>
      <c r="F1475" s="2647" t="s">
        <v>2088</v>
      </c>
      <c r="G1475" s="2647" t="s">
        <v>2088</v>
      </c>
      <c r="H1475" s="2647" t="s">
        <v>2088</v>
      </c>
      <c r="I1475" s="2647" t="s">
        <v>2088</v>
      </c>
      <c r="J1475" s="2647">
        <v>911</v>
      </c>
      <c r="K1475" s="2648"/>
      <c r="L1475" s="2647" t="s">
        <v>3595</v>
      </c>
    </row>
    <row r="1476" spans="1:12">
      <c r="A1476" s="2646" t="s">
        <v>99</v>
      </c>
      <c r="B1476" s="2646" t="s">
        <v>3596</v>
      </c>
      <c r="C1476" s="2646">
        <v>800</v>
      </c>
      <c r="D1476" s="2646">
        <v>1060</v>
      </c>
      <c r="E1476" s="2646">
        <v>270</v>
      </c>
      <c r="F1476" s="2646" t="s">
        <v>2088</v>
      </c>
      <c r="G1476" s="2646" t="s">
        <v>2088</v>
      </c>
      <c r="H1476" s="2646" t="s">
        <v>2088</v>
      </c>
      <c r="I1476" s="2646" t="s">
        <v>2088</v>
      </c>
      <c r="J1476" s="2646">
        <v>604</v>
      </c>
      <c r="L1476" s="2646" t="s">
        <v>3597</v>
      </c>
    </row>
    <row r="1477" spans="1:12">
      <c r="A1477" s="2647" t="s">
        <v>99</v>
      </c>
      <c r="B1477" s="2647" t="s">
        <v>3598</v>
      </c>
      <c r="C1477" s="2647">
        <v>630</v>
      </c>
      <c r="D1477" s="2647">
        <v>850</v>
      </c>
      <c r="E1477" s="2647">
        <v>242</v>
      </c>
      <c r="F1477" s="2647" t="s">
        <v>2088</v>
      </c>
      <c r="G1477" s="2647" t="s">
        <v>2088</v>
      </c>
      <c r="H1477" s="2647" t="s">
        <v>2088</v>
      </c>
      <c r="I1477" s="2647" t="s">
        <v>2088</v>
      </c>
      <c r="J1477" s="2647">
        <v>368</v>
      </c>
      <c r="K1477" s="2648"/>
      <c r="L1477" s="2647" t="s">
        <v>3599</v>
      </c>
    </row>
    <row r="1478" spans="1:12">
      <c r="A1478" s="2646" t="s">
        <v>99</v>
      </c>
      <c r="B1478" s="2646" t="s">
        <v>3600</v>
      </c>
      <c r="C1478" s="2646">
        <v>530</v>
      </c>
      <c r="D1478" s="2646">
        <v>710</v>
      </c>
      <c r="E1478" s="2646">
        <v>190</v>
      </c>
      <c r="F1478" s="2646" t="s">
        <v>2088</v>
      </c>
      <c r="G1478" s="2646" t="s">
        <v>2088</v>
      </c>
      <c r="H1478" s="2646" t="s">
        <v>2088</v>
      </c>
      <c r="I1478" s="2646" t="s">
        <v>2088</v>
      </c>
      <c r="J1478" s="2646">
        <v>176</v>
      </c>
      <c r="L1478" s="2646" t="s">
        <v>2623</v>
      </c>
    </row>
    <row r="1479" spans="1:12">
      <c r="A1479" s="2647" t="s">
        <v>99</v>
      </c>
      <c r="B1479" s="2647" t="s">
        <v>3601</v>
      </c>
      <c r="C1479" s="2647">
        <v>500</v>
      </c>
      <c r="D1479" s="2647">
        <v>670</v>
      </c>
      <c r="E1479" s="2647">
        <v>180</v>
      </c>
      <c r="F1479" s="2647" t="s">
        <v>2088</v>
      </c>
      <c r="G1479" s="2647" t="s">
        <v>2088</v>
      </c>
      <c r="H1479" s="2647" t="s">
        <v>2088</v>
      </c>
      <c r="I1479" s="2647" t="s">
        <v>2088</v>
      </c>
      <c r="J1479" s="2647">
        <v>160</v>
      </c>
      <c r="K1479" s="2648"/>
      <c r="L1479" s="2647" t="s">
        <v>3602</v>
      </c>
    </row>
    <row r="1480" spans="1:12">
      <c r="A1480" s="2646" t="s">
        <v>99</v>
      </c>
      <c r="B1480" s="2646">
        <v>351180</v>
      </c>
      <c r="C1480" s="2646">
        <v>400</v>
      </c>
      <c r="D1480" s="2646">
        <v>650</v>
      </c>
      <c r="E1480" s="2646">
        <v>255</v>
      </c>
      <c r="F1480" s="2646" t="s">
        <v>2088</v>
      </c>
      <c r="G1480" s="2646" t="s">
        <v>2088</v>
      </c>
      <c r="H1480" s="2646" t="s">
        <v>2088</v>
      </c>
      <c r="I1480" s="2646" t="s">
        <v>2088</v>
      </c>
      <c r="J1480" s="2646">
        <v>279</v>
      </c>
      <c r="L1480" s="2646">
        <v>1097780</v>
      </c>
    </row>
    <row r="1481" spans="1:12">
      <c r="A1481" s="2647" t="s">
        <v>99</v>
      </c>
      <c r="B1481" s="2647">
        <v>351172</v>
      </c>
      <c r="C1481" s="2647">
        <v>360</v>
      </c>
      <c r="D1481" s="2647">
        <v>600</v>
      </c>
      <c r="E1481" s="2647">
        <v>242</v>
      </c>
      <c r="F1481" s="2647" t="s">
        <v>2088</v>
      </c>
      <c r="G1481" s="2647" t="s">
        <v>2088</v>
      </c>
      <c r="H1481" s="2647" t="s">
        <v>2088</v>
      </c>
      <c r="I1481" s="2647" t="s">
        <v>2088</v>
      </c>
      <c r="J1481" s="2647">
        <v>221</v>
      </c>
      <c r="K1481" s="2648"/>
      <c r="L1481" s="2647">
        <v>1097772</v>
      </c>
    </row>
    <row r="1482" spans="1:12">
      <c r="A1482" s="2646" t="s">
        <v>99</v>
      </c>
      <c r="B1482" s="2646" t="s">
        <v>3603</v>
      </c>
      <c r="C1482" s="2646">
        <v>300</v>
      </c>
      <c r="D1482" s="2646">
        <v>500</v>
      </c>
      <c r="E1482" s="2646">
        <v>200</v>
      </c>
      <c r="F1482" s="2646" t="s">
        <v>2088</v>
      </c>
      <c r="G1482" s="2646" t="s">
        <v>2088</v>
      </c>
      <c r="H1482" s="2646" t="s">
        <v>2088</v>
      </c>
      <c r="I1482" s="2646" t="s">
        <v>2088</v>
      </c>
      <c r="J1482" s="2646">
        <v>142</v>
      </c>
      <c r="L1482" s="2646">
        <v>97860</v>
      </c>
    </row>
    <row r="1483" spans="1:12">
      <c r="A1483" s="2647" t="s">
        <v>99</v>
      </c>
      <c r="B1483" s="2647" t="s">
        <v>3604</v>
      </c>
      <c r="C1483" s="2647">
        <v>420</v>
      </c>
      <c r="D1483" s="2647">
        <v>620</v>
      </c>
      <c r="E1483" s="2647">
        <v>190</v>
      </c>
      <c r="F1483" s="2647" t="s">
        <v>2088</v>
      </c>
      <c r="G1483" s="2647" t="s">
        <v>2088</v>
      </c>
      <c r="H1483" s="2647" t="s">
        <v>2088</v>
      </c>
      <c r="I1483" s="2647" t="s">
        <v>2088</v>
      </c>
      <c r="J1483" s="2647">
        <v>170.98</v>
      </c>
      <c r="K1483" s="2648"/>
      <c r="L1483" s="2647">
        <v>37784</v>
      </c>
    </row>
    <row r="1484" spans="1:12">
      <c r="A1484" s="2646" t="s">
        <v>99</v>
      </c>
      <c r="B1484" s="2646" t="s">
        <v>3605</v>
      </c>
      <c r="C1484" s="2646">
        <v>380</v>
      </c>
      <c r="D1484" s="2646">
        <v>560</v>
      </c>
      <c r="E1484" s="2646">
        <v>171</v>
      </c>
      <c r="F1484" s="2646" t="s">
        <v>2088</v>
      </c>
      <c r="G1484" s="2646" t="s">
        <v>2088</v>
      </c>
      <c r="H1484" s="2646" t="s">
        <v>2088</v>
      </c>
      <c r="I1484" s="2646" t="s">
        <v>2088</v>
      </c>
      <c r="J1484" s="2646">
        <v>136</v>
      </c>
      <c r="L1484" s="2646">
        <v>97876</v>
      </c>
    </row>
    <row r="1485" spans="1:12">
      <c r="A1485" s="2647" t="s">
        <v>99</v>
      </c>
      <c r="B1485" s="2647" t="s">
        <v>3606</v>
      </c>
      <c r="C1485" s="2647">
        <v>360</v>
      </c>
      <c r="D1485" s="2647">
        <v>540</v>
      </c>
      <c r="E1485" s="2647">
        <v>185</v>
      </c>
      <c r="F1485" s="2647" t="s">
        <v>2088</v>
      </c>
      <c r="G1485" s="2647" t="s">
        <v>2088</v>
      </c>
      <c r="H1485" s="2647" t="s">
        <v>2088</v>
      </c>
      <c r="I1485" s="2647" t="s">
        <v>2088</v>
      </c>
      <c r="J1485" s="2647">
        <v>128</v>
      </c>
      <c r="K1485" s="2648"/>
      <c r="L1485" s="2647" t="s">
        <v>3607</v>
      </c>
    </row>
    <row r="1486" spans="1:12">
      <c r="A1486" s="2646" t="s">
        <v>99</v>
      </c>
      <c r="B1486" s="2646" t="s">
        <v>3608</v>
      </c>
      <c r="C1486" s="2646">
        <v>710</v>
      </c>
      <c r="D1486" s="2646">
        <v>1030</v>
      </c>
      <c r="E1486" s="2646">
        <v>315</v>
      </c>
      <c r="F1486" s="2646" t="s">
        <v>2088</v>
      </c>
      <c r="G1486" s="2646" t="s">
        <v>2088</v>
      </c>
      <c r="H1486" s="2646" t="s">
        <v>2088</v>
      </c>
      <c r="I1486" s="2646" t="s">
        <v>2088</v>
      </c>
      <c r="J1486" s="2646">
        <v>810</v>
      </c>
      <c r="L1486" s="2646" t="s">
        <v>3609</v>
      </c>
    </row>
    <row r="1487" spans="1:12">
      <c r="A1487" s="2647" t="s">
        <v>99</v>
      </c>
      <c r="B1487" s="2647" t="s">
        <v>3610</v>
      </c>
      <c r="C1487" s="2647">
        <v>660</v>
      </c>
      <c r="D1487" s="2647">
        <v>980</v>
      </c>
      <c r="E1487" s="2647">
        <v>310</v>
      </c>
      <c r="F1487" s="2647" t="s">
        <v>2088</v>
      </c>
      <c r="G1487" s="2647" t="s">
        <v>2088</v>
      </c>
      <c r="H1487" s="2647" t="s">
        <v>2088</v>
      </c>
      <c r="I1487" s="2647" t="s">
        <v>2088</v>
      </c>
      <c r="J1487" s="2647">
        <v>710</v>
      </c>
      <c r="K1487" s="2648"/>
      <c r="L1487" s="2647" t="s">
        <v>3611</v>
      </c>
    </row>
    <row r="1488" spans="1:12">
      <c r="A1488" s="2646" t="s">
        <v>99</v>
      </c>
      <c r="B1488" s="2646" t="s">
        <v>3612</v>
      </c>
      <c r="C1488" s="2646">
        <v>630</v>
      </c>
      <c r="D1488" s="2646">
        <v>920</v>
      </c>
      <c r="E1488" s="2646">
        <v>295</v>
      </c>
      <c r="F1488" s="2646" t="s">
        <v>2088</v>
      </c>
      <c r="G1488" s="2646" t="s">
        <v>2088</v>
      </c>
      <c r="H1488" s="2646" t="s">
        <v>2088</v>
      </c>
      <c r="I1488" s="2646" t="s">
        <v>2088</v>
      </c>
      <c r="J1488" s="2646">
        <v>560</v>
      </c>
      <c r="L1488" s="2646" t="s">
        <v>3613</v>
      </c>
    </row>
    <row r="1489" spans="1:12">
      <c r="A1489" s="2647" t="s">
        <v>99</v>
      </c>
      <c r="B1489" s="2647" t="s">
        <v>3614</v>
      </c>
      <c r="C1489" s="2647">
        <v>600</v>
      </c>
      <c r="D1489" s="2647">
        <v>870</v>
      </c>
      <c r="E1489" s="2647">
        <v>270</v>
      </c>
      <c r="F1489" s="2647" t="s">
        <v>2088</v>
      </c>
      <c r="G1489" s="2647" t="s">
        <v>2088</v>
      </c>
      <c r="H1489" s="2647" t="s">
        <v>2088</v>
      </c>
      <c r="I1489" s="2647" t="s">
        <v>2088</v>
      </c>
      <c r="J1489" s="2647">
        <v>500</v>
      </c>
      <c r="K1489" s="2648"/>
      <c r="L1489" s="2647" t="s">
        <v>3615</v>
      </c>
    </row>
    <row r="1490" spans="1:12">
      <c r="A1490" s="2646" t="s">
        <v>99</v>
      </c>
      <c r="B1490" s="2646" t="s">
        <v>3616</v>
      </c>
      <c r="C1490" s="2646">
        <v>560</v>
      </c>
      <c r="D1490" s="2646">
        <v>820</v>
      </c>
      <c r="E1490" s="2646">
        <v>260</v>
      </c>
      <c r="F1490" s="2646" t="s">
        <v>2088</v>
      </c>
      <c r="G1490" s="2646" t="s">
        <v>2088</v>
      </c>
      <c r="H1490" s="2646" t="s">
        <v>2088</v>
      </c>
      <c r="I1490" s="2646" t="s">
        <v>2088</v>
      </c>
      <c r="J1490" s="2646">
        <v>409</v>
      </c>
      <c r="L1490" s="2646" t="s">
        <v>3617</v>
      </c>
    </row>
    <row r="1491" spans="1:12">
      <c r="A1491" s="2647" t="s">
        <v>99</v>
      </c>
      <c r="B1491" s="2647" t="s">
        <v>3618</v>
      </c>
      <c r="C1491" s="2647">
        <v>530</v>
      </c>
      <c r="D1491" s="2647">
        <v>780</v>
      </c>
      <c r="E1491" s="2647">
        <v>255</v>
      </c>
      <c r="F1491" s="2647" t="s">
        <v>2088</v>
      </c>
      <c r="G1491" s="2647" t="s">
        <v>2088</v>
      </c>
      <c r="H1491" s="2647" t="s">
        <v>2088</v>
      </c>
      <c r="I1491" s="2647" t="s">
        <v>2088</v>
      </c>
      <c r="J1491" s="2647">
        <v>410</v>
      </c>
      <c r="K1491" s="2648"/>
      <c r="L1491" s="2647" t="s">
        <v>3619</v>
      </c>
    </row>
    <row r="1492" spans="1:12">
      <c r="A1492" s="2646" t="s">
        <v>99</v>
      </c>
      <c r="B1492" s="2646" t="s">
        <v>3620</v>
      </c>
      <c r="C1492" s="2646">
        <v>500</v>
      </c>
      <c r="D1492" s="2646">
        <v>720</v>
      </c>
      <c r="E1492" s="2646">
        <v>236</v>
      </c>
      <c r="F1492" s="2646" t="s">
        <v>2088</v>
      </c>
      <c r="G1492" s="2646" t="s">
        <v>2088</v>
      </c>
      <c r="H1492" s="2646" t="s">
        <v>2088</v>
      </c>
      <c r="I1492" s="2646" t="s">
        <v>2088</v>
      </c>
      <c r="J1492" s="2646">
        <v>276</v>
      </c>
      <c r="L1492" s="2646" t="s">
        <v>3621</v>
      </c>
    </row>
    <row r="1493" spans="1:12">
      <c r="A1493" s="2647" t="s">
        <v>99</v>
      </c>
      <c r="B1493" s="2647" t="s">
        <v>3622</v>
      </c>
      <c r="C1493" s="2647">
        <v>500</v>
      </c>
      <c r="D1493" s="2647">
        <v>720</v>
      </c>
      <c r="E1493" s="2647">
        <v>236</v>
      </c>
      <c r="F1493" s="2647" t="s">
        <v>2088</v>
      </c>
      <c r="G1493" s="2647" t="s">
        <v>2088</v>
      </c>
      <c r="H1493" s="2647" t="s">
        <v>2088</v>
      </c>
      <c r="I1493" s="2647" t="s">
        <v>2088</v>
      </c>
      <c r="J1493" s="2647">
        <v>289</v>
      </c>
      <c r="K1493" s="2648"/>
      <c r="L1493" s="2647" t="s">
        <v>3621</v>
      </c>
    </row>
    <row r="1494" spans="1:12">
      <c r="A1494" s="2646" t="s">
        <v>99</v>
      </c>
      <c r="B1494" s="2646">
        <v>350688</v>
      </c>
      <c r="C1494" s="2646">
        <v>440</v>
      </c>
      <c r="D1494" s="2646">
        <v>650</v>
      </c>
      <c r="E1494" s="2646">
        <v>196</v>
      </c>
      <c r="F1494" s="2646" t="s">
        <v>2088</v>
      </c>
      <c r="G1494" s="2646" t="s">
        <v>2088</v>
      </c>
      <c r="H1494" s="2646" t="s">
        <v>2088</v>
      </c>
      <c r="I1494" s="2646" t="s">
        <v>2088</v>
      </c>
      <c r="J1494" s="2646">
        <v>208</v>
      </c>
      <c r="L1494" s="2646">
        <v>97788</v>
      </c>
    </row>
    <row r="1495" spans="1:12">
      <c r="A1495" s="2647" t="s">
        <v>99</v>
      </c>
      <c r="B1495" s="2647">
        <v>350666</v>
      </c>
      <c r="C1495" s="2647">
        <v>330</v>
      </c>
      <c r="D1495" s="2647">
        <v>420</v>
      </c>
      <c r="E1495" s="2647">
        <v>100</v>
      </c>
      <c r="F1495" s="2647" t="s">
        <v>2088</v>
      </c>
      <c r="G1495" s="2647" t="s">
        <v>2088</v>
      </c>
      <c r="H1495" s="2647" t="s">
        <v>2088</v>
      </c>
      <c r="I1495" s="2647" t="s">
        <v>2088</v>
      </c>
      <c r="J1495" s="2647">
        <v>28.9</v>
      </c>
      <c r="K1495" s="2648"/>
      <c r="L1495" s="2647">
        <v>97966</v>
      </c>
    </row>
    <row r="1496" spans="1:12">
      <c r="A1496" s="2646" t="s">
        <v>99</v>
      </c>
      <c r="B1496" s="2646">
        <v>350660</v>
      </c>
      <c r="C1496" s="2646">
        <v>300</v>
      </c>
      <c r="D1496" s="2646">
        <v>420</v>
      </c>
      <c r="E1496" s="2646">
        <v>175</v>
      </c>
      <c r="F1496" s="2646" t="s">
        <v>2088</v>
      </c>
      <c r="G1496" s="2646" t="s">
        <v>2088</v>
      </c>
      <c r="H1496" s="2646" t="s">
        <v>2088</v>
      </c>
      <c r="I1496" s="2646" t="s">
        <v>2088</v>
      </c>
      <c r="J1496" s="2646">
        <v>65.599999999999994</v>
      </c>
      <c r="L1496" s="2646">
        <v>97760</v>
      </c>
    </row>
    <row r="1497" spans="1:12">
      <c r="A1497" s="2647" t="s">
        <v>99</v>
      </c>
      <c r="B1497" s="2647">
        <v>350652</v>
      </c>
      <c r="C1497" s="2647">
        <v>260</v>
      </c>
      <c r="D1497" s="2647">
        <v>430</v>
      </c>
      <c r="E1497" s="2647">
        <v>180</v>
      </c>
      <c r="F1497" s="2647" t="s">
        <v>2088</v>
      </c>
      <c r="G1497" s="2647" t="s">
        <v>2088</v>
      </c>
      <c r="H1497" s="2647" t="s">
        <v>2088</v>
      </c>
      <c r="I1497" s="2647" t="s">
        <v>2088</v>
      </c>
      <c r="J1497" s="2647">
        <v>93.4</v>
      </c>
      <c r="K1497" s="2648"/>
      <c r="L1497" s="2647">
        <v>97752</v>
      </c>
    </row>
    <row r="1498" spans="1:12">
      <c r="A1498" s="2646" t="s">
        <v>99</v>
      </c>
      <c r="B1498" s="2646" t="s">
        <v>3623</v>
      </c>
      <c r="C1498" s="2646">
        <v>180</v>
      </c>
      <c r="D1498" s="2646">
        <v>340</v>
      </c>
      <c r="E1498" s="2646">
        <v>180</v>
      </c>
      <c r="F1498" s="2646" t="s">
        <v>2088</v>
      </c>
      <c r="G1498" s="2646" t="s">
        <v>2088</v>
      </c>
      <c r="H1498" s="2646" t="s">
        <v>2088</v>
      </c>
      <c r="I1498" s="2646" t="s">
        <v>2088</v>
      </c>
      <c r="J1498" s="2646">
        <v>71.900000000000006</v>
      </c>
      <c r="L1498" s="2646" t="s">
        <v>3624</v>
      </c>
    </row>
    <row r="1499" spans="1:12">
      <c r="A1499" s="2647" t="s">
        <v>99</v>
      </c>
      <c r="B1499" s="2647" t="s">
        <v>3625</v>
      </c>
      <c r="C1499" s="2647">
        <v>165</v>
      </c>
      <c r="D1499" s="2647">
        <v>290</v>
      </c>
      <c r="E1499" s="2647">
        <v>150</v>
      </c>
      <c r="F1499" s="2647" t="s">
        <v>2088</v>
      </c>
      <c r="G1499" s="2647" t="s">
        <v>2088</v>
      </c>
      <c r="H1499" s="2647" t="s">
        <v>2088</v>
      </c>
      <c r="I1499" s="2647" t="s">
        <v>2088</v>
      </c>
      <c r="J1499" s="2647">
        <v>41.1</v>
      </c>
      <c r="K1499" s="2648"/>
      <c r="L1499" s="2647" t="s">
        <v>3626</v>
      </c>
    </row>
    <row r="1500" spans="1:12">
      <c r="A1500" s="2646" t="s">
        <v>99</v>
      </c>
      <c r="B1500" s="2646" t="s">
        <v>3627</v>
      </c>
      <c r="C1500" s="2646">
        <v>150</v>
      </c>
      <c r="D1500" s="2646">
        <v>255</v>
      </c>
      <c r="E1500" s="2646">
        <v>145</v>
      </c>
      <c r="F1500" s="2646" t="s">
        <v>2088</v>
      </c>
      <c r="G1500" s="2646" t="s">
        <v>2088</v>
      </c>
      <c r="H1500" s="2646" t="s">
        <v>2088</v>
      </c>
      <c r="I1500" s="2646" t="s">
        <v>2088</v>
      </c>
      <c r="J1500" s="2646">
        <v>26.5</v>
      </c>
      <c r="L1500" s="2646">
        <v>37730</v>
      </c>
    </row>
    <row r="1501" spans="1:12">
      <c r="A1501" s="2647" t="s">
        <v>99</v>
      </c>
      <c r="B1501" s="2647" t="s">
        <v>3628</v>
      </c>
      <c r="C1501" s="2647">
        <v>129.5</v>
      </c>
      <c r="D1501" s="2647">
        <v>230</v>
      </c>
      <c r="E1501" s="2647">
        <v>222</v>
      </c>
      <c r="F1501" s="2647" t="s">
        <v>2088</v>
      </c>
      <c r="G1501" s="2647" t="s">
        <v>2088</v>
      </c>
      <c r="H1501" s="2647" t="s">
        <v>2088</v>
      </c>
      <c r="I1501" s="2647" t="s">
        <v>2088</v>
      </c>
      <c r="J1501" s="2647">
        <v>30.5</v>
      </c>
      <c r="K1501" s="2648"/>
      <c r="L1501" s="2647" t="s">
        <v>3629</v>
      </c>
    </row>
    <row r="1502" spans="1:12">
      <c r="A1502" s="2646" t="s">
        <v>99</v>
      </c>
      <c r="B1502" s="2646">
        <v>350615</v>
      </c>
      <c r="C1502" s="2646">
        <v>74</v>
      </c>
      <c r="D1502" s="2646">
        <v>132</v>
      </c>
      <c r="E1502" s="2646">
        <v>71</v>
      </c>
      <c r="F1502" s="2646" t="s">
        <v>2088</v>
      </c>
      <c r="G1502" s="2646" t="s">
        <v>2088</v>
      </c>
      <c r="H1502" s="2646" t="s">
        <v>2088</v>
      </c>
      <c r="I1502" s="2646" t="s">
        <v>2088</v>
      </c>
      <c r="J1502" s="2646">
        <v>3.28</v>
      </c>
      <c r="L1502" s="2646">
        <v>797915</v>
      </c>
    </row>
    <row r="1503" spans="1:12">
      <c r="A1503" s="2647" t="s">
        <v>99</v>
      </c>
      <c r="B1503" s="2647">
        <v>350614</v>
      </c>
      <c r="C1503" s="2647">
        <v>68</v>
      </c>
      <c r="D1503" s="2647">
        <v>115</v>
      </c>
      <c r="E1503" s="2647">
        <v>79.7</v>
      </c>
      <c r="F1503" s="2647" t="s">
        <v>2088</v>
      </c>
      <c r="G1503" s="2647" t="s">
        <v>2088</v>
      </c>
      <c r="H1503" s="2647" t="s">
        <v>2088</v>
      </c>
      <c r="I1503" s="2647" t="s">
        <v>2088</v>
      </c>
      <c r="J1503" s="2647">
        <v>2.85</v>
      </c>
      <c r="K1503" s="2648"/>
      <c r="L1503" s="2647">
        <v>797914</v>
      </c>
    </row>
    <row r="1504" spans="1:12">
      <c r="A1504" s="2646" t="s">
        <v>99</v>
      </c>
      <c r="B1504" s="2646" t="s">
        <v>3630</v>
      </c>
      <c r="C1504" s="2646">
        <v>99.5</v>
      </c>
      <c r="D1504" s="2646">
        <v>182</v>
      </c>
      <c r="E1504" s="2646">
        <v>160</v>
      </c>
      <c r="F1504" s="2646" t="s">
        <v>2088</v>
      </c>
      <c r="G1504" s="2646" t="s">
        <v>2088</v>
      </c>
      <c r="H1504" s="2646" t="s">
        <v>2088</v>
      </c>
      <c r="I1504" s="2646" t="s">
        <v>2088</v>
      </c>
      <c r="J1504" s="2646">
        <v>12.9</v>
      </c>
      <c r="L1504" s="2646" t="s">
        <v>3631</v>
      </c>
    </row>
    <row r="1505" spans="1:12">
      <c r="A1505" s="2647" t="s">
        <v>99</v>
      </c>
      <c r="B1505" s="2647" t="s">
        <v>3632</v>
      </c>
      <c r="C1505" s="2647">
        <v>99.5</v>
      </c>
      <c r="D1505" s="2647">
        <v>182</v>
      </c>
      <c r="E1505" s="2647">
        <v>160</v>
      </c>
      <c r="F1505" s="2647" t="s">
        <v>2088</v>
      </c>
      <c r="G1505" s="2647" t="s">
        <v>2088</v>
      </c>
      <c r="H1505" s="2647" t="s">
        <v>2088</v>
      </c>
      <c r="I1505" s="2647" t="s">
        <v>2088</v>
      </c>
      <c r="J1505" s="2647">
        <v>12.9</v>
      </c>
      <c r="K1505" s="2648"/>
      <c r="L1505" s="2647" t="s">
        <v>3633</v>
      </c>
    </row>
    <row r="1506" spans="1:12">
      <c r="A1506" s="2646" t="s">
        <v>99</v>
      </c>
      <c r="B1506" s="2646" t="s">
        <v>3634</v>
      </c>
      <c r="C1506" s="2646">
        <v>720</v>
      </c>
      <c r="D1506" s="2646">
        <v>915</v>
      </c>
      <c r="E1506" s="2646">
        <v>190</v>
      </c>
      <c r="F1506" s="2646" t="s">
        <v>2088</v>
      </c>
      <c r="G1506" s="2646" t="s">
        <v>2088</v>
      </c>
      <c r="H1506" s="2646" t="s">
        <v>2088</v>
      </c>
      <c r="I1506" s="2646" t="s">
        <v>2088</v>
      </c>
      <c r="J1506" s="2646">
        <v>277</v>
      </c>
      <c r="L1506" s="2646" t="s">
        <v>3635</v>
      </c>
    </row>
    <row r="1507" spans="1:12">
      <c r="A1507" s="2647" t="s">
        <v>99</v>
      </c>
      <c r="B1507" s="2647" t="s">
        <v>3636</v>
      </c>
      <c r="C1507" s="2647">
        <v>710</v>
      </c>
      <c r="D1507" s="2647">
        <v>1030</v>
      </c>
      <c r="E1507" s="2647">
        <v>236</v>
      </c>
      <c r="F1507" s="2647" t="s">
        <v>2088</v>
      </c>
      <c r="G1507" s="2647" t="s">
        <v>2088</v>
      </c>
      <c r="H1507" s="2647" t="s">
        <v>2088</v>
      </c>
      <c r="I1507" s="2647" t="s">
        <v>2088</v>
      </c>
      <c r="J1507" s="2647">
        <v>651</v>
      </c>
      <c r="K1507" s="2648"/>
      <c r="L1507" s="2647" t="s">
        <v>3637</v>
      </c>
    </row>
    <row r="1508" spans="1:12">
      <c r="A1508" s="2646" t="s">
        <v>99</v>
      </c>
      <c r="B1508" s="2646" t="s">
        <v>3638</v>
      </c>
      <c r="C1508" s="2646">
        <v>254</v>
      </c>
      <c r="D1508" s="2646">
        <v>431.72399999999999</v>
      </c>
      <c r="E1508" s="2646">
        <v>180</v>
      </c>
      <c r="F1508" s="2646" t="s">
        <v>2088</v>
      </c>
      <c r="G1508" s="2646" t="s">
        <v>2088</v>
      </c>
      <c r="H1508" s="2646" t="s">
        <v>2088</v>
      </c>
      <c r="I1508" s="2646" t="s">
        <v>2088</v>
      </c>
      <c r="J1508" s="2646">
        <v>88</v>
      </c>
      <c r="L1508" s="2646">
        <v>37952</v>
      </c>
    </row>
    <row r="1509" spans="1:12">
      <c r="A1509" s="2647" t="s">
        <v>99</v>
      </c>
      <c r="B1509" s="2647" t="s">
        <v>3639</v>
      </c>
      <c r="C1509" s="2647">
        <v>203.2</v>
      </c>
      <c r="D1509" s="2647">
        <v>276.22500000000002</v>
      </c>
      <c r="E1509" s="2647">
        <v>95.25</v>
      </c>
      <c r="F1509" s="2647" t="s">
        <v>2088</v>
      </c>
      <c r="G1509" s="2647" t="s">
        <v>2088</v>
      </c>
      <c r="H1509" s="2647" t="s">
        <v>2088</v>
      </c>
      <c r="I1509" s="2647" t="s">
        <v>2088</v>
      </c>
      <c r="J1509" s="2647">
        <v>14.8</v>
      </c>
      <c r="K1509" s="2648"/>
      <c r="L1509" s="2647" t="s">
        <v>3640</v>
      </c>
    </row>
    <row r="1510" spans="1:12">
      <c r="A1510" s="2646" t="s">
        <v>99</v>
      </c>
      <c r="B1510" s="2646" t="s">
        <v>3641</v>
      </c>
      <c r="C1510" s="2646">
        <v>1600</v>
      </c>
      <c r="D1510" s="2646">
        <v>2060</v>
      </c>
      <c r="E1510" s="2646">
        <v>560</v>
      </c>
      <c r="F1510" s="2646" t="s">
        <v>2088</v>
      </c>
      <c r="G1510" s="2646" t="s">
        <v>2088</v>
      </c>
      <c r="H1510" s="2646" t="s">
        <v>2088</v>
      </c>
      <c r="I1510" s="2646" t="s">
        <v>2088</v>
      </c>
      <c r="J1510" s="2646">
        <v>4210</v>
      </c>
      <c r="L1510" s="2646" t="s">
        <v>3642</v>
      </c>
    </row>
    <row r="1511" spans="1:12">
      <c r="A1511" s="2647" t="s">
        <v>99</v>
      </c>
      <c r="B1511" s="2647" t="s">
        <v>3643</v>
      </c>
      <c r="C1511" s="2647">
        <v>144.46299999999999</v>
      </c>
      <c r="D1511" s="2647">
        <v>220.79</v>
      </c>
      <c r="E1511" s="2647">
        <v>163.37299999999999</v>
      </c>
      <c r="F1511" s="2647" t="s">
        <v>2088</v>
      </c>
      <c r="G1511" s="2647" t="s">
        <v>2088</v>
      </c>
      <c r="H1511" s="2647" t="s">
        <v>2088</v>
      </c>
      <c r="I1511" s="2647" t="s">
        <v>2088</v>
      </c>
      <c r="J1511" s="2647">
        <v>21.6</v>
      </c>
      <c r="K1511" s="2648"/>
      <c r="L1511" s="2647">
        <v>197729</v>
      </c>
    </row>
    <row r="1512" spans="1:12">
      <c r="A1512" s="2646" t="s">
        <v>99</v>
      </c>
      <c r="B1512" s="2646" t="s">
        <v>3644</v>
      </c>
      <c r="C1512" s="2646">
        <v>40</v>
      </c>
      <c r="D1512" s="2646">
        <v>80</v>
      </c>
      <c r="E1512" s="2646">
        <v>21</v>
      </c>
      <c r="F1512" s="2646" t="s">
        <v>2088</v>
      </c>
      <c r="G1512" s="2646" t="s">
        <v>2088</v>
      </c>
      <c r="H1512" s="2646" t="s">
        <v>2088</v>
      </c>
      <c r="I1512" s="2646" t="s">
        <v>2088</v>
      </c>
      <c r="J1512" s="2646">
        <v>0.47199999999999998</v>
      </c>
      <c r="L1512" s="2646" t="s">
        <v>2088</v>
      </c>
    </row>
    <row r="1513" spans="1:12">
      <c r="A1513" s="2647" t="s">
        <v>99</v>
      </c>
      <c r="B1513" s="2647" t="s">
        <v>3645</v>
      </c>
      <c r="C1513" s="2647">
        <v>53.975000000000001</v>
      </c>
      <c r="D1513" s="2647">
        <v>95.25</v>
      </c>
      <c r="E1513" s="2647">
        <v>27.738</v>
      </c>
      <c r="F1513" s="2647" t="s">
        <v>2088</v>
      </c>
      <c r="G1513" s="2647" t="s">
        <v>2088</v>
      </c>
      <c r="H1513" s="2647" t="s">
        <v>2088</v>
      </c>
      <c r="I1513" s="2647" t="s">
        <v>2088</v>
      </c>
      <c r="J1513" s="2647">
        <v>0.81899999999999995</v>
      </c>
      <c r="K1513" s="2648"/>
      <c r="L1513" s="2647" t="s">
        <v>2088</v>
      </c>
    </row>
    <row r="1514" spans="1:12">
      <c r="A1514" s="2646" t="s">
        <v>99</v>
      </c>
      <c r="B1514" s="2646" t="s">
        <v>3646</v>
      </c>
      <c r="C1514" s="2646">
        <v>39.688000000000002</v>
      </c>
      <c r="D1514" s="2646">
        <v>80.167000000000002</v>
      </c>
      <c r="E1514" s="2646">
        <v>29.37</v>
      </c>
      <c r="F1514" s="2646" t="s">
        <v>2088</v>
      </c>
      <c r="G1514" s="2646" t="s">
        <v>2088</v>
      </c>
      <c r="H1514" s="2646" t="s">
        <v>2088</v>
      </c>
      <c r="I1514" s="2646" t="s">
        <v>2088</v>
      </c>
      <c r="J1514" s="2646">
        <v>0</v>
      </c>
      <c r="L1514" s="2646" t="s">
        <v>2088</v>
      </c>
    </row>
    <row r="1515" spans="1:12">
      <c r="A1515" s="2647" t="s">
        <v>99</v>
      </c>
      <c r="B1515" s="2647" t="s">
        <v>3647</v>
      </c>
      <c r="C1515" s="2647">
        <v>41.274999999999999</v>
      </c>
      <c r="D1515" s="2647">
        <v>80.167000000000002</v>
      </c>
      <c r="E1515" s="2647">
        <v>29.37</v>
      </c>
      <c r="F1515" s="2647" t="s">
        <v>2088</v>
      </c>
      <c r="G1515" s="2647" t="s">
        <v>2088</v>
      </c>
      <c r="H1515" s="2647" t="s">
        <v>2088</v>
      </c>
      <c r="I1515" s="2647" t="s">
        <v>2088</v>
      </c>
      <c r="J1515" s="2647">
        <v>0.627</v>
      </c>
      <c r="K1515" s="2648"/>
      <c r="L1515" s="2647" t="s">
        <v>2088</v>
      </c>
    </row>
    <row r="1516" spans="1:12">
      <c r="A1516" s="2646" t="s">
        <v>99</v>
      </c>
      <c r="B1516" s="2646" t="s">
        <v>3648</v>
      </c>
      <c r="C1516" s="2646">
        <v>39.688000000000002</v>
      </c>
      <c r="D1516" s="2646">
        <v>80.167000000000002</v>
      </c>
      <c r="E1516" s="2646">
        <v>29.3</v>
      </c>
      <c r="F1516" s="2646" t="s">
        <v>2088</v>
      </c>
      <c r="G1516" s="2646" t="s">
        <v>2088</v>
      </c>
      <c r="H1516" s="2646" t="s">
        <v>2088</v>
      </c>
      <c r="I1516" s="2646" t="s">
        <v>2088</v>
      </c>
      <c r="J1516" s="2646">
        <v>0</v>
      </c>
      <c r="L1516" s="2646" t="s">
        <v>2088</v>
      </c>
    </row>
    <row r="1517" spans="1:12">
      <c r="A1517" s="2647" t="s">
        <v>99</v>
      </c>
      <c r="B1517" s="2647" t="s">
        <v>3649</v>
      </c>
      <c r="C1517" s="2647">
        <v>39.688000000000002</v>
      </c>
      <c r="D1517" s="2647">
        <v>80.167000000000002</v>
      </c>
      <c r="E1517" s="2647">
        <v>29.37</v>
      </c>
      <c r="F1517" s="2647" t="s">
        <v>2088</v>
      </c>
      <c r="G1517" s="2647" t="s">
        <v>2088</v>
      </c>
      <c r="H1517" s="2647" t="s">
        <v>2088</v>
      </c>
      <c r="I1517" s="2647" t="s">
        <v>2088</v>
      </c>
      <c r="J1517" s="2647">
        <v>0</v>
      </c>
      <c r="K1517" s="2648"/>
      <c r="L1517" s="2647" t="s">
        <v>2088</v>
      </c>
    </row>
    <row r="1518" spans="1:12">
      <c r="A1518" s="2646" t="s">
        <v>99</v>
      </c>
      <c r="B1518" s="2646" t="s">
        <v>3650</v>
      </c>
      <c r="C1518" s="2646">
        <v>39.688000000000002</v>
      </c>
      <c r="D1518" s="2646">
        <v>84.138000000000005</v>
      </c>
      <c r="E1518" s="2646">
        <v>29.37</v>
      </c>
      <c r="F1518" s="2646" t="s">
        <v>2088</v>
      </c>
      <c r="G1518" s="2646" t="s">
        <v>2088</v>
      </c>
      <c r="H1518" s="2646" t="s">
        <v>2088</v>
      </c>
      <c r="I1518" s="2646" t="s">
        <v>2088</v>
      </c>
      <c r="J1518" s="2646">
        <v>0</v>
      </c>
      <c r="L1518" s="2646" t="s">
        <v>2088</v>
      </c>
    </row>
    <row r="1519" spans="1:12">
      <c r="A1519" s="2647" t="s">
        <v>99</v>
      </c>
      <c r="B1519" s="2647" t="s">
        <v>3651</v>
      </c>
      <c r="C1519" s="2647">
        <v>39.688000000000002</v>
      </c>
      <c r="D1519" s="2647">
        <v>77.534000000000006</v>
      </c>
      <c r="E1519" s="2647">
        <v>29.37</v>
      </c>
      <c r="F1519" s="2647" t="s">
        <v>2088</v>
      </c>
      <c r="G1519" s="2647" t="s">
        <v>2088</v>
      </c>
      <c r="H1519" s="2647" t="s">
        <v>2088</v>
      </c>
      <c r="I1519" s="2647" t="s">
        <v>2088</v>
      </c>
      <c r="J1519" s="2647">
        <v>0</v>
      </c>
      <c r="K1519" s="2648"/>
      <c r="L1519" s="2647" t="s">
        <v>2088</v>
      </c>
    </row>
    <row r="1520" spans="1:12">
      <c r="A1520" s="2646" t="s">
        <v>99</v>
      </c>
      <c r="B1520" s="2646" t="s">
        <v>3652</v>
      </c>
      <c r="C1520" s="2646">
        <v>39.688000000000002</v>
      </c>
      <c r="D1520" s="2646">
        <v>80.167000000000002</v>
      </c>
      <c r="E1520" s="2646">
        <v>29.37</v>
      </c>
      <c r="F1520" s="2646" t="s">
        <v>2088</v>
      </c>
      <c r="G1520" s="2646" t="s">
        <v>2088</v>
      </c>
      <c r="H1520" s="2646" t="s">
        <v>2088</v>
      </c>
      <c r="I1520" s="2646" t="s">
        <v>2088</v>
      </c>
      <c r="J1520" s="2646">
        <v>0</v>
      </c>
      <c r="L1520" s="2646" t="s">
        <v>2088</v>
      </c>
    </row>
    <row r="1521" spans="1:12">
      <c r="A1521" s="2647" t="s">
        <v>99</v>
      </c>
      <c r="B1521" s="2647" t="s">
        <v>3653</v>
      </c>
      <c r="C1521" s="2647">
        <v>38.1</v>
      </c>
      <c r="D1521" s="2647">
        <v>80.167000000000002</v>
      </c>
      <c r="E1521" s="2647">
        <v>29.37</v>
      </c>
      <c r="F1521" s="2647" t="s">
        <v>2088</v>
      </c>
      <c r="G1521" s="2647" t="s">
        <v>2088</v>
      </c>
      <c r="H1521" s="2647" t="s">
        <v>2088</v>
      </c>
      <c r="I1521" s="2647" t="s">
        <v>2088</v>
      </c>
      <c r="J1521" s="2647">
        <v>0</v>
      </c>
      <c r="K1521" s="2648"/>
      <c r="L1521" s="2647" t="s">
        <v>2088</v>
      </c>
    </row>
    <row r="1522" spans="1:12">
      <c r="A1522" s="2646" t="s">
        <v>99</v>
      </c>
      <c r="B1522" s="2646" t="s">
        <v>3654</v>
      </c>
      <c r="C1522" s="2646">
        <v>39.688000000000002</v>
      </c>
      <c r="D1522" s="2646">
        <v>80.167000000000002</v>
      </c>
      <c r="E1522" s="2646">
        <v>29.37</v>
      </c>
      <c r="F1522" s="2646" t="s">
        <v>2088</v>
      </c>
      <c r="G1522" s="2646" t="s">
        <v>2088</v>
      </c>
      <c r="H1522" s="2646" t="s">
        <v>2088</v>
      </c>
      <c r="I1522" s="2646" t="s">
        <v>2088</v>
      </c>
      <c r="J1522" s="2646">
        <v>0</v>
      </c>
      <c r="L1522" s="2646" t="s">
        <v>2088</v>
      </c>
    </row>
    <row r="1523" spans="1:12">
      <c r="A1523" s="2647" t="s">
        <v>99</v>
      </c>
      <c r="B1523" s="2647">
        <v>32356</v>
      </c>
      <c r="C1523" s="2647">
        <v>280</v>
      </c>
      <c r="D1523" s="2647">
        <v>580</v>
      </c>
      <c r="E1523" s="2647">
        <v>187</v>
      </c>
      <c r="F1523" s="2647" t="s">
        <v>2088</v>
      </c>
      <c r="G1523" s="2647" t="s">
        <v>2088</v>
      </c>
      <c r="H1523" s="2647" t="s">
        <v>2088</v>
      </c>
      <c r="I1523" s="2647" t="s">
        <v>2088</v>
      </c>
      <c r="J1523" s="2647">
        <v>208</v>
      </c>
      <c r="K1523" s="2648"/>
      <c r="L1523" s="2647" t="s">
        <v>3655</v>
      </c>
    </row>
    <row r="1524" spans="1:12">
      <c r="A1524" s="2646" t="s">
        <v>99</v>
      </c>
      <c r="B1524" s="2646">
        <v>32352</v>
      </c>
      <c r="C1524" s="2646">
        <v>260</v>
      </c>
      <c r="D1524" s="2646">
        <v>540</v>
      </c>
      <c r="E1524" s="2646">
        <v>176</v>
      </c>
      <c r="F1524" s="2646" t="s">
        <v>2088</v>
      </c>
      <c r="G1524" s="2646" t="s">
        <v>2088</v>
      </c>
      <c r="H1524" s="2646" t="s">
        <v>2088</v>
      </c>
      <c r="I1524" s="2646" t="s">
        <v>2088</v>
      </c>
      <c r="J1524" s="2646">
        <v>187</v>
      </c>
      <c r="L1524" s="2646" t="s">
        <v>3656</v>
      </c>
    </row>
    <row r="1525" spans="1:12">
      <c r="A1525" s="2647" t="s">
        <v>99</v>
      </c>
      <c r="B1525" s="2647">
        <v>32348</v>
      </c>
      <c r="C1525" s="2647">
        <v>240</v>
      </c>
      <c r="D1525" s="2647">
        <v>500</v>
      </c>
      <c r="E1525" s="2647">
        <v>165</v>
      </c>
      <c r="F1525" s="2647" t="s">
        <v>2088</v>
      </c>
      <c r="G1525" s="2647" t="s">
        <v>2088</v>
      </c>
      <c r="H1525" s="2647" t="s">
        <v>2088</v>
      </c>
      <c r="I1525" s="2647" t="s">
        <v>2088</v>
      </c>
      <c r="J1525" s="2647">
        <v>137</v>
      </c>
      <c r="K1525" s="2648"/>
      <c r="L1525" s="2647" t="s">
        <v>3657</v>
      </c>
    </row>
    <row r="1526" spans="1:12">
      <c r="A1526" s="2646" t="s">
        <v>99</v>
      </c>
      <c r="B1526" s="2646">
        <v>32344</v>
      </c>
      <c r="C1526" s="2646">
        <v>220</v>
      </c>
      <c r="D1526" s="2646">
        <v>460</v>
      </c>
      <c r="E1526" s="2646">
        <v>154</v>
      </c>
      <c r="F1526" s="2646" t="s">
        <v>2088</v>
      </c>
      <c r="G1526" s="2646" t="s">
        <v>2088</v>
      </c>
      <c r="H1526" s="2646" t="s">
        <v>2088</v>
      </c>
      <c r="I1526" s="2646" t="s">
        <v>2088</v>
      </c>
      <c r="J1526" s="2646">
        <v>108</v>
      </c>
      <c r="L1526" s="2646" t="s">
        <v>3658</v>
      </c>
    </row>
    <row r="1527" spans="1:12">
      <c r="A1527" s="2647" t="s">
        <v>99</v>
      </c>
      <c r="B1527" s="2647">
        <v>32340</v>
      </c>
      <c r="C1527" s="2647">
        <v>200</v>
      </c>
      <c r="D1527" s="2647">
        <v>420</v>
      </c>
      <c r="E1527" s="2647">
        <v>138</v>
      </c>
      <c r="F1527" s="2647">
        <v>1790</v>
      </c>
      <c r="G1527" s="2647">
        <v>2580</v>
      </c>
      <c r="H1527" s="2647">
        <v>830</v>
      </c>
      <c r="I1527" s="2647">
        <v>1100</v>
      </c>
      <c r="J1527" s="2647">
        <v>91</v>
      </c>
      <c r="K1527" s="2648"/>
      <c r="L1527" s="2647" t="s">
        <v>3659</v>
      </c>
    </row>
    <row r="1528" spans="1:12">
      <c r="A1528" s="2646" t="s">
        <v>99</v>
      </c>
      <c r="B1528" s="2646">
        <v>32338</v>
      </c>
      <c r="C1528" s="2646">
        <v>190</v>
      </c>
      <c r="D1528" s="2646">
        <v>400</v>
      </c>
      <c r="E1528" s="2646">
        <v>132</v>
      </c>
      <c r="F1528" s="2646">
        <v>1550</v>
      </c>
      <c r="G1528" s="2646">
        <v>2190</v>
      </c>
      <c r="H1528" s="2646">
        <v>890</v>
      </c>
      <c r="I1528" s="2646">
        <v>1200</v>
      </c>
      <c r="J1528" s="2646">
        <v>76.599999999999994</v>
      </c>
      <c r="L1528" s="2646" t="s">
        <v>3660</v>
      </c>
    </row>
    <row r="1529" spans="1:12">
      <c r="A1529" s="2647" t="s">
        <v>99</v>
      </c>
      <c r="B1529" s="2647">
        <v>32336</v>
      </c>
      <c r="C1529" s="2647">
        <v>180</v>
      </c>
      <c r="D1529" s="2647">
        <v>380</v>
      </c>
      <c r="E1529" s="2647">
        <v>126</v>
      </c>
      <c r="F1529" s="2647">
        <v>1410</v>
      </c>
      <c r="G1529" s="2647">
        <v>1980</v>
      </c>
      <c r="H1529" s="2647">
        <v>960</v>
      </c>
      <c r="I1529" s="2647">
        <v>1300</v>
      </c>
      <c r="J1529" s="2647">
        <v>67</v>
      </c>
      <c r="K1529" s="2648"/>
      <c r="L1529" s="2647" t="s">
        <v>3661</v>
      </c>
    </row>
    <row r="1530" spans="1:12">
      <c r="A1530" s="2646" t="s">
        <v>99</v>
      </c>
      <c r="B1530" s="2646" t="s">
        <v>3662</v>
      </c>
      <c r="C1530" s="2646">
        <v>170</v>
      </c>
      <c r="D1530" s="2646">
        <v>360</v>
      </c>
      <c r="E1530" s="2646">
        <v>128</v>
      </c>
      <c r="F1530" s="2646" t="s">
        <v>2088</v>
      </c>
      <c r="G1530" s="2646" t="s">
        <v>2088</v>
      </c>
      <c r="H1530" s="2646" t="s">
        <v>2088</v>
      </c>
      <c r="I1530" s="2646" t="s">
        <v>2088</v>
      </c>
      <c r="J1530" s="2646">
        <v>63.5</v>
      </c>
      <c r="L1530" s="2646">
        <v>7634</v>
      </c>
    </row>
    <row r="1531" spans="1:12">
      <c r="A1531" s="2647" t="s">
        <v>99</v>
      </c>
      <c r="B1531" s="2647" t="s">
        <v>3663</v>
      </c>
      <c r="C1531" s="2647">
        <v>130</v>
      </c>
      <c r="D1531" s="2647">
        <v>280</v>
      </c>
      <c r="E1531" s="2647">
        <v>99.5</v>
      </c>
      <c r="F1531" s="2647" t="s">
        <v>2088</v>
      </c>
      <c r="G1531" s="2647" t="s">
        <v>2088</v>
      </c>
      <c r="H1531" s="2647" t="s">
        <v>2088</v>
      </c>
      <c r="I1531" s="2647" t="s">
        <v>2088</v>
      </c>
      <c r="J1531" s="2647">
        <v>26.4</v>
      </c>
      <c r="K1531" s="2648"/>
      <c r="L1531" s="2647" t="s">
        <v>2425</v>
      </c>
    </row>
    <row r="1532" spans="1:12">
      <c r="A1532" s="2646" t="s">
        <v>99</v>
      </c>
      <c r="B1532" s="2646" t="s">
        <v>3664</v>
      </c>
      <c r="C1532" s="2646">
        <v>260</v>
      </c>
      <c r="D1532" s="2646">
        <v>360</v>
      </c>
      <c r="E1532" s="2646">
        <v>108</v>
      </c>
      <c r="F1532" s="2646" t="s">
        <v>2088</v>
      </c>
      <c r="G1532" s="2646" t="s">
        <v>2088</v>
      </c>
      <c r="H1532" s="2646" t="s">
        <v>2088</v>
      </c>
      <c r="I1532" s="2646" t="s">
        <v>2088</v>
      </c>
      <c r="J1532" s="2646">
        <v>39.1</v>
      </c>
      <c r="L1532" s="2646">
        <v>2097952</v>
      </c>
    </row>
    <row r="1533" spans="1:12">
      <c r="A1533" s="2647" t="s">
        <v>99</v>
      </c>
      <c r="B1533" s="2647" t="s">
        <v>3665</v>
      </c>
      <c r="C1533" s="2647">
        <v>260</v>
      </c>
      <c r="D1533" s="2647">
        <v>360</v>
      </c>
      <c r="E1533" s="2647">
        <v>108</v>
      </c>
      <c r="F1533" s="2647" t="s">
        <v>2088</v>
      </c>
      <c r="G1533" s="2647" t="s">
        <v>2088</v>
      </c>
      <c r="H1533" s="2647" t="s">
        <v>2088</v>
      </c>
      <c r="I1533" s="2647" t="s">
        <v>2088</v>
      </c>
      <c r="J1533" s="2647">
        <v>38.9</v>
      </c>
      <c r="K1533" s="2648"/>
      <c r="L1533" s="2647" t="s">
        <v>3666</v>
      </c>
    </row>
    <row r="1534" spans="1:12">
      <c r="A1534" s="2646" t="s">
        <v>99</v>
      </c>
      <c r="B1534" s="2646" t="s">
        <v>3667</v>
      </c>
      <c r="C1534" s="2646">
        <v>260</v>
      </c>
      <c r="D1534" s="2646">
        <v>360</v>
      </c>
      <c r="E1534" s="2646">
        <v>134</v>
      </c>
      <c r="F1534" s="2646" t="s">
        <v>2088</v>
      </c>
      <c r="G1534" s="2646" t="s">
        <v>2088</v>
      </c>
      <c r="H1534" s="2646" t="s">
        <v>2088</v>
      </c>
      <c r="I1534" s="2646" t="s">
        <v>2088</v>
      </c>
      <c r="J1534" s="2646">
        <v>39.700000000000003</v>
      </c>
      <c r="L1534" s="2646" t="s">
        <v>3666</v>
      </c>
    </row>
    <row r="1535" spans="1:12">
      <c r="A1535" s="2647" t="s">
        <v>99</v>
      </c>
      <c r="B1535" s="2647" t="s">
        <v>3668</v>
      </c>
      <c r="C1535" s="2647">
        <v>260</v>
      </c>
      <c r="D1535" s="2647">
        <v>360</v>
      </c>
      <c r="E1535" s="2647">
        <v>134</v>
      </c>
      <c r="F1535" s="2647" t="s">
        <v>2088</v>
      </c>
      <c r="G1535" s="2647" t="s">
        <v>2088</v>
      </c>
      <c r="H1535" s="2647" t="s">
        <v>2088</v>
      </c>
      <c r="I1535" s="2647" t="s">
        <v>2088</v>
      </c>
      <c r="J1535" s="2647">
        <v>39.9</v>
      </c>
      <c r="K1535" s="2648"/>
      <c r="L1535" s="2647">
        <v>2097952</v>
      </c>
    </row>
    <row r="1536" spans="1:12">
      <c r="A1536" s="2646" t="s">
        <v>99</v>
      </c>
      <c r="B1536" s="2646">
        <v>352952</v>
      </c>
      <c r="C1536" s="2646">
        <v>260</v>
      </c>
      <c r="D1536" s="2646">
        <v>360</v>
      </c>
      <c r="E1536" s="2646">
        <v>141</v>
      </c>
      <c r="F1536" s="2646" t="s">
        <v>2088</v>
      </c>
      <c r="G1536" s="2646" t="s">
        <v>2088</v>
      </c>
      <c r="H1536" s="2646" t="s">
        <v>2088</v>
      </c>
      <c r="I1536" s="2646" t="s">
        <v>2088</v>
      </c>
      <c r="J1536" s="2646">
        <v>37</v>
      </c>
      <c r="L1536" s="2646" t="s">
        <v>3669</v>
      </c>
    </row>
    <row r="1537" spans="1:12">
      <c r="A1537" s="2647" t="s">
        <v>99</v>
      </c>
      <c r="B1537" s="2647" t="s">
        <v>3670</v>
      </c>
      <c r="C1537" s="2647">
        <v>240</v>
      </c>
      <c r="D1537" s="2647">
        <v>320</v>
      </c>
      <c r="E1537" s="2647">
        <v>105</v>
      </c>
      <c r="F1537" s="2647" t="s">
        <v>2088</v>
      </c>
      <c r="G1537" s="2647" t="s">
        <v>2088</v>
      </c>
      <c r="H1537" s="2647" t="s">
        <v>2088</v>
      </c>
      <c r="I1537" s="2647" t="s">
        <v>2088</v>
      </c>
      <c r="J1537" s="2647">
        <v>22</v>
      </c>
      <c r="K1537" s="2648"/>
      <c r="L1537" s="2647">
        <v>2097948</v>
      </c>
    </row>
    <row r="1538" spans="1:12">
      <c r="A1538" s="2646" t="s">
        <v>99</v>
      </c>
      <c r="B1538" s="2646" t="s">
        <v>3671</v>
      </c>
      <c r="C1538" s="2646">
        <v>240</v>
      </c>
      <c r="D1538" s="2646">
        <v>320</v>
      </c>
      <c r="E1538" s="2646">
        <v>110</v>
      </c>
      <c r="F1538" s="2646" t="s">
        <v>2088</v>
      </c>
      <c r="G1538" s="2646" t="s">
        <v>2088</v>
      </c>
      <c r="H1538" s="2646" t="s">
        <v>2088</v>
      </c>
      <c r="I1538" s="2646" t="s">
        <v>2088</v>
      </c>
      <c r="J1538" s="2646">
        <v>23</v>
      </c>
      <c r="L1538" s="2646" t="s">
        <v>3672</v>
      </c>
    </row>
    <row r="1539" spans="1:12">
      <c r="A1539" s="2647" t="s">
        <v>99</v>
      </c>
      <c r="B1539" s="2647" t="s">
        <v>3673</v>
      </c>
      <c r="C1539" s="2647">
        <v>240</v>
      </c>
      <c r="D1539" s="2647">
        <v>320</v>
      </c>
      <c r="E1539" s="2647">
        <v>110</v>
      </c>
      <c r="F1539" s="2647" t="s">
        <v>2088</v>
      </c>
      <c r="G1539" s="2647" t="s">
        <v>2088</v>
      </c>
      <c r="H1539" s="2647" t="s">
        <v>2088</v>
      </c>
      <c r="I1539" s="2647" t="s">
        <v>2088</v>
      </c>
      <c r="J1539" s="2647">
        <v>23.2</v>
      </c>
      <c r="K1539" s="2648"/>
      <c r="L1539" s="2647" t="s">
        <v>3674</v>
      </c>
    </row>
    <row r="1540" spans="1:12">
      <c r="A1540" s="2646" t="s">
        <v>99</v>
      </c>
      <c r="B1540" s="2646" t="s">
        <v>3675</v>
      </c>
      <c r="C1540" s="2646">
        <v>240</v>
      </c>
      <c r="D1540" s="2646">
        <v>320</v>
      </c>
      <c r="E1540" s="2646">
        <v>105</v>
      </c>
      <c r="F1540" s="2646" t="s">
        <v>2088</v>
      </c>
      <c r="G1540" s="2646" t="s">
        <v>2088</v>
      </c>
      <c r="H1540" s="2646" t="s">
        <v>2088</v>
      </c>
      <c r="I1540" s="2646" t="s">
        <v>2088</v>
      </c>
      <c r="J1540" s="2646">
        <v>22.3</v>
      </c>
      <c r="L1540" s="2646">
        <v>2097948</v>
      </c>
    </row>
    <row r="1541" spans="1:12">
      <c r="A1541" s="2647" t="s">
        <v>99</v>
      </c>
      <c r="B1541" s="2647">
        <v>352948</v>
      </c>
      <c r="C1541" s="2647">
        <v>240</v>
      </c>
      <c r="D1541" s="2647">
        <v>320</v>
      </c>
      <c r="E1541" s="2647">
        <v>116</v>
      </c>
      <c r="F1541" s="2647" t="s">
        <v>2088</v>
      </c>
      <c r="G1541" s="2647" t="s">
        <v>2088</v>
      </c>
      <c r="H1541" s="2647" t="s">
        <v>2088</v>
      </c>
      <c r="I1541" s="2647" t="s">
        <v>2088</v>
      </c>
      <c r="J1541" s="2647">
        <v>22.2</v>
      </c>
      <c r="K1541" s="2648"/>
      <c r="L1541" s="2647" t="s">
        <v>3676</v>
      </c>
    </row>
    <row r="1542" spans="1:12">
      <c r="A1542" s="2646" t="s">
        <v>99</v>
      </c>
      <c r="B1542" s="2646" t="s">
        <v>3677</v>
      </c>
      <c r="C1542" s="2646">
        <v>220</v>
      </c>
      <c r="D1542" s="2646">
        <v>300</v>
      </c>
      <c r="E1542" s="2646">
        <v>110</v>
      </c>
      <c r="F1542" s="2646" t="s">
        <v>2088</v>
      </c>
      <c r="G1542" s="2646" t="s">
        <v>2088</v>
      </c>
      <c r="H1542" s="2646" t="s">
        <v>2088</v>
      </c>
      <c r="I1542" s="2646" t="s">
        <v>2088</v>
      </c>
      <c r="J1542" s="2646">
        <v>21.2</v>
      </c>
      <c r="L1542" s="2646">
        <v>2097944</v>
      </c>
    </row>
    <row r="1543" spans="1:12">
      <c r="A1543" s="2647" t="s">
        <v>99</v>
      </c>
      <c r="B1543" s="2647">
        <v>352944</v>
      </c>
      <c r="C1543" s="2647">
        <v>220</v>
      </c>
      <c r="D1543" s="2647">
        <v>300</v>
      </c>
      <c r="E1543" s="2647">
        <v>116</v>
      </c>
      <c r="F1543" s="2647" t="s">
        <v>2088</v>
      </c>
      <c r="G1543" s="2647" t="s">
        <v>2088</v>
      </c>
      <c r="H1543" s="2647" t="s">
        <v>2088</v>
      </c>
      <c r="I1543" s="2647" t="s">
        <v>2088</v>
      </c>
      <c r="J1543" s="2647">
        <v>21.7</v>
      </c>
      <c r="K1543" s="2648"/>
      <c r="L1543" s="2647" t="s">
        <v>3678</v>
      </c>
    </row>
    <row r="1544" spans="1:12">
      <c r="A1544" s="2646" t="s">
        <v>99</v>
      </c>
      <c r="B1544" s="2646" t="s">
        <v>3679</v>
      </c>
      <c r="C1544" s="2646">
        <v>200</v>
      </c>
      <c r="D1544" s="2646">
        <v>280</v>
      </c>
      <c r="E1544" s="2646">
        <v>110</v>
      </c>
      <c r="F1544" s="2646" t="s">
        <v>2088</v>
      </c>
      <c r="G1544" s="2646" t="s">
        <v>2088</v>
      </c>
      <c r="H1544" s="2646" t="s">
        <v>2088</v>
      </c>
      <c r="I1544" s="2646" t="s">
        <v>2088</v>
      </c>
      <c r="J1544" s="2646">
        <v>19.7</v>
      </c>
      <c r="L1544" s="2646" t="s">
        <v>3680</v>
      </c>
    </row>
    <row r="1545" spans="1:12">
      <c r="A1545" s="2647" t="s">
        <v>99</v>
      </c>
      <c r="B1545" s="2647" t="s">
        <v>3681</v>
      </c>
      <c r="C1545" s="2647">
        <v>200</v>
      </c>
      <c r="D1545" s="2647">
        <v>280</v>
      </c>
      <c r="E1545" s="2647">
        <v>110</v>
      </c>
      <c r="F1545" s="2647" t="s">
        <v>2088</v>
      </c>
      <c r="G1545" s="2647" t="s">
        <v>2088</v>
      </c>
      <c r="H1545" s="2647" t="s">
        <v>2088</v>
      </c>
      <c r="I1545" s="2647" t="s">
        <v>2088</v>
      </c>
      <c r="J1545" s="2647">
        <v>18.100000000000001</v>
      </c>
      <c r="K1545" s="2648"/>
      <c r="L1545" s="2647">
        <v>2097940</v>
      </c>
    </row>
    <row r="1546" spans="1:12">
      <c r="A1546" s="2646" t="s">
        <v>99</v>
      </c>
      <c r="B1546" s="2646">
        <v>352940</v>
      </c>
      <c r="C1546" s="2646">
        <v>200</v>
      </c>
      <c r="D1546" s="2646">
        <v>280</v>
      </c>
      <c r="E1546" s="2646">
        <v>106</v>
      </c>
      <c r="F1546" s="2646" t="s">
        <v>2088</v>
      </c>
      <c r="G1546" s="2646" t="s">
        <v>2088</v>
      </c>
      <c r="H1546" s="2646" t="s">
        <v>2088</v>
      </c>
      <c r="I1546" s="2646" t="s">
        <v>2088</v>
      </c>
      <c r="J1546" s="2646">
        <v>18.100000000000001</v>
      </c>
      <c r="L1546" s="2646" t="s">
        <v>3682</v>
      </c>
    </row>
    <row r="1547" spans="1:12">
      <c r="A1547" s="2647" t="s">
        <v>99</v>
      </c>
      <c r="B1547" s="2647" t="s">
        <v>3683</v>
      </c>
      <c r="C1547" s="2647">
        <v>190</v>
      </c>
      <c r="D1547" s="2647">
        <v>260</v>
      </c>
      <c r="E1547" s="2647">
        <v>95</v>
      </c>
      <c r="F1547" s="2647" t="s">
        <v>2088</v>
      </c>
      <c r="G1547" s="2647" t="s">
        <v>2088</v>
      </c>
      <c r="H1547" s="2647" t="s">
        <v>2088</v>
      </c>
      <c r="I1547" s="2647" t="s">
        <v>2088</v>
      </c>
      <c r="J1547" s="2647">
        <v>13.3</v>
      </c>
      <c r="K1547" s="2648"/>
      <c r="L1547" s="2647">
        <v>2097938</v>
      </c>
    </row>
    <row r="1548" spans="1:12">
      <c r="A1548" s="2646" t="s">
        <v>99</v>
      </c>
      <c r="B1548" s="2646">
        <v>352938</v>
      </c>
      <c r="C1548" s="2646">
        <v>190</v>
      </c>
      <c r="D1548" s="2646">
        <v>260</v>
      </c>
      <c r="E1548" s="2646">
        <v>102</v>
      </c>
      <c r="F1548" s="2646" t="s">
        <v>2088</v>
      </c>
      <c r="G1548" s="2646" t="s">
        <v>2088</v>
      </c>
      <c r="H1548" s="2646" t="s">
        <v>2088</v>
      </c>
      <c r="I1548" s="2646" t="s">
        <v>2088</v>
      </c>
      <c r="J1548" s="2646">
        <v>14.4</v>
      </c>
      <c r="L1548" s="2646" t="s">
        <v>3684</v>
      </c>
    </row>
    <row r="1549" spans="1:12">
      <c r="A1549" s="2647" t="s">
        <v>99</v>
      </c>
      <c r="B1549" s="2647" t="s">
        <v>3685</v>
      </c>
      <c r="C1549" s="2647">
        <v>180</v>
      </c>
      <c r="D1549" s="2647">
        <v>250</v>
      </c>
      <c r="E1549" s="2647">
        <v>95</v>
      </c>
      <c r="F1549" s="2647" t="s">
        <v>2088</v>
      </c>
      <c r="G1549" s="2647" t="s">
        <v>2088</v>
      </c>
      <c r="H1549" s="2647" t="s">
        <v>2088</v>
      </c>
      <c r="I1549" s="2647" t="s">
        <v>2088</v>
      </c>
      <c r="J1549" s="2647">
        <v>13.8</v>
      </c>
      <c r="K1549" s="2648"/>
      <c r="L1549" s="2647" t="s">
        <v>3686</v>
      </c>
    </row>
    <row r="1550" spans="1:12">
      <c r="A1550" s="2646" t="s">
        <v>99</v>
      </c>
      <c r="B1550" s="2646" t="s">
        <v>3687</v>
      </c>
      <c r="C1550" s="2646">
        <v>180</v>
      </c>
      <c r="D1550" s="2646">
        <v>250</v>
      </c>
      <c r="E1550" s="2646">
        <v>95</v>
      </c>
      <c r="F1550" s="2646" t="s">
        <v>2088</v>
      </c>
      <c r="G1550" s="2646" t="s">
        <v>2088</v>
      </c>
      <c r="H1550" s="2646" t="s">
        <v>2088</v>
      </c>
      <c r="I1550" s="2646" t="s">
        <v>2088</v>
      </c>
      <c r="J1550" s="2646">
        <v>14.2</v>
      </c>
      <c r="L1550" s="2646" t="s">
        <v>3688</v>
      </c>
    </row>
    <row r="1551" spans="1:12">
      <c r="A1551" s="2647" t="s">
        <v>99</v>
      </c>
      <c r="B1551" s="2647" t="s">
        <v>3689</v>
      </c>
      <c r="C1551" s="2647">
        <v>180</v>
      </c>
      <c r="D1551" s="2647">
        <v>250</v>
      </c>
      <c r="E1551" s="2647">
        <v>95</v>
      </c>
      <c r="F1551" s="2647" t="s">
        <v>2088</v>
      </c>
      <c r="G1551" s="2647" t="s">
        <v>2088</v>
      </c>
      <c r="H1551" s="2647" t="s">
        <v>2088</v>
      </c>
      <c r="I1551" s="2647" t="s">
        <v>2088</v>
      </c>
      <c r="J1551" s="2647">
        <v>13</v>
      </c>
      <c r="K1551" s="2648"/>
      <c r="L1551" s="2647">
        <v>2097936</v>
      </c>
    </row>
    <row r="1552" spans="1:12">
      <c r="A1552" s="2646" t="s">
        <v>99</v>
      </c>
      <c r="B1552" s="2646">
        <v>352936</v>
      </c>
      <c r="C1552" s="2646">
        <v>180</v>
      </c>
      <c r="D1552" s="2646">
        <v>250</v>
      </c>
      <c r="E1552" s="2646">
        <v>102</v>
      </c>
      <c r="F1552" s="2646" t="s">
        <v>2088</v>
      </c>
      <c r="G1552" s="2646" t="s">
        <v>2088</v>
      </c>
      <c r="H1552" s="2646" t="s">
        <v>2088</v>
      </c>
      <c r="I1552" s="2646" t="s">
        <v>2088</v>
      </c>
      <c r="J1552" s="2646">
        <v>13</v>
      </c>
      <c r="L1552" s="2646" t="s">
        <v>3690</v>
      </c>
    </row>
    <row r="1553" spans="1:12">
      <c r="A1553" s="2647" t="s">
        <v>99</v>
      </c>
      <c r="B1553" s="2647" t="s">
        <v>3691</v>
      </c>
      <c r="C1553" s="2647">
        <v>170</v>
      </c>
      <c r="D1553" s="2647">
        <v>230</v>
      </c>
      <c r="E1553" s="2647">
        <v>65</v>
      </c>
      <c r="F1553" s="2647" t="s">
        <v>2088</v>
      </c>
      <c r="G1553" s="2647" t="s">
        <v>2088</v>
      </c>
      <c r="H1553" s="2647" t="s">
        <v>2088</v>
      </c>
      <c r="I1553" s="2647" t="s">
        <v>2088</v>
      </c>
      <c r="J1553" s="2647">
        <v>6.79</v>
      </c>
      <c r="K1553" s="2648"/>
      <c r="L1553" s="2647">
        <v>87834</v>
      </c>
    </row>
    <row r="1554" spans="1:12">
      <c r="A1554" s="2646" t="s">
        <v>99</v>
      </c>
      <c r="B1554" s="2646">
        <v>352934</v>
      </c>
      <c r="C1554" s="2646">
        <v>170</v>
      </c>
      <c r="D1554" s="2646">
        <v>230</v>
      </c>
      <c r="E1554" s="2646">
        <v>86</v>
      </c>
      <c r="F1554" s="2646" t="s">
        <v>2088</v>
      </c>
      <c r="G1554" s="2646" t="s">
        <v>2088</v>
      </c>
      <c r="H1554" s="2646" t="s">
        <v>2088</v>
      </c>
      <c r="I1554" s="2646" t="s">
        <v>2088</v>
      </c>
      <c r="J1554" s="2646">
        <v>12.2</v>
      </c>
      <c r="L1554" s="2646" t="s">
        <v>3692</v>
      </c>
    </row>
    <row r="1555" spans="1:12">
      <c r="A1555" s="2647" t="s">
        <v>99</v>
      </c>
      <c r="B1555" s="2647">
        <v>352932</v>
      </c>
      <c r="C1555" s="2647">
        <v>160</v>
      </c>
      <c r="D1555" s="2647">
        <v>220</v>
      </c>
      <c r="E1555" s="2647">
        <v>86</v>
      </c>
      <c r="F1555" s="2647" t="s">
        <v>2088</v>
      </c>
      <c r="G1555" s="2647" t="s">
        <v>2088</v>
      </c>
      <c r="H1555" s="2647" t="s">
        <v>2088</v>
      </c>
      <c r="I1555" s="2647" t="s">
        <v>2088</v>
      </c>
      <c r="J1555" s="2647">
        <v>10.4</v>
      </c>
      <c r="K1555" s="2648"/>
      <c r="L1555" s="2647" t="s">
        <v>3693</v>
      </c>
    </row>
    <row r="1556" spans="1:12">
      <c r="A1556" s="2646" t="s">
        <v>99</v>
      </c>
      <c r="B1556" s="2646">
        <v>352930</v>
      </c>
      <c r="C1556" s="2646">
        <v>150</v>
      </c>
      <c r="D1556" s="2646">
        <v>210</v>
      </c>
      <c r="E1556" s="2646">
        <v>86</v>
      </c>
      <c r="F1556" s="2646" t="s">
        <v>2088</v>
      </c>
      <c r="G1556" s="2646" t="s">
        <v>2088</v>
      </c>
      <c r="H1556" s="2646" t="s">
        <v>2088</v>
      </c>
      <c r="I1556" s="2646" t="s">
        <v>2088</v>
      </c>
      <c r="J1556" s="2646">
        <v>9.32</v>
      </c>
      <c r="L1556" s="2646">
        <v>2097930</v>
      </c>
    </row>
    <row r="1557" spans="1:12">
      <c r="A1557" s="2647" t="s">
        <v>99</v>
      </c>
      <c r="B1557" s="2647" t="s">
        <v>3694</v>
      </c>
      <c r="C1557" s="2647">
        <v>260</v>
      </c>
      <c r="D1557" s="2647">
        <v>400</v>
      </c>
      <c r="E1557" s="2647">
        <v>186</v>
      </c>
      <c r="F1557" s="2647" t="s">
        <v>2088</v>
      </c>
      <c r="G1557" s="2647" t="s">
        <v>2088</v>
      </c>
      <c r="H1557" s="2647" t="s">
        <v>2088</v>
      </c>
      <c r="I1557" s="2647" t="s">
        <v>2088</v>
      </c>
      <c r="J1557" s="2647">
        <v>79.3</v>
      </c>
      <c r="K1557" s="2648"/>
      <c r="L1557" s="2647">
        <v>2097152</v>
      </c>
    </row>
    <row r="1558" spans="1:12">
      <c r="A1558" s="2646" t="s">
        <v>99</v>
      </c>
      <c r="B1558" s="2646" t="s">
        <v>3695</v>
      </c>
      <c r="C1558" s="2646">
        <v>240</v>
      </c>
      <c r="D1558" s="2646">
        <v>360</v>
      </c>
      <c r="E1558" s="2646">
        <v>165</v>
      </c>
      <c r="F1558" s="2646" t="s">
        <v>2088</v>
      </c>
      <c r="G1558" s="2646" t="s">
        <v>2088</v>
      </c>
      <c r="H1558" s="2646" t="s">
        <v>2088</v>
      </c>
      <c r="I1558" s="2646" t="s">
        <v>2088</v>
      </c>
      <c r="J1558" s="2646">
        <v>53.9</v>
      </c>
      <c r="L1558" s="2646">
        <v>2097148</v>
      </c>
    </row>
    <row r="1559" spans="1:12">
      <c r="A1559" s="2647" t="s">
        <v>99</v>
      </c>
      <c r="B1559" s="2647" t="s">
        <v>3696</v>
      </c>
      <c r="C1559" s="2647">
        <v>240</v>
      </c>
      <c r="D1559" s="2647">
        <v>360</v>
      </c>
      <c r="E1559" s="2647">
        <v>165</v>
      </c>
      <c r="F1559" s="2647" t="s">
        <v>2088</v>
      </c>
      <c r="G1559" s="2647" t="s">
        <v>2088</v>
      </c>
      <c r="H1559" s="2647" t="s">
        <v>2088</v>
      </c>
      <c r="I1559" s="2647" t="s">
        <v>2088</v>
      </c>
      <c r="J1559" s="2647">
        <v>52.8</v>
      </c>
      <c r="K1559" s="2648"/>
      <c r="L1559" s="2647">
        <v>2097148</v>
      </c>
    </row>
    <row r="1560" spans="1:12">
      <c r="A1560" s="2646" t="s">
        <v>99</v>
      </c>
      <c r="B1560" s="2646" t="s">
        <v>3697</v>
      </c>
      <c r="C1560" s="2646">
        <v>220</v>
      </c>
      <c r="D1560" s="2646">
        <v>340</v>
      </c>
      <c r="E1560" s="2646">
        <v>165</v>
      </c>
      <c r="F1560" s="2646" t="s">
        <v>2088</v>
      </c>
      <c r="G1560" s="2646" t="s">
        <v>2088</v>
      </c>
      <c r="H1560" s="2646" t="s">
        <v>2088</v>
      </c>
      <c r="I1560" s="2646" t="s">
        <v>2088</v>
      </c>
      <c r="J1560" s="2646">
        <v>49.6</v>
      </c>
      <c r="L1560" s="2646">
        <v>2097144</v>
      </c>
    </row>
    <row r="1561" spans="1:12">
      <c r="A1561" s="2647" t="s">
        <v>99</v>
      </c>
      <c r="B1561" s="2647" t="s">
        <v>3698</v>
      </c>
      <c r="C1561" s="2647">
        <v>220</v>
      </c>
      <c r="D1561" s="2647">
        <v>340</v>
      </c>
      <c r="E1561" s="2647">
        <v>165</v>
      </c>
      <c r="F1561" s="2647" t="s">
        <v>2088</v>
      </c>
      <c r="G1561" s="2647" t="s">
        <v>2088</v>
      </c>
      <c r="H1561" s="2647" t="s">
        <v>2088</v>
      </c>
      <c r="I1561" s="2647" t="s">
        <v>2088</v>
      </c>
      <c r="J1561" s="2647">
        <v>47.7</v>
      </c>
      <c r="K1561" s="2648"/>
      <c r="L1561" s="2647">
        <v>2097144</v>
      </c>
    </row>
    <row r="1562" spans="1:12">
      <c r="A1562" s="2646" t="s">
        <v>99</v>
      </c>
      <c r="B1562" s="2646" t="s">
        <v>3699</v>
      </c>
      <c r="C1562" s="2646">
        <v>200</v>
      </c>
      <c r="D1562" s="2646">
        <v>310</v>
      </c>
      <c r="E1562" s="2646">
        <v>152</v>
      </c>
      <c r="F1562" s="2646" t="s">
        <v>2088</v>
      </c>
      <c r="G1562" s="2646" t="s">
        <v>2088</v>
      </c>
      <c r="H1562" s="2646" t="s">
        <v>2088</v>
      </c>
      <c r="I1562" s="2646" t="s">
        <v>2088</v>
      </c>
      <c r="J1562" s="2646">
        <v>38.5</v>
      </c>
      <c r="L1562" s="2646">
        <v>2097140</v>
      </c>
    </row>
    <row r="1563" spans="1:12">
      <c r="A1563" s="2647" t="s">
        <v>99</v>
      </c>
      <c r="B1563" s="2647" t="s">
        <v>3700</v>
      </c>
      <c r="C1563" s="2647">
        <v>200</v>
      </c>
      <c r="D1563" s="2647">
        <v>310</v>
      </c>
      <c r="E1563" s="2647">
        <v>152</v>
      </c>
      <c r="F1563" s="2647" t="s">
        <v>2088</v>
      </c>
      <c r="G1563" s="2647" t="s">
        <v>2088</v>
      </c>
      <c r="H1563" s="2647" t="s">
        <v>2088</v>
      </c>
      <c r="I1563" s="2647" t="s">
        <v>2088</v>
      </c>
      <c r="J1563" s="2647">
        <v>39.04</v>
      </c>
      <c r="K1563" s="2648"/>
      <c r="L1563" s="2647">
        <v>2097140</v>
      </c>
    </row>
    <row r="1564" spans="1:12">
      <c r="A1564" s="2646" t="s">
        <v>99</v>
      </c>
      <c r="B1564" s="2646" t="s">
        <v>3701</v>
      </c>
      <c r="C1564" s="2646">
        <v>180</v>
      </c>
      <c r="D1564" s="2646">
        <v>280</v>
      </c>
      <c r="E1564" s="2646">
        <v>134</v>
      </c>
      <c r="F1564" s="2646" t="s">
        <v>2088</v>
      </c>
      <c r="G1564" s="2646" t="s">
        <v>2088</v>
      </c>
      <c r="H1564" s="2646" t="s">
        <v>2088</v>
      </c>
      <c r="I1564" s="2646" t="s">
        <v>2088</v>
      </c>
      <c r="J1564" s="2646">
        <v>28.5</v>
      </c>
      <c r="L1564" s="2646">
        <v>2097136</v>
      </c>
    </row>
    <row r="1565" spans="1:12">
      <c r="A1565" s="2647" t="s">
        <v>99</v>
      </c>
      <c r="B1565" s="2647" t="s">
        <v>3702</v>
      </c>
      <c r="C1565" s="2647">
        <v>170</v>
      </c>
      <c r="D1565" s="2647">
        <v>260</v>
      </c>
      <c r="E1565" s="2647">
        <v>120</v>
      </c>
      <c r="F1565" s="2647" t="s">
        <v>2088</v>
      </c>
      <c r="G1565" s="2647" t="s">
        <v>2088</v>
      </c>
      <c r="H1565" s="2647" t="s">
        <v>2088</v>
      </c>
      <c r="I1565" s="2647" t="s">
        <v>2088</v>
      </c>
      <c r="J1565" s="2647">
        <v>20</v>
      </c>
      <c r="K1565" s="2648"/>
      <c r="L1565" s="2647">
        <v>2097134</v>
      </c>
    </row>
    <row r="1566" spans="1:12">
      <c r="A1566" s="2646" t="s">
        <v>99</v>
      </c>
      <c r="B1566" s="2646" t="s">
        <v>3703</v>
      </c>
      <c r="C1566" s="2646">
        <v>170</v>
      </c>
      <c r="D1566" s="2646">
        <v>260</v>
      </c>
      <c r="E1566" s="2646">
        <v>120</v>
      </c>
      <c r="F1566" s="2646" t="s">
        <v>2088</v>
      </c>
      <c r="G1566" s="2646" t="s">
        <v>2088</v>
      </c>
      <c r="H1566" s="2646" t="s">
        <v>2088</v>
      </c>
      <c r="I1566" s="2646" t="s">
        <v>2088</v>
      </c>
      <c r="J1566" s="2646">
        <v>20.399999999999999</v>
      </c>
      <c r="L1566" s="2646">
        <v>2097134</v>
      </c>
    </row>
    <row r="1567" spans="1:12">
      <c r="A1567" s="2647" t="s">
        <v>99</v>
      </c>
      <c r="B1567" s="2647" t="s">
        <v>3704</v>
      </c>
      <c r="C1567" s="2647">
        <v>170</v>
      </c>
      <c r="D1567" s="2647">
        <v>260</v>
      </c>
      <c r="E1567" s="2647">
        <v>128</v>
      </c>
      <c r="F1567" s="2647" t="s">
        <v>2088</v>
      </c>
      <c r="G1567" s="2647" t="s">
        <v>2088</v>
      </c>
      <c r="H1567" s="2647" t="s">
        <v>2088</v>
      </c>
      <c r="I1567" s="2647" t="s">
        <v>2088</v>
      </c>
      <c r="J1567" s="2647">
        <v>21</v>
      </c>
      <c r="K1567" s="2648"/>
      <c r="L1567" s="2647" t="s">
        <v>3705</v>
      </c>
    </row>
    <row r="1568" spans="1:12">
      <c r="A1568" s="2646" t="s">
        <v>99</v>
      </c>
      <c r="B1568" s="2646" t="s">
        <v>3706</v>
      </c>
      <c r="C1568" s="2646">
        <v>160</v>
      </c>
      <c r="D1568" s="2646">
        <v>240</v>
      </c>
      <c r="E1568" s="2646">
        <v>115</v>
      </c>
      <c r="F1568" s="2646" t="s">
        <v>2088</v>
      </c>
      <c r="G1568" s="2646" t="s">
        <v>2088</v>
      </c>
      <c r="H1568" s="2646" t="s">
        <v>2088</v>
      </c>
      <c r="I1568" s="2646" t="s">
        <v>2088</v>
      </c>
      <c r="J1568" s="2646">
        <v>16.5</v>
      </c>
      <c r="L1568" s="2646">
        <v>2097132</v>
      </c>
    </row>
    <row r="1569" spans="1:12">
      <c r="A1569" s="2647" t="s">
        <v>99</v>
      </c>
      <c r="B1569" s="2647" t="s">
        <v>3707</v>
      </c>
      <c r="C1569" s="2647">
        <v>160</v>
      </c>
      <c r="D1569" s="2647">
        <v>240</v>
      </c>
      <c r="E1569" s="2647">
        <v>116</v>
      </c>
      <c r="F1569" s="2647" t="s">
        <v>2088</v>
      </c>
      <c r="G1569" s="2647" t="s">
        <v>2088</v>
      </c>
      <c r="H1569" s="2647" t="s">
        <v>2088</v>
      </c>
      <c r="I1569" s="2647" t="s">
        <v>2088</v>
      </c>
      <c r="J1569" s="2647">
        <v>16.899999999999999</v>
      </c>
      <c r="K1569" s="2648"/>
      <c r="L1569" s="2647" t="s">
        <v>2661</v>
      </c>
    </row>
    <row r="1570" spans="1:12">
      <c r="A1570" s="2646" t="s">
        <v>99</v>
      </c>
      <c r="B1570" s="2646" t="s">
        <v>3708</v>
      </c>
      <c r="C1570" s="2646">
        <v>150</v>
      </c>
      <c r="D1570" s="2646">
        <v>225</v>
      </c>
      <c r="E1570" s="2646">
        <v>105</v>
      </c>
      <c r="F1570" s="2646" t="s">
        <v>2088</v>
      </c>
      <c r="G1570" s="2646" t="s">
        <v>2088</v>
      </c>
      <c r="H1570" s="2646" t="s">
        <v>2088</v>
      </c>
      <c r="I1570" s="2646" t="s">
        <v>2088</v>
      </c>
      <c r="J1570" s="2646">
        <v>13.8</v>
      </c>
      <c r="L1570" s="2646">
        <v>2657130</v>
      </c>
    </row>
    <row r="1571" spans="1:12">
      <c r="A1571" s="2647" t="s">
        <v>99</v>
      </c>
      <c r="B1571" s="2647">
        <v>352030</v>
      </c>
      <c r="C1571" s="2647">
        <v>150</v>
      </c>
      <c r="D1571" s="2647">
        <v>225</v>
      </c>
      <c r="E1571" s="2647">
        <v>110</v>
      </c>
      <c r="F1571" s="2647" t="s">
        <v>2088</v>
      </c>
      <c r="G1571" s="2647" t="s">
        <v>2088</v>
      </c>
      <c r="H1571" s="2647" t="s">
        <v>2088</v>
      </c>
      <c r="I1571" s="2647" t="s">
        <v>2088</v>
      </c>
      <c r="J1571" s="2647">
        <v>0</v>
      </c>
      <c r="K1571" s="2648"/>
      <c r="L1571" s="2647" t="s">
        <v>3709</v>
      </c>
    </row>
    <row r="1572" spans="1:12">
      <c r="A1572" s="2646" t="s">
        <v>99</v>
      </c>
      <c r="B1572" s="2646" t="s">
        <v>3710</v>
      </c>
      <c r="C1572" s="2646">
        <v>140</v>
      </c>
      <c r="D1572" s="2646">
        <v>210</v>
      </c>
      <c r="E1572" s="2646">
        <v>95</v>
      </c>
      <c r="F1572" s="2646" t="s">
        <v>2088</v>
      </c>
      <c r="G1572" s="2646" t="s">
        <v>2088</v>
      </c>
      <c r="H1572" s="2646" t="s">
        <v>2088</v>
      </c>
      <c r="I1572" s="2646" t="s">
        <v>2088</v>
      </c>
      <c r="J1572" s="2646">
        <v>8.41</v>
      </c>
      <c r="L1572" s="2646">
        <v>2657128</v>
      </c>
    </row>
    <row r="1573" spans="1:12">
      <c r="A1573" s="2647" t="s">
        <v>99</v>
      </c>
      <c r="B1573" s="2647" t="s">
        <v>3711</v>
      </c>
      <c r="C1573" s="2647">
        <v>140</v>
      </c>
      <c r="D1573" s="2647">
        <v>210</v>
      </c>
      <c r="E1573" s="2647">
        <v>75</v>
      </c>
      <c r="F1573" s="2647" t="s">
        <v>2088</v>
      </c>
      <c r="G1573" s="2647" t="s">
        <v>2088</v>
      </c>
      <c r="H1573" s="2647" t="s">
        <v>2088</v>
      </c>
      <c r="I1573" s="2647" t="s">
        <v>2088</v>
      </c>
      <c r="J1573" s="2647">
        <v>10.3</v>
      </c>
      <c r="K1573" s="2648"/>
      <c r="L1573" s="2647" t="s">
        <v>3712</v>
      </c>
    </row>
    <row r="1574" spans="1:12">
      <c r="A1574" s="2646" t="s">
        <v>99</v>
      </c>
      <c r="B1574" s="2646" t="s">
        <v>3713</v>
      </c>
      <c r="C1574" s="2646">
        <v>140</v>
      </c>
      <c r="D1574" s="2646">
        <v>210</v>
      </c>
      <c r="E1574" s="2646">
        <v>95</v>
      </c>
      <c r="F1574" s="2646" t="s">
        <v>2088</v>
      </c>
      <c r="G1574" s="2646" t="s">
        <v>2088</v>
      </c>
      <c r="H1574" s="2646" t="s">
        <v>2088</v>
      </c>
      <c r="I1574" s="2646" t="s">
        <v>2088</v>
      </c>
      <c r="J1574" s="2646">
        <v>8.36</v>
      </c>
      <c r="L1574" s="2646">
        <v>2097128</v>
      </c>
    </row>
    <row r="1575" spans="1:12">
      <c r="A1575" s="2647" t="s">
        <v>99</v>
      </c>
      <c r="B1575" s="2647" t="s">
        <v>3714</v>
      </c>
      <c r="C1575" s="2647">
        <v>130</v>
      </c>
      <c r="D1575" s="2647">
        <v>200</v>
      </c>
      <c r="E1575" s="2647">
        <v>95</v>
      </c>
      <c r="F1575" s="2647" t="s">
        <v>2088</v>
      </c>
      <c r="G1575" s="2647" t="s">
        <v>2088</v>
      </c>
      <c r="H1575" s="2647" t="s">
        <v>2088</v>
      </c>
      <c r="I1575" s="2647" t="s">
        <v>2088</v>
      </c>
      <c r="J1575" s="2647">
        <v>9.7200000000000006</v>
      </c>
      <c r="K1575" s="2648"/>
      <c r="L1575" s="2647">
        <v>2097126</v>
      </c>
    </row>
    <row r="1576" spans="1:12">
      <c r="A1576" s="2646" t="s">
        <v>99</v>
      </c>
      <c r="B1576" s="2646" t="s">
        <v>3715</v>
      </c>
      <c r="C1576" s="2646">
        <v>120</v>
      </c>
      <c r="D1576" s="2646">
        <v>180</v>
      </c>
      <c r="E1576" s="2646">
        <v>67</v>
      </c>
      <c r="F1576" s="2646" t="s">
        <v>2088</v>
      </c>
      <c r="G1576" s="2646" t="s">
        <v>2088</v>
      </c>
      <c r="H1576" s="2646" t="s">
        <v>2088</v>
      </c>
      <c r="I1576" s="2646" t="s">
        <v>2088</v>
      </c>
      <c r="J1576" s="2646">
        <v>6.5579999999999998</v>
      </c>
      <c r="L1576" s="2646" t="s">
        <v>3716</v>
      </c>
    </row>
    <row r="1577" spans="1:12">
      <c r="A1577" s="2647" t="s">
        <v>99</v>
      </c>
      <c r="B1577" s="2647" t="s">
        <v>3717</v>
      </c>
      <c r="C1577" s="2647">
        <v>120</v>
      </c>
      <c r="D1577" s="2647">
        <v>180</v>
      </c>
      <c r="E1577" s="2647">
        <v>67</v>
      </c>
      <c r="F1577" s="2647" t="s">
        <v>2088</v>
      </c>
      <c r="G1577" s="2647" t="s">
        <v>2088</v>
      </c>
      <c r="H1577" s="2647" t="s">
        <v>2088</v>
      </c>
      <c r="I1577" s="2647" t="s">
        <v>2088</v>
      </c>
      <c r="J1577" s="2647">
        <v>7.1180000000000003</v>
      </c>
      <c r="K1577" s="2648"/>
      <c r="L1577" s="2647">
        <v>2657124</v>
      </c>
    </row>
    <row r="1578" spans="1:12">
      <c r="A1578" s="2646" t="s">
        <v>99</v>
      </c>
      <c r="B1578" s="2646">
        <v>352015</v>
      </c>
      <c r="C1578" s="2646">
        <v>75</v>
      </c>
      <c r="D1578" s="2646">
        <v>115</v>
      </c>
      <c r="E1578" s="2646">
        <v>58</v>
      </c>
      <c r="F1578" s="2646" t="s">
        <v>2088</v>
      </c>
      <c r="G1578" s="2646" t="s">
        <v>2088</v>
      </c>
      <c r="H1578" s="2646" t="s">
        <v>2088</v>
      </c>
      <c r="I1578" s="2646" t="s">
        <v>2088</v>
      </c>
      <c r="J1578" s="2646">
        <v>1.984</v>
      </c>
      <c r="L1578" s="2646" t="s">
        <v>3718</v>
      </c>
    </row>
    <row r="1579" spans="1:12">
      <c r="A1579" s="2647" t="s">
        <v>99</v>
      </c>
      <c r="B1579" s="2647" t="s">
        <v>3719</v>
      </c>
      <c r="C1579" s="2647">
        <v>100</v>
      </c>
      <c r="D1579" s="2647">
        <v>215</v>
      </c>
      <c r="E1579" s="2647">
        <v>78</v>
      </c>
      <c r="F1579" s="2647" t="s">
        <v>2088</v>
      </c>
      <c r="G1579" s="2647" t="s">
        <v>2088</v>
      </c>
      <c r="H1579" s="2647" t="s">
        <v>2088</v>
      </c>
      <c r="I1579" s="2647" t="s">
        <v>2088</v>
      </c>
      <c r="J1579" s="2647">
        <v>12.7</v>
      </c>
      <c r="K1579" s="2648"/>
      <c r="L1579" s="2647">
        <v>7620</v>
      </c>
    </row>
    <row r="1580" spans="1:12">
      <c r="A1580" s="2646" t="s">
        <v>99</v>
      </c>
      <c r="B1580" s="2646" t="s">
        <v>3720</v>
      </c>
      <c r="C1580" s="2646">
        <v>60</v>
      </c>
      <c r="D1580" s="2646">
        <v>130</v>
      </c>
      <c r="E1580" s="2646">
        <v>48.5</v>
      </c>
      <c r="F1580" s="2646" t="s">
        <v>2088</v>
      </c>
      <c r="G1580" s="2646" t="s">
        <v>2088</v>
      </c>
      <c r="H1580" s="2646" t="s">
        <v>2088</v>
      </c>
      <c r="I1580" s="2646" t="s">
        <v>2088</v>
      </c>
      <c r="J1580" s="2646">
        <v>2.99</v>
      </c>
      <c r="L1580" s="2646" t="s">
        <v>3721</v>
      </c>
    </row>
    <row r="1581" spans="1:12">
      <c r="A1581" s="2647" t="s">
        <v>99</v>
      </c>
      <c r="B1581" s="2647" t="s">
        <v>3722</v>
      </c>
      <c r="C1581" s="2647">
        <v>55</v>
      </c>
      <c r="D1581" s="2647">
        <v>120</v>
      </c>
      <c r="E1581" s="2647">
        <v>127</v>
      </c>
      <c r="F1581" s="2647" t="s">
        <v>2088</v>
      </c>
      <c r="G1581" s="2647" t="s">
        <v>2088</v>
      </c>
      <c r="H1581" s="2647" t="s">
        <v>2088</v>
      </c>
      <c r="I1581" s="2647" t="s">
        <v>2088</v>
      </c>
      <c r="J1581" s="2647">
        <v>2.5</v>
      </c>
      <c r="K1581" s="2648"/>
      <c r="L1581" s="2647" t="s">
        <v>2088</v>
      </c>
    </row>
    <row r="1582" spans="1:12">
      <c r="A1582" s="2646" t="s">
        <v>99</v>
      </c>
      <c r="B1582" s="2646" t="s">
        <v>3723</v>
      </c>
      <c r="C1582" s="2646">
        <v>50</v>
      </c>
      <c r="D1582" s="2646">
        <v>110</v>
      </c>
      <c r="E1582" s="2646">
        <v>29</v>
      </c>
      <c r="F1582" s="2646" t="s">
        <v>2088</v>
      </c>
      <c r="G1582" s="2646" t="s">
        <v>2088</v>
      </c>
      <c r="H1582" s="2646" t="s">
        <v>2088</v>
      </c>
      <c r="I1582" s="2646" t="s">
        <v>2088</v>
      </c>
      <c r="J1582" s="2646">
        <v>0</v>
      </c>
      <c r="L1582" s="2646" t="s">
        <v>3724</v>
      </c>
    </row>
    <row r="1583" spans="1:12">
      <c r="A1583" s="2647" t="s">
        <v>99</v>
      </c>
      <c r="B1583" s="2647" t="s">
        <v>3725</v>
      </c>
      <c r="C1583" s="2647">
        <v>50</v>
      </c>
      <c r="D1583" s="2647">
        <v>110</v>
      </c>
      <c r="E1583" s="2647">
        <v>42.25</v>
      </c>
      <c r="F1583" s="2647" t="s">
        <v>2088</v>
      </c>
      <c r="G1583" s="2647" t="s">
        <v>2088</v>
      </c>
      <c r="H1583" s="2647" t="s">
        <v>2088</v>
      </c>
      <c r="I1583" s="2647" t="s">
        <v>2088</v>
      </c>
      <c r="J1583" s="2647">
        <v>1.88</v>
      </c>
      <c r="K1583" s="2648"/>
      <c r="L1583" s="2647" t="s">
        <v>3726</v>
      </c>
    </row>
    <row r="1584" spans="1:12">
      <c r="A1584" s="2646" t="s">
        <v>99</v>
      </c>
      <c r="B1584" s="2646" t="s">
        <v>3727</v>
      </c>
      <c r="C1584" s="2646">
        <v>45</v>
      </c>
      <c r="D1584" s="2646">
        <v>100</v>
      </c>
      <c r="E1584" s="2646">
        <v>38.25</v>
      </c>
      <c r="F1584" s="2646" t="s">
        <v>2088</v>
      </c>
      <c r="G1584" s="2646" t="s">
        <v>2088</v>
      </c>
      <c r="H1584" s="2646" t="s">
        <v>2088</v>
      </c>
      <c r="I1584" s="2646" t="s">
        <v>2088</v>
      </c>
      <c r="J1584" s="2646">
        <v>1.4990000000000001</v>
      </c>
      <c r="L1584" s="2646" t="s">
        <v>2088</v>
      </c>
    </row>
    <row r="1585" spans="1:12">
      <c r="A1585" s="2647" t="s">
        <v>99</v>
      </c>
      <c r="B1585" s="2647" t="s">
        <v>3728</v>
      </c>
      <c r="C1585" s="2647">
        <v>40</v>
      </c>
      <c r="D1585" s="2647">
        <v>90</v>
      </c>
      <c r="E1585" s="2647">
        <v>35.25</v>
      </c>
      <c r="F1585" s="2647" t="s">
        <v>2088</v>
      </c>
      <c r="G1585" s="2647" t="s">
        <v>2088</v>
      </c>
      <c r="H1585" s="2647" t="s">
        <v>2088</v>
      </c>
      <c r="I1585" s="2647" t="s">
        <v>2088</v>
      </c>
      <c r="J1585" s="2647">
        <v>1.02</v>
      </c>
      <c r="K1585" s="2648"/>
      <c r="L1585" s="2647" t="s">
        <v>3729</v>
      </c>
    </row>
    <row r="1586" spans="1:12">
      <c r="A1586" s="2646" t="s">
        <v>99</v>
      </c>
      <c r="B1586" s="2646" t="s">
        <v>3730</v>
      </c>
      <c r="C1586" s="2646">
        <v>30</v>
      </c>
      <c r="D1586" s="2646">
        <v>72</v>
      </c>
      <c r="E1586" s="2646">
        <v>28.75</v>
      </c>
      <c r="F1586" s="2646" t="s">
        <v>2088</v>
      </c>
      <c r="G1586" s="2646" t="s">
        <v>2088</v>
      </c>
      <c r="H1586" s="2646" t="s">
        <v>2088</v>
      </c>
      <c r="I1586" s="2646" t="s">
        <v>2088</v>
      </c>
      <c r="J1586" s="2646">
        <v>0.69799999999999995</v>
      </c>
      <c r="L1586" s="2646" t="s">
        <v>2088</v>
      </c>
    </row>
    <row r="1587" spans="1:12">
      <c r="A1587" s="2647" t="s">
        <v>99</v>
      </c>
      <c r="B1587" s="2647" t="s">
        <v>3731</v>
      </c>
      <c r="C1587" s="2647">
        <v>32</v>
      </c>
      <c r="D1587" s="2647">
        <v>75</v>
      </c>
      <c r="E1587" s="2647">
        <v>29.75</v>
      </c>
      <c r="F1587" s="2647" t="s">
        <v>2088</v>
      </c>
      <c r="G1587" s="2647" t="s">
        <v>2088</v>
      </c>
      <c r="H1587" s="2647" t="s">
        <v>2088</v>
      </c>
      <c r="I1587" s="2647" t="s">
        <v>2088</v>
      </c>
      <c r="J1587" s="2647">
        <v>0</v>
      </c>
      <c r="K1587" s="2648"/>
      <c r="L1587" s="2647" t="s">
        <v>2088</v>
      </c>
    </row>
    <row r="1588" spans="1:12">
      <c r="A1588" s="2646" t="s">
        <v>99</v>
      </c>
      <c r="B1588" s="2646" t="s">
        <v>3732</v>
      </c>
      <c r="C1588" s="2646">
        <v>32</v>
      </c>
      <c r="D1588" s="2646">
        <v>75</v>
      </c>
      <c r="E1588" s="2646">
        <v>29.75</v>
      </c>
      <c r="F1588" s="2646" t="s">
        <v>2088</v>
      </c>
      <c r="G1588" s="2646" t="s">
        <v>2088</v>
      </c>
      <c r="H1588" s="2646" t="s">
        <v>2088</v>
      </c>
      <c r="I1588" s="2646" t="s">
        <v>2088</v>
      </c>
      <c r="J1588" s="2646">
        <v>0.64700000000000002</v>
      </c>
      <c r="L1588" s="2646" t="s">
        <v>3733</v>
      </c>
    </row>
    <row r="1589" spans="1:12">
      <c r="A1589" s="2647" t="s">
        <v>99</v>
      </c>
      <c r="B1589" s="2647" t="s">
        <v>3734</v>
      </c>
      <c r="C1589" s="2647">
        <v>50</v>
      </c>
      <c r="D1589" s="2647">
        <v>90</v>
      </c>
      <c r="E1589" s="2647">
        <v>24.75</v>
      </c>
      <c r="F1589" s="2647" t="s">
        <v>2088</v>
      </c>
      <c r="G1589" s="2647" t="s">
        <v>2088</v>
      </c>
      <c r="H1589" s="2647" t="s">
        <v>2088</v>
      </c>
      <c r="I1589" s="2647" t="s">
        <v>2088</v>
      </c>
      <c r="J1589" s="2647">
        <v>0.66800000000000004</v>
      </c>
      <c r="K1589" s="2648"/>
      <c r="L1589" s="2647">
        <v>67510</v>
      </c>
    </row>
    <row r="1590" spans="1:12">
      <c r="A1590" s="2646" t="s">
        <v>99</v>
      </c>
      <c r="B1590" s="2646" t="s">
        <v>3735</v>
      </c>
      <c r="C1590" s="2646">
        <v>45</v>
      </c>
      <c r="D1590" s="2646">
        <v>85</v>
      </c>
      <c r="E1590" s="2646">
        <v>24.75</v>
      </c>
      <c r="F1590" s="2646" t="s">
        <v>2088</v>
      </c>
      <c r="G1590" s="2646" t="s">
        <v>2088</v>
      </c>
      <c r="H1590" s="2646" t="s">
        <v>2088</v>
      </c>
      <c r="I1590" s="2646" t="s">
        <v>2088</v>
      </c>
      <c r="J1590" s="2646">
        <v>0.60599999999999998</v>
      </c>
      <c r="L1590" s="2646">
        <v>67509</v>
      </c>
    </row>
    <row r="1591" spans="1:12">
      <c r="A1591" s="2647" t="s">
        <v>99</v>
      </c>
      <c r="B1591" s="2647" t="s">
        <v>3736</v>
      </c>
      <c r="C1591" s="2647">
        <v>40</v>
      </c>
      <c r="D1591" s="2647">
        <v>80</v>
      </c>
      <c r="E1591" s="2647">
        <v>24.75</v>
      </c>
      <c r="F1591" s="2647" t="s">
        <v>2088</v>
      </c>
      <c r="G1591" s="2647" t="s">
        <v>2088</v>
      </c>
      <c r="H1591" s="2647" t="s">
        <v>2088</v>
      </c>
      <c r="I1591" s="2647" t="s">
        <v>2088</v>
      </c>
      <c r="J1591" s="2647">
        <v>0.54900000000000004</v>
      </c>
      <c r="K1591" s="2648"/>
      <c r="L1591" s="2647">
        <v>67508</v>
      </c>
    </row>
    <row r="1592" spans="1:12">
      <c r="A1592" s="2646" t="s">
        <v>99</v>
      </c>
      <c r="B1592" s="2646" t="s">
        <v>3737</v>
      </c>
      <c r="C1592" s="2646">
        <v>140</v>
      </c>
      <c r="D1592" s="2646">
        <v>210</v>
      </c>
      <c r="E1592" s="2646">
        <v>90</v>
      </c>
      <c r="F1592" s="2646" t="s">
        <v>2088</v>
      </c>
      <c r="G1592" s="2646" t="s">
        <v>2088</v>
      </c>
      <c r="H1592" s="2646" t="s">
        <v>2088</v>
      </c>
      <c r="I1592" s="2646" t="s">
        <v>2088</v>
      </c>
      <c r="J1592" s="2646">
        <v>12</v>
      </c>
      <c r="L1592" s="2646">
        <v>2047128</v>
      </c>
    </row>
    <row r="1593" spans="1:12">
      <c r="A1593" s="2647" t="s">
        <v>99</v>
      </c>
      <c r="B1593" s="2647" t="s">
        <v>3738</v>
      </c>
      <c r="C1593" s="2647">
        <v>130</v>
      </c>
      <c r="D1593" s="2647">
        <v>280</v>
      </c>
      <c r="E1593" s="2647">
        <v>144</v>
      </c>
      <c r="F1593" s="2647" t="s">
        <v>2088</v>
      </c>
      <c r="G1593" s="2647" t="s">
        <v>2088</v>
      </c>
      <c r="H1593" s="2647" t="s">
        <v>2088</v>
      </c>
      <c r="I1593" s="2647" t="s">
        <v>2088</v>
      </c>
      <c r="J1593" s="2647">
        <v>40.799999999999997</v>
      </c>
      <c r="K1593" s="2648"/>
      <c r="L1593" s="2647" t="s">
        <v>2088</v>
      </c>
    </row>
    <row r="1594" spans="1:12">
      <c r="A1594" s="2646" t="s">
        <v>99</v>
      </c>
      <c r="B1594" s="2646" t="s">
        <v>3739</v>
      </c>
      <c r="C1594" s="2646">
        <v>70</v>
      </c>
      <c r="D1594" s="2646">
        <v>150</v>
      </c>
      <c r="E1594" s="2646">
        <v>38</v>
      </c>
      <c r="F1594" s="2646" t="s">
        <v>2088</v>
      </c>
      <c r="G1594" s="2646" t="s">
        <v>2088</v>
      </c>
      <c r="H1594" s="2646" t="s">
        <v>2088</v>
      </c>
      <c r="I1594" s="2646" t="s">
        <v>2088</v>
      </c>
      <c r="J1594" s="2646">
        <v>0</v>
      </c>
      <c r="L1594" s="2646" t="s">
        <v>3740</v>
      </c>
    </row>
    <row r="1595" spans="1:12">
      <c r="A1595" s="2647" t="s">
        <v>99</v>
      </c>
      <c r="B1595" s="2647" t="s">
        <v>3741</v>
      </c>
      <c r="C1595" s="2647">
        <v>65</v>
      </c>
      <c r="D1595" s="2647">
        <v>140</v>
      </c>
      <c r="E1595" s="2647">
        <v>36</v>
      </c>
      <c r="F1595" s="2647" t="s">
        <v>2088</v>
      </c>
      <c r="G1595" s="2647" t="s">
        <v>2088</v>
      </c>
      <c r="H1595" s="2647" t="s">
        <v>2088</v>
      </c>
      <c r="I1595" s="2647" t="s">
        <v>2088</v>
      </c>
      <c r="J1595" s="2647">
        <v>2.39</v>
      </c>
      <c r="K1595" s="2648"/>
      <c r="L1595" s="2647" t="s">
        <v>3742</v>
      </c>
    </row>
    <row r="1596" spans="1:12">
      <c r="A1596" s="2646" t="s">
        <v>99</v>
      </c>
      <c r="B1596" s="2646" t="s">
        <v>3743</v>
      </c>
      <c r="C1596" s="2646">
        <v>55</v>
      </c>
      <c r="D1596" s="2646">
        <v>120</v>
      </c>
      <c r="E1596" s="2646">
        <v>31.5</v>
      </c>
      <c r="F1596" s="2646" t="s">
        <v>2088</v>
      </c>
      <c r="G1596" s="2646" t="s">
        <v>2088</v>
      </c>
      <c r="H1596" s="2646" t="s">
        <v>2088</v>
      </c>
      <c r="I1596" s="2646" t="s">
        <v>2088</v>
      </c>
      <c r="J1596" s="2646">
        <v>1.55</v>
      </c>
      <c r="L1596" s="2646" t="s">
        <v>3744</v>
      </c>
    </row>
    <row r="1597" spans="1:12">
      <c r="A1597" s="2647" t="s">
        <v>99</v>
      </c>
      <c r="B1597" s="2647" t="s">
        <v>3745</v>
      </c>
      <c r="C1597" s="2647">
        <v>55</v>
      </c>
      <c r="D1597" s="2647">
        <v>120</v>
      </c>
      <c r="E1597" s="2647">
        <v>31.5</v>
      </c>
      <c r="F1597" s="2647" t="s">
        <v>2088</v>
      </c>
      <c r="G1597" s="2647" t="s">
        <v>2088</v>
      </c>
      <c r="H1597" s="2647" t="s">
        <v>2088</v>
      </c>
      <c r="I1597" s="2647" t="s">
        <v>2088</v>
      </c>
      <c r="J1597" s="2647">
        <v>0</v>
      </c>
      <c r="K1597" s="2648"/>
      <c r="L1597" s="2647" t="s">
        <v>3744</v>
      </c>
    </row>
    <row r="1598" spans="1:12">
      <c r="A1598" s="2646" t="s">
        <v>99</v>
      </c>
      <c r="B1598" s="2646" t="s">
        <v>3746</v>
      </c>
      <c r="C1598" s="2646">
        <v>30</v>
      </c>
      <c r="D1598" s="2646">
        <v>72</v>
      </c>
      <c r="E1598" s="2646">
        <v>20.75</v>
      </c>
      <c r="F1598" s="2646" t="s">
        <v>2088</v>
      </c>
      <c r="G1598" s="2646" t="s">
        <v>2088</v>
      </c>
      <c r="H1598" s="2646" t="s">
        <v>2088</v>
      </c>
      <c r="I1598" s="2646" t="s">
        <v>2088</v>
      </c>
      <c r="J1598" s="2646">
        <v>0.39800000000000002</v>
      </c>
      <c r="L1598" s="2646" t="s">
        <v>2088</v>
      </c>
    </row>
    <row r="1599" spans="1:12">
      <c r="A1599" s="2647" t="s">
        <v>99</v>
      </c>
      <c r="B1599" s="2647" t="s">
        <v>3747</v>
      </c>
      <c r="C1599" s="2647">
        <v>400</v>
      </c>
      <c r="D1599" s="2647">
        <v>545</v>
      </c>
      <c r="E1599" s="2647">
        <v>76.2</v>
      </c>
      <c r="F1599" s="2647" t="s">
        <v>2088</v>
      </c>
      <c r="G1599" s="2647" t="s">
        <v>2088</v>
      </c>
      <c r="H1599" s="2647" t="s">
        <v>2088</v>
      </c>
      <c r="I1599" s="2647" t="s">
        <v>2088</v>
      </c>
      <c r="J1599" s="2647">
        <v>42</v>
      </c>
      <c r="K1599" s="2648"/>
      <c r="L1599" s="2647">
        <v>7980</v>
      </c>
    </row>
    <row r="1600" spans="1:12">
      <c r="A1600" s="2646" t="s">
        <v>99</v>
      </c>
      <c r="B1600" s="2646" t="s">
        <v>3748</v>
      </c>
      <c r="C1600" s="2646">
        <v>330.2</v>
      </c>
      <c r="D1600" s="2646">
        <v>482.64</v>
      </c>
      <c r="E1600" s="2646">
        <v>87</v>
      </c>
      <c r="F1600" s="2646" t="s">
        <v>2088</v>
      </c>
      <c r="G1600" s="2646" t="s">
        <v>2088</v>
      </c>
      <c r="H1600" s="2646" t="s">
        <v>2088</v>
      </c>
      <c r="I1600" s="2646" t="s">
        <v>2088</v>
      </c>
      <c r="J1600" s="2646">
        <v>37.200000000000003</v>
      </c>
      <c r="L1600" s="2646">
        <v>7766</v>
      </c>
    </row>
    <row r="1601" spans="1:12">
      <c r="A1601" s="2647" t="s">
        <v>99</v>
      </c>
      <c r="B1601" s="2647" t="s">
        <v>3749</v>
      </c>
      <c r="C1601" s="2647">
        <v>304.8</v>
      </c>
      <c r="D1601" s="2647">
        <v>546.1</v>
      </c>
      <c r="E1601" s="2647">
        <v>171.053</v>
      </c>
      <c r="F1601" s="2647" t="s">
        <v>2088</v>
      </c>
      <c r="G1601" s="2647" t="s">
        <v>2088</v>
      </c>
      <c r="H1601" s="2647" t="s">
        <v>2088</v>
      </c>
      <c r="I1601" s="2647" t="s">
        <v>2088</v>
      </c>
      <c r="J1601" s="2647">
        <v>175</v>
      </c>
      <c r="K1601" s="2648"/>
      <c r="L1601" s="2647">
        <v>7961</v>
      </c>
    </row>
    <row r="1602" spans="1:12">
      <c r="A1602" s="2646" t="s">
        <v>99</v>
      </c>
      <c r="B1602" s="2646" t="s">
        <v>3750</v>
      </c>
      <c r="C1602" s="2646">
        <v>276.22500000000002</v>
      </c>
      <c r="D1602" s="2646">
        <v>354.42500000000001</v>
      </c>
      <c r="E1602" s="2646">
        <v>36.512</v>
      </c>
      <c r="F1602" s="2646" t="s">
        <v>2088</v>
      </c>
      <c r="G1602" s="2646" t="s">
        <v>2088</v>
      </c>
      <c r="H1602" s="2646" t="s">
        <v>2088</v>
      </c>
      <c r="I1602" s="2646" t="s">
        <v>2088</v>
      </c>
      <c r="J1602" s="2646">
        <v>8.36</v>
      </c>
      <c r="L1602" s="2646" t="s">
        <v>3751</v>
      </c>
    </row>
    <row r="1603" spans="1:12">
      <c r="A1603" s="2647" t="s">
        <v>99</v>
      </c>
      <c r="B1603" s="2647" t="s">
        <v>3752</v>
      </c>
      <c r="C1603" s="2647">
        <v>260</v>
      </c>
      <c r="D1603" s="2647">
        <v>540</v>
      </c>
      <c r="E1603" s="2647">
        <v>114</v>
      </c>
      <c r="F1603" s="2647" t="s">
        <v>2088</v>
      </c>
      <c r="G1603" s="2647" t="s">
        <v>2088</v>
      </c>
      <c r="H1603" s="2647" t="s">
        <v>2088</v>
      </c>
      <c r="I1603" s="2647" t="s">
        <v>2088</v>
      </c>
      <c r="J1603" s="2647">
        <v>113</v>
      </c>
      <c r="K1603" s="2648"/>
      <c r="L1603" s="2647">
        <v>7352</v>
      </c>
    </row>
    <row r="1604" spans="1:12">
      <c r="A1604" s="2646" t="s">
        <v>99</v>
      </c>
      <c r="B1604" s="2646">
        <v>30348</v>
      </c>
      <c r="C1604" s="2646">
        <v>240</v>
      </c>
      <c r="D1604" s="2646">
        <v>500</v>
      </c>
      <c r="E1604" s="2646">
        <v>105</v>
      </c>
      <c r="F1604" s="2646" t="s">
        <v>2088</v>
      </c>
      <c r="G1604" s="2646" t="s">
        <v>2088</v>
      </c>
      <c r="H1604" s="2646" t="s">
        <v>2088</v>
      </c>
      <c r="I1604" s="2646" t="s">
        <v>2088</v>
      </c>
      <c r="J1604" s="2646">
        <v>88.9</v>
      </c>
      <c r="L1604" s="2646" t="s">
        <v>3753</v>
      </c>
    </row>
    <row r="1605" spans="1:12">
      <c r="A1605" s="2647" t="s">
        <v>99</v>
      </c>
      <c r="B1605" s="2647">
        <v>30344</v>
      </c>
      <c r="C1605" s="2647">
        <v>220</v>
      </c>
      <c r="D1605" s="2647">
        <v>460</v>
      </c>
      <c r="E1605" s="2647">
        <v>88</v>
      </c>
      <c r="F1605" s="2647">
        <v>1260</v>
      </c>
      <c r="G1605" s="2647">
        <v>1680</v>
      </c>
      <c r="H1605" s="2647">
        <v>730</v>
      </c>
      <c r="I1605" s="2647">
        <v>980</v>
      </c>
      <c r="J1605" s="2647">
        <v>69</v>
      </c>
      <c r="K1605" s="2648"/>
      <c r="L1605" s="2647" t="s">
        <v>3754</v>
      </c>
    </row>
    <row r="1606" spans="1:12">
      <c r="A1606" s="2646" t="s">
        <v>99</v>
      </c>
      <c r="B1606" s="2646">
        <v>30338</v>
      </c>
      <c r="C1606" s="2646">
        <v>190</v>
      </c>
      <c r="D1606" s="2646">
        <v>400</v>
      </c>
      <c r="E1606" s="2646">
        <v>78</v>
      </c>
      <c r="F1606" s="2646">
        <v>1010</v>
      </c>
      <c r="G1606" s="2646">
        <v>1250</v>
      </c>
      <c r="H1606" s="2646">
        <v>880</v>
      </c>
      <c r="I1606" s="2646">
        <v>1200</v>
      </c>
      <c r="J1606" s="2646">
        <v>46.2</v>
      </c>
      <c r="L1606" s="2646" t="s">
        <v>3755</v>
      </c>
    </row>
    <row r="1607" spans="1:12">
      <c r="A1607" s="2647" t="s">
        <v>99</v>
      </c>
      <c r="B1607" s="2647" t="s">
        <v>3756</v>
      </c>
      <c r="C1607" s="2647">
        <v>60</v>
      </c>
      <c r="D1607" s="2647">
        <v>135</v>
      </c>
      <c r="E1607" s="2647">
        <v>33.450000000000003</v>
      </c>
      <c r="F1607" s="2647" t="s">
        <v>2088</v>
      </c>
      <c r="G1607" s="2647" t="s">
        <v>2088</v>
      </c>
      <c r="H1607" s="2647" t="s">
        <v>2088</v>
      </c>
      <c r="I1607" s="2647" t="s">
        <v>2088</v>
      </c>
      <c r="J1607" s="2647">
        <v>2.0699999999999998</v>
      </c>
      <c r="K1607" s="2648"/>
      <c r="L1607" s="2647">
        <v>27712</v>
      </c>
    </row>
    <row r="1608" spans="1:12">
      <c r="A1608" s="2646" t="s">
        <v>99</v>
      </c>
      <c r="B1608" s="2646" t="s">
        <v>3757</v>
      </c>
      <c r="C1608" s="2646">
        <v>55</v>
      </c>
      <c r="D1608" s="2646">
        <v>125</v>
      </c>
      <c r="E1608" s="2646">
        <v>37</v>
      </c>
      <c r="F1608" s="2646" t="s">
        <v>2088</v>
      </c>
      <c r="G1608" s="2646" t="s">
        <v>2088</v>
      </c>
      <c r="H1608" s="2646" t="s">
        <v>2088</v>
      </c>
      <c r="I1608" s="2646" t="s">
        <v>2088</v>
      </c>
      <c r="J1608" s="2646">
        <v>0</v>
      </c>
      <c r="L1608" s="2646" t="s">
        <v>2466</v>
      </c>
    </row>
    <row r="1609" spans="1:12">
      <c r="A1609" s="2647" t="s">
        <v>99</v>
      </c>
      <c r="B1609" s="2647" t="s">
        <v>3758</v>
      </c>
      <c r="C1609" s="2647">
        <v>25</v>
      </c>
      <c r="D1609" s="2647">
        <v>62</v>
      </c>
      <c r="E1609" s="2647">
        <v>18.25</v>
      </c>
      <c r="F1609" s="2647" t="s">
        <v>2088</v>
      </c>
      <c r="G1609" s="2647" t="s">
        <v>2088</v>
      </c>
      <c r="H1609" s="2647" t="s">
        <v>2088</v>
      </c>
      <c r="I1609" s="2647" t="s">
        <v>2088</v>
      </c>
      <c r="J1609" s="2647">
        <v>0.22</v>
      </c>
      <c r="K1609" s="2648"/>
      <c r="L1609" s="2647" t="s">
        <v>2088</v>
      </c>
    </row>
    <row r="1610" spans="1:12">
      <c r="A1610" s="2646" t="s">
        <v>99</v>
      </c>
      <c r="B1610" s="2646" t="s">
        <v>3759</v>
      </c>
      <c r="C1610" s="2646">
        <v>50</v>
      </c>
      <c r="D1610" s="2646">
        <v>90</v>
      </c>
      <c r="E1610" s="2646">
        <v>21.75</v>
      </c>
      <c r="F1610" s="2646" t="s">
        <v>2088</v>
      </c>
      <c r="G1610" s="2646" t="s">
        <v>2088</v>
      </c>
      <c r="H1610" s="2646" t="s">
        <v>2088</v>
      </c>
      <c r="I1610" s="2646" t="s">
        <v>2088</v>
      </c>
      <c r="J1610" s="2646">
        <v>0.56100000000000005</v>
      </c>
      <c r="L1610" s="2646" t="s">
        <v>3760</v>
      </c>
    </row>
    <row r="1611" spans="1:12">
      <c r="A1611" s="2647" t="s">
        <v>99</v>
      </c>
      <c r="B1611" s="2647" t="s">
        <v>3761</v>
      </c>
      <c r="C1611" s="2647">
        <v>40</v>
      </c>
      <c r="D1611" s="2647">
        <v>85</v>
      </c>
      <c r="E1611" s="2647">
        <v>19.75</v>
      </c>
      <c r="F1611" s="2647" t="s">
        <v>2088</v>
      </c>
      <c r="G1611" s="2647" t="s">
        <v>2088</v>
      </c>
      <c r="H1611" s="2647" t="s">
        <v>2088</v>
      </c>
      <c r="I1611" s="2647" t="s">
        <v>2088</v>
      </c>
      <c r="J1611" s="2647">
        <v>0.442</v>
      </c>
      <c r="K1611" s="2648"/>
      <c r="L1611" s="2647" t="s">
        <v>3762</v>
      </c>
    </row>
    <row r="1612" spans="1:12">
      <c r="A1612" s="2646" t="s">
        <v>99</v>
      </c>
      <c r="B1612" s="2646" t="s">
        <v>3763</v>
      </c>
      <c r="C1612" s="2646">
        <v>73.816999999999993</v>
      </c>
      <c r="D1612" s="2646">
        <v>112.712</v>
      </c>
      <c r="E1612" s="2646">
        <v>25.4</v>
      </c>
      <c r="F1612" s="2646" t="s">
        <v>2088</v>
      </c>
      <c r="G1612" s="2646" t="s">
        <v>2088</v>
      </c>
      <c r="H1612" s="2646" t="s">
        <v>2088</v>
      </c>
      <c r="I1612" s="2646" t="s">
        <v>2088</v>
      </c>
      <c r="J1612" s="2646">
        <v>0</v>
      </c>
      <c r="L1612" s="2646" t="s">
        <v>2088</v>
      </c>
    </row>
    <row r="1613" spans="1:12">
      <c r="A1613" s="2647" t="s">
        <v>99</v>
      </c>
      <c r="B1613" s="2647" t="s">
        <v>3764</v>
      </c>
      <c r="C1613" s="2647">
        <v>73.025000000000006</v>
      </c>
      <c r="D1613" s="2647">
        <v>112.712</v>
      </c>
      <c r="E1613" s="2647">
        <v>25.4</v>
      </c>
      <c r="F1613" s="2647" t="s">
        <v>2088</v>
      </c>
      <c r="G1613" s="2647" t="s">
        <v>2088</v>
      </c>
      <c r="H1613" s="2647" t="s">
        <v>2088</v>
      </c>
      <c r="I1613" s="2647" t="s">
        <v>2088</v>
      </c>
      <c r="J1613" s="2647">
        <v>0.878</v>
      </c>
      <c r="K1613" s="2648"/>
      <c r="L1613" s="2647" t="s">
        <v>2088</v>
      </c>
    </row>
    <row r="1614" spans="1:12">
      <c r="A1614" s="2646" t="s">
        <v>99</v>
      </c>
      <c r="B1614" s="2646" t="s">
        <v>3765</v>
      </c>
      <c r="C1614" s="2646">
        <v>73.025000000000006</v>
      </c>
      <c r="D1614" s="2646">
        <v>112.712</v>
      </c>
      <c r="E1614" s="2646">
        <v>25.4</v>
      </c>
      <c r="F1614" s="2646" t="s">
        <v>2088</v>
      </c>
      <c r="G1614" s="2646" t="s">
        <v>2088</v>
      </c>
      <c r="H1614" s="2646" t="s">
        <v>2088</v>
      </c>
      <c r="I1614" s="2646" t="s">
        <v>2088</v>
      </c>
      <c r="J1614" s="2646">
        <v>0.86499999999999999</v>
      </c>
      <c r="L1614" s="2646" t="s">
        <v>2088</v>
      </c>
    </row>
    <row r="1615" spans="1:12">
      <c r="A1615" s="2647" t="s">
        <v>99</v>
      </c>
      <c r="B1615" s="2647" t="s">
        <v>3766</v>
      </c>
      <c r="C1615" s="2647">
        <v>69.849999999999994</v>
      </c>
      <c r="D1615" s="2647">
        <v>112.712</v>
      </c>
      <c r="E1615" s="2647">
        <v>25.4</v>
      </c>
      <c r="F1615" s="2647" t="s">
        <v>2088</v>
      </c>
      <c r="G1615" s="2647" t="s">
        <v>2088</v>
      </c>
      <c r="H1615" s="2647" t="s">
        <v>2088</v>
      </c>
      <c r="I1615" s="2647" t="s">
        <v>2088</v>
      </c>
      <c r="J1615" s="2647">
        <v>0</v>
      </c>
      <c r="K1615" s="2648"/>
      <c r="L1615" s="2647" t="s">
        <v>2088</v>
      </c>
    </row>
    <row r="1616" spans="1:12">
      <c r="A1616" s="2646" t="s">
        <v>99</v>
      </c>
      <c r="B1616" s="2646" t="s">
        <v>3767</v>
      </c>
      <c r="C1616" s="2646">
        <v>66.674999999999997</v>
      </c>
      <c r="D1616" s="2646">
        <v>107.95</v>
      </c>
      <c r="E1616" s="2646">
        <v>25.4</v>
      </c>
      <c r="F1616" s="2646" t="s">
        <v>2088</v>
      </c>
      <c r="G1616" s="2646" t="s">
        <v>2088</v>
      </c>
      <c r="H1616" s="2646" t="s">
        <v>2088</v>
      </c>
      <c r="I1616" s="2646" t="s">
        <v>2088</v>
      </c>
      <c r="J1616" s="2646">
        <v>0.86399999999999999</v>
      </c>
      <c r="L1616" s="2646" t="s">
        <v>2088</v>
      </c>
    </row>
    <row r="1617" spans="1:12">
      <c r="A1617" s="2647" t="s">
        <v>99</v>
      </c>
      <c r="B1617" s="2647" t="s">
        <v>3768</v>
      </c>
      <c r="C1617" s="2647">
        <v>66.674999999999997</v>
      </c>
      <c r="D1617" s="2647">
        <v>107.95</v>
      </c>
      <c r="E1617" s="2647">
        <v>25.4</v>
      </c>
      <c r="F1617" s="2647" t="s">
        <v>2088</v>
      </c>
      <c r="G1617" s="2647" t="s">
        <v>2088</v>
      </c>
      <c r="H1617" s="2647" t="s">
        <v>2088</v>
      </c>
      <c r="I1617" s="2647" t="s">
        <v>2088</v>
      </c>
      <c r="J1617" s="2647">
        <v>0.85299999999999998</v>
      </c>
      <c r="K1617" s="2648"/>
      <c r="L1617" s="2647" t="s">
        <v>2088</v>
      </c>
    </row>
    <row r="1618" spans="1:12">
      <c r="A1618" s="2646" t="s">
        <v>99</v>
      </c>
      <c r="B1618" s="2646" t="s">
        <v>3769</v>
      </c>
      <c r="C1618" s="2646">
        <v>63.5</v>
      </c>
      <c r="D1618" s="2646">
        <v>107.95</v>
      </c>
      <c r="E1618" s="2646">
        <v>25.4</v>
      </c>
      <c r="F1618" s="2646" t="s">
        <v>2088</v>
      </c>
      <c r="G1618" s="2646" t="s">
        <v>2088</v>
      </c>
      <c r="H1618" s="2646" t="s">
        <v>2088</v>
      </c>
      <c r="I1618" s="2646" t="s">
        <v>2088</v>
      </c>
      <c r="J1618" s="2646">
        <v>0.90100000000000002</v>
      </c>
      <c r="L1618" s="2646" t="s">
        <v>2088</v>
      </c>
    </row>
    <row r="1619" spans="1:12">
      <c r="A1619" s="2647" t="s">
        <v>99</v>
      </c>
      <c r="B1619" s="2647" t="s">
        <v>3770</v>
      </c>
      <c r="C1619" s="2647">
        <v>63.5</v>
      </c>
      <c r="D1619" s="2647">
        <v>107.95</v>
      </c>
      <c r="E1619" s="2647">
        <v>25.4</v>
      </c>
      <c r="F1619" s="2647" t="s">
        <v>2088</v>
      </c>
      <c r="G1619" s="2647" t="s">
        <v>2088</v>
      </c>
      <c r="H1619" s="2647" t="s">
        <v>2088</v>
      </c>
      <c r="I1619" s="2647" t="s">
        <v>2088</v>
      </c>
      <c r="J1619" s="2647">
        <v>0.90200000000000002</v>
      </c>
      <c r="K1619" s="2648"/>
      <c r="L1619" s="2647" t="s">
        <v>2088</v>
      </c>
    </row>
    <row r="1620" spans="1:12">
      <c r="A1620" s="2646" t="s">
        <v>99</v>
      </c>
      <c r="B1620" s="2646" t="s">
        <v>3771</v>
      </c>
      <c r="C1620" s="2646">
        <v>63.5</v>
      </c>
      <c r="D1620" s="2646">
        <v>107.95</v>
      </c>
      <c r="E1620" s="2646">
        <v>25.4</v>
      </c>
      <c r="F1620" s="2646" t="s">
        <v>2088</v>
      </c>
      <c r="G1620" s="2646" t="s">
        <v>2088</v>
      </c>
      <c r="H1620" s="2646" t="s">
        <v>2088</v>
      </c>
      <c r="I1620" s="2646" t="s">
        <v>2088</v>
      </c>
      <c r="J1620" s="2646">
        <v>0.91400000000000003</v>
      </c>
      <c r="L1620" s="2646" t="s">
        <v>2088</v>
      </c>
    </row>
    <row r="1621" spans="1:12">
      <c r="A1621" s="2647" t="s">
        <v>99</v>
      </c>
      <c r="B1621" s="2647" t="s">
        <v>3772</v>
      </c>
      <c r="C1621" s="2647">
        <v>63.5</v>
      </c>
      <c r="D1621" s="2647">
        <v>110</v>
      </c>
      <c r="E1621" s="2647">
        <v>25.4</v>
      </c>
      <c r="F1621" s="2647" t="s">
        <v>2088</v>
      </c>
      <c r="G1621" s="2647" t="s">
        <v>2088</v>
      </c>
      <c r="H1621" s="2647" t="s">
        <v>2088</v>
      </c>
      <c r="I1621" s="2647" t="s">
        <v>2088</v>
      </c>
      <c r="J1621" s="2647">
        <v>0.98199999999999998</v>
      </c>
      <c r="K1621" s="2648"/>
      <c r="L1621" s="2647" t="s">
        <v>2088</v>
      </c>
    </row>
    <row r="1622" spans="1:12">
      <c r="A1622" s="2646" t="s">
        <v>99</v>
      </c>
      <c r="B1622" s="2646" t="s">
        <v>3773</v>
      </c>
      <c r="C1622" s="2646">
        <v>63.5</v>
      </c>
      <c r="D1622" s="2646">
        <v>107.95</v>
      </c>
      <c r="E1622" s="2646">
        <v>25.4</v>
      </c>
      <c r="F1622" s="2646" t="s">
        <v>2088</v>
      </c>
      <c r="G1622" s="2646" t="s">
        <v>2088</v>
      </c>
      <c r="H1622" s="2646" t="s">
        <v>2088</v>
      </c>
      <c r="I1622" s="2646" t="s">
        <v>2088</v>
      </c>
      <c r="J1622" s="2646">
        <v>0</v>
      </c>
      <c r="L1622" s="2646" t="s">
        <v>2088</v>
      </c>
    </row>
    <row r="1623" spans="1:12">
      <c r="A1623" s="2647" t="s">
        <v>99</v>
      </c>
      <c r="B1623" s="2647" t="s">
        <v>3774</v>
      </c>
      <c r="C1623" s="2647">
        <v>66.674999999999997</v>
      </c>
      <c r="D1623" s="2647">
        <v>107.95</v>
      </c>
      <c r="E1623" s="2647">
        <v>19.05</v>
      </c>
      <c r="F1623" s="2647" t="s">
        <v>2088</v>
      </c>
      <c r="G1623" s="2647" t="s">
        <v>2088</v>
      </c>
      <c r="H1623" s="2647" t="s">
        <v>2088</v>
      </c>
      <c r="I1623" s="2647" t="s">
        <v>2088</v>
      </c>
      <c r="J1623" s="2647">
        <v>0.85</v>
      </c>
      <c r="K1623" s="2648"/>
      <c r="L1623" s="2647" t="s">
        <v>2088</v>
      </c>
    </row>
    <row r="1624" spans="1:12">
      <c r="A1624" s="2646" t="s">
        <v>99</v>
      </c>
      <c r="B1624" s="2646" t="s">
        <v>3775</v>
      </c>
      <c r="C1624" s="2646">
        <v>60.325000000000003</v>
      </c>
      <c r="D1624" s="2646">
        <v>101.6</v>
      </c>
      <c r="E1624" s="2646">
        <v>24.4</v>
      </c>
      <c r="F1624" s="2646" t="s">
        <v>2088</v>
      </c>
      <c r="G1624" s="2646" t="s">
        <v>2088</v>
      </c>
      <c r="H1624" s="2646" t="s">
        <v>2088</v>
      </c>
      <c r="I1624" s="2646" t="s">
        <v>2088</v>
      </c>
      <c r="J1624" s="2646">
        <v>0.81</v>
      </c>
      <c r="L1624" s="2646" t="s">
        <v>2088</v>
      </c>
    </row>
    <row r="1625" spans="1:12">
      <c r="A1625" s="2647" t="s">
        <v>99</v>
      </c>
      <c r="B1625" s="2647" t="s">
        <v>3776</v>
      </c>
      <c r="C1625" s="2647">
        <v>60.325000000000003</v>
      </c>
      <c r="D1625" s="2647">
        <v>100</v>
      </c>
      <c r="E1625" s="2647">
        <v>25.4</v>
      </c>
      <c r="F1625" s="2647" t="s">
        <v>2088</v>
      </c>
      <c r="G1625" s="2647" t="s">
        <v>2088</v>
      </c>
      <c r="H1625" s="2647" t="s">
        <v>2088</v>
      </c>
      <c r="I1625" s="2647" t="s">
        <v>2088</v>
      </c>
      <c r="J1625" s="2647">
        <v>0.81200000000000006</v>
      </c>
      <c r="K1625" s="2648"/>
      <c r="L1625" s="2647" t="s">
        <v>2088</v>
      </c>
    </row>
    <row r="1626" spans="1:12">
      <c r="A1626" s="2646" t="s">
        <v>99</v>
      </c>
      <c r="B1626" s="2646" t="s">
        <v>3777</v>
      </c>
      <c r="C1626" s="2646">
        <v>60.325000000000003</v>
      </c>
      <c r="D1626" s="2646">
        <v>101.6</v>
      </c>
      <c r="E1626" s="2646">
        <v>25.4</v>
      </c>
      <c r="F1626" s="2646" t="s">
        <v>2088</v>
      </c>
      <c r="G1626" s="2646" t="s">
        <v>2088</v>
      </c>
      <c r="H1626" s="2646" t="s">
        <v>2088</v>
      </c>
      <c r="I1626" s="2646" t="s">
        <v>2088</v>
      </c>
      <c r="J1626" s="2646">
        <v>0.85099999999999998</v>
      </c>
      <c r="L1626" s="2646" t="s">
        <v>2088</v>
      </c>
    </row>
    <row r="1627" spans="1:12">
      <c r="A1627" s="2647" t="s">
        <v>99</v>
      </c>
      <c r="B1627" s="2647" t="s">
        <v>3778</v>
      </c>
      <c r="C1627" s="2647">
        <v>60.325000000000003</v>
      </c>
      <c r="D1627" s="2647">
        <v>101.6</v>
      </c>
      <c r="E1627" s="2647">
        <v>25.4</v>
      </c>
      <c r="F1627" s="2647" t="s">
        <v>2088</v>
      </c>
      <c r="G1627" s="2647" t="s">
        <v>2088</v>
      </c>
      <c r="H1627" s="2647" t="s">
        <v>2088</v>
      </c>
      <c r="I1627" s="2647" t="s">
        <v>2088</v>
      </c>
      <c r="J1627" s="2647">
        <v>0.78500000000000003</v>
      </c>
      <c r="K1627" s="2648"/>
      <c r="L1627" s="2647" t="s">
        <v>2088</v>
      </c>
    </row>
    <row r="1628" spans="1:12">
      <c r="A1628" s="2646" t="s">
        <v>99</v>
      </c>
      <c r="B1628" s="2646" t="s">
        <v>3779</v>
      </c>
      <c r="C1628" s="2646">
        <v>57.15</v>
      </c>
      <c r="D1628" s="2646">
        <v>97.63</v>
      </c>
      <c r="E1628" s="2646">
        <v>24.608000000000001</v>
      </c>
      <c r="F1628" s="2646" t="s">
        <v>2088</v>
      </c>
      <c r="G1628" s="2646" t="s">
        <v>2088</v>
      </c>
      <c r="H1628" s="2646" t="s">
        <v>2088</v>
      </c>
      <c r="I1628" s="2646" t="s">
        <v>2088</v>
      </c>
      <c r="J1628" s="2646">
        <v>0.747</v>
      </c>
      <c r="L1628" s="2646" t="s">
        <v>2088</v>
      </c>
    </row>
    <row r="1629" spans="1:12">
      <c r="A1629" s="2647" t="s">
        <v>99</v>
      </c>
      <c r="B1629" s="2647" t="s">
        <v>3780</v>
      </c>
      <c r="C1629" s="2647">
        <v>55.561999999999998</v>
      </c>
      <c r="D1629" s="2647">
        <v>97.63</v>
      </c>
      <c r="E1629" s="2647">
        <v>24.608000000000001</v>
      </c>
      <c r="F1629" s="2647" t="s">
        <v>2088</v>
      </c>
      <c r="G1629" s="2647" t="s">
        <v>2088</v>
      </c>
      <c r="H1629" s="2647" t="s">
        <v>2088</v>
      </c>
      <c r="I1629" s="2647" t="s">
        <v>2088</v>
      </c>
      <c r="J1629" s="2647">
        <v>0.76</v>
      </c>
      <c r="K1629" s="2648"/>
      <c r="L1629" s="2647" t="s">
        <v>2088</v>
      </c>
    </row>
    <row r="1630" spans="1:12">
      <c r="A1630" s="2646" t="s">
        <v>99</v>
      </c>
      <c r="B1630" s="2646" t="s">
        <v>3781</v>
      </c>
      <c r="C1630" s="2646">
        <v>50</v>
      </c>
      <c r="D1630" s="2646">
        <v>101.5</v>
      </c>
      <c r="E1630" s="2646">
        <v>24.6</v>
      </c>
      <c r="F1630" s="2646" t="s">
        <v>2088</v>
      </c>
      <c r="G1630" s="2646" t="s">
        <v>2088</v>
      </c>
      <c r="H1630" s="2646" t="s">
        <v>2088</v>
      </c>
      <c r="I1630" s="2646" t="s">
        <v>2088</v>
      </c>
      <c r="J1630" s="2646">
        <v>0.86499999999999999</v>
      </c>
      <c r="L1630" s="2646" t="s">
        <v>2088</v>
      </c>
    </row>
    <row r="1631" spans="1:12">
      <c r="A1631" s="2647" t="s">
        <v>99</v>
      </c>
      <c r="B1631" s="2647" t="s">
        <v>3782</v>
      </c>
      <c r="C1631" s="2647">
        <v>52.387999999999998</v>
      </c>
      <c r="D1631" s="2647">
        <v>92.07</v>
      </c>
      <c r="E1631" s="2647">
        <v>25.4</v>
      </c>
      <c r="F1631" s="2647" t="s">
        <v>2088</v>
      </c>
      <c r="G1631" s="2647" t="s">
        <v>2088</v>
      </c>
      <c r="H1631" s="2647" t="s">
        <v>2088</v>
      </c>
      <c r="I1631" s="2647" t="s">
        <v>2088</v>
      </c>
      <c r="J1631" s="2647">
        <v>0.66800000000000004</v>
      </c>
      <c r="K1631" s="2648"/>
      <c r="L1631" s="2647" t="s">
        <v>2088</v>
      </c>
    </row>
    <row r="1632" spans="1:12">
      <c r="A1632" s="2646" t="s">
        <v>99</v>
      </c>
      <c r="B1632" s="2646" t="s">
        <v>3783</v>
      </c>
      <c r="C1632" s="2646">
        <v>52.387999999999998</v>
      </c>
      <c r="D1632" s="2646">
        <v>92.075000000000003</v>
      </c>
      <c r="E1632" s="2646">
        <v>24.608000000000001</v>
      </c>
      <c r="F1632" s="2646" t="s">
        <v>2088</v>
      </c>
      <c r="G1632" s="2646" t="s">
        <v>2088</v>
      </c>
      <c r="H1632" s="2646" t="s">
        <v>2088</v>
      </c>
      <c r="I1632" s="2646" t="s">
        <v>2088</v>
      </c>
      <c r="J1632" s="2646">
        <v>0.7</v>
      </c>
      <c r="L1632" s="2646" t="s">
        <v>2088</v>
      </c>
    </row>
    <row r="1633" spans="1:12">
      <c r="A1633" s="2647" t="s">
        <v>99</v>
      </c>
      <c r="B1633" s="2647" t="s">
        <v>3784</v>
      </c>
      <c r="C1633" s="2647">
        <v>40</v>
      </c>
      <c r="D1633" s="2647">
        <v>76.2</v>
      </c>
      <c r="E1633" s="2647">
        <v>20.638000000000002</v>
      </c>
      <c r="F1633" s="2647" t="s">
        <v>2088</v>
      </c>
      <c r="G1633" s="2647" t="s">
        <v>2088</v>
      </c>
      <c r="H1633" s="2647" t="s">
        <v>2088</v>
      </c>
      <c r="I1633" s="2647" t="s">
        <v>2088</v>
      </c>
      <c r="J1633" s="2647">
        <v>0.38300000000000001</v>
      </c>
      <c r="K1633" s="2648"/>
      <c r="L1633" s="2647" t="s">
        <v>2088</v>
      </c>
    </row>
    <row r="1634" spans="1:12">
      <c r="A1634" s="2646" t="s">
        <v>99</v>
      </c>
      <c r="B1634" s="2646" t="s">
        <v>3785</v>
      </c>
      <c r="C1634" s="2646">
        <v>34.924999999999997</v>
      </c>
      <c r="D1634" s="2646">
        <v>76.2</v>
      </c>
      <c r="E1634" s="2646">
        <v>23.812000000000001</v>
      </c>
      <c r="F1634" s="2646" t="s">
        <v>2088</v>
      </c>
      <c r="G1634" s="2646" t="s">
        <v>2088</v>
      </c>
      <c r="H1634" s="2646" t="s">
        <v>2088</v>
      </c>
      <c r="I1634" s="2646" t="s">
        <v>2088</v>
      </c>
      <c r="J1634" s="2646">
        <v>0</v>
      </c>
      <c r="L1634" s="2646" t="s">
        <v>2088</v>
      </c>
    </row>
    <row r="1635" spans="1:12">
      <c r="A1635" s="2647" t="s">
        <v>99</v>
      </c>
      <c r="B1635" s="2647" t="s">
        <v>3786</v>
      </c>
      <c r="C1635" s="2647">
        <v>36.487000000000002</v>
      </c>
      <c r="D1635" s="2647">
        <v>76.2</v>
      </c>
      <c r="E1635" s="2647">
        <v>23.812000000000001</v>
      </c>
      <c r="F1635" s="2647" t="s">
        <v>2088</v>
      </c>
      <c r="G1635" s="2647" t="s">
        <v>2088</v>
      </c>
      <c r="H1635" s="2647" t="s">
        <v>2088</v>
      </c>
      <c r="I1635" s="2647" t="s">
        <v>2088</v>
      </c>
      <c r="J1635" s="2647">
        <v>0</v>
      </c>
      <c r="K1635" s="2648"/>
      <c r="L1635" s="2647" t="s">
        <v>2088</v>
      </c>
    </row>
    <row r="1636" spans="1:12">
      <c r="A1636" s="2646" t="s">
        <v>99</v>
      </c>
      <c r="B1636" s="2646" t="s">
        <v>3787</v>
      </c>
      <c r="C1636" s="2646">
        <v>34.975000000000001</v>
      </c>
      <c r="D1636" s="2646">
        <v>76.2</v>
      </c>
      <c r="E1636" s="2646">
        <v>23.812000000000001</v>
      </c>
      <c r="F1636" s="2646" t="s">
        <v>2088</v>
      </c>
      <c r="G1636" s="2646" t="s">
        <v>2088</v>
      </c>
      <c r="H1636" s="2646" t="s">
        <v>2088</v>
      </c>
      <c r="I1636" s="2646" t="s">
        <v>2088</v>
      </c>
      <c r="J1636" s="2646">
        <v>0</v>
      </c>
      <c r="L1636" s="2646" t="s">
        <v>2088</v>
      </c>
    </row>
    <row r="1637" spans="1:12">
      <c r="A1637" s="2647" t="s">
        <v>99</v>
      </c>
      <c r="B1637" s="2647" t="s">
        <v>3788</v>
      </c>
      <c r="C1637" s="2647">
        <v>34.924999999999997</v>
      </c>
      <c r="D1637" s="2647">
        <v>76.2</v>
      </c>
      <c r="E1637" s="2647">
        <v>23.812000000000001</v>
      </c>
      <c r="F1637" s="2647" t="s">
        <v>2088</v>
      </c>
      <c r="G1637" s="2647" t="s">
        <v>2088</v>
      </c>
      <c r="H1637" s="2647" t="s">
        <v>2088</v>
      </c>
      <c r="I1637" s="2647" t="s">
        <v>2088</v>
      </c>
      <c r="J1637" s="2647">
        <v>0.53600000000000003</v>
      </c>
      <c r="K1637" s="2648"/>
      <c r="L1637" s="2647" t="s">
        <v>2088</v>
      </c>
    </row>
    <row r="1638" spans="1:12">
      <c r="A1638" s="2646" t="s">
        <v>99</v>
      </c>
      <c r="B1638" s="2646" t="s">
        <v>3789</v>
      </c>
      <c r="C1638" s="2646">
        <v>33.338000000000001</v>
      </c>
      <c r="D1638" s="2646">
        <v>76.2</v>
      </c>
      <c r="E1638" s="2646">
        <v>23.812000000000001</v>
      </c>
      <c r="F1638" s="2646" t="s">
        <v>2088</v>
      </c>
      <c r="G1638" s="2646" t="s">
        <v>2088</v>
      </c>
      <c r="H1638" s="2646" t="s">
        <v>2088</v>
      </c>
      <c r="I1638" s="2646" t="s">
        <v>2088</v>
      </c>
      <c r="J1638" s="2646">
        <v>0</v>
      </c>
      <c r="L1638" s="2646" t="s">
        <v>2088</v>
      </c>
    </row>
    <row r="1639" spans="1:12">
      <c r="A1639" s="2647" t="s">
        <v>99</v>
      </c>
      <c r="B1639" s="2647" t="s">
        <v>3790</v>
      </c>
      <c r="C1639" s="2647">
        <v>39.688000000000002</v>
      </c>
      <c r="D1639" s="2647">
        <v>73.025000000000006</v>
      </c>
      <c r="E1639" s="2647">
        <v>23.812000000000001</v>
      </c>
      <c r="F1639" s="2647" t="s">
        <v>2088</v>
      </c>
      <c r="G1639" s="2647" t="s">
        <v>2088</v>
      </c>
      <c r="H1639" s="2647" t="s">
        <v>2088</v>
      </c>
      <c r="I1639" s="2647" t="s">
        <v>2088</v>
      </c>
      <c r="J1639" s="2647">
        <v>0</v>
      </c>
      <c r="K1639" s="2648"/>
      <c r="L1639" s="2647" t="s">
        <v>2088</v>
      </c>
    </row>
    <row r="1640" spans="1:12">
      <c r="A1640" s="2646" t="s">
        <v>99</v>
      </c>
      <c r="B1640" s="2646" t="s">
        <v>3791</v>
      </c>
      <c r="C1640" s="2646">
        <v>39.688000000000002</v>
      </c>
      <c r="D1640" s="2646">
        <v>76.2</v>
      </c>
      <c r="E1640" s="2646">
        <v>23.812000000000001</v>
      </c>
      <c r="F1640" s="2646" t="s">
        <v>2088</v>
      </c>
      <c r="G1640" s="2646" t="s">
        <v>2088</v>
      </c>
      <c r="H1640" s="2646" t="s">
        <v>2088</v>
      </c>
      <c r="I1640" s="2646" t="s">
        <v>2088</v>
      </c>
      <c r="J1640" s="2646">
        <v>0</v>
      </c>
      <c r="L1640" s="2646" t="s">
        <v>2088</v>
      </c>
    </row>
    <row r="1641" spans="1:12">
      <c r="A1641" s="2647" t="s">
        <v>99</v>
      </c>
      <c r="B1641" s="2647" t="s">
        <v>3792</v>
      </c>
      <c r="C1641" s="2647">
        <v>38.1</v>
      </c>
      <c r="D1641" s="2647">
        <v>76.2</v>
      </c>
      <c r="E1641" s="2647">
        <v>23.812000000000001</v>
      </c>
      <c r="F1641" s="2647" t="s">
        <v>2088</v>
      </c>
      <c r="G1641" s="2647" t="s">
        <v>2088</v>
      </c>
      <c r="H1641" s="2647" t="s">
        <v>2088</v>
      </c>
      <c r="I1641" s="2647" t="s">
        <v>2088</v>
      </c>
      <c r="J1641" s="2647">
        <v>0</v>
      </c>
      <c r="K1641" s="2648"/>
      <c r="L1641" s="2647" t="s">
        <v>2088</v>
      </c>
    </row>
    <row r="1642" spans="1:12">
      <c r="A1642" s="2646" t="s">
        <v>99</v>
      </c>
      <c r="B1642" s="2646" t="s">
        <v>3793</v>
      </c>
      <c r="C1642" s="2646">
        <v>38.1</v>
      </c>
      <c r="D1642" s="2646">
        <v>76.2</v>
      </c>
      <c r="E1642" s="2646">
        <v>23.81</v>
      </c>
      <c r="F1642" s="2646" t="s">
        <v>2088</v>
      </c>
      <c r="G1642" s="2646" t="s">
        <v>2088</v>
      </c>
      <c r="H1642" s="2646" t="s">
        <v>2088</v>
      </c>
      <c r="I1642" s="2646" t="s">
        <v>2088</v>
      </c>
      <c r="J1642" s="2646">
        <v>0.45500000000000002</v>
      </c>
      <c r="L1642" s="2646" t="s">
        <v>2088</v>
      </c>
    </row>
    <row r="1643" spans="1:12">
      <c r="A1643" s="2647" t="s">
        <v>99</v>
      </c>
      <c r="B1643" s="2647" t="s">
        <v>3794</v>
      </c>
      <c r="C1643" s="2647">
        <v>34.924999999999997</v>
      </c>
      <c r="D1643" s="2647">
        <v>76.2</v>
      </c>
      <c r="E1643" s="2647">
        <v>23.812000000000001</v>
      </c>
      <c r="F1643" s="2647" t="s">
        <v>2088</v>
      </c>
      <c r="G1643" s="2647" t="s">
        <v>2088</v>
      </c>
      <c r="H1643" s="2647" t="s">
        <v>2088</v>
      </c>
      <c r="I1643" s="2647" t="s">
        <v>2088</v>
      </c>
      <c r="J1643" s="2647">
        <v>0</v>
      </c>
      <c r="K1643" s="2648"/>
      <c r="L1643" s="2647" t="s">
        <v>2088</v>
      </c>
    </row>
    <row r="1644" spans="1:12">
      <c r="A1644" s="2646" t="s">
        <v>99</v>
      </c>
      <c r="B1644" s="2646" t="s">
        <v>3795</v>
      </c>
      <c r="C1644" s="2646">
        <v>33.338000000000001</v>
      </c>
      <c r="D1644" s="2646">
        <v>76.2</v>
      </c>
      <c r="E1644" s="2646">
        <v>23.812000000000001</v>
      </c>
      <c r="F1644" s="2646" t="s">
        <v>2088</v>
      </c>
      <c r="G1644" s="2646" t="s">
        <v>2088</v>
      </c>
      <c r="H1644" s="2646" t="s">
        <v>2088</v>
      </c>
      <c r="I1644" s="2646" t="s">
        <v>2088</v>
      </c>
      <c r="J1644" s="2646">
        <v>0</v>
      </c>
      <c r="L1644" s="2646" t="s">
        <v>2088</v>
      </c>
    </row>
    <row r="1645" spans="1:12">
      <c r="A1645" s="2647" t="s">
        <v>99</v>
      </c>
      <c r="B1645" s="2647" t="s">
        <v>3796</v>
      </c>
      <c r="C1645" s="2647">
        <v>36.487000000000002</v>
      </c>
      <c r="D1645" s="2647">
        <v>76.2</v>
      </c>
      <c r="E1645" s="2647">
        <v>23.812000000000001</v>
      </c>
      <c r="F1645" s="2647" t="s">
        <v>2088</v>
      </c>
      <c r="G1645" s="2647" t="s">
        <v>2088</v>
      </c>
      <c r="H1645" s="2647" t="s">
        <v>2088</v>
      </c>
      <c r="I1645" s="2647" t="s">
        <v>2088</v>
      </c>
      <c r="J1645" s="2647">
        <v>0.51800000000000002</v>
      </c>
      <c r="K1645" s="2648"/>
      <c r="L1645" s="2647" t="s">
        <v>2088</v>
      </c>
    </row>
    <row r="1646" spans="1:12">
      <c r="A1646" s="2646" t="s">
        <v>99</v>
      </c>
      <c r="B1646" s="2646" t="s">
        <v>3797</v>
      </c>
      <c r="C1646" s="2646">
        <v>38.1</v>
      </c>
      <c r="D1646" s="2646">
        <v>76.2</v>
      </c>
      <c r="E1646" s="2646">
        <v>23.812000000000001</v>
      </c>
      <c r="F1646" s="2646" t="s">
        <v>2088</v>
      </c>
      <c r="G1646" s="2646" t="s">
        <v>2088</v>
      </c>
      <c r="H1646" s="2646" t="s">
        <v>2088</v>
      </c>
      <c r="I1646" s="2646" t="s">
        <v>2088</v>
      </c>
      <c r="J1646" s="2646">
        <v>0</v>
      </c>
      <c r="L1646" s="2646" t="s">
        <v>2088</v>
      </c>
    </row>
    <row r="1647" spans="1:12">
      <c r="A1647" s="2647" t="s">
        <v>99</v>
      </c>
      <c r="B1647" s="2647" t="s">
        <v>3798</v>
      </c>
      <c r="C1647" s="2647">
        <v>38.1</v>
      </c>
      <c r="D1647" s="2647">
        <v>76.2</v>
      </c>
      <c r="E1647" s="2647">
        <v>23.812000000000001</v>
      </c>
      <c r="F1647" s="2647" t="s">
        <v>2088</v>
      </c>
      <c r="G1647" s="2647" t="s">
        <v>2088</v>
      </c>
      <c r="H1647" s="2647" t="s">
        <v>2088</v>
      </c>
      <c r="I1647" s="2647" t="s">
        <v>2088</v>
      </c>
      <c r="J1647" s="2647">
        <v>0</v>
      </c>
      <c r="K1647" s="2648"/>
      <c r="L1647" s="2647" t="s">
        <v>2088</v>
      </c>
    </row>
    <row r="1648" spans="1:12">
      <c r="A1648" s="2646" t="s">
        <v>99</v>
      </c>
      <c r="B1648" s="2646" t="s">
        <v>3799</v>
      </c>
      <c r="C1648" s="2646">
        <v>82.55</v>
      </c>
      <c r="D1648" s="2646">
        <v>125.41200000000001</v>
      </c>
      <c r="E1648" s="2646">
        <v>25.4</v>
      </c>
      <c r="F1648" s="2646" t="s">
        <v>2088</v>
      </c>
      <c r="G1648" s="2646" t="s">
        <v>2088</v>
      </c>
      <c r="H1648" s="2646" t="s">
        <v>2088</v>
      </c>
      <c r="I1648" s="2646" t="s">
        <v>2088</v>
      </c>
      <c r="J1648" s="2646">
        <v>1.1000000000000001</v>
      </c>
      <c r="L1648" s="2646" t="s">
        <v>2088</v>
      </c>
    </row>
    <row r="1649" spans="1:12">
      <c r="A1649" s="2647" t="s">
        <v>99</v>
      </c>
      <c r="B1649" s="2647" t="s">
        <v>3800</v>
      </c>
      <c r="C1649" s="2647">
        <v>82.55</v>
      </c>
      <c r="D1649" s="2647">
        <v>125.41200000000001</v>
      </c>
      <c r="E1649" s="2647">
        <v>25.4</v>
      </c>
      <c r="F1649" s="2647" t="s">
        <v>2088</v>
      </c>
      <c r="G1649" s="2647" t="s">
        <v>2088</v>
      </c>
      <c r="H1649" s="2647" t="s">
        <v>2088</v>
      </c>
      <c r="I1649" s="2647" t="s">
        <v>2088</v>
      </c>
      <c r="J1649" s="2647">
        <v>0</v>
      </c>
      <c r="K1649" s="2648"/>
      <c r="L1649" s="2647" t="s">
        <v>2088</v>
      </c>
    </row>
    <row r="1650" spans="1:12">
      <c r="A1650" s="2646" t="s">
        <v>99</v>
      </c>
      <c r="B1650" s="2646" t="s">
        <v>3801</v>
      </c>
      <c r="C1650" s="2646">
        <v>76.2</v>
      </c>
      <c r="D1650" s="2646">
        <v>125.41200000000001</v>
      </c>
      <c r="E1650" s="2646">
        <v>25.4</v>
      </c>
      <c r="F1650" s="2646" t="s">
        <v>2088</v>
      </c>
      <c r="G1650" s="2646" t="s">
        <v>2088</v>
      </c>
      <c r="H1650" s="2646" t="s">
        <v>2088</v>
      </c>
      <c r="I1650" s="2646" t="s">
        <v>2088</v>
      </c>
      <c r="J1650" s="2646">
        <v>0</v>
      </c>
      <c r="L1650" s="2646" t="s">
        <v>2088</v>
      </c>
    </row>
    <row r="1651" spans="1:12">
      <c r="A1651" s="2647" t="s">
        <v>99</v>
      </c>
      <c r="B1651" s="2647" t="s">
        <v>3802</v>
      </c>
      <c r="C1651" s="2647">
        <v>39.375</v>
      </c>
      <c r="D1651" s="2647">
        <v>42.875</v>
      </c>
      <c r="E1651" s="2647">
        <v>23.812000000000001</v>
      </c>
      <c r="F1651" s="2647" t="s">
        <v>2088</v>
      </c>
      <c r="G1651" s="2647" t="s">
        <v>2088</v>
      </c>
      <c r="H1651" s="2647" t="s">
        <v>2088</v>
      </c>
      <c r="I1651" s="2647" t="s">
        <v>2088</v>
      </c>
      <c r="J1651" s="2647">
        <v>0</v>
      </c>
      <c r="K1651" s="2648"/>
      <c r="L1651" s="2647" t="s">
        <v>2088</v>
      </c>
    </row>
    <row r="1652" spans="1:12">
      <c r="A1652" s="2646" t="s">
        <v>99</v>
      </c>
      <c r="B1652" s="2646" t="s">
        <v>3803</v>
      </c>
      <c r="C1652" s="2646">
        <v>42.875</v>
      </c>
      <c r="D1652" s="2646">
        <v>79.375</v>
      </c>
      <c r="E1652" s="2646">
        <v>23.812000000000001</v>
      </c>
      <c r="F1652" s="2646" t="s">
        <v>2088</v>
      </c>
      <c r="G1652" s="2646" t="s">
        <v>2088</v>
      </c>
      <c r="H1652" s="2646" t="s">
        <v>2088</v>
      </c>
      <c r="I1652" s="2646" t="s">
        <v>2088</v>
      </c>
      <c r="J1652" s="2646">
        <v>0</v>
      </c>
      <c r="L1652" s="2646" t="s">
        <v>2088</v>
      </c>
    </row>
    <row r="1653" spans="1:12">
      <c r="A1653" s="2647" t="s">
        <v>99</v>
      </c>
      <c r="B1653" s="2647" t="s">
        <v>3804</v>
      </c>
      <c r="C1653" s="2647">
        <v>41.274999999999999</v>
      </c>
      <c r="D1653" s="2647">
        <v>79.375</v>
      </c>
      <c r="E1653" s="2647">
        <v>23.812000000000001</v>
      </c>
      <c r="F1653" s="2647" t="s">
        <v>2088</v>
      </c>
      <c r="G1653" s="2647" t="s">
        <v>2088</v>
      </c>
      <c r="H1653" s="2647" t="s">
        <v>2088</v>
      </c>
      <c r="I1653" s="2647" t="s">
        <v>2088</v>
      </c>
      <c r="J1653" s="2647">
        <v>0</v>
      </c>
      <c r="K1653" s="2648"/>
      <c r="L1653" s="2647" t="s">
        <v>2088</v>
      </c>
    </row>
    <row r="1654" spans="1:12">
      <c r="A1654" s="2646" t="s">
        <v>99</v>
      </c>
      <c r="B1654" s="2646" t="s">
        <v>3805</v>
      </c>
      <c r="C1654" s="2646">
        <v>42.875</v>
      </c>
      <c r="D1654" s="2646">
        <v>80</v>
      </c>
      <c r="E1654" s="2646">
        <v>25.4</v>
      </c>
      <c r="F1654" s="2646" t="s">
        <v>2088</v>
      </c>
      <c r="G1654" s="2646" t="s">
        <v>2088</v>
      </c>
      <c r="H1654" s="2646" t="s">
        <v>2088</v>
      </c>
      <c r="I1654" s="2646" t="s">
        <v>2088</v>
      </c>
      <c r="J1654" s="2646">
        <v>0</v>
      </c>
      <c r="L1654" s="2646" t="s">
        <v>2088</v>
      </c>
    </row>
    <row r="1655" spans="1:12">
      <c r="A1655" s="2647" t="s">
        <v>99</v>
      </c>
      <c r="B1655" s="2647" t="s">
        <v>3806</v>
      </c>
      <c r="C1655" s="2647">
        <v>42.875</v>
      </c>
      <c r="D1655" s="2647">
        <v>76.2</v>
      </c>
      <c r="E1655" s="2647">
        <v>25.4</v>
      </c>
      <c r="F1655" s="2647" t="s">
        <v>2088</v>
      </c>
      <c r="G1655" s="2647" t="s">
        <v>2088</v>
      </c>
      <c r="H1655" s="2647" t="s">
        <v>2088</v>
      </c>
      <c r="I1655" s="2647" t="s">
        <v>2088</v>
      </c>
      <c r="J1655" s="2647">
        <v>0</v>
      </c>
      <c r="K1655" s="2648"/>
      <c r="L1655" s="2647" t="s">
        <v>2088</v>
      </c>
    </row>
    <row r="1656" spans="1:12">
      <c r="A1656" s="2646" t="s">
        <v>99</v>
      </c>
      <c r="B1656" s="2646" t="s">
        <v>3807</v>
      </c>
      <c r="C1656" s="2646">
        <v>72.875</v>
      </c>
      <c r="D1656" s="2646">
        <v>80.167000000000002</v>
      </c>
      <c r="E1656" s="2646">
        <v>25.4</v>
      </c>
      <c r="F1656" s="2646" t="s">
        <v>2088</v>
      </c>
      <c r="G1656" s="2646" t="s">
        <v>2088</v>
      </c>
      <c r="H1656" s="2646" t="s">
        <v>2088</v>
      </c>
      <c r="I1656" s="2646" t="s">
        <v>2088</v>
      </c>
      <c r="J1656" s="2646">
        <v>0</v>
      </c>
      <c r="L1656" s="2646" t="s">
        <v>2088</v>
      </c>
    </row>
    <row r="1657" spans="1:12">
      <c r="A1657" s="2647" t="s">
        <v>99</v>
      </c>
      <c r="B1657" s="2647" t="s">
        <v>3808</v>
      </c>
      <c r="C1657" s="2647">
        <v>35.5</v>
      </c>
      <c r="D1657" s="2647">
        <v>79.375</v>
      </c>
      <c r="E1657" s="2647">
        <v>23.812000000000001</v>
      </c>
      <c r="F1657" s="2647" t="s">
        <v>2088</v>
      </c>
      <c r="G1657" s="2647" t="s">
        <v>2088</v>
      </c>
      <c r="H1657" s="2647" t="s">
        <v>2088</v>
      </c>
      <c r="I1657" s="2647" t="s">
        <v>2088</v>
      </c>
      <c r="J1657" s="2647">
        <v>0</v>
      </c>
      <c r="K1657" s="2648"/>
      <c r="L1657" s="2647" t="s">
        <v>2088</v>
      </c>
    </row>
    <row r="1658" spans="1:12">
      <c r="A1658" s="2646" t="s">
        <v>99</v>
      </c>
      <c r="B1658" s="2646" t="s">
        <v>3809</v>
      </c>
      <c r="C1658" s="2646">
        <v>41.274999999999999</v>
      </c>
      <c r="D1658" s="2646">
        <v>80</v>
      </c>
      <c r="E1658" s="2646">
        <v>23.812000000000001</v>
      </c>
      <c r="F1658" s="2646" t="s">
        <v>2088</v>
      </c>
      <c r="G1658" s="2646" t="s">
        <v>2088</v>
      </c>
      <c r="H1658" s="2646" t="s">
        <v>2088</v>
      </c>
      <c r="I1658" s="2646" t="s">
        <v>2088</v>
      </c>
      <c r="J1658" s="2646">
        <v>0</v>
      </c>
      <c r="L1658" s="2646" t="s">
        <v>2088</v>
      </c>
    </row>
    <row r="1659" spans="1:12">
      <c r="A1659" s="2647" t="s">
        <v>99</v>
      </c>
      <c r="B1659" s="2647" t="s">
        <v>3810</v>
      </c>
      <c r="C1659" s="2647">
        <v>41.274999999999999</v>
      </c>
      <c r="D1659" s="2647">
        <v>76.2</v>
      </c>
      <c r="E1659" s="2647">
        <v>25.4</v>
      </c>
      <c r="F1659" s="2647" t="s">
        <v>2088</v>
      </c>
      <c r="G1659" s="2647" t="s">
        <v>2088</v>
      </c>
      <c r="H1659" s="2647" t="s">
        <v>2088</v>
      </c>
      <c r="I1659" s="2647" t="s">
        <v>2088</v>
      </c>
      <c r="J1659" s="2647">
        <v>0</v>
      </c>
      <c r="K1659" s="2648"/>
      <c r="L1659" s="2647" t="s">
        <v>2088</v>
      </c>
    </row>
    <row r="1660" spans="1:12">
      <c r="A1660" s="2646" t="s">
        <v>99</v>
      </c>
      <c r="B1660" s="2646" t="s">
        <v>3811</v>
      </c>
      <c r="C1660" s="2646">
        <v>41.274999999999999</v>
      </c>
      <c r="D1660" s="2646">
        <v>79.375</v>
      </c>
      <c r="E1660" s="2646">
        <v>23.812000000000001</v>
      </c>
      <c r="F1660" s="2646" t="s">
        <v>2088</v>
      </c>
      <c r="G1660" s="2646" t="s">
        <v>2088</v>
      </c>
      <c r="H1660" s="2646" t="s">
        <v>2088</v>
      </c>
      <c r="I1660" s="2646" t="s">
        <v>2088</v>
      </c>
      <c r="J1660" s="2646">
        <v>0</v>
      </c>
      <c r="L1660" s="2646" t="s">
        <v>2088</v>
      </c>
    </row>
    <row r="1661" spans="1:12">
      <c r="A1661" s="2647" t="s">
        <v>99</v>
      </c>
      <c r="B1661" s="2647" t="s">
        <v>3812</v>
      </c>
      <c r="C1661" s="2647">
        <v>41.274999999999999</v>
      </c>
      <c r="D1661" s="2647">
        <v>80.167000000000002</v>
      </c>
      <c r="E1661" s="2647">
        <v>25.4</v>
      </c>
      <c r="F1661" s="2647" t="s">
        <v>2088</v>
      </c>
      <c r="G1661" s="2647" t="s">
        <v>2088</v>
      </c>
      <c r="H1661" s="2647" t="s">
        <v>2088</v>
      </c>
      <c r="I1661" s="2647" t="s">
        <v>2088</v>
      </c>
      <c r="J1661" s="2647">
        <v>0</v>
      </c>
      <c r="K1661" s="2648"/>
      <c r="L1661" s="2647" t="s">
        <v>2088</v>
      </c>
    </row>
    <row r="1662" spans="1:12">
      <c r="A1662" s="2646" t="s">
        <v>99</v>
      </c>
      <c r="B1662" s="2646" t="s">
        <v>3813</v>
      </c>
      <c r="C1662" s="2646">
        <v>41.274999999999999</v>
      </c>
      <c r="D1662" s="2646">
        <v>79.375</v>
      </c>
      <c r="E1662" s="2646">
        <v>23.812000000000001</v>
      </c>
      <c r="F1662" s="2646" t="s">
        <v>2088</v>
      </c>
      <c r="G1662" s="2646" t="s">
        <v>2088</v>
      </c>
      <c r="H1662" s="2646" t="s">
        <v>2088</v>
      </c>
      <c r="I1662" s="2646" t="s">
        <v>2088</v>
      </c>
      <c r="J1662" s="2646">
        <v>0</v>
      </c>
      <c r="L1662" s="2646" t="s">
        <v>2088</v>
      </c>
    </row>
    <row r="1663" spans="1:12">
      <c r="A1663" s="2647" t="s">
        <v>99</v>
      </c>
      <c r="B1663" s="2647" t="s">
        <v>3814</v>
      </c>
      <c r="C1663" s="2647">
        <v>39.688000000000002</v>
      </c>
      <c r="D1663" s="2647">
        <v>76.2</v>
      </c>
      <c r="E1663" s="2647">
        <v>25.4</v>
      </c>
      <c r="F1663" s="2647" t="s">
        <v>2088</v>
      </c>
      <c r="G1663" s="2647" t="s">
        <v>2088</v>
      </c>
      <c r="H1663" s="2647" t="s">
        <v>2088</v>
      </c>
      <c r="I1663" s="2647" t="s">
        <v>2088</v>
      </c>
      <c r="J1663" s="2647">
        <v>0</v>
      </c>
      <c r="K1663" s="2648"/>
      <c r="L1663" s="2647" t="s">
        <v>2088</v>
      </c>
    </row>
    <row r="1664" spans="1:12">
      <c r="A1664" s="2646" t="s">
        <v>99</v>
      </c>
      <c r="B1664" s="2646" t="s">
        <v>3815</v>
      </c>
      <c r="C1664" s="2646">
        <v>39.688000000000002</v>
      </c>
      <c r="D1664" s="2646">
        <v>79.375</v>
      </c>
      <c r="E1664" s="2646">
        <v>23.812000000000001</v>
      </c>
      <c r="F1664" s="2646" t="s">
        <v>2088</v>
      </c>
      <c r="G1664" s="2646" t="s">
        <v>2088</v>
      </c>
      <c r="H1664" s="2646" t="s">
        <v>2088</v>
      </c>
      <c r="I1664" s="2646" t="s">
        <v>2088</v>
      </c>
      <c r="J1664" s="2646">
        <v>0</v>
      </c>
      <c r="L1664" s="2646" t="s">
        <v>2088</v>
      </c>
    </row>
    <row r="1665" spans="1:12">
      <c r="A1665" s="2647" t="s">
        <v>99</v>
      </c>
      <c r="B1665" s="2647" t="s">
        <v>3816</v>
      </c>
      <c r="C1665" s="2647">
        <v>39.688000000000002</v>
      </c>
      <c r="D1665" s="2647">
        <v>79.375</v>
      </c>
      <c r="E1665" s="2647">
        <v>23.812000000000001</v>
      </c>
      <c r="F1665" s="2647" t="s">
        <v>2088</v>
      </c>
      <c r="G1665" s="2647" t="s">
        <v>2088</v>
      </c>
      <c r="H1665" s="2647" t="s">
        <v>2088</v>
      </c>
      <c r="I1665" s="2647" t="s">
        <v>2088</v>
      </c>
      <c r="J1665" s="2647">
        <v>0</v>
      </c>
      <c r="K1665" s="2648"/>
      <c r="L1665" s="2647" t="s">
        <v>2088</v>
      </c>
    </row>
    <row r="1666" spans="1:12">
      <c r="A1666" s="2646" t="s">
        <v>99</v>
      </c>
      <c r="B1666" s="2646" t="s">
        <v>3817</v>
      </c>
      <c r="C1666" s="2646">
        <v>38.1</v>
      </c>
      <c r="D1666" s="2646">
        <v>79.375</v>
      </c>
      <c r="E1666" s="2646">
        <v>23.812000000000001</v>
      </c>
      <c r="F1666" s="2646" t="s">
        <v>2088</v>
      </c>
      <c r="G1666" s="2646" t="s">
        <v>2088</v>
      </c>
      <c r="H1666" s="2646" t="s">
        <v>2088</v>
      </c>
      <c r="I1666" s="2646" t="s">
        <v>2088</v>
      </c>
      <c r="J1666" s="2646">
        <v>0</v>
      </c>
      <c r="L1666" s="2646" t="s">
        <v>2088</v>
      </c>
    </row>
    <row r="1667" spans="1:12">
      <c r="A1667" s="2647" t="s">
        <v>99</v>
      </c>
      <c r="B1667" s="2647" t="s">
        <v>3818</v>
      </c>
      <c r="C1667" s="2647">
        <v>36.512</v>
      </c>
      <c r="D1667" s="2647">
        <v>79.375</v>
      </c>
      <c r="E1667" s="2647">
        <v>23.812000000000001</v>
      </c>
      <c r="F1667" s="2647" t="s">
        <v>2088</v>
      </c>
      <c r="G1667" s="2647" t="s">
        <v>2088</v>
      </c>
      <c r="H1667" s="2647" t="s">
        <v>2088</v>
      </c>
      <c r="I1667" s="2647" t="s">
        <v>2088</v>
      </c>
      <c r="J1667" s="2647">
        <v>0</v>
      </c>
      <c r="K1667" s="2648"/>
      <c r="L1667" s="2647" t="s">
        <v>2088</v>
      </c>
    </row>
    <row r="1668" spans="1:12">
      <c r="A1668" s="2646" t="s">
        <v>99</v>
      </c>
      <c r="B1668" s="2646" t="s">
        <v>3819</v>
      </c>
      <c r="C1668" s="2646">
        <v>73.025000000000006</v>
      </c>
      <c r="D1668" s="2646">
        <v>112.712</v>
      </c>
      <c r="E1668" s="2646">
        <v>25</v>
      </c>
      <c r="F1668" s="2646" t="s">
        <v>2088</v>
      </c>
      <c r="G1668" s="2646" t="s">
        <v>2088</v>
      </c>
      <c r="H1668" s="2646" t="s">
        <v>2088</v>
      </c>
      <c r="I1668" s="2646" t="s">
        <v>2088</v>
      </c>
      <c r="J1668" s="2646">
        <v>0</v>
      </c>
      <c r="L1668" s="2646" t="s">
        <v>2088</v>
      </c>
    </row>
    <row r="1669" spans="1:12">
      <c r="A1669" s="2647" t="s">
        <v>99</v>
      </c>
      <c r="B1669" s="2647" t="s">
        <v>3820</v>
      </c>
      <c r="C1669" s="2647">
        <v>36.487000000000002</v>
      </c>
      <c r="D1669" s="2647">
        <v>73.025000000000006</v>
      </c>
      <c r="E1669" s="2647">
        <v>23.812000000000001</v>
      </c>
      <c r="F1669" s="2647" t="s">
        <v>2088</v>
      </c>
      <c r="G1669" s="2647" t="s">
        <v>2088</v>
      </c>
      <c r="H1669" s="2647" t="s">
        <v>2088</v>
      </c>
      <c r="I1669" s="2647" t="s">
        <v>2088</v>
      </c>
      <c r="J1669" s="2647">
        <v>0</v>
      </c>
      <c r="K1669" s="2648"/>
      <c r="L1669" s="2647" t="s">
        <v>2088</v>
      </c>
    </row>
    <row r="1670" spans="1:12">
      <c r="A1670" s="2646" t="s">
        <v>99</v>
      </c>
      <c r="B1670" s="2646">
        <v>30656</v>
      </c>
      <c r="C1670" s="2646">
        <v>280</v>
      </c>
      <c r="D1670" s="2646">
        <v>350</v>
      </c>
      <c r="E1670" s="2646">
        <v>36</v>
      </c>
      <c r="F1670" s="2646" t="s">
        <v>2088</v>
      </c>
      <c r="G1670" s="2646" t="s">
        <v>2088</v>
      </c>
      <c r="H1670" s="2646" t="s">
        <v>2088</v>
      </c>
      <c r="I1670" s="2646" t="s">
        <v>2088</v>
      </c>
      <c r="J1670" s="2646">
        <v>6.33</v>
      </c>
      <c r="L1670" s="2646">
        <v>1007856</v>
      </c>
    </row>
    <row r="1671" spans="1:12">
      <c r="A1671" s="2647" t="s">
        <v>99</v>
      </c>
      <c r="B1671" s="2647">
        <v>30650</v>
      </c>
      <c r="C1671" s="2647">
        <v>250</v>
      </c>
      <c r="D1671" s="2647">
        <v>330</v>
      </c>
      <c r="E1671" s="2647">
        <v>36</v>
      </c>
      <c r="F1671" s="2647" t="s">
        <v>2088</v>
      </c>
      <c r="G1671" s="2647" t="s">
        <v>2088</v>
      </c>
      <c r="H1671" s="2647" t="s">
        <v>2088</v>
      </c>
      <c r="I1671" s="2647" t="s">
        <v>2088</v>
      </c>
      <c r="J1671" s="2647">
        <v>7.31</v>
      </c>
      <c r="K1671" s="2648"/>
      <c r="L1671" s="2647" t="s">
        <v>3821</v>
      </c>
    </row>
    <row r="1672" spans="1:12">
      <c r="A1672" s="2646" t="s">
        <v>99</v>
      </c>
      <c r="B1672" s="2646">
        <v>30647</v>
      </c>
      <c r="C1672" s="2646">
        <v>234.95</v>
      </c>
      <c r="D1672" s="2646">
        <v>355.6</v>
      </c>
      <c r="E1672" s="2646">
        <v>68.260000000000005</v>
      </c>
      <c r="F1672" s="2646" t="s">
        <v>2088</v>
      </c>
      <c r="G1672" s="2646" t="s">
        <v>2088</v>
      </c>
      <c r="H1672" s="2646" t="s">
        <v>2088</v>
      </c>
      <c r="I1672" s="2646" t="s">
        <v>2088</v>
      </c>
      <c r="J1672" s="2646">
        <v>23</v>
      </c>
      <c r="L1672" s="2646">
        <v>7947</v>
      </c>
    </row>
    <row r="1673" spans="1:12">
      <c r="A1673" s="2647" t="s">
        <v>99</v>
      </c>
      <c r="B1673" s="2647">
        <v>30642</v>
      </c>
      <c r="C1673" s="2647">
        <v>219.55</v>
      </c>
      <c r="D1673" s="2647">
        <v>355.6</v>
      </c>
      <c r="E1673" s="2647">
        <v>68.260000000000005</v>
      </c>
      <c r="F1673" s="2647" t="s">
        <v>2088</v>
      </c>
      <c r="G1673" s="2647" t="s">
        <v>2088</v>
      </c>
      <c r="H1673" s="2647" t="s">
        <v>2088</v>
      </c>
      <c r="I1673" s="2647" t="s">
        <v>2088</v>
      </c>
      <c r="J1673" s="2647">
        <v>27.6</v>
      </c>
      <c r="K1673" s="2648"/>
      <c r="L1673" s="2647">
        <v>7942</v>
      </c>
    </row>
    <row r="1674" spans="1:12">
      <c r="A1674" s="2646" t="s">
        <v>99</v>
      </c>
      <c r="B1674" s="2646" t="s">
        <v>3822</v>
      </c>
      <c r="C1674" s="2646">
        <v>110</v>
      </c>
      <c r="D1674" s="2646">
        <v>200</v>
      </c>
      <c r="E1674" s="2646">
        <v>56.5</v>
      </c>
      <c r="F1674" s="2646" t="s">
        <v>2088</v>
      </c>
      <c r="G1674" s="2646" t="s">
        <v>2088</v>
      </c>
      <c r="H1674" s="2646" t="s">
        <v>2088</v>
      </c>
      <c r="I1674" s="2646" t="s">
        <v>2088</v>
      </c>
      <c r="J1674" s="2646">
        <v>7.49</v>
      </c>
      <c r="L1674" s="2646" t="s">
        <v>3823</v>
      </c>
    </row>
    <row r="1675" spans="1:12">
      <c r="A1675" s="2647" t="s">
        <v>99</v>
      </c>
      <c r="B1675" s="2647">
        <v>30621</v>
      </c>
      <c r="C1675" s="2647">
        <v>105</v>
      </c>
      <c r="D1675" s="2647">
        <v>215</v>
      </c>
      <c r="E1675" s="2647">
        <v>78</v>
      </c>
      <c r="F1675" s="2647" t="s">
        <v>2088</v>
      </c>
      <c r="G1675" s="2647" t="s">
        <v>2088</v>
      </c>
      <c r="H1675" s="2647" t="s">
        <v>2088</v>
      </c>
      <c r="I1675" s="2647" t="s">
        <v>2088</v>
      </c>
      <c r="J1675" s="2647">
        <v>12.3</v>
      </c>
      <c r="K1675" s="2648"/>
      <c r="L1675" s="2647">
        <v>7721</v>
      </c>
    </row>
    <row r="1676" spans="1:12">
      <c r="A1676" s="2646" t="s">
        <v>99</v>
      </c>
      <c r="B1676" s="2646">
        <v>30619</v>
      </c>
      <c r="C1676" s="2646">
        <v>95</v>
      </c>
      <c r="D1676" s="2646">
        <v>160</v>
      </c>
      <c r="E1676" s="2646">
        <v>47</v>
      </c>
      <c r="F1676" s="2646" t="s">
        <v>2088</v>
      </c>
      <c r="G1676" s="2646" t="s">
        <v>2088</v>
      </c>
      <c r="H1676" s="2646" t="s">
        <v>2088</v>
      </c>
      <c r="I1676" s="2646" t="s">
        <v>2088</v>
      </c>
      <c r="J1676" s="2646">
        <v>3.79</v>
      </c>
      <c r="L1676" s="2646">
        <v>7819</v>
      </c>
    </row>
    <row r="1677" spans="1:12">
      <c r="A1677" s="2647" t="s">
        <v>99</v>
      </c>
      <c r="B1677" s="2647" t="s">
        <v>3824</v>
      </c>
      <c r="C1677" s="2647">
        <v>75</v>
      </c>
      <c r="D1677" s="2647">
        <v>135</v>
      </c>
      <c r="E1677" s="2647">
        <v>44</v>
      </c>
      <c r="F1677" s="2647" t="s">
        <v>2088</v>
      </c>
      <c r="G1677" s="2647" t="s">
        <v>2088</v>
      </c>
      <c r="H1677" s="2647" t="s">
        <v>2088</v>
      </c>
      <c r="I1677" s="2647" t="s">
        <v>2088</v>
      </c>
      <c r="J1677" s="2647">
        <v>2.6</v>
      </c>
      <c r="K1677" s="2648"/>
      <c r="L1677" s="2647">
        <v>7815</v>
      </c>
    </row>
    <row r="1678" spans="1:12">
      <c r="A1678" s="2646" t="s">
        <v>99</v>
      </c>
      <c r="B1678" s="2646" t="s">
        <v>3825</v>
      </c>
      <c r="C1678" s="2646">
        <v>75</v>
      </c>
      <c r="D1678" s="2646">
        <v>135</v>
      </c>
      <c r="E1678" s="2646">
        <v>44</v>
      </c>
      <c r="F1678" s="2646" t="s">
        <v>2088</v>
      </c>
      <c r="G1678" s="2646" t="s">
        <v>2088</v>
      </c>
      <c r="H1678" s="2646" t="s">
        <v>2088</v>
      </c>
      <c r="I1678" s="2646" t="s">
        <v>2088</v>
      </c>
      <c r="J1678" s="2646">
        <v>2.66</v>
      </c>
      <c r="L1678" s="2646" t="s">
        <v>3826</v>
      </c>
    </row>
    <row r="1679" spans="1:12">
      <c r="A1679" s="2647" t="s">
        <v>99</v>
      </c>
      <c r="B1679" s="2647" t="s">
        <v>3827</v>
      </c>
      <c r="C1679" s="2647">
        <v>50</v>
      </c>
      <c r="D1679" s="2647">
        <v>105</v>
      </c>
      <c r="E1679" s="2647">
        <v>48.24</v>
      </c>
      <c r="F1679" s="2647" t="s">
        <v>2088</v>
      </c>
      <c r="G1679" s="2647" t="s">
        <v>2088</v>
      </c>
      <c r="H1679" s="2647" t="s">
        <v>2088</v>
      </c>
      <c r="I1679" s="2647" t="s">
        <v>2088</v>
      </c>
      <c r="J1679" s="2647">
        <v>2.21</v>
      </c>
      <c r="K1679" s="2648"/>
      <c r="L1679" s="2647">
        <v>767710</v>
      </c>
    </row>
    <row r="1680" spans="1:12">
      <c r="A1680" s="2646" t="s">
        <v>99</v>
      </c>
      <c r="B1680" s="2646" t="s">
        <v>3828</v>
      </c>
      <c r="C1680" s="2646">
        <v>50</v>
      </c>
      <c r="D1680" s="2646">
        <v>82</v>
      </c>
      <c r="E1680" s="2646">
        <v>21.5</v>
      </c>
      <c r="F1680" s="2646" t="s">
        <v>2088</v>
      </c>
      <c r="G1680" s="2646" t="s">
        <v>2088</v>
      </c>
      <c r="H1680" s="2646" t="s">
        <v>2088</v>
      </c>
      <c r="I1680" s="2646" t="s">
        <v>2088</v>
      </c>
      <c r="J1680" s="2646">
        <v>0.33100000000000002</v>
      </c>
      <c r="L1680" s="2646" t="s">
        <v>3829</v>
      </c>
    </row>
    <row r="1681" spans="1:12">
      <c r="A1681" s="2647" t="s">
        <v>99</v>
      </c>
      <c r="B1681" s="2647">
        <v>30606</v>
      </c>
      <c r="C1681" s="2647">
        <v>30</v>
      </c>
      <c r="D1681" s="2647">
        <v>64</v>
      </c>
      <c r="E1681" s="2647">
        <v>21.5</v>
      </c>
      <c r="F1681" s="2647" t="s">
        <v>2088</v>
      </c>
      <c r="G1681" s="2647" t="s">
        <v>2088</v>
      </c>
      <c r="H1681" s="2647" t="s">
        <v>2088</v>
      </c>
      <c r="I1681" s="2647" t="s">
        <v>2088</v>
      </c>
      <c r="J1681" s="2647">
        <v>0.33300000000000002</v>
      </c>
      <c r="K1681" s="2648"/>
      <c r="L1681" s="2647" t="s">
        <v>3830</v>
      </c>
    </row>
    <row r="1682" spans="1:12">
      <c r="A1682" s="2646" t="s">
        <v>99</v>
      </c>
      <c r="B1682" s="2646" t="s">
        <v>3831</v>
      </c>
      <c r="C1682" s="2646">
        <v>82.55</v>
      </c>
      <c r="D1682" s="2646">
        <v>139.99199999999999</v>
      </c>
      <c r="E1682" s="2646">
        <v>36.512999999999998</v>
      </c>
      <c r="F1682" s="2646" t="s">
        <v>2088</v>
      </c>
      <c r="G1682" s="2646" t="s">
        <v>2088</v>
      </c>
      <c r="H1682" s="2646" t="s">
        <v>2088</v>
      </c>
      <c r="I1682" s="2646" t="s">
        <v>2088</v>
      </c>
      <c r="J1682" s="2646">
        <v>2.19</v>
      </c>
      <c r="L1682" s="2646">
        <v>7916</v>
      </c>
    </row>
    <row r="1683" spans="1:12">
      <c r="A1683" s="2647" t="s">
        <v>99</v>
      </c>
      <c r="B1683" s="2647" t="s">
        <v>3832</v>
      </c>
      <c r="C1683" s="2647">
        <v>800</v>
      </c>
      <c r="D1683" s="2647">
        <v>980</v>
      </c>
      <c r="E1683" s="2647">
        <v>57</v>
      </c>
      <c r="F1683" s="2647" t="s">
        <v>2088</v>
      </c>
      <c r="G1683" s="2647" t="s">
        <v>2088</v>
      </c>
      <c r="H1683" s="2647" t="s">
        <v>2088</v>
      </c>
      <c r="I1683" s="2647" t="s">
        <v>2088</v>
      </c>
      <c r="J1683" s="2647">
        <v>96.3</v>
      </c>
      <c r="K1683" s="2648"/>
      <c r="L1683" s="2647" t="s">
        <v>3833</v>
      </c>
    </row>
    <row r="1684" spans="1:12">
      <c r="A1684" s="2646" t="s">
        <v>99</v>
      </c>
      <c r="B1684" s="2646" t="s">
        <v>3834</v>
      </c>
      <c r="C1684" s="2646">
        <v>800</v>
      </c>
      <c r="D1684" s="2646">
        <v>990</v>
      </c>
      <c r="E1684" s="2646">
        <v>57</v>
      </c>
      <c r="F1684" s="2646" t="s">
        <v>2088</v>
      </c>
      <c r="G1684" s="2646" t="s">
        <v>2088</v>
      </c>
      <c r="H1684" s="2646" t="s">
        <v>2088</v>
      </c>
      <c r="I1684" s="2646" t="s">
        <v>2088</v>
      </c>
      <c r="J1684" s="2646">
        <v>96.3</v>
      </c>
      <c r="L1684" s="2646" t="s">
        <v>3833</v>
      </c>
    </row>
    <row r="1685" spans="1:12">
      <c r="A1685" s="2647" t="s">
        <v>99</v>
      </c>
      <c r="B1685" s="2647" t="s">
        <v>3835</v>
      </c>
      <c r="C1685" s="2647">
        <v>760</v>
      </c>
      <c r="D1685" s="2647">
        <v>890</v>
      </c>
      <c r="E1685" s="2647">
        <v>78</v>
      </c>
      <c r="F1685" s="2647" t="s">
        <v>2088</v>
      </c>
      <c r="G1685" s="2647" t="s">
        <v>2088</v>
      </c>
      <c r="H1685" s="2647" t="s">
        <v>2088</v>
      </c>
      <c r="I1685" s="2647" t="s">
        <v>2088</v>
      </c>
      <c r="J1685" s="2647">
        <v>79.3</v>
      </c>
      <c r="K1685" s="2648"/>
      <c r="L1685" s="2647" t="s">
        <v>3836</v>
      </c>
    </row>
    <row r="1686" spans="1:12">
      <c r="A1686" s="2646" t="s">
        <v>99</v>
      </c>
      <c r="B1686" s="2646" t="s">
        <v>3837</v>
      </c>
      <c r="C1686" s="2646">
        <v>62</v>
      </c>
      <c r="D1686" s="2646">
        <v>100</v>
      </c>
      <c r="E1686" s="2646">
        <v>21.5</v>
      </c>
      <c r="F1686" s="2646" t="s">
        <v>2088</v>
      </c>
      <c r="G1686" s="2646" t="s">
        <v>2088</v>
      </c>
      <c r="H1686" s="2646" t="s">
        <v>2088</v>
      </c>
      <c r="I1686" s="2646" t="s">
        <v>2088</v>
      </c>
      <c r="J1686" s="2646">
        <v>0.59699999999999998</v>
      </c>
      <c r="L1686" s="2646">
        <v>7912</v>
      </c>
    </row>
    <row r="1687" spans="1:12">
      <c r="A1687" s="2647" t="s">
        <v>99</v>
      </c>
      <c r="B1687" s="2647" t="s">
        <v>3838</v>
      </c>
      <c r="C1687" s="2647">
        <v>560</v>
      </c>
      <c r="D1687" s="2647">
        <v>820</v>
      </c>
      <c r="E1687" s="2647">
        <v>140</v>
      </c>
      <c r="F1687" s="2647" t="s">
        <v>2088</v>
      </c>
      <c r="G1687" s="2647" t="s">
        <v>2088</v>
      </c>
      <c r="H1687" s="2647" t="s">
        <v>2088</v>
      </c>
      <c r="I1687" s="2647" t="s">
        <v>2088</v>
      </c>
      <c r="J1687" s="2647">
        <v>0</v>
      </c>
      <c r="K1687" s="2648"/>
      <c r="L1687" s="2647" t="s">
        <v>3839</v>
      </c>
    </row>
    <row r="1688" spans="1:12">
      <c r="A1688" s="2646" t="s">
        <v>99</v>
      </c>
      <c r="B1688" s="2646" t="s">
        <v>3840</v>
      </c>
      <c r="C1688" s="2646">
        <v>41</v>
      </c>
      <c r="D1688" s="2646">
        <v>90</v>
      </c>
      <c r="E1688" s="2646">
        <v>35.5</v>
      </c>
      <c r="F1688" s="2646" t="s">
        <v>2088</v>
      </c>
      <c r="G1688" s="2646" t="s">
        <v>2088</v>
      </c>
      <c r="H1688" s="2646" t="s">
        <v>2088</v>
      </c>
      <c r="I1688" s="2646" t="s">
        <v>2088</v>
      </c>
      <c r="J1688" s="2646">
        <v>0</v>
      </c>
      <c r="L1688" s="2646">
        <v>7908</v>
      </c>
    </row>
    <row r="1689" spans="1:12">
      <c r="A1689" s="2647" t="s">
        <v>99</v>
      </c>
      <c r="B1689" s="2647" t="s">
        <v>3841</v>
      </c>
      <c r="C1689" s="2647">
        <v>34.924999999999997</v>
      </c>
      <c r="D1689" s="2647">
        <v>73.025000000000006</v>
      </c>
      <c r="E1689" s="2647">
        <v>23.812000000000001</v>
      </c>
      <c r="F1689" s="2647" t="s">
        <v>2088</v>
      </c>
      <c r="G1689" s="2647" t="s">
        <v>2088</v>
      </c>
      <c r="H1689" s="2647" t="s">
        <v>2088</v>
      </c>
      <c r="I1689" s="2647" t="s">
        <v>2088</v>
      </c>
      <c r="J1689" s="2647">
        <v>0</v>
      </c>
      <c r="K1689" s="2648"/>
      <c r="L1689" s="2647" t="s">
        <v>2088</v>
      </c>
    </row>
    <row r="1690" spans="1:12">
      <c r="A1690" s="2646" t="s">
        <v>99</v>
      </c>
      <c r="B1690" s="2646" t="s">
        <v>3842</v>
      </c>
      <c r="C1690" s="2646">
        <v>34.924999999999997</v>
      </c>
      <c r="D1690" s="2646">
        <v>73.025000000000006</v>
      </c>
      <c r="E1690" s="2646">
        <v>23.812000000000001</v>
      </c>
      <c r="F1690" s="2646" t="s">
        <v>2088</v>
      </c>
      <c r="G1690" s="2646" t="s">
        <v>2088</v>
      </c>
      <c r="H1690" s="2646" t="s">
        <v>2088</v>
      </c>
      <c r="I1690" s="2646" t="s">
        <v>2088</v>
      </c>
      <c r="J1690" s="2646">
        <v>0</v>
      </c>
      <c r="L1690" s="2646" t="s">
        <v>2088</v>
      </c>
    </row>
    <row r="1691" spans="1:12">
      <c r="A1691" s="2647" t="s">
        <v>99</v>
      </c>
      <c r="B1691" s="2647" t="s">
        <v>3843</v>
      </c>
      <c r="C1691" s="2647">
        <v>52.387999999999998</v>
      </c>
      <c r="D1691" s="2647">
        <v>92.075000000000003</v>
      </c>
      <c r="E1691" s="2647">
        <v>24.608000000000001</v>
      </c>
      <c r="F1691" s="2647" t="s">
        <v>2088</v>
      </c>
      <c r="G1691" s="2647" t="s">
        <v>2088</v>
      </c>
      <c r="H1691" s="2647" t="s">
        <v>2088</v>
      </c>
      <c r="I1691" s="2647" t="s">
        <v>2088</v>
      </c>
      <c r="J1691" s="2647">
        <v>0.66</v>
      </c>
      <c r="K1691" s="2648"/>
      <c r="L1691" s="2647" t="s">
        <v>2088</v>
      </c>
    </row>
    <row r="1692" spans="1:12">
      <c r="A1692" s="2646" t="s">
        <v>99</v>
      </c>
      <c r="B1692" s="2646" t="s">
        <v>3844</v>
      </c>
      <c r="C1692" s="2646">
        <v>33.338000000000001</v>
      </c>
      <c r="D1692" s="2646">
        <v>69.849999999999994</v>
      </c>
      <c r="E1692" s="2646">
        <v>23.812000000000001</v>
      </c>
      <c r="F1692" s="2646" t="s">
        <v>2088</v>
      </c>
      <c r="G1692" s="2646" t="s">
        <v>2088</v>
      </c>
      <c r="H1692" s="2646" t="s">
        <v>2088</v>
      </c>
      <c r="I1692" s="2646" t="s">
        <v>2088</v>
      </c>
      <c r="J1692" s="2646">
        <v>0</v>
      </c>
      <c r="L1692" s="2646" t="s">
        <v>2088</v>
      </c>
    </row>
    <row r="1693" spans="1:12">
      <c r="A1693" s="2647" t="s">
        <v>99</v>
      </c>
      <c r="B1693" s="2647" t="s">
        <v>3845</v>
      </c>
      <c r="C1693" s="2647">
        <v>31.75</v>
      </c>
      <c r="D1693" s="2647">
        <v>69.849999999999994</v>
      </c>
      <c r="E1693" s="2647">
        <v>23.812000000000001</v>
      </c>
      <c r="F1693" s="2647" t="s">
        <v>2088</v>
      </c>
      <c r="G1693" s="2647" t="s">
        <v>2088</v>
      </c>
      <c r="H1693" s="2647" t="s">
        <v>2088</v>
      </c>
      <c r="I1693" s="2647" t="s">
        <v>2088</v>
      </c>
      <c r="J1693" s="2647">
        <v>0</v>
      </c>
      <c r="K1693" s="2648"/>
      <c r="L1693" s="2647" t="s">
        <v>2088</v>
      </c>
    </row>
    <row r="1694" spans="1:12">
      <c r="A1694" s="2646" t="s">
        <v>99</v>
      </c>
      <c r="B1694" s="2646" t="s">
        <v>3846</v>
      </c>
      <c r="C1694" s="2646">
        <v>33.338000000000001</v>
      </c>
      <c r="D1694" s="2646">
        <v>69.849999999999994</v>
      </c>
      <c r="E1694" s="2646">
        <v>23.812000000000001</v>
      </c>
      <c r="F1694" s="2646" t="s">
        <v>2088</v>
      </c>
      <c r="G1694" s="2646" t="s">
        <v>2088</v>
      </c>
      <c r="H1694" s="2646" t="s">
        <v>2088</v>
      </c>
      <c r="I1694" s="2646" t="s">
        <v>2088</v>
      </c>
      <c r="J1694" s="2646">
        <v>0</v>
      </c>
      <c r="L1694" s="2646" t="s">
        <v>2088</v>
      </c>
    </row>
    <row r="1695" spans="1:12">
      <c r="A1695" s="2647" t="s">
        <v>99</v>
      </c>
      <c r="B1695" s="2647" t="s">
        <v>3847</v>
      </c>
      <c r="C1695" s="2647">
        <v>31.75</v>
      </c>
      <c r="D1695" s="2647">
        <v>69.849999999999994</v>
      </c>
      <c r="E1695" s="2647">
        <v>23.812000000000001</v>
      </c>
      <c r="F1695" s="2647" t="s">
        <v>2088</v>
      </c>
      <c r="G1695" s="2647" t="s">
        <v>2088</v>
      </c>
      <c r="H1695" s="2647" t="s">
        <v>2088</v>
      </c>
      <c r="I1695" s="2647" t="s">
        <v>2088</v>
      </c>
      <c r="J1695" s="2647">
        <v>0</v>
      </c>
      <c r="K1695" s="2648"/>
      <c r="L1695" s="2647" t="s">
        <v>2088</v>
      </c>
    </row>
    <row r="1696" spans="1:12">
      <c r="A1696" s="2646" t="s">
        <v>99</v>
      </c>
      <c r="B1696" s="2646" t="s">
        <v>3848</v>
      </c>
      <c r="C1696" s="2646">
        <v>31.75</v>
      </c>
      <c r="D1696" s="2646">
        <v>69.849999999999994</v>
      </c>
      <c r="E1696" s="2646">
        <v>23.812000000000001</v>
      </c>
      <c r="F1696" s="2646" t="s">
        <v>2088</v>
      </c>
      <c r="G1696" s="2646" t="s">
        <v>2088</v>
      </c>
      <c r="H1696" s="2646" t="s">
        <v>2088</v>
      </c>
      <c r="I1696" s="2646" t="s">
        <v>2088</v>
      </c>
      <c r="J1696" s="2646">
        <v>0</v>
      </c>
      <c r="L1696" s="2646" t="s">
        <v>2088</v>
      </c>
    </row>
    <row r="1697" spans="1:12">
      <c r="A1697" s="2647" t="s">
        <v>99</v>
      </c>
      <c r="B1697" s="2647" t="s">
        <v>3849</v>
      </c>
      <c r="C1697" s="2647">
        <v>31.75</v>
      </c>
      <c r="D1697" s="2647">
        <v>69.849999999999994</v>
      </c>
      <c r="E1697" s="2647">
        <v>23.812000000000001</v>
      </c>
      <c r="F1697" s="2647" t="s">
        <v>2088</v>
      </c>
      <c r="G1697" s="2647" t="s">
        <v>2088</v>
      </c>
      <c r="H1697" s="2647" t="s">
        <v>2088</v>
      </c>
      <c r="I1697" s="2647" t="s">
        <v>2088</v>
      </c>
      <c r="J1697" s="2647">
        <v>0.45400000000000001</v>
      </c>
      <c r="K1697" s="2648"/>
      <c r="L1697" s="2647" t="s">
        <v>2088</v>
      </c>
    </row>
    <row r="1698" spans="1:12">
      <c r="A1698" s="2646" t="s">
        <v>99</v>
      </c>
      <c r="B1698" s="2646" t="s">
        <v>3850</v>
      </c>
      <c r="C1698" s="2646">
        <v>31.75</v>
      </c>
      <c r="D1698" s="2646">
        <v>66.421000000000006</v>
      </c>
      <c r="E1698" s="2646">
        <v>25.4</v>
      </c>
      <c r="F1698" s="2646" t="s">
        <v>2088</v>
      </c>
      <c r="G1698" s="2646" t="s">
        <v>2088</v>
      </c>
      <c r="H1698" s="2646" t="s">
        <v>2088</v>
      </c>
      <c r="I1698" s="2646" t="s">
        <v>2088</v>
      </c>
      <c r="J1698" s="2646">
        <v>0</v>
      </c>
      <c r="L1698" s="2646" t="s">
        <v>2088</v>
      </c>
    </row>
    <row r="1699" spans="1:12">
      <c r="A1699" s="2647" t="s">
        <v>99</v>
      </c>
      <c r="B1699" s="2647" t="s">
        <v>3851</v>
      </c>
      <c r="C1699" s="2647">
        <v>28.574999999999999</v>
      </c>
      <c r="D1699" s="2647">
        <v>69.849999999999994</v>
      </c>
      <c r="E1699" s="2647">
        <v>23.812000000000001</v>
      </c>
      <c r="F1699" s="2647" t="s">
        <v>2088</v>
      </c>
      <c r="G1699" s="2647" t="s">
        <v>2088</v>
      </c>
      <c r="H1699" s="2647" t="s">
        <v>2088</v>
      </c>
      <c r="I1699" s="2647" t="s">
        <v>2088</v>
      </c>
      <c r="J1699" s="2647">
        <v>0</v>
      </c>
      <c r="K1699" s="2648"/>
      <c r="L1699" s="2647" t="s">
        <v>2088</v>
      </c>
    </row>
    <row r="1700" spans="1:12">
      <c r="A1700" s="2646" t="s">
        <v>99</v>
      </c>
      <c r="B1700" s="2646" t="s">
        <v>3852</v>
      </c>
      <c r="C1700" s="2646">
        <v>45.618000000000002</v>
      </c>
      <c r="D1700" s="2646">
        <v>85</v>
      </c>
      <c r="E1700" s="2646">
        <v>23.812000000000001</v>
      </c>
      <c r="F1700" s="2646" t="s">
        <v>2088</v>
      </c>
      <c r="G1700" s="2646" t="s">
        <v>2088</v>
      </c>
      <c r="H1700" s="2646" t="s">
        <v>2088</v>
      </c>
      <c r="I1700" s="2646" t="s">
        <v>2088</v>
      </c>
      <c r="J1700" s="2646">
        <v>0</v>
      </c>
      <c r="L1700" s="2646" t="s">
        <v>2088</v>
      </c>
    </row>
    <row r="1701" spans="1:12">
      <c r="A1701" s="2647" t="s">
        <v>99</v>
      </c>
      <c r="B1701" s="2647" t="s">
        <v>3853</v>
      </c>
      <c r="C1701" s="2647">
        <v>45.618000000000002</v>
      </c>
      <c r="D1701" s="2647">
        <v>82.930999999999997</v>
      </c>
      <c r="E1701" s="2647">
        <v>26.983000000000001</v>
      </c>
      <c r="F1701" s="2647" t="s">
        <v>2088</v>
      </c>
      <c r="G1701" s="2647" t="s">
        <v>2088</v>
      </c>
      <c r="H1701" s="2647" t="s">
        <v>2088</v>
      </c>
      <c r="I1701" s="2647" t="s">
        <v>2088</v>
      </c>
      <c r="J1701" s="2647">
        <v>0.58199999999999996</v>
      </c>
      <c r="K1701" s="2648"/>
      <c r="L1701" s="2647" t="s">
        <v>2088</v>
      </c>
    </row>
    <row r="1702" spans="1:12">
      <c r="A1702" s="2646" t="s">
        <v>99</v>
      </c>
      <c r="B1702" s="2646" t="s">
        <v>3854</v>
      </c>
      <c r="C1702" s="2646">
        <v>45.618000000000002</v>
      </c>
      <c r="D1702" s="2646">
        <v>83.058000000000007</v>
      </c>
      <c r="E1702" s="2646">
        <v>23.876000000000001</v>
      </c>
      <c r="F1702" s="2646" t="s">
        <v>2088</v>
      </c>
      <c r="G1702" s="2646" t="s">
        <v>2088</v>
      </c>
      <c r="H1702" s="2646" t="s">
        <v>2088</v>
      </c>
      <c r="I1702" s="2646" t="s">
        <v>2088</v>
      </c>
      <c r="J1702" s="2646">
        <v>0.55600000000000005</v>
      </c>
      <c r="L1702" s="2646" t="s">
        <v>2088</v>
      </c>
    </row>
    <row r="1703" spans="1:12">
      <c r="A1703" s="2647" t="s">
        <v>99</v>
      </c>
      <c r="B1703" s="2647" t="s">
        <v>3855</v>
      </c>
      <c r="C1703" s="2647">
        <v>45.618000000000002</v>
      </c>
      <c r="D1703" s="2647">
        <v>83.058000000000007</v>
      </c>
      <c r="E1703" s="2647">
        <v>23.812000000000001</v>
      </c>
      <c r="F1703" s="2647" t="s">
        <v>2088</v>
      </c>
      <c r="G1703" s="2647" t="s">
        <v>2088</v>
      </c>
      <c r="H1703" s="2647" t="s">
        <v>2088</v>
      </c>
      <c r="I1703" s="2647" t="s">
        <v>2088</v>
      </c>
      <c r="J1703" s="2647">
        <v>0</v>
      </c>
      <c r="K1703" s="2648"/>
      <c r="L1703" s="2647" t="s">
        <v>2088</v>
      </c>
    </row>
    <row r="1704" spans="1:12">
      <c r="A1704" s="2646" t="s">
        <v>99</v>
      </c>
      <c r="B1704" s="2646" t="s">
        <v>3856</v>
      </c>
      <c r="C1704" s="2646">
        <v>45.618000000000002</v>
      </c>
      <c r="D1704" s="2646">
        <v>83.058000000000007</v>
      </c>
      <c r="E1704" s="2646">
        <v>23.876000000000001</v>
      </c>
      <c r="F1704" s="2646" t="s">
        <v>2088</v>
      </c>
      <c r="G1704" s="2646" t="s">
        <v>2088</v>
      </c>
      <c r="H1704" s="2646" t="s">
        <v>2088</v>
      </c>
      <c r="I1704" s="2646" t="s">
        <v>2088</v>
      </c>
      <c r="J1704" s="2646">
        <v>0.55600000000000005</v>
      </c>
      <c r="L1704" s="2646" t="s">
        <v>2088</v>
      </c>
    </row>
    <row r="1705" spans="1:12">
      <c r="A1705" s="2647" t="s">
        <v>99</v>
      </c>
      <c r="B1705" s="2647" t="s">
        <v>3857</v>
      </c>
      <c r="C1705" s="2647">
        <v>45.618000000000002</v>
      </c>
      <c r="D1705" s="2647">
        <v>82.55</v>
      </c>
      <c r="E1705" s="2647">
        <v>23.812000000000001</v>
      </c>
      <c r="F1705" s="2647" t="s">
        <v>2088</v>
      </c>
      <c r="G1705" s="2647" t="s">
        <v>2088</v>
      </c>
      <c r="H1705" s="2647" t="s">
        <v>2088</v>
      </c>
      <c r="I1705" s="2647" t="s">
        <v>2088</v>
      </c>
      <c r="J1705" s="2647">
        <v>0</v>
      </c>
      <c r="K1705" s="2648"/>
      <c r="L1705" s="2647" t="s">
        <v>2088</v>
      </c>
    </row>
    <row r="1706" spans="1:12">
      <c r="A1706" s="2646" t="s">
        <v>99</v>
      </c>
      <c r="B1706" s="2646" t="s">
        <v>3858</v>
      </c>
      <c r="C1706" s="2646">
        <v>30.161999999999999</v>
      </c>
      <c r="D1706" s="2646">
        <v>69.849999999999994</v>
      </c>
      <c r="E1706" s="2646">
        <v>23.812000000000001</v>
      </c>
      <c r="F1706" s="2646" t="s">
        <v>2088</v>
      </c>
      <c r="G1706" s="2646" t="s">
        <v>2088</v>
      </c>
      <c r="H1706" s="2646" t="s">
        <v>2088</v>
      </c>
      <c r="I1706" s="2646" t="s">
        <v>2088</v>
      </c>
      <c r="J1706" s="2646">
        <v>0</v>
      </c>
      <c r="L1706" s="2646" t="s">
        <v>2088</v>
      </c>
    </row>
    <row r="1707" spans="1:12">
      <c r="A1707" s="2647" t="s">
        <v>99</v>
      </c>
      <c r="B1707" s="2647" t="s">
        <v>3859</v>
      </c>
      <c r="C1707" s="2647">
        <v>44.982999999999997</v>
      </c>
      <c r="D1707" s="2647">
        <v>82.930999999999997</v>
      </c>
      <c r="E1707" s="2647">
        <v>23.812000000000001</v>
      </c>
      <c r="F1707" s="2647" t="s">
        <v>2088</v>
      </c>
      <c r="G1707" s="2647" t="s">
        <v>2088</v>
      </c>
      <c r="H1707" s="2647" t="s">
        <v>2088</v>
      </c>
      <c r="I1707" s="2647" t="s">
        <v>2088</v>
      </c>
      <c r="J1707" s="2647">
        <v>0</v>
      </c>
      <c r="K1707" s="2648"/>
      <c r="L1707" s="2647" t="s">
        <v>2088</v>
      </c>
    </row>
    <row r="1708" spans="1:12">
      <c r="A1708" s="2646" t="s">
        <v>99</v>
      </c>
      <c r="B1708" s="2646" t="s">
        <v>3860</v>
      </c>
      <c r="C1708" s="2646">
        <v>44.45</v>
      </c>
      <c r="D1708" s="2646">
        <v>82.930999999999997</v>
      </c>
      <c r="E1708" s="2646">
        <v>23.812000000000001</v>
      </c>
      <c r="F1708" s="2646" t="s">
        <v>2088</v>
      </c>
      <c r="G1708" s="2646" t="s">
        <v>2088</v>
      </c>
      <c r="H1708" s="2646" t="s">
        <v>2088</v>
      </c>
      <c r="I1708" s="2646" t="s">
        <v>2088</v>
      </c>
      <c r="J1708" s="2646">
        <v>0</v>
      </c>
      <c r="L1708" s="2646" t="s">
        <v>2088</v>
      </c>
    </row>
    <row r="1709" spans="1:12">
      <c r="A1709" s="2647" t="s">
        <v>99</v>
      </c>
      <c r="B1709" s="2647" t="s">
        <v>3861</v>
      </c>
      <c r="C1709" s="2647">
        <v>44.45</v>
      </c>
      <c r="D1709" s="2647">
        <v>82.930999999999997</v>
      </c>
      <c r="E1709" s="2647">
        <v>23.812000000000001</v>
      </c>
      <c r="F1709" s="2647" t="s">
        <v>2088</v>
      </c>
      <c r="G1709" s="2647" t="s">
        <v>2088</v>
      </c>
      <c r="H1709" s="2647" t="s">
        <v>2088</v>
      </c>
      <c r="I1709" s="2647" t="s">
        <v>2088</v>
      </c>
      <c r="J1709" s="2647">
        <v>0</v>
      </c>
      <c r="K1709" s="2648"/>
      <c r="L1709" s="2647" t="s">
        <v>2088</v>
      </c>
    </row>
    <row r="1710" spans="1:12">
      <c r="A1710" s="2646" t="s">
        <v>99</v>
      </c>
      <c r="B1710" s="2646" t="s">
        <v>3862</v>
      </c>
      <c r="C1710" s="2646">
        <v>44.45</v>
      </c>
      <c r="D1710" s="2646">
        <v>82.930999999999997</v>
      </c>
      <c r="E1710" s="2646">
        <v>26.088000000000001</v>
      </c>
      <c r="F1710" s="2646" t="s">
        <v>2088</v>
      </c>
      <c r="G1710" s="2646" t="s">
        <v>2088</v>
      </c>
      <c r="H1710" s="2646" t="s">
        <v>2088</v>
      </c>
      <c r="I1710" s="2646" t="s">
        <v>2088</v>
      </c>
      <c r="J1710" s="2646">
        <v>0.60399999999999998</v>
      </c>
      <c r="L1710" s="2646" t="s">
        <v>2088</v>
      </c>
    </row>
    <row r="1711" spans="1:12">
      <c r="A1711" s="2647" t="s">
        <v>99</v>
      </c>
      <c r="B1711" s="2647" t="s">
        <v>3863</v>
      </c>
      <c r="C1711" s="2647">
        <v>44.45</v>
      </c>
      <c r="D1711" s="2647">
        <v>83.058000000000007</v>
      </c>
      <c r="E1711" s="2647">
        <v>23.812000000000001</v>
      </c>
      <c r="F1711" s="2647" t="s">
        <v>2088</v>
      </c>
      <c r="G1711" s="2647" t="s">
        <v>2088</v>
      </c>
      <c r="H1711" s="2647" t="s">
        <v>2088</v>
      </c>
      <c r="I1711" s="2647" t="s">
        <v>2088</v>
      </c>
      <c r="J1711" s="2647">
        <v>0</v>
      </c>
      <c r="K1711" s="2648"/>
      <c r="L1711" s="2647" t="s">
        <v>2088</v>
      </c>
    </row>
    <row r="1712" spans="1:12">
      <c r="A1712" s="2646" t="s">
        <v>99</v>
      </c>
      <c r="B1712" s="2646" t="s">
        <v>3864</v>
      </c>
      <c r="C1712" s="2646">
        <v>44.45</v>
      </c>
      <c r="D1712" s="2646">
        <v>82.930999999999997</v>
      </c>
      <c r="E1712" s="2646">
        <v>23.81</v>
      </c>
      <c r="F1712" s="2646" t="s">
        <v>2088</v>
      </c>
      <c r="G1712" s="2646" t="s">
        <v>2088</v>
      </c>
      <c r="H1712" s="2646" t="s">
        <v>2088</v>
      </c>
      <c r="I1712" s="2646" t="s">
        <v>2088</v>
      </c>
      <c r="J1712" s="2646">
        <v>0.57499999999999996</v>
      </c>
      <c r="L1712" s="2646" t="s">
        <v>2088</v>
      </c>
    </row>
    <row r="1713" spans="1:12">
      <c r="A1713" s="2647" t="s">
        <v>99</v>
      </c>
      <c r="B1713" s="2647" t="s">
        <v>3865</v>
      </c>
      <c r="C1713" s="2647">
        <v>30.161999999999999</v>
      </c>
      <c r="D1713" s="2647">
        <v>69.849999999999994</v>
      </c>
      <c r="E1713" s="2647">
        <v>23.812000000000001</v>
      </c>
      <c r="F1713" s="2647" t="s">
        <v>2088</v>
      </c>
      <c r="G1713" s="2647" t="s">
        <v>2088</v>
      </c>
      <c r="H1713" s="2647" t="s">
        <v>2088</v>
      </c>
      <c r="I1713" s="2647" t="s">
        <v>2088</v>
      </c>
      <c r="J1713" s="2647">
        <v>0</v>
      </c>
      <c r="K1713" s="2648"/>
      <c r="L1713" s="2647" t="s">
        <v>2088</v>
      </c>
    </row>
    <row r="1714" spans="1:12">
      <c r="A1714" s="2646" t="s">
        <v>99</v>
      </c>
      <c r="B1714" s="2646" t="s">
        <v>3866</v>
      </c>
      <c r="C1714" s="2646">
        <v>42.862000000000002</v>
      </c>
      <c r="D1714" s="2646">
        <v>82.930999999999997</v>
      </c>
      <c r="E1714" s="2646">
        <v>23.812000000000001</v>
      </c>
      <c r="F1714" s="2646" t="s">
        <v>2088</v>
      </c>
      <c r="G1714" s="2646" t="s">
        <v>2088</v>
      </c>
      <c r="H1714" s="2646" t="s">
        <v>2088</v>
      </c>
      <c r="I1714" s="2646" t="s">
        <v>2088</v>
      </c>
      <c r="J1714" s="2646">
        <v>0</v>
      </c>
      <c r="L1714" s="2646" t="s">
        <v>2088</v>
      </c>
    </row>
    <row r="1715" spans="1:12">
      <c r="A1715" s="2647" t="s">
        <v>99</v>
      </c>
      <c r="B1715" s="2647" t="s">
        <v>3867</v>
      </c>
      <c r="C1715" s="2647">
        <v>47.875</v>
      </c>
      <c r="D1715" s="2647">
        <v>82.930999999999997</v>
      </c>
      <c r="E1715" s="2647">
        <v>26.988</v>
      </c>
      <c r="F1715" s="2647" t="s">
        <v>2088</v>
      </c>
      <c r="G1715" s="2647" t="s">
        <v>2088</v>
      </c>
      <c r="H1715" s="2647" t="s">
        <v>2088</v>
      </c>
      <c r="I1715" s="2647" t="s">
        <v>2088</v>
      </c>
      <c r="J1715" s="2647">
        <v>0.629</v>
      </c>
      <c r="K1715" s="2648"/>
      <c r="L1715" s="2647" t="s">
        <v>2088</v>
      </c>
    </row>
    <row r="1716" spans="1:12">
      <c r="A1716" s="2646" t="s">
        <v>99</v>
      </c>
      <c r="B1716" s="2646" t="s">
        <v>3868</v>
      </c>
      <c r="C1716" s="2646">
        <v>47.875</v>
      </c>
      <c r="D1716" s="2646">
        <v>83.058000000000007</v>
      </c>
      <c r="E1716" s="2646">
        <v>23.876000000000001</v>
      </c>
      <c r="F1716" s="2646" t="s">
        <v>2088</v>
      </c>
      <c r="G1716" s="2646" t="s">
        <v>2088</v>
      </c>
      <c r="H1716" s="2646" t="s">
        <v>2088</v>
      </c>
      <c r="I1716" s="2646" t="s">
        <v>2088</v>
      </c>
      <c r="J1716" s="2646">
        <v>0.56399999999999995</v>
      </c>
      <c r="L1716" s="2646" t="s">
        <v>2088</v>
      </c>
    </row>
    <row r="1717" spans="1:12">
      <c r="A1717" s="2647" t="s">
        <v>99</v>
      </c>
      <c r="B1717" s="2647" t="s">
        <v>3869</v>
      </c>
      <c r="C1717" s="2647">
        <v>42.875</v>
      </c>
      <c r="D1717" s="2647">
        <v>83.058000000000007</v>
      </c>
      <c r="E1717" s="2647">
        <v>23.812000000000001</v>
      </c>
      <c r="F1717" s="2647" t="s">
        <v>2088</v>
      </c>
      <c r="G1717" s="2647" t="s">
        <v>2088</v>
      </c>
      <c r="H1717" s="2647" t="s">
        <v>2088</v>
      </c>
      <c r="I1717" s="2647" t="s">
        <v>2088</v>
      </c>
      <c r="J1717" s="2647">
        <v>0</v>
      </c>
      <c r="K1717" s="2648"/>
      <c r="L1717" s="2647" t="s">
        <v>2088</v>
      </c>
    </row>
    <row r="1718" spans="1:12">
      <c r="A1718" s="2646" t="s">
        <v>99</v>
      </c>
      <c r="B1718" s="2646" t="s">
        <v>3870</v>
      </c>
      <c r="C1718" s="2646">
        <v>42.8</v>
      </c>
      <c r="D1718" s="2646">
        <v>82.930999999999997</v>
      </c>
      <c r="E1718" s="2646">
        <v>23.81</v>
      </c>
      <c r="F1718" s="2646" t="s">
        <v>2088</v>
      </c>
      <c r="G1718" s="2646" t="s">
        <v>2088</v>
      </c>
      <c r="H1718" s="2646" t="s">
        <v>2088</v>
      </c>
      <c r="I1718" s="2646" t="s">
        <v>2088</v>
      </c>
      <c r="J1718" s="2646">
        <v>0.56200000000000006</v>
      </c>
      <c r="L1718" s="2646" t="s">
        <v>2088</v>
      </c>
    </row>
    <row r="1719" spans="1:12">
      <c r="A1719" s="2647" t="s">
        <v>99</v>
      </c>
      <c r="B1719" s="2647" t="s">
        <v>3871</v>
      </c>
      <c r="C1719" s="2647">
        <v>41.274999999999999</v>
      </c>
      <c r="D1719" s="2647">
        <v>76.2</v>
      </c>
      <c r="E1719" s="2647">
        <v>25.4</v>
      </c>
      <c r="F1719" s="2647" t="s">
        <v>2088</v>
      </c>
      <c r="G1719" s="2647" t="s">
        <v>2088</v>
      </c>
      <c r="H1719" s="2647" t="s">
        <v>2088</v>
      </c>
      <c r="I1719" s="2647" t="s">
        <v>2088</v>
      </c>
      <c r="J1719" s="2647">
        <v>0</v>
      </c>
      <c r="K1719" s="2648"/>
      <c r="L1719" s="2647" t="s">
        <v>2088</v>
      </c>
    </row>
    <row r="1720" spans="1:12">
      <c r="A1720" s="2646" t="s">
        <v>99</v>
      </c>
      <c r="B1720" s="2646" t="s">
        <v>3872</v>
      </c>
      <c r="C1720" s="2646">
        <v>41.274999999999999</v>
      </c>
      <c r="D1720" s="2646">
        <v>76.2</v>
      </c>
      <c r="E1720" s="2646">
        <v>22.225000000000001</v>
      </c>
      <c r="F1720" s="2646" t="s">
        <v>2088</v>
      </c>
      <c r="G1720" s="2646" t="s">
        <v>2088</v>
      </c>
      <c r="H1720" s="2646" t="s">
        <v>2088</v>
      </c>
      <c r="I1720" s="2646" t="s">
        <v>2088</v>
      </c>
      <c r="J1720" s="2646">
        <v>0</v>
      </c>
      <c r="L1720" s="2646" t="s">
        <v>2088</v>
      </c>
    </row>
    <row r="1721" spans="1:12">
      <c r="A1721" s="2647" t="s">
        <v>99</v>
      </c>
      <c r="B1721" s="2647" t="s">
        <v>3873</v>
      </c>
      <c r="C1721" s="2647">
        <v>25.4</v>
      </c>
      <c r="D1721" s="2647">
        <v>65.087999999999994</v>
      </c>
      <c r="E1721" s="2647">
        <v>22.225000000000001</v>
      </c>
      <c r="F1721" s="2647" t="s">
        <v>2088</v>
      </c>
      <c r="G1721" s="2647" t="s">
        <v>2088</v>
      </c>
      <c r="H1721" s="2647" t="s">
        <v>2088</v>
      </c>
      <c r="I1721" s="2647" t="s">
        <v>2088</v>
      </c>
      <c r="J1721" s="2647">
        <v>0.35599999999999998</v>
      </c>
      <c r="K1721" s="2648"/>
      <c r="L1721" s="2647" t="s">
        <v>2088</v>
      </c>
    </row>
    <row r="1722" spans="1:12">
      <c r="A1722" s="2646" t="s">
        <v>99</v>
      </c>
      <c r="B1722" s="2646" t="s">
        <v>3874</v>
      </c>
      <c r="C1722" s="2646">
        <v>42.862000000000002</v>
      </c>
      <c r="D1722" s="2646">
        <v>82.55</v>
      </c>
      <c r="E1722" s="2646">
        <v>26.957999999999998</v>
      </c>
      <c r="F1722" s="2646" t="s">
        <v>2088</v>
      </c>
      <c r="G1722" s="2646" t="s">
        <v>2088</v>
      </c>
      <c r="H1722" s="2646" t="s">
        <v>2088</v>
      </c>
      <c r="I1722" s="2646" t="s">
        <v>2088</v>
      </c>
      <c r="J1722" s="2646">
        <v>0.61699999999999999</v>
      </c>
      <c r="L1722" s="2646" t="s">
        <v>2088</v>
      </c>
    </row>
    <row r="1723" spans="1:12">
      <c r="A1723" s="2647" t="s">
        <v>99</v>
      </c>
      <c r="B1723" s="2647" t="s">
        <v>3875</v>
      </c>
      <c r="C1723" s="2647">
        <v>44.45</v>
      </c>
      <c r="D1723" s="2647">
        <v>82.930999999999997</v>
      </c>
      <c r="E1723" s="2647">
        <v>23.812999999999999</v>
      </c>
      <c r="F1723" s="2647" t="s">
        <v>2088</v>
      </c>
      <c r="G1723" s="2647" t="s">
        <v>2088</v>
      </c>
      <c r="H1723" s="2647" t="s">
        <v>2088</v>
      </c>
      <c r="I1723" s="2647" t="s">
        <v>2088</v>
      </c>
      <c r="J1723" s="2647">
        <v>0</v>
      </c>
      <c r="K1723" s="2648"/>
      <c r="L1723" s="2647" t="s">
        <v>2088</v>
      </c>
    </row>
    <row r="1724" spans="1:12">
      <c r="A1724" s="2646" t="s">
        <v>99</v>
      </c>
      <c r="B1724" s="2646" t="s">
        <v>3876</v>
      </c>
      <c r="C1724" s="2646">
        <v>34.924999999999997</v>
      </c>
      <c r="D1724" s="2646">
        <v>69.012</v>
      </c>
      <c r="E1724" s="2646">
        <v>19.844999999999999</v>
      </c>
      <c r="F1724" s="2646" t="s">
        <v>2088</v>
      </c>
      <c r="G1724" s="2646" t="s">
        <v>2088</v>
      </c>
      <c r="H1724" s="2646" t="s">
        <v>2088</v>
      </c>
      <c r="I1724" s="2646" t="s">
        <v>2088</v>
      </c>
      <c r="J1724" s="2646">
        <v>0</v>
      </c>
      <c r="L1724" s="2646" t="s">
        <v>2088</v>
      </c>
    </row>
    <row r="1725" spans="1:12">
      <c r="A1725" s="2647" t="s">
        <v>99</v>
      </c>
      <c r="B1725" s="2647" t="s">
        <v>3877</v>
      </c>
      <c r="C1725" s="2647">
        <v>33.338000000000001</v>
      </c>
      <c r="D1725" s="2647">
        <v>69.012</v>
      </c>
      <c r="E1725" s="2647">
        <v>19.844999999999999</v>
      </c>
      <c r="F1725" s="2647" t="s">
        <v>2088</v>
      </c>
      <c r="G1725" s="2647" t="s">
        <v>2088</v>
      </c>
      <c r="H1725" s="2647" t="s">
        <v>2088</v>
      </c>
      <c r="I1725" s="2647" t="s">
        <v>2088</v>
      </c>
      <c r="J1725" s="2647">
        <v>0</v>
      </c>
      <c r="K1725" s="2648"/>
      <c r="L1725" s="2647" t="s">
        <v>2088</v>
      </c>
    </row>
    <row r="1726" spans="1:12">
      <c r="A1726" s="2646" t="s">
        <v>99</v>
      </c>
      <c r="B1726" s="2646" t="s">
        <v>3878</v>
      </c>
      <c r="C1726" s="2646">
        <v>33.338000000000001</v>
      </c>
      <c r="D1726" s="2646">
        <v>69.012</v>
      </c>
      <c r="E1726" s="2646">
        <v>19.844999999999999</v>
      </c>
      <c r="F1726" s="2646" t="s">
        <v>2088</v>
      </c>
      <c r="G1726" s="2646" t="s">
        <v>2088</v>
      </c>
      <c r="H1726" s="2646" t="s">
        <v>2088</v>
      </c>
      <c r="I1726" s="2646" t="s">
        <v>2088</v>
      </c>
      <c r="J1726" s="2646">
        <v>0</v>
      </c>
      <c r="L1726" s="2646" t="s">
        <v>2088</v>
      </c>
    </row>
    <row r="1727" spans="1:12">
      <c r="A1727" s="2647" t="s">
        <v>99</v>
      </c>
      <c r="B1727" s="2647" t="s">
        <v>3879</v>
      </c>
      <c r="C1727" s="2647">
        <v>31.75</v>
      </c>
      <c r="D1727" s="2647">
        <v>69.012</v>
      </c>
      <c r="E1727" s="2647">
        <v>19.844999999999999</v>
      </c>
      <c r="F1727" s="2647" t="s">
        <v>2088</v>
      </c>
      <c r="G1727" s="2647" t="s">
        <v>2088</v>
      </c>
      <c r="H1727" s="2647" t="s">
        <v>2088</v>
      </c>
      <c r="I1727" s="2647" t="s">
        <v>2088</v>
      </c>
      <c r="J1727" s="2647">
        <v>0</v>
      </c>
      <c r="K1727" s="2648"/>
      <c r="L1727" s="2647" t="s">
        <v>2088</v>
      </c>
    </row>
    <row r="1728" spans="1:12">
      <c r="A1728" s="2646" t="s">
        <v>99</v>
      </c>
      <c r="B1728" s="2646" t="s">
        <v>3880</v>
      </c>
      <c r="C1728" s="2646">
        <v>31.75</v>
      </c>
      <c r="D1728" s="2646">
        <v>69.012</v>
      </c>
      <c r="E1728" s="2646">
        <v>19.844999999999999</v>
      </c>
      <c r="F1728" s="2646" t="s">
        <v>2088</v>
      </c>
      <c r="G1728" s="2646" t="s">
        <v>2088</v>
      </c>
      <c r="H1728" s="2646" t="s">
        <v>2088</v>
      </c>
      <c r="I1728" s="2646" t="s">
        <v>2088</v>
      </c>
      <c r="J1728" s="2646">
        <v>0.36499999999999999</v>
      </c>
      <c r="L1728" s="2646" t="s">
        <v>2088</v>
      </c>
    </row>
    <row r="1729" spans="1:12">
      <c r="A1729" s="2647" t="s">
        <v>99</v>
      </c>
      <c r="B1729" s="2647" t="s">
        <v>3881</v>
      </c>
      <c r="C1729" s="2647">
        <v>31.75</v>
      </c>
      <c r="D1729" s="2647">
        <v>69.611999999999995</v>
      </c>
      <c r="E1729" s="2647">
        <v>19.545000000000002</v>
      </c>
      <c r="F1729" s="2647" t="s">
        <v>2088</v>
      </c>
      <c r="G1729" s="2647" t="s">
        <v>2088</v>
      </c>
      <c r="H1729" s="2647" t="s">
        <v>2088</v>
      </c>
      <c r="I1729" s="2647" t="s">
        <v>2088</v>
      </c>
      <c r="J1729" s="2647">
        <v>0.75900000000000001</v>
      </c>
      <c r="K1729" s="2648"/>
      <c r="L1729" s="2647" t="s">
        <v>2088</v>
      </c>
    </row>
    <row r="1730" spans="1:12">
      <c r="A1730" s="2646" t="s">
        <v>99</v>
      </c>
      <c r="B1730" s="2646" t="s">
        <v>3882</v>
      </c>
      <c r="C1730" s="2646">
        <v>31.75</v>
      </c>
      <c r="D1730" s="2646">
        <v>69.012</v>
      </c>
      <c r="E1730" s="2646">
        <v>19.844999999999999</v>
      </c>
      <c r="F1730" s="2646" t="s">
        <v>2088</v>
      </c>
      <c r="G1730" s="2646" t="s">
        <v>2088</v>
      </c>
      <c r="H1730" s="2646" t="s">
        <v>2088</v>
      </c>
      <c r="I1730" s="2646" t="s">
        <v>2088</v>
      </c>
      <c r="J1730" s="2646">
        <v>0.34100000000000003</v>
      </c>
      <c r="L1730" s="2646" t="s">
        <v>2088</v>
      </c>
    </row>
    <row r="1731" spans="1:12">
      <c r="A1731" s="2647" t="s">
        <v>99</v>
      </c>
      <c r="B1731" s="2647" t="s">
        <v>3883</v>
      </c>
      <c r="C1731" s="2647">
        <v>30.622</v>
      </c>
      <c r="D1731" s="2647">
        <v>69.012</v>
      </c>
      <c r="E1731" s="2647">
        <v>19.844999999999999</v>
      </c>
      <c r="F1731" s="2647" t="s">
        <v>2088</v>
      </c>
      <c r="G1731" s="2647" t="s">
        <v>2088</v>
      </c>
      <c r="H1731" s="2647" t="s">
        <v>2088</v>
      </c>
      <c r="I1731" s="2647" t="s">
        <v>2088</v>
      </c>
      <c r="J1731" s="2647">
        <v>0</v>
      </c>
      <c r="K1731" s="2648"/>
      <c r="L1731" s="2647" t="s">
        <v>2088</v>
      </c>
    </row>
    <row r="1732" spans="1:12">
      <c r="A1732" s="2646" t="s">
        <v>99</v>
      </c>
      <c r="B1732" s="2646" t="s">
        <v>3884</v>
      </c>
      <c r="C1732" s="2646">
        <v>30</v>
      </c>
      <c r="D1732" s="2646">
        <v>69.012</v>
      </c>
      <c r="E1732" s="2646">
        <v>19.844999999999999</v>
      </c>
      <c r="F1732" s="2646" t="s">
        <v>2088</v>
      </c>
      <c r="G1732" s="2646" t="s">
        <v>2088</v>
      </c>
      <c r="H1732" s="2646" t="s">
        <v>2088</v>
      </c>
      <c r="I1732" s="2646" t="s">
        <v>2088</v>
      </c>
      <c r="J1732" s="2646">
        <v>0</v>
      </c>
      <c r="L1732" s="2646" t="s">
        <v>2088</v>
      </c>
    </row>
    <row r="1733" spans="1:12">
      <c r="A1733" s="2647" t="s">
        <v>99</v>
      </c>
      <c r="B1733" s="2647" t="s">
        <v>3885</v>
      </c>
      <c r="C1733" s="2647">
        <v>30.225999999999999</v>
      </c>
      <c r="D1733" s="2647">
        <v>72.084999999999994</v>
      </c>
      <c r="E1733" s="2647">
        <v>22.385000000000002</v>
      </c>
      <c r="F1733" s="2647" t="s">
        <v>2088</v>
      </c>
      <c r="G1733" s="2647" t="s">
        <v>2088</v>
      </c>
      <c r="H1733" s="2647" t="s">
        <v>2088</v>
      </c>
      <c r="I1733" s="2647" t="s">
        <v>2088</v>
      </c>
      <c r="J1733" s="2647">
        <v>0</v>
      </c>
      <c r="K1733" s="2648"/>
      <c r="L1733" s="2647" t="s">
        <v>2088</v>
      </c>
    </row>
    <row r="1734" spans="1:12">
      <c r="A1734" s="2646" t="s">
        <v>99</v>
      </c>
      <c r="B1734" s="2646" t="s">
        <v>3886</v>
      </c>
      <c r="C1734" s="2646">
        <v>30.622</v>
      </c>
      <c r="D1734" s="2646">
        <v>69.012</v>
      </c>
      <c r="E1734" s="2646">
        <v>19.844999999999999</v>
      </c>
      <c r="F1734" s="2646" t="s">
        <v>2088</v>
      </c>
      <c r="G1734" s="2646" t="s">
        <v>2088</v>
      </c>
      <c r="H1734" s="2646" t="s">
        <v>2088</v>
      </c>
      <c r="I1734" s="2646" t="s">
        <v>2088</v>
      </c>
      <c r="J1734" s="2646">
        <v>0</v>
      </c>
      <c r="L1734" s="2646" t="s">
        <v>2088</v>
      </c>
    </row>
    <row r="1735" spans="1:12">
      <c r="A1735" s="2647" t="s">
        <v>99</v>
      </c>
      <c r="B1735" s="2647" t="s">
        <v>3887</v>
      </c>
      <c r="C1735" s="2647">
        <v>30.225999999999999</v>
      </c>
      <c r="D1735" s="2647">
        <v>69.012</v>
      </c>
      <c r="E1735" s="2647">
        <v>19.844999999999999</v>
      </c>
      <c r="F1735" s="2647" t="s">
        <v>2088</v>
      </c>
      <c r="G1735" s="2647" t="s">
        <v>2088</v>
      </c>
      <c r="H1735" s="2647" t="s">
        <v>2088</v>
      </c>
      <c r="I1735" s="2647" t="s">
        <v>2088</v>
      </c>
      <c r="J1735" s="2647">
        <v>0</v>
      </c>
      <c r="K1735" s="2648"/>
      <c r="L1735" s="2647" t="s">
        <v>2088</v>
      </c>
    </row>
    <row r="1736" spans="1:12">
      <c r="A1736" s="2646" t="s">
        <v>99</v>
      </c>
      <c r="B1736" s="2646" t="s">
        <v>3888</v>
      </c>
      <c r="C1736" s="2646">
        <v>36.512</v>
      </c>
      <c r="D1736" s="2646">
        <v>69.012</v>
      </c>
      <c r="E1736" s="2646">
        <v>19.05</v>
      </c>
      <c r="F1736" s="2646" t="s">
        <v>2088</v>
      </c>
      <c r="G1736" s="2646" t="s">
        <v>2088</v>
      </c>
      <c r="H1736" s="2646" t="s">
        <v>2088</v>
      </c>
      <c r="I1736" s="2646" t="s">
        <v>2088</v>
      </c>
      <c r="J1736" s="2646">
        <v>0</v>
      </c>
      <c r="L1736" s="2646" t="s">
        <v>2088</v>
      </c>
    </row>
    <row r="1737" spans="1:12">
      <c r="A1737" s="2647" t="s">
        <v>99</v>
      </c>
      <c r="B1737" s="2647" t="s">
        <v>3889</v>
      </c>
      <c r="C1737" s="2647">
        <v>22.225000000000001</v>
      </c>
      <c r="D1737" s="2647">
        <v>57.15</v>
      </c>
      <c r="E1737" s="2647">
        <v>22.225000000000001</v>
      </c>
      <c r="F1737" s="2647" t="s">
        <v>2088</v>
      </c>
      <c r="G1737" s="2647" t="s">
        <v>2088</v>
      </c>
      <c r="H1737" s="2647" t="s">
        <v>2088</v>
      </c>
      <c r="I1737" s="2647" t="s">
        <v>2088</v>
      </c>
      <c r="J1737" s="2647">
        <v>0.28599999999999998</v>
      </c>
      <c r="K1737" s="2648"/>
      <c r="L1737" s="2647" t="s">
        <v>2088</v>
      </c>
    </row>
    <row r="1738" spans="1:12">
      <c r="A1738" s="2646" t="s">
        <v>99</v>
      </c>
      <c r="B1738" s="2646" t="s">
        <v>3890</v>
      </c>
      <c r="C1738" s="2646">
        <v>20.638000000000002</v>
      </c>
      <c r="D1738" s="2646">
        <v>49.225000000000001</v>
      </c>
      <c r="E1738" s="2646">
        <v>19.844999999999999</v>
      </c>
      <c r="F1738" s="2646" t="s">
        <v>2088</v>
      </c>
      <c r="G1738" s="2646" t="s">
        <v>2088</v>
      </c>
      <c r="H1738" s="2646" t="s">
        <v>2088</v>
      </c>
      <c r="I1738" s="2646" t="s">
        <v>2088</v>
      </c>
      <c r="J1738" s="2646">
        <v>0.16500000000000001</v>
      </c>
      <c r="L1738" s="2646" t="s">
        <v>2088</v>
      </c>
    </row>
    <row r="1739" spans="1:12">
      <c r="A1739" s="2647" t="s">
        <v>99</v>
      </c>
      <c r="B1739" s="2647" t="s">
        <v>3891</v>
      </c>
      <c r="C1739" s="2647">
        <v>15.875</v>
      </c>
      <c r="D1739" s="2647">
        <v>42.862000000000002</v>
      </c>
      <c r="E1739" s="2647">
        <v>14.288</v>
      </c>
      <c r="F1739" s="2647" t="s">
        <v>2088</v>
      </c>
      <c r="G1739" s="2647" t="s">
        <v>2088</v>
      </c>
      <c r="H1739" s="2647" t="s">
        <v>2088</v>
      </c>
      <c r="I1739" s="2647" t="s">
        <v>2088</v>
      </c>
      <c r="J1739" s="2647">
        <v>0</v>
      </c>
      <c r="K1739" s="2648"/>
      <c r="L1739" s="2647" t="s">
        <v>2088</v>
      </c>
    </row>
    <row r="1740" spans="1:12">
      <c r="A1740" s="2646" t="s">
        <v>99</v>
      </c>
      <c r="B1740" s="2646" t="s">
        <v>3892</v>
      </c>
      <c r="C1740" s="2646">
        <v>41.274999999999999</v>
      </c>
      <c r="D1740" s="2646">
        <v>80</v>
      </c>
      <c r="E1740" s="2646">
        <v>18.009</v>
      </c>
      <c r="F1740" s="2646" t="s">
        <v>2088</v>
      </c>
      <c r="G1740" s="2646" t="s">
        <v>2088</v>
      </c>
      <c r="H1740" s="2646" t="s">
        <v>2088</v>
      </c>
      <c r="I1740" s="2646" t="s">
        <v>2088</v>
      </c>
      <c r="J1740" s="2646">
        <v>0</v>
      </c>
      <c r="L1740" s="2646" t="s">
        <v>2088</v>
      </c>
    </row>
    <row r="1741" spans="1:12">
      <c r="A1741" s="2647" t="s">
        <v>99</v>
      </c>
      <c r="B1741" s="2647" t="s">
        <v>3893</v>
      </c>
      <c r="C1741" s="2647">
        <v>41.274999999999999</v>
      </c>
      <c r="D1741" s="2647">
        <v>76.2</v>
      </c>
      <c r="E1741" s="2647">
        <v>18.009</v>
      </c>
      <c r="F1741" s="2647" t="s">
        <v>2088</v>
      </c>
      <c r="G1741" s="2647" t="s">
        <v>2088</v>
      </c>
      <c r="H1741" s="2647" t="s">
        <v>2088</v>
      </c>
      <c r="I1741" s="2647" t="s">
        <v>2088</v>
      </c>
      <c r="J1741" s="2647">
        <v>0</v>
      </c>
      <c r="K1741" s="2648"/>
      <c r="L1741" s="2647" t="s">
        <v>2088</v>
      </c>
    </row>
    <row r="1742" spans="1:12">
      <c r="A1742" s="2646" t="s">
        <v>99</v>
      </c>
      <c r="B1742" s="2646" t="s">
        <v>3894</v>
      </c>
      <c r="C1742" s="2646">
        <v>19.05</v>
      </c>
      <c r="D1742" s="2646">
        <v>49.225000000000001</v>
      </c>
      <c r="E1742" s="2646">
        <v>23.02</v>
      </c>
      <c r="F1742" s="2646" t="s">
        <v>2088</v>
      </c>
      <c r="G1742" s="2646" t="s">
        <v>2088</v>
      </c>
      <c r="H1742" s="2646" t="s">
        <v>2088</v>
      </c>
      <c r="I1742" s="2646" t="s">
        <v>2088</v>
      </c>
      <c r="J1742" s="2646">
        <v>0.19700000000000001</v>
      </c>
      <c r="L1742" s="2646" t="s">
        <v>2088</v>
      </c>
    </row>
    <row r="1743" spans="1:12">
      <c r="A1743" s="2647" t="s">
        <v>99</v>
      </c>
      <c r="B1743" s="2647" t="s">
        <v>3895</v>
      </c>
      <c r="C1743" s="2647">
        <v>19.05</v>
      </c>
      <c r="D1743" s="2647">
        <v>49.225000000000001</v>
      </c>
      <c r="E1743" s="2647">
        <v>18.033999999999999</v>
      </c>
      <c r="F1743" s="2647" t="s">
        <v>2088</v>
      </c>
      <c r="G1743" s="2647" t="s">
        <v>2088</v>
      </c>
      <c r="H1743" s="2647" t="s">
        <v>2088</v>
      </c>
      <c r="I1743" s="2647" t="s">
        <v>2088</v>
      </c>
      <c r="J1743" s="2647">
        <v>0.17399999999999999</v>
      </c>
      <c r="K1743" s="2648"/>
      <c r="L1743" s="2647" t="s">
        <v>2088</v>
      </c>
    </row>
    <row r="1744" spans="1:12">
      <c r="A1744" s="2646" t="s">
        <v>99</v>
      </c>
      <c r="B1744" s="2646" t="s">
        <v>3896</v>
      </c>
      <c r="C1744" s="2646">
        <v>25.4</v>
      </c>
      <c r="D1744" s="2646">
        <v>50.005000000000003</v>
      </c>
      <c r="E1744" s="2646">
        <v>13.494999999999999</v>
      </c>
      <c r="F1744" s="2646" t="s">
        <v>2088</v>
      </c>
      <c r="G1744" s="2646" t="s">
        <v>2088</v>
      </c>
      <c r="H1744" s="2646" t="s">
        <v>2088</v>
      </c>
      <c r="I1744" s="2646" t="s">
        <v>2088</v>
      </c>
      <c r="J1744" s="2646">
        <v>0.11899999999999999</v>
      </c>
      <c r="L1744" s="2646" t="s">
        <v>2088</v>
      </c>
    </row>
    <row r="1745" spans="1:12">
      <c r="A1745" s="2647" t="s">
        <v>99</v>
      </c>
      <c r="B1745" s="2647" t="s">
        <v>3897</v>
      </c>
      <c r="C1745" s="2647">
        <v>23.812000000000001</v>
      </c>
      <c r="D1745" s="2647">
        <v>50.005000000000003</v>
      </c>
      <c r="E1745" s="2647">
        <v>13.494999999999999</v>
      </c>
      <c r="F1745" s="2647" t="s">
        <v>2088</v>
      </c>
      <c r="G1745" s="2647" t="s">
        <v>2088</v>
      </c>
      <c r="H1745" s="2647" t="s">
        <v>2088</v>
      </c>
      <c r="I1745" s="2647" t="s">
        <v>2088</v>
      </c>
      <c r="J1745" s="2647">
        <v>0.11899999999999999</v>
      </c>
      <c r="K1745" s="2648"/>
      <c r="L1745" s="2647" t="s">
        <v>2088</v>
      </c>
    </row>
    <row r="1746" spans="1:12">
      <c r="A1746" s="2646" t="s">
        <v>99</v>
      </c>
      <c r="B1746" s="2646" t="s">
        <v>3898</v>
      </c>
      <c r="C1746" s="2646">
        <v>22.225000000000001</v>
      </c>
      <c r="D1746" s="2646">
        <v>60.8</v>
      </c>
      <c r="E1746" s="2646">
        <v>15.010999999999999</v>
      </c>
      <c r="F1746" s="2646" t="s">
        <v>2088</v>
      </c>
      <c r="G1746" s="2646" t="s">
        <v>2088</v>
      </c>
      <c r="H1746" s="2646" t="s">
        <v>2088</v>
      </c>
      <c r="I1746" s="2646" t="s">
        <v>2088</v>
      </c>
      <c r="J1746" s="2646">
        <v>0</v>
      </c>
      <c r="L1746" s="2646" t="s">
        <v>2088</v>
      </c>
    </row>
    <row r="1747" spans="1:12">
      <c r="A1747" s="2647" t="s">
        <v>99</v>
      </c>
      <c r="B1747" s="2647" t="s">
        <v>3899</v>
      </c>
      <c r="C1747" s="2647">
        <v>34.924999999999997</v>
      </c>
      <c r="D1747" s="2647">
        <v>73.025000000000006</v>
      </c>
      <c r="E1747" s="2647">
        <v>22.225000000000001</v>
      </c>
      <c r="F1747" s="2647" t="s">
        <v>2088</v>
      </c>
      <c r="G1747" s="2647" t="s">
        <v>2088</v>
      </c>
      <c r="H1747" s="2647" t="s">
        <v>2088</v>
      </c>
      <c r="I1747" s="2647" t="s">
        <v>2088</v>
      </c>
      <c r="J1747" s="2647">
        <v>0.49099999999999999</v>
      </c>
      <c r="K1747" s="2648"/>
      <c r="L1747" s="2647" t="s">
        <v>2088</v>
      </c>
    </row>
    <row r="1748" spans="1:12">
      <c r="A1748" s="2646" t="s">
        <v>99</v>
      </c>
      <c r="B1748" s="2646" t="s">
        <v>3900</v>
      </c>
      <c r="C1748" s="2646">
        <v>31.75</v>
      </c>
      <c r="D1748" s="2646">
        <v>68.263000000000005</v>
      </c>
      <c r="E1748" s="2646">
        <v>22.225000000000001</v>
      </c>
      <c r="F1748" s="2646" t="s">
        <v>2088</v>
      </c>
      <c r="G1748" s="2646" t="s">
        <v>2088</v>
      </c>
      <c r="H1748" s="2646" t="s">
        <v>2088</v>
      </c>
      <c r="I1748" s="2646" t="s">
        <v>2088</v>
      </c>
      <c r="J1748" s="2646">
        <v>0.36499999999999999</v>
      </c>
      <c r="L1748" s="2646" t="s">
        <v>2088</v>
      </c>
    </row>
    <row r="1749" spans="1:12">
      <c r="A1749" s="2647" t="s">
        <v>99</v>
      </c>
      <c r="B1749" s="2647" t="s">
        <v>3901</v>
      </c>
      <c r="C1749" s="2647">
        <v>35</v>
      </c>
      <c r="D1749" s="2647">
        <v>80</v>
      </c>
      <c r="E1749" s="2647">
        <v>29.25</v>
      </c>
      <c r="F1749" s="2647" t="s">
        <v>2088</v>
      </c>
      <c r="G1749" s="2647" t="s">
        <v>2088</v>
      </c>
      <c r="H1749" s="2647" t="s">
        <v>2088</v>
      </c>
      <c r="I1749" s="2647" t="s">
        <v>2088</v>
      </c>
      <c r="J1749" s="2647">
        <v>0.69899999999999995</v>
      </c>
      <c r="K1749" s="2648"/>
      <c r="L1749" s="2647" t="s">
        <v>3901</v>
      </c>
    </row>
    <row r="1750" spans="1:12">
      <c r="A1750" s="2646" t="s">
        <v>99</v>
      </c>
      <c r="B1750" s="2646" t="s">
        <v>3902</v>
      </c>
      <c r="C1750" s="2646">
        <v>55</v>
      </c>
      <c r="D1750" s="2646">
        <v>130</v>
      </c>
      <c r="E1750" s="2646">
        <v>36</v>
      </c>
      <c r="F1750" s="2646" t="s">
        <v>2088</v>
      </c>
      <c r="G1750" s="2646" t="s">
        <v>2088</v>
      </c>
      <c r="H1750" s="2646" t="s">
        <v>2088</v>
      </c>
      <c r="I1750" s="2646" t="s">
        <v>2088</v>
      </c>
      <c r="J1750" s="2646">
        <v>2</v>
      </c>
      <c r="L1750" s="2646" t="s">
        <v>3902</v>
      </c>
    </row>
    <row r="1751" spans="1:12">
      <c r="A1751" s="2647" t="s">
        <v>99</v>
      </c>
      <c r="B1751" s="2647" t="s">
        <v>3903</v>
      </c>
      <c r="C1751" s="2647">
        <v>33</v>
      </c>
      <c r="D1751" s="2647">
        <v>100</v>
      </c>
      <c r="E1751" s="2647">
        <v>33.340000000000003</v>
      </c>
      <c r="F1751" s="2647" t="s">
        <v>2088</v>
      </c>
      <c r="G1751" s="2647" t="s">
        <v>2088</v>
      </c>
      <c r="H1751" s="2647" t="s">
        <v>2088</v>
      </c>
      <c r="I1751" s="2647" t="s">
        <v>2088</v>
      </c>
      <c r="J1751" s="2647">
        <v>1.252</v>
      </c>
      <c r="K1751" s="2648"/>
      <c r="L1751" s="2647" t="s">
        <v>3904</v>
      </c>
    </row>
    <row r="1752" spans="1:12">
      <c r="A1752" s="2646" t="s">
        <v>99</v>
      </c>
      <c r="B1752" s="2646" t="s">
        <v>3905</v>
      </c>
      <c r="C1752" s="2646">
        <v>29</v>
      </c>
      <c r="D1752" s="2646">
        <v>85</v>
      </c>
      <c r="E1752" s="2646">
        <v>30.2</v>
      </c>
      <c r="F1752" s="2646" t="s">
        <v>2088</v>
      </c>
      <c r="G1752" s="2646" t="s">
        <v>2088</v>
      </c>
      <c r="H1752" s="2646" t="s">
        <v>2088</v>
      </c>
      <c r="I1752" s="2646" t="s">
        <v>2088</v>
      </c>
      <c r="J1752" s="2646">
        <v>0.78100000000000003</v>
      </c>
      <c r="L1752" s="2646" t="s">
        <v>3906</v>
      </c>
    </row>
    <row r="1753" spans="1:12">
      <c r="A1753" s="2647" t="s">
        <v>99</v>
      </c>
      <c r="B1753" s="2647" t="s">
        <v>3907</v>
      </c>
      <c r="C1753" s="2647">
        <v>30</v>
      </c>
      <c r="D1753" s="2647">
        <v>72</v>
      </c>
      <c r="E1753" s="2647">
        <v>20.25</v>
      </c>
      <c r="F1753" s="2647" t="s">
        <v>2088</v>
      </c>
      <c r="G1753" s="2647" t="s">
        <v>2088</v>
      </c>
      <c r="H1753" s="2647" t="s">
        <v>2088</v>
      </c>
      <c r="I1753" s="2647" t="s">
        <v>2088</v>
      </c>
      <c r="J1753" s="2647">
        <v>0.39700000000000002</v>
      </c>
      <c r="K1753" s="2648"/>
      <c r="L1753" s="2647" t="s">
        <v>2088</v>
      </c>
    </row>
    <row r="1754" spans="1:12">
      <c r="A1754" s="2646" t="s">
        <v>99</v>
      </c>
      <c r="B1754" s="2646" t="s">
        <v>3908</v>
      </c>
      <c r="C1754" s="2646">
        <v>65</v>
      </c>
      <c r="D1754" s="2646">
        <v>130</v>
      </c>
      <c r="E1754" s="2646">
        <v>51</v>
      </c>
      <c r="F1754" s="2646" t="s">
        <v>2088</v>
      </c>
      <c r="G1754" s="2646" t="s">
        <v>2088</v>
      </c>
      <c r="H1754" s="2646" t="s">
        <v>2088</v>
      </c>
      <c r="I1754" s="2646" t="s">
        <v>2088</v>
      </c>
      <c r="J1754" s="2646">
        <v>2.9740000000000002</v>
      </c>
      <c r="L1754" s="2646" t="s">
        <v>2088</v>
      </c>
    </row>
    <row r="1755" spans="1:12">
      <c r="A1755" s="2647" t="s">
        <v>99</v>
      </c>
      <c r="B1755" s="2647" t="s">
        <v>3909</v>
      </c>
      <c r="C1755" s="2647">
        <v>35</v>
      </c>
      <c r="D1755" s="2647">
        <v>80</v>
      </c>
      <c r="E1755" s="2647">
        <v>29.25</v>
      </c>
      <c r="F1755" s="2647" t="s">
        <v>2088</v>
      </c>
      <c r="G1755" s="2647" t="s">
        <v>2088</v>
      </c>
      <c r="H1755" s="2647" t="s">
        <v>2088</v>
      </c>
      <c r="I1755" s="2647" t="s">
        <v>2088</v>
      </c>
      <c r="J1755" s="2647">
        <v>0.71099999999999997</v>
      </c>
      <c r="K1755" s="2648"/>
      <c r="L1755" s="2647" t="s">
        <v>2088</v>
      </c>
    </row>
    <row r="1756" spans="1:12">
      <c r="A1756" s="2646" t="s">
        <v>99</v>
      </c>
      <c r="B1756" s="2646" t="s">
        <v>3910</v>
      </c>
      <c r="C1756" s="2646">
        <v>45</v>
      </c>
      <c r="D1756" s="2646">
        <v>106</v>
      </c>
      <c r="E1756" s="2646">
        <v>20.75</v>
      </c>
      <c r="F1756" s="2646" t="s">
        <v>2088</v>
      </c>
      <c r="G1756" s="2646" t="s">
        <v>2088</v>
      </c>
      <c r="H1756" s="2646" t="s">
        <v>2088</v>
      </c>
      <c r="I1756" s="2646" t="s">
        <v>2088</v>
      </c>
      <c r="J1756" s="2646">
        <v>0.77700000000000002</v>
      </c>
      <c r="L1756" s="2646" t="s">
        <v>2088</v>
      </c>
    </row>
    <row r="1757" spans="1:12">
      <c r="A1757" s="2647" t="s">
        <v>99</v>
      </c>
      <c r="B1757" s="2647" t="s">
        <v>3911</v>
      </c>
      <c r="C1757" s="2647">
        <v>40</v>
      </c>
      <c r="D1757" s="2647">
        <v>80</v>
      </c>
      <c r="E1757" s="2647">
        <v>30.164999999999999</v>
      </c>
      <c r="F1757" s="2647" t="s">
        <v>2088</v>
      </c>
      <c r="G1757" s="2647" t="s">
        <v>2088</v>
      </c>
      <c r="H1757" s="2647" t="s">
        <v>2088</v>
      </c>
      <c r="I1757" s="2647" t="s">
        <v>2088</v>
      </c>
      <c r="J1757" s="2647">
        <v>0</v>
      </c>
      <c r="K1757" s="2648"/>
      <c r="L1757" s="2647" t="s">
        <v>2088</v>
      </c>
    </row>
    <row r="1758" spans="1:12">
      <c r="A1758" s="2646" t="s">
        <v>99</v>
      </c>
      <c r="B1758" s="2646" t="s">
        <v>3912</v>
      </c>
      <c r="C1758" s="2646">
        <v>501.65</v>
      </c>
      <c r="D1758" s="2646">
        <v>711.2</v>
      </c>
      <c r="E1758" s="2646">
        <v>520.70000000000005</v>
      </c>
      <c r="F1758" s="2646" t="s">
        <v>2088</v>
      </c>
      <c r="G1758" s="2646" t="s">
        <v>2088</v>
      </c>
      <c r="H1758" s="2646" t="s">
        <v>2088</v>
      </c>
      <c r="I1758" s="2646" t="s">
        <v>2088</v>
      </c>
      <c r="J1758" s="2646">
        <v>699</v>
      </c>
      <c r="L1758" s="2646" t="s">
        <v>3913</v>
      </c>
    </row>
    <row r="1759" spans="1:12">
      <c r="A1759" s="2647" t="s">
        <v>99</v>
      </c>
      <c r="B1759" s="2647" t="s">
        <v>3914</v>
      </c>
      <c r="C1759" s="2647">
        <v>304.90199999999999</v>
      </c>
      <c r="D1759" s="2647">
        <v>412.64800000000002</v>
      </c>
      <c r="E1759" s="2647">
        <v>266.7</v>
      </c>
      <c r="F1759" s="2647" t="s">
        <v>2088</v>
      </c>
      <c r="G1759" s="2647" t="s">
        <v>2088</v>
      </c>
      <c r="H1759" s="2647" t="s">
        <v>2088</v>
      </c>
      <c r="I1759" s="2647" t="s">
        <v>2088</v>
      </c>
      <c r="J1759" s="2647">
        <v>109</v>
      </c>
      <c r="K1759" s="2648"/>
      <c r="L1759" s="2647" t="s">
        <v>3915</v>
      </c>
    </row>
    <row r="1760" spans="1:12">
      <c r="A1760" s="2646" t="s">
        <v>99</v>
      </c>
      <c r="B1760" s="2646" t="s">
        <v>3916</v>
      </c>
      <c r="C1760" s="2646">
        <v>269.875</v>
      </c>
      <c r="D1760" s="2646">
        <v>381</v>
      </c>
      <c r="E1760" s="2646">
        <v>282.58</v>
      </c>
      <c r="F1760" s="2646" t="s">
        <v>2088</v>
      </c>
      <c r="G1760" s="2646" t="s">
        <v>2088</v>
      </c>
      <c r="H1760" s="2646" t="s">
        <v>2088</v>
      </c>
      <c r="I1760" s="2646" t="s">
        <v>2088</v>
      </c>
      <c r="J1760" s="2646">
        <v>99.9</v>
      </c>
      <c r="L1760" s="2646" t="s">
        <v>2088</v>
      </c>
    </row>
    <row r="1761" spans="1:12">
      <c r="A1761" s="2647" t="s">
        <v>99</v>
      </c>
      <c r="B1761" s="2647" t="s">
        <v>3917</v>
      </c>
      <c r="C1761" s="2647">
        <v>269.875</v>
      </c>
      <c r="D1761" s="2647">
        <v>381</v>
      </c>
      <c r="E1761" s="2647">
        <v>282.58</v>
      </c>
      <c r="F1761" s="2647" t="s">
        <v>2088</v>
      </c>
      <c r="G1761" s="2647" t="s">
        <v>2088</v>
      </c>
      <c r="H1761" s="2647" t="s">
        <v>2088</v>
      </c>
      <c r="I1761" s="2647" t="s">
        <v>2088</v>
      </c>
      <c r="J1761" s="2647">
        <v>99.9</v>
      </c>
      <c r="K1761" s="2648"/>
      <c r="L1761" s="2647" t="s">
        <v>3918</v>
      </c>
    </row>
    <row r="1762" spans="1:12">
      <c r="A1762" s="2646" t="s">
        <v>99</v>
      </c>
      <c r="B1762" s="2646" t="s">
        <v>3919</v>
      </c>
      <c r="C1762" s="2646">
        <v>50</v>
      </c>
      <c r="D1762" s="2646">
        <v>140</v>
      </c>
      <c r="E1762" s="2646">
        <v>48.24</v>
      </c>
      <c r="F1762" s="2646" t="s">
        <v>2088</v>
      </c>
      <c r="G1762" s="2646" t="s">
        <v>2088</v>
      </c>
      <c r="H1762" s="2646" t="s">
        <v>2088</v>
      </c>
      <c r="I1762" s="2646" t="s">
        <v>2088</v>
      </c>
      <c r="J1762" s="2646">
        <v>2.21</v>
      </c>
      <c r="L1762" s="2646" t="s">
        <v>3920</v>
      </c>
    </row>
    <row r="1763" spans="1:12">
      <c r="A1763" s="2647" t="s">
        <v>99</v>
      </c>
      <c r="B1763" s="2647" t="s">
        <v>3921</v>
      </c>
      <c r="C1763" s="2647">
        <v>317.5</v>
      </c>
      <c r="D1763" s="2647">
        <v>447.67500000000001</v>
      </c>
      <c r="E1763" s="2647">
        <v>327.02499999999998</v>
      </c>
      <c r="F1763" s="2647" t="s">
        <v>2088</v>
      </c>
      <c r="G1763" s="2647" t="s">
        <v>2088</v>
      </c>
      <c r="H1763" s="2647" t="s">
        <v>2088</v>
      </c>
      <c r="I1763" s="2647" t="s">
        <v>2088</v>
      </c>
      <c r="J1763" s="2647">
        <v>162</v>
      </c>
      <c r="K1763" s="2648"/>
      <c r="L1763" s="2647" t="s">
        <v>2088</v>
      </c>
    </row>
    <row r="1764" spans="1:12">
      <c r="A1764" s="2646" t="s">
        <v>99</v>
      </c>
      <c r="B1764" s="2646" t="s">
        <v>3922</v>
      </c>
      <c r="C1764" s="2646">
        <v>237</v>
      </c>
      <c r="D1764" s="2646">
        <v>327</v>
      </c>
      <c r="E1764" s="2646">
        <v>141.30000000000001</v>
      </c>
      <c r="F1764" s="2646" t="s">
        <v>2088</v>
      </c>
      <c r="G1764" s="2646" t="s">
        <v>2088</v>
      </c>
      <c r="H1764" s="2646" t="s">
        <v>2088</v>
      </c>
      <c r="I1764" s="2646" t="s">
        <v>2088</v>
      </c>
      <c r="J1764" s="2646">
        <v>30</v>
      </c>
      <c r="L1764" s="2646" t="s">
        <v>2088</v>
      </c>
    </row>
    <row r="1765" spans="1:12">
      <c r="A1765" s="2647" t="s">
        <v>99</v>
      </c>
      <c r="B1765" s="2647" t="s">
        <v>3923</v>
      </c>
      <c r="C1765" s="2647">
        <v>167.7</v>
      </c>
      <c r="D1765" s="2647">
        <v>250</v>
      </c>
      <c r="E1765" s="2647">
        <v>203</v>
      </c>
      <c r="F1765" s="2647" t="s">
        <v>2088</v>
      </c>
      <c r="G1765" s="2647" t="s">
        <v>2088</v>
      </c>
      <c r="H1765" s="2647" t="s">
        <v>2088</v>
      </c>
      <c r="I1765" s="2647" t="s">
        <v>2088</v>
      </c>
      <c r="J1765" s="2647">
        <v>38.4</v>
      </c>
      <c r="K1765" s="2648"/>
      <c r="L1765" s="2647" t="s">
        <v>2088</v>
      </c>
    </row>
    <row r="1766" spans="1:12">
      <c r="A1766" s="2646" t="s">
        <v>99</v>
      </c>
      <c r="B1766" s="2646" t="s">
        <v>3924</v>
      </c>
      <c r="C1766" s="2646">
        <v>0</v>
      </c>
      <c r="D1766" s="2646">
        <v>170</v>
      </c>
      <c r="E1766" s="2646">
        <v>140.80000000000001</v>
      </c>
      <c r="F1766" s="2646" t="s">
        <v>2088</v>
      </c>
      <c r="G1766" s="2646" t="s">
        <v>2088</v>
      </c>
      <c r="H1766" s="2646" t="s">
        <v>2088</v>
      </c>
      <c r="I1766" s="2646" t="s">
        <v>2088</v>
      </c>
      <c r="J1766" s="2646">
        <v>13.3</v>
      </c>
      <c r="L1766" s="2646" t="s">
        <v>2088</v>
      </c>
    </row>
    <row r="1767" spans="1:12">
      <c r="A1767" s="2647" t="s">
        <v>99</v>
      </c>
      <c r="B1767" s="2647" t="s">
        <v>3925</v>
      </c>
      <c r="C1767" s="2647">
        <v>127</v>
      </c>
      <c r="D1767" s="2647">
        <v>195</v>
      </c>
      <c r="E1767" s="2647">
        <v>161.5</v>
      </c>
      <c r="F1767" s="2647" t="s">
        <v>2088</v>
      </c>
      <c r="G1767" s="2647" t="s">
        <v>2088</v>
      </c>
      <c r="H1767" s="2647" t="s">
        <v>2088</v>
      </c>
      <c r="I1767" s="2647" t="s">
        <v>2088</v>
      </c>
      <c r="J1767" s="2647">
        <v>23</v>
      </c>
      <c r="K1767" s="2648"/>
      <c r="L1767" s="2647" t="s">
        <v>2088</v>
      </c>
    </row>
    <row r="1768" spans="1:12">
      <c r="A1768" s="2646" t="s">
        <v>99</v>
      </c>
      <c r="B1768" s="2646" t="s">
        <v>3926</v>
      </c>
      <c r="C1768" s="2646">
        <v>185</v>
      </c>
      <c r="D1768" s="2646">
        <v>325.5</v>
      </c>
      <c r="E1768" s="2646">
        <v>224</v>
      </c>
      <c r="F1768" s="2646" t="s">
        <v>2088</v>
      </c>
      <c r="G1768" s="2646" t="s">
        <v>2088</v>
      </c>
      <c r="H1768" s="2646" t="s">
        <v>2088</v>
      </c>
      <c r="I1768" s="2646" t="s">
        <v>2088</v>
      </c>
      <c r="J1768" s="2646">
        <v>71.3</v>
      </c>
      <c r="L1768" s="2646" t="s">
        <v>2088</v>
      </c>
    </row>
    <row r="1769" spans="1:12">
      <c r="A1769" s="2647" t="s">
        <v>99</v>
      </c>
      <c r="B1769" s="2647" t="s">
        <v>3927</v>
      </c>
      <c r="C1769" s="2647">
        <v>185</v>
      </c>
      <c r="D1769" s="2647">
        <v>310</v>
      </c>
      <c r="E1769" s="2647">
        <v>222.5</v>
      </c>
      <c r="F1769" s="2647" t="s">
        <v>2088</v>
      </c>
      <c r="G1769" s="2647" t="s">
        <v>2088</v>
      </c>
      <c r="H1769" s="2647" t="s">
        <v>2088</v>
      </c>
      <c r="I1769" s="2647" t="s">
        <v>2088</v>
      </c>
      <c r="J1769" s="2647">
        <v>75</v>
      </c>
      <c r="K1769" s="2648"/>
      <c r="L1769" s="2647" t="s">
        <v>2088</v>
      </c>
    </row>
    <row r="1770" spans="1:12">
      <c r="A1770" s="2646" t="s">
        <v>99</v>
      </c>
      <c r="B1770" s="2646" t="s">
        <v>3928</v>
      </c>
      <c r="C1770" s="2646">
        <v>242</v>
      </c>
      <c r="D1770" s="2646">
        <v>318</v>
      </c>
      <c r="E1770" s="2646">
        <v>257</v>
      </c>
      <c r="F1770" s="2646" t="s">
        <v>2088</v>
      </c>
      <c r="G1770" s="2646" t="s">
        <v>2088</v>
      </c>
      <c r="H1770" s="2646" t="s">
        <v>2088</v>
      </c>
      <c r="I1770" s="2646" t="s">
        <v>2088</v>
      </c>
      <c r="J1770" s="2646">
        <v>66.900000000000006</v>
      </c>
      <c r="L1770" s="2646" t="s">
        <v>2088</v>
      </c>
    </row>
    <row r="1771" spans="1:12">
      <c r="A1771" s="2647" t="s">
        <v>99</v>
      </c>
      <c r="B1771" s="2647" t="s">
        <v>3929</v>
      </c>
      <c r="C1771" s="2647">
        <v>25</v>
      </c>
      <c r="D1771" s="2647">
        <v>52</v>
      </c>
      <c r="E1771" s="2647">
        <v>37</v>
      </c>
      <c r="F1771" s="2647" t="s">
        <v>2088</v>
      </c>
      <c r="G1771" s="2647" t="s">
        <v>2088</v>
      </c>
      <c r="H1771" s="2647" t="s">
        <v>2088</v>
      </c>
      <c r="I1771" s="2647" t="s">
        <v>2088</v>
      </c>
      <c r="J1771" s="2647">
        <v>0.35899999999999999</v>
      </c>
      <c r="K1771" s="2648"/>
      <c r="L1771" s="2647" t="s">
        <v>2088</v>
      </c>
    </row>
    <row r="1772" spans="1:12">
      <c r="A1772" s="2646" t="s">
        <v>99</v>
      </c>
      <c r="B1772" s="2646" t="s">
        <v>3930</v>
      </c>
      <c r="C1772" s="2646">
        <v>55</v>
      </c>
      <c r="D1772" s="2646">
        <v>130</v>
      </c>
      <c r="E1772" s="2646">
        <v>36</v>
      </c>
      <c r="F1772" s="2646" t="s">
        <v>2088</v>
      </c>
      <c r="G1772" s="2646" t="s">
        <v>2088</v>
      </c>
      <c r="H1772" s="2646" t="s">
        <v>2088</v>
      </c>
      <c r="I1772" s="2646" t="s">
        <v>2088</v>
      </c>
      <c r="J1772" s="2646">
        <v>2.0859999999999999</v>
      </c>
      <c r="L1772" s="2646" t="s">
        <v>2088</v>
      </c>
    </row>
    <row r="1773" spans="1:12">
      <c r="A1773" s="2647" t="s">
        <v>99</v>
      </c>
      <c r="B1773" s="2647" t="s">
        <v>3931</v>
      </c>
      <c r="C1773" s="2647">
        <v>55</v>
      </c>
      <c r="D1773" s="2647">
        <v>100</v>
      </c>
      <c r="E1773" s="2647">
        <v>32</v>
      </c>
      <c r="F1773" s="2647" t="s">
        <v>2088</v>
      </c>
      <c r="G1773" s="2647" t="s">
        <v>2088</v>
      </c>
      <c r="H1773" s="2647" t="s">
        <v>2088</v>
      </c>
      <c r="I1773" s="2647" t="s">
        <v>2088</v>
      </c>
      <c r="J1773" s="2647">
        <v>0</v>
      </c>
      <c r="K1773" s="2648"/>
      <c r="L1773" s="2647" t="s">
        <v>2088</v>
      </c>
    </row>
    <row r="1774" spans="1:12">
      <c r="A1774" s="2646" t="s">
        <v>99</v>
      </c>
      <c r="B1774" s="2646" t="s">
        <v>3932</v>
      </c>
      <c r="C1774" s="2646">
        <v>23</v>
      </c>
      <c r="D1774" s="2646">
        <v>52</v>
      </c>
      <c r="E1774" s="2646">
        <v>14.26</v>
      </c>
      <c r="F1774" s="2646" t="s">
        <v>2088</v>
      </c>
      <c r="G1774" s="2646" t="s">
        <v>2088</v>
      </c>
      <c r="H1774" s="2646" t="s">
        <v>2088</v>
      </c>
      <c r="I1774" s="2646" t="s">
        <v>2088</v>
      </c>
      <c r="J1774" s="2646">
        <v>0.153</v>
      </c>
      <c r="L1774" s="2646" t="s">
        <v>2088</v>
      </c>
    </row>
    <row r="1775" spans="1:12">
      <c r="A1775" s="2647" t="s">
        <v>99</v>
      </c>
      <c r="B1775" s="2647" t="s">
        <v>3933</v>
      </c>
      <c r="C1775" s="2647">
        <v>26</v>
      </c>
      <c r="D1775" s="2647">
        <v>52</v>
      </c>
      <c r="E1775" s="2647">
        <v>14.26</v>
      </c>
      <c r="F1775" s="2647" t="s">
        <v>2088</v>
      </c>
      <c r="G1775" s="2647" t="s">
        <v>2088</v>
      </c>
      <c r="H1775" s="2647" t="s">
        <v>2088</v>
      </c>
      <c r="I1775" s="2647" t="s">
        <v>2088</v>
      </c>
      <c r="J1775" s="2647">
        <v>0.14000000000000001</v>
      </c>
      <c r="K1775" s="2648"/>
      <c r="L1775" s="2647" t="s">
        <v>2088</v>
      </c>
    </row>
    <row r="1776" spans="1:12">
      <c r="A1776" s="2646" t="s">
        <v>99</v>
      </c>
      <c r="B1776" s="2646" t="s">
        <v>3934</v>
      </c>
      <c r="C1776" s="2646">
        <v>15</v>
      </c>
      <c r="D1776" s="2646">
        <v>42</v>
      </c>
      <c r="E1776" s="2646">
        <v>13.5</v>
      </c>
      <c r="F1776" s="2646" t="s">
        <v>2088</v>
      </c>
      <c r="G1776" s="2646" t="s">
        <v>2088</v>
      </c>
      <c r="H1776" s="2646" t="s">
        <v>2088</v>
      </c>
      <c r="I1776" s="2646" t="s">
        <v>2088</v>
      </c>
      <c r="J1776" s="2646">
        <v>9.5000000000000001E-2</v>
      </c>
      <c r="L1776" s="2646" t="s">
        <v>2088</v>
      </c>
    </row>
    <row r="1777" spans="1:12">
      <c r="A1777" s="2647" t="s">
        <v>99</v>
      </c>
      <c r="B1777" s="2647" t="s">
        <v>3935</v>
      </c>
      <c r="C1777" s="2647">
        <v>15</v>
      </c>
      <c r="D1777" s="2647">
        <v>24.988</v>
      </c>
      <c r="E1777" s="2647">
        <v>10.785</v>
      </c>
      <c r="F1777" s="2647" t="s">
        <v>2088</v>
      </c>
      <c r="G1777" s="2647" t="s">
        <v>2088</v>
      </c>
      <c r="H1777" s="2647" t="s">
        <v>2088</v>
      </c>
      <c r="I1777" s="2647" t="s">
        <v>2088</v>
      </c>
      <c r="J1777" s="2647">
        <v>0.05</v>
      </c>
      <c r="K1777" s="2648"/>
      <c r="L1777" s="2647" t="s">
        <v>2088</v>
      </c>
    </row>
    <row r="1778" spans="1:12">
      <c r="A1778" s="2646" t="s">
        <v>99</v>
      </c>
      <c r="B1778" s="2646" t="s">
        <v>3936</v>
      </c>
      <c r="C1778" s="2646">
        <v>41</v>
      </c>
      <c r="D1778" s="2646">
        <v>68</v>
      </c>
      <c r="E1778" s="2646">
        <v>19</v>
      </c>
      <c r="F1778" s="2646" t="s">
        <v>2088</v>
      </c>
      <c r="G1778" s="2646" t="s">
        <v>2088</v>
      </c>
      <c r="H1778" s="2646" t="s">
        <v>2088</v>
      </c>
      <c r="I1778" s="2646" t="s">
        <v>2088</v>
      </c>
      <c r="J1778" s="2646">
        <v>0.25600000000000001</v>
      </c>
      <c r="L1778" s="2646" t="s">
        <v>2088</v>
      </c>
    </row>
    <row r="1779" spans="1:12">
      <c r="A1779" s="2647" t="s">
        <v>99</v>
      </c>
      <c r="B1779" s="2647" t="s">
        <v>3937</v>
      </c>
      <c r="C1779" s="2647">
        <v>19.05</v>
      </c>
      <c r="D1779" s="2647">
        <v>53.975000000000001</v>
      </c>
      <c r="E1779" s="2647">
        <v>22.225000000000001</v>
      </c>
      <c r="F1779" s="2647" t="s">
        <v>2088</v>
      </c>
      <c r="G1779" s="2647" t="s">
        <v>2088</v>
      </c>
      <c r="H1779" s="2647" t="s">
        <v>2088</v>
      </c>
      <c r="I1779" s="2647" t="s">
        <v>2088</v>
      </c>
      <c r="J1779" s="2647">
        <v>0</v>
      </c>
      <c r="K1779" s="2648"/>
      <c r="L1779" s="2647" t="s">
        <v>2088</v>
      </c>
    </row>
    <row r="1780" spans="1:12">
      <c r="A1780" s="2646" t="s">
        <v>99</v>
      </c>
      <c r="B1780" s="2646" t="s">
        <v>3938</v>
      </c>
      <c r="C1780" s="2646">
        <v>15.875</v>
      </c>
      <c r="D1780" s="2646">
        <v>53.975000000000001</v>
      </c>
      <c r="E1780" s="2646">
        <v>22.225000000000001</v>
      </c>
      <c r="F1780" s="2646" t="s">
        <v>2088</v>
      </c>
      <c r="G1780" s="2646" t="s">
        <v>2088</v>
      </c>
      <c r="H1780" s="2646" t="s">
        <v>2088</v>
      </c>
      <c r="I1780" s="2646" t="s">
        <v>2088</v>
      </c>
      <c r="J1780" s="2646">
        <v>0</v>
      </c>
      <c r="L1780" s="2646" t="s">
        <v>2088</v>
      </c>
    </row>
    <row r="1781" spans="1:12">
      <c r="A1781" s="2647" t="s">
        <v>99</v>
      </c>
      <c r="B1781" s="2647" t="s">
        <v>3939</v>
      </c>
      <c r="C1781" s="2647">
        <v>50.8</v>
      </c>
      <c r="D1781" s="2647">
        <v>88.9</v>
      </c>
      <c r="E1781" s="2647">
        <v>17.462</v>
      </c>
      <c r="F1781" s="2647" t="s">
        <v>2088</v>
      </c>
      <c r="G1781" s="2647" t="s">
        <v>2088</v>
      </c>
      <c r="H1781" s="2647" t="s">
        <v>2088</v>
      </c>
      <c r="I1781" s="2647" t="s">
        <v>2088</v>
      </c>
      <c r="J1781" s="2647">
        <v>0</v>
      </c>
      <c r="K1781" s="2648"/>
      <c r="L1781" s="2647" t="s">
        <v>2088</v>
      </c>
    </row>
    <row r="1782" spans="1:12">
      <c r="A1782" s="2646" t="s">
        <v>99</v>
      </c>
      <c r="B1782" s="2646" t="s">
        <v>3940</v>
      </c>
      <c r="C1782" s="2646">
        <v>50.8</v>
      </c>
      <c r="D1782" s="2646">
        <v>85</v>
      </c>
      <c r="E1782" s="2646">
        <v>17.462</v>
      </c>
      <c r="F1782" s="2646" t="s">
        <v>2088</v>
      </c>
      <c r="G1782" s="2646" t="s">
        <v>2088</v>
      </c>
      <c r="H1782" s="2646" t="s">
        <v>2088</v>
      </c>
      <c r="I1782" s="2646" t="s">
        <v>2088</v>
      </c>
      <c r="J1782" s="2646">
        <v>0.38800000000000001</v>
      </c>
      <c r="L1782" s="2646" t="s">
        <v>2088</v>
      </c>
    </row>
    <row r="1783" spans="1:12">
      <c r="A1783" s="2647" t="s">
        <v>99</v>
      </c>
      <c r="B1783" s="2647" t="s">
        <v>3941</v>
      </c>
      <c r="C1783" s="2647">
        <v>50.8</v>
      </c>
      <c r="D1783" s="2647">
        <v>85</v>
      </c>
      <c r="E1783" s="2647">
        <v>17.462</v>
      </c>
      <c r="F1783" s="2647" t="s">
        <v>2088</v>
      </c>
      <c r="G1783" s="2647" t="s">
        <v>2088</v>
      </c>
      <c r="H1783" s="2647" t="s">
        <v>2088</v>
      </c>
      <c r="I1783" s="2647" t="s">
        <v>2088</v>
      </c>
      <c r="J1783" s="2647">
        <v>0.36699999999999999</v>
      </c>
      <c r="K1783" s="2648"/>
      <c r="L1783" s="2647" t="s">
        <v>2088</v>
      </c>
    </row>
    <row r="1784" spans="1:12">
      <c r="A1784" s="2646" t="s">
        <v>99</v>
      </c>
      <c r="B1784" s="2646" t="s">
        <v>3942</v>
      </c>
      <c r="C1784" s="2646">
        <v>46.037999999999997</v>
      </c>
      <c r="D1784" s="2646">
        <v>79.375</v>
      </c>
      <c r="E1784" s="2646">
        <v>17.462</v>
      </c>
      <c r="F1784" s="2646" t="s">
        <v>2088</v>
      </c>
      <c r="G1784" s="2646" t="s">
        <v>2088</v>
      </c>
      <c r="H1784" s="2646" t="s">
        <v>2088</v>
      </c>
      <c r="I1784" s="2646" t="s">
        <v>2088</v>
      </c>
      <c r="J1784" s="2646">
        <v>0.33100000000000002</v>
      </c>
      <c r="L1784" s="2646" t="s">
        <v>2088</v>
      </c>
    </row>
    <row r="1785" spans="1:12">
      <c r="A1785" s="2647" t="s">
        <v>99</v>
      </c>
      <c r="B1785" s="2647" t="s">
        <v>3943</v>
      </c>
      <c r="C1785" s="2647">
        <v>41.274999999999999</v>
      </c>
      <c r="D1785" s="2647">
        <v>73.025000000000006</v>
      </c>
      <c r="E1785" s="2647">
        <v>16.667000000000002</v>
      </c>
      <c r="F1785" s="2647" t="s">
        <v>2088</v>
      </c>
      <c r="G1785" s="2647" t="s">
        <v>2088</v>
      </c>
      <c r="H1785" s="2647" t="s">
        <v>2088</v>
      </c>
      <c r="I1785" s="2647" t="s">
        <v>2088</v>
      </c>
      <c r="J1785" s="2647">
        <v>0.27500000000000002</v>
      </c>
      <c r="K1785" s="2648"/>
      <c r="L1785" s="2647" t="s">
        <v>2088</v>
      </c>
    </row>
    <row r="1786" spans="1:12">
      <c r="A1786" s="2646" t="s">
        <v>99</v>
      </c>
      <c r="B1786" s="2646" t="s">
        <v>3944</v>
      </c>
      <c r="C1786" s="2646">
        <v>45.23</v>
      </c>
      <c r="D1786" s="2646">
        <v>79.98</v>
      </c>
      <c r="E1786" s="2646">
        <v>19.850000000000001</v>
      </c>
      <c r="F1786" s="2646" t="s">
        <v>2088</v>
      </c>
      <c r="G1786" s="2646" t="s">
        <v>2088</v>
      </c>
      <c r="H1786" s="2646" t="s">
        <v>2088</v>
      </c>
      <c r="I1786" s="2646" t="s">
        <v>2088</v>
      </c>
      <c r="J1786" s="2646">
        <v>0.41</v>
      </c>
      <c r="L1786" s="2646" t="s">
        <v>2088</v>
      </c>
    </row>
    <row r="1787" spans="1:12">
      <c r="A1787" s="2647" t="s">
        <v>99</v>
      </c>
      <c r="B1787" s="2647" t="s">
        <v>3945</v>
      </c>
      <c r="C1787" s="2647">
        <v>22.22</v>
      </c>
      <c r="D1787" s="2647">
        <v>56.89</v>
      </c>
      <c r="E1787" s="2647">
        <v>19.36</v>
      </c>
      <c r="F1787" s="2647" t="s">
        <v>2088</v>
      </c>
      <c r="G1787" s="2647" t="s">
        <v>2088</v>
      </c>
      <c r="H1787" s="2647" t="s">
        <v>2088</v>
      </c>
      <c r="I1787" s="2647" t="s">
        <v>2088</v>
      </c>
      <c r="J1787" s="2647">
        <v>0.25800000000000001</v>
      </c>
      <c r="K1787" s="2648"/>
      <c r="L1787" s="2647" t="s">
        <v>2088</v>
      </c>
    </row>
    <row r="1788" spans="1:12">
      <c r="A1788" s="2646" t="s">
        <v>99</v>
      </c>
      <c r="B1788" s="2646" t="s">
        <v>3946</v>
      </c>
      <c r="C1788" s="2646">
        <v>38.1</v>
      </c>
      <c r="D1788" s="2646">
        <v>72.33</v>
      </c>
      <c r="E1788" s="2646">
        <v>20.638000000000002</v>
      </c>
      <c r="F1788" s="2646" t="s">
        <v>2088</v>
      </c>
      <c r="G1788" s="2646" t="s">
        <v>2088</v>
      </c>
      <c r="H1788" s="2646" t="s">
        <v>2088</v>
      </c>
      <c r="I1788" s="2646" t="s">
        <v>2088</v>
      </c>
      <c r="J1788" s="2646">
        <v>0.34599999999999997</v>
      </c>
      <c r="L1788" s="2646" t="s">
        <v>2088</v>
      </c>
    </row>
    <row r="1789" spans="1:12">
      <c r="A1789" s="2647" t="s">
        <v>99</v>
      </c>
      <c r="B1789" s="2647" t="s">
        <v>3947</v>
      </c>
      <c r="C1789" s="2647">
        <v>38.1</v>
      </c>
      <c r="D1789" s="2647">
        <v>72</v>
      </c>
      <c r="E1789" s="2647">
        <v>19</v>
      </c>
      <c r="F1789" s="2647" t="s">
        <v>2088</v>
      </c>
      <c r="G1789" s="2647" t="s">
        <v>2088</v>
      </c>
      <c r="H1789" s="2647" t="s">
        <v>2088</v>
      </c>
      <c r="I1789" s="2647" t="s">
        <v>2088</v>
      </c>
      <c r="J1789" s="2647">
        <v>0.33</v>
      </c>
      <c r="K1789" s="2648"/>
      <c r="L1789" s="2647" t="s">
        <v>2088</v>
      </c>
    </row>
    <row r="1790" spans="1:12">
      <c r="A1790" s="2646" t="s">
        <v>99</v>
      </c>
      <c r="B1790" s="2646" t="s">
        <v>3948</v>
      </c>
      <c r="C1790" s="2646">
        <v>34.93</v>
      </c>
      <c r="D1790" s="2646">
        <v>71.989999999999995</v>
      </c>
      <c r="E1790" s="2646">
        <v>20.64</v>
      </c>
      <c r="F1790" s="2646" t="s">
        <v>2088</v>
      </c>
      <c r="G1790" s="2646" t="s">
        <v>2088</v>
      </c>
      <c r="H1790" s="2646" t="s">
        <v>2088</v>
      </c>
      <c r="I1790" s="2646" t="s">
        <v>2088</v>
      </c>
      <c r="J1790" s="2646">
        <v>0.374</v>
      </c>
      <c r="L1790" s="2646" t="s">
        <v>2088</v>
      </c>
    </row>
    <row r="1791" spans="1:12">
      <c r="A1791" s="2647" t="s">
        <v>99</v>
      </c>
      <c r="B1791" s="2647" t="s">
        <v>3949</v>
      </c>
      <c r="C1791" s="2647">
        <v>25.986999999999998</v>
      </c>
      <c r="D1791" s="2647">
        <v>57.15</v>
      </c>
      <c r="E1791" s="2647">
        <v>17.462</v>
      </c>
      <c r="F1791" s="2647" t="s">
        <v>2088</v>
      </c>
      <c r="G1791" s="2647" t="s">
        <v>2088</v>
      </c>
      <c r="H1791" s="2647" t="s">
        <v>2088</v>
      </c>
      <c r="I1791" s="2647" t="s">
        <v>2088</v>
      </c>
      <c r="J1791" s="2647">
        <v>0.21099999999999999</v>
      </c>
      <c r="K1791" s="2648"/>
      <c r="L1791" s="2647" t="s">
        <v>2088</v>
      </c>
    </row>
    <row r="1792" spans="1:12">
      <c r="A1792" s="2646" t="s">
        <v>99</v>
      </c>
      <c r="B1792" s="2646" t="s">
        <v>3950</v>
      </c>
      <c r="C1792" s="2646">
        <v>31.75</v>
      </c>
      <c r="D1792" s="2646">
        <v>62</v>
      </c>
      <c r="E1792" s="2646">
        <v>19.05</v>
      </c>
      <c r="F1792" s="2646" t="s">
        <v>2088</v>
      </c>
      <c r="G1792" s="2646" t="s">
        <v>2088</v>
      </c>
      <c r="H1792" s="2646" t="s">
        <v>2088</v>
      </c>
      <c r="I1792" s="2646" t="s">
        <v>2088</v>
      </c>
      <c r="J1792" s="2646">
        <v>0.25700000000000001</v>
      </c>
      <c r="L1792" s="2646" t="s">
        <v>2088</v>
      </c>
    </row>
    <row r="1793" spans="1:12">
      <c r="A1793" s="2647" t="s">
        <v>99</v>
      </c>
      <c r="B1793" s="2647" t="s">
        <v>3951</v>
      </c>
      <c r="C1793" s="2647">
        <v>31.75</v>
      </c>
      <c r="D1793" s="2647">
        <v>62</v>
      </c>
      <c r="E1793" s="2647">
        <v>19.05</v>
      </c>
      <c r="F1793" s="2647" t="s">
        <v>2088</v>
      </c>
      <c r="G1793" s="2647" t="s">
        <v>2088</v>
      </c>
      <c r="H1793" s="2647" t="s">
        <v>2088</v>
      </c>
      <c r="I1793" s="2647" t="s">
        <v>2088</v>
      </c>
      <c r="J1793" s="2647">
        <v>0</v>
      </c>
      <c r="K1793" s="2648"/>
      <c r="L1793" s="2647" t="s">
        <v>2088</v>
      </c>
    </row>
    <row r="1794" spans="1:12">
      <c r="A1794" s="2646" t="s">
        <v>99</v>
      </c>
      <c r="B1794" s="2646" t="s">
        <v>3952</v>
      </c>
      <c r="C1794" s="2646">
        <v>31.75</v>
      </c>
      <c r="D1794" s="2646">
        <v>63.5</v>
      </c>
      <c r="E1794" s="2646">
        <v>20.638000000000002</v>
      </c>
      <c r="F1794" s="2646" t="s">
        <v>2088</v>
      </c>
      <c r="G1794" s="2646" t="s">
        <v>2088</v>
      </c>
      <c r="H1794" s="2646" t="s">
        <v>2088</v>
      </c>
      <c r="I1794" s="2646" t="s">
        <v>2088</v>
      </c>
      <c r="J1794" s="2646">
        <v>0</v>
      </c>
      <c r="L1794" s="2646" t="s">
        <v>2088</v>
      </c>
    </row>
    <row r="1795" spans="1:12">
      <c r="A1795" s="2647" t="s">
        <v>99</v>
      </c>
      <c r="B1795" s="2647" t="s">
        <v>3953</v>
      </c>
      <c r="C1795" s="2647">
        <v>31.75</v>
      </c>
      <c r="D1795" s="2647">
        <v>62</v>
      </c>
      <c r="E1795" s="2647">
        <v>19.05</v>
      </c>
      <c r="F1795" s="2647" t="s">
        <v>2088</v>
      </c>
      <c r="G1795" s="2647" t="s">
        <v>2088</v>
      </c>
      <c r="H1795" s="2647" t="s">
        <v>2088</v>
      </c>
      <c r="I1795" s="2647" t="s">
        <v>2088</v>
      </c>
      <c r="J1795" s="2647">
        <v>0.24399999999999999</v>
      </c>
      <c r="K1795" s="2648"/>
      <c r="L1795" s="2647" t="s">
        <v>2088</v>
      </c>
    </row>
    <row r="1796" spans="1:12">
      <c r="A1796" s="2646" t="s">
        <v>99</v>
      </c>
      <c r="B1796" s="2646" t="s">
        <v>3954</v>
      </c>
      <c r="C1796" s="2646">
        <v>30.213000000000001</v>
      </c>
      <c r="D1796" s="2646">
        <v>62</v>
      </c>
      <c r="E1796" s="2646">
        <v>19.05</v>
      </c>
      <c r="F1796" s="2646" t="s">
        <v>2088</v>
      </c>
      <c r="G1796" s="2646" t="s">
        <v>2088</v>
      </c>
      <c r="H1796" s="2646" t="s">
        <v>2088</v>
      </c>
      <c r="I1796" s="2646" t="s">
        <v>2088</v>
      </c>
      <c r="J1796" s="2646">
        <v>0</v>
      </c>
      <c r="L1796" s="2646" t="s">
        <v>2088</v>
      </c>
    </row>
    <row r="1797" spans="1:12">
      <c r="A1797" s="2647" t="s">
        <v>99</v>
      </c>
      <c r="B1797" s="2647" t="s">
        <v>3955</v>
      </c>
      <c r="C1797" s="2647">
        <v>30.213000000000001</v>
      </c>
      <c r="D1797" s="2647">
        <v>62</v>
      </c>
      <c r="E1797" s="2647">
        <v>19.05</v>
      </c>
      <c r="F1797" s="2647" t="s">
        <v>2088</v>
      </c>
      <c r="G1797" s="2647" t="s">
        <v>2088</v>
      </c>
      <c r="H1797" s="2647" t="s">
        <v>2088</v>
      </c>
      <c r="I1797" s="2647" t="s">
        <v>2088</v>
      </c>
      <c r="J1797" s="2647">
        <v>0</v>
      </c>
      <c r="K1797" s="2648"/>
      <c r="L1797" s="2647" t="s">
        <v>2088</v>
      </c>
    </row>
    <row r="1798" spans="1:12">
      <c r="A1798" s="2646" t="s">
        <v>99</v>
      </c>
      <c r="B1798" s="2646" t="s">
        <v>3956</v>
      </c>
      <c r="C1798" s="2646">
        <v>30.213000000000001</v>
      </c>
      <c r="D1798" s="2646">
        <v>62</v>
      </c>
      <c r="E1798" s="2646">
        <v>19.05</v>
      </c>
      <c r="F1798" s="2646" t="s">
        <v>2088</v>
      </c>
      <c r="G1798" s="2646" t="s">
        <v>2088</v>
      </c>
      <c r="H1798" s="2646" t="s">
        <v>2088</v>
      </c>
      <c r="I1798" s="2646" t="s">
        <v>2088</v>
      </c>
      <c r="J1798" s="2646">
        <v>0</v>
      </c>
      <c r="L1798" s="2646" t="s">
        <v>2088</v>
      </c>
    </row>
    <row r="1799" spans="1:12">
      <c r="A1799" s="2647" t="s">
        <v>99</v>
      </c>
      <c r="B1799" s="2647" t="s">
        <v>3957</v>
      </c>
      <c r="C1799" s="2647">
        <v>29.986999999999998</v>
      </c>
      <c r="D1799" s="2647">
        <v>62</v>
      </c>
      <c r="E1799" s="2647">
        <v>19.05</v>
      </c>
      <c r="F1799" s="2647" t="s">
        <v>2088</v>
      </c>
      <c r="G1799" s="2647" t="s">
        <v>2088</v>
      </c>
      <c r="H1799" s="2647" t="s">
        <v>2088</v>
      </c>
      <c r="I1799" s="2647" t="s">
        <v>2088</v>
      </c>
      <c r="J1799" s="2647">
        <v>0</v>
      </c>
      <c r="K1799" s="2648"/>
      <c r="L1799" s="2647" t="s">
        <v>2088</v>
      </c>
    </row>
    <row r="1800" spans="1:12">
      <c r="A1800" s="2646" t="s">
        <v>99</v>
      </c>
      <c r="B1800" s="2646" t="s">
        <v>3958</v>
      </c>
      <c r="C1800" s="2646">
        <v>30.111999999999998</v>
      </c>
      <c r="D1800" s="2646">
        <v>62</v>
      </c>
      <c r="E1800" s="2646">
        <v>19.05</v>
      </c>
      <c r="F1800" s="2646" t="s">
        <v>2088</v>
      </c>
      <c r="G1800" s="2646" t="s">
        <v>2088</v>
      </c>
      <c r="H1800" s="2646" t="s">
        <v>2088</v>
      </c>
      <c r="I1800" s="2646" t="s">
        <v>2088</v>
      </c>
      <c r="J1800" s="2646">
        <v>0</v>
      </c>
      <c r="L1800" s="2646" t="s">
        <v>2088</v>
      </c>
    </row>
    <row r="1801" spans="1:12">
      <c r="A1801" s="2647" t="s">
        <v>99</v>
      </c>
      <c r="B1801" s="2647" t="s">
        <v>3959</v>
      </c>
      <c r="C1801" s="2647">
        <v>28.574999999999999</v>
      </c>
      <c r="D1801" s="2647">
        <v>62</v>
      </c>
      <c r="E1801" s="2647">
        <v>19.05</v>
      </c>
      <c r="F1801" s="2647" t="s">
        <v>2088</v>
      </c>
      <c r="G1801" s="2647" t="s">
        <v>2088</v>
      </c>
      <c r="H1801" s="2647" t="s">
        <v>2088</v>
      </c>
      <c r="I1801" s="2647" t="s">
        <v>2088</v>
      </c>
      <c r="J1801" s="2647">
        <v>0</v>
      </c>
      <c r="K1801" s="2648"/>
      <c r="L1801" s="2647" t="s">
        <v>2088</v>
      </c>
    </row>
    <row r="1802" spans="1:12">
      <c r="A1802" s="2646" t="s">
        <v>99</v>
      </c>
      <c r="B1802" s="2646" t="s">
        <v>3960</v>
      </c>
      <c r="C1802" s="2646">
        <v>28.574999999999999</v>
      </c>
      <c r="D1802" s="2646">
        <v>62</v>
      </c>
      <c r="E1802" s="2646">
        <v>20.638000000000002</v>
      </c>
      <c r="F1802" s="2646" t="s">
        <v>2088</v>
      </c>
      <c r="G1802" s="2646" t="s">
        <v>2088</v>
      </c>
      <c r="H1802" s="2646" t="s">
        <v>2088</v>
      </c>
      <c r="I1802" s="2646" t="s">
        <v>2088</v>
      </c>
      <c r="J1802" s="2646">
        <v>0.28000000000000003</v>
      </c>
      <c r="L1802" s="2646" t="s">
        <v>2088</v>
      </c>
    </row>
    <row r="1803" spans="1:12">
      <c r="A1803" s="2647" t="s">
        <v>99</v>
      </c>
      <c r="B1803" s="2647" t="s">
        <v>3961</v>
      </c>
      <c r="C1803" s="2647">
        <v>26.988</v>
      </c>
      <c r="D1803" s="2647">
        <v>62</v>
      </c>
      <c r="E1803" s="2647">
        <v>19.05</v>
      </c>
      <c r="F1803" s="2647" t="s">
        <v>2088</v>
      </c>
      <c r="G1803" s="2647" t="s">
        <v>2088</v>
      </c>
      <c r="H1803" s="2647" t="s">
        <v>2088</v>
      </c>
      <c r="I1803" s="2647" t="s">
        <v>2088</v>
      </c>
      <c r="J1803" s="2647">
        <v>0</v>
      </c>
      <c r="K1803" s="2648"/>
      <c r="L1803" s="2647" t="s">
        <v>2088</v>
      </c>
    </row>
    <row r="1804" spans="1:12">
      <c r="A1804" s="2646" t="s">
        <v>99</v>
      </c>
      <c r="B1804" s="2646" t="s">
        <v>3962</v>
      </c>
      <c r="C1804" s="2646">
        <v>26.161999999999999</v>
      </c>
      <c r="D1804" s="2646">
        <v>61.912999999999997</v>
      </c>
      <c r="E1804" s="2646">
        <v>19.05</v>
      </c>
      <c r="F1804" s="2646" t="s">
        <v>2088</v>
      </c>
      <c r="G1804" s="2646" t="s">
        <v>2088</v>
      </c>
      <c r="H1804" s="2646" t="s">
        <v>2088</v>
      </c>
      <c r="I1804" s="2646" t="s">
        <v>2088</v>
      </c>
      <c r="J1804" s="2646">
        <v>0.27900000000000003</v>
      </c>
      <c r="L1804" s="2646" t="s">
        <v>2088</v>
      </c>
    </row>
    <row r="1805" spans="1:12">
      <c r="A1805" s="2647" t="s">
        <v>99</v>
      </c>
      <c r="B1805" s="2647" t="s">
        <v>3963</v>
      </c>
      <c r="C1805" s="2647">
        <v>26.161999999999999</v>
      </c>
      <c r="D1805" s="2647">
        <v>61.912999999999997</v>
      </c>
      <c r="E1805" s="2647">
        <v>19.05</v>
      </c>
      <c r="F1805" s="2647" t="s">
        <v>2088</v>
      </c>
      <c r="G1805" s="2647" t="s">
        <v>2088</v>
      </c>
      <c r="H1805" s="2647" t="s">
        <v>2088</v>
      </c>
      <c r="I1805" s="2647" t="s">
        <v>2088</v>
      </c>
      <c r="J1805" s="2647">
        <v>0.28699999999999998</v>
      </c>
      <c r="K1805" s="2648"/>
      <c r="L1805" s="2647" t="s">
        <v>2088</v>
      </c>
    </row>
    <row r="1806" spans="1:12">
      <c r="A1806" s="2646" t="s">
        <v>99</v>
      </c>
      <c r="B1806" s="2646" t="s">
        <v>3964</v>
      </c>
      <c r="C1806" s="2646">
        <v>25.4</v>
      </c>
      <c r="D1806" s="2646">
        <v>62</v>
      </c>
      <c r="E1806" s="2646">
        <v>20.638000000000002</v>
      </c>
      <c r="F1806" s="2646" t="s">
        <v>2088</v>
      </c>
      <c r="G1806" s="2646" t="s">
        <v>2088</v>
      </c>
      <c r="H1806" s="2646" t="s">
        <v>2088</v>
      </c>
      <c r="I1806" s="2646" t="s">
        <v>2088</v>
      </c>
      <c r="J1806" s="2646">
        <v>0</v>
      </c>
      <c r="L1806" s="2646" t="s">
        <v>2088</v>
      </c>
    </row>
    <row r="1807" spans="1:12">
      <c r="A1807" s="2647" t="s">
        <v>99</v>
      </c>
      <c r="B1807" s="2647" t="s">
        <v>3965</v>
      </c>
      <c r="C1807" s="2647">
        <v>25.4</v>
      </c>
      <c r="D1807" s="2647">
        <v>63.5</v>
      </c>
      <c r="E1807" s="2647">
        <v>20.683</v>
      </c>
      <c r="F1807" s="2647" t="s">
        <v>2088</v>
      </c>
      <c r="G1807" s="2647" t="s">
        <v>2088</v>
      </c>
      <c r="H1807" s="2647" t="s">
        <v>2088</v>
      </c>
      <c r="I1807" s="2647" t="s">
        <v>2088</v>
      </c>
      <c r="J1807" s="2647">
        <v>0</v>
      </c>
      <c r="K1807" s="2648"/>
      <c r="L1807" s="2647" t="s">
        <v>2088</v>
      </c>
    </row>
    <row r="1808" spans="1:12">
      <c r="A1808" s="2646" t="s">
        <v>99</v>
      </c>
      <c r="B1808" s="2646" t="s">
        <v>3966</v>
      </c>
      <c r="C1808" s="2646">
        <v>25.4</v>
      </c>
      <c r="D1808" s="2646">
        <v>63.5</v>
      </c>
      <c r="E1808" s="2646">
        <v>20.683</v>
      </c>
      <c r="F1808" s="2646" t="s">
        <v>2088</v>
      </c>
      <c r="G1808" s="2646" t="s">
        <v>2088</v>
      </c>
      <c r="H1808" s="2646" t="s">
        <v>2088</v>
      </c>
      <c r="I1808" s="2646" t="s">
        <v>2088</v>
      </c>
      <c r="J1808" s="2646">
        <v>0</v>
      </c>
      <c r="L1808" s="2646" t="s">
        <v>2088</v>
      </c>
    </row>
    <row r="1809" spans="1:12">
      <c r="A1809" s="2647" t="s">
        <v>99</v>
      </c>
      <c r="B1809" s="2647" t="s">
        <v>3967</v>
      </c>
      <c r="C1809" s="2647">
        <v>31.75</v>
      </c>
      <c r="D1809" s="2647">
        <v>62</v>
      </c>
      <c r="E1809" s="2647">
        <v>19.05</v>
      </c>
      <c r="F1809" s="2647" t="s">
        <v>2088</v>
      </c>
      <c r="G1809" s="2647" t="s">
        <v>2088</v>
      </c>
      <c r="H1809" s="2647" t="s">
        <v>2088</v>
      </c>
      <c r="I1809" s="2647" t="s">
        <v>2088</v>
      </c>
      <c r="J1809" s="2647">
        <v>0.23400000000000001</v>
      </c>
      <c r="K1809" s="2648"/>
      <c r="L1809" s="2647" t="s">
        <v>2088</v>
      </c>
    </row>
    <row r="1810" spans="1:12">
      <c r="A1810" s="2646" t="s">
        <v>99</v>
      </c>
      <c r="B1810" s="2646" t="s">
        <v>3968</v>
      </c>
      <c r="C1810" s="2646">
        <v>25.4</v>
      </c>
      <c r="D1810" s="2646">
        <v>62</v>
      </c>
      <c r="E1810" s="2646">
        <v>20.638000000000002</v>
      </c>
      <c r="F1810" s="2646" t="s">
        <v>2088</v>
      </c>
      <c r="G1810" s="2646" t="s">
        <v>2088</v>
      </c>
      <c r="H1810" s="2646" t="s">
        <v>2088</v>
      </c>
      <c r="I1810" s="2646" t="s">
        <v>2088</v>
      </c>
      <c r="J1810" s="2646">
        <v>0</v>
      </c>
      <c r="L1810" s="2646" t="s">
        <v>2088</v>
      </c>
    </row>
    <row r="1811" spans="1:12">
      <c r="A1811" s="2647" t="s">
        <v>99</v>
      </c>
      <c r="B1811" s="2647" t="s">
        <v>3969</v>
      </c>
      <c r="C1811" s="2647">
        <v>25.4</v>
      </c>
      <c r="D1811" s="2647">
        <v>62</v>
      </c>
      <c r="E1811" s="2647">
        <v>19.05</v>
      </c>
      <c r="F1811" s="2647" t="s">
        <v>2088</v>
      </c>
      <c r="G1811" s="2647" t="s">
        <v>2088</v>
      </c>
      <c r="H1811" s="2647" t="s">
        <v>2088</v>
      </c>
      <c r="I1811" s="2647" t="s">
        <v>2088</v>
      </c>
      <c r="J1811" s="2647">
        <v>0</v>
      </c>
      <c r="K1811" s="2648"/>
      <c r="L1811" s="2647" t="s">
        <v>2088</v>
      </c>
    </row>
    <row r="1812" spans="1:12">
      <c r="A1812" s="2646" t="s">
        <v>99</v>
      </c>
      <c r="B1812" s="2646" t="s">
        <v>3970</v>
      </c>
      <c r="C1812" s="2646">
        <v>25.4</v>
      </c>
      <c r="D1812" s="2646">
        <v>62</v>
      </c>
      <c r="E1812" s="2646">
        <v>19.05</v>
      </c>
      <c r="F1812" s="2646" t="s">
        <v>2088</v>
      </c>
      <c r="G1812" s="2646" t="s">
        <v>2088</v>
      </c>
      <c r="H1812" s="2646" t="s">
        <v>2088</v>
      </c>
      <c r="I1812" s="2646" t="s">
        <v>2088</v>
      </c>
      <c r="J1812" s="2646">
        <v>0</v>
      </c>
      <c r="L1812" s="2646" t="s">
        <v>2088</v>
      </c>
    </row>
    <row r="1813" spans="1:12">
      <c r="A1813" s="2647" t="s">
        <v>99</v>
      </c>
      <c r="B1813" s="2647" t="s">
        <v>3971</v>
      </c>
      <c r="C1813" s="2647">
        <v>34.975999999999999</v>
      </c>
      <c r="D1813" s="2647">
        <v>69.012</v>
      </c>
      <c r="E1813" s="2647">
        <v>19.844999999999999</v>
      </c>
      <c r="F1813" s="2647" t="s">
        <v>2088</v>
      </c>
      <c r="G1813" s="2647" t="s">
        <v>2088</v>
      </c>
      <c r="H1813" s="2647" t="s">
        <v>2088</v>
      </c>
      <c r="I1813" s="2647" t="s">
        <v>2088</v>
      </c>
      <c r="J1813" s="2647">
        <v>0</v>
      </c>
      <c r="K1813" s="2648"/>
      <c r="L1813" s="2647" t="s">
        <v>2088</v>
      </c>
    </row>
    <row r="1814" spans="1:12">
      <c r="A1814" s="2646" t="s">
        <v>99</v>
      </c>
      <c r="B1814" s="2646" t="s">
        <v>3972</v>
      </c>
      <c r="C1814" s="2646">
        <v>34.975999999999999</v>
      </c>
      <c r="D1814" s="2646">
        <v>68.956000000000003</v>
      </c>
      <c r="E1814" s="2646">
        <v>19.844999999999999</v>
      </c>
      <c r="F1814" s="2646" t="s">
        <v>2088</v>
      </c>
      <c r="G1814" s="2646" t="s">
        <v>2088</v>
      </c>
      <c r="H1814" s="2646" t="s">
        <v>2088</v>
      </c>
      <c r="I1814" s="2646" t="s">
        <v>2088</v>
      </c>
      <c r="J1814" s="2646">
        <v>0</v>
      </c>
      <c r="L1814" s="2646" t="s">
        <v>2088</v>
      </c>
    </row>
    <row r="1815" spans="1:12">
      <c r="A1815" s="2647" t="s">
        <v>99</v>
      </c>
      <c r="B1815" s="2647" t="s">
        <v>3973</v>
      </c>
      <c r="C1815" s="2647">
        <v>34.924999999999997</v>
      </c>
      <c r="D1815" s="2647">
        <v>69.012</v>
      </c>
      <c r="E1815" s="2647">
        <v>19.844999999999999</v>
      </c>
      <c r="F1815" s="2647" t="s">
        <v>2088</v>
      </c>
      <c r="G1815" s="2647" t="s">
        <v>2088</v>
      </c>
      <c r="H1815" s="2647" t="s">
        <v>2088</v>
      </c>
      <c r="I1815" s="2647" t="s">
        <v>2088</v>
      </c>
      <c r="J1815" s="2647">
        <v>0</v>
      </c>
      <c r="K1815" s="2648"/>
      <c r="L1815" s="2647" t="s">
        <v>2088</v>
      </c>
    </row>
    <row r="1816" spans="1:12">
      <c r="A1816" s="2646" t="s">
        <v>99</v>
      </c>
      <c r="B1816" s="2646" t="s">
        <v>3974</v>
      </c>
      <c r="C1816" s="2646">
        <v>34.924999999999997</v>
      </c>
      <c r="D1816" s="2646">
        <v>69.012</v>
      </c>
      <c r="E1816" s="2646">
        <v>19.844999999999999</v>
      </c>
      <c r="F1816" s="2646" t="s">
        <v>2088</v>
      </c>
      <c r="G1816" s="2646" t="s">
        <v>2088</v>
      </c>
      <c r="H1816" s="2646" t="s">
        <v>2088</v>
      </c>
      <c r="I1816" s="2646" t="s">
        <v>2088</v>
      </c>
      <c r="J1816" s="2646">
        <v>0</v>
      </c>
      <c r="L1816" s="2646" t="s">
        <v>2088</v>
      </c>
    </row>
    <row r="1817" spans="1:12">
      <c r="A1817" s="2647" t="s">
        <v>99</v>
      </c>
      <c r="B1817" s="2647" t="s">
        <v>3975</v>
      </c>
      <c r="C1817" s="2647">
        <v>34.924999999999997</v>
      </c>
      <c r="D1817" s="2647">
        <v>69.012</v>
      </c>
      <c r="E1817" s="2647">
        <v>19.844999999999999</v>
      </c>
      <c r="F1817" s="2647" t="s">
        <v>2088</v>
      </c>
      <c r="G1817" s="2647" t="s">
        <v>2088</v>
      </c>
      <c r="H1817" s="2647" t="s">
        <v>2088</v>
      </c>
      <c r="I1817" s="2647" t="s">
        <v>2088</v>
      </c>
      <c r="J1817" s="2647">
        <v>0</v>
      </c>
      <c r="K1817" s="2648"/>
      <c r="L1817" s="2647" t="s">
        <v>2088</v>
      </c>
    </row>
    <row r="1818" spans="1:12">
      <c r="A1818" s="2646" t="s">
        <v>99</v>
      </c>
      <c r="B1818" s="2646" t="s">
        <v>3976</v>
      </c>
      <c r="C1818" s="2646">
        <v>74</v>
      </c>
      <c r="D1818" s="2646">
        <v>132</v>
      </c>
      <c r="E1818" s="2646">
        <v>71</v>
      </c>
      <c r="F1818" s="2646" t="s">
        <v>2088</v>
      </c>
      <c r="G1818" s="2646" t="s">
        <v>2088</v>
      </c>
      <c r="H1818" s="2646" t="s">
        <v>2088</v>
      </c>
      <c r="I1818" s="2646" t="s">
        <v>2088</v>
      </c>
      <c r="J1818" s="2646">
        <v>3.28</v>
      </c>
      <c r="L1818" s="2646" t="s">
        <v>3977</v>
      </c>
    </row>
    <row r="1819" spans="1:12">
      <c r="A1819" s="2647" t="s">
        <v>99</v>
      </c>
      <c r="B1819" s="2647" t="s">
        <v>3978</v>
      </c>
      <c r="C1819" s="2647">
        <v>68</v>
      </c>
      <c r="D1819" s="2647">
        <v>115</v>
      </c>
      <c r="E1819" s="2647">
        <v>79.7</v>
      </c>
      <c r="F1819" s="2647" t="s">
        <v>2088</v>
      </c>
      <c r="G1819" s="2647" t="s">
        <v>2088</v>
      </c>
      <c r="H1819" s="2647" t="s">
        <v>2088</v>
      </c>
      <c r="I1819" s="2647" t="s">
        <v>2088</v>
      </c>
      <c r="J1819" s="2647">
        <v>2.85</v>
      </c>
      <c r="K1819" s="2648"/>
      <c r="L1819" s="2647" t="s">
        <v>3979</v>
      </c>
    </row>
    <row r="1820" spans="1:12">
      <c r="A1820" s="2646" t="s">
        <v>99</v>
      </c>
      <c r="B1820" s="2646" t="s">
        <v>3980</v>
      </c>
      <c r="C1820" s="2646">
        <v>343.05200000000002</v>
      </c>
      <c r="D1820" s="2646">
        <v>457.09800000000001</v>
      </c>
      <c r="E1820" s="2646">
        <v>254</v>
      </c>
      <c r="F1820" s="2646" t="s">
        <v>2088</v>
      </c>
      <c r="G1820" s="2646" t="s">
        <v>2088</v>
      </c>
      <c r="H1820" s="2646" t="s">
        <v>2088</v>
      </c>
      <c r="I1820" s="2646" t="s">
        <v>2088</v>
      </c>
      <c r="J1820" s="2646">
        <v>111</v>
      </c>
      <c r="L1820" s="2646" t="s">
        <v>3981</v>
      </c>
    </row>
    <row r="1821" spans="1:12">
      <c r="A1821" s="2647" t="s">
        <v>99</v>
      </c>
      <c r="B1821" s="2647" t="s">
        <v>3982</v>
      </c>
      <c r="C1821" s="2647">
        <v>266</v>
      </c>
      <c r="D1821" s="2647">
        <v>355</v>
      </c>
      <c r="E1821" s="2647">
        <v>228.6</v>
      </c>
      <c r="F1821" s="2647" t="s">
        <v>2088</v>
      </c>
      <c r="G1821" s="2647" t="s">
        <v>2088</v>
      </c>
      <c r="H1821" s="2647" t="s">
        <v>2088</v>
      </c>
      <c r="I1821" s="2647" t="s">
        <v>2088</v>
      </c>
      <c r="J1821" s="2647">
        <v>61.923000000000002</v>
      </c>
      <c r="K1821" s="2648"/>
      <c r="L1821" s="2647" t="s">
        <v>2088</v>
      </c>
    </row>
    <row r="1822" spans="1:12">
      <c r="A1822" s="2646" t="s">
        <v>99</v>
      </c>
      <c r="B1822" s="2646" t="s">
        <v>3983</v>
      </c>
      <c r="C1822" s="2646">
        <v>244.47499999999999</v>
      </c>
      <c r="D1822" s="2646">
        <v>327.02499999999998</v>
      </c>
      <c r="E1822" s="2646">
        <v>193.67500000000001</v>
      </c>
      <c r="F1822" s="2646" t="s">
        <v>2088</v>
      </c>
      <c r="G1822" s="2646" t="s">
        <v>2088</v>
      </c>
      <c r="H1822" s="2646" t="s">
        <v>2088</v>
      </c>
      <c r="I1822" s="2646" t="s">
        <v>2088</v>
      </c>
      <c r="J1822" s="2646">
        <v>44.1</v>
      </c>
      <c r="L1822" s="2646" t="s">
        <v>2088</v>
      </c>
    </row>
    <row r="1823" spans="1:12">
      <c r="A1823" s="2647" t="s">
        <v>99</v>
      </c>
      <c r="B1823" s="2647" t="s">
        <v>3984</v>
      </c>
      <c r="C1823" s="2647">
        <v>244.47499999999999</v>
      </c>
      <c r="D1823" s="2647">
        <v>327.02499999999998</v>
      </c>
      <c r="E1823" s="2647">
        <v>193.67500000000001</v>
      </c>
      <c r="F1823" s="2647" t="s">
        <v>2088</v>
      </c>
      <c r="G1823" s="2647" t="s">
        <v>2088</v>
      </c>
      <c r="H1823" s="2647" t="s">
        <v>2088</v>
      </c>
      <c r="I1823" s="2647" t="s">
        <v>2088</v>
      </c>
      <c r="J1823" s="2647">
        <v>44.213999999999999</v>
      </c>
      <c r="K1823" s="2648"/>
      <c r="L1823" s="2647" t="s">
        <v>2088</v>
      </c>
    </row>
    <row r="1824" spans="1:12">
      <c r="A1824" s="2646" t="s">
        <v>99</v>
      </c>
      <c r="B1824" s="2646" t="s">
        <v>3985</v>
      </c>
      <c r="C1824" s="2646">
        <v>180</v>
      </c>
      <c r="D1824" s="2646">
        <v>300</v>
      </c>
      <c r="E1824" s="2646">
        <v>120</v>
      </c>
      <c r="F1824" s="2646" t="s">
        <v>2088</v>
      </c>
      <c r="G1824" s="2646" t="s">
        <v>2088</v>
      </c>
      <c r="H1824" s="2646" t="s">
        <v>2088</v>
      </c>
      <c r="I1824" s="2646" t="s">
        <v>2088</v>
      </c>
      <c r="J1824" s="2646">
        <v>3.0920000000000001</v>
      </c>
      <c r="L1824" s="2646" t="s">
        <v>2088</v>
      </c>
    </row>
    <row r="1825" spans="1:12">
      <c r="A1825" s="2647" t="s">
        <v>99</v>
      </c>
      <c r="B1825" s="2647" t="s">
        <v>3986</v>
      </c>
      <c r="C1825" s="2647">
        <v>44.15</v>
      </c>
      <c r="D1825" s="2647">
        <v>241.3</v>
      </c>
      <c r="E1825" s="2647">
        <v>209.6</v>
      </c>
      <c r="F1825" s="2647" t="s">
        <v>2088</v>
      </c>
      <c r="G1825" s="2647" t="s">
        <v>2088</v>
      </c>
      <c r="H1825" s="2647" t="s">
        <v>2088</v>
      </c>
      <c r="I1825" s="2647" t="s">
        <v>2088</v>
      </c>
      <c r="J1825" s="2647">
        <v>131.28</v>
      </c>
      <c r="K1825" s="2648"/>
      <c r="L1825" s="2647" t="s">
        <v>2088</v>
      </c>
    </row>
    <row r="1826" spans="1:12">
      <c r="A1826" s="2646" t="s">
        <v>99</v>
      </c>
      <c r="B1826" s="2646" t="s">
        <v>3987</v>
      </c>
      <c r="C1826" s="2646">
        <v>140</v>
      </c>
      <c r="D1826" s="2646">
        <v>240</v>
      </c>
      <c r="E1826" s="2646">
        <v>132</v>
      </c>
      <c r="F1826" s="2646" t="s">
        <v>2088</v>
      </c>
      <c r="G1826" s="2646" t="s">
        <v>2088</v>
      </c>
      <c r="H1826" s="2646" t="s">
        <v>2088</v>
      </c>
      <c r="I1826" s="2646" t="s">
        <v>2088</v>
      </c>
      <c r="J1826" s="2646">
        <v>23.632999999999999</v>
      </c>
      <c r="L1826" s="2646" t="s">
        <v>2088</v>
      </c>
    </row>
    <row r="1827" spans="1:12">
      <c r="A1827" s="2647" t="s">
        <v>99</v>
      </c>
      <c r="B1827" s="2647" t="s">
        <v>3988</v>
      </c>
      <c r="C1827" s="2647">
        <v>355.6</v>
      </c>
      <c r="D1827" s="2647">
        <v>482.6</v>
      </c>
      <c r="E1827" s="2647">
        <v>265</v>
      </c>
      <c r="F1827" s="2647" t="s">
        <v>2088</v>
      </c>
      <c r="G1827" s="2647" t="s">
        <v>2088</v>
      </c>
      <c r="H1827" s="2647" t="s">
        <v>2088</v>
      </c>
      <c r="I1827" s="2647" t="s">
        <v>2088</v>
      </c>
      <c r="J1827" s="2647">
        <v>137.80000000000001</v>
      </c>
      <c r="K1827" s="2648"/>
      <c r="L1827" s="2647" t="s">
        <v>2088</v>
      </c>
    </row>
    <row r="1828" spans="1:12">
      <c r="A1828" s="2646" t="s">
        <v>99</v>
      </c>
      <c r="B1828" s="2646" t="s">
        <v>3989</v>
      </c>
      <c r="C1828" s="2646">
        <v>110</v>
      </c>
      <c r="D1828" s="2646">
        <v>165</v>
      </c>
      <c r="E1828" s="2646">
        <v>80</v>
      </c>
      <c r="F1828" s="2646" t="s">
        <v>2088</v>
      </c>
      <c r="G1828" s="2646" t="s">
        <v>2088</v>
      </c>
      <c r="H1828" s="2646" t="s">
        <v>2088</v>
      </c>
      <c r="I1828" s="2646" t="s">
        <v>2088</v>
      </c>
      <c r="J1828" s="2646">
        <v>5.2</v>
      </c>
      <c r="L1828" s="2646" t="s">
        <v>2088</v>
      </c>
    </row>
    <row r="1829" spans="1:12">
      <c r="A1829" s="2647" t="s">
        <v>99</v>
      </c>
      <c r="B1829" s="2647" t="s">
        <v>3990</v>
      </c>
      <c r="C1829" s="2647">
        <v>76.2</v>
      </c>
      <c r="D1829" s="2647">
        <v>181</v>
      </c>
      <c r="E1829" s="2647">
        <v>35.72</v>
      </c>
      <c r="F1829" s="2647" t="s">
        <v>2088</v>
      </c>
      <c r="G1829" s="2647" t="s">
        <v>2088</v>
      </c>
      <c r="H1829" s="2647" t="s">
        <v>2088</v>
      </c>
      <c r="I1829" s="2647" t="s">
        <v>2088</v>
      </c>
      <c r="J1829" s="2647">
        <v>6.47</v>
      </c>
      <c r="K1829" s="2648"/>
      <c r="L1829" s="2647" t="s">
        <v>2088</v>
      </c>
    </row>
    <row r="1830" spans="1:12">
      <c r="A1830" s="2646" t="s">
        <v>99</v>
      </c>
      <c r="B1830" s="2646" t="s">
        <v>3991</v>
      </c>
      <c r="C1830" s="2646">
        <v>170</v>
      </c>
      <c r="D1830" s="2646">
        <v>230</v>
      </c>
      <c r="E1830" s="2646">
        <v>23</v>
      </c>
      <c r="F1830" s="2646" t="s">
        <v>2088</v>
      </c>
      <c r="G1830" s="2646" t="s">
        <v>2088</v>
      </c>
      <c r="H1830" s="2646" t="s">
        <v>2088</v>
      </c>
      <c r="I1830" s="2646" t="s">
        <v>2088</v>
      </c>
      <c r="J1830" s="2646">
        <v>3.476</v>
      </c>
      <c r="L1830" s="2646" t="s">
        <v>2088</v>
      </c>
    </row>
    <row r="1831" spans="1:12">
      <c r="A1831" s="2647" t="s">
        <v>99</v>
      </c>
      <c r="B1831" s="2647">
        <v>542327</v>
      </c>
      <c r="C1831" s="2647">
        <v>25</v>
      </c>
      <c r="D1831" s="2647">
        <v>64</v>
      </c>
      <c r="E1831" s="2647">
        <v>38</v>
      </c>
      <c r="F1831" s="2647" t="s">
        <v>2088</v>
      </c>
      <c r="G1831" s="2647" t="s">
        <v>2088</v>
      </c>
      <c r="H1831" s="2647" t="s">
        <v>2088</v>
      </c>
      <c r="I1831" s="2647" t="s">
        <v>2088</v>
      </c>
      <c r="J1831" s="2647">
        <v>0</v>
      </c>
      <c r="K1831" s="2648"/>
      <c r="L1831" s="2647" t="s">
        <v>2088</v>
      </c>
    </row>
    <row r="1832" spans="1:12">
      <c r="A1832" s="2646" t="s">
        <v>99</v>
      </c>
      <c r="B1832" s="2646">
        <v>533370</v>
      </c>
      <c r="C1832" s="2646">
        <v>25</v>
      </c>
      <c r="D1832" s="2646">
        <v>64</v>
      </c>
      <c r="E1832" s="2646">
        <v>38</v>
      </c>
      <c r="F1832" s="2646" t="s">
        <v>2088</v>
      </c>
      <c r="G1832" s="2646" t="s">
        <v>2088</v>
      </c>
      <c r="H1832" s="2646" t="s">
        <v>2088</v>
      </c>
      <c r="I1832" s="2646" t="s">
        <v>2088</v>
      </c>
      <c r="J1832" s="2646">
        <v>0.751</v>
      </c>
      <c r="L1832" s="2646" t="s">
        <v>2088</v>
      </c>
    </row>
    <row r="1833" spans="1:12">
      <c r="A1833" s="2647" t="s">
        <v>99</v>
      </c>
      <c r="B1833" s="2647">
        <v>532968</v>
      </c>
      <c r="C1833" s="2647">
        <v>355.6</v>
      </c>
      <c r="D1833" s="2647">
        <v>457.2</v>
      </c>
      <c r="E1833" s="2647">
        <v>252.41300000000001</v>
      </c>
      <c r="F1833" s="2647" t="s">
        <v>2088</v>
      </c>
      <c r="G1833" s="2647" t="s">
        <v>2088</v>
      </c>
      <c r="H1833" s="2647" t="s">
        <v>2088</v>
      </c>
      <c r="I1833" s="2647" t="s">
        <v>2088</v>
      </c>
      <c r="J1833" s="2647">
        <v>102</v>
      </c>
      <c r="K1833" s="2648"/>
      <c r="L1833" s="2647">
        <v>77971</v>
      </c>
    </row>
    <row r="1834" spans="1:12">
      <c r="A1834" s="2646" t="s">
        <v>99</v>
      </c>
      <c r="B1834" s="2646">
        <v>511860</v>
      </c>
      <c r="C1834" s="2646">
        <v>279.39999999999998</v>
      </c>
      <c r="D1834" s="2646">
        <v>393.7</v>
      </c>
      <c r="E1834" s="2646">
        <v>269.875</v>
      </c>
      <c r="F1834" s="2646" t="s">
        <v>2088</v>
      </c>
      <c r="G1834" s="2646" t="s">
        <v>2088</v>
      </c>
      <c r="H1834" s="2646" t="s">
        <v>2088</v>
      </c>
      <c r="I1834" s="2646" t="s">
        <v>2088</v>
      </c>
      <c r="J1834" s="2646">
        <v>108</v>
      </c>
      <c r="L1834" s="2646">
        <v>77956</v>
      </c>
    </row>
    <row r="1835" spans="1:12">
      <c r="A1835" s="2647" t="s">
        <v>99</v>
      </c>
      <c r="B1835" s="2647" t="s">
        <v>3992</v>
      </c>
      <c r="C1835" s="2647">
        <v>229.4</v>
      </c>
      <c r="D1835" s="2647">
        <v>393.7</v>
      </c>
      <c r="E1835" s="2647">
        <v>269.875</v>
      </c>
      <c r="F1835" s="2647" t="s">
        <v>2088</v>
      </c>
      <c r="G1835" s="2647" t="s">
        <v>2088</v>
      </c>
      <c r="H1835" s="2647" t="s">
        <v>2088</v>
      </c>
      <c r="I1835" s="2647" t="s">
        <v>2088</v>
      </c>
      <c r="J1835" s="2647">
        <v>97.5</v>
      </c>
      <c r="K1835" s="2648"/>
      <c r="L1835" s="2647" t="s">
        <v>2088</v>
      </c>
    </row>
    <row r="1836" spans="1:12">
      <c r="A1836" s="2646" t="s">
        <v>99</v>
      </c>
      <c r="B1836" s="2646" t="s">
        <v>3993</v>
      </c>
      <c r="C1836" s="2646">
        <v>360</v>
      </c>
      <c r="D1836" s="2646">
        <v>480</v>
      </c>
      <c r="E1836" s="2646">
        <v>375</v>
      </c>
      <c r="F1836" s="2646" t="s">
        <v>2088</v>
      </c>
      <c r="G1836" s="2646" t="s">
        <v>2088</v>
      </c>
      <c r="H1836" s="2646" t="s">
        <v>2088</v>
      </c>
      <c r="I1836" s="2646" t="s">
        <v>2088</v>
      </c>
      <c r="J1836" s="2646">
        <v>197</v>
      </c>
      <c r="L1836" s="2646">
        <v>77872</v>
      </c>
    </row>
    <row r="1837" spans="1:12">
      <c r="A1837" s="2647" t="s">
        <v>99</v>
      </c>
      <c r="B1837" s="2647" t="s">
        <v>3994</v>
      </c>
      <c r="C1837" s="2647">
        <v>340</v>
      </c>
      <c r="D1837" s="2647">
        <v>460</v>
      </c>
      <c r="E1837" s="2647">
        <v>310</v>
      </c>
      <c r="F1837" s="2647" t="s">
        <v>2088</v>
      </c>
      <c r="G1837" s="2647" t="s">
        <v>2088</v>
      </c>
      <c r="H1837" s="2647" t="s">
        <v>2088</v>
      </c>
      <c r="I1837" s="2647" t="s">
        <v>2088</v>
      </c>
      <c r="J1837" s="2647">
        <v>145</v>
      </c>
      <c r="K1837" s="2648"/>
      <c r="L1837" s="2647" t="s">
        <v>3995</v>
      </c>
    </row>
    <row r="1838" spans="1:12">
      <c r="A1838" s="2646" t="s">
        <v>99</v>
      </c>
      <c r="B1838" s="2646" t="s">
        <v>3996</v>
      </c>
      <c r="C1838" s="2646">
        <v>300</v>
      </c>
      <c r="D1838" s="2646">
        <v>420</v>
      </c>
      <c r="E1838" s="2646">
        <v>300</v>
      </c>
      <c r="F1838" s="2646" t="s">
        <v>2088</v>
      </c>
      <c r="G1838" s="2646" t="s">
        <v>2088</v>
      </c>
      <c r="H1838" s="2646" t="s">
        <v>2088</v>
      </c>
      <c r="I1838" s="2646" t="s">
        <v>2088</v>
      </c>
      <c r="J1838" s="2646">
        <v>130</v>
      </c>
      <c r="L1838" s="2646" t="s">
        <v>3997</v>
      </c>
    </row>
    <row r="1839" spans="1:12">
      <c r="A1839" s="2647" t="s">
        <v>99</v>
      </c>
      <c r="B1839" s="2647" t="s">
        <v>3998</v>
      </c>
      <c r="C1839" s="2647">
        <v>630</v>
      </c>
      <c r="D1839" s="2647">
        <v>850</v>
      </c>
      <c r="E1839" s="2647">
        <v>418</v>
      </c>
      <c r="F1839" s="2647" t="s">
        <v>2088</v>
      </c>
      <c r="G1839" s="2647" t="s">
        <v>2088</v>
      </c>
      <c r="H1839" s="2647" t="s">
        <v>2088</v>
      </c>
      <c r="I1839" s="2647" t="s">
        <v>2088</v>
      </c>
      <c r="J1839" s="2647">
        <v>720</v>
      </c>
      <c r="K1839" s="2648"/>
      <c r="L1839" s="2647" t="s">
        <v>3999</v>
      </c>
    </row>
    <row r="1840" spans="1:12">
      <c r="A1840" s="2646" t="s">
        <v>99</v>
      </c>
      <c r="B1840" s="2646" t="s">
        <v>4000</v>
      </c>
      <c r="C1840" s="2646">
        <v>600</v>
      </c>
      <c r="D1840" s="2646">
        <v>800</v>
      </c>
      <c r="E1840" s="2646">
        <v>380</v>
      </c>
      <c r="F1840" s="2646" t="s">
        <v>2088</v>
      </c>
      <c r="G1840" s="2646" t="s">
        <v>2088</v>
      </c>
      <c r="H1840" s="2646" t="s">
        <v>2088</v>
      </c>
      <c r="I1840" s="2646" t="s">
        <v>2088</v>
      </c>
      <c r="J1840" s="2646">
        <v>497</v>
      </c>
      <c r="L1840" s="2646" t="s">
        <v>2615</v>
      </c>
    </row>
    <row r="1841" spans="1:12">
      <c r="A1841" s="2647" t="s">
        <v>99</v>
      </c>
      <c r="B1841" s="2647" t="s">
        <v>4001</v>
      </c>
      <c r="C1841" s="2647">
        <v>600</v>
      </c>
      <c r="D1841" s="2647">
        <v>800</v>
      </c>
      <c r="E1841" s="2647">
        <v>380</v>
      </c>
      <c r="F1841" s="2647" t="s">
        <v>2088</v>
      </c>
      <c r="G1841" s="2647" t="s">
        <v>2088</v>
      </c>
      <c r="H1841" s="2647" t="s">
        <v>2088</v>
      </c>
      <c r="I1841" s="2647" t="s">
        <v>2088</v>
      </c>
      <c r="J1841" s="2647">
        <v>545</v>
      </c>
      <c r="K1841" s="2648"/>
      <c r="L1841" s="2647" t="s">
        <v>4002</v>
      </c>
    </row>
    <row r="1842" spans="1:12">
      <c r="A1842" s="2646" t="s">
        <v>99</v>
      </c>
      <c r="B1842" s="2646" t="s">
        <v>4003</v>
      </c>
      <c r="C1842" s="2646">
        <v>600</v>
      </c>
      <c r="D1842" s="2646">
        <v>800</v>
      </c>
      <c r="E1842" s="2646">
        <v>380</v>
      </c>
      <c r="F1842" s="2646" t="s">
        <v>2088</v>
      </c>
      <c r="G1842" s="2646" t="s">
        <v>2088</v>
      </c>
      <c r="H1842" s="2646" t="s">
        <v>2088</v>
      </c>
      <c r="I1842" s="2646" t="s">
        <v>2088</v>
      </c>
      <c r="J1842" s="2646">
        <v>536</v>
      </c>
      <c r="L1842" s="2646" t="s">
        <v>4004</v>
      </c>
    </row>
    <row r="1843" spans="1:12">
      <c r="A1843" s="2647" t="s">
        <v>99</v>
      </c>
      <c r="B1843" s="2647" t="s">
        <v>4005</v>
      </c>
      <c r="C1843" s="2647">
        <v>560</v>
      </c>
      <c r="D1843" s="2647">
        <v>750</v>
      </c>
      <c r="E1843" s="2647">
        <v>368</v>
      </c>
      <c r="F1843" s="2647" t="s">
        <v>2088</v>
      </c>
      <c r="G1843" s="2647" t="s">
        <v>2088</v>
      </c>
      <c r="H1843" s="2647" t="s">
        <v>2088</v>
      </c>
      <c r="I1843" s="2647" t="s">
        <v>2088</v>
      </c>
      <c r="J1843" s="2647">
        <v>455</v>
      </c>
      <c r="K1843" s="2648"/>
      <c r="L1843" s="2647" t="s">
        <v>4006</v>
      </c>
    </row>
    <row r="1844" spans="1:12">
      <c r="A1844" s="2646" t="s">
        <v>99</v>
      </c>
      <c r="B1844" s="2646" t="s">
        <v>4007</v>
      </c>
      <c r="C1844" s="2646">
        <v>560</v>
      </c>
      <c r="D1844" s="2646">
        <v>750</v>
      </c>
      <c r="E1844" s="2646">
        <v>368</v>
      </c>
      <c r="F1844" s="2646" t="s">
        <v>2088</v>
      </c>
      <c r="G1844" s="2646" t="s">
        <v>2088</v>
      </c>
      <c r="H1844" s="2646" t="s">
        <v>2088</v>
      </c>
      <c r="I1844" s="2646" t="s">
        <v>2088</v>
      </c>
      <c r="J1844" s="2646">
        <v>456</v>
      </c>
      <c r="L1844" s="2646" t="s">
        <v>4008</v>
      </c>
    </row>
    <row r="1845" spans="1:12">
      <c r="A1845" s="2647" t="s">
        <v>99</v>
      </c>
      <c r="B1845" s="2647" t="s">
        <v>4009</v>
      </c>
      <c r="C1845" s="2647">
        <v>540</v>
      </c>
      <c r="D1845" s="2647">
        <v>690</v>
      </c>
      <c r="E1845" s="2647">
        <v>400</v>
      </c>
      <c r="F1845" s="2647" t="s">
        <v>2088</v>
      </c>
      <c r="G1845" s="2647" t="s">
        <v>2088</v>
      </c>
      <c r="H1845" s="2647" t="s">
        <v>2088</v>
      </c>
      <c r="I1845" s="2647" t="s">
        <v>2088</v>
      </c>
      <c r="J1845" s="2647">
        <v>375</v>
      </c>
      <c r="K1845" s="2648"/>
      <c r="L1845" s="2647" t="s">
        <v>4010</v>
      </c>
    </row>
    <row r="1846" spans="1:12">
      <c r="A1846" s="2646" t="s">
        <v>99</v>
      </c>
      <c r="B1846" s="2646">
        <v>381196</v>
      </c>
      <c r="C1846" s="2646">
        <v>480</v>
      </c>
      <c r="D1846" s="2646">
        <v>790</v>
      </c>
      <c r="E1846" s="2646">
        <v>530</v>
      </c>
      <c r="F1846" s="2646" t="s">
        <v>2088</v>
      </c>
      <c r="G1846" s="2646" t="s">
        <v>2088</v>
      </c>
      <c r="H1846" s="2646" t="s">
        <v>2088</v>
      </c>
      <c r="I1846" s="2646" t="s">
        <v>2088</v>
      </c>
      <c r="J1846" s="2646">
        <v>1012</v>
      </c>
      <c r="L1846" s="2646">
        <v>1077796</v>
      </c>
    </row>
    <row r="1847" spans="1:12">
      <c r="A1847" s="2647" t="s">
        <v>99</v>
      </c>
      <c r="B1847" s="2647">
        <v>381192</v>
      </c>
      <c r="C1847" s="2647">
        <v>460</v>
      </c>
      <c r="D1847" s="2647">
        <v>760</v>
      </c>
      <c r="E1847" s="2647">
        <v>520</v>
      </c>
      <c r="F1847" s="2647" t="s">
        <v>2088</v>
      </c>
      <c r="G1847" s="2647" t="s">
        <v>2088</v>
      </c>
      <c r="H1847" s="2647" t="s">
        <v>2088</v>
      </c>
      <c r="I1847" s="2647" t="s">
        <v>2088</v>
      </c>
      <c r="J1847" s="2647">
        <v>903</v>
      </c>
      <c r="K1847" s="2648"/>
      <c r="L1847" s="2647">
        <v>1077792</v>
      </c>
    </row>
    <row r="1848" spans="1:12">
      <c r="A1848" s="2646" t="s">
        <v>99</v>
      </c>
      <c r="B1848" s="2646">
        <v>381188</v>
      </c>
      <c r="C1848" s="2646">
        <v>440</v>
      </c>
      <c r="D1848" s="2646">
        <v>720</v>
      </c>
      <c r="E1848" s="2646">
        <v>480</v>
      </c>
      <c r="F1848" s="2646" t="s">
        <v>2088</v>
      </c>
      <c r="G1848" s="2646" t="s">
        <v>2088</v>
      </c>
      <c r="H1848" s="2646" t="s">
        <v>2088</v>
      </c>
      <c r="I1848" s="2646" t="s">
        <v>2088</v>
      </c>
      <c r="J1848" s="2646">
        <v>812</v>
      </c>
      <c r="L1848" s="2646">
        <v>1077788</v>
      </c>
    </row>
    <row r="1849" spans="1:12">
      <c r="A1849" s="2647" t="s">
        <v>99</v>
      </c>
      <c r="B1849" s="2647" t="s">
        <v>4011</v>
      </c>
      <c r="C1849" s="2647">
        <v>420</v>
      </c>
      <c r="D1849" s="2647">
        <v>700</v>
      </c>
      <c r="E1849" s="2647">
        <v>480</v>
      </c>
      <c r="F1849" s="2647" t="s">
        <v>2088</v>
      </c>
      <c r="G1849" s="2647" t="s">
        <v>2088</v>
      </c>
      <c r="H1849" s="2647" t="s">
        <v>2088</v>
      </c>
      <c r="I1849" s="2647" t="s">
        <v>2088</v>
      </c>
      <c r="J1849" s="2647">
        <v>760</v>
      </c>
      <c r="K1849" s="2648"/>
      <c r="L1849" s="2647" t="s">
        <v>4012</v>
      </c>
    </row>
    <row r="1850" spans="1:12">
      <c r="A1850" s="2646" t="s">
        <v>99</v>
      </c>
      <c r="B1850" s="2646">
        <v>381180</v>
      </c>
      <c r="C1850" s="2646">
        <v>400</v>
      </c>
      <c r="D1850" s="2646">
        <v>650</v>
      </c>
      <c r="E1850" s="2646">
        <v>456</v>
      </c>
      <c r="F1850" s="2646" t="s">
        <v>2088</v>
      </c>
      <c r="G1850" s="2646" t="s">
        <v>2088</v>
      </c>
      <c r="H1850" s="2646" t="s">
        <v>2088</v>
      </c>
      <c r="I1850" s="2646" t="s">
        <v>2088</v>
      </c>
      <c r="J1850" s="2646">
        <v>532</v>
      </c>
      <c r="L1850" s="2646">
        <v>1077780</v>
      </c>
    </row>
    <row r="1851" spans="1:12">
      <c r="A1851" s="2647" t="s">
        <v>99</v>
      </c>
      <c r="B1851" s="2647" t="s">
        <v>4013</v>
      </c>
      <c r="C1851" s="2647">
        <v>380</v>
      </c>
      <c r="D1851" s="2647">
        <v>620</v>
      </c>
      <c r="E1851" s="2647">
        <v>420</v>
      </c>
      <c r="F1851" s="2647" t="s">
        <v>2088</v>
      </c>
      <c r="G1851" s="2647" t="s">
        <v>2088</v>
      </c>
      <c r="H1851" s="2647" t="s">
        <v>2088</v>
      </c>
      <c r="I1851" s="2647" t="s">
        <v>2088</v>
      </c>
      <c r="J1851" s="2647">
        <v>486.5</v>
      </c>
      <c r="K1851" s="2648"/>
      <c r="L1851" s="2647">
        <v>1077776</v>
      </c>
    </row>
    <row r="1852" spans="1:12">
      <c r="A1852" s="2646" t="s">
        <v>99</v>
      </c>
      <c r="B1852" s="2646" t="s">
        <v>4014</v>
      </c>
      <c r="C1852" s="2646">
        <v>380</v>
      </c>
      <c r="D1852" s="2646">
        <v>620</v>
      </c>
      <c r="E1852" s="2646">
        <v>420</v>
      </c>
      <c r="F1852" s="2646" t="s">
        <v>2088</v>
      </c>
      <c r="G1852" s="2646" t="s">
        <v>2088</v>
      </c>
      <c r="H1852" s="2646" t="s">
        <v>2088</v>
      </c>
      <c r="I1852" s="2646" t="s">
        <v>2088</v>
      </c>
      <c r="J1852" s="2646">
        <v>519</v>
      </c>
      <c r="L1852" s="2646" t="s">
        <v>4015</v>
      </c>
    </row>
    <row r="1853" spans="1:12">
      <c r="A1853" s="2647" t="s">
        <v>99</v>
      </c>
      <c r="B1853" s="2647" t="s">
        <v>4016</v>
      </c>
      <c r="C1853" s="2647">
        <v>380</v>
      </c>
      <c r="D1853" s="2647">
        <v>620</v>
      </c>
      <c r="E1853" s="2647">
        <v>420</v>
      </c>
      <c r="F1853" s="2647" t="s">
        <v>2088</v>
      </c>
      <c r="G1853" s="2647" t="s">
        <v>2088</v>
      </c>
      <c r="H1853" s="2647" t="s">
        <v>2088</v>
      </c>
      <c r="I1853" s="2647" t="s">
        <v>2088</v>
      </c>
      <c r="J1853" s="2647">
        <v>519</v>
      </c>
      <c r="K1853" s="2648"/>
      <c r="L1853" s="2647" t="s">
        <v>4017</v>
      </c>
    </row>
    <row r="1854" spans="1:12">
      <c r="A1854" s="2646" t="s">
        <v>99</v>
      </c>
      <c r="B1854" s="2646" t="s">
        <v>4018</v>
      </c>
      <c r="C1854" s="2646">
        <v>360</v>
      </c>
      <c r="D1854" s="2646">
        <v>600</v>
      </c>
      <c r="E1854" s="2646">
        <v>420</v>
      </c>
      <c r="F1854" s="2646" t="s">
        <v>2088</v>
      </c>
      <c r="G1854" s="2646" t="s">
        <v>2088</v>
      </c>
      <c r="H1854" s="2646" t="s">
        <v>2088</v>
      </c>
      <c r="I1854" s="2646" t="s">
        <v>2088</v>
      </c>
      <c r="J1854" s="2646">
        <v>463</v>
      </c>
      <c r="L1854" s="2646" t="s">
        <v>4019</v>
      </c>
    </row>
    <row r="1855" spans="1:12">
      <c r="A1855" s="2647" t="s">
        <v>99</v>
      </c>
      <c r="B1855" s="2647" t="s">
        <v>4020</v>
      </c>
      <c r="C1855" s="2647">
        <v>340</v>
      </c>
      <c r="D1855" s="2647">
        <v>580</v>
      </c>
      <c r="E1855" s="2647">
        <v>425</v>
      </c>
      <c r="F1855" s="2647" t="s">
        <v>2088</v>
      </c>
      <c r="G1855" s="2647" t="s">
        <v>2088</v>
      </c>
      <c r="H1855" s="2647" t="s">
        <v>2088</v>
      </c>
      <c r="I1855" s="2647" t="s">
        <v>2088</v>
      </c>
      <c r="J1855" s="2647">
        <v>441</v>
      </c>
      <c r="K1855" s="2648"/>
      <c r="L1855" s="2647" t="s">
        <v>4021</v>
      </c>
    </row>
    <row r="1856" spans="1:12">
      <c r="A1856" s="2646" t="s">
        <v>99</v>
      </c>
      <c r="B1856" s="2646">
        <v>381168</v>
      </c>
      <c r="C1856" s="2646">
        <v>340</v>
      </c>
      <c r="D1856" s="2646">
        <v>580</v>
      </c>
      <c r="E1856" s="2646">
        <v>425</v>
      </c>
      <c r="F1856" s="2646" t="s">
        <v>2088</v>
      </c>
      <c r="G1856" s="2646" t="s">
        <v>2088</v>
      </c>
      <c r="H1856" s="2646" t="s">
        <v>2088</v>
      </c>
      <c r="I1856" s="2646" t="s">
        <v>2088</v>
      </c>
      <c r="J1856" s="2646">
        <v>441</v>
      </c>
      <c r="L1856" s="2646">
        <v>1077768</v>
      </c>
    </row>
    <row r="1857" spans="1:12">
      <c r="A1857" s="2647" t="s">
        <v>99</v>
      </c>
      <c r="B1857" s="2647">
        <v>381164</v>
      </c>
      <c r="C1857" s="2647">
        <v>320</v>
      </c>
      <c r="D1857" s="2647">
        <v>540</v>
      </c>
      <c r="E1857" s="2647">
        <v>406</v>
      </c>
      <c r="F1857" s="2647" t="s">
        <v>2088</v>
      </c>
      <c r="G1857" s="2647" t="s">
        <v>2088</v>
      </c>
      <c r="H1857" s="2647" t="s">
        <v>2088</v>
      </c>
      <c r="I1857" s="2647" t="s">
        <v>2088</v>
      </c>
      <c r="J1857" s="2647">
        <v>311</v>
      </c>
      <c r="K1857" s="2648"/>
      <c r="L1857" s="2647">
        <v>1077764</v>
      </c>
    </row>
    <row r="1858" spans="1:12">
      <c r="A1858" s="2646" t="s">
        <v>99</v>
      </c>
      <c r="B1858" s="2646" t="s">
        <v>4022</v>
      </c>
      <c r="C1858" s="2646">
        <v>300</v>
      </c>
      <c r="D1858" s="2646">
        <v>500</v>
      </c>
      <c r="E1858" s="2646">
        <v>350</v>
      </c>
      <c r="F1858" s="2646" t="s">
        <v>2088</v>
      </c>
      <c r="G1858" s="2646" t="s">
        <v>2088</v>
      </c>
      <c r="H1858" s="2646" t="s">
        <v>2088</v>
      </c>
      <c r="I1858" s="2646" t="s">
        <v>2088</v>
      </c>
      <c r="J1858" s="2646">
        <v>279</v>
      </c>
      <c r="L1858" s="2646" t="s">
        <v>4023</v>
      </c>
    </row>
    <row r="1859" spans="1:12">
      <c r="A1859" s="2647" t="s">
        <v>99</v>
      </c>
      <c r="B1859" s="2647" t="s">
        <v>4024</v>
      </c>
      <c r="C1859" s="2647">
        <v>300</v>
      </c>
      <c r="D1859" s="2647">
        <v>500</v>
      </c>
      <c r="E1859" s="2647">
        <v>350</v>
      </c>
      <c r="F1859" s="2647" t="s">
        <v>2088</v>
      </c>
      <c r="G1859" s="2647" t="s">
        <v>2088</v>
      </c>
      <c r="H1859" s="2647" t="s">
        <v>2088</v>
      </c>
      <c r="I1859" s="2647" t="s">
        <v>2088</v>
      </c>
      <c r="J1859" s="2647">
        <v>280</v>
      </c>
      <c r="K1859" s="2648"/>
      <c r="L1859" s="2647" t="s">
        <v>4025</v>
      </c>
    </row>
    <row r="1860" spans="1:12">
      <c r="A1860" s="2646" t="s">
        <v>99</v>
      </c>
      <c r="B1860" s="2646" t="s">
        <v>4026</v>
      </c>
      <c r="C1860" s="2646">
        <v>300</v>
      </c>
      <c r="D1860" s="2646">
        <v>500</v>
      </c>
      <c r="E1860" s="2646">
        <v>350</v>
      </c>
      <c r="F1860" s="2646" t="s">
        <v>2088</v>
      </c>
      <c r="G1860" s="2646" t="s">
        <v>2088</v>
      </c>
      <c r="H1860" s="2646" t="s">
        <v>2088</v>
      </c>
      <c r="I1860" s="2646" t="s">
        <v>2088</v>
      </c>
      <c r="J1860" s="2646">
        <v>286</v>
      </c>
      <c r="L1860" s="2646">
        <v>77760</v>
      </c>
    </row>
    <row r="1861" spans="1:12">
      <c r="A1861" s="2647" t="s">
        <v>99</v>
      </c>
      <c r="B1861" s="2647">
        <v>381160</v>
      </c>
      <c r="C1861" s="2647">
        <v>300</v>
      </c>
      <c r="D1861" s="2647">
        <v>500</v>
      </c>
      <c r="E1861" s="2647">
        <v>370</v>
      </c>
      <c r="F1861" s="2647" t="s">
        <v>2088</v>
      </c>
      <c r="G1861" s="2647" t="s">
        <v>2088</v>
      </c>
      <c r="H1861" s="2647" t="s">
        <v>2088</v>
      </c>
      <c r="I1861" s="2647" t="s">
        <v>2088</v>
      </c>
      <c r="J1861" s="2647">
        <v>285</v>
      </c>
      <c r="K1861" s="2648"/>
      <c r="L1861" s="2647">
        <v>1077760</v>
      </c>
    </row>
    <row r="1862" spans="1:12">
      <c r="A1862" s="2646" t="s">
        <v>99</v>
      </c>
      <c r="B1862" s="2646" t="s">
        <v>4027</v>
      </c>
      <c r="C1862" s="2646">
        <v>280</v>
      </c>
      <c r="D1862" s="2646">
        <v>460</v>
      </c>
      <c r="E1862" s="2646">
        <v>324</v>
      </c>
      <c r="F1862" s="2646" t="s">
        <v>2088</v>
      </c>
      <c r="G1862" s="2646" t="s">
        <v>2088</v>
      </c>
      <c r="H1862" s="2646" t="s">
        <v>2088</v>
      </c>
      <c r="I1862" s="2646" t="s">
        <v>2088</v>
      </c>
      <c r="J1862" s="2646">
        <v>200</v>
      </c>
      <c r="L1862" s="2646" t="s">
        <v>4028</v>
      </c>
    </row>
    <row r="1863" spans="1:12">
      <c r="A1863" s="2647" t="s">
        <v>99</v>
      </c>
      <c r="B1863" s="2647" t="s">
        <v>4029</v>
      </c>
      <c r="C1863" s="2647">
        <v>280</v>
      </c>
      <c r="D1863" s="2647">
        <v>460</v>
      </c>
      <c r="E1863" s="2647">
        <v>324</v>
      </c>
      <c r="F1863" s="2647" t="s">
        <v>2088</v>
      </c>
      <c r="G1863" s="2647" t="s">
        <v>2088</v>
      </c>
      <c r="H1863" s="2647" t="s">
        <v>2088</v>
      </c>
      <c r="I1863" s="2647" t="s">
        <v>2088</v>
      </c>
      <c r="J1863" s="2647">
        <v>200</v>
      </c>
      <c r="K1863" s="2648"/>
      <c r="L1863" s="2647" t="s">
        <v>4030</v>
      </c>
    </row>
    <row r="1864" spans="1:12">
      <c r="A1864" s="2646" t="s">
        <v>99</v>
      </c>
      <c r="B1864" s="2646" t="s">
        <v>4031</v>
      </c>
      <c r="C1864" s="2646">
        <v>260</v>
      </c>
      <c r="D1864" s="2646">
        <v>440</v>
      </c>
      <c r="E1864" s="2646">
        <v>300</v>
      </c>
      <c r="F1864" s="2646" t="s">
        <v>2088</v>
      </c>
      <c r="G1864" s="2646" t="s">
        <v>2088</v>
      </c>
      <c r="H1864" s="2646" t="s">
        <v>2088</v>
      </c>
      <c r="I1864" s="2646" t="s">
        <v>2088</v>
      </c>
      <c r="J1864" s="2646">
        <v>191</v>
      </c>
      <c r="L1864" s="2646">
        <v>77852</v>
      </c>
    </row>
    <row r="1865" spans="1:12">
      <c r="A1865" s="2647" t="s">
        <v>99</v>
      </c>
      <c r="B1865" s="2647" t="s">
        <v>4032</v>
      </c>
      <c r="C1865" s="2647">
        <v>750</v>
      </c>
      <c r="D1865" s="2647">
        <v>1220</v>
      </c>
      <c r="E1865" s="2647">
        <v>840</v>
      </c>
      <c r="F1865" s="2647" t="s">
        <v>2088</v>
      </c>
      <c r="G1865" s="2647" t="s">
        <v>2088</v>
      </c>
      <c r="H1865" s="2647" t="s">
        <v>2088</v>
      </c>
      <c r="I1865" s="2647" t="s">
        <v>2088</v>
      </c>
      <c r="J1865" s="2647">
        <v>3990</v>
      </c>
      <c r="K1865" s="2648"/>
      <c r="L1865" s="2647" t="s">
        <v>4033</v>
      </c>
    </row>
    <row r="1866" spans="1:12">
      <c r="A1866" s="2646" t="s">
        <v>99</v>
      </c>
      <c r="B1866" s="2646" t="s">
        <v>4034</v>
      </c>
      <c r="C1866" s="2646">
        <v>750</v>
      </c>
      <c r="D1866" s="2646">
        <v>1220</v>
      </c>
      <c r="E1866" s="2646">
        <v>840</v>
      </c>
      <c r="F1866" s="2646" t="s">
        <v>2088</v>
      </c>
      <c r="G1866" s="2646" t="s">
        <v>2088</v>
      </c>
      <c r="H1866" s="2646" t="s">
        <v>2088</v>
      </c>
      <c r="I1866" s="2646" t="s">
        <v>2088</v>
      </c>
      <c r="J1866" s="2646">
        <v>3978</v>
      </c>
      <c r="L1866" s="2646" t="s">
        <v>4035</v>
      </c>
    </row>
    <row r="1867" spans="1:12">
      <c r="A1867" s="2647" t="s">
        <v>99</v>
      </c>
      <c r="B1867" s="2647" t="s">
        <v>4036</v>
      </c>
      <c r="C1867" s="2647">
        <v>750</v>
      </c>
      <c r="D1867" s="2647">
        <v>1220</v>
      </c>
      <c r="E1867" s="2647">
        <v>840</v>
      </c>
      <c r="F1867" s="2647" t="s">
        <v>2088</v>
      </c>
      <c r="G1867" s="2647" t="s">
        <v>2088</v>
      </c>
      <c r="H1867" s="2647" t="s">
        <v>2088</v>
      </c>
      <c r="I1867" s="2647" t="s">
        <v>2088</v>
      </c>
      <c r="J1867" s="2647">
        <v>3994</v>
      </c>
      <c r="K1867" s="2648"/>
      <c r="L1867" s="2647" t="s">
        <v>4037</v>
      </c>
    </row>
    <row r="1868" spans="1:12">
      <c r="A1868" s="2646" t="s">
        <v>99</v>
      </c>
      <c r="B1868" s="2646" t="s">
        <v>4038</v>
      </c>
      <c r="C1868" s="2646">
        <v>750</v>
      </c>
      <c r="D1868" s="2646">
        <v>1220</v>
      </c>
      <c r="E1868" s="2646">
        <v>840</v>
      </c>
      <c r="F1868" s="2646" t="s">
        <v>2088</v>
      </c>
      <c r="G1868" s="2646" t="s">
        <v>2088</v>
      </c>
      <c r="H1868" s="2646" t="s">
        <v>2088</v>
      </c>
      <c r="I1868" s="2646" t="s">
        <v>2088</v>
      </c>
      <c r="J1868" s="2646">
        <v>3990</v>
      </c>
      <c r="L1868" s="2646" t="s">
        <v>4039</v>
      </c>
    </row>
    <row r="1869" spans="1:12">
      <c r="A1869" s="2647" t="s">
        <v>99</v>
      </c>
      <c r="B1869" s="2647" t="s">
        <v>4040</v>
      </c>
      <c r="C1869" s="2647">
        <v>750</v>
      </c>
      <c r="D1869" s="2647">
        <v>1220</v>
      </c>
      <c r="E1869" s="2647">
        <v>840</v>
      </c>
      <c r="F1869" s="2647" t="s">
        <v>2088</v>
      </c>
      <c r="G1869" s="2647" t="s">
        <v>2088</v>
      </c>
      <c r="H1869" s="2647" t="s">
        <v>2088</v>
      </c>
      <c r="I1869" s="2647" t="s">
        <v>2088</v>
      </c>
      <c r="J1869" s="2647">
        <v>3994</v>
      </c>
      <c r="K1869" s="2648"/>
      <c r="L1869" s="2647" t="s">
        <v>4041</v>
      </c>
    </row>
    <row r="1870" spans="1:12">
      <c r="A1870" s="2646" t="s">
        <v>99</v>
      </c>
      <c r="B1870" s="2646" t="s">
        <v>4042</v>
      </c>
      <c r="C1870" s="2646">
        <v>750</v>
      </c>
      <c r="D1870" s="2646">
        <v>1220</v>
      </c>
      <c r="E1870" s="2646">
        <v>840</v>
      </c>
      <c r="F1870" s="2646" t="s">
        <v>2088</v>
      </c>
      <c r="G1870" s="2646" t="s">
        <v>2088</v>
      </c>
      <c r="H1870" s="2646" t="s">
        <v>2088</v>
      </c>
      <c r="I1870" s="2646" t="s">
        <v>2088</v>
      </c>
      <c r="J1870" s="2646">
        <v>3994</v>
      </c>
      <c r="L1870" s="2646" t="s">
        <v>4043</v>
      </c>
    </row>
    <row r="1871" spans="1:12">
      <c r="A1871" s="2647" t="s">
        <v>99</v>
      </c>
      <c r="B1871" s="2647" t="s">
        <v>4044</v>
      </c>
      <c r="C1871" s="2647">
        <v>710</v>
      </c>
      <c r="D1871" s="2647">
        <v>1150</v>
      </c>
      <c r="E1871" s="2647">
        <v>750</v>
      </c>
      <c r="F1871" s="2647" t="s">
        <v>2088</v>
      </c>
      <c r="G1871" s="2647" t="s">
        <v>2088</v>
      </c>
      <c r="H1871" s="2647" t="s">
        <v>2088</v>
      </c>
      <c r="I1871" s="2647" t="s">
        <v>2088</v>
      </c>
      <c r="J1871" s="2647">
        <v>3227</v>
      </c>
      <c r="K1871" s="2648"/>
      <c r="L1871" s="2647" t="s">
        <v>4045</v>
      </c>
    </row>
    <row r="1872" spans="1:12">
      <c r="A1872" s="2646" t="s">
        <v>99</v>
      </c>
      <c r="B1872" s="2646" t="s">
        <v>4046</v>
      </c>
      <c r="C1872" s="2646">
        <v>670</v>
      </c>
      <c r="D1872" s="2646">
        <v>1090</v>
      </c>
      <c r="E1872" s="2646">
        <v>710</v>
      </c>
      <c r="F1872" s="2646" t="s">
        <v>2088</v>
      </c>
      <c r="G1872" s="2646" t="s">
        <v>2088</v>
      </c>
      <c r="H1872" s="2646" t="s">
        <v>2088</v>
      </c>
      <c r="I1872" s="2646" t="s">
        <v>2088</v>
      </c>
      <c r="J1872" s="2646">
        <v>2415.2399999999998</v>
      </c>
      <c r="L1872" s="2646" t="s">
        <v>4047</v>
      </c>
    </row>
    <row r="1873" spans="1:12">
      <c r="A1873" s="2647" t="s">
        <v>99</v>
      </c>
      <c r="B1873" s="2647" t="s">
        <v>4048</v>
      </c>
      <c r="C1873" s="2647">
        <v>630</v>
      </c>
      <c r="D1873" s="2647">
        <v>1030</v>
      </c>
      <c r="E1873" s="2647">
        <v>670</v>
      </c>
      <c r="F1873" s="2647" t="s">
        <v>2088</v>
      </c>
      <c r="G1873" s="2647" t="s">
        <v>2088</v>
      </c>
      <c r="H1873" s="2647" t="s">
        <v>2088</v>
      </c>
      <c r="I1873" s="2647" t="s">
        <v>2088</v>
      </c>
      <c r="J1873" s="2647">
        <v>2170</v>
      </c>
      <c r="K1873" s="2648"/>
      <c r="L1873" s="2647" t="s">
        <v>4049</v>
      </c>
    </row>
    <row r="1874" spans="1:12">
      <c r="A1874" s="2646" t="s">
        <v>99</v>
      </c>
      <c r="B1874" s="2646" t="s">
        <v>4050</v>
      </c>
      <c r="C1874" s="2646">
        <v>600</v>
      </c>
      <c r="D1874" s="2646">
        <v>980</v>
      </c>
      <c r="E1874" s="2646">
        <v>650</v>
      </c>
      <c r="F1874" s="2646" t="s">
        <v>2088</v>
      </c>
      <c r="G1874" s="2646" t="s">
        <v>2088</v>
      </c>
      <c r="H1874" s="2646" t="s">
        <v>2088</v>
      </c>
      <c r="I1874" s="2646" t="s">
        <v>2088</v>
      </c>
      <c r="J1874" s="2646">
        <v>1970</v>
      </c>
      <c r="L1874" s="2646" t="s">
        <v>2605</v>
      </c>
    </row>
    <row r="1875" spans="1:12">
      <c r="A1875" s="2647" t="s">
        <v>99</v>
      </c>
      <c r="B1875" s="2647" t="s">
        <v>4051</v>
      </c>
      <c r="C1875" s="2647">
        <v>600</v>
      </c>
      <c r="D1875" s="2647">
        <v>980</v>
      </c>
      <c r="E1875" s="2647">
        <v>650</v>
      </c>
      <c r="F1875" s="2647" t="s">
        <v>2088</v>
      </c>
      <c r="G1875" s="2647" t="s">
        <v>2088</v>
      </c>
      <c r="H1875" s="2647" t="s">
        <v>2088</v>
      </c>
      <c r="I1875" s="2647" t="s">
        <v>2088</v>
      </c>
      <c r="J1875" s="2647">
        <v>1970</v>
      </c>
      <c r="K1875" s="2648"/>
      <c r="L1875" s="2647" t="s">
        <v>4052</v>
      </c>
    </row>
    <row r="1876" spans="1:12">
      <c r="A1876" s="2646" t="s">
        <v>99</v>
      </c>
      <c r="B1876" s="2646" t="s">
        <v>4053</v>
      </c>
      <c r="C1876" s="2646">
        <v>560</v>
      </c>
      <c r="D1876" s="2646">
        <v>920</v>
      </c>
      <c r="E1876" s="2646">
        <v>620</v>
      </c>
      <c r="F1876" s="2646" t="s">
        <v>2088</v>
      </c>
      <c r="G1876" s="2646" t="s">
        <v>2088</v>
      </c>
      <c r="H1876" s="2646" t="s">
        <v>2088</v>
      </c>
      <c r="I1876" s="2646" t="s">
        <v>2088</v>
      </c>
      <c r="J1876" s="2646">
        <v>1635</v>
      </c>
      <c r="L1876" s="2646" t="s">
        <v>4054</v>
      </c>
    </row>
    <row r="1877" spans="1:12">
      <c r="A1877" s="2647" t="s">
        <v>99</v>
      </c>
      <c r="B1877" s="2647" t="s">
        <v>4055</v>
      </c>
      <c r="C1877" s="2647">
        <v>560</v>
      </c>
      <c r="D1877" s="2647">
        <v>920</v>
      </c>
      <c r="E1877" s="2647">
        <v>620</v>
      </c>
      <c r="F1877" s="2647" t="s">
        <v>2088</v>
      </c>
      <c r="G1877" s="2647" t="s">
        <v>2088</v>
      </c>
      <c r="H1877" s="2647" t="s">
        <v>2088</v>
      </c>
      <c r="I1877" s="2647" t="s">
        <v>2088</v>
      </c>
      <c r="J1877" s="2647">
        <v>1635</v>
      </c>
      <c r="K1877" s="2648"/>
      <c r="L1877" s="2647" t="s">
        <v>4056</v>
      </c>
    </row>
    <row r="1878" spans="1:12">
      <c r="A1878" s="2646" t="s">
        <v>99</v>
      </c>
      <c r="B1878" s="2646" t="s">
        <v>4057</v>
      </c>
      <c r="C1878" s="2646">
        <v>530</v>
      </c>
      <c r="D1878" s="2646">
        <v>870</v>
      </c>
      <c r="E1878" s="2646">
        <v>590</v>
      </c>
      <c r="F1878" s="2646" t="s">
        <v>2088</v>
      </c>
      <c r="G1878" s="2646" t="s">
        <v>2088</v>
      </c>
      <c r="H1878" s="2646" t="s">
        <v>2088</v>
      </c>
      <c r="I1878" s="2646" t="s">
        <v>2088</v>
      </c>
      <c r="J1878" s="2646">
        <v>1422</v>
      </c>
      <c r="L1878" s="2646" t="s">
        <v>4058</v>
      </c>
    </row>
    <row r="1879" spans="1:12">
      <c r="A1879" s="2647" t="s">
        <v>99</v>
      </c>
      <c r="B1879" s="2647" t="s">
        <v>4059</v>
      </c>
      <c r="C1879" s="2647">
        <v>500</v>
      </c>
      <c r="D1879" s="2647">
        <v>830</v>
      </c>
      <c r="E1879" s="2647">
        <v>570</v>
      </c>
      <c r="F1879" s="2647" t="s">
        <v>2088</v>
      </c>
      <c r="G1879" s="2647" t="s">
        <v>2088</v>
      </c>
      <c r="H1879" s="2647" t="s">
        <v>2088</v>
      </c>
      <c r="I1879" s="2647" t="s">
        <v>2088</v>
      </c>
      <c r="J1879" s="2647">
        <v>1146</v>
      </c>
      <c r="K1879" s="2648"/>
      <c r="L1879" s="2647" t="s">
        <v>4060</v>
      </c>
    </row>
    <row r="1880" spans="1:12">
      <c r="A1880" s="2646" t="s">
        <v>99</v>
      </c>
      <c r="B1880" s="2646" t="s">
        <v>4061</v>
      </c>
      <c r="C1880" s="2646">
        <v>480</v>
      </c>
      <c r="D1880" s="2646">
        <v>700</v>
      </c>
      <c r="E1880" s="2646">
        <v>420</v>
      </c>
      <c r="F1880" s="2646" t="s">
        <v>2088</v>
      </c>
      <c r="G1880" s="2646" t="s">
        <v>2088</v>
      </c>
      <c r="H1880" s="2646" t="s">
        <v>2088</v>
      </c>
      <c r="I1880" s="2646" t="s">
        <v>2088</v>
      </c>
      <c r="J1880" s="2646">
        <v>535</v>
      </c>
      <c r="L1880" s="2646" t="s">
        <v>4062</v>
      </c>
    </row>
    <row r="1881" spans="1:12">
      <c r="A1881" s="2647" t="s">
        <v>99</v>
      </c>
      <c r="B1881" s="2647" t="s">
        <v>4063</v>
      </c>
      <c r="C1881" s="2647">
        <v>480</v>
      </c>
      <c r="D1881" s="2647">
        <v>700</v>
      </c>
      <c r="E1881" s="2647">
        <v>420</v>
      </c>
      <c r="F1881" s="2647" t="s">
        <v>2088</v>
      </c>
      <c r="G1881" s="2647" t="s">
        <v>2088</v>
      </c>
      <c r="H1881" s="2647" t="s">
        <v>2088</v>
      </c>
      <c r="I1881" s="2647" t="s">
        <v>2088</v>
      </c>
      <c r="J1881" s="2647">
        <v>547</v>
      </c>
      <c r="K1881" s="2648"/>
      <c r="L1881" s="2647" t="s">
        <v>4064</v>
      </c>
    </row>
    <row r="1882" spans="1:12">
      <c r="A1882" s="2646" t="s">
        <v>99</v>
      </c>
      <c r="B1882" s="2646">
        <v>381092</v>
      </c>
      <c r="C1882" s="2646">
        <v>460</v>
      </c>
      <c r="D1882" s="2646">
        <v>680</v>
      </c>
      <c r="E1882" s="2646">
        <v>410</v>
      </c>
      <c r="F1882" s="2646" t="s">
        <v>2088</v>
      </c>
      <c r="G1882" s="2646" t="s">
        <v>2088</v>
      </c>
      <c r="H1882" s="2646" t="s">
        <v>2088</v>
      </c>
      <c r="I1882" s="2646" t="s">
        <v>2088</v>
      </c>
      <c r="J1882" s="2646">
        <v>520</v>
      </c>
      <c r="L1882" s="2646">
        <v>77192</v>
      </c>
    </row>
    <row r="1883" spans="1:12">
      <c r="A1883" s="2647" t="s">
        <v>99</v>
      </c>
      <c r="B1883" s="2647" t="s">
        <v>4065</v>
      </c>
      <c r="C1883" s="2647">
        <v>440</v>
      </c>
      <c r="D1883" s="2647">
        <v>650</v>
      </c>
      <c r="E1883" s="2647">
        <v>355</v>
      </c>
      <c r="F1883" s="2647" t="s">
        <v>2088</v>
      </c>
      <c r="G1883" s="2647" t="s">
        <v>2088</v>
      </c>
      <c r="H1883" s="2647" t="s">
        <v>2088</v>
      </c>
      <c r="I1883" s="2647" t="s">
        <v>2088</v>
      </c>
      <c r="J1883" s="2647">
        <v>385</v>
      </c>
      <c r="K1883" s="2648"/>
      <c r="L1883" s="2647" t="s">
        <v>4066</v>
      </c>
    </row>
    <row r="1884" spans="1:12">
      <c r="A1884" s="2646" t="s">
        <v>99</v>
      </c>
      <c r="B1884" s="2646" t="s">
        <v>4067</v>
      </c>
      <c r="C1884" s="2646">
        <v>440</v>
      </c>
      <c r="D1884" s="2646">
        <v>650</v>
      </c>
      <c r="E1884" s="2646">
        <v>355</v>
      </c>
      <c r="F1884" s="2646" t="s">
        <v>2088</v>
      </c>
      <c r="G1884" s="2646" t="s">
        <v>2088</v>
      </c>
      <c r="H1884" s="2646" t="s">
        <v>2088</v>
      </c>
      <c r="I1884" s="2646" t="s">
        <v>2088</v>
      </c>
      <c r="J1884" s="2646">
        <v>385</v>
      </c>
      <c r="L1884" s="2646">
        <v>77788</v>
      </c>
    </row>
    <row r="1885" spans="1:12">
      <c r="A1885" s="2647" t="s">
        <v>99</v>
      </c>
      <c r="B1885" s="2647" t="s">
        <v>4068</v>
      </c>
      <c r="C1885" s="2647">
        <v>440</v>
      </c>
      <c r="D1885" s="2647">
        <v>650</v>
      </c>
      <c r="E1885" s="2647">
        <v>355</v>
      </c>
      <c r="F1885" s="2647" t="s">
        <v>2088</v>
      </c>
      <c r="G1885" s="2647" t="s">
        <v>2088</v>
      </c>
      <c r="H1885" s="2647" t="s">
        <v>2088</v>
      </c>
      <c r="I1885" s="2647" t="s">
        <v>2088</v>
      </c>
      <c r="J1885" s="2647">
        <v>385</v>
      </c>
      <c r="K1885" s="2648"/>
      <c r="L1885" s="2647" t="s">
        <v>4069</v>
      </c>
    </row>
    <row r="1886" spans="1:12">
      <c r="A1886" s="2646" t="s">
        <v>99</v>
      </c>
      <c r="B1886" s="2646" t="s">
        <v>4070</v>
      </c>
      <c r="C1886" s="2646">
        <v>440</v>
      </c>
      <c r="D1886" s="2646">
        <v>650</v>
      </c>
      <c r="E1886" s="2646">
        <v>355</v>
      </c>
      <c r="F1886" s="2646" t="s">
        <v>2088</v>
      </c>
      <c r="G1886" s="2646" t="s">
        <v>2088</v>
      </c>
      <c r="H1886" s="2646" t="s">
        <v>2088</v>
      </c>
      <c r="I1886" s="2646" t="s">
        <v>2088</v>
      </c>
      <c r="J1886" s="2646">
        <v>381</v>
      </c>
      <c r="L1886" s="2646" t="s">
        <v>4071</v>
      </c>
    </row>
    <row r="1887" spans="1:12">
      <c r="A1887" s="2647" t="s">
        <v>99</v>
      </c>
      <c r="B1887" s="2647" t="s">
        <v>4072</v>
      </c>
      <c r="C1887" s="2647">
        <v>440</v>
      </c>
      <c r="D1887" s="2647">
        <v>650</v>
      </c>
      <c r="E1887" s="2647">
        <v>355</v>
      </c>
      <c r="F1887" s="2647" t="s">
        <v>2088</v>
      </c>
      <c r="G1887" s="2647" t="s">
        <v>2088</v>
      </c>
      <c r="H1887" s="2647" t="s">
        <v>2088</v>
      </c>
      <c r="I1887" s="2647" t="s">
        <v>2088</v>
      </c>
      <c r="J1887" s="2647">
        <v>385</v>
      </c>
      <c r="K1887" s="2648"/>
      <c r="L1887" s="2647" t="s">
        <v>4073</v>
      </c>
    </row>
    <row r="1888" spans="1:12">
      <c r="A1888" s="2646" t="s">
        <v>99</v>
      </c>
      <c r="B1888" s="2646" t="s">
        <v>4074</v>
      </c>
      <c r="C1888" s="2646">
        <v>440</v>
      </c>
      <c r="D1888" s="2646">
        <v>650</v>
      </c>
      <c r="E1888" s="2646">
        <v>355</v>
      </c>
      <c r="F1888" s="2646" t="s">
        <v>2088</v>
      </c>
      <c r="G1888" s="2646" t="s">
        <v>2088</v>
      </c>
      <c r="H1888" s="2646" t="s">
        <v>2088</v>
      </c>
      <c r="I1888" s="2646" t="s">
        <v>2088</v>
      </c>
      <c r="J1888" s="2646">
        <v>385</v>
      </c>
      <c r="L1888" s="2646" t="s">
        <v>4075</v>
      </c>
    </row>
    <row r="1889" spans="1:12">
      <c r="A1889" s="2647" t="s">
        <v>99</v>
      </c>
      <c r="B1889" s="2647" t="s">
        <v>4076</v>
      </c>
      <c r="C1889" s="2647">
        <v>440</v>
      </c>
      <c r="D1889" s="2647">
        <v>650</v>
      </c>
      <c r="E1889" s="2647">
        <v>376</v>
      </c>
      <c r="F1889" s="2647" t="s">
        <v>2088</v>
      </c>
      <c r="G1889" s="2647" t="s">
        <v>2088</v>
      </c>
      <c r="H1889" s="2647" t="s">
        <v>2088</v>
      </c>
      <c r="I1889" s="2647" t="s">
        <v>2088</v>
      </c>
      <c r="J1889" s="2647">
        <v>401</v>
      </c>
      <c r="K1889" s="2648"/>
      <c r="L1889" s="2647" t="s">
        <v>4077</v>
      </c>
    </row>
    <row r="1890" spans="1:12">
      <c r="A1890" s="2646" t="s">
        <v>99</v>
      </c>
      <c r="B1890" s="2646" t="s">
        <v>4078</v>
      </c>
      <c r="C1890" s="2646">
        <v>420</v>
      </c>
      <c r="D1890" s="2646">
        <v>620</v>
      </c>
      <c r="E1890" s="2646">
        <v>356</v>
      </c>
      <c r="F1890" s="2646" t="s">
        <v>2088</v>
      </c>
      <c r="G1890" s="2646" t="s">
        <v>2088</v>
      </c>
      <c r="H1890" s="2646" t="s">
        <v>2088</v>
      </c>
      <c r="I1890" s="2646" t="s">
        <v>2088</v>
      </c>
      <c r="J1890" s="2646">
        <v>358</v>
      </c>
      <c r="L1890" s="2646" t="s">
        <v>4079</v>
      </c>
    </row>
    <row r="1891" spans="1:12">
      <c r="A1891" s="2647" t="s">
        <v>99</v>
      </c>
      <c r="B1891" s="2647" t="s">
        <v>4080</v>
      </c>
      <c r="C1891" s="2647">
        <v>400</v>
      </c>
      <c r="D1891" s="2647">
        <v>600</v>
      </c>
      <c r="E1891" s="2647">
        <v>356</v>
      </c>
      <c r="F1891" s="2647" t="s">
        <v>2088</v>
      </c>
      <c r="G1891" s="2647" t="s">
        <v>2088</v>
      </c>
      <c r="H1891" s="2647" t="s">
        <v>2088</v>
      </c>
      <c r="I1891" s="2647" t="s">
        <v>2088</v>
      </c>
      <c r="J1891" s="2647">
        <v>317</v>
      </c>
      <c r="K1891" s="2648"/>
      <c r="L1891" s="2647" t="s">
        <v>4081</v>
      </c>
    </row>
    <row r="1892" spans="1:12">
      <c r="A1892" s="2646" t="s">
        <v>99</v>
      </c>
      <c r="B1892" s="2646" t="s">
        <v>4082</v>
      </c>
      <c r="C1892" s="2646">
        <v>400</v>
      </c>
      <c r="D1892" s="2646">
        <v>600</v>
      </c>
      <c r="E1892" s="2646">
        <v>356</v>
      </c>
      <c r="F1892" s="2646" t="s">
        <v>2088</v>
      </c>
      <c r="G1892" s="2646" t="s">
        <v>2088</v>
      </c>
      <c r="H1892" s="2646" t="s">
        <v>2088</v>
      </c>
      <c r="I1892" s="2646" t="s">
        <v>2088</v>
      </c>
      <c r="J1892" s="2646">
        <v>317</v>
      </c>
      <c r="L1892" s="2646" t="s">
        <v>4083</v>
      </c>
    </row>
    <row r="1893" spans="1:12">
      <c r="A1893" s="2647" t="s">
        <v>99</v>
      </c>
      <c r="B1893" s="2647" t="s">
        <v>4084</v>
      </c>
      <c r="C1893" s="2647">
        <v>380</v>
      </c>
      <c r="D1893" s="2647">
        <v>560</v>
      </c>
      <c r="E1893" s="2647">
        <v>325</v>
      </c>
      <c r="F1893" s="2647" t="s">
        <v>2088</v>
      </c>
      <c r="G1893" s="2647" t="s">
        <v>2088</v>
      </c>
      <c r="H1893" s="2647" t="s">
        <v>2088</v>
      </c>
      <c r="I1893" s="2647" t="s">
        <v>2088</v>
      </c>
      <c r="J1893" s="2647">
        <v>281</v>
      </c>
      <c r="K1893" s="2648"/>
      <c r="L1893" s="2647" t="s">
        <v>4085</v>
      </c>
    </row>
    <row r="1894" spans="1:12">
      <c r="A1894" s="2646" t="s">
        <v>99</v>
      </c>
      <c r="B1894" s="2646" t="s">
        <v>4086</v>
      </c>
      <c r="C1894" s="2646">
        <v>360</v>
      </c>
      <c r="D1894" s="2646">
        <v>540</v>
      </c>
      <c r="E1894" s="2646">
        <v>325</v>
      </c>
      <c r="F1894" s="2646" t="s">
        <v>2088</v>
      </c>
      <c r="G1894" s="2646" t="s">
        <v>2088</v>
      </c>
      <c r="H1894" s="2646" t="s">
        <v>2088</v>
      </c>
      <c r="I1894" s="2646" t="s">
        <v>2088</v>
      </c>
      <c r="J1894" s="2646">
        <v>248</v>
      </c>
      <c r="L1894" s="2646" t="s">
        <v>4087</v>
      </c>
    </row>
    <row r="1895" spans="1:12">
      <c r="A1895" s="2647" t="s">
        <v>99</v>
      </c>
      <c r="B1895" s="2647">
        <v>381072</v>
      </c>
      <c r="C1895" s="2647">
        <v>360</v>
      </c>
      <c r="D1895" s="2647">
        <v>540</v>
      </c>
      <c r="E1895" s="2647">
        <v>325</v>
      </c>
      <c r="F1895" s="2647" t="s">
        <v>2088</v>
      </c>
      <c r="G1895" s="2647" t="s">
        <v>2088</v>
      </c>
      <c r="H1895" s="2647" t="s">
        <v>2088</v>
      </c>
      <c r="I1895" s="2647" t="s">
        <v>2088</v>
      </c>
      <c r="J1895" s="2647">
        <v>248</v>
      </c>
      <c r="K1895" s="2648"/>
      <c r="L1895" s="2647">
        <v>77172</v>
      </c>
    </row>
    <row r="1896" spans="1:12">
      <c r="A1896" s="2646" t="s">
        <v>99</v>
      </c>
      <c r="B1896" s="2646" t="s">
        <v>4088</v>
      </c>
      <c r="C1896" s="2646">
        <v>340</v>
      </c>
      <c r="D1896" s="2646">
        <v>520</v>
      </c>
      <c r="E1896" s="2646">
        <v>325</v>
      </c>
      <c r="F1896" s="2646" t="s">
        <v>2088</v>
      </c>
      <c r="G1896" s="2646" t="s">
        <v>2088</v>
      </c>
      <c r="H1896" s="2646" t="s">
        <v>2088</v>
      </c>
      <c r="I1896" s="2646" t="s">
        <v>2088</v>
      </c>
      <c r="J1896" s="2646">
        <v>234</v>
      </c>
      <c r="L1896" s="2646" t="s">
        <v>4089</v>
      </c>
    </row>
    <row r="1897" spans="1:12">
      <c r="A1897" s="2647" t="s">
        <v>99</v>
      </c>
      <c r="B1897" s="2647" t="s">
        <v>4090</v>
      </c>
      <c r="C1897" s="2647">
        <v>250</v>
      </c>
      <c r="D1897" s="2647">
        <v>460</v>
      </c>
      <c r="E1897" s="2647">
        <v>270</v>
      </c>
      <c r="F1897" s="2647" t="s">
        <v>2088</v>
      </c>
      <c r="G1897" s="2647" t="s">
        <v>2088</v>
      </c>
      <c r="H1897" s="2647" t="s">
        <v>2088</v>
      </c>
      <c r="I1897" s="2647" t="s">
        <v>2088</v>
      </c>
      <c r="J1897" s="2647">
        <v>192</v>
      </c>
      <c r="K1897" s="2648"/>
      <c r="L1897" s="2647" t="s">
        <v>4091</v>
      </c>
    </row>
    <row r="1898" spans="1:12">
      <c r="A1898" s="2646" t="s">
        <v>99</v>
      </c>
      <c r="B1898" s="2646" t="s">
        <v>4092</v>
      </c>
      <c r="C1898" s="2646">
        <v>710</v>
      </c>
      <c r="D1898" s="2646">
        <v>1030</v>
      </c>
      <c r="E1898" s="2646">
        <v>555</v>
      </c>
      <c r="F1898" s="2646" t="s">
        <v>2088</v>
      </c>
      <c r="G1898" s="2646" t="s">
        <v>2088</v>
      </c>
      <c r="H1898" s="2646" t="s">
        <v>2088</v>
      </c>
      <c r="I1898" s="2646" t="s">
        <v>2088</v>
      </c>
      <c r="J1898" s="2646">
        <v>1568</v>
      </c>
      <c r="L1898" s="2646" t="s">
        <v>4093</v>
      </c>
    </row>
    <row r="1899" spans="1:12">
      <c r="A1899" s="2647" t="s">
        <v>99</v>
      </c>
      <c r="B1899" s="2647" t="s">
        <v>4094</v>
      </c>
      <c r="C1899" s="2647">
        <v>670</v>
      </c>
      <c r="D1899" s="2647">
        <v>980</v>
      </c>
      <c r="E1899" s="2647">
        <v>540</v>
      </c>
      <c r="F1899" s="2647" t="s">
        <v>2088</v>
      </c>
      <c r="G1899" s="2647" t="s">
        <v>2088</v>
      </c>
      <c r="H1899" s="2647" t="s">
        <v>2088</v>
      </c>
      <c r="I1899" s="2647" t="s">
        <v>2088</v>
      </c>
      <c r="J1899" s="2647">
        <v>1310</v>
      </c>
      <c r="K1899" s="2648"/>
      <c r="L1899" s="2647" t="s">
        <v>4095</v>
      </c>
    </row>
    <row r="1900" spans="1:12">
      <c r="A1900" s="2646" t="s">
        <v>99</v>
      </c>
      <c r="B1900" s="2646" t="s">
        <v>4096</v>
      </c>
      <c r="C1900" s="2646">
        <v>630</v>
      </c>
      <c r="D1900" s="2646">
        <v>920</v>
      </c>
      <c r="E1900" s="2646">
        <v>515</v>
      </c>
      <c r="F1900" s="2646" t="s">
        <v>2088</v>
      </c>
      <c r="G1900" s="2646" t="s">
        <v>2088</v>
      </c>
      <c r="H1900" s="2646" t="s">
        <v>2088</v>
      </c>
      <c r="I1900" s="2646" t="s">
        <v>2088</v>
      </c>
      <c r="J1900" s="2646">
        <v>1190</v>
      </c>
      <c r="L1900" s="2646" t="s">
        <v>2498</v>
      </c>
    </row>
    <row r="1901" spans="1:12">
      <c r="A1901" s="2647" t="s">
        <v>99</v>
      </c>
      <c r="B1901" s="2647" t="s">
        <v>4097</v>
      </c>
      <c r="C1901" s="2647">
        <v>630</v>
      </c>
      <c r="D1901" s="2647">
        <v>920</v>
      </c>
      <c r="E1901" s="2647">
        <v>515</v>
      </c>
      <c r="F1901" s="2647" t="s">
        <v>2088</v>
      </c>
      <c r="G1901" s="2647" t="s">
        <v>2088</v>
      </c>
      <c r="H1901" s="2647" t="s">
        <v>2088</v>
      </c>
      <c r="I1901" s="2647" t="s">
        <v>2088</v>
      </c>
      <c r="J1901" s="2647">
        <v>1158</v>
      </c>
      <c r="K1901" s="2648"/>
      <c r="L1901" s="2647" t="s">
        <v>4098</v>
      </c>
    </row>
    <row r="1902" spans="1:12">
      <c r="A1902" s="2646" t="s">
        <v>99</v>
      </c>
      <c r="B1902" s="2646" t="s">
        <v>4099</v>
      </c>
      <c r="C1902" s="2646">
        <v>600</v>
      </c>
      <c r="D1902" s="2646">
        <v>870</v>
      </c>
      <c r="E1902" s="2646">
        <v>480</v>
      </c>
      <c r="F1902" s="2646" t="s">
        <v>2088</v>
      </c>
      <c r="G1902" s="2646" t="s">
        <v>2088</v>
      </c>
      <c r="H1902" s="2646" t="s">
        <v>2088</v>
      </c>
      <c r="I1902" s="2646" t="s">
        <v>2088</v>
      </c>
      <c r="J1902" s="2646">
        <v>992</v>
      </c>
      <c r="L1902" s="2646" t="s">
        <v>2496</v>
      </c>
    </row>
    <row r="1903" spans="1:12">
      <c r="A1903" s="2647" t="s">
        <v>99</v>
      </c>
      <c r="B1903" s="2647" t="s">
        <v>4100</v>
      </c>
      <c r="C1903" s="2647">
        <v>600</v>
      </c>
      <c r="D1903" s="2647">
        <v>870</v>
      </c>
      <c r="E1903" s="2647">
        <v>480</v>
      </c>
      <c r="F1903" s="2647" t="s">
        <v>2088</v>
      </c>
      <c r="G1903" s="2647" t="s">
        <v>2088</v>
      </c>
      <c r="H1903" s="2647" t="s">
        <v>2088</v>
      </c>
      <c r="I1903" s="2647" t="s">
        <v>2088</v>
      </c>
      <c r="J1903" s="2647">
        <v>995</v>
      </c>
      <c r="K1903" s="2648"/>
      <c r="L1903" s="2647" t="s">
        <v>4101</v>
      </c>
    </row>
    <row r="1904" spans="1:12">
      <c r="A1904" s="2646" t="s">
        <v>99</v>
      </c>
      <c r="B1904" s="2646" t="s">
        <v>4102</v>
      </c>
      <c r="C1904" s="2646">
        <v>560</v>
      </c>
      <c r="D1904" s="2646">
        <v>820</v>
      </c>
      <c r="E1904" s="2646">
        <v>465</v>
      </c>
      <c r="F1904" s="2646" t="s">
        <v>2088</v>
      </c>
      <c r="G1904" s="2646" t="s">
        <v>2088</v>
      </c>
      <c r="H1904" s="2646" t="s">
        <v>2088</v>
      </c>
      <c r="I1904" s="2646" t="s">
        <v>2088</v>
      </c>
      <c r="J1904" s="2646">
        <v>807</v>
      </c>
      <c r="L1904" s="2646" t="s">
        <v>4103</v>
      </c>
    </row>
    <row r="1905" spans="1:12">
      <c r="A1905" s="2647" t="s">
        <v>99</v>
      </c>
      <c r="B1905" s="2647" t="s">
        <v>4104</v>
      </c>
      <c r="C1905" s="2647">
        <v>530</v>
      </c>
      <c r="D1905" s="2647">
        <v>880</v>
      </c>
      <c r="E1905" s="2647">
        <v>544</v>
      </c>
      <c r="F1905" s="2647" t="s">
        <v>2088</v>
      </c>
      <c r="G1905" s="2647" t="s">
        <v>2088</v>
      </c>
      <c r="H1905" s="2647" t="s">
        <v>2088</v>
      </c>
      <c r="I1905" s="2647" t="s">
        <v>2088</v>
      </c>
      <c r="J1905" s="2647">
        <v>1350</v>
      </c>
      <c r="K1905" s="2648"/>
      <c r="L1905" s="2647" t="s">
        <v>4105</v>
      </c>
    </row>
    <row r="1906" spans="1:12">
      <c r="A1906" s="2646" t="s">
        <v>99</v>
      </c>
      <c r="B1906" s="2646" t="s">
        <v>4106</v>
      </c>
      <c r="C1906" s="2646">
        <v>530</v>
      </c>
      <c r="D1906" s="2646">
        <v>880</v>
      </c>
      <c r="E1906" s="2646">
        <v>544</v>
      </c>
      <c r="F1906" s="2646" t="s">
        <v>2088</v>
      </c>
      <c r="G1906" s="2646" t="s">
        <v>2088</v>
      </c>
      <c r="H1906" s="2646" t="s">
        <v>2088</v>
      </c>
      <c r="I1906" s="2646" t="s">
        <v>2088</v>
      </c>
      <c r="J1906" s="2646">
        <v>1350</v>
      </c>
      <c r="L1906" s="2646" t="s">
        <v>4107</v>
      </c>
    </row>
    <row r="1907" spans="1:12">
      <c r="A1907" s="2647" t="s">
        <v>99</v>
      </c>
      <c r="B1907" s="2647" t="s">
        <v>4108</v>
      </c>
      <c r="C1907" s="2647">
        <v>488.95</v>
      </c>
      <c r="D1907" s="2647">
        <v>622</v>
      </c>
      <c r="E1907" s="2647">
        <v>365.125</v>
      </c>
      <c r="F1907" s="2647" t="s">
        <v>2088</v>
      </c>
      <c r="G1907" s="2647" t="s">
        <v>2088</v>
      </c>
      <c r="H1907" s="2647" t="s">
        <v>2088</v>
      </c>
      <c r="I1907" s="2647" t="s">
        <v>2088</v>
      </c>
      <c r="J1907" s="2647">
        <v>266</v>
      </c>
      <c r="K1907" s="2648"/>
      <c r="L1907" s="2647" t="s">
        <v>4109</v>
      </c>
    </row>
    <row r="1908" spans="1:12">
      <c r="A1908" s="2646" t="s">
        <v>99</v>
      </c>
      <c r="B1908" s="2646">
        <v>382960</v>
      </c>
      <c r="C1908" s="2646">
        <v>300</v>
      </c>
      <c r="D1908" s="2646">
        <v>420</v>
      </c>
      <c r="E1908" s="2646">
        <v>300</v>
      </c>
      <c r="F1908" s="2646" t="s">
        <v>2088</v>
      </c>
      <c r="G1908" s="2646" t="s">
        <v>2088</v>
      </c>
      <c r="H1908" s="2646" t="s">
        <v>2088</v>
      </c>
      <c r="I1908" s="2646" t="s">
        <v>2088</v>
      </c>
      <c r="J1908" s="2646">
        <v>130</v>
      </c>
      <c r="L1908" s="2646">
        <v>2077960</v>
      </c>
    </row>
    <row r="1909" spans="1:12">
      <c r="A1909" s="2647" t="s">
        <v>99</v>
      </c>
      <c r="B1909" s="2647" t="s">
        <v>4110</v>
      </c>
      <c r="C1909" s="2647">
        <v>260</v>
      </c>
      <c r="D1909" s="2647">
        <v>360</v>
      </c>
      <c r="E1909" s="2647">
        <v>265</v>
      </c>
      <c r="F1909" s="2647" t="s">
        <v>2088</v>
      </c>
      <c r="G1909" s="2647" t="s">
        <v>2088</v>
      </c>
      <c r="H1909" s="2647" t="s">
        <v>2088</v>
      </c>
      <c r="I1909" s="2647" t="s">
        <v>2088</v>
      </c>
      <c r="J1909" s="2647">
        <v>76.3</v>
      </c>
      <c r="K1909" s="2648"/>
      <c r="L1909" s="2647" t="s">
        <v>4111</v>
      </c>
    </row>
    <row r="1910" spans="1:12">
      <c r="A1910" s="2646" t="s">
        <v>99</v>
      </c>
      <c r="B1910" s="2646" t="s">
        <v>4112</v>
      </c>
      <c r="C1910" s="2646">
        <v>320</v>
      </c>
      <c r="D1910" s="2646">
        <v>480</v>
      </c>
      <c r="E1910" s="2646">
        <v>380</v>
      </c>
      <c r="F1910" s="2646" t="s">
        <v>2088</v>
      </c>
      <c r="G1910" s="2646" t="s">
        <v>2088</v>
      </c>
      <c r="H1910" s="2646" t="s">
        <v>2088</v>
      </c>
      <c r="I1910" s="2646" t="s">
        <v>2088</v>
      </c>
      <c r="J1910" s="2646">
        <v>231</v>
      </c>
      <c r="L1910" s="2646">
        <v>2077164</v>
      </c>
    </row>
    <row r="1911" spans="1:12">
      <c r="A1911" s="2647" t="s">
        <v>99</v>
      </c>
      <c r="B1911" s="2647" t="s">
        <v>4113</v>
      </c>
      <c r="C1911" s="2647">
        <v>320</v>
      </c>
      <c r="D1911" s="2647">
        <v>480</v>
      </c>
      <c r="E1911" s="2647">
        <v>380</v>
      </c>
      <c r="F1911" s="2647" t="s">
        <v>2088</v>
      </c>
      <c r="G1911" s="2647" t="s">
        <v>2088</v>
      </c>
      <c r="H1911" s="2647" t="s">
        <v>2088</v>
      </c>
      <c r="I1911" s="2647" t="s">
        <v>2088</v>
      </c>
      <c r="J1911" s="2647">
        <v>234</v>
      </c>
      <c r="K1911" s="2648"/>
      <c r="L1911" s="2647" t="s">
        <v>4114</v>
      </c>
    </row>
    <row r="1912" spans="1:12">
      <c r="A1912" s="2646" t="s">
        <v>99</v>
      </c>
      <c r="B1912" s="2646" t="s">
        <v>4115</v>
      </c>
      <c r="C1912" s="2646">
        <v>320</v>
      </c>
      <c r="D1912" s="2646">
        <v>480</v>
      </c>
      <c r="E1912" s="2646">
        <v>380</v>
      </c>
      <c r="F1912" s="2646" t="s">
        <v>2088</v>
      </c>
      <c r="G1912" s="2646" t="s">
        <v>2088</v>
      </c>
      <c r="H1912" s="2646" t="s">
        <v>2088</v>
      </c>
      <c r="I1912" s="2646" t="s">
        <v>2088</v>
      </c>
      <c r="J1912" s="2646">
        <v>234</v>
      </c>
      <c r="L1912" s="2646" t="s">
        <v>4116</v>
      </c>
    </row>
    <row r="1913" spans="1:12">
      <c r="A1913" s="2647" t="s">
        <v>99</v>
      </c>
      <c r="B1913" s="2647" t="s">
        <v>4117</v>
      </c>
      <c r="C1913" s="2647">
        <v>320</v>
      </c>
      <c r="D1913" s="2647">
        <v>480</v>
      </c>
      <c r="E1913" s="2647">
        <v>380</v>
      </c>
      <c r="F1913" s="2647" t="s">
        <v>2088</v>
      </c>
      <c r="G1913" s="2647" t="s">
        <v>2088</v>
      </c>
      <c r="H1913" s="2647" t="s">
        <v>2088</v>
      </c>
      <c r="I1913" s="2647" t="s">
        <v>2088</v>
      </c>
      <c r="J1913" s="2647">
        <v>234</v>
      </c>
      <c r="K1913" s="2648"/>
      <c r="L1913" s="2647" t="s">
        <v>4118</v>
      </c>
    </row>
    <row r="1914" spans="1:12">
      <c r="A1914" s="2646" t="s">
        <v>99</v>
      </c>
      <c r="B1914" s="2646" t="s">
        <v>4119</v>
      </c>
      <c r="C1914" s="2646">
        <v>320</v>
      </c>
      <c r="D1914" s="2646">
        <v>480</v>
      </c>
      <c r="E1914" s="2646">
        <v>380</v>
      </c>
      <c r="F1914" s="2646" t="s">
        <v>2088</v>
      </c>
      <c r="G1914" s="2646" t="s">
        <v>2088</v>
      </c>
      <c r="H1914" s="2646" t="s">
        <v>2088</v>
      </c>
      <c r="I1914" s="2646" t="s">
        <v>2088</v>
      </c>
      <c r="J1914" s="2646">
        <v>234</v>
      </c>
      <c r="L1914" s="2646" t="s">
        <v>4118</v>
      </c>
    </row>
    <row r="1915" spans="1:12">
      <c r="A1915" s="2647" t="s">
        <v>99</v>
      </c>
      <c r="B1915" s="2647" t="s">
        <v>4120</v>
      </c>
      <c r="C1915" s="2647">
        <v>320</v>
      </c>
      <c r="D1915" s="2647">
        <v>480</v>
      </c>
      <c r="E1915" s="2647">
        <v>380</v>
      </c>
      <c r="F1915" s="2647" t="s">
        <v>2088</v>
      </c>
      <c r="G1915" s="2647" t="s">
        <v>2088</v>
      </c>
      <c r="H1915" s="2647" t="s">
        <v>2088</v>
      </c>
      <c r="I1915" s="2647" t="s">
        <v>2088</v>
      </c>
      <c r="J1915" s="2647">
        <v>252</v>
      </c>
      <c r="K1915" s="2648"/>
      <c r="L1915" s="2647">
        <v>2077164</v>
      </c>
    </row>
    <row r="1916" spans="1:12">
      <c r="A1916" s="2646" t="s">
        <v>99</v>
      </c>
      <c r="B1916" s="2646" t="s">
        <v>4121</v>
      </c>
      <c r="C1916" s="2646">
        <v>300</v>
      </c>
      <c r="D1916" s="2646">
        <v>460</v>
      </c>
      <c r="E1916" s="2646">
        <v>390</v>
      </c>
      <c r="F1916" s="2646" t="s">
        <v>2088</v>
      </c>
      <c r="G1916" s="2646" t="s">
        <v>2088</v>
      </c>
      <c r="H1916" s="2646" t="s">
        <v>2088</v>
      </c>
      <c r="I1916" s="2646" t="s">
        <v>2088</v>
      </c>
      <c r="J1916" s="2646">
        <v>238</v>
      </c>
      <c r="L1916" s="2646" t="s">
        <v>4122</v>
      </c>
    </row>
    <row r="1917" spans="1:12">
      <c r="A1917" s="2647" t="s">
        <v>99</v>
      </c>
      <c r="B1917" s="2647" t="s">
        <v>4123</v>
      </c>
      <c r="C1917" s="2647">
        <v>280</v>
      </c>
      <c r="D1917" s="2647">
        <v>420</v>
      </c>
      <c r="E1917" s="2647">
        <v>345</v>
      </c>
      <c r="F1917" s="2647" t="s">
        <v>2088</v>
      </c>
      <c r="G1917" s="2647" t="s">
        <v>2088</v>
      </c>
      <c r="H1917" s="2647" t="s">
        <v>2088</v>
      </c>
      <c r="I1917" s="2647" t="s">
        <v>2088</v>
      </c>
      <c r="J1917" s="2647">
        <v>191</v>
      </c>
      <c r="K1917" s="2648"/>
      <c r="L1917" s="2647" t="s">
        <v>4124</v>
      </c>
    </row>
    <row r="1918" spans="1:12">
      <c r="A1918" s="2646" t="s">
        <v>99</v>
      </c>
      <c r="B1918" s="2646" t="s">
        <v>4125</v>
      </c>
      <c r="C1918" s="2646">
        <v>260</v>
      </c>
      <c r="D1918" s="2646">
        <v>400</v>
      </c>
      <c r="E1918" s="2646">
        <v>255</v>
      </c>
      <c r="F1918" s="2646" t="s">
        <v>2088</v>
      </c>
      <c r="G1918" s="2646" t="s">
        <v>2088</v>
      </c>
      <c r="H1918" s="2646" t="s">
        <v>2088</v>
      </c>
      <c r="I1918" s="2646" t="s">
        <v>2088</v>
      </c>
      <c r="J1918" s="2646">
        <v>117</v>
      </c>
      <c r="L1918" s="2646" t="s">
        <v>4126</v>
      </c>
    </row>
    <row r="1919" spans="1:12">
      <c r="A1919" s="2647" t="s">
        <v>99</v>
      </c>
      <c r="B1919" s="2647" t="s">
        <v>4127</v>
      </c>
      <c r="C1919" s="2647">
        <v>260</v>
      </c>
      <c r="D1919" s="2647">
        <v>400</v>
      </c>
      <c r="E1919" s="2647">
        <v>255</v>
      </c>
      <c r="F1919" s="2647" t="s">
        <v>2088</v>
      </c>
      <c r="G1919" s="2647" t="s">
        <v>2088</v>
      </c>
      <c r="H1919" s="2647" t="s">
        <v>2088</v>
      </c>
      <c r="I1919" s="2647" t="s">
        <v>2088</v>
      </c>
      <c r="J1919" s="2647">
        <v>114</v>
      </c>
      <c r="K1919" s="2648"/>
      <c r="L1919" s="2647" t="s">
        <v>4128</v>
      </c>
    </row>
    <row r="1920" spans="1:12">
      <c r="A1920" s="2646" t="s">
        <v>99</v>
      </c>
      <c r="B1920" s="2646" t="s">
        <v>4129</v>
      </c>
      <c r="C1920" s="2646">
        <v>260</v>
      </c>
      <c r="D1920" s="2646">
        <v>400</v>
      </c>
      <c r="E1920" s="2646">
        <v>255</v>
      </c>
      <c r="F1920" s="2646" t="s">
        <v>2088</v>
      </c>
      <c r="G1920" s="2646" t="s">
        <v>2088</v>
      </c>
      <c r="H1920" s="2646" t="s">
        <v>2088</v>
      </c>
      <c r="I1920" s="2646" t="s">
        <v>2088</v>
      </c>
      <c r="J1920" s="2646">
        <v>114</v>
      </c>
      <c r="L1920" s="2646" t="s">
        <v>4130</v>
      </c>
    </row>
    <row r="1921" spans="1:12">
      <c r="A1921" s="2647" t="s">
        <v>99</v>
      </c>
      <c r="B1921" s="2647" t="s">
        <v>4131</v>
      </c>
      <c r="C1921" s="2647">
        <v>260</v>
      </c>
      <c r="D1921" s="2647">
        <v>400</v>
      </c>
      <c r="E1921" s="2647">
        <v>255</v>
      </c>
      <c r="F1921" s="2647" t="s">
        <v>2088</v>
      </c>
      <c r="G1921" s="2647" t="s">
        <v>2088</v>
      </c>
      <c r="H1921" s="2647" t="s">
        <v>2088</v>
      </c>
      <c r="I1921" s="2647" t="s">
        <v>2088</v>
      </c>
      <c r="J1921" s="2647">
        <v>117</v>
      </c>
      <c r="K1921" s="2648"/>
      <c r="L1921" s="2647" t="s">
        <v>4126</v>
      </c>
    </row>
    <row r="1922" spans="1:12">
      <c r="A1922" s="2646" t="s">
        <v>99</v>
      </c>
      <c r="B1922" s="2646" t="s">
        <v>4132</v>
      </c>
      <c r="C1922" s="2646">
        <v>260</v>
      </c>
      <c r="D1922" s="2646">
        <v>400</v>
      </c>
      <c r="E1922" s="2646">
        <v>255</v>
      </c>
      <c r="F1922" s="2646" t="s">
        <v>2088</v>
      </c>
      <c r="G1922" s="2646" t="s">
        <v>2088</v>
      </c>
      <c r="H1922" s="2646" t="s">
        <v>2088</v>
      </c>
      <c r="I1922" s="2646" t="s">
        <v>2088</v>
      </c>
      <c r="J1922" s="2646">
        <v>114</v>
      </c>
      <c r="L1922" s="2646" t="s">
        <v>4133</v>
      </c>
    </row>
    <row r="1923" spans="1:12">
      <c r="A1923" s="2647" t="s">
        <v>99</v>
      </c>
      <c r="B1923" s="2647" t="s">
        <v>4134</v>
      </c>
      <c r="C1923" s="2647">
        <v>260</v>
      </c>
      <c r="D1923" s="2647">
        <v>400</v>
      </c>
      <c r="E1923" s="2647">
        <v>255</v>
      </c>
      <c r="F1923" s="2647" t="s">
        <v>2088</v>
      </c>
      <c r="G1923" s="2647" t="s">
        <v>2088</v>
      </c>
      <c r="H1923" s="2647" t="s">
        <v>2088</v>
      </c>
      <c r="I1923" s="2647" t="s">
        <v>2088</v>
      </c>
      <c r="J1923" s="2647">
        <v>114</v>
      </c>
      <c r="K1923" s="2648"/>
      <c r="L1923" s="2647" t="s">
        <v>4135</v>
      </c>
    </row>
    <row r="1924" spans="1:12">
      <c r="A1924" s="2646" t="s">
        <v>99</v>
      </c>
      <c r="B1924" s="2646" t="s">
        <v>4136</v>
      </c>
      <c r="C1924" s="2646">
        <v>260</v>
      </c>
      <c r="D1924" s="2646">
        <v>400</v>
      </c>
      <c r="E1924" s="2646">
        <v>345</v>
      </c>
      <c r="F1924" s="2646" t="s">
        <v>2088</v>
      </c>
      <c r="G1924" s="2646" t="s">
        <v>2088</v>
      </c>
      <c r="H1924" s="2646" t="s">
        <v>2088</v>
      </c>
      <c r="I1924" s="2646" t="s">
        <v>2088</v>
      </c>
      <c r="J1924" s="2646">
        <v>153</v>
      </c>
      <c r="L1924" s="2646" t="s">
        <v>4137</v>
      </c>
    </row>
    <row r="1925" spans="1:12">
      <c r="A1925" s="2647" t="s">
        <v>99</v>
      </c>
      <c r="B1925" s="2647" t="s">
        <v>4138</v>
      </c>
      <c r="C1925" s="2647">
        <v>260</v>
      </c>
      <c r="D1925" s="2647">
        <v>400</v>
      </c>
      <c r="E1925" s="2647">
        <v>345</v>
      </c>
      <c r="F1925" s="2647" t="s">
        <v>2088</v>
      </c>
      <c r="G1925" s="2647" t="s">
        <v>2088</v>
      </c>
      <c r="H1925" s="2647" t="s">
        <v>2088</v>
      </c>
      <c r="I1925" s="2647" t="s">
        <v>2088</v>
      </c>
      <c r="J1925" s="2647">
        <v>153</v>
      </c>
      <c r="K1925" s="2648"/>
      <c r="L1925" s="2647" t="s">
        <v>4139</v>
      </c>
    </row>
    <row r="1926" spans="1:12">
      <c r="A1926" s="2646" t="s">
        <v>99</v>
      </c>
      <c r="B1926" s="2646" t="s">
        <v>4140</v>
      </c>
      <c r="C1926" s="2646">
        <v>260</v>
      </c>
      <c r="D1926" s="2646">
        <v>400</v>
      </c>
      <c r="E1926" s="2646">
        <v>345</v>
      </c>
      <c r="F1926" s="2646" t="s">
        <v>2088</v>
      </c>
      <c r="G1926" s="2646" t="s">
        <v>2088</v>
      </c>
      <c r="H1926" s="2646" t="s">
        <v>2088</v>
      </c>
      <c r="I1926" s="2646" t="s">
        <v>2088</v>
      </c>
      <c r="J1926" s="2646">
        <v>153</v>
      </c>
      <c r="L1926" s="2646" t="s">
        <v>4141</v>
      </c>
    </row>
    <row r="1927" spans="1:12">
      <c r="A1927" s="2647" t="s">
        <v>99</v>
      </c>
      <c r="B1927" s="2647" t="s">
        <v>4142</v>
      </c>
      <c r="C1927" s="2647">
        <v>220</v>
      </c>
      <c r="D1927" s="2647">
        <v>340</v>
      </c>
      <c r="E1927" s="2647">
        <v>305</v>
      </c>
      <c r="F1927" s="2647" t="s">
        <v>2088</v>
      </c>
      <c r="G1927" s="2647" t="s">
        <v>2088</v>
      </c>
      <c r="H1927" s="2647" t="s">
        <v>2088</v>
      </c>
      <c r="I1927" s="2647" t="s">
        <v>2088</v>
      </c>
      <c r="J1927" s="2647">
        <v>97.9</v>
      </c>
      <c r="K1927" s="2648"/>
      <c r="L1927" s="2647" t="s">
        <v>4143</v>
      </c>
    </row>
    <row r="1928" spans="1:12">
      <c r="A1928" s="2646" t="s">
        <v>99</v>
      </c>
      <c r="B1928" s="2646" t="s">
        <v>4144</v>
      </c>
      <c r="C1928" s="2646">
        <v>220</v>
      </c>
      <c r="D1928" s="2646">
        <v>340</v>
      </c>
      <c r="E1928" s="2646">
        <v>305</v>
      </c>
      <c r="F1928" s="2646" t="s">
        <v>2088</v>
      </c>
      <c r="G1928" s="2646" t="s">
        <v>2088</v>
      </c>
      <c r="H1928" s="2646" t="s">
        <v>2088</v>
      </c>
      <c r="I1928" s="2646" t="s">
        <v>2088</v>
      </c>
      <c r="J1928" s="2646">
        <v>97.9</v>
      </c>
      <c r="L1928" s="2646" t="s">
        <v>4145</v>
      </c>
    </row>
    <row r="1929" spans="1:12">
      <c r="A1929" s="2647" t="s">
        <v>99</v>
      </c>
      <c r="B1929" s="2647" t="s">
        <v>4146</v>
      </c>
      <c r="C1929" s="2647">
        <v>170</v>
      </c>
      <c r="D1929" s="2647">
        <v>260</v>
      </c>
      <c r="E1929" s="2647">
        <v>230</v>
      </c>
      <c r="F1929" s="2647" t="s">
        <v>2088</v>
      </c>
      <c r="G1929" s="2647" t="s">
        <v>2088</v>
      </c>
      <c r="H1929" s="2647" t="s">
        <v>2088</v>
      </c>
      <c r="I1929" s="2647" t="s">
        <v>2088</v>
      </c>
      <c r="J1929" s="2647">
        <v>43</v>
      </c>
      <c r="K1929" s="2648"/>
      <c r="L1929" s="2647" t="s">
        <v>4147</v>
      </c>
    </row>
    <row r="1930" spans="1:12">
      <c r="A1930" s="2646" t="s">
        <v>99</v>
      </c>
      <c r="B1930" s="2646" t="s">
        <v>4148</v>
      </c>
      <c r="C1930" s="2646">
        <v>950</v>
      </c>
      <c r="D1930" s="2646">
        <v>1360</v>
      </c>
      <c r="E1930" s="2646">
        <v>880</v>
      </c>
      <c r="F1930" s="2646" t="s">
        <v>2088</v>
      </c>
      <c r="G1930" s="2646" t="s">
        <v>2088</v>
      </c>
      <c r="H1930" s="2646" t="s">
        <v>2088</v>
      </c>
      <c r="I1930" s="2646" t="s">
        <v>2088</v>
      </c>
      <c r="J1930" s="2646">
        <v>4087</v>
      </c>
      <c r="L1930" s="2646" t="s">
        <v>4149</v>
      </c>
    </row>
    <row r="1931" spans="1:12">
      <c r="A1931" s="2647" t="s">
        <v>99</v>
      </c>
      <c r="B1931" s="2647" t="s">
        <v>4150</v>
      </c>
      <c r="C1931" s="2647">
        <v>1060</v>
      </c>
      <c r="D1931" s="2647">
        <v>1500</v>
      </c>
      <c r="E1931" s="2647">
        <v>1000</v>
      </c>
      <c r="F1931" s="2647" t="s">
        <v>2088</v>
      </c>
      <c r="G1931" s="2647" t="s">
        <v>2088</v>
      </c>
      <c r="H1931" s="2647" t="s">
        <v>2088</v>
      </c>
      <c r="I1931" s="2647" t="s">
        <v>2088</v>
      </c>
      <c r="J1931" s="2647">
        <v>5698</v>
      </c>
      <c r="K1931" s="2648"/>
      <c r="L1931" s="2647" t="s">
        <v>4151</v>
      </c>
    </row>
    <row r="1932" spans="1:12">
      <c r="A1932" s="2646" t="s">
        <v>99</v>
      </c>
      <c r="B1932" s="2646" t="s">
        <v>4152</v>
      </c>
      <c r="C1932" s="2646">
        <v>460</v>
      </c>
      <c r="D1932" s="2646">
        <v>610</v>
      </c>
      <c r="E1932" s="2646">
        <v>360</v>
      </c>
      <c r="F1932" s="2646" t="s">
        <v>2088</v>
      </c>
      <c r="G1932" s="2646" t="s">
        <v>2088</v>
      </c>
      <c r="H1932" s="2646" t="s">
        <v>2088</v>
      </c>
      <c r="I1932" s="2646" t="s">
        <v>2088</v>
      </c>
      <c r="J1932" s="2646">
        <v>292.7</v>
      </c>
      <c r="L1932" s="2646">
        <v>1077992</v>
      </c>
    </row>
    <row r="1933" spans="1:12">
      <c r="A1933" s="2647" t="s">
        <v>99</v>
      </c>
      <c r="B1933" s="2647" t="s">
        <v>4153</v>
      </c>
      <c r="C1933" s="2647">
        <v>460</v>
      </c>
      <c r="D1933" s="2647">
        <v>620</v>
      </c>
      <c r="E1933" s="2647">
        <v>310</v>
      </c>
      <c r="F1933" s="2647" t="s">
        <v>2088</v>
      </c>
      <c r="G1933" s="2647" t="s">
        <v>2088</v>
      </c>
      <c r="H1933" s="2647" t="s">
        <v>2088</v>
      </c>
      <c r="I1933" s="2647" t="s">
        <v>2088</v>
      </c>
      <c r="J1933" s="2647">
        <v>251</v>
      </c>
      <c r="K1933" s="2648"/>
      <c r="L1933" s="2647" t="s">
        <v>4154</v>
      </c>
    </row>
    <row r="1934" spans="1:12">
      <c r="A1934" s="2646" t="s">
        <v>99</v>
      </c>
      <c r="B1934" s="2646" t="s">
        <v>4155</v>
      </c>
      <c r="C1934" s="2646">
        <v>460</v>
      </c>
      <c r="D1934" s="2646">
        <v>620</v>
      </c>
      <c r="E1934" s="2646">
        <v>310</v>
      </c>
      <c r="F1934" s="2646" t="s">
        <v>2088</v>
      </c>
      <c r="G1934" s="2646" t="s">
        <v>2088</v>
      </c>
      <c r="H1934" s="2646" t="s">
        <v>2088</v>
      </c>
      <c r="I1934" s="2646" t="s">
        <v>2088</v>
      </c>
      <c r="J1934" s="2646">
        <v>260</v>
      </c>
      <c r="L1934" s="2646" t="s">
        <v>4156</v>
      </c>
    </row>
    <row r="1935" spans="1:12">
      <c r="A1935" s="2647" t="s">
        <v>99</v>
      </c>
      <c r="B1935" s="2647" t="s">
        <v>4157</v>
      </c>
      <c r="C1935" s="2647">
        <v>460</v>
      </c>
      <c r="D1935" s="2647">
        <v>620</v>
      </c>
      <c r="E1935" s="2647">
        <v>310</v>
      </c>
      <c r="F1935" s="2647" t="s">
        <v>2088</v>
      </c>
      <c r="G1935" s="2647" t="s">
        <v>2088</v>
      </c>
      <c r="H1935" s="2647" t="s">
        <v>2088</v>
      </c>
      <c r="I1935" s="2647" t="s">
        <v>2088</v>
      </c>
      <c r="J1935" s="2647">
        <v>260</v>
      </c>
      <c r="K1935" s="2648"/>
      <c r="L1935" s="2647">
        <v>1077992</v>
      </c>
    </row>
    <row r="1936" spans="1:12">
      <c r="A1936" s="2646" t="s">
        <v>99</v>
      </c>
      <c r="B1936" s="2646" t="s">
        <v>4158</v>
      </c>
      <c r="C1936" s="2646">
        <v>460</v>
      </c>
      <c r="D1936" s="2646">
        <v>620</v>
      </c>
      <c r="E1936" s="2646">
        <v>310</v>
      </c>
      <c r="F1936" s="2646" t="s">
        <v>2088</v>
      </c>
      <c r="G1936" s="2646" t="s">
        <v>2088</v>
      </c>
      <c r="H1936" s="2646" t="s">
        <v>2088</v>
      </c>
      <c r="I1936" s="2646" t="s">
        <v>2088</v>
      </c>
      <c r="J1936" s="2646">
        <v>173</v>
      </c>
      <c r="L1936" s="2646" t="s">
        <v>4159</v>
      </c>
    </row>
    <row r="1937" spans="1:12">
      <c r="A1937" s="2647" t="s">
        <v>99</v>
      </c>
      <c r="B1937" s="2647">
        <v>381992</v>
      </c>
      <c r="C1937" s="2647">
        <v>460</v>
      </c>
      <c r="D1937" s="2647">
        <v>620</v>
      </c>
      <c r="E1937" s="2647">
        <v>310</v>
      </c>
      <c r="F1937" s="2647" t="s">
        <v>2088</v>
      </c>
      <c r="G1937" s="2647" t="s">
        <v>2088</v>
      </c>
      <c r="H1937" s="2647" t="s">
        <v>2088</v>
      </c>
      <c r="I1937" s="2647" t="s">
        <v>2088</v>
      </c>
      <c r="J1937" s="2647">
        <v>173</v>
      </c>
      <c r="K1937" s="2648"/>
      <c r="L1937" s="2647">
        <v>1077992</v>
      </c>
    </row>
    <row r="1938" spans="1:12">
      <c r="A1938" s="2646" t="s">
        <v>99</v>
      </c>
      <c r="B1938" s="2646" t="s">
        <v>4160</v>
      </c>
      <c r="C1938" s="2646">
        <v>670</v>
      </c>
      <c r="D1938" s="2646">
        <v>900</v>
      </c>
      <c r="E1938" s="2646">
        <v>412</v>
      </c>
      <c r="F1938" s="2646" t="s">
        <v>2088</v>
      </c>
      <c r="G1938" s="2646" t="s">
        <v>2088</v>
      </c>
      <c r="H1938" s="2646" t="s">
        <v>2088</v>
      </c>
      <c r="I1938" s="2646" t="s">
        <v>2088</v>
      </c>
      <c r="J1938" s="2646">
        <v>773</v>
      </c>
      <c r="L1938" s="2646" t="s">
        <v>4161</v>
      </c>
    </row>
    <row r="1939" spans="1:12">
      <c r="A1939" s="2647" t="s">
        <v>99</v>
      </c>
      <c r="B1939" s="2647" t="s">
        <v>4162</v>
      </c>
      <c r="C1939" s="2647">
        <v>670</v>
      </c>
      <c r="D1939" s="2647">
        <v>900</v>
      </c>
      <c r="E1939" s="2647">
        <v>412</v>
      </c>
      <c r="F1939" s="2647" t="s">
        <v>2088</v>
      </c>
      <c r="G1939" s="2647" t="s">
        <v>2088</v>
      </c>
      <c r="H1939" s="2647" t="s">
        <v>2088</v>
      </c>
      <c r="I1939" s="2647" t="s">
        <v>2088</v>
      </c>
      <c r="J1939" s="2647">
        <v>959</v>
      </c>
      <c r="K1939" s="2648"/>
      <c r="L1939" s="2647" t="s">
        <v>4163</v>
      </c>
    </row>
    <row r="1940" spans="1:12">
      <c r="A1940" s="2646" t="s">
        <v>99</v>
      </c>
      <c r="B1940" s="2646" t="s">
        <v>4164</v>
      </c>
      <c r="C1940" s="2646">
        <v>630</v>
      </c>
      <c r="D1940" s="2646">
        <v>850</v>
      </c>
      <c r="E1940" s="2646">
        <v>418</v>
      </c>
      <c r="F1940" s="2646" t="s">
        <v>2088</v>
      </c>
      <c r="G1940" s="2646" t="s">
        <v>2088</v>
      </c>
      <c r="H1940" s="2646" t="s">
        <v>2088</v>
      </c>
      <c r="I1940" s="2646" t="s">
        <v>2088</v>
      </c>
      <c r="J1940" s="2646">
        <v>682</v>
      </c>
      <c r="L1940" s="2646" t="s">
        <v>2617</v>
      </c>
    </row>
    <row r="1941" spans="1:12">
      <c r="A1941" s="2647" t="s">
        <v>99</v>
      </c>
      <c r="B1941" s="2647" t="s">
        <v>4165</v>
      </c>
      <c r="C1941" s="2647">
        <v>530</v>
      </c>
      <c r="D1941" s="2647">
        <v>780</v>
      </c>
      <c r="E1941" s="2647">
        <v>450</v>
      </c>
      <c r="F1941" s="2647" t="s">
        <v>2088</v>
      </c>
      <c r="G1941" s="2647" t="s">
        <v>2088</v>
      </c>
      <c r="H1941" s="2647" t="s">
        <v>2088</v>
      </c>
      <c r="I1941" s="2647" t="s">
        <v>2088</v>
      </c>
      <c r="J1941" s="2647">
        <v>744</v>
      </c>
      <c r="K1941" s="2648"/>
      <c r="L1941" s="2647" t="s">
        <v>4166</v>
      </c>
    </row>
    <row r="1942" spans="1:12">
      <c r="A1942" s="2646" t="s">
        <v>99</v>
      </c>
      <c r="B1942" s="2646" t="s">
        <v>4167</v>
      </c>
      <c r="C1942" s="2646">
        <v>500</v>
      </c>
      <c r="D1942" s="2646">
        <v>720</v>
      </c>
      <c r="E1942" s="2646">
        <v>420</v>
      </c>
      <c r="F1942" s="2646" t="s">
        <v>2088</v>
      </c>
      <c r="G1942" s="2646" t="s">
        <v>2088</v>
      </c>
      <c r="H1942" s="2646" t="s">
        <v>2088</v>
      </c>
      <c r="I1942" s="2646" t="s">
        <v>2088</v>
      </c>
      <c r="J1942" s="2646">
        <v>135</v>
      </c>
      <c r="L1942" s="2646" t="s">
        <v>4168</v>
      </c>
    </row>
    <row r="1943" spans="1:12">
      <c r="A1943" s="2647" t="s">
        <v>99</v>
      </c>
      <c r="B1943" s="2647" t="s">
        <v>4169</v>
      </c>
      <c r="C1943" s="2647">
        <v>460</v>
      </c>
      <c r="D1943" s="2647">
        <v>730</v>
      </c>
      <c r="E1943" s="2647">
        <v>440</v>
      </c>
      <c r="F1943" s="2647" t="s">
        <v>2088</v>
      </c>
      <c r="G1943" s="2647" t="s">
        <v>2088</v>
      </c>
      <c r="H1943" s="2647" t="s">
        <v>2088</v>
      </c>
      <c r="I1943" s="2647" t="s">
        <v>2088</v>
      </c>
      <c r="J1943" s="2647">
        <v>694</v>
      </c>
      <c r="K1943" s="2648"/>
      <c r="L1943" s="2647">
        <v>77792</v>
      </c>
    </row>
    <row r="1944" spans="1:12">
      <c r="A1944" s="2646" t="s">
        <v>99</v>
      </c>
      <c r="B1944" s="2646" t="s">
        <v>4170</v>
      </c>
      <c r="C1944" s="2646">
        <v>460</v>
      </c>
      <c r="D1944" s="2646">
        <v>730</v>
      </c>
      <c r="E1944" s="2646">
        <v>440</v>
      </c>
      <c r="F1944" s="2646" t="s">
        <v>2088</v>
      </c>
      <c r="G1944" s="2646" t="s">
        <v>2088</v>
      </c>
      <c r="H1944" s="2646" t="s">
        <v>2088</v>
      </c>
      <c r="I1944" s="2646" t="s">
        <v>2088</v>
      </c>
      <c r="J1944" s="2646">
        <v>694</v>
      </c>
      <c r="L1944" s="2646" t="s">
        <v>4171</v>
      </c>
    </row>
    <row r="1945" spans="1:12">
      <c r="A1945" s="2647" t="s">
        <v>99</v>
      </c>
      <c r="B1945" s="2647" t="s">
        <v>4172</v>
      </c>
      <c r="C1945" s="2647">
        <v>460</v>
      </c>
      <c r="D1945" s="2647">
        <v>730</v>
      </c>
      <c r="E1945" s="2647">
        <v>440</v>
      </c>
      <c r="F1945" s="2647" t="s">
        <v>2088</v>
      </c>
      <c r="G1945" s="2647" t="s">
        <v>2088</v>
      </c>
      <c r="H1945" s="2647" t="s">
        <v>2088</v>
      </c>
      <c r="I1945" s="2647" t="s">
        <v>2088</v>
      </c>
      <c r="J1945" s="2647">
        <v>694</v>
      </c>
      <c r="K1945" s="2648"/>
      <c r="L1945" s="2647" t="s">
        <v>4173</v>
      </c>
    </row>
    <row r="1946" spans="1:12">
      <c r="A1946" s="2646" t="s">
        <v>99</v>
      </c>
      <c r="B1946" s="2646" t="s">
        <v>4174</v>
      </c>
      <c r="C1946" s="2646">
        <v>460</v>
      </c>
      <c r="D1946" s="2646">
        <v>650</v>
      </c>
      <c r="E1946" s="2646">
        <v>474</v>
      </c>
      <c r="F1946" s="2646" t="s">
        <v>2088</v>
      </c>
      <c r="G1946" s="2646" t="s">
        <v>2088</v>
      </c>
      <c r="H1946" s="2646" t="s">
        <v>2088</v>
      </c>
      <c r="I1946" s="2646" t="s">
        <v>2088</v>
      </c>
      <c r="J1946" s="2646">
        <v>495</v>
      </c>
      <c r="L1946" s="2646" t="s">
        <v>4175</v>
      </c>
    </row>
    <row r="1947" spans="1:12">
      <c r="A1947" s="2647" t="s">
        <v>99</v>
      </c>
      <c r="B1947" s="2647" t="s">
        <v>4176</v>
      </c>
      <c r="C1947" s="2647">
        <v>440</v>
      </c>
      <c r="D1947" s="2647">
        <v>620</v>
      </c>
      <c r="E1947" s="2647">
        <v>454</v>
      </c>
      <c r="F1947" s="2647" t="s">
        <v>2088</v>
      </c>
      <c r="G1947" s="2647" t="s">
        <v>2088</v>
      </c>
      <c r="H1947" s="2647" t="s">
        <v>2088</v>
      </c>
      <c r="I1947" s="2647" t="s">
        <v>2088</v>
      </c>
      <c r="J1947" s="2647">
        <v>434</v>
      </c>
      <c r="K1947" s="2648"/>
      <c r="L1947" s="2647" t="s">
        <v>4177</v>
      </c>
    </row>
    <row r="1948" spans="1:12">
      <c r="A1948" s="2646" t="s">
        <v>99</v>
      </c>
      <c r="B1948" s="2646" t="s">
        <v>4178</v>
      </c>
      <c r="C1948" s="2646">
        <v>440</v>
      </c>
      <c r="D1948" s="2646">
        <v>620</v>
      </c>
      <c r="E1948" s="2646">
        <v>454</v>
      </c>
      <c r="F1948" s="2646" t="s">
        <v>2088</v>
      </c>
      <c r="G1948" s="2646" t="s">
        <v>2088</v>
      </c>
      <c r="H1948" s="2646" t="s">
        <v>2088</v>
      </c>
      <c r="I1948" s="2646" t="s">
        <v>2088</v>
      </c>
      <c r="J1948" s="2646">
        <v>432</v>
      </c>
      <c r="L1948" s="2646" t="s">
        <v>4179</v>
      </c>
    </row>
    <row r="1949" spans="1:12">
      <c r="A1949" s="2647" t="s">
        <v>99</v>
      </c>
      <c r="B1949" s="2647" t="s">
        <v>4180</v>
      </c>
      <c r="C1949" s="2647">
        <v>440</v>
      </c>
      <c r="D1949" s="2647">
        <v>620</v>
      </c>
      <c r="E1949" s="2647">
        <v>454</v>
      </c>
      <c r="F1949" s="2647" t="s">
        <v>2088</v>
      </c>
      <c r="G1949" s="2647" t="s">
        <v>2088</v>
      </c>
      <c r="H1949" s="2647" t="s">
        <v>2088</v>
      </c>
      <c r="I1949" s="2647" t="s">
        <v>2088</v>
      </c>
      <c r="J1949" s="2647">
        <v>440</v>
      </c>
      <c r="K1949" s="2648"/>
      <c r="L1949" s="2647" t="s">
        <v>4181</v>
      </c>
    </row>
    <row r="1950" spans="1:12">
      <c r="A1950" s="2646" t="s">
        <v>99</v>
      </c>
      <c r="B1950" s="2646" t="s">
        <v>4182</v>
      </c>
      <c r="C1950" s="2646">
        <v>420</v>
      </c>
      <c r="D1950" s="2646">
        <v>760</v>
      </c>
      <c r="E1950" s="2646">
        <v>500</v>
      </c>
      <c r="F1950" s="2646" t="s">
        <v>2088</v>
      </c>
      <c r="G1950" s="2646" t="s">
        <v>2088</v>
      </c>
      <c r="H1950" s="2646" t="s">
        <v>2088</v>
      </c>
      <c r="I1950" s="2646" t="s">
        <v>2088</v>
      </c>
      <c r="J1950" s="2646">
        <v>1039</v>
      </c>
      <c r="L1950" s="2646" t="s">
        <v>4183</v>
      </c>
    </row>
    <row r="1951" spans="1:12">
      <c r="A1951" s="2647" t="s">
        <v>99</v>
      </c>
      <c r="B1951" s="2647">
        <v>380684</v>
      </c>
      <c r="C1951" s="2647">
        <v>420</v>
      </c>
      <c r="D1951" s="2647">
        <v>760</v>
      </c>
      <c r="E1951" s="2647">
        <v>500</v>
      </c>
      <c r="F1951" s="2647" t="s">
        <v>2088</v>
      </c>
      <c r="G1951" s="2647" t="s">
        <v>2088</v>
      </c>
      <c r="H1951" s="2647" t="s">
        <v>2088</v>
      </c>
      <c r="I1951" s="2647" t="s">
        <v>2088</v>
      </c>
      <c r="J1951" s="2647">
        <v>1039</v>
      </c>
      <c r="K1951" s="2648"/>
      <c r="L1951" s="2647">
        <v>77884</v>
      </c>
    </row>
    <row r="1952" spans="1:12">
      <c r="A1952" s="2646" t="s">
        <v>99</v>
      </c>
      <c r="B1952" s="2646" t="s">
        <v>4184</v>
      </c>
      <c r="C1952" s="2646">
        <v>400</v>
      </c>
      <c r="D1952" s="2646">
        <v>540</v>
      </c>
      <c r="E1952" s="2646">
        <v>280</v>
      </c>
      <c r="F1952" s="2646" t="s">
        <v>2088</v>
      </c>
      <c r="G1952" s="2646" t="s">
        <v>2088</v>
      </c>
      <c r="H1952" s="2646" t="s">
        <v>2088</v>
      </c>
      <c r="I1952" s="2646" t="s">
        <v>2088</v>
      </c>
      <c r="J1952" s="2646">
        <v>177</v>
      </c>
      <c r="L1952" s="2646" t="s">
        <v>4185</v>
      </c>
    </row>
    <row r="1953" spans="1:12">
      <c r="A1953" s="2647" t="s">
        <v>99</v>
      </c>
      <c r="B1953" s="2647" t="s">
        <v>4186</v>
      </c>
      <c r="C1953" s="2647">
        <v>395</v>
      </c>
      <c r="D1953" s="2647">
        <v>545</v>
      </c>
      <c r="E1953" s="2647">
        <v>288.7</v>
      </c>
      <c r="F1953" s="2647" t="s">
        <v>2088</v>
      </c>
      <c r="G1953" s="2647" t="s">
        <v>2088</v>
      </c>
      <c r="H1953" s="2647" t="s">
        <v>2088</v>
      </c>
      <c r="I1953" s="2647" t="s">
        <v>2088</v>
      </c>
      <c r="J1953" s="2647">
        <v>194</v>
      </c>
      <c r="K1953" s="2648"/>
      <c r="L1953" s="2647" t="s">
        <v>4187</v>
      </c>
    </row>
    <row r="1954" spans="1:12">
      <c r="A1954" s="2646" t="s">
        <v>99</v>
      </c>
      <c r="B1954" s="2646" t="s">
        <v>4188</v>
      </c>
      <c r="C1954" s="2646">
        <v>395</v>
      </c>
      <c r="D1954" s="2646">
        <v>545</v>
      </c>
      <c r="E1954" s="2646">
        <v>288.7</v>
      </c>
      <c r="F1954" s="2646" t="s">
        <v>2088</v>
      </c>
      <c r="G1954" s="2646" t="s">
        <v>2088</v>
      </c>
      <c r="H1954" s="2646" t="s">
        <v>2088</v>
      </c>
      <c r="I1954" s="2646" t="s">
        <v>2088</v>
      </c>
      <c r="J1954" s="2646">
        <v>191</v>
      </c>
      <c r="L1954" s="2646" t="s">
        <v>4189</v>
      </c>
    </row>
    <row r="1955" spans="1:12">
      <c r="A1955" s="2647" t="s">
        <v>99</v>
      </c>
      <c r="B1955" s="2647" t="s">
        <v>4190</v>
      </c>
      <c r="C1955" s="2647">
        <v>395</v>
      </c>
      <c r="D1955" s="2647">
        <v>545</v>
      </c>
      <c r="E1955" s="2647">
        <v>288.7</v>
      </c>
      <c r="F1955" s="2647" t="s">
        <v>2088</v>
      </c>
      <c r="G1955" s="2647" t="s">
        <v>2088</v>
      </c>
      <c r="H1955" s="2647" t="s">
        <v>2088</v>
      </c>
      <c r="I1955" s="2647" t="s">
        <v>2088</v>
      </c>
      <c r="J1955" s="2647">
        <v>194</v>
      </c>
      <c r="K1955" s="2648"/>
      <c r="L1955" s="2647" t="s">
        <v>4191</v>
      </c>
    </row>
    <row r="1956" spans="1:12">
      <c r="A1956" s="2646" t="s">
        <v>99</v>
      </c>
      <c r="B1956" s="2646" t="s">
        <v>4192</v>
      </c>
      <c r="C1956" s="2646">
        <v>395</v>
      </c>
      <c r="D1956" s="2646">
        <v>545</v>
      </c>
      <c r="E1956" s="2646">
        <v>288.7</v>
      </c>
      <c r="F1956" s="2646" t="s">
        <v>2088</v>
      </c>
      <c r="G1956" s="2646" t="s">
        <v>2088</v>
      </c>
      <c r="H1956" s="2646" t="s">
        <v>2088</v>
      </c>
      <c r="I1956" s="2646" t="s">
        <v>2088</v>
      </c>
      <c r="J1956" s="2646">
        <v>194</v>
      </c>
      <c r="L1956" s="2646" t="s">
        <v>4193</v>
      </c>
    </row>
    <row r="1957" spans="1:12">
      <c r="A1957" s="2647" t="s">
        <v>99</v>
      </c>
      <c r="B1957" s="2647" t="s">
        <v>4194</v>
      </c>
      <c r="C1957" s="2647">
        <v>350</v>
      </c>
      <c r="D1957" s="2647">
        <v>590</v>
      </c>
      <c r="E1957" s="2647">
        <v>420</v>
      </c>
      <c r="F1957" s="2647" t="s">
        <v>2088</v>
      </c>
      <c r="G1957" s="2647" t="s">
        <v>2088</v>
      </c>
      <c r="H1957" s="2647" t="s">
        <v>2088</v>
      </c>
      <c r="I1957" s="2647" t="s">
        <v>2088</v>
      </c>
      <c r="J1957" s="2647">
        <v>455</v>
      </c>
      <c r="K1957" s="2648"/>
      <c r="L1957" s="2647" t="s">
        <v>4195</v>
      </c>
    </row>
    <row r="1958" spans="1:12">
      <c r="A1958" s="2646" t="s">
        <v>99</v>
      </c>
      <c r="B1958" s="2646" t="s">
        <v>4196</v>
      </c>
      <c r="C1958" s="2646">
        <v>350</v>
      </c>
      <c r="D1958" s="2646">
        <v>590</v>
      </c>
      <c r="E1958" s="2646">
        <v>420</v>
      </c>
      <c r="F1958" s="2646" t="s">
        <v>2088</v>
      </c>
      <c r="G1958" s="2646" t="s">
        <v>2088</v>
      </c>
      <c r="H1958" s="2646" t="s">
        <v>2088</v>
      </c>
      <c r="I1958" s="2646" t="s">
        <v>2088</v>
      </c>
      <c r="J1958" s="2646">
        <v>475</v>
      </c>
      <c r="L1958" s="2646" t="s">
        <v>4197</v>
      </c>
    </row>
    <row r="1959" spans="1:12">
      <c r="A1959" s="2647" t="s">
        <v>99</v>
      </c>
      <c r="B1959" s="2647" t="s">
        <v>4198</v>
      </c>
      <c r="C1959" s="2647">
        <v>350</v>
      </c>
      <c r="D1959" s="2647">
        <v>590</v>
      </c>
      <c r="E1959" s="2647">
        <v>420</v>
      </c>
      <c r="F1959" s="2647" t="s">
        <v>2088</v>
      </c>
      <c r="G1959" s="2647" t="s">
        <v>2088</v>
      </c>
      <c r="H1959" s="2647" t="s">
        <v>2088</v>
      </c>
      <c r="I1959" s="2647" t="s">
        <v>2088</v>
      </c>
      <c r="J1959" s="2647">
        <v>475</v>
      </c>
      <c r="K1959" s="2648"/>
      <c r="L1959" s="2647" t="s">
        <v>4199</v>
      </c>
    </row>
    <row r="1960" spans="1:12">
      <c r="A1960" s="2646" t="s">
        <v>99</v>
      </c>
      <c r="B1960" s="2646">
        <v>380670</v>
      </c>
      <c r="C1960" s="2646">
        <v>350</v>
      </c>
      <c r="D1960" s="2646">
        <v>590</v>
      </c>
      <c r="E1960" s="2646">
        <v>420</v>
      </c>
      <c r="F1960" s="2646" t="s">
        <v>2088</v>
      </c>
      <c r="G1960" s="2646" t="s">
        <v>2088</v>
      </c>
      <c r="H1960" s="2646" t="s">
        <v>2088</v>
      </c>
      <c r="I1960" s="2646" t="s">
        <v>2088</v>
      </c>
      <c r="J1960" s="2646">
        <v>475</v>
      </c>
      <c r="L1960" s="2646">
        <v>777770</v>
      </c>
    </row>
    <row r="1961" spans="1:12">
      <c r="A1961" s="2647" t="s">
        <v>99</v>
      </c>
      <c r="B1961" s="2647" t="s">
        <v>4200</v>
      </c>
      <c r="C1961" s="2647">
        <v>320</v>
      </c>
      <c r="D1961" s="2647">
        <v>460</v>
      </c>
      <c r="E1961" s="2647">
        <v>380</v>
      </c>
      <c r="F1961" s="2647" t="s">
        <v>2088</v>
      </c>
      <c r="G1961" s="2647" t="s">
        <v>2088</v>
      </c>
      <c r="H1961" s="2647" t="s">
        <v>2088</v>
      </c>
      <c r="I1961" s="2647" t="s">
        <v>2088</v>
      </c>
      <c r="J1961" s="2647">
        <v>218</v>
      </c>
      <c r="K1961" s="2648"/>
      <c r="L1961" s="2647">
        <v>77864</v>
      </c>
    </row>
    <row r="1962" spans="1:12">
      <c r="A1962" s="2646" t="s">
        <v>99</v>
      </c>
      <c r="B1962" s="2646">
        <v>380650</v>
      </c>
      <c r="C1962" s="2646">
        <v>250</v>
      </c>
      <c r="D1962" s="2646">
        <v>385</v>
      </c>
      <c r="E1962" s="2646">
        <v>255</v>
      </c>
      <c r="F1962" s="2646" t="s">
        <v>2088</v>
      </c>
      <c r="G1962" s="2646" t="s">
        <v>2088</v>
      </c>
      <c r="H1962" s="2646" t="s">
        <v>2088</v>
      </c>
      <c r="I1962" s="2646" t="s">
        <v>2088</v>
      </c>
      <c r="J1962" s="2646">
        <v>108</v>
      </c>
      <c r="L1962" s="2646" t="s">
        <v>4201</v>
      </c>
    </row>
    <row r="1963" spans="1:12">
      <c r="A1963" s="2647" t="s">
        <v>99</v>
      </c>
      <c r="B1963" s="2647" t="s">
        <v>4202</v>
      </c>
      <c r="C1963" s="2647">
        <v>245</v>
      </c>
      <c r="D1963" s="2647">
        <v>380</v>
      </c>
      <c r="E1963" s="2647">
        <v>254</v>
      </c>
      <c r="F1963" s="2647" t="s">
        <v>2088</v>
      </c>
      <c r="G1963" s="2647" t="s">
        <v>2088</v>
      </c>
      <c r="H1963" s="2647" t="s">
        <v>2088</v>
      </c>
      <c r="I1963" s="2647" t="s">
        <v>2088</v>
      </c>
      <c r="J1963" s="2647">
        <v>111</v>
      </c>
      <c r="K1963" s="2648"/>
      <c r="L1963" s="2647" t="s">
        <v>4203</v>
      </c>
    </row>
    <row r="1964" spans="1:12">
      <c r="A1964" s="2646" t="s">
        <v>99</v>
      </c>
      <c r="B1964" s="2646" t="s">
        <v>4204</v>
      </c>
      <c r="C1964" s="2646">
        <v>205</v>
      </c>
      <c r="D1964" s="2646">
        <v>320</v>
      </c>
      <c r="E1964" s="2646">
        <v>205</v>
      </c>
      <c r="F1964" s="2646" t="s">
        <v>2088</v>
      </c>
      <c r="G1964" s="2646" t="s">
        <v>2088</v>
      </c>
      <c r="H1964" s="2646" t="s">
        <v>2088</v>
      </c>
      <c r="I1964" s="2646" t="s">
        <v>2088</v>
      </c>
      <c r="J1964" s="2646">
        <v>54.5</v>
      </c>
      <c r="L1964" s="2646" t="s">
        <v>4205</v>
      </c>
    </row>
    <row r="1965" spans="1:12">
      <c r="A1965" s="2647" t="s">
        <v>99</v>
      </c>
      <c r="B1965" s="2647">
        <v>380640</v>
      </c>
      <c r="C1965" s="2647">
        <v>200</v>
      </c>
      <c r="D1965" s="2647">
        <v>282</v>
      </c>
      <c r="E1965" s="2647">
        <v>206</v>
      </c>
      <c r="F1965" s="2647" t="s">
        <v>2088</v>
      </c>
      <c r="G1965" s="2647" t="s">
        <v>2088</v>
      </c>
      <c r="H1965" s="2647" t="s">
        <v>2088</v>
      </c>
      <c r="I1965" s="2647" t="s">
        <v>2088</v>
      </c>
      <c r="J1965" s="2647">
        <v>42.7</v>
      </c>
      <c r="K1965" s="2648"/>
      <c r="L1965" s="2647" t="s">
        <v>4206</v>
      </c>
    </row>
    <row r="1966" spans="1:12">
      <c r="A1966" s="2646" t="s">
        <v>99</v>
      </c>
      <c r="B1966" s="2646">
        <v>380622</v>
      </c>
      <c r="C1966" s="2646">
        <v>110</v>
      </c>
      <c r="D1966" s="2646">
        <v>160</v>
      </c>
      <c r="E1966" s="2646">
        <v>115</v>
      </c>
      <c r="F1966" s="2646" t="s">
        <v>2088</v>
      </c>
      <c r="G1966" s="2646" t="s">
        <v>2088</v>
      </c>
      <c r="H1966" s="2646" t="s">
        <v>2088</v>
      </c>
      <c r="I1966" s="2646" t="s">
        <v>2088</v>
      </c>
      <c r="J1966" s="2646">
        <v>7.68</v>
      </c>
      <c r="L1966" s="2646">
        <v>77722</v>
      </c>
    </row>
    <row r="1967" spans="1:12">
      <c r="A1967" s="2647" t="s">
        <v>99</v>
      </c>
      <c r="B1967" s="2647" t="s">
        <v>4207</v>
      </c>
      <c r="C1967" s="2647">
        <v>750</v>
      </c>
      <c r="D1967" s="2647">
        <v>1130</v>
      </c>
      <c r="E1967" s="2647">
        <v>690</v>
      </c>
      <c r="F1967" s="2647" t="s">
        <v>2088</v>
      </c>
      <c r="G1967" s="2647" t="s">
        <v>2088</v>
      </c>
      <c r="H1967" s="2647" t="s">
        <v>2088</v>
      </c>
      <c r="I1967" s="2647" t="s">
        <v>2088</v>
      </c>
      <c r="J1967" s="2647">
        <v>2549</v>
      </c>
      <c r="K1967" s="2648"/>
      <c r="L1967" s="2647" t="s">
        <v>4208</v>
      </c>
    </row>
    <row r="1968" spans="1:12">
      <c r="A1968" s="2646" t="s">
        <v>99</v>
      </c>
      <c r="B1968" s="2646" t="s">
        <v>4209</v>
      </c>
      <c r="C1968" s="2646">
        <v>660</v>
      </c>
      <c r="D1968" s="2646">
        <v>1070</v>
      </c>
      <c r="E1968" s="2646">
        <v>650</v>
      </c>
      <c r="F1968" s="2646" t="s">
        <v>2088</v>
      </c>
      <c r="G1968" s="2646" t="s">
        <v>2088</v>
      </c>
      <c r="H1968" s="2646" t="s">
        <v>2088</v>
      </c>
      <c r="I1968" s="2646" t="s">
        <v>2088</v>
      </c>
      <c r="J1968" s="2646">
        <v>2282</v>
      </c>
      <c r="L1968" s="2646" t="s">
        <v>4210</v>
      </c>
    </row>
    <row r="1969" spans="1:12">
      <c r="A1969" s="2647" t="s">
        <v>99</v>
      </c>
      <c r="B1969" s="2647" t="s">
        <v>4211</v>
      </c>
      <c r="C1969" s="2647">
        <v>650</v>
      </c>
      <c r="D1969" s="2647">
        <v>1030</v>
      </c>
      <c r="E1969" s="2647">
        <v>560</v>
      </c>
      <c r="F1969" s="2647" t="s">
        <v>2088</v>
      </c>
      <c r="G1969" s="2647" t="s">
        <v>2088</v>
      </c>
      <c r="H1969" s="2647" t="s">
        <v>2088</v>
      </c>
      <c r="I1969" s="2647" t="s">
        <v>2088</v>
      </c>
      <c r="J1969" s="2647">
        <v>1753</v>
      </c>
      <c r="K1969" s="2648"/>
      <c r="L1969" s="2647" t="s">
        <v>4212</v>
      </c>
    </row>
    <row r="1970" spans="1:12">
      <c r="A1970" s="2646" t="s">
        <v>99</v>
      </c>
      <c r="B1970" s="2646" t="s">
        <v>4213</v>
      </c>
      <c r="C1970" s="2646">
        <v>650</v>
      </c>
      <c r="D1970" s="2646">
        <v>1030</v>
      </c>
      <c r="E1970" s="2646">
        <v>560</v>
      </c>
      <c r="F1970" s="2646" t="s">
        <v>2088</v>
      </c>
      <c r="G1970" s="2646" t="s">
        <v>2088</v>
      </c>
      <c r="H1970" s="2646" t="s">
        <v>2088</v>
      </c>
      <c r="I1970" s="2646" t="s">
        <v>2088</v>
      </c>
      <c r="J1970" s="2646">
        <v>1735</v>
      </c>
      <c r="L1970" s="2646" t="s">
        <v>4212</v>
      </c>
    </row>
    <row r="1971" spans="1:12">
      <c r="A1971" s="2647" t="s">
        <v>99</v>
      </c>
      <c r="B1971" s="2647" t="s">
        <v>4214</v>
      </c>
      <c r="C1971" s="2647">
        <v>650</v>
      </c>
      <c r="D1971" s="2647">
        <v>1030</v>
      </c>
      <c r="E1971" s="2647">
        <v>560</v>
      </c>
      <c r="F1971" s="2647" t="s">
        <v>2088</v>
      </c>
      <c r="G1971" s="2647" t="s">
        <v>2088</v>
      </c>
      <c r="H1971" s="2647" t="s">
        <v>2088</v>
      </c>
      <c r="I1971" s="2647" t="s">
        <v>2088</v>
      </c>
      <c r="J1971" s="2647">
        <v>1810</v>
      </c>
      <c r="K1971" s="2648"/>
      <c r="L1971" s="2647" t="s">
        <v>4215</v>
      </c>
    </row>
    <row r="1972" spans="1:12">
      <c r="A1972" s="2646" t="s">
        <v>99</v>
      </c>
      <c r="B1972" s="2646" t="s">
        <v>4216</v>
      </c>
      <c r="C1972" s="2646">
        <v>650</v>
      </c>
      <c r="D1972" s="2646">
        <v>1030</v>
      </c>
      <c r="E1972" s="2646">
        <v>560</v>
      </c>
      <c r="F1972" s="2646" t="s">
        <v>2088</v>
      </c>
      <c r="G1972" s="2646" t="s">
        <v>2088</v>
      </c>
      <c r="H1972" s="2646" t="s">
        <v>2088</v>
      </c>
      <c r="I1972" s="2646" t="s">
        <v>2088</v>
      </c>
      <c r="J1972" s="2646">
        <v>1769</v>
      </c>
      <c r="L1972" s="2646" t="s">
        <v>4217</v>
      </c>
    </row>
    <row r="1973" spans="1:12">
      <c r="A1973" s="2647" t="s">
        <v>99</v>
      </c>
      <c r="B1973" s="2647" t="s">
        <v>4218</v>
      </c>
      <c r="C1973" s="2647">
        <v>600</v>
      </c>
      <c r="D1973" s="2647">
        <v>980</v>
      </c>
      <c r="E1973" s="2647">
        <v>650</v>
      </c>
      <c r="F1973" s="2647" t="s">
        <v>2088</v>
      </c>
      <c r="G1973" s="2647" t="s">
        <v>2088</v>
      </c>
      <c r="H1973" s="2647" t="s">
        <v>2088</v>
      </c>
      <c r="I1973" s="2647" t="s">
        <v>2088</v>
      </c>
      <c r="J1973" s="2647">
        <v>1970</v>
      </c>
      <c r="K1973" s="2648"/>
      <c r="L1973" s="2647" t="s">
        <v>4219</v>
      </c>
    </row>
    <row r="1974" spans="1:12">
      <c r="A1974" s="2646" t="s">
        <v>99</v>
      </c>
      <c r="B1974" s="2646" t="s">
        <v>4220</v>
      </c>
      <c r="C1974" s="2646">
        <v>530</v>
      </c>
      <c r="D1974" s="2646">
        <v>880</v>
      </c>
      <c r="E1974" s="2646">
        <v>544</v>
      </c>
      <c r="F1974" s="2646" t="s">
        <v>2088</v>
      </c>
      <c r="G1974" s="2646" t="s">
        <v>2088</v>
      </c>
      <c r="H1974" s="2646" t="s">
        <v>2088</v>
      </c>
      <c r="I1974" s="2646" t="s">
        <v>2088</v>
      </c>
      <c r="J1974" s="2646">
        <v>1350</v>
      </c>
      <c r="L1974" s="2646" t="s">
        <v>4221</v>
      </c>
    </row>
    <row r="1975" spans="1:12">
      <c r="A1975" s="2647" t="s">
        <v>99</v>
      </c>
      <c r="B1975" s="2647" t="s">
        <v>4222</v>
      </c>
      <c r="C1975" s="2647">
        <v>220</v>
      </c>
      <c r="D1975" s="2647">
        <v>340</v>
      </c>
      <c r="E1975" s="2647">
        <v>90</v>
      </c>
      <c r="F1975" s="2647" t="s">
        <v>2088</v>
      </c>
      <c r="G1975" s="2647" t="s">
        <v>2088</v>
      </c>
      <c r="H1975" s="2647" t="s">
        <v>2088</v>
      </c>
      <c r="I1975" s="2647" t="s">
        <v>2088</v>
      </c>
      <c r="J1975" s="2647">
        <v>30.78</v>
      </c>
      <c r="K1975" s="2648"/>
      <c r="L1975" s="2647" t="s">
        <v>2088</v>
      </c>
    </row>
    <row r="1976" spans="1:12">
      <c r="A1976" s="2646" t="s">
        <v>99</v>
      </c>
      <c r="B1976" s="2646" t="s">
        <v>4223</v>
      </c>
      <c r="C1976" s="2646">
        <v>65</v>
      </c>
      <c r="D1976" s="2646">
        <v>140</v>
      </c>
      <c r="E1976" s="2646">
        <v>36</v>
      </c>
      <c r="F1976" s="2646" t="s">
        <v>2088</v>
      </c>
      <c r="G1976" s="2646" t="s">
        <v>2088</v>
      </c>
      <c r="H1976" s="2646" t="s">
        <v>2088</v>
      </c>
      <c r="I1976" s="2646" t="s">
        <v>2088</v>
      </c>
      <c r="J1976" s="2646">
        <v>2.46</v>
      </c>
      <c r="L1976" s="2646" t="s">
        <v>4224</v>
      </c>
    </row>
    <row r="1977" spans="1:12">
      <c r="A1977" s="2647" t="s">
        <v>99</v>
      </c>
      <c r="B1977" s="2647" t="s">
        <v>4225</v>
      </c>
      <c r="C1977" s="2647">
        <v>75</v>
      </c>
      <c r="D1977" s="2647">
        <v>160</v>
      </c>
      <c r="E1977" s="2647">
        <v>40</v>
      </c>
      <c r="F1977" s="2647" t="s">
        <v>2088</v>
      </c>
      <c r="G1977" s="2647" t="s">
        <v>2088</v>
      </c>
      <c r="H1977" s="2647" t="s">
        <v>2088</v>
      </c>
      <c r="I1977" s="2647" t="s">
        <v>2088</v>
      </c>
      <c r="J1977" s="2647">
        <v>3.54</v>
      </c>
      <c r="K1977" s="2648"/>
      <c r="L1977" s="2647" t="s">
        <v>4226</v>
      </c>
    </row>
    <row r="1978" spans="1:12">
      <c r="A1978" s="2646" t="s">
        <v>99</v>
      </c>
      <c r="B1978" s="2646" t="s">
        <v>4227</v>
      </c>
      <c r="C1978" s="2646">
        <v>45</v>
      </c>
      <c r="D1978" s="2646">
        <v>85</v>
      </c>
      <c r="E1978" s="2646">
        <v>25</v>
      </c>
      <c r="F1978" s="2646" t="s">
        <v>2088</v>
      </c>
      <c r="G1978" s="2646" t="s">
        <v>2088</v>
      </c>
      <c r="H1978" s="2646" t="s">
        <v>2088</v>
      </c>
      <c r="I1978" s="2646" t="s">
        <v>2088</v>
      </c>
      <c r="J1978" s="2646">
        <v>0.58399999999999996</v>
      </c>
      <c r="L1978" s="2646" t="s">
        <v>4228</v>
      </c>
    </row>
    <row r="1979" spans="1:12">
      <c r="A1979" s="2647" t="s">
        <v>99</v>
      </c>
      <c r="B1979" s="2647">
        <v>92312</v>
      </c>
      <c r="C1979" s="2647">
        <v>60</v>
      </c>
      <c r="D1979" s="2647">
        <v>85</v>
      </c>
      <c r="E1979" s="2647">
        <v>17</v>
      </c>
      <c r="F1979" s="2647" t="s">
        <v>2088</v>
      </c>
      <c r="G1979" s="2647" t="s">
        <v>2088</v>
      </c>
      <c r="H1979" s="2647" t="s">
        <v>2088</v>
      </c>
      <c r="I1979" s="2647" t="s">
        <v>2088</v>
      </c>
      <c r="J1979" s="2647">
        <v>0.24</v>
      </c>
      <c r="K1979" s="2648"/>
      <c r="L1979" s="2647">
        <v>2007912</v>
      </c>
    </row>
    <row r="1980" spans="1:12">
      <c r="A1980" s="2646" t="s">
        <v>99</v>
      </c>
      <c r="B1980" s="2646" t="s">
        <v>4229</v>
      </c>
      <c r="C1980" s="2646">
        <v>170</v>
      </c>
      <c r="D1980" s="2646">
        <v>230</v>
      </c>
      <c r="E1980" s="2646">
        <v>38.5</v>
      </c>
      <c r="F1980" s="2646" t="s">
        <v>2088</v>
      </c>
      <c r="G1980" s="2646" t="s">
        <v>2088</v>
      </c>
      <c r="H1980" s="2646" t="s">
        <v>2088</v>
      </c>
      <c r="I1980" s="2646" t="s">
        <v>2088</v>
      </c>
      <c r="J1980" s="2646" t="s">
        <v>2088</v>
      </c>
      <c r="L1980" s="2646">
        <v>2007934</v>
      </c>
    </row>
    <row r="1981" spans="1:12">
      <c r="A1981" s="2647" t="s">
        <v>99</v>
      </c>
      <c r="B1981" s="2647" t="s">
        <v>4230</v>
      </c>
      <c r="C1981" s="2647">
        <v>25</v>
      </c>
      <c r="D1981" s="2647">
        <v>47</v>
      </c>
      <c r="E1981" s="2647">
        <v>15</v>
      </c>
      <c r="F1981" s="2647" t="s">
        <v>2088</v>
      </c>
      <c r="G1981" s="2647" t="s">
        <v>2088</v>
      </c>
      <c r="H1981" s="2647" t="s">
        <v>2088</v>
      </c>
      <c r="I1981" s="2647" t="s">
        <v>2088</v>
      </c>
      <c r="J1981" s="2647">
        <v>0.11</v>
      </c>
      <c r="K1981" s="2648"/>
      <c r="L1981" s="2647" t="s">
        <v>4231</v>
      </c>
    </row>
    <row r="1982" spans="1:12">
      <c r="A1982" s="2646" t="s">
        <v>99</v>
      </c>
      <c r="B1982" s="2646" t="s">
        <v>4232</v>
      </c>
      <c r="C1982" s="2646">
        <v>110</v>
      </c>
      <c r="D1982" s="2646">
        <v>170</v>
      </c>
      <c r="E1982" s="2646">
        <v>38</v>
      </c>
      <c r="F1982" s="2646" t="s">
        <v>2088</v>
      </c>
      <c r="G1982" s="2646" t="s">
        <v>2088</v>
      </c>
      <c r="H1982" s="2646" t="s">
        <v>2088</v>
      </c>
      <c r="I1982" s="2646" t="s">
        <v>2088</v>
      </c>
      <c r="J1982" s="2646" t="s">
        <v>2088</v>
      </c>
      <c r="L1982" s="2646" t="s">
        <v>4233</v>
      </c>
    </row>
    <row r="1983" spans="1:12">
      <c r="A1983" s="2647" t="s">
        <v>99</v>
      </c>
      <c r="B1983" s="2647" t="s">
        <v>4234</v>
      </c>
      <c r="C1983" s="2647">
        <v>120</v>
      </c>
      <c r="D1983" s="2647">
        <v>180</v>
      </c>
      <c r="E1983" s="2647">
        <v>38</v>
      </c>
      <c r="F1983" s="2647" t="s">
        <v>2088</v>
      </c>
      <c r="G1983" s="2647" t="s">
        <v>2088</v>
      </c>
      <c r="H1983" s="2647" t="s">
        <v>2088</v>
      </c>
      <c r="I1983" s="2647" t="s">
        <v>2088</v>
      </c>
      <c r="J1983" s="2647">
        <v>3.07</v>
      </c>
      <c r="K1983" s="2648"/>
      <c r="L1983" s="2647" t="s">
        <v>4235</v>
      </c>
    </row>
    <row r="1984" spans="1:12">
      <c r="A1984" s="2646" t="s">
        <v>99</v>
      </c>
      <c r="B1984" s="2646" t="s">
        <v>4236</v>
      </c>
      <c r="C1984" s="2646">
        <v>140</v>
      </c>
      <c r="D1984" s="2646">
        <v>210</v>
      </c>
      <c r="E1984" s="2646">
        <v>45</v>
      </c>
      <c r="F1984" s="2646" t="s">
        <v>2088</v>
      </c>
      <c r="G1984" s="2646" t="s">
        <v>2088</v>
      </c>
      <c r="H1984" s="2646" t="s">
        <v>2088</v>
      </c>
      <c r="I1984" s="2646" t="s">
        <v>2088</v>
      </c>
      <c r="J1984" s="2646">
        <v>5.0999999999999996</v>
      </c>
      <c r="L1984" s="2646" t="s">
        <v>4237</v>
      </c>
    </row>
    <row r="1985" spans="1:12">
      <c r="A1985" s="2647" t="s">
        <v>99</v>
      </c>
      <c r="B1985" s="2647" t="s">
        <v>4238</v>
      </c>
      <c r="C1985" s="2647">
        <v>300</v>
      </c>
      <c r="D1985" s="2647">
        <v>460</v>
      </c>
      <c r="E1985" s="2647">
        <v>100</v>
      </c>
      <c r="F1985" s="2647" t="s">
        <v>2088</v>
      </c>
      <c r="G1985" s="2647" t="s">
        <v>2088</v>
      </c>
      <c r="H1985" s="2647" t="s">
        <v>2088</v>
      </c>
      <c r="I1985" s="2647" t="s">
        <v>2088</v>
      </c>
      <c r="J1985" s="2647" t="s">
        <v>2088</v>
      </c>
      <c r="K1985" s="2648"/>
      <c r="L1985" s="2647" t="s">
        <v>4239</v>
      </c>
    </row>
    <row r="1986" spans="1:12">
      <c r="A1986" s="2646" t="s">
        <v>99</v>
      </c>
      <c r="B1986" s="2646" t="s">
        <v>4240</v>
      </c>
      <c r="C1986" s="2646">
        <v>90</v>
      </c>
      <c r="D1986" s="2646">
        <v>150</v>
      </c>
      <c r="E1986" s="2646">
        <v>45</v>
      </c>
      <c r="F1986" s="2646" t="s">
        <v>2088</v>
      </c>
      <c r="G1986" s="2646" t="s">
        <v>2088</v>
      </c>
      <c r="H1986" s="2646" t="s">
        <v>2088</v>
      </c>
      <c r="I1986" s="2646" t="s">
        <v>2088</v>
      </c>
      <c r="J1986" s="2646" t="s">
        <v>2088</v>
      </c>
      <c r="L1986" s="2646" t="s">
        <v>2088</v>
      </c>
    </row>
    <row r="1987" spans="1:12">
      <c r="A1987" s="2647" t="s">
        <v>99</v>
      </c>
      <c r="B1987" s="2647" t="s">
        <v>4241</v>
      </c>
      <c r="C1987" s="2647" t="s">
        <v>2088</v>
      </c>
      <c r="D1987" s="2647" t="s">
        <v>2088</v>
      </c>
      <c r="E1987" s="2647" t="s">
        <v>2088</v>
      </c>
      <c r="F1987" s="2647" t="s">
        <v>2088</v>
      </c>
      <c r="G1987" s="2647" t="s">
        <v>2088</v>
      </c>
      <c r="H1987" s="2647" t="s">
        <v>2088</v>
      </c>
      <c r="I1987" s="2647" t="s">
        <v>2088</v>
      </c>
      <c r="J1987" s="2647" t="s">
        <v>2088</v>
      </c>
      <c r="K1987" s="2648"/>
      <c r="L1987" s="2647" t="s">
        <v>4242</v>
      </c>
    </row>
    <row r="1988" spans="1:12">
      <c r="A1988" s="2646" t="s">
        <v>99</v>
      </c>
      <c r="B1988" s="2646" t="s">
        <v>4243</v>
      </c>
      <c r="C1988" s="2646">
        <v>90</v>
      </c>
      <c r="D1988" s="2646">
        <v>160</v>
      </c>
      <c r="E1988" s="2646">
        <v>42.5</v>
      </c>
      <c r="F1988" s="2646" t="s">
        <v>2088</v>
      </c>
      <c r="G1988" s="2646" t="s">
        <v>2088</v>
      </c>
      <c r="H1988" s="2646" t="s">
        <v>2088</v>
      </c>
      <c r="I1988" s="2646" t="s">
        <v>2088</v>
      </c>
      <c r="J1988" s="2646">
        <v>3.3</v>
      </c>
      <c r="L1988" s="2646" t="s">
        <v>4244</v>
      </c>
    </row>
    <row r="1989" spans="1:12">
      <c r="A1989" s="2647" t="s">
        <v>99</v>
      </c>
      <c r="B1989" s="2647" t="s">
        <v>4245</v>
      </c>
      <c r="C1989" s="2647">
        <v>55</v>
      </c>
      <c r="D1989" s="2647">
        <v>120</v>
      </c>
      <c r="E1989" s="2647">
        <v>45.5</v>
      </c>
      <c r="F1989" s="2647" t="s">
        <v>2088</v>
      </c>
      <c r="G1989" s="2647" t="s">
        <v>2088</v>
      </c>
      <c r="H1989" s="2647" t="s">
        <v>2088</v>
      </c>
      <c r="I1989" s="2647" t="s">
        <v>2088</v>
      </c>
      <c r="J1989" s="2647">
        <v>2.4300000000000002</v>
      </c>
      <c r="K1989" s="2648"/>
      <c r="L1989" s="2647" t="s">
        <v>2420</v>
      </c>
    </row>
    <row r="1990" spans="1:12">
      <c r="A1990" s="2646" t="s">
        <v>99</v>
      </c>
      <c r="B1990" s="2646" t="s">
        <v>4246</v>
      </c>
      <c r="C1990" s="2646">
        <v>800</v>
      </c>
      <c r="D1990" s="2646">
        <v>990</v>
      </c>
      <c r="E1990" s="2646">
        <v>57</v>
      </c>
      <c r="F1990" s="2646" t="s">
        <v>2088</v>
      </c>
      <c r="G1990" s="2646" t="s">
        <v>2088</v>
      </c>
      <c r="H1990" s="2646" t="s">
        <v>2088</v>
      </c>
      <c r="I1990" s="2646" t="s">
        <v>2088</v>
      </c>
      <c r="J1990" s="2646">
        <v>96.3</v>
      </c>
      <c r="L1990" s="2646" t="s">
        <v>2088</v>
      </c>
    </row>
    <row r="1991" spans="1:12">
      <c r="A1991" s="2647" t="s">
        <v>99</v>
      </c>
      <c r="B1991" s="2647" t="s">
        <v>4247</v>
      </c>
      <c r="C1991" s="2647">
        <v>280</v>
      </c>
      <c r="D1991" s="2647">
        <v>350</v>
      </c>
      <c r="E1991" s="2647">
        <v>36</v>
      </c>
      <c r="F1991" s="2647" t="s">
        <v>2088</v>
      </c>
      <c r="G1991" s="2647" t="s">
        <v>2088</v>
      </c>
      <c r="H1991" s="2647" t="s">
        <v>2088</v>
      </c>
      <c r="I1991" s="2647" t="s">
        <v>2088</v>
      </c>
      <c r="J1991" s="2647">
        <v>6.33</v>
      </c>
      <c r="K1991" s="2648"/>
      <c r="L1991" s="2647">
        <v>1007856</v>
      </c>
    </row>
    <row r="1992" spans="1:12">
      <c r="A1992" s="2646" t="s">
        <v>99</v>
      </c>
      <c r="B1992" s="2646" t="s">
        <v>4248</v>
      </c>
      <c r="C1992" s="2646">
        <v>460</v>
      </c>
      <c r="D1992" s="2646">
        <v>680</v>
      </c>
      <c r="E1992" s="2646">
        <v>105</v>
      </c>
      <c r="F1992" s="2646" t="s">
        <v>2088</v>
      </c>
      <c r="G1992" s="2646" t="s">
        <v>2088</v>
      </c>
      <c r="H1992" s="2646" t="s">
        <v>2088</v>
      </c>
      <c r="I1992" s="2646" t="s">
        <v>2088</v>
      </c>
      <c r="J1992" s="2646">
        <v>118</v>
      </c>
      <c r="L1992" s="2646">
        <v>7192</v>
      </c>
    </row>
    <row r="1993" spans="1:12">
      <c r="A1993" s="2647" t="s">
        <v>99</v>
      </c>
      <c r="B1993" s="2647" t="s">
        <v>4249</v>
      </c>
      <c r="C1993" s="2647">
        <v>40</v>
      </c>
      <c r="D1993" s="2647">
        <v>72</v>
      </c>
      <c r="E1993" s="2647">
        <v>19</v>
      </c>
      <c r="F1993" s="2647" t="s">
        <v>2088</v>
      </c>
      <c r="G1993" s="2647" t="s">
        <v>2088</v>
      </c>
      <c r="H1993" s="2647" t="s">
        <v>2088</v>
      </c>
      <c r="I1993" s="2647" t="s">
        <v>2088</v>
      </c>
      <c r="J1993" s="2647">
        <v>0.315</v>
      </c>
      <c r="K1993" s="2648"/>
      <c r="L1993" s="2647" t="s">
        <v>2088</v>
      </c>
    </row>
    <row r="1994" spans="1:12">
      <c r="A1994" s="2646" t="s">
        <v>99</v>
      </c>
      <c r="B1994" s="2646" t="s">
        <v>4250</v>
      </c>
      <c r="C1994" s="2646">
        <v>110</v>
      </c>
      <c r="D1994" s="2646">
        <v>170</v>
      </c>
      <c r="E1994" s="2646">
        <v>38.4</v>
      </c>
      <c r="F1994" s="2646" t="s">
        <v>2088</v>
      </c>
      <c r="G1994" s="2646" t="s">
        <v>2088</v>
      </c>
      <c r="H1994" s="2646" t="s">
        <v>2088</v>
      </c>
      <c r="I1994" s="2646" t="s">
        <v>2088</v>
      </c>
      <c r="J1994" s="2646">
        <v>3.12</v>
      </c>
      <c r="L1994" s="2646">
        <v>2007122</v>
      </c>
    </row>
    <row r="1995" spans="1:12">
      <c r="A1995" s="2647" t="s">
        <v>99</v>
      </c>
      <c r="B1995" s="2647" t="s">
        <v>4251</v>
      </c>
      <c r="C1995" s="2647">
        <v>140</v>
      </c>
      <c r="D1995" s="2647">
        <v>210</v>
      </c>
      <c r="E1995" s="2647">
        <v>45.5</v>
      </c>
      <c r="F1995" s="2647" t="s">
        <v>2088</v>
      </c>
      <c r="G1995" s="2647" t="s">
        <v>2088</v>
      </c>
      <c r="H1995" s="2647" t="s">
        <v>2088</v>
      </c>
      <c r="I1995" s="2647" t="s">
        <v>2088</v>
      </c>
      <c r="J1995" s="2647">
        <v>4.9400000000000004</v>
      </c>
      <c r="K1995" s="2648"/>
      <c r="L1995" s="2647">
        <v>2007128</v>
      </c>
    </row>
    <row r="1996" spans="1:12">
      <c r="A1996" s="2646" t="s">
        <v>99</v>
      </c>
      <c r="B1996" s="2646" t="s">
        <v>4252</v>
      </c>
      <c r="C1996" s="2646">
        <v>160</v>
      </c>
      <c r="D1996" s="2646">
        <v>240</v>
      </c>
      <c r="E1996" s="2646">
        <v>51.5</v>
      </c>
      <c r="F1996" s="2646" t="s">
        <v>2088</v>
      </c>
      <c r="G1996" s="2646" t="s">
        <v>2088</v>
      </c>
      <c r="H1996" s="2646" t="s">
        <v>2088</v>
      </c>
      <c r="I1996" s="2646" t="s">
        <v>2088</v>
      </c>
      <c r="J1996" s="2646">
        <v>7.7</v>
      </c>
      <c r="L1996" s="2646" t="s">
        <v>4253</v>
      </c>
    </row>
    <row r="1997" spans="1:12">
      <c r="A1997" s="2647" t="s">
        <v>99</v>
      </c>
      <c r="B1997" s="2647" t="s">
        <v>4254</v>
      </c>
      <c r="C1997" s="2647">
        <v>220</v>
      </c>
      <c r="D1997" s="2647">
        <v>400</v>
      </c>
      <c r="E1997" s="2647">
        <v>73</v>
      </c>
      <c r="F1997" s="2647" t="s">
        <v>2088</v>
      </c>
      <c r="G1997" s="2647" t="s">
        <v>2088</v>
      </c>
      <c r="H1997" s="2647" t="s">
        <v>2088</v>
      </c>
      <c r="I1997" s="2647" t="s">
        <v>2088</v>
      </c>
      <c r="J1997" s="2647">
        <v>35.4</v>
      </c>
      <c r="K1997" s="2648"/>
      <c r="L1997" s="2647" t="s">
        <v>4255</v>
      </c>
    </row>
    <row r="1998" spans="1:12">
      <c r="A1998" s="2646" t="s">
        <v>99</v>
      </c>
      <c r="B1998" s="2646" t="s">
        <v>4256</v>
      </c>
      <c r="C1998" s="2646">
        <v>55</v>
      </c>
      <c r="D1998" s="2646">
        <v>90</v>
      </c>
      <c r="E1998" s="2646">
        <v>52</v>
      </c>
      <c r="F1998" s="2646" t="s">
        <v>2088</v>
      </c>
      <c r="G1998" s="2646" t="s">
        <v>2088</v>
      </c>
      <c r="H1998" s="2646" t="s">
        <v>2088</v>
      </c>
      <c r="I1998" s="2646" t="s">
        <v>2088</v>
      </c>
      <c r="J1998" s="2646">
        <v>1.23</v>
      </c>
      <c r="L1998" s="2646" t="s">
        <v>2088</v>
      </c>
    </row>
    <row r="1999" spans="1:12">
      <c r="A1999" s="2647" t="s">
        <v>99</v>
      </c>
      <c r="B1999" s="2647" t="s">
        <v>4257</v>
      </c>
      <c r="C1999" s="2647">
        <v>65</v>
      </c>
      <c r="D1999" s="2647">
        <v>110</v>
      </c>
      <c r="E1999" s="2647">
        <v>30.5</v>
      </c>
      <c r="F1999" s="2647" t="s">
        <v>2088</v>
      </c>
      <c r="G1999" s="2647" t="s">
        <v>2088</v>
      </c>
      <c r="H1999" s="2647" t="s">
        <v>2088</v>
      </c>
      <c r="I1999" s="2647" t="s">
        <v>2088</v>
      </c>
      <c r="J1999" s="2647" t="s">
        <v>2088</v>
      </c>
      <c r="K1999" s="2648"/>
      <c r="L1999" s="2647" t="s">
        <v>4258</v>
      </c>
    </row>
    <row r="2000" spans="1:12">
      <c r="A2000" s="2646" t="s">
        <v>99</v>
      </c>
      <c r="B2000" s="2646" t="s">
        <v>4259</v>
      </c>
      <c r="C2000" s="2646">
        <v>17</v>
      </c>
      <c r="D2000" s="2646">
        <v>40</v>
      </c>
      <c r="E2000" s="2646">
        <v>13.5</v>
      </c>
      <c r="F2000" s="2646" t="s">
        <v>2088</v>
      </c>
      <c r="G2000" s="2646" t="s">
        <v>2088</v>
      </c>
      <c r="H2000" s="2646" t="s">
        <v>2088</v>
      </c>
      <c r="I2000" s="2646" t="s">
        <v>2088</v>
      </c>
      <c r="J2000" s="2646">
        <v>7.3999999999999996E-2</v>
      </c>
      <c r="L2000" s="2646">
        <v>7203</v>
      </c>
    </row>
    <row r="2001" spans="1:12">
      <c r="A2001" s="2647" t="s">
        <v>99</v>
      </c>
      <c r="B2001" s="2647" t="s">
        <v>4260</v>
      </c>
      <c r="C2001" s="2647">
        <v>20</v>
      </c>
      <c r="D2001" s="2647">
        <v>47</v>
      </c>
      <c r="E2001" s="2647">
        <v>15.5</v>
      </c>
      <c r="F2001" s="2647" t="s">
        <v>2088</v>
      </c>
      <c r="G2001" s="2647" t="s">
        <v>2088</v>
      </c>
      <c r="H2001" s="2647" t="s">
        <v>2088</v>
      </c>
      <c r="I2001" s="2647" t="s">
        <v>2088</v>
      </c>
      <c r="J2001" s="2647">
        <v>0.11799999999999999</v>
      </c>
      <c r="K2001" s="2648"/>
      <c r="L2001" s="2647">
        <v>7204</v>
      </c>
    </row>
    <row r="2002" spans="1:12">
      <c r="A2002" s="2646" t="s">
        <v>99</v>
      </c>
      <c r="B2002" s="2646" t="s">
        <v>4261</v>
      </c>
      <c r="C2002" s="2646">
        <v>25</v>
      </c>
      <c r="D2002" s="2646">
        <v>52</v>
      </c>
      <c r="E2002" s="2646">
        <v>16.5</v>
      </c>
      <c r="F2002" s="2646" t="s">
        <v>2088</v>
      </c>
      <c r="G2002" s="2646" t="s">
        <v>2088</v>
      </c>
      <c r="H2002" s="2646" t="s">
        <v>2088</v>
      </c>
      <c r="I2002" s="2646" t="s">
        <v>2088</v>
      </c>
      <c r="J2002" s="2646">
        <v>0.15</v>
      </c>
      <c r="L2002" s="2646">
        <v>7205</v>
      </c>
    </row>
    <row r="2003" spans="1:12">
      <c r="A2003" s="2647" t="s">
        <v>99</v>
      </c>
      <c r="B2003" s="2647" t="s">
        <v>4262</v>
      </c>
      <c r="C2003" s="2647">
        <v>55</v>
      </c>
      <c r="D2003" s="2647">
        <v>100</v>
      </c>
      <c r="E2003" s="2647">
        <v>21</v>
      </c>
      <c r="F2003" s="2647" t="s">
        <v>2088</v>
      </c>
      <c r="G2003" s="2647" t="s">
        <v>2088</v>
      </c>
      <c r="H2003" s="2647" t="s">
        <v>2088</v>
      </c>
      <c r="I2003" s="2647" t="s">
        <v>2088</v>
      </c>
      <c r="J2003" s="2647">
        <v>0.68899999999999995</v>
      </c>
      <c r="K2003" s="2648"/>
      <c r="L2003" s="2647" t="s">
        <v>2088</v>
      </c>
    </row>
    <row r="2004" spans="1:12">
      <c r="A2004" s="2646" t="s">
        <v>99</v>
      </c>
      <c r="B2004" s="2646" t="s">
        <v>4263</v>
      </c>
      <c r="C2004" s="2646">
        <v>75</v>
      </c>
      <c r="D2004" s="2646">
        <v>130</v>
      </c>
      <c r="E2004" s="2646">
        <v>27.3</v>
      </c>
      <c r="F2004" s="2646" t="s">
        <v>2088</v>
      </c>
      <c r="G2004" s="2646" t="s">
        <v>2088</v>
      </c>
      <c r="H2004" s="2646" t="s">
        <v>2088</v>
      </c>
      <c r="I2004" s="2646" t="s">
        <v>2088</v>
      </c>
      <c r="J2004" s="2646">
        <v>1.36</v>
      </c>
      <c r="L2004" s="2646" t="s">
        <v>2221</v>
      </c>
    </row>
    <row r="2005" spans="1:12">
      <c r="A2005" s="2647" t="s">
        <v>99</v>
      </c>
      <c r="B2005" s="2647" t="s">
        <v>4264</v>
      </c>
      <c r="C2005" s="2647">
        <v>120</v>
      </c>
      <c r="D2005" s="2647">
        <v>215</v>
      </c>
      <c r="E2005" s="2647">
        <v>44</v>
      </c>
      <c r="F2005" s="2647" t="s">
        <v>2088</v>
      </c>
      <c r="G2005" s="2647" t="s">
        <v>2088</v>
      </c>
      <c r="H2005" s="2647" t="s">
        <v>2088</v>
      </c>
      <c r="I2005" s="2647" t="s">
        <v>2088</v>
      </c>
      <c r="J2005" s="2647">
        <v>5.91</v>
      </c>
      <c r="K2005" s="2648"/>
      <c r="L2005" s="2647">
        <v>7224</v>
      </c>
    </row>
    <row r="2006" spans="1:12">
      <c r="A2006" s="2646" t="s">
        <v>99</v>
      </c>
      <c r="B2006" s="2646" t="s">
        <v>4265</v>
      </c>
      <c r="C2006" s="2646">
        <v>65</v>
      </c>
      <c r="D2006" s="2646">
        <v>110</v>
      </c>
      <c r="E2006" s="2646">
        <v>33</v>
      </c>
      <c r="F2006" s="2646" t="s">
        <v>2088</v>
      </c>
      <c r="G2006" s="2646" t="s">
        <v>2088</v>
      </c>
      <c r="H2006" s="2646" t="s">
        <v>2088</v>
      </c>
      <c r="I2006" s="2646" t="s">
        <v>2088</v>
      </c>
      <c r="J2006" s="2646">
        <v>1.5</v>
      </c>
      <c r="L2006" s="2646">
        <v>7513</v>
      </c>
    </row>
    <row r="2007" spans="1:12">
      <c r="A2007" s="2647" t="s">
        <v>99</v>
      </c>
      <c r="B2007" s="2647" t="s">
        <v>4266</v>
      </c>
      <c r="C2007" s="2647">
        <v>80</v>
      </c>
      <c r="D2007" s="2647">
        <v>140</v>
      </c>
      <c r="E2007" s="2647">
        <v>36</v>
      </c>
      <c r="F2007" s="2647" t="s">
        <v>2088</v>
      </c>
      <c r="G2007" s="2647" t="s">
        <v>2088</v>
      </c>
      <c r="H2007" s="2647" t="s">
        <v>2088</v>
      </c>
      <c r="I2007" s="2647" t="s">
        <v>2088</v>
      </c>
      <c r="J2007" s="2647">
        <v>2.13</v>
      </c>
      <c r="K2007" s="2648"/>
      <c r="L2007" s="2647" t="s">
        <v>4267</v>
      </c>
    </row>
    <row r="2008" spans="1:12">
      <c r="A2008" s="2646" t="s">
        <v>99</v>
      </c>
      <c r="B2008" s="2646" t="s">
        <v>4268</v>
      </c>
      <c r="C2008" s="2646">
        <v>110</v>
      </c>
      <c r="D2008" s="2646">
        <v>200</v>
      </c>
      <c r="E2008" s="2646">
        <v>56.5</v>
      </c>
      <c r="F2008" s="2646" t="s">
        <v>2088</v>
      </c>
      <c r="G2008" s="2646" t="s">
        <v>2088</v>
      </c>
      <c r="H2008" s="2646" t="s">
        <v>2088</v>
      </c>
      <c r="I2008" s="2646" t="s">
        <v>2088</v>
      </c>
      <c r="J2008" s="2646">
        <v>7.7</v>
      </c>
      <c r="L2008" s="2646" t="s">
        <v>4269</v>
      </c>
    </row>
    <row r="2009" spans="1:12">
      <c r="A2009" s="2647" t="s">
        <v>99</v>
      </c>
      <c r="B2009" s="2647" t="s">
        <v>4270</v>
      </c>
      <c r="C2009" s="2647">
        <v>40</v>
      </c>
      <c r="D2009" s="2647">
        <v>90</v>
      </c>
      <c r="E2009" s="2647">
        <v>38.5</v>
      </c>
      <c r="F2009" s="2647" t="s">
        <v>2088</v>
      </c>
      <c r="G2009" s="2647" t="s">
        <v>2088</v>
      </c>
      <c r="H2009" s="2647" t="s">
        <v>2088</v>
      </c>
      <c r="I2009" s="2647" t="s">
        <v>2088</v>
      </c>
      <c r="J2009" s="2647">
        <v>1.1100000000000001</v>
      </c>
      <c r="K2009" s="2648"/>
      <c r="L2009" s="2647" t="s">
        <v>4271</v>
      </c>
    </row>
    <row r="2010" spans="1:12">
      <c r="A2010" s="2646" t="s">
        <v>99</v>
      </c>
      <c r="B2010" s="2646" t="s">
        <v>4272</v>
      </c>
      <c r="C2010" s="2646">
        <v>85</v>
      </c>
      <c r="D2010" s="2646">
        <v>150</v>
      </c>
      <c r="E2010" s="2646">
        <v>31</v>
      </c>
      <c r="F2010" s="2646" t="s">
        <v>2088</v>
      </c>
      <c r="G2010" s="2646" t="s">
        <v>2088</v>
      </c>
      <c r="H2010" s="2646" t="s">
        <v>2088</v>
      </c>
      <c r="I2010" s="2646" t="s">
        <v>2088</v>
      </c>
      <c r="J2010" s="2646">
        <v>2.0299999999999998</v>
      </c>
      <c r="L2010" s="2646" t="s">
        <v>4273</v>
      </c>
    </row>
    <row r="2011" spans="1:12">
      <c r="A2011" s="2647" t="s">
        <v>99</v>
      </c>
      <c r="B2011" s="2647" t="s">
        <v>4274</v>
      </c>
      <c r="C2011" s="2647">
        <v>32</v>
      </c>
      <c r="D2011" s="2647">
        <v>72</v>
      </c>
      <c r="E2011" s="2647">
        <v>29.75</v>
      </c>
      <c r="F2011" s="2647" t="s">
        <v>2088</v>
      </c>
      <c r="G2011" s="2647" t="s">
        <v>2088</v>
      </c>
      <c r="H2011" s="2647" t="s">
        <v>2088</v>
      </c>
      <c r="I2011" s="2647" t="s">
        <v>2088</v>
      </c>
      <c r="J2011" s="2647" t="s">
        <v>2088</v>
      </c>
      <c r="K2011" s="2648"/>
      <c r="L2011" s="2647" t="s">
        <v>4275</v>
      </c>
    </row>
    <row r="2012" spans="1:12">
      <c r="A2012" s="2646" t="s">
        <v>99</v>
      </c>
      <c r="B2012" s="2646" t="s">
        <v>4276</v>
      </c>
      <c r="C2012" s="2646">
        <v>70</v>
      </c>
      <c r="D2012" s="2646">
        <v>130</v>
      </c>
      <c r="E2012" s="2646">
        <v>57.5</v>
      </c>
      <c r="F2012" s="2646" t="s">
        <v>2088</v>
      </c>
      <c r="G2012" s="2646" t="s">
        <v>2088</v>
      </c>
      <c r="H2012" s="2646" t="s">
        <v>2088</v>
      </c>
      <c r="I2012" s="2646" t="s">
        <v>2088</v>
      </c>
      <c r="J2012" s="2646">
        <v>2.86</v>
      </c>
      <c r="L2012" s="2646" t="s">
        <v>4277</v>
      </c>
    </row>
    <row r="2013" spans="1:12">
      <c r="A2013" s="2647" t="s">
        <v>99</v>
      </c>
      <c r="B2013" s="2647" t="s">
        <v>4278</v>
      </c>
      <c r="C2013" s="2647">
        <v>55</v>
      </c>
      <c r="D2013" s="2647">
        <v>100</v>
      </c>
      <c r="E2013" s="2647">
        <v>30</v>
      </c>
      <c r="F2013" s="2647" t="s">
        <v>2088</v>
      </c>
      <c r="G2013" s="2647" t="s">
        <v>2088</v>
      </c>
      <c r="H2013" s="2647" t="s">
        <v>2088</v>
      </c>
      <c r="I2013" s="2647" t="s">
        <v>2088</v>
      </c>
      <c r="J2013" s="2647">
        <v>1</v>
      </c>
      <c r="K2013" s="2648"/>
      <c r="L2013" s="2647">
        <v>7711</v>
      </c>
    </row>
    <row r="2014" spans="1:12">
      <c r="A2014" s="2646" t="s">
        <v>99</v>
      </c>
      <c r="B2014" s="2646" t="s">
        <v>4279</v>
      </c>
      <c r="C2014" s="2646">
        <v>19.05</v>
      </c>
      <c r="D2014" s="2646">
        <v>45.25</v>
      </c>
      <c r="E2014" s="2646">
        <v>15.13</v>
      </c>
      <c r="F2014" s="2646" t="s">
        <v>2088</v>
      </c>
      <c r="G2014" s="2646" t="s">
        <v>2088</v>
      </c>
      <c r="H2014" s="2646" t="s">
        <v>2088</v>
      </c>
      <c r="I2014" s="2646" t="s">
        <v>2088</v>
      </c>
      <c r="J2014" s="2646" t="s">
        <v>2088</v>
      </c>
      <c r="L2014" s="2646" t="s">
        <v>4280</v>
      </c>
    </row>
    <row r="2015" spans="1:12">
      <c r="A2015" s="2647" t="s">
        <v>99</v>
      </c>
      <c r="B2015" s="2647" t="s">
        <v>4281</v>
      </c>
      <c r="C2015" s="2647">
        <v>22.225000000000001</v>
      </c>
      <c r="D2015" s="2647">
        <v>56.896000000000001</v>
      </c>
      <c r="E2015" s="2647">
        <v>20</v>
      </c>
      <c r="F2015" s="2647" t="s">
        <v>2088</v>
      </c>
      <c r="G2015" s="2647" t="s">
        <v>2088</v>
      </c>
      <c r="H2015" s="2647" t="s">
        <v>2088</v>
      </c>
      <c r="I2015" s="2647" t="s">
        <v>2088</v>
      </c>
      <c r="J2015" s="2647">
        <v>0.25</v>
      </c>
      <c r="K2015" s="2648"/>
      <c r="L2015" s="2647" t="s">
        <v>4282</v>
      </c>
    </row>
    <row r="2016" spans="1:12">
      <c r="A2016" s="2646" t="s">
        <v>99</v>
      </c>
      <c r="B2016" s="2646" t="s">
        <v>4283</v>
      </c>
      <c r="C2016" s="2646">
        <v>26</v>
      </c>
      <c r="D2016" s="2646">
        <v>57.15</v>
      </c>
      <c r="E2016" s="2646">
        <v>17.46</v>
      </c>
      <c r="F2016" s="2646" t="s">
        <v>2088</v>
      </c>
      <c r="G2016" s="2646" t="s">
        <v>2088</v>
      </c>
      <c r="H2016" s="2646" t="s">
        <v>2088</v>
      </c>
      <c r="I2016" s="2646" t="s">
        <v>2088</v>
      </c>
      <c r="J2016" s="2646" t="s">
        <v>2088</v>
      </c>
      <c r="L2016" s="2646" t="s">
        <v>4284</v>
      </c>
    </row>
    <row r="2017" spans="1:12">
      <c r="A2017" s="2647" t="s">
        <v>99</v>
      </c>
      <c r="B2017" s="2647" t="s">
        <v>4285</v>
      </c>
      <c r="C2017" s="2647">
        <v>30.213000000000001</v>
      </c>
      <c r="D2017" s="2647">
        <v>63.502000000000002</v>
      </c>
      <c r="E2017" s="2647">
        <v>20.5</v>
      </c>
      <c r="F2017" s="2647" t="s">
        <v>2088</v>
      </c>
      <c r="G2017" s="2647" t="s">
        <v>2088</v>
      </c>
      <c r="H2017" s="2647" t="s">
        <v>2088</v>
      </c>
      <c r="I2017" s="2647" t="s">
        <v>2088</v>
      </c>
      <c r="J2017" s="2647">
        <v>0.28499999999999998</v>
      </c>
      <c r="K2017" s="2648"/>
      <c r="L2017" s="2647" t="s">
        <v>4286</v>
      </c>
    </row>
    <row r="2018" spans="1:12">
      <c r="A2018" s="2646" t="s">
        <v>99</v>
      </c>
      <c r="B2018" s="2646" t="s">
        <v>4287</v>
      </c>
      <c r="C2018" s="2646">
        <v>45.25</v>
      </c>
      <c r="D2018" s="2646">
        <v>80</v>
      </c>
      <c r="E2018" s="2646">
        <v>25.5</v>
      </c>
      <c r="F2018" s="2646" t="s">
        <v>2088</v>
      </c>
      <c r="G2018" s="2646" t="s">
        <v>2088</v>
      </c>
      <c r="H2018" s="2646" t="s">
        <v>2088</v>
      </c>
      <c r="I2018" s="2646" t="s">
        <v>2088</v>
      </c>
      <c r="J2018" s="2646" t="s">
        <v>2088</v>
      </c>
      <c r="L2018" s="2646" t="s">
        <v>4271</v>
      </c>
    </row>
    <row r="2019" spans="1:12">
      <c r="A2019" s="2647" t="s">
        <v>99</v>
      </c>
      <c r="B2019" s="2647" t="s">
        <v>4288</v>
      </c>
      <c r="C2019" s="2647">
        <v>50.8</v>
      </c>
      <c r="D2019" s="2647">
        <v>100</v>
      </c>
      <c r="E2019" s="2647">
        <v>35</v>
      </c>
      <c r="F2019" s="2647" t="s">
        <v>2088</v>
      </c>
      <c r="G2019" s="2647" t="s">
        <v>2088</v>
      </c>
      <c r="H2019" s="2647" t="s">
        <v>2088</v>
      </c>
      <c r="I2019" s="2647" t="s">
        <v>2088</v>
      </c>
      <c r="J2019" s="2647">
        <v>1.27</v>
      </c>
      <c r="K2019" s="2648"/>
      <c r="L2019" s="2647">
        <v>7910</v>
      </c>
    </row>
    <row r="2020" spans="1:12">
      <c r="A2020" s="2646" t="s">
        <v>99</v>
      </c>
      <c r="B2020" s="2646" t="s">
        <v>4289</v>
      </c>
      <c r="C2020" s="2646">
        <v>50.8</v>
      </c>
      <c r="D2020" s="2646">
        <v>100</v>
      </c>
      <c r="E2020" s="2646">
        <v>35</v>
      </c>
      <c r="F2020" s="2646" t="s">
        <v>2088</v>
      </c>
      <c r="G2020" s="2646" t="s">
        <v>2088</v>
      </c>
      <c r="H2020" s="2646" t="s">
        <v>2088</v>
      </c>
      <c r="I2020" s="2646" t="s">
        <v>2088</v>
      </c>
      <c r="J2020" s="2646">
        <v>1.2669999999999999</v>
      </c>
      <c r="L2020" s="2646" t="s">
        <v>4290</v>
      </c>
    </row>
    <row r="2021" spans="1:12">
      <c r="A2021" s="2647" t="s">
        <v>99</v>
      </c>
      <c r="B2021" s="2647">
        <v>30614</v>
      </c>
      <c r="C2021" s="2647">
        <v>70</v>
      </c>
      <c r="D2021" s="2647">
        <v>120</v>
      </c>
      <c r="E2021" s="2647">
        <v>45</v>
      </c>
      <c r="F2021" s="2647" t="s">
        <v>2088</v>
      </c>
      <c r="G2021" s="2647" t="s">
        <v>2088</v>
      </c>
      <c r="H2021" s="2647" t="s">
        <v>2088</v>
      </c>
      <c r="I2021" s="2647" t="s">
        <v>2088</v>
      </c>
      <c r="J2021" s="2647">
        <v>1.89</v>
      </c>
      <c r="K2021" s="2648"/>
      <c r="L2021" s="2647" t="s">
        <v>4291</v>
      </c>
    </row>
    <row r="2022" spans="1:12">
      <c r="A2022" s="2646" t="s">
        <v>99</v>
      </c>
      <c r="B2022" s="2646" t="s">
        <v>4292</v>
      </c>
      <c r="C2022" s="2646">
        <v>71</v>
      </c>
      <c r="D2022" s="2646">
        <v>115.5</v>
      </c>
      <c r="E2022" s="2646">
        <v>29.4</v>
      </c>
      <c r="F2022" s="2646" t="s">
        <v>2088</v>
      </c>
      <c r="G2022" s="2646" t="s">
        <v>2088</v>
      </c>
      <c r="H2022" s="2646" t="s">
        <v>2088</v>
      </c>
      <c r="I2022" s="2646" t="s">
        <v>2088</v>
      </c>
      <c r="J2022" s="2646">
        <v>1.1200000000000001</v>
      </c>
      <c r="L2022" s="2646" t="s">
        <v>4293</v>
      </c>
    </row>
    <row r="2023" spans="1:12">
      <c r="A2023" s="2647" t="s">
        <v>99</v>
      </c>
      <c r="B2023" s="2647" t="s">
        <v>4294</v>
      </c>
      <c r="C2023" s="2647">
        <v>72</v>
      </c>
      <c r="D2023" s="2647">
        <v>150</v>
      </c>
      <c r="E2023" s="2647">
        <v>54</v>
      </c>
      <c r="F2023" s="2647" t="s">
        <v>2088</v>
      </c>
      <c r="G2023" s="2647" t="s">
        <v>2088</v>
      </c>
      <c r="H2023" s="2647" t="s">
        <v>2088</v>
      </c>
      <c r="I2023" s="2647" t="s">
        <v>2088</v>
      </c>
      <c r="J2023" s="2647" t="s">
        <v>2088</v>
      </c>
      <c r="K2023" s="2648"/>
      <c r="L2023" s="2647" t="s">
        <v>4295</v>
      </c>
    </row>
    <row r="2024" spans="1:12">
      <c r="A2024" s="2646" t="s">
        <v>99</v>
      </c>
      <c r="B2024" s="2646" t="s">
        <v>4296</v>
      </c>
      <c r="C2024" s="2646">
        <v>75</v>
      </c>
      <c r="D2024" s="2646">
        <v>135</v>
      </c>
      <c r="E2024" s="2646">
        <v>44</v>
      </c>
      <c r="F2024" s="2646" t="s">
        <v>2088</v>
      </c>
      <c r="G2024" s="2646" t="s">
        <v>2088</v>
      </c>
      <c r="H2024" s="2646" t="s">
        <v>2088</v>
      </c>
      <c r="I2024" s="2646" t="s">
        <v>2088</v>
      </c>
      <c r="J2024" s="2646">
        <v>2.65</v>
      </c>
      <c r="L2024" s="2646" t="s">
        <v>3826</v>
      </c>
    </row>
    <row r="2025" spans="1:12">
      <c r="A2025" s="2647" t="s">
        <v>99</v>
      </c>
      <c r="B2025" s="2647" t="s">
        <v>4297</v>
      </c>
      <c r="C2025" s="2647">
        <v>182.6</v>
      </c>
      <c r="D2025" s="2647">
        <v>330.2</v>
      </c>
      <c r="E2025" s="2647">
        <v>85.224999999999994</v>
      </c>
      <c r="F2025" s="2647" t="s">
        <v>2088</v>
      </c>
      <c r="G2025" s="2647" t="s">
        <v>2088</v>
      </c>
      <c r="H2025" s="2647" t="s">
        <v>2088</v>
      </c>
      <c r="I2025" s="2647" t="s">
        <v>2088</v>
      </c>
      <c r="J2025" s="2647">
        <v>50.8</v>
      </c>
      <c r="K2025" s="2648"/>
      <c r="L2025" s="2647">
        <v>7966</v>
      </c>
    </row>
    <row r="2026" spans="1:12">
      <c r="A2026" s="2646" t="s">
        <v>99</v>
      </c>
      <c r="B2026" s="2646">
        <v>30658</v>
      </c>
      <c r="C2026" s="2646">
        <v>290</v>
      </c>
      <c r="D2026" s="2646">
        <v>410</v>
      </c>
      <c r="E2026" s="2646">
        <v>76.5</v>
      </c>
      <c r="F2026" s="2646" t="s">
        <v>2088</v>
      </c>
      <c r="G2026" s="2646" t="s">
        <v>2088</v>
      </c>
      <c r="H2026" s="2646" t="s">
        <v>2088</v>
      </c>
      <c r="I2026" s="2646" t="s">
        <v>2088</v>
      </c>
      <c r="J2026" s="2646">
        <v>29.8</v>
      </c>
      <c r="L2026" s="2646" t="s">
        <v>4298</v>
      </c>
    </row>
    <row r="2027" spans="1:12">
      <c r="A2027" s="2647" t="s">
        <v>99</v>
      </c>
      <c r="B2027" s="2647" t="s">
        <v>4299</v>
      </c>
      <c r="C2027" s="2647">
        <v>209.55</v>
      </c>
      <c r="D2027" s="2647">
        <v>333.375</v>
      </c>
      <c r="E2027" s="2647">
        <v>69.849999999999994</v>
      </c>
      <c r="F2027" s="2647" t="s">
        <v>2088</v>
      </c>
      <c r="G2027" s="2647" t="s">
        <v>2088</v>
      </c>
      <c r="H2027" s="2647" t="s">
        <v>2088</v>
      </c>
      <c r="I2027" s="2647" t="s">
        <v>2088</v>
      </c>
      <c r="J2027" s="2647">
        <v>21.98</v>
      </c>
      <c r="K2027" s="2648"/>
      <c r="L2027" s="2647">
        <v>7941</v>
      </c>
    </row>
    <row r="2028" spans="1:12">
      <c r="A2028" s="2646" t="s">
        <v>99</v>
      </c>
      <c r="B2028" s="2646" t="s">
        <v>4300</v>
      </c>
      <c r="C2028" s="2646">
        <v>212.72499999999999</v>
      </c>
      <c r="D2028" s="2646">
        <v>336.55</v>
      </c>
      <c r="E2028" s="2646">
        <v>65.087999999999994</v>
      </c>
      <c r="F2028" s="2646" t="s">
        <v>2088</v>
      </c>
      <c r="G2028" s="2646" t="s">
        <v>2088</v>
      </c>
      <c r="H2028" s="2646" t="s">
        <v>2088</v>
      </c>
      <c r="I2028" s="2646" t="s">
        <v>2088</v>
      </c>
      <c r="J2028" s="2646">
        <v>20.59</v>
      </c>
      <c r="L2028" s="2646">
        <v>7942</v>
      </c>
    </row>
    <row r="2029" spans="1:12">
      <c r="A2029" s="2647" t="s">
        <v>99</v>
      </c>
      <c r="B2029" s="2647" t="s">
        <v>4301</v>
      </c>
      <c r="C2029" s="2647">
        <v>292.10000000000002</v>
      </c>
      <c r="D2029" s="2647">
        <v>520.70000000000005</v>
      </c>
      <c r="E2029" s="2647">
        <v>107.95</v>
      </c>
      <c r="F2029" s="2647" t="s">
        <v>2088</v>
      </c>
      <c r="G2029" s="2647" t="s">
        <v>2088</v>
      </c>
      <c r="H2029" s="2647" t="s">
        <v>2088</v>
      </c>
      <c r="I2029" s="2647" t="s">
        <v>2088</v>
      </c>
      <c r="J2029" s="2647">
        <v>91.915000000000006</v>
      </c>
      <c r="K2029" s="2648"/>
      <c r="L2029" s="2647">
        <v>7956</v>
      </c>
    </row>
    <row r="2030" spans="1:12">
      <c r="A2030" s="2646" t="s">
        <v>99</v>
      </c>
      <c r="B2030" s="2646" t="s">
        <v>4302</v>
      </c>
      <c r="C2030" s="2646">
        <v>760</v>
      </c>
      <c r="D2030" s="2646">
        <v>890</v>
      </c>
      <c r="E2030" s="2646">
        <v>88.9</v>
      </c>
      <c r="F2030" s="2646" t="s">
        <v>2088</v>
      </c>
      <c r="G2030" s="2646" t="s">
        <v>2088</v>
      </c>
      <c r="H2030" s="2646" t="s">
        <v>2088</v>
      </c>
      <c r="I2030" s="2646" t="s">
        <v>2088</v>
      </c>
      <c r="J2030" s="2646">
        <v>90</v>
      </c>
      <c r="L2030" s="2646" t="s">
        <v>4303</v>
      </c>
    </row>
    <row r="2031" spans="1:12">
      <c r="A2031" s="2647" t="s">
        <v>99</v>
      </c>
      <c r="B2031" s="2647">
        <v>53370</v>
      </c>
      <c r="C2031" s="2647">
        <v>25</v>
      </c>
      <c r="D2031" s="2647">
        <v>70</v>
      </c>
      <c r="E2031" s="2647">
        <v>38</v>
      </c>
      <c r="F2031" s="2647" t="s">
        <v>2088</v>
      </c>
      <c r="G2031" s="2647" t="s">
        <v>2088</v>
      </c>
      <c r="H2031" s="2647" t="s">
        <v>2088</v>
      </c>
      <c r="I2031" s="2647" t="s">
        <v>2088</v>
      </c>
      <c r="J2031" s="2647">
        <v>0.68500000000000005</v>
      </c>
      <c r="K2031" s="2648"/>
      <c r="L2031" s="2647" t="s">
        <v>2088</v>
      </c>
    </row>
    <row r="2032" spans="1:12">
      <c r="A2032" s="2646" t="s">
        <v>99</v>
      </c>
      <c r="B2032" s="2646" t="s">
        <v>4304</v>
      </c>
      <c r="C2032" s="2646">
        <v>15</v>
      </c>
      <c r="D2032" s="2646">
        <v>39</v>
      </c>
      <c r="E2032" s="2646">
        <v>13</v>
      </c>
      <c r="F2032" s="2646" t="s">
        <v>2088</v>
      </c>
      <c r="G2032" s="2646" t="s">
        <v>2088</v>
      </c>
      <c r="H2032" s="2646" t="s">
        <v>2088</v>
      </c>
      <c r="I2032" s="2646" t="s">
        <v>2088</v>
      </c>
      <c r="J2032" s="2646">
        <v>4.1000000000000002E-2</v>
      </c>
      <c r="L2032" s="2646" t="s">
        <v>4305</v>
      </c>
    </row>
    <row r="2033" spans="1:12">
      <c r="A2033" s="2647" t="s">
        <v>99</v>
      </c>
      <c r="B2033" s="2647" t="s">
        <v>4306</v>
      </c>
      <c r="C2033" s="2647">
        <v>40</v>
      </c>
      <c r="D2033" s="2647">
        <v>72.215000000000003</v>
      </c>
      <c r="E2033" s="2647">
        <v>31.97</v>
      </c>
      <c r="F2033" s="2647" t="s">
        <v>2088</v>
      </c>
      <c r="G2033" s="2647" t="s">
        <v>2088</v>
      </c>
      <c r="H2033" s="2647" t="s">
        <v>2088</v>
      </c>
      <c r="I2033" s="2647" t="s">
        <v>2088</v>
      </c>
      <c r="J2033" s="2647">
        <v>0.64500000000000002</v>
      </c>
      <c r="K2033" s="2648"/>
      <c r="L2033" s="2647" t="s">
        <v>4307</v>
      </c>
    </row>
    <row r="2034" spans="1:12">
      <c r="A2034" s="2646" t="s">
        <v>99</v>
      </c>
      <c r="B2034" s="2646" t="s">
        <v>4308</v>
      </c>
      <c r="C2034" s="2646">
        <v>33.020000000000003</v>
      </c>
      <c r="D2034" s="2646">
        <v>58</v>
      </c>
      <c r="E2034" s="2646">
        <v>17.88</v>
      </c>
      <c r="F2034" s="2646" t="s">
        <v>2088</v>
      </c>
      <c r="G2034" s="2646" t="s">
        <v>2088</v>
      </c>
      <c r="H2034" s="2646" t="s">
        <v>2088</v>
      </c>
      <c r="I2034" s="2646" t="s">
        <v>2088</v>
      </c>
      <c r="J2034" s="2646">
        <v>0.28000000000000003</v>
      </c>
      <c r="L2034" s="2646" t="s">
        <v>4309</v>
      </c>
    </row>
    <row r="2035" spans="1:12">
      <c r="A2035" s="2647" t="s">
        <v>99</v>
      </c>
      <c r="B2035" s="2647" t="s">
        <v>4310</v>
      </c>
      <c r="C2035" s="2647">
        <v>40.619999999999997</v>
      </c>
      <c r="D2035" s="2647">
        <v>68</v>
      </c>
      <c r="E2035" s="2647">
        <v>21</v>
      </c>
      <c r="F2035" s="2647" t="s">
        <v>2088</v>
      </c>
      <c r="G2035" s="2647" t="s">
        <v>2088</v>
      </c>
      <c r="H2035" s="2647" t="s">
        <v>2088</v>
      </c>
      <c r="I2035" s="2647" t="s">
        <v>2088</v>
      </c>
      <c r="J2035" s="2647">
        <v>0.3</v>
      </c>
      <c r="K2035" s="2648"/>
      <c r="L2035" s="2647" t="s">
        <v>4311</v>
      </c>
    </row>
    <row r="2036" spans="1:12">
      <c r="A2036" s="2646" t="s">
        <v>99</v>
      </c>
      <c r="B2036" s="2646" t="s">
        <v>4312</v>
      </c>
      <c r="C2036" s="2646">
        <v>46.673000000000002</v>
      </c>
      <c r="D2036" s="2646">
        <v>72</v>
      </c>
      <c r="E2036" s="2646">
        <v>14</v>
      </c>
      <c r="F2036" s="2646" t="s">
        <v>2088</v>
      </c>
      <c r="G2036" s="2646" t="s">
        <v>2088</v>
      </c>
      <c r="H2036" s="2646" t="s">
        <v>2088</v>
      </c>
      <c r="I2036" s="2646" t="s">
        <v>2088</v>
      </c>
      <c r="J2036" s="2646">
        <v>0.24</v>
      </c>
      <c r="L2036" s="2646" t="s">
        <v>4313</v>
      </c>
    </row>
    <row r="2037" spans="1:12">
      <c r="A2037" s="2647" t="s">
        <v>99</v>
      </c>
      <c r="B2037" s="2647" t="s">
        <v>4314</v>
      </c>
      <c r="C2037" s="2647">
        <v>160</v>
      </c>
      <c r="D2037" s="2647">
        <v>270</v>
      </c>
      <c r="E2037" s="2647">
        <v>140</v>
      </c>
      <c r="F2037" s="2647" t="s">
        <v>2088</v>
      </c>
      <c r="G2037" s="2647" t="s">
        <v>2088</v>
      </c>
      <c r="H2037" s="2647" t="s">
        <v>2088</v>
      </c>
      <c r="I2037" s="2647" t="s">
        <v>2088</v>
      </c>
      <c r="J2037" s="2647" t="s">
        <v>2088</v>
      </c>
      <c r="K2037" s="2648"/>
      <c r="L2037" s="2647">
        <v>37732</v>
      </c>
    </row>
    <row r="2038" spans="1:12">
      <c r="A2038" s="2646" t="s">
        <v>99</v>
      </c>
      <c r="B2038" s="2646" t="s">
        <v>4315</v>
      </c>
      <c r="C2038" s="2646">
        <v>260</v>
      </c>
      <c r="D2038" s="2646">
        <v>400</v>
      </c>
      <c r="E2038" s="2646">
        <v>150</v>
      </c>
      <c r="F2038" s="2646" t="s">
        <v>2088</v>
      </c>
      <c r="G2038" s="2646" t="s">
        <v>2088</v>
      </c>
      <c r="H2038" s="2646" t="s">
        <v>2088</v>
      </c>
      <c r="I2038" s="2646" t="s">
        <v>2088</v>
      </c>
      <c r="J2038" s="2646">
        <v>60.3</v>
      </c>
      <c r="L2038" s="2646">
        <v>37852</v>
      </c>
    </row>
    <row r="2039" spans="1:12">
      <c r="A2039" s="2647" t="s">
        <v>99</v>
      </c>
      <c r="B2039" s="2647" t="s">
        <v>4316</v>
      </c>
      <c r="C2039" s="2647">
        <v>35</v>
      </c>
      <c r="D2039" s="2647">
        <v>80</v>
      </c>
      <c r="E2039" s="2647">
        <v>57</v>
      </c>
      <c r="F2039" s="2647" t="s">
        <v>2088</v>
      </c>
      <c r="G2039" s="2647" t="s">
        <v>2088</v>
      </c>
      <c r="H2039" s="2647" t="s">
        <v>2088</v>
      </c>
      <c r="I2039" s="2647" t="s">
        <v>2088</v>
      </c>
      <c r="J2039" s="2647">
        <v>1.23</v>
      </c>
      <c r="K2039" s="2648"/>
      <c r="L2039" s="2647">
        <v>57707</v>
      </c>
    </row>
    <row r="2040" spans="1:12">
      <c r="A2040" s="2646" t="s">
        <v>99</v>
      </c>
      <c r="B2040" s="2646">
        <v>372218</v>
      </c>
      <c r="C2040" s="2646">
        <v>90</v>
      </c>
      <c r="D2040" s="2646">
        <v>160</v>
      </c>
      <c r="E2040" s="2646">
        <v>94</v>
      </c>
      <c r="F2040" s="2646" t="s">
        <v>2088</v>
      </c>
      <c r="G2040" s="2646" t="s">
        <v>2088</v>
      </c>
      <c r="H2040" s="2646" t="s">
        <v>2088</v>
      </c>
      <c r="I2040" s="2646" t="s">
        <v>2088</v>
      </c>
      <c r="J2040" s="2646">
        <v>3.87</v>
      </c>
      <c r="L2040" s="2646">
        <v>87518</v>
      </c>
    </row>
    <row r="2041" spans="1:12">
      <c r="A2041" s="2647" t="s">
        <v>99</v>
      </c>
      <c r="B2041" s="2647" t="s">
        <v>4317</v>
      </c>
      <c r="C2041" s="2647">
        <v>110</v>
      </c>
      <c r="D2041" s="2647">
        <v>210</v>
      </c>
      <c r="E2041" s="2647">
        <v>118</v>
      </c>
      <c r="F2041" s="2647" t="s">
        <v>2088</v>
      </c>
      <c r="G2041" s="2647" t="s">
        <v>2088</v>
      </c>
      <c r="H2041" s="2647" t="s">
        <v>2088</v>
      </c>
      <c r="I2041" s="2647" t="s">
        <v>2088</v>
      </c>
      <c r="J2041" s="2647">
        <v>25.1</v>
      </c>
      <c r="K2041" s="2648"/>
      <c r="L2041" s="2647">
        <v>87722</v>
      </c>
    </row>
    <row r="2042" spans="1:12">
      <c r="A2042" s="2646" t="s">
        <v>99</v>
      </c>
      <c r="B2042" s="2646" t="s">
        <v>4318</v>
      </c>
      <c r="C2042" s="2646">
        <v>120</v>
      </c>
      <c r="D2042" s="2646">
        <v>215</v>
      </c>
      <c r="E2042" s="2646">
        <v>87</v>
      </c>
      <c r="F2042" s="2646" t="s">
        <v>2088</v>
      </c>
      <c r="G2042" s="2646" t="s">
        <v>2088</v>
      </c>
      <c r="H2042" s="2646" t="s">
        <v>2088</v>
      </c>
      <c r="I2042" s="2646" t="s">
        <v>2088</v>
      </c>
      <c r="J2042" s="2646">
        <v>13.4</v>
      </c>
      <c r="L2042" s="2646" t="s">
        <v>4319</v>
      </c>
    </row>
    <row r="2043" spans="1:12">
      <c r="A2043" s="2647" t="s">
        <v>99</v>
      </c>
      <c r="B2043" s="2647" t="s">
        <v>4320</v>
      </c>
      <c r="C2043" s="2647">
        <v>400</v>
      </c>
      <c r="D2043" s="2647">
        <v>650</v>
      </c>
      <c r="E2043" s="2647">
        <v>200</v>
      </c>
      <c r="F2043" s="2647" t="s">
        <v>2088</v>
      </c>
      <c r="G2043" s="2647" t="s">
        <v>2088</v>
      </c>
      <c r="H2043" s="2647" t="s">
        <v>2088</v>
      </c>
      <c r="I2043" s="2647" t="s">
        <v>2088</v>
      </c>
      <c r="J2043" s="2647">
        <v>270</v>
      </c>
      <c r="K2043" s="2648"/>
      <c r="L2043" s="2647">
        <v>87880</v>
      </c>
    </row>
    <row r="2044" spans="1:12">
      <c r="A2044" s="2646" t="s">
        <v>99</v>
      </c>
      <c r="B2044" s="2646" t="s">
        <v>4321</v>
      </c>
      <c r="C2044" s="2646">
        <v>420</v>
      </c>
      <c r="D2044" s="2646">
        <v>700</v>
      </c>
      <c r="E2044" s="2646">
        <v>224</v>
      </c>
      <c r="F2044" s="2646" t="s">
        <v>2088</v>
      </c>
      <c r="G2044" s="2646" t="s">
        <v>2088</v>
      </c>
      <c r="H2044" s="2646" t="s">
        <v>2088</v>
      </c>
      <c r="I2044" s="2646" t="s">
        <v>2088</v>
      </c>
      <c r="J2044" s="2646">
        <v>382</v>
      </c>
      <c r="L2044" s="2646">
        <v>87884</v>
      </c>
    </row>
    <row r="2045" spans="1:12">
      <c r="A2045" s="2647" t="s">
        <v>99</v>
      </c>
      <c r="B2045" s="2647" t="s">
        <v>4322</v>
      </c>
      <c r="C2045" s="2647">
        <v>440</v>
      </c>
      <c r="D2045" s="2647">
        <v>720</v>
      </c>
      <c r="E2045" s="2647">
        <v>226</v>
      </c>
      <c r="F2045" s="2647" t="s">
        <v>2088</v>
      </c>
      <c r="G2045" s="2647" t="s">
        <v>2088</v>
      </c>
      <c r="H2045" s="2647" t="s">
        <v>2088</v>
      </c>
      <c r="I2045" s="2647" t="s">
        <v>2088</v>
      </c>
      <c r="J2045" s="2647">
        <v>367</v>
      </c>
      <c r="K2045" s="2648"/>
      <c r="L2045" s="2647">
        <v>87788</v>
      </c>
    </row>
    <row r="2046" spans="1:12">
      <c r="A2046" s="2646" t="s">
        <v>99</v>
      </c>
      <c r="B2046" s="2646" t="s">
        <v>4323</v>
      </c>
      <c r="C2046" s="2646">
        <v>500</v>
      </c>
      <c r="D2046" s="2646">
        <v>830</v>
      </c>
      <c r="E2046" s="2646">
        <v>330</v>
      </c>
      <c r="F2046" s="2646" t="s">
        <v>2088</v>
      </c>
      <c r="G2046" s="2646" t="s">
        <v>2088</v>
      </c>
      <c r="H2046" s="2646" t="s">
        <v>2088</v>
      </c>
      <c r="I2046" s="2646" t="s">
        <v>2088</v>
      </c>
      <c r="J2046" s="2646">
        <v>611</v>
      </c>
      <c r="L2046" s="2646" t="s">
        <v>4324</v>
      </c>
    </row>
    <row r="2047" spans="1:12">
      <c r="A2047" s="2647" t="s">
        <v>99</v>
      </c>
      <c r="B2047" s="2647" t="s">
        <v>4325</v>
      </c>
      <c r="C2047" s="2647">
        <v>260.35000000000002</v>
      </c>
      <c r="D2047" s="2647">
        <v>444.5</v>
      </c>
      <c r="E2047" s="2647">
        <v>196.85</v>
      </c>
      <c r="F2047" s="2647" t="s">
        <v>2088</v>
      </c>
      <c r="G2047" s="2647" t="s">
        <v>2088</v>
      </c>
      <c r="H2047" s="2647" t="s">
        <v>2088</v>
      </c>
      <c r="I2047" s="2647" t="s">
        <v>2088</v>
      </c>
      <c r="J2047" s="2647">
        <v>123</v>
      </c>
      <c r="K2047" s="2648"/>
      <c r="L2047" s="2647">
        <v>87952</v>
      </c>
    </row>
    <row r="2048" spans="1:12">
      <c r="A2048" s="2646" t="s">
        <v>99</v>
      </c>
      <c r="B2048" s="2646" t="s">
        <v>4326</v>
      </c>
      <c r="C2048" s="2646">
        <v>228.92500000000001</v>
      </c>
      <c r="D2048" s="2646">
        <v>406.4</v>
      </c>
      <c r="E2048" s="2646">
        <v>114.46299999999999</v>
      </c>
      <c r="F2048" s="2646" t="s">
        <v>2088</v>
      </c>
      <c r="G2048" s="2646" t="s">
        <v>2088</v>
      </c>
      <c r="H2048" s="2646" t="s">
        <v>2088</v>
      </c>
      <c r="I2048" s="2646" t="s">
        <v>2088</v>
      </c>
      <c r="J2048" s="2646">
        <v>58</v>
      </c>
      <c r="L2048" s="2646" t="s">
        <v>4327</v>
      </c>
    </row>
    <row r="2049" spans="1:12">
      <c r="A2049" s="2647" t="s">
        <v>99</v>
      </c>
      <c r="B2049" s="2647" t="s">
        <v>4328</v>
      </c>
      <c r="C2049" s="2647">
        <v>300</v>
      </c>
      <c r="D2049" s="2647">
        <v>440</v>
      </c>
      <c r="E2049" s="2647">
        <v>105</v>
      </c>
      <c r="F2049" s="2647" t="s">
        <v>2088</v>
      </c>
      <c r="G2049" s="2647" t="s">
        <v>2088</v>
      </c>
      <c r="H2049" s="2647" t="s">
        <v>2088</v>
      </c>
      <c r="I2049" s="2647" t="s">
        <v>2088</v>
      </c>
      <c r="J2049" s="2647">
        <v>42.6</v>
      </c>
      <c r="K2049" s="2648"/>
      <c r="L2049" s="2647" t="s">
        <v>2088</v>
      </c>
    </row>
    <row r="2050" spans="1:12">
      <c r="A2050" s="2646" t="s">
        <v>99</v>
      </c>
      <c r="B2050" s="2646" t="s">
        <v>4329</v>
      </c>
      <c r="C2050" s="2646">
        <v>510.3</v>
      </c>
      <c r="D2050" s="2646">
        <v>800</v>
      </c>
      <c r="E2050" s="2646">
        <v>285</v>
      </c>
      <c r="F2050" s="2646" t="s">
        <v>2088</v>
      </c>
      <c r="G2050" s="2646" t="s">
        <v>2088</v>
      </c>
      <c r="H2050" s="2646" t="s">
        <v>2088</v>
      </c>
      <c r="I2050" s="2646" t="s">
        <v>2088</v>
      </c>
      <c r="J2050" s="2646">
        <v>516</v>
      </c>
      <c r="L2050" s="2646" t="s">
        <v>4330</v>
      </c>
    </row>
    <row r="2051" spans="1:12">
      <c r="A2051" s="2647" t="s">
        <v>99</v>
      </c>
      <c r="B2051" s="2647" t="s">
        <v>4331</v>
      </c>
      <c r="C2051" s="2647">
        <v>530</v>
      </c>
      <c r="D2051" s="2647">
        <v>730</v>
      </c>
      <c r="E2051" s="2647">
        <v>250</v>
      </c>
      <c r="F2051" s="2647" t="s">
        <v>2088</v>
      </c>
      <c r="G2051" s="2647" t="s">
        <v>2088</v>
      </c>
      <c r="H2051" s="2647" t="s">
        <v>2088</v>
      </c>
      <c r="I2051" s="2647" t="s">
        <v>2088</v>
      </c>
      <c r="J2051" s="2647">
        <v>323</v>
      </c>
      <c r="K2051" s="2648"/>
      <c r="L2051" s="2647" t="s">
        <v>4332</v>
      </c>
    </row>
    <row r="2052" spans="1:12">
      <c r="A2052" s="2646" t="s">
        <v>99</v>
      </c>
      <c r="B2052" s="2646" t="s">
        <v>4333</v>
      </c>
      <c r="C2052" s="2646">
        <v>400</v>
      </c>
      <c r="D2052" s="2646">
        <v>540</v>
      </c>
      <c r="E2052" s="2646">
        <v>150</v>
      </c>
      <c r="F2052" s="2646" t="s">
        <v>2088</v>
      </c>
      <c r="G2052" s="2646" t="s">
        <v>2088</v>
      </c>
      <c r="H2052" s="2646" t="s">
        <v>2088</v>
      </c>
      <c r="I2052" s="2646" t="s">
        <v>2088</v>
      </c>
      <c r="J2052" s="2646">
        <v>86.9</v>
      </c>
      <c r="L2052" s="2646" t="s">
        <v>4334</v>
      </c>
    </row>
    <row r="2053" spans="1:12">
      <c r="A2053" s="2647" t="s">
        <v>99</v>
      </c>
      <c r="B2053" s="2647" t="s">
        <v>4335</v>
      </c>
      <c r="C2053" s="2647">
        <v>600</v>
      </c>
      <c r="D2053" s="2647">
        <v>800</v>
      </c>
      <c r="E2053" s="2647">
        <v>205</v>
      </c>
      <c r="F2053" s="2647" t="s">
        <v>2088</v>
      </c>
      <c r="G2053" s="2647" t="s">
        <v>2088</v>
      </c>
      <c r="H2053" s="2647" t="s">
        <v>2088</v>
      </c>
      <c r="I2053" s="2647" t="s">
        <v>2088</v>
      </c>
      <c r="J2053" s="2647">
        <v>271</v>
      </c>
      <c r="K2053" s="2648"/>
      <c r="L2053" s="2647" t="s">
        <v>4336</v>
      </c>
    </row>
    <row r="2054" spans="1:12">
      <c r="A2054" s="2646" t="s">
        <v>99</v>
      </c>
      <c r="B2054" s="2646" t="s">
        <v>4337</v>
      </c>
      <c r="C2054" s="2646">
        <v>750</v>
      </c>
      <c r="D2054" s="2646">
        <v>1000</v>
      </c>
      <c r="E2054" s="2646">
        <v>264</v>
      </c>
      <c r="F2054" s="2646" t="s">
        <v>2088</v>
      </c>
      <c r="G2054" s="2646" t="s">
        <v>2088</v>
      </c>
      <c r="H2054" s="2646" t="s">
        <v>2088</v>
      </c>
      <c r="I2054" s="2646" t="s">
        <v>2088</v>
      </c>
      <c r="J2054" s="2646">
        <v>546</v>
      </c>
      <c r="L2054" s="2646" t="s">
        <v>4338</v>
      </c>
    </row>
    <row r="2055" spans="1:12">
      <c r="A2055" s="2647" t="s">
        <v>99</v>
      </c>
      <c r="B2055" s="2647" t="s">
        <v>4339</v>
      </c>
      <c r="C2055" s="2647">
        <v>800</v>
      </c>
      <c r="D2055" s="2647">
        <v>1060</v>
      </c>
      <c r="E2055" s="2647">
        <v>270</v>
      </c>
      <c r="F2055" s="2647" t="s">
        <v>2088</v>
      </c>
      <c r="G2055" s="2647" t="s">
        <v>2088</v>
      </c>
      <c r="H2055" s="2647" t="s">
        <v>2088</v>
      </c>
      <c r="I2055" s="2647" t="s">
        <v>2088</v>
      </c>
      <c r="J2055" s="2647">
        <v>604</v>
      </c>
      <c r="K2055" s="2648"/>
      <c r="L2055" s="2647" t="s">
        <v>4340</v>
      </c>
    </row>
    <row r="2056" spans="1:12">
      <c r="A2056" s="2646" t="s">
        <v>99</v>
      </c>
      <c r="B2056" s="2646" t="s">
        <v>4341</v>
      </c>
      <c r="C2056" s="2646">
        <v>320</v>
      </c>
      <c r="D2056" s="2646">
        <v>480</v>
      </c>
      <c r="E2056" s="2646">
        <v>210</v>
      </c>
      <c r="F2056" s="2646" t="s">
        <v>2088</v>
      </c>
      <c r="G2056" s="2646" t="s">
        <v>2088</v>
      </c>
      <c r="H2056" s="2646" t="s">
        <v>2088</v>
      </c>
      <c r="I2056" s="2646" t="s">
        <v>2088</v>
      </c>
      <c r="J2056" s="2646">
        <v>122</v>
      </c>
      <c r="L2056" s="2646" t="s">
        <v>4342</v>
      </c>
    </row>
    <row r="2057" spans="1:12">
      <c r="A2057" s="2647" t="s">
        <v>99</v>
      </c>
      <c r="B2057" s="2647" t="s">
        <v>4343</v>
      </c>
      <c r="C2057" s="2647">
        <v>420</v>
      </c>
      <c r="D2057" s="2647">
        <v>700</v>
      </c>
      <c r="E2057" s="2647">
        <v>275</v>
      </c>
      <c r="F2057" s="2647" t="s">
        <v>2088</v>
      </c>
      <c r="G2057" s="2647" t="s">
        <v>2088</v>
      </c>
      <c r="H2057" s="2647" t="s">
        <v>2088</v>
      </c>
      <c r="I2057" s="2647" t="s">
        <v>2088</v>
      </c>
      <c r="J2057" s="2647">
        <v>394</v>
      </c>
      <c r="K2057" s="2648"/>
      <c r="L2057" s="2647" t="s">
        <v>4344</v>
      </c>
    </row>
    <row r="2058" spans="1:12">
      <c r="A2058" s="2646" t="s">
        <v>99</v>
      </c>
      <c r="B2058" s="2646">
        <v>352114</v>
      </c>
      <c r="C2058" s="2646" t="s">
        <v>2088</v>
      </c>
      <c r="D2058" s="2646" t="s">
        <v>2088</v>
      </c>
      <c r="E2058" s="2646" t="s">
        <v>2088</v>
      </c>
      <c r="F2058" s="2646" t="s">
        <v>2088</v>
      </c>
      <c r="G2058" s="2646" t="s">
        <v>2088</v>
      </c>
      <c r="H2058" s="2646" t="s">
        <v>2088</v>
      </c>
      <c r="I2058" s="2646" t="s">
        <v>2088</v>
      </c>
      <c r="J2058" s="2646" t="s">
        <v>2088</v>
      </c>
      <c r="L2058" s="2646">
        <v>2097714</v>
      </c>
    </row>
    <row r="2059" spans="1:12">
      <c r="A2059" s="2647" t="s">
        <v>99</v>
      </c>
      <c r="B2059" s="2647">
        <v>352209</v>
      </c>
      <c r="C2059" s="2647">
        <v>45</v>
      </c>
      <c r="D2059" s="2647">
        <v>85</v>
      </c>
      <c r="E2059" s="2647">
        <v>55</v>
      </c>
      <c r="F2059" s="2647" t="s">
        <v>2088</v>
      </c>
      <c r="G2059" s="2647" t="s">
        <v>2088</v>
      </c>
      <c r="H2059" s="2647" t="s">
        <v>2088</v>
      </c>
      <c r="I2059" s="2647" t="s">
        <v>2088</v>
      </c>
      <c r="J2059" s="2647" t="s">
        <v>2088</v>
      </c>
      <c r="K2059" s="2648"/>
      <c r="L2059" s="2647" t="s">
        <v>4345</v>
      </c>
    </row>
    <row r="2060" spans="1:12">
      <c r="A2060" s="2646" t="s">
        <v>99</v>
      </c>
      <c r="B2060" s="2646">
        <v>352211</v>
      </c>
      <c r="C2060" s="2646">
        <v>55</v>
      </c>
      <c r="D2060" s="2646">
        <v>100</v>
      </c>
      <c r="E2060" s="2646">
        <v>60</v>
      </c>
      <c r="F2060" s="2646" t="s">
        <v>2088</v>
      </c>
      <c r="G2060" s="2646" t="s">
        <v>2088</v>
      </c>
      <c r="H2060" s="2646" t="s">
        <v>2088</v>
      </c>
      <c r="I2060" s="2646" t="s">
        <v>2088</v>
      </c>
      <c r="J2060" s="2646" t="s">
        <v>2088</v>
      </c>
      <c r="L2060" s="2646" t="s">
        <v>4346</v>
      </c>
    </row>
    <row r="2061" spans="1:12">
      <c r="A2061" s="2647" t="s">
        <v>99</v>
      </c>
      <c r="B2061" s="2647" t="s">
        <v>4347</v>
      </c>
      <c r="C2061" s="2647">
        <v>75</v>
      </c>
      <c r="D2061" s="2647">
        <v>130</v>
      </c>
      <c r="E2061" s="2647">
        <v>75</v>
      </c>
      <c r="F2061" s="2647" t="s">
        <v>2088</v>
      </c>
      <c r="G2061" s="2647" t="s">
        <v>2088</v>
      </c>
      <c r="H2061" s="2647" t="s">
        <v>2088</v>
      </c>
      <c r="I2061" s="2647" t="s">
        <v>2088</v>
      </c>
      <c r="J2061" s="2647">
        <v>3.62</v>
      </c>
      <c r="K2061" s="2648"/>
      <c r="L2061" s="2647" t="s">
        <v>4348</v>
      </c>
    </row>
    <row r="2062" spans="1:12">
      <c r="A2062" s="2646" t="s">
        <v>99</v>
      </c>
      <c r="B2062" s="2646" t="s">
        <v>4349</v>
      </c>
      <c r="C2062" s="2646">
        <v>160</v>
      </c>
      <c r="D2062" s="2646">
        <v>220</v>
      </c>
      <c r="E2062" s="2646">
        <v>82</v>
      </c>
      <c r="F2062" s="2646" t="s">
        <v>2088</v>
      </c>
      <c r="G2062" s="2646" t="s">
        <v>2088</v>
      </c>
      <c r="H2062" s="2646" t="s">
        <v>2088</v>
      </c>
      <c r="I2062" s="2646" t="s">
        <v>2088</v>
      </c>
      <c r="J2062" s="2646">
        <v>8.15</v>
      </c>
      <c r="L2062" s="2646">
        <v>2097932</v>
      </c>
    </row>
    <row r="2063" spans="1:12">
      <c r="A2063" s="2647" t="s">
        <v>99</v>
      </c>
      <c r="B2063" s="2647" t="s">
        <v>4350</v>
      </c>
      <c r="C2063" s="2647">
        <v>260</v>
      </c>
      <c r="D2063" s="2647">
        <v>360</v>
      </c>
      <c r="E2063" s="2647">
        <v>105</v>
      </c>
      <c r="F2063" s="2647" t="s">
        <v>2088</v>
      </c>
      <c r="G2063" s="2647" t="s">
        <v>2088</v>
      </c>
      <c r="H2063" s="2647" t="s">
        <v>2088</v>
      </c>
      <c r="I2063" s="2647" t="s">
        <v>2088</v>
      </c>
      <c r="J2063" s="2647">
        <v>15</v>
      </c>
      <c r="K2063" s="2648"/>
      <c r="L2063" s="2647">
        <v>97852</v>
      </c>
    </row>
    <row r="2064" spans="1:12">
      <c r="A2064" s="2646" t="s">
        <v>99</v>
      </c>
      <c r="B2064" s="2646" t="s">
        <v>4351</v>
      </c>
      <c r="C2064" s="2646">
        <v>400</v>
      </c>
      <c r="D2064" s="2646">
        <v>600</v>
      </c>
      <c r="E2064" s="2646">
        <v>230</v>
      </c>
      <c r="F2064" s="2646" t="s">
        <v>2088</v>
      </c>
      <c r="G2064" s="2646" t="s">
        <v>2088</v>
      </c>
      <c r="H2064" s="2646" t="s">
        <v>2088</v>
      </c>
      <c r="I2064" s="2646" t="s">
        <v>2088</v>
      </c>
      <c r="J2064" s="2646">
        <v>206</v>
      </c>
      <c r="L2064" s="2646">
        <v>97880</v>
      </c>
    </row>
    <row r="2065" spans="1:12">
      <c r="A2065" s="2647" t="s">
        <v>99</v>
      </c>
      <c r="B2065" s="2647" t="s">
        <v>4352</v>
      </c>
      <c r="C2065" s="2647">
        <v>710</v>
      </c>
      <c r="D2065" s="2647">
        <v>1030</v>
      </c>
      <c r="E2065" s="2647">
        <v>236</v>
      </c>
      <c r="F2065" s="2647" t="s">
        <v>2088</v>
      </c>
      <c r="G2065" s="2647" t="s">
        <v>2088</v>
      </c>
      <c r="H2065" s="2647" t="s">
        <v>2088</v>
      </c>
      <c r="I2065" s="2647" t="s">
        <v>2088</v>
      </c>
      <c r="J2065" s="2647" t="s">
        <v>2088</v>
      </c>
      <c r="K2065" s="2648"/>
      <c r="L2065" s="2647" t="s">
        <v>3637</v>
      </c>
    </row>
    <row r="2066" spans="1:12">
      <c r="A2066" s="2646" t="s">
        <v>99</v>
      </c>
      <c r="B2066" s="2646" t="s">
        <v>4353</v>
      </c>
      <c r="C2066" s="2646">
        <v>500</v>
      </c>
      <c r="D2066" s="2646">
        <v>830</v>
      </c>
      <c r="E2066" s="2646">
        <v>330</v>
      </c>
      <c r="F2066" s="2646" t="s">
        <v>2088</v>
      </c>
      <c r="G2066" s="2646" t="s">
        <v>2088</v>
      </c>
      <c r="H2066" s="2646" t="s">
        <v>2088</v>
      </c>
      <c r="I2066" s="2646" t="s">
        <v>2088</v>
      </c>
      <c r="J2066" s="2646">
        <v>611</v>
      </c>
      <c r="L2066" s="2646" t="s">
        <v>4354</v>
      </c>
    </row>
    <row r="2067" spans="1:12">
      <c r="A2067" s="2647" t="s">
        <v>99</v>
      </c>
      <c r="B2067" s="2647" t="s">
        <v>4355</v>
      </c>
      <c r="C2067" s="2647">
        <v>110</v>
      </c>
      <c r="D2067" s="2647">
        <v>180</v>
      </c>
      <c r="E2067" s="2647">
        <v>76</v>
      </c>
      <c r="F2067" s="2647" t="s">
        <v>2088</v>
      </c>
      <c r="G2067" s="2647" t="s">
        <v>2088</v>
      </c>
      <c r="H2067" s="2647" t="s">
        <v>2088</v>
      </c>
      <c r="I2067" s="2647" t="s">
        <v>2088</v>
      </c>
      <c r="J2067" s="2647">
        <v>8.94</v>
      </c>
      <c r="K2067" s="2648"/>
      <c r="L2067" s="2647" t="s">
        <v>4356</v>
      </c>
    </row>
    <row r="2068" spans="1:12">
      <c r="A2068" s="2646" t="s">
        <v>99</v>
      </c>
      <c r="B2068" s="2646" t="s">
        <v>4357</v>
      </c>
      <c r="C2068" s="2646">
        <v>160</v>
      </c>
      <c r="D2068" s="2646">
        <v>270</v>
      </c>
      <c r="E2068" s="2646">
        <v>150</v>
      </c>
      <c r="F2068" s="2646" t="s">
        <v>2088</v>
      </c>
      <c r="G2068" s="2646" t="s">
        <v>2088</v>
      </c>
      <c r="H2068" s="2646" t="s">
        <v>2088</v>
      </c>
      <c r="I2068" s="2646" t="s">
        <v>2088</v>
      </c>
      <c r="J2068" s="2646">
        <v>31.8</v>
      </c>
      <c r="L2068" s="2646">
        <v>2097732</v>
      </c>
    </row>
    <row r="2069" spans="1:12">
      <c r="A2069" s="2647" t="s">
        <v>99</v>
      </c>
      <c r="B2069" s="2647" t="s">
        <v>4358</v>
      </c>
      <c r="C2069" s="2647">
        <v>160</v>
      </c>
      <c r="D2069" s="2647">
        <v>270</v>
      </c>
      <c r="E2069" s="2647">
        <v>150</v>
      </c>
      <c r="F2069" s="2647" t="s">
        <v>2088</v>
      </c>
      <c r="G2069" s="2647" t="s">
        <v>2088</v>
      </c>
      <c r="H2069" s="2647" t="s">
        <v>2088</v>
      </c>
      <c r="I2069" s="2647" t="s">
        <v>2088</v>
      </c>
      <c r="J2069" s="2647">
        <v>31.8</v>
      </c>
      <c r="K2069" s="2648"/>
      <c r="L2069" s="2647" t="s">
        <v>2088</v>
      </c>
    </row>
    <row r="2070" spans="1:12">
      <c r="A2070" s="2646" t="s">
        <v>99</v>
      </c>
      <c r="B2070" s="2646" t="s">
        <v>4359</v>
      </c>
      <c r="C2070" s="2646">
        <v>170</v>
      </c>
      <c r="D2070" s="2646">
        <v>280</v>
      </c>
      <c r="E2070" s="2646">
        <v>150</v>
      </c>
      <c r="F2070" s="2646" t="s">
        <v>2088</v>
      </c>
      <c r="G2070" s="2646" t="s">
        <v>2088</v>
      </c>
      <c r="H2070" s="2646" t="s">
        <v>2088</v>
      </c>
      <c r="I2070" s="2646" t="s">
        <v>2088</v>
      </c>
      <c r="J2070" s="2646">
        <v>34.9</v>
      </c>
      <c r="L2070" s="2646" t="s">
        <v>4360</v>
      </c>
    </row>
    <row r="2071" spans="1:12">
      <c r="A2071" s="2647" t="s">
        <v>99</v>
      </c>
      <c r="B2071" s="2647">
        <v>350602</v>
      </c>
      <c r="C2071" s="2647">
        <v>15</v>
      </c>
      <c r="D2071" s="2647">
        <v>38</v>
      </c>
      <c r="E2071" s="2647">
        <v>46</v>
      </c>
      <c r="F2071" s="2647" t="s">
        <v>2088</v>
      </c>
      <c r="G2071" s="2647" t="s">
        <v>2088</v>
      </c>
      <c r="H2071" s="2647" t="s">
        <v>2088</v>
      </c>
      <c r="I2071" s="2647" t="s">
        <v>2088</v>
      </c>
      <c r="J2071" s="2647" t="s">
        <v>2088</v>
      </c>
      <c r="K2071" s="2648"/>
      <c r="L2071" s="2647">
        <v>97702</v>
      </c>
    </row>
    <row r="2072" spans="1:12">
      <c r="A2072" s="2646" t="s">
        <v>99</v>
      </c>
      <c r="B2072" s="2646">
        <v>352013</v>
      </c>
      <c r="C2072" s="2646">
        <v>65</v>
      </c>
      <c r="D2072" s="2646">
        <v>100</v>
      </c>
      <c r="E2072" s="2646">
        <v>60</v>
      </c>
      <c r="F2072" s="2646" t="s">
        <v>2088</v>
      </c>
      <c r="G2072" s="2646" t="s">
        <v>2088</v>
      </c>
      <c r="H2072" s="2646" t="s">
        <v>2088</v>
      </c>
      <c r="I2072" s="2646" t="s">
        <v>2088</v>
      </c>
      <c r="J2072" s="2646" t="s">
        <v>2088</v>
      </c>
      <c r="L2072" s="2646" t="s">
        <v>4361</v>
      </c>
    </row>
    <row r="2073" spans="1:12">
      <c r="A2073" s="2647" t="s">
        <v>99</v>
      </c>
      <c r="B2073" s="2647" t="s">
        <v>4362</v>
      </c>
      <c r="C2073" s="2647">
        <v>129.5</v>
      </c>
      <c r="D2073" s="2647">
        <v>230</v>
      </c>
      <c r="E2073" s="2647">
        <v>208</v>
      </c>
      <c r="F2073" s="2647" t="s">
        <v>2088</v>
      </c>
      <c r="G2073" s="2647" t="s">
        <v>2088</v>
      </c>
      <c r="H2073" s="2647" t="s">
        <v>2088</v>
      </c>
      <c r="I2073" s="2647" t="s">
        <v>2088</v>
      </c>
      <c r="J2073" s="2647">
        <v>27.8</v>
      </c>
      <c r="K2073" s="2648"/>
      <c r="L2073" s="2647" t="s">
        <v>4363</v>
      </c>
    </row>
    <row r="2074" spans="1:12">
      <c r="A2074" s="2646" t="s">
        <v>99</v>
      </c>
      <c r="B2074" s="2646" t="s">
        <v>4364</v>
      </c>
      <c r="C2074" s="2646">
        <v>305.07900000000001</v>
      </c>
      <c r="D2074" s="2646">
        <v>500</v>
      </c>
      <c r="E2074" s="2646">
        <v>200</v>
      </c>
      <c r="F2074" s="2646" t="s">
        <v>2088</v>
      </c>
      <c r="G2074" s="2646" t="s">
        <v>2088</v>
      </c>
      <c r="H2074" s="2646" t="s">
        <v>2088</v>
      </c>
      <c r="I2074" s="2646" t="s">
        <v>2088</v>
      </c>
      <c r="J2074" s="2646">
        <v>142</v>
      </c>
      <c r="L2074" s="2646" t="s">
        <v>2572</v>
      </c>
    </row>
    <row r="2075" spans="1:12">
      <c r="A2075" s="2647" t="s">
        <v>99</v>
      </c>
      <c r="B2075" s="2647" t="s">
        <v>4365</v>
      </c>
      <c r="C2075" s="2647">
        <v>381</v>
      </c>
      <c r="D2075" s="2647">
        <v>590.54999999999995</v>
      </c>
      <c r="E2075" s="2647">
        <v>244.47499999999999</v>
      </c>
      <c r="F2075" s="2647" t="s">
        <v>2088</v>
      </c>
      <c r="G2075" s="2647" t="s">
        <v>2088</v>
      </c>
      <c r="H2075" s="2647" t="s">
        <v>2088</v>
      </c>
      <c r="I2075" s="2647" t="s">
        <v>2088</v>
      </c>
      <c r="J2075" s="2647">
        <v>245</v>
      </c>
      <c r="K2075" s="2648"/>
      <c r="L2075" s="2647">
        <v>97776</v>
      </c>
    </row>
    <row r="2076" spans="1:12">
      <c r="A2076" s="2646" t="s">
        <v>99</v>
      </c>
      <c r="B2076" s="2646" t="s">
        <v>4366</v>
      </c>
      <c r="C2076" s="2646">
        <v>129.5</v>
      </c>
      <c r="D2076" s="2646">
        <v>230</v>
      </c>
      <c r="E2076" s="2646">
        <v>222</v>
      </c>
      <c r="F2076" s="2646" t="s">
        <v>2088</v>
      </c>
      <c r="G2076" s="2646" t="s">
        <v>2088</v>
      </c>
      <c r="H2076" s="2646" t="s">
        <v>2088</v>
      </c>
      <c r="I2076" s="2646" t="s">
        <v>2088</v>
      </c>
      <c r="J2076" s="2646">
        <v>30.3</v>
      </c>
      <c r="L2076" s="2646" t="s">
        <v>3629</v>
      </c>
    </row>
    <row r="2077" spans="1:12">
      <c r="A2077" s="2647" t="s">
        <v>99</v>
      </c>
      <c r="B2077" s="2647" t="s">
        <v>4367</v>
      </c>
      <c r="C2077" s="2647">
        <v>130</v>
      </c>
      <c r="D2077" s="2647">
        <v>250</v>
      </c>
      <c r="E2077" s="2647">
        <v>160</v>
      </c>
      <c r="F2077" s="2647" t="s">
        <v>2088</v>
      </c>
      <c r="G2077" s="2647" t="s">
        <v>2088</v>
      </c>
      <c r="H2077" s="2647" t="s">
        <v>2088</v>
      </c>
      <c r="I2077" s="2647" t="s">
        <v>2088</v>
      </c>
      <c r="J2077" s="2647">
        <v>39.299999999999997</v>
      </c>
      <c r="K2077" s="2648"/>
      <c r="L2077" s="2647" t="s">
        <v>4368</v>
      </c>
    </row>
    <row r="2078" spans="1:12">
      <c r="A2078" s="2646" t="s">
        <v>99</v>
      </c>
      <c r="B2078" s="2646" t="s">
        <v>4369</v>
      </c>
      <c r="C2078" s="2646">
        <v>130</v>
      </c>
      <c r="D2078" s="2646">
        <v>230</v>
      </c>
      <c r="E2078" s="2646">
        <v>150</v>
      </c>
      <c r="F2078" s="2646" t="s">
        <v>2088</v>
      </c>
      <c r="G2078" s="2646" t="s">
        <v>2088</v>
      </c>
      <c r="H2078" s="2646" t="s">
        <v>2088</v>
      </c>
      <c r="I2078" s="2646" t="s">
        <v>2088</v>
      </c>
      <c r="J2078" s="2646">
        <v>30.2</v>
      </c>
      <c r="L2078" s="2646" t="s">
        <v>4370</v>
      </c>
    </row>
    <row r="2079" spans="1:12">
      <c r="A2079" s="2647" t="s">
        <v>99</v>
      </c>
      <c r="B2079" s="2647" t="s">
        <v>4371</v>
      </c>
      <c r="C2079" s="2647">
        <v>130</v>
      </c>
      <c r="D2079" s="2647">
        <v>250</v>
      </c>
      <c r="E2079" s="2647">
        <v>217</v>
      </c>
      <c r="F2079" s="2647" t="s">
        <v>2088</v>
      </c>
      <c r="G2079" s="2647" t="s">
        <v>2088</v>
      </c>
      <c r="H2079" s="2647" t="s">
        <v>2088</v>
      </c>
      <c r="I2079" s="2647" t="s">
        <v>2088</v>
      </c>
      <c r="J2079" s="2647">
        <v>39.299999999999997</v>
      </c>
      <c r="K2079" s="2648"/>
      <c r="L2079" s="2647">
        <v>197826</v>
      </c>
    </row>
    <row r="2080" spans="1:12">
      <c r="A2080" s="2646" t="s">
        <v>99</v>
      </c>
      <c r="B2080" s="2646" t="s">
        <v>4372</v>
      </c>
      <c r="C2080" s="2646">
        <v>119.095</v>
      </c>
      <c r="D2080" s="2646">
        <v>195.26</v>
      </c>
      <c r="E2080" s="2646">
        <v>136.5</v>
      </c>
      <c r="F2080" s="2646" t="s">
        <v>2088</v>
      </c>
      <c r="G2080" s="2646" t="s">
        <v>2088</v>
      </c>
      <c r="H2080" s="2646" t="s">
        <v>2088</v>
      </c>
      <c r="I2080" s="2646" t="s">
        <v>2088</v>
      </c>
      <c r="J2080" s="2646">
        <v>20.9</v>
      </c>
      <c r="L2080" s="2646">
        <v>197924</v>
      </c>
    </row>
    <row r="2081" spans="1:12">
      <c r="A2081" s="2647" t="s">
        <v>99</v>
      </c>
      <c r="B2081" s="2647" t="s">
        <v>4373</v>
      </c>
      <c r="C2081" s="2647">
        <v>119.087</v>
      </c>
      <c r="D2081" s="2647">
        <v>301.70100000000002</v>
      </c>
      <c r="E2081" s="2647">
        <v>190.5</v>
      </c>
      <c r="F2081" s="2647" t="s">
        <v>2088</v>
      </c>
      <c r="G2081" s="2647" t="s">
        <v>2088</v>
      </c>
      <c r="H2081" s="2647" t="s">
        <v>2088</v>
      </c>
      <c r="I2081" s="2647" t="s">
        <v>2088</v>
      </c>
      <c r="J2081" s="2647">
        <v>71.7</v>
      </c>
      <c r="K2081" s="2648"/>
      <c r="L2081" s="2647">
        <v>197933</v>
      </c>
    </row>
    <row r="2082" spans="1:12">
      <c r="A2082" s="2646" t="s">
        <v>99</v>
      </c>
      <c r="B2082" s="2646" t="s">
        <v>4374</v>
      </c>
      <c r="C2082" s="2646">
        <v>300</v>
      </c>
      <c r="D2082" s="2646">
        <v>420</v>
      </c>
      <c r="E2082" s="2646">
        <v>310</v>
      </c>
      <c r="F2082" s="2646" t="s">
        <v>2088</v>
      </c>
      <c r="G2082" s="2646" t="s">
        <v>2088</v>
      </c>
      <c r="H2082" s="2646" t="s">
        <v>2088</v>
      </c>
      <c r="I2082" s="2646" t="s">
        <v>2088</v>
      </c>
      <c r="J2082" s="2646">
        <v>134</v>
      </c>
      <c r="L2082" s="2646" t="s">
        <v>4375</v>
      </c>
    </row>
    <row r="2083" spans="1:12">
      <c r="A2083" s="2647" t="s">
        <v>99</v>
      </c>
      <c r="B2083" s="2647">
        <v>381036</v>
      </c>
      <c r="C2083" s="2647">
        <v>180</v>
      </c>
      <c r="D2083" s="2647">
        <v>280</v>
      </c>
      <c r="E2083" s="2647">
        <v>180</v>
      </c>
      <c r="F2083" s="2647" t="s">
        <v>2088</v>
      </c>
      <c r="G2083" s="2647" t="s">
        <v>2088</v>
      </c>
      <c r="H2083" s="2647" t="s">
        <v>2088</v>
      </c>
      <c r="I2083" s="2647" t="s">
        <v>2088</v>
      </c>
      <c r="J2083" s="2647">
        <v>39.6</v>
      </c>
      <c r="K2083" s="2648"/>
      <c r="L2083" s="2647">
        <v>77736</v>
      </c>
    </row>
    <row r="2084" spans="1:12">
      <c r="A2084" s="2646" t="s">
        <v>99</v>
      </c>
      <c r="B2084" s="2646">
        <v>371076</v>
      </c>
      <c r="C2084" s="2646">
        <v>380</v>
      </c>
      <c r="D2084" s="2646">
        <v>560</v>
      </c>
      <c r="E2084" s="2646">
        <v>325</v>
      </c>
      <c r="F2084" s="2646" t="s">
        <v>2088</v>
      </c>
      <c r="G2084" s="2646" t="s">
        <v>2088</v>
      </c>
      <c r="H2084" s="2646" t="s">
        <v>2088</v>
      </c>
      <c r="I2084" s="2646" t="s">
        <v>2088</v>
      </c>
      <c r="J2084" s="2646">
        <v>281</v>
      </c>
      <c r="L2084" s="2646">
        <v>77176</v>
      </c>
    </row>
    <row r="2085" spans="1:12">
      <c r="A2085" s="2647" t="s">
        <v>99</v>
      </c>
      <c r="B2085" s="2647" t="s">
        <v>4376</v>
      </c>
      <c r="C2085" s="2647">
        <v>400</v>
      </c>
      <c r="D2085" s="2647">
        <v>600</v>
      </c>
      <c r="E2085" s="2647">
        <v>356</v>
      </c>
      <c r="F2085" s="2647" t="s">
        <v>2088</v>
      </c>
      <c r="G2085" s="2647" t="s">
        <v>2088</v>
      </c>
      <c r="H2085" s="2647" t="s">
        <v>2088</v>
      </c>
      <c r="I2085" s="2647" t="s">
        <v>2088</v>
      </c>
      <c r="J2085" s="2647">
        <v>345</v>
      </c>
      <c r="K2085" s="2648"/>
      <c r="L2085" s="2647" t="s">
        <v>4377</v>
      </c>
    </row>
    <row r="2086" spans="1:12">
      <c r="A2086" s="2646" t="s">
        <v>99</v>
      </c>
      <c r="B2086" s="2646" t="s">
        <v>4378</v>
      </c>
      <c r="C2086" s="2646">
        <v>460</v>
      </c>
      <c r="D2086" s="2646">
        <v>680</v>
      </c>
      <c r="E2086" s="2646">
        <v>410</v>
      </c>
      <c r="F2086" s="2646" t="s">
        <v>2088</v>
      </c>
      <c r="G2086" s="2646" t="s">
        <v>2088</v>
      </c>
      <c r="H2086" s="2646" t="s">
        <v>2088</v>
      </c>
      <c r="I2086" s="2646" t="s">
        <v>2088</v>
      </c>
      <c r="J2086" s="2646" t="s">
        <v>2088</v>
      </c>
      <c r="L2086" s="2646" t="s">
        <v>4379</v>
      </c>
    </row>
    <row r="2087" spans="1:12">
      <c r="A2087" s="2647" t="s">
        <v>99</v>
      </c>
      <c r="B2087" s="2647" t="s">
        <v>4380</v>
      </c>
      <c r="C2087" s="2647">
        <v>750</v>
      </c>
      <c r="D2087" s="2647">
        <v>1090</v>
      </c>
      <c r="E2087" s="2647">
        <v>605</v>
      </c>
      <c r="F2087" s="2647" t="s">
        <v>2088</v>
      </c>
      <c r="G2087" s="2647" t="s">
        <v>2088</v>
      </c>
      <c r="H2087" s="2647" t="s">
        <v>2088</v>
      </c>
      <c r="I2087" s="2647" t="s">
        <v>2088</v>
      </c>
      <c r="J2087" s="2647">
        <v>1840</v>
      </c>
      <c r="K2087" s="2648"/>
      <c r="L2087" s="2647" t="s">
        <v>4381</v>
      </c>
    </row>
    <row r="2088" spans="1:12">
      <c r="A2088" s="2646" t="s">
        <v>99</v>
      </c>
      <c r="B2088" s="2646" t="s">
        <v>4382</v>
      </c>
      <c r="C2088" s="2646">
        <v>750</v>
      </c>
      <c r="D2088" s="2646">
        <v>1090</v>
      </c>
      <c r="E2088" s="2646">
        <v>605</v>
      </c>
      <c r="F2088" s="2646" t="s">
        <v>2088</v>
      </c>
      <c r="G2088" s="2646" t="s">
        <v>2088</v>
      </c>
      <c r="H2088" s="2646" t="s">
        <v>2088</v>
      </c>
      <c r="I2088" s="2646" t="s">
        <v>2088</v>
      </c>
      <c r="J2088" s="2646">
        <v>1880</v>
      </c>
      <c r="L2088" s="2646" t="s">
        <v>4383</v>
      </c>
    </row>
    <row r="2089" spans="1:12">
      <c r="A2089" s="2647" t="s">
        <v>99</v>
      </c>
      <c r="B2089" s="2647">
        <v>382024</v>
      </c>
      <c r="C2089" s="2647">
        <v>170</v>
      </c>
      <c r="D2089" s="2647">
        <v>260</v>
      </c>
      <c r="E2089" s="2647">
        <v>230</v>
      </c>
      <c r="F2089" s="2647" t="s">
        <v>2088</v>
      </c>
      <c r="G2089" s="2647" t="s">
        <v>2088</v>
      </c>
      <c r="H2089" s="2647" t="s">
        <v>2088</v>
      </c>
      <c r="I2089" s="2647" t="s">
        <v>2088</v>
      </c>
      <c r="J2089" s="2647">
        <v>43</v>
      </c>
      <c r="K2089" s="2648"/>
      <c r="L2089" s="2647">
        <v>2077134</v>
      </c>
    </row>
    <row r="2090" spans="1:12">
      <c r="A2090" s="2646" t="s">
        <v>99</v>
      </c>
      <c r="B2090" s="2646" t="s">
        <v>4384</v>
      </c>
      <c r="C2090" s="2646">
        <v>320</v>
      </c>
      <c r="D2090" s="2646">
        <v>480</v>
      </c>
      <c r="E2090" s="2646">
        <v>380</v>
      </c>
      <c r="F2090" s="2646" t="s">
        <v>2088</v>
      </c>
      <c r="G2090" s="2646" t="s">
        <v>2088</v>
      </c>
      <c r="H2090" s="2646" t="s">
        <v>2088</v>
      </c>
      <c r="I2090" s="2646" t="s">
        <v>2088</v>
      </c>
      <c r="J2090" s="2646">
        <v>234</v>
      </c>
      <c r="L2090" s="2646" t="s">
        <v>4118</v>
      </c>
    </row>
    <row r="2091" spans="1:12">
      <c r="A2091" s="2647" t="s">
        <v>99</v>
      </c>
      <c r="B2091" s="2647" t="s">
        <v>4385</v>
      </c>
      <c r="C2091" s="2647">
        <v>300</v>
      </c>
      <c r="D2091" s="2647">
        <v>500</v>
      </c>
      <c r="E2091" s="2647">
        <v>370</v>
      </c>
      <c r="F2091" s="2647" t="s">
        <v>2088</v>
      </c>
      <c r="G2091" s="2647" t="s">
        <v>2088</v>
      </c>
      <c r="H2091" s="2647" t="s">
        <v>2088</v>
      </c>
      <c r="I2091" s="2647" t="s">
        <v>2088</v>
      </c>
      <c r="J2091" s="2647">
        <v>285</v>
      </c>
      <c r="K2091" s="2648"/>
      <c r="L2091" s="2647" t="s">
        <v>4386</v>
      </c>
    </row>
    <row r="2092" spans="1:12">
      <c r="A2092" s="2646" t="s">
        <v>99</v>
      </c>
      <c r="B2092" s="2646" t="s">
        <v>4387</v>
      </c>
      <c r="C2092" s="2646">
        <v>850</v>
      </c>
      <c r="D2092" s="2646">
        <v>1360</v>
      </c>
      <c r="E2092" s="2646">
        <v>900</v>
      </c>
      <c r="F2092" s="2646" t="s">
        <v>2088</v>
      </c>
      <c r="G2092" s="2646" t="s">
        <v>2088</v>
      </c>
      <c r="H2092" s="2646" t="s">
        <v>2088</v>
      </c>
      <c r="I2092" s="2646" t="s">
        <v>2088</v>
      </c>
      <c r="J2092" s="2646">
        <v>5168</v>
      </c>
      <c r="L2092" s="2646" t="s">
        <v>4388</v>
      </c>
    </row>
    <row r="2093" spans="1:12">
      <c r="A2093" s="2647" t="s">
        <v>99</v>
      </c>
      <c r="B2093" s="2647" t="s">
        <v>4389</v>
      </c>
      <c r="C2093" s="2647">
        <v>260</v>
      </c>
      <c r="D2093" s="2647">
        <v>400</v>
      </c>
      <c r="E2093" s="2647">
        <v>225</v>
      </c>
      <c r="F2093" s="2647" t="s">
        <v>2088</v>
      </c>
      <c r="G2093" s="2647" t="s">
        <v>2088</v>
      </c>
      <c r="H2093" s="2647" t="s">
        <v>2088</v>
      </c>
      <c r="I2093" s="2647" t="s">
        <v>2088</v>
      </c>
      <c r="J2093" s="2647">
        <v>114</v>
      </c>
      <c r="K2093" s="2648"/>
      <c r="L2093" s="2647" t="s">
        <v>4135</v>
      </c>
    </row>
    <row r="2094" spans="1:12">
      <c r="A2094" s="2646" t="s">
        <v>99</v>
      </c>
      <c r="B2094" s="2646" t="s">
        <v>4390</v>
      </c>
      <c r="C2094" s="2646">
        <v>260</v>
      </c>
      <c r="D2094" s="2646">
        <v>400</v>
      </c>
      <c r="E2094" s="2646">
        <v>225</v>
      </c>
      <c r="F2094" s="2646" t="s">
        <v>2088</v>
      </c>
      <c r="G2094" s="2646" t="s">
        <v>2088</v>
      </c>
      <c r="H2094" s="2646" t="s">
        <v>2088</v>
      </c>
      <c r="I2094" s="2646" t="s">
        <v>2088</v>
      </c>
      <c r="J2094" s="2646">
        <v>114</v>
      </c>
      <c r="L2094" s="2646" t="s">
        <v>4133</v>
      </c>
    </row>
    <row r="2095" spans="1:12">
      <c r="A2095" s="2647" t="s">
        <v>99</v>
      </c>
      <c r="B2095" s="2647" t="s">
        <v>4391</v>
      </c>
      <c r="C2095" s="2647">
        <v>260</v>
      </c>
      <c r="D2095" s="2647">
        <v>440</v>
      </c>
      <c r="E2095" s="2647">
        <v>300</v>
      </c>
      <c r="F2095" s="2647" t="s">
        <v>2088</v>
      </c>
      <c r="G2095" s="2647" t="s">
        <v>2088</v>
      </c>
      <c r="H2095" s="2647" t="s">
        <v>2088</v>
      </c>
      <c r="I2095" s="2647" t="s">
        <v>2088</v>
      </c>
      <c r="J2095" s="2647">
        <v>191</v>
      </c>
      <c r="K2095" s="2648"/>
      <c r="L2095" s="2647" t="s">
        <v>4392</v>
      </c>
    </row>
    <row r="2096" spans="1:12">
      <c r="A2096" s="2646" t="s">
        <v>99</v>
      </c>
      <c r="B2096" s="2646" t="s">
        <v>4393</v>
      </c>
      <c r="C2096" s="2646">
        <v>750</v>
      </c>
      <c r="D2096" s="2646">
        <v>1220</v>
      </c>
      <c r="E2096" s="2646">
        <v>840</v>
      </c>
      <c r="F2096" s="2646" t="s">
        <v>2088</v>
      </c>
      <c r="G2096" s="2646" t="s">
        <v>2088</v>
      </c>
      <c r="H2096" s="2646" t="s">
        <v>2088</v>
      </c>
      <c r="I2096" s="2646" t="s">
        <v>2088</v>
      </c>
      <c r="J2096" s="2646">
        <v>3978</v>
      </c>
      <c r="L2096" s="2646" t="s">
        <v>4035</v>
      </c>
    </row>
    <row r="2097" spans="1:12">
      <c r="A2097" s="2647" t="s">
        <v>99</v>
      </c>
      <c r="B2097" s="2647" t="s">
        <v>4394</v>
      </c>
      <c r="C2097" s="2647">
        <v>560</v>
      </c>
      <c r="D2097" s="2647">
        <v>920</v>
      </c>
      <c r="E2097" s="2647">
        <v>620</v>
      </c>
      <c r="F2097" s="2647" t="s">
        <v>2088</v>
      </c>
      <c r="G2097" s="2647" t="s">
        <v>2088</v>
      </c>
      <c r="H2097" s="2647" t="s">
        <v>2088</v>
      </c>
      <c r="I2097" s="2647" t="s">
        <v>2088</v>
      </c>
      <c r="J2097" s="2647">
        <v>1635</v>
      </c>
      <c r="K2097" s="2648"/>
      <c r="L2097" s="2647" t="s">
        <v>4395</v>
      </c>
    </row>
    <row r="2098" spans="1:12">
      <c r="A2098" s="2646" t="s">
        <v>99</v>
      </c>
      <c r="B2098" s="2646" t="s">
        <v>4396</v>
      </c>
      <c r="C2098" s="2646">
        <v>600</v>
      </c>
      <c r="D2098" s="2646">
        <v>980</v>
      </c>
      <c r="E2098" s="2646">
        <v>650</v>
      </c>
      <c r="F2098" s="2646" t="s">
        <v>2088</v>
      </c>
      <c r="G2098" s="2646" t="s">
        <v>2088</v>
      </c>
      <c r="H2098" s="2646" t="s">
        <v>2088</v>
      </c>
      <c r="I2098" s="2646" t="s">
        <v>2088</v>
      </c>
      <c r="J2098" s="2646">
        <v>1970</v>
      </c>
      <c r="L2098" s="2646" t="s">
        <v>4219</v>
      </c>
    </row>
    <row r="2099" spans="1:12">
      <c r="A2099" s="2647" t="s">
        <v>99</v>
      </c>
      <c r="B2099" s="2647" t="s">
        <v>4397</v>
      </c>
      <c r="C2099" s="2647">
        <v>380</v>
      </c>
      <c r="D2099" s="2647">
        <v>620</v>
      </c>
      <c r="E2099" s="2647">
        <v>388</v>
      </c>
      <c r="F2099" s="2647" t="s">
        <v>2088</v>
      </c>
      <c r="G2099" s="2647" t="s">
        <v>2088</v>
      </c>
      <c r="H2099" s="2647" t="s">
        <v>2088</v>
      </c>
      <c r="I2099" s="2647" t="s">
        <v>2088</v>
      </c>
      <c r="J2099" s="2647">
        <v>443</v>
      </c>
      <c r="K2099" s="2648"/>
      <c r="L2099" s="2647">
        <v>3077776</v>
      </c>
    </row>
    <row r="2100" spans="1:12">
      <c r="A2100" s="2646" t="s">
        <v>99</v>
      </c>
      <c r="B2100" s="2646" t="s">
        <v>4398</v>
      </c>
      <c r="C2100" s="2646">
        <v>380</v>
      </c>
      <c r="D2100" s="2646">
        <v>550</v>
      </c>
      <c r="E2100" s="2646">
        <v>350</v>
      </c>
      <c r="F2100" s="2646" t="s">
        <v>2088</v>
      </c>
      <c r="G2100" s="2646" t="s">
        <v>2088</v>
      </c>
      <c r="H2100" s="2646" t="s">
        <v>2088</v>
      </c>
      <c r="I2100" s="2646" t="s">
        <v>2088</v>
      </c>
      <c r="J2100" s="2646">
        <v>273</v>
      </c>
      <c r="L2100" s="2646" t="s">
        <v>4399</v>
      </c>
    </row>
    <row r="2101" spans="1:12">
      <c r="A2101" s="2647" t="s">
        <v>99</v>
      </c>
      <c r="B2101" s="2647" t="s">
        <v>4400</v>
      </c>
      <c r="C2101" s="2647">
        <v>488.95</v>
      </c>
      <c r="D2101" s="2647">
        <v>622</v>
      </c>
      <c r="E2101" s="2647">
        <v>365.125</v>
      </c>
      <c r="F2101" s="2647" t="s">
        <v>2088</v>
      </c>
      <c r="G2101" s="2647" t="s">
        <v>2088</v>
      </c>
      <c r="H2101" s="2647" t="s">
        <v>2088</v>
      </c>
      <c r="I2101" s="2647" t="s">
        <v>2088</v>
      </c>
      <c r="J2101" s="2647">
        <v>266</v>
      </c>
      <c r="K2101" s="2648"/>
      <c r="L2101" s="2647" t="s">
        <v>4401</v>
      </c>
    </row>
    <row r="2102" spans="1:12">
      <c r="A2102" s="2646" t="s">
        <v>99</v>
      </c>
      <c r="B2102" s="2646" t="s">
        <v>4402</v>
      </c>
      <c r="C2102" s="2646">
        <v>120</v>
      </c>
      <c r="D2102" s="2646">
        <v>180</v>
      </c>
      <c r="E2102" s="2646">
        <v>38</v>
      </c>
      <c r="F2102" s="2646" t="s">
        <v>2088</v>
      </c>
      <c r="G2102" s="2646" t="s">
        <v>2088</v>
      </c>
      <c r="H2102" s="2646" t="s">
        <v>2088</v>
      </c>
      <c r="I2102" s="2646" t="s">
        <v>2088</v>
      </c>
      <c r="J2102" s="2646">
        <v>3.14</v>
      </c>
      <c r="L2102" s="2646">
        <v>2067124</v>
      </c>
    </row>
    <row r="2103" spans="1:12">
      <c r="A2103" s="2647" t="s">
        <v>99</v>
      </c>
      <c r="B2103" s="2647" t="s">
        <v>4403</v>
      </c>
      <c r="C2103" s="2647">
        <v>12</v>
      </c>
      <c r="D2103" s="2647">
        <v>36</v>
      </c>
      <c r="E2103" s="2647">
        <v>13.9</v>
      </c>
      <c r="F2103" s="2647" t="s">
        <v>2088</v>
      </c>
      <c r="G2103" s="2647" t="s">
        <v>2088</v>
      </c>
      <c r="H2103" s="2647" t="s">
        <v>2088</v>
      </c>
      <c r="I2103" s="2647" t="s">
        <v>2088</v>
      </c>
      <c r="J2103" s="2647">
        <v>6.4000000000000001E-2</v>
      </c>
      <c r="K2103" s="2648"/>
      <c r="L2103" s="2647">
        <v>67701</v>
      </c>
    </row>
    <row r="2104" spans="1:12">
      <c r="A2104" s="2646" t="s">
        <v>99</v>
      </c>
      <c r="B2104" s="2646" t="s">
        <v>4404</v>
      </c>
      <c r="C2104" s="2646">
        <v>622.29999999999995</v>
      </c>
      <c r="D2104" s="2646">
        <v>734</v>
      </c>
      <c r="E2104" s="2646">
        <v>46</v>
      </c>
      <c r="F2104" s="2646" t="s">
        <v>2088</v>
      </c>
      <c r="G2104" s="2646" t="s">
        <v>2088</v>
      </c>
      <c r="H2104" s="2646" t="s">
        <v>2088</v>
      </c>
      <c r="I2104" s="2646" t="s">
        <v>2088</v>
      </c>
      <c r="J2104" s="2646">
        <v>32.26</v>
      </c>
      <c r="L2104" s="2646" t="s">
        <v>4405</v>
      </c>
    </row>
    <row r="2105" spans="1:12">
      <c r="A2105" s="2647" t="s">
        <v>99</v>
      </c>
      <c r="B2105" s="2647" t="s">
        <v>4406</v>
      </c>
      <c r="C2105" s="2647">
        <v>622.29999999999995</v>
      </c>
      <c r="D2105" s="2647">
        <v>734</v>
      </c>
      <c r="E2105" s="2647">
        <v>46</v>
      </c>
      <c r="F2105" s="2647" t="s">
        <v>2088</v>
      </c>
      <c r="G2105" s="2647" t="s">
        <v>2088</v>
      </c>
      <c r="H2105" s="2647" t="s">
        <v>2088</v>
      </c>
      <c r="I2105" s="2647" t="s">
        <v>2088</v>
      </c>
      <c r="J2105" s="2647">
        <v>33.6</v>
      </c>
      <c r="K2105" s="2648"/>
      <c r="L2105" s="2647" t="s">
        <v>4407</v>
      </c>
    </row>
    <row r="2106" spans="1:12">
      <c r="A2106" s="2646" t="s">
        <v>99</v>
      </c>
      <c r="B2106" s="2646" t="s">
        <v>4408</v>
      </c>
      <c r="C2106" s="2646">
        <v>120</v>
      </c>
      <c r="D2106" s="2646">
        <v>180</v>
      </c>
      <c r="E2106" s="2646">
        <v>85</v>
      </c>
      <c r="F2106" s="2646" t="s">
        <v>2088</v>
      </c>
      <c r="G2106" s="2646" t="s">
        <v>2088</v>
      </c>
      <c r="H2106" s="2646" t="s">
        <v>2088</v>
      </c>
      <c r="I2106" s="2646" t="s">
        <v>2088</v>
      </c>
      <c r="J2106" s="2646">
        <v>6.77</v>
      </c>
      <c r="L2106" s="2646">
        <v>2657124</v>
      </c>
    </row>
    <row r="2107" spans="1:12">
      <c r="A2107" s="2647" t="s">
        <v>99</v>
      </c>
      <c r="B2107" s="2647" t="s">
        <v>4409</v>
      </c>
      <c r="C2107" s="2647">
        <v>100</v>
      </c>
      <c r="D2107" s="2647">
        <v>165</v>
      </c>
      <c r="E2107" s="2647">
        <v>80</v>
      </c>
      <c r="F2107" s="2647" t="s">
        <v>2088</v>
      </c>
      <c r="G2107" s="2647" t="s">
        <v>2088</v>
      </c>
      <c r="H2107" s="2647" t="s">
        <v>2088</v>
      </c>
      <c r="I2107" s="2647" t="s">
        <v>2088</v>
      </c>
      <c r="J2107" s="2647">
        <v>5.09</v>
      </c>
      <c r="K2107" s="2648"/>
      <c r="L2107" s="2647">
        <v>657720</v>
      </c>
    </row>
    <row r="2108" spans="1:12">
      <c r="A2108" s="2646" t="s">
        <v>99</v>
      </c>
      <c r="B2108" s="2646" t="s">
        <v>4410</v>
      </c>
      <c r="C2108" s="2646">
        <v>140</v>
      </c>
      <c r="D2108" s="2646">
        <v>215</v>
      </c>
      <c r="E2108" s="2646">
        <v>100</v>
      </c>
      <c r="F2108" s="2646" t="s">
        <v>2088</v>
      </c>
      <c r="G2108" s="2646" t="s">
        <v>2088</v>
      </c>
      <c r="H2108" s="2646" t="s">
        <v>2088</v>
      </c>
      <c r="I2108" s="2646" t="s">
        <v>2088</v>
      </c>
      <c r="J2108" s="2646">
        <v>13</v>
      </c>
      <c r="L2108" s="2646">
        <v>657728</v>
      </c>
    </row>
    <row r="2109" spans="1:12">
      <c r="A2109" s="2647" t="s">
        <v>99</v>
      </c>
      <c r="B2109" s="2647" t="s">
        <v>4411</v>
      </c>
      <c r="C2109" s="2647">
        <v>120</v>
      </c>
      <c r="D2109" s="2647">
        <v>180</v>
      </c>
      <c r="E2109" s="2647">
        <v>85</v>
      </c>
      <c r="F2109" s="2647" t="s">
        <v>2088</v>
      </c>
      <c r="G2109" s="2647" t="s">
        <v>2088</v>
      </c>
      <c r="H2109" s="2647" t="s">
        <v>2088</v>
      </c>
      <c r="I2109" s="2647" t="s">
        <v>2088</v>
      </c>
      <c r="J2109" s="2647" t="s">
        <v>2088</v>
      </c>
      <c r="K2109" s="2648"/>
      <c r="L2109" s="2647" t="s">
        <v>4412</v>
      </c>
    </row>
    <row r="2110" spans="1:12">
      <c r="A2110" s="2646" t="s">
        <v>99</v>
      </c>
      <c r="B2110" s="2646" t="s">
        <v>4413</v>
      </c>
      <c r="C2110" s="2646">
        <v>140</v>
      </c>
      <c r="D2110" s="2646">
        <v>210</v>
      </c>
      <c r="E2110" s="2646">
        <v>95</v>
      </c>
      <c r="F2110" s="2646" t="s">
        <v>2088</v>
      </c>
      <c r="G2110" s="2646" t="s">
        <v>2088</v>
      </c>
      <c r="H2110" s="2646" t="s">
        <v>2088</v>
      </c>
      <c r="I2110" s="2646" t="s">
        <v>2088</v>
      </c>
      <c r="J2110" s="2646">
        <v>12.1</v>
      </c>
      <c r="L2110" s="2646">
        <v>2697128</v>
      </c>
    </row>
    <row r="2111" spans="1:12">
      <c r="A2111" s="2647" t="s">
        <v>99</v>
      </c>
      <c r="B2111" s="2647" t="s">
        <v>4414</v>
      </c>
      <c r="C2111" s="2647">
        <v>160</v>
      </c>
      <c r="D2111" s="2647">
        <v>240</v>
      </c>
      <c r="E2111" s="2647">
        <v>115</v>
      </c>
      <c r="F2111" s="2647" t="s">
        <v>2088</v>
      </c>
      <c r="G2111" s="2647" t="s">
        <v>2088</v>
      </c>
      <c r="H2111" s="2647" t="s">
        <v>2088</v>
      </c>
      <c r="I2111" s="2647" t="s">
        <v>2088</v>
      </c>
      <c r="J2111" s="2647">
        <v>14.9</v>
      </c>
      <c r="K2111" s="2648"/>
      <c r="L2111" s="2647" t="s">
        <v>4415</v>
      </c>
    </row>
    <row r="2112" spans="1:12">
      <c r="A2112" s="2646" t="s">
        <v>99</v>
      </c>
      <c r="B2112" s="2646" t="s">
        <v>4416</v>
      </c>
      <c r="C2112" s="2646">
        <v>120</v>
      </c>
      <c r="D2112" s="2646">
        <v>200</v>
      </c>
      <c r="E2112" s="2646">
        <v>110</v>
      </c>
      <c r="F2112" s="2646" t="s">
        <v>2088</v>
      </c>
      <c r="G2112" s="2646" t="s">
        <v>2088</v>
      </c>
      <c r="H2112" s="2646" t="s">
        <v>2088</v>
      </c>
      <c r="I2112" s="2646" t="s">
        <v>2088</v>
      </c>
      <c r="J2112" s="2646">
        <v>12</v>
      </c>
      <c r="L2112" s="2646">
        <v>2697724</v>
      </c>
    </row>
    <row r="2113" spans="1:12">
      <c r="A2113" s="2647" t="s">
        <v>99</v>
      </c>
      <c r="B2113" s="2647" t="s">
        <v>4417</v>
      </c>
      <c r="C2113" s="2647">
        <v>80</v>
      </c>
      <c r="D2113" s="2647">
        <v>140</v>
      </c>
      <c r="E2113" s="2647">
        <v>80</v>
      </c>
      <c r="F2113" s="2647" t="s">
        <v>2088</v>
      </c>
      <c r="G2113" s="2647" t="s">
        <v>2088</v>
      </c>
      <c r="H2113" s="2647" t="s">
        <v>2088</v>
      </c>
      <c r="I2113" s="2647" t="s">
        <v>2088</v>
      </c>
      <c r="J2113" s="2647">
        <v>4.72</v>
      </c>
      <c r="K2113" s="2648"/>
      <c r="L2113" s="2647">
        <v>697516</v>
      </c>
    </row>
    <row r="2114" spans="1:12">
      <c r="A2114" s="2646" t="s">
        <v>99</v>
      </c>
      <c r="B2114" s="2646" t="s">
        <v>4418</v>
      </c>
      <c r="C2114" s="2646">
        <v>80</v>
      </c>
      <c r="D2114" s="2646">
        <v>140</v>
      </c>
      <c r="E2114" s="2646">
        <v>80</v>
      </c>
      <c r="F2114" s="2646" t="s">
        <v>2088</v>
      </c>
      <c r="G2114" s="2646" t="s">
        <v>2088</v>
      </c>
      <c r="H2114" s="2646" t="s">
        <v>2088</v>
      </c>
      <c r="I2114" s="2646" t="s">
        <v>2088</v>
      </c>
      <c r="J2114" s="2646">
        <v>4.9000000000000004</v>
      </c>
      <c r="L2114" s="2646" t="s">
        <v>4419</v>
      </c>
    </row>
    <row r="2115" spans="1:12">
      <c r="A2115" s="2647" t="s">
        <v>99</v>
      </c>
      <c r="B2115" s="2647" t="s">
        <v>4420</v>
      </c>
      <c r="C2115" s="2647">
        <v>95</v>
      </c>
      <c r="D2115" s="2647">
        <v>145</v>
      </c>
      <c r="E2115" s="2647">
        <v>76</v>
      </c>
      <c r="F2115" s="2647" t="s">
        <v>2088</v>
      </c>
      <c r="G2115" s="2647" t="s">
        <v>2088</v>
      </c>
      <c r="H2115" s="2647" t="s">
        <v>2088</v>
      </c>
      <c r="I2115" s="2647" t="s">
        <v>2088</v>
      </c>
      <c r="J2115" s="2647">
        <v>4.5599999999999996</v>
      </c>
      <c r="K2115" s="2648"/>
      <c r="L2115" s="2647" t="s">
        <v>4421</v>
      </c>
    </row>
    <row r="2116" spans="1:12">
      <c r="A2116" s="2646" t="s">
        <v>99</v>
      </c>
      <c r="B2116" s="2646" t="s">
        <v>4422</v>
      </c>
      <c r="C2116" s="2646" t="s">
        <v>2088</v>
      </c>
      <c r="D2116" s="2646" t="s">
        <v>2088</v>
      </c>
      <c r="E2116" s="2646" t="s">
        <v>2088</v>
      </c>
      <c r="F2116" s="2646" t="s">
        <v>2088</v>
      </c>
      <c r="G2116" s="2646" t="s">
        <v>2088</v>
      </c>
      <c r="H2116" s="2646" t="s">
        <v>2088</v>
      </c>
      <c r="I2116" s="2646" t="s">
        <v>2088</v>
      </c>
      <c r="J2116" s="2646">
        <v>0.14299999999999999</v>
      </c>
      <c r="L2116" s="2646" t="s">
        <v>2088</v>
      </c>
    </row>
    <row r="2117" spans="1:12">
      <c r="A2117" s="2647" t="s">
        <v>99</v>
      </c>
      <c r="B2117" s="2647" t="s">
        <v>4423</v>
      </c>
      <c r="C2117" s="2647">
        <v>35</v>
      </c>
      <c r="D2117" s="2647">
        <v>80</v>
      </c>
      <c r="E2117" s="2647">
        <v>24.175000000000001</v>
      </c>
      <c r="F2117" s="2647" t="s">
        <v>2088</v>
      </c>
      <c r="G2117" s="2647" t="s">
        <v>2088</v>
      </c>
      <c r="H2117" s="2647" t="s">
        <v>2088</v>
      </c>
      <c r="I2117" s="2647" t="s">
        <v>2088</v>
      </c>
      <c r="J2117" s="2647" t="s">
        <v>2088</v>
      </c>
      <c r="K2117" s="2648"/>
      <c r="L2117" s="2647" t="s">
        <v>2088</v>
      </c>
    </row>
    <row r="2118" spans="1:12">
      <c r="A2118" s="2646" t="s">
        <v>99</v>
      </c>
      <c r="B2118" s="2646" t="s">
        <v>4424</v>
      </c>
      <c r="C2118" s="2646">
        <v>61.911999999999999</v>
      </c>
      <c r="D2118" s="2646">
        <v>110</v>
      </c>
      <c r="E2118" s="2646">
        <v>22</v>
      </c>
      <c r="F2118" s="2646" t="s">
        <v>2088</v>
      </c>
      <c r="G2118" s="2646" t="s">
        <v>2088</v>
      </c>
      <c r="H2118" s="2646" t="s">
        <v>2088</v>
      </c>
      <c r="I2118" s="2646" t="s">
        <v>2088</v>
      </c>
      <c r="J2118" s="2646" t="s">
        <v>2088</v>
      </c>
      <c r="L2118" s="2646" t="s">
        <v>2088</v>
      </c>
    </row>
    <row r="2119" spans="1:12">
      <c r="A2119" s="2647" t="s">
        <v>99</v>
      </c>
      <c r="B2119" s="2647" t="s">
        <v>4425</v>
      </c>
      <c r="C2119" s="2647">
        <v>44.45</v>
      </c>
      <c r="D2119" s="2647">
        <v>95.25</v>
      </c>
      <c r="E2119" s="2647">
        <v>27.783000000000001</v>
      </c>
      <c r="F2119" s="2647" t="s">
        <v>2088</v>
      </c>
      <c r="G2119" s="2647" t="s">
        <v>2088</v>
      </c>
      <c r="H2119" s="2647" t="s">
        <v>2088</v>
      </c>
      <c r="I2119" s="2647" t="s">
        <v>2088</v>
      </c>
      <c r="J2119" s="2647">
        <v>0.996</v>
      </c>
      <c r="K2119" s="2648"/>
      <c r="L2119" s="2647" t="s">
        <v>2088</v>
      </c>
    </row>
    <row r="2120" spans="1:12">
      <c r="A2120" s="2646" t="s">
        <v>99</v>
      </c>
      <c r="B2120" s="2646" t="s">
        <v>4426</v>
      </c>
      <c r="C2120" s="2646">
        <v>38.1</v>
      </c>
      <c r="D2120" s="2646">
        <v>95.25</v>
      </c>
      <c r="E2120" s="2646">
        <v>27.783000000000001</v>
      </c>
      <c r="F2120" s="2646" t="s">
        <v>2088</v>
      </c>
      <c r="G2120" s="2646" t="s">
        <v>2088</v>
      </c>
      <c r="H2120" s="2646" t="s">
        <v>2088</v>
      </c>
      <c r="I2120" s="2646" t="s">
        <v>2088</v>
      </c>
      <c r="J2120" s="2646" t="s">
        <v>2088</v>
      </c>
      <c r="L2120" s="2646" t="s">
        <v>2088</v>
      </c>
    </row>
    <row r="2121" spans="1:12">
      <c r="A2121" s="2647" t="s">
        <v>99</v>
      </c>
      <c r="B2121" s="2647" t="s">
        <v>4427</v>
      </c>
      <c r="C2121" s="2647">
        <v>84.138000000000005</v>
      </c>
      <c r="D2121" s="2647">
        <v>136.52500000000001</v>
      </c>
      <c r="E2121" s="2647">
        <v>30.163</v>
      </c>
      <c r="F2121" s="2647" t="s">
        <v>2088</v>
      </c>
      <c r="G2121" s="2647" t="s">
        <v>2088</v>
      </c>
      <c r="H2121" s="2647" t="s">
        <v>2088</v>
      </c>
      <c r="I2121" s="2647" t="s">
        <v>2088</v>
      </c>
      <c r="J2121" s="2647">
        <v>1.6719999999999999</v>
      </c>
      <c r="K2121" s="2648"/>
      <c r="L2121" s="2647" t="s">
        <v>2088</v>
      </c>
    </row>
    <row r="2122" spans="1:12">
      <c r="A2122" s="2646" t="s">
        <v>99</v>
      </c>
      <c r="B2122" s="2646" t="s">
        <v>4428</v>
      </c>
      <c r="C2122" s="2646">
        <v>44.45</v>
      </c>
      <c r="D2122" s="2646">
        <v>101.6</v>
      </c>
      <c r="E2122" s="2646">
        <v>34.924999999999997</v>
      </c>
      <c r="F2122" s="2646" t="s">
        <v>2088</v>
      </c>
      <c r="G2122" s="2646" t="s">
        <v>2088</v>
      </c>
      <c r="H2122" s="2646" t="s">
        <v>2088</v>
      </c>
      <c r="I2122" s="2646" t="s">
        <v>2088</v>
      </c>
      <c r="J2122" s="2646">
        <v>1.37</v>
      </c>
      <c r="L2122" s="2646" t="s">
        <v>2088</v>
      </c>
    </row>
    <row r="2123" spans="1:12">
      <c r="A2123" s="2647" t="s">
        <v>99</v>
      </c>
      <c r="B2123" s="2647" t="s">
        <v>4429</v>
      </c>
      <c r="C2123" s="2647">
        <v>50</v>
      </c>
      <c r="D2123" s="2647">
        <v>100</v>
      </c>
      <c r="E2123" s="2647">
        <v>34.924999999999997</v>
      </c>
      <c r="F2123" s="2647" t="s">
        <v>2088</v>
      </c>
      <c r="G2123" s="2647" t="s">
        <v>2088</v>
      </c>
      <c r="H2123" s="2647" t="s">
        <v>2088</v>
      </c>
      <c r="I2123" s="2647" t="s">
        <v>2088</v>
      </c>
      <c r="J2123" s="2647">
        <v>1.2</v>
      </c>
      <c r="K2123" s="2648"/>
      <c r="L2123" s="2647" t="s">
        <v>2088</v>
      </c>
    </row>
    <row r="2124" spans="1:12">
      <c r="A2124" s="2646" t="s">
        <v>99</v>
      </c>
      <c r="B2124" s="2646" t="s">
        <v>4430</v>
      </c>
      <c r="C2124" s="2646">
        <v>44.55</v>
      </c>
      <c r="D2124" s="2646">
        <v>111.125</v>
      </c>
      <c r="E2124" s="2646">
        <v>38.1</v>
      </c>
      <c r="F2124" s="2646" t="s">
        <v>2088</v>
      </c>
      <c r="G2124" s="2646" t="s">
        <v>2088</v>
      </c>
      <c r="H2124" s="2646" t="s">
        <v>2088</v>
      </c>
      <c r="I2124" s="2646" t="s">
        <v>2088</v>
      </c>
      <c r="J2124" s="2646">
        <v>1.79</v>
      </c>
      <c r="L2124" s="2646" t="s">
        <v>2088</v>
      </c>
    </row>
    <row r="2125" spans="1:12">
      <c r="A2125" s="2647" t="s">
        <v>99</v>
      </c>
      <c r="B2125" s="2647" t="s">
        <v>4431</v>
      </c>
      <c r="C2125" s="2647">
        <v>47.625</v>
      </c>
      <c r="D2125" s="2647">
        <v>107.95</v>
      </c>
      <c r="E2125" s="2647">
        <v>36.512</v>
      </c>
      <c r="F2125" s="2647" t="s">
        <v>2088</v>
      </c>
      <c r="G2125" s="2647" t="s">
        <v>2088</v>
      </c>
      <c r="H2125" s="2647" t="s">
        <v>2088</v>
      </c>
      <c r="I2125" s="2647" t="s">
        <v>2088</v>
      </c>
      <c r="J2125" s="2647" t="s">
        <v>2088</v>
      </c>
      <c r="K2125" s="2648"/>
      <c r="L2125" s="2647" t="s">
        <v>2088</v>
      </c>
    </row>
    <row r="2126" spans="1:12">
      <c r="A2126" s="2646" t="s">
        <v>99</v>
      </c>
      <c r="B2126" s="2646" t="s">
        <v>4432</v>
      </c>
      <c r="C2126" s="2646">
        <v>50.8</v>
      </c>
      <c r="D2126" s="2646">
        <v>107.95</v>
      </c>
      <c r="E2126" s="2646">
        <v>36.512</v>
      </c>
      <c r="F2126" s="2646" t="s">
        <v>2088</v>
      </c>
      <c r="G2126" s="2646" t="s">
        <v>2088</v>
      </c>
      <c r="H2126" s="2646" t="s">
        <v>2088</v>
      </c>
      <c r="I2126" s="2646" t="s">
        <v>2088</v>
      </c>
      <c r="J2126" s="2646" t="s">
        <v>2088</v>
      </c>
      <c r="L2126" s="2646" t="s">
        <v>2088</v>
      </c>
    </row>
    <row r="2127" spans="1:12">
      <c r="A2127" s="2647" t="s">
        <v>99</v>
      </c>
      <c r="B2127" s="2647" t="s">
        <v>4433</v>
      </c>
      <c r="C2127" s="2647">
        <v>55</v>
      </c>
      <c r="D2127" s="2647">
        <v>111.125</v>
      </c>
      <c r="E2127" s="2647">
        <v>38.1</v>
      </c>
      <c r="F2127" s="2647" t="s">
        <v>2088</v>
      </c>
      <c r="G2127" s="2647" t="s">
        <v>2088</v>
      </c>
      <c r="H2127" s="2647" t="s">
        <v>2088</v>
      </c>
      <c r="I2127" s="2647" t="s">
        <v>2088</v>
      </c>
      <c r="J2127" s="2647" t="s">
        <v>2088</v>
      </c>
      <c r="K2127" s="2648"/>
      <c r="L2127" s="2647" t="s">
        <v>2088</v>
      </c>
    </row>
    <row r="2128" spans="1:12">
      <c r="A2128" s="2646" t="s">
        <v>99</v>
      </c>
      <c r="B2128" s="2646" t="s">
        <v>4434</v>
      </c>
      <c r="C2128" s="2646">
        <v>53.975000000000001</v>
      </c>
      <c r="D2128" s="2646">
        <v>111.125</v>
      </c>
      <c r="E2128" s="2646">
        <v>38.1</v>
      </c>
      <c r="F2128" s="2646" t="s">
        <v>2088</v>
      </c>
      <c r="G2128" s="2646" t="s">
        <v>2088</v>
      </c>
      <c r="H2128" s="2646" t="s">
        <v>2088</v>
      </c>
      <c r="I2128" s="2646" t="s">
        <v>2088</v>
      </c>
      <c r="J2128" s="2646">
        <v>1.66</v>
      </c>
      <c r="L2128" s="2646" t="s">
        <v>2088</v>
      </c>
    </row>
    <row r="2129" spans="1:12">
      <c r="A2129" s="2647" t="s">
        <v>99</v>
      </c>
      <c r="B2129" s="2647" t="s">
        <v>4435</v>
      </c>
      <c r="C2129" s="2647">
        <v>53.975000000000001</v>
      </c>
      <c r="D2129" s="2647">
        <v>107.95</v>
      </c>
      <c r="E2129" s="2647">
        <v>36.512</v>
      </c>
      <c r="F2129" s="2647" t="s">
        <v>2088</v>
      </c>
      <c r="G2129" s="2647" t="s">
        <v>2088</v>
      </c>
      <c r="H2129" s="2647" t="s">
        <v>2088</v>
      </c>
      <c r="I2129" s="2647" t="s">
        <v>2088</v>
      </c>
      <c r="J2129" s="2647">
        <v>1.4379999999999999</v>
      </c>
      <c r="K2129" s="2648"/>
      <c r="L2129" s="2647" t="s">
        <v>2088</v>
      </c>
    </row>
    <row r="2130" spans="1:12">
      <c r="A2130" s="2646" t="s">
        <v>99</v>
      </c>
      <c r="B2130" s="2646" t="s">
        <v>4436</v>
      </c>
      <c r="C2130" s="2646">
        <v>53.975000000000001</v>
      </c>
      <c r="D2130" s="2646">
        <v>111.125</v>
      </c>
      <c r="E2130" s="2646">
        <v>38.1</v>
      </c>
      <c r="F2130" s="2646" t="s">
        <v>2088</v>
      </c>
      <c r="G2130" s="2646" t="s">
        <v>2088</v>
      </c>
      <c r="H2130" s="2646" t="s">
        <v>2088</v>
      </c>
      <c r="I2130" s="2646" t="s">
        <v>2088</v>
      </c>
      <c r="J2130" s="2646">
        <v>1.58</v>
      </c>
      <c r="L2130" s="2646" t="s">
        <v>2088</v>
      </c>
    </row>
    <row r="2131" spans="1:12">
      <c r="A2131" s="2647" t="s">
        <v>99</v>
      </c>
      <c r="B2131" s="2647" t="s">
        <v>4437</v>
      </c>
      <c r="C2131" s="2647">
        <v>53.975000000000001</v>
      </c>
      <c r="D2131" s="2647">
        <v>107.95</v>
      </c>
      <c r="E2131" s="2647">
        <v>36.512</v>
      </c>
      <c r="F2131" s="2647" t="s">
        <v>2088</v>
      </c>
      <c r="G2131" s="2647" t="s">
        <v>2088</v>
      </c>
      <c r="H2131" s="2647" t="s">
        <v>2088</v>
      </c>
      <c r="I2131" s="2647" t="s">
        <v>2088</v>
      </c>
      <c r="J2131" s="2647">
        <v>1.427</v>
      </c>
      <c r="K2131" s="2648"/>
      <c r="L2131" s="2647" t="s">
        <v>2088</v>
      </c>
    </row>
    <row r="2132" spans="1:12">
      <c r="A2132" s="2646" t="s">
        <v>99</v>
      </c>
      <c r="B2132" s="2646" t="s">
        <v>4438</v>
      </c>
      <c r="C2132" s="2646">
        <v>69.849999999999994</v>
      </c>
      <c r="D2132" s="2646">
        <v>127</v>
      </c>
      <c r="E2132" s="2646">
        <v>36.512</v>
      </c>
      <c r="F2132" s="2646" t="s">
        <v>2088</v>
      </c>
      <c r="G2132" s="2646" t="s">
        <v>2088</v>
      </c>
      <c r="H2132" s="2646" t="s">
        <v>2088</v>
      </c>
      <c r="I2132" s="2646" t="s">
        <v>2088</v>
      </c>
      <c r="J2132" s="2646">
        <v>1.9059999999999999</v>
      </c>
      <c r="L2132" s="2646" t="s">
        <v>2088</v>
      </c>
    </row>
    <row r="2133" spans="1:12">
      <c r="A2133" s="2647" t="s">
        <v>99</v>
      </c>
      <c r="B2133" s="2647" t="s">
        <v>4439</v>
      </c>
      <c r="C2133" s="2647">
        <v>69.849999999999994</v>
      </c>
      <c r="D2133" s="2647">
        <v>127</v>
      </c>
      <c r="E2133" s="2647">
        <v>36.512</v>
      </c>
      <c r="F2133" s="2647" t="s">
        <v>2088</v>
      </c>
      <c r="G2133" s="2647" t="s">
        <v>2088</v>
      </c>
      <c r="H2133" s="2647" t="s">
        <v>2088</v>
      </c>
      <c r="I2133" s="2647" t="s">
        <v>2088</v>
      </c>
      <c r="J2133" s="2647">
        <v>1.9059999999999999</v>
      </c>
      <c r="K2133" s="2648"/>
      <c r="L2133" s="2647" t="s">
        <v>2088</v>
      </c>
    </row>
    <row r="2134" spans="1:12">
      <c r="A2134" s="2646" t="s">
        <v>99</v>
      </c>
      <c r="B2134" s="2646" t="s">
        <v>4440</v>
      </c>
      <c r="C2134" s="2646">
        <v>70</v>
      </c>
      <c r="D2134" s="2646">
        <v>130</v>
      </c>
      <c r="E2134" s="2646">
        <v>36.936999999999998</v>
      </c>
      <c r="F2134" s="2646" t="s">
        <v>2088</v>
      </c>
      <c r="G2134" s="2646" t="s">
        <v>2088</v>
      </c>
      <c r="H2134" s="2646" t="s">
        <v>2088</v>
      </c>
      <c r="I2134" s="2646" t="s">
        <v>2088</v>
      </c>
      <c r="J2134" s="2646">
        <v>2.0529999999999999</v>
      </c>
      <c r="L2134" s="2646" t="s">
        <v>2088</v>
      </c>
    </row>
    <row r="2135" spans="1:12">
      <c r="A2135" s="2647" t="s">
        <v>99</v>
      </c>
      <c r="B2135" s="2647" t="s">
        <v>4441</v>
      </c>
      <c r="C2135" s="2647">
        <v>71.438000000000002</v>
      </c>
      <c r="D2135" s="2647">
        <v>130.048</v>
      </c>
      <c r="E2135" s="2647">
        <v>36.512</v>
      </c>
      <c r="F2135" s="2647" t="s">
        <v>2088</v>
      </c>
      <c r="G2135" s="2647" t="s">
        <v>2088</v>
      </c>
      <c r="H2135" s="2647" t="s">
        <v>2088</v>
      </c>
      <c r="I2135" s="2647" t="s">
        <v>2088</v>
      </c>
      <c r="J2135" s="2647" t="s">
        <v>2088</v>
      </c>
      <c r="K2135" s="2648"/>
      <c r="L2135" s="2647" t="s">
        <v>2088</v>
      </c>
    </row>
    <row r="2136" spans="1:12">
      <c r="A2136" s="2646" t="s">
        <v>99</v>
      </c>
      <c r="B2136" s="2646" t="s">
        <v>4442</v>
      </c>
      <c r="C2136" s="2646">
        <v>73.025000000000006</v>
      </c>
      <c r="D2136" s="2646">
        <v>130.048</v>
      </c>
      <c r="E2136" s="2646">
        <v>36.512</v>
      </c>
      <c r="F2136" s="2646" t="s">
        <v>2088</v>
      </c>
      <c r="G2136" s="2646" t="s">
        <v>2088</v>
      </c>
      <c r="H2136" s="2646" t="s">
        <v>2088</v>
      </c>
      <c r="I2136" s="2646" t="s">
        <v>2088</v>
      </c>
      <c r="J2136" s="2646" t="s">
        <v>2088</v>
      </c>
      <c r="L2136" s="2646" t="s">
        <v>2088</v>
      </c>
    </row>
    <row r="2137" spans="1:12">
      <c r="A2137" s="2647" t="s">
        <v>99</v>
      </c>
      <c r="B2137" s="2647" t="s">
        <v>4443</v>
      </c>
      <c r="C2137" s="2647">
        <v>71.438000000000002</v>
      </c>
      <c r="D2137" s="2647">
        <v>127</v>
      </c>
      <c r="E2137" s="2647">
        <v>36.512</v>
      </c>
      <c r="F2137" s="2647" t="s">
        <v>2088</v>
      </c>
      <c r="G2137" s="2647" t="s">
        <v>2088</v>
      </c>
      <c r="H2137" s="2647" t="s">
        <v>2088</v>
      </c>
      <c r="I2137" s="2647" t="s">
        <v>2088</v>
      </c>
      <c r="J2137" s="2647">
        <v>1.871</v>
      </c>
      <c r="K2137" s="2648"/>
      <c r="L2137" s="2647" t="s">
        <v>2088</v>
      </c>
    </row>
    <row r="2138" spans="1:12">
      <c r="A2138" s="2646" t="s">
        <v>99</v>
      </c>
      <c r="B2138" s="2646" t="s">
        <v>4444</v>
      </c>
      <c r="C2138" s="2646">
        <v>64.962999999999994</v>
      </c>
      <c r="D2138" s="2646">
        <v>130</v>
      </c>
      <c r="E2138" s="2646">
        <v>36.936999999999998</v>
      </c>
      <c r="F2138" s="2646" t="s">
        <v>2088</v>
      </c>
      <c r="G2138" s="2646" t="s">
        <v>2088</v>
      </c>
      <c r="H2138" s="2646" t="s">
        <v>2088</v>
      </c>
      <c r="I2138" s="2646" t="s">
        <v>2088</v>
      </c>
      <c r="J2138" s="2646">
        <v>2.2029999999999998</v>
      </c>
      <c r="L2138" s="2646" t="s">
        <v>2088</v>
      </c>
    </row>
    <row r="2139" spans="1:12">
      <c r="A2139" s="2647" t="s">
        <v>99</v>
      </c>
      <c r="B2139" s="2647" t="s">
        <v>4445</v>
      </c>
      <c r="C2139" s="2647">
        <v>64.962999999999994</v>
      </c>
      <c r="D2139" s="2647">
        <v>130.048</v>
      </c>
      <c r="E2139" s="2647">
        <v>36.512</v>
      </c>
      <c r="F2139" s="2647" t="s">
        <v>2088</v>
      </c>
      <c r="G2139" s="2647" t="s">
        <v>2088</v>
      </c>
      <c r="H2139" s="2647" t="s">
        <v>2088</v>
      </c>
      <c r="I2139" s="2647" t="s">
        <v>2088</v>
      </c>
      <c r="J2139" s="2647" t="s">
        <v>2088</v>
      </c>
      <c r="K2139" s="2648"/>
      <c r="L2139" s="2647" t="s">
        <v>2088</v>
      </c>
    </row>
    <row r="2140" spans="1:12">
      <c r="A2140" s="2646" t="s">
        <v>99</v>
      </c>
      <c r="B2140" s="2646" t="s">
        <v>4446</v>
      </c>
      <c r="C2140" s="2646">
        <v>70</v>
      </c>
      <c r="D2140" s="2646">
        <v>130</v>
      </c>
      <c r="E2140" s="2646">
        <v>37</v>
      </c>
      <c r="F2140" s="2646" t="s">
        <v>2088</v>
      </c>
      <c r="G2140" s="2646" t="s">
        <v>2088</v>
      </c>
      <c r="H2140" s="2646" t="s">
        <v>2088</v>
      </c>
      <c r="I2140" s="2646" t="s">
        <v>2088</v>
      </c>
      <c r="J2140" s="2646">
        <v>2.0499999999999998</v>
      </c>
      <c r="L2140" s="2646" t="s">
        <v>2088</v>
      </c>
    </row>
    <row r="2141" spans="1:12">
      <c r="A2141" s="2647" t="s">
        <v>99</v>
      </c>
      <c r="B2141" s="2647" t="s">
        <v>4447</v>
      </c>
      <c r="C2141" s="2647">
        <v>68.262</v>
      </c>
      <c r="D2141" s="2647">
        <v>130.048</v>
      </c>
      <c r="E2141" s="2647">
        <v>36.512</v>
      </c>
      <c r="F2141" s="2647" t="s">
        <v>2088</v>
      </c>
      <c r="G2141" s="2647" t="s">
        <v>2088</v>
      </c>
      <c r="H2141" s="2647" t="s">
        <v>2088</v>
      </c>
      <c r="I2141" s="2647" t="s">
        <v>2088</v>
      </c>
      <c r="J2141" s="2647" t="s">
        <v>2088</v>
      </c>
      <c r="K2141" s="2648"/>
      <c r="L2141" s="2647" t="s">
        <v>2088</v>
      </c>
    </row>
    <row r="2142" spans="1:12">
      <c r="A2142" s="2646" t="s">
        <v>99</v>
      </c>
      <c r="B2142" s="2646" t="s">
        <v>4448</v>
      </c>
      <c r="C2142" s="2646">
        <v>76.2</v>
      </c>
      <c r="D2142" s="2646">
        <v>139.99199999999999</v>
      </c>
      <c r="E2142" s="2646">
        <v>36.512999999999998</v>
      </c>
      <c r="F2142" s="2646" t="s">
        <v>2088</v>
      </c>
      <c r="G2142" s="2646" t="s">
        <v>2088</v>
      </c>
      <c r="H2142" s="2646" t="s">
        <v>2088</v>
      </c>
      <c r="I2142" s="2646" t="s">
        <v>2088</v>
      </c>
      <c r="J2142" s="2646">
        <v>2.391</v>
      </c>
      <c r="L2142" s="2646" t="s">
        <v>2088</v>
      </c>
    </row>
    <row r="2143" spans="1:12">
      <c r="A2143" s="2647" t="s">
        <v>99</v>
      </c>
      <c r="B2143" s="2647" t="s">
        <v>4449</v>
      </c>
      <c r="C2143" s="2647">
        <v>82.55</v>
      </c>
      <c r="D2143" s="2647">
        <v>139.99199999999999</v>
      </c>
      <c r="E2143" s="2647">
        <v>36.512999999999998</v>
      </c>
      <c r="F2143" s="2647" t="s">
        <v>2088</v>
      </c>
      <c r="G2143" s="2647" t="s">
        <v>2088</v>
      </c>
      <c r="H2143" s="2647" t="s">
        <v>2088</v>
      </c>
      <c r="I2143" s="2647" t="s">
        <v>2088</v>
      </c>
      <c r="J2143" s="2647">
        <v>2.145</v>
      </c>
      <c r="K2143" s="2648"/>
      <c r="L2143" s="2647" t="s">
        <v>2088</v>
      </c>
    </row>
    <row r="2144" spans="1:12">
      <c r="A2144" s="2646" t="s">
        <v>99</v>
      </c>
      <c r="B2144" s="2646" t="s">
        <v>4450</v>
      </c>
      <c r="C2144" s="2646">
        <v>95.25</v>
      </c>
      <c r="D2144" s="2646">
        <v>150</v>
      </c>
      <c r="E2144" s="2646">
        <v>35.991999999999997</v>
      </c>
      <c r="F2144" s="2646" t="s">
        <v>2088</v>
      </c>
      <c r="G2144" s="2646" t="s">
        <v>2088</v>
      </c>
      <c r="H2144" s="2646" t="s">
        <v>2088</v>
      </c>
      <c r="I2144" s="2646" t="s">
        <v>2088</v>
      </c>
      <c r="J2144" s="2646">
        <v>2.206</v>
      </c>
      <c r="L2144" s="2646" t="s">
        <v>2088</v>
      </c>
    </row>
    <row r="2145" spans="1:12">
      <c r="A2145" s="2647" t="s">
        <v>99</v>
      </c>
      <c r="B2145" s="2647" t="s">
        <v>4451</v>
      </c>
      <c r="C2145" s="2647">
        <v>93.662000000000006</v>
      </c>
      <c r="D2145" s="2647">
        <v>150</v>
      </c>
      <c r="E2145" s="2647">
        <v>35.991999999999997</v>
      </c>
      <c r="F2145" s="2647" t="s">
        <v>2088</v>
      </c>
      <c r="G2145" s="2647" t="s">
        <v>2088</v>
      </c>
      <c r="H2145" s="2647" t="s">
        <v>2088</v>
      </c>
      <c r="I2145" s="2647" t="s">
        <v>2088</v>
      </c>
      <c r="J2145" s="2647">
        <v>2.35</v>
      </c>
      <c r="K2145" s="2648"/>
      <c r="L2145" s="2647" t="s">
        <v>2088</v>
      </c>
    </row>
    <row r="2146" spans="1:12">
      <c r="A2146" s="2646" t="s">
        <v>99</v>
      </c>
      <c r="B2146" s="2646" t="s">
        <v>4452</v>
      </c>
      <c r="C2146" s="2646">
        <v>93.662000000000006</v>
      </c>
      <c r="D2146" s="2646">
        <v>152.4</v>
      </c>
      <c r="E2146" s="2646">
        <v>39.688000000000002</v>
      </c>
      <c r="F2146" s="2646" t="s">
        <v>2088</v>
      </c>
      <c r="G2146" s="2646" t="s">
        <v>2088</v>
      </c>
      <c r="H2146" s="2646" t="s">
        <v>2088</v>
      </c>
      <c r="I2146" s="2646" t="s">
        <v>2088</v>
      </c>
      <c r="J2146" s="2646" t="s">
        <v>2088</v>
      </c>
      <c r="L2146" s="2646" t="s">
        <v>2088</v>
      </c>
    </row>
    <row r="2147" spans="1:12">
      <c r="A2147" s="2647" t="s">
        <v>99</v>
      </c>
      <c r="B2147" s="2647" t="s">
        <v>4453</v>
      </c>
      <c r="C2147" s="2647">
        <v>44.45</v>
      </c>
      <c r="D2147" s="2647">
        <v>65</v>
      </c>
      <c r="E2147" s="2647">
        <v>41.274999999999999</v>
      </c>
      <c r="F2147" s="2647" t="s">
        <v>2088</v>
      </c>
      <c r="G2147" s="2647" t="s">
        <v>2088</v>
      </c>
      <c r="H2147" s="2647" t="s">
        <v>2088</v>
      </c>
      <c r="I2147" s="2647" t="s">
        <v>2088</v>
      </c>
      <c r="J2147" s="2647">
        <v>2.46</v>
      </c>
      <c r="K2147" s="2648"/>
      <c r="L2147" s="2647" t="s">
        <v>2088</v>
      </c>
    </row>
    <row r="2148" spans="1:12">
      <c r="A2148" s="2646" t="s">
        <v>99</v>
      </c>
      <c r="B2148" s="2646" t="s">
        <v>4454</v>
      </c>
      <c r="C2148" s="2646">
        <v>55.000999999999998</v>
      </c>
      <c r="D2148" s="2646">
        <v>120</v>
      </c>
      <c r="E2148" s="2646">
        <v>40.023000000000003</v>
      </c>
      <c r="F2148" s="2646" t="s">
        <v>2088</v>
      </c>
      <c r="G2148" s="2646" t="s">
        <v>2088</v>
      </c>
      <c r="H2148" s="2646" t="s">
        <v>2088</v>
      </c>
      <c r="I2148" s="2646" t="s">
        <v>2088</v>
      </c>
      <c r="J2148" s="2646">
        <v>2.1</v>
      </c>
      <c r="L2148" s="2646" t="s">
        <v>2088</v>
      </c>
    </row>
    <row r="2149" spans="1:12">
      <c r="A2149" s="2647" t="s">
        <v>99</v>
      </c>
      <c r="B2149" s="2647" t="s">
        <v>4455</v>
      </c>
      <c r="C2149" s="2647">
        <v>55.000999999999998</v>
      </c>
      <c r="D2149" s="2647">
        <v>115</v>
      </c>
      <c r="E2149" s="2647">
        <v>41.021000000000001</v>
      </c>
      <c r="F2149" s="2647" t="s">
        <v>2088</v>
      </c>
      <c r="G2149" s="2647" t="s">
        <v>2088</v>
      </c>
      <c r="H2149" s="2647" t="s">
        <v>2088</v>
      </c>
      <c r="I2149" s="2647" t="s">
        <v>2088</v>
      </c>
      <c r="J2149" s="2647" t="s">
        <v>2088</v>
      </c>
      <c r="K2149" s="2648"/>
      <c r="L2149" s="2647" t="s">
        <v>2088</v>
      </c>
    </row>
    <row r="2150" spans="1:12">
      <c r="A2150" s="2646" t="s">
        <v>99</v>
      </c>
      <c r="B2150" s="2646" t="s">
        <v>4456</v>
      </c>
      <c r="C2150" s="2646">
        <v>63.5</v>
      </c>
      <c r="D2150" s="2646">
        <v>136.52500000000001</v>
      </c>
      <c r="E2150" s="2646">
        <v>41.274999999999999</v>
      </c>
      <c r="F2150" s="2646" t="s">
        <v>2088</v>
      </c>
      <c r="G2150" s="2646" t="s">
        <v>2088</v>
      </c>
      <c r="H2150" s="2646" t="s">
        <v>2088</v>
      </c>
      <c r="I2150" s="2646" t="s">
        <v>2088</v>
      </c>
      <c r="J2150" s="2646" t="s">
        <v>2088</v>
      </c>
      <c r="L2150" s="2646" t="s">
        <v>2088</v>
      </c>
    </row>
    <row r="2151" spans="1:12">
      <c r="A2151" s="2647" t="s">
        <v>99</v>
      </c>
      <c r="B2151" s="2647" t="s">
        <v>4457</v>
      </c>
      <c r="C2151" s="2647">
        <v>71.438000000000002</v>
      </c>
      <c r="D2151" s="2647">
        <v>136.52500000000001</v>
      </c>
      <c r="E2151" s="2647">
        <v>41.274999999999999</v>
      </c>
      <c r="F2151" s="2647" t="s">
        <v>2088</v>
      </c>
      <c r="G2151" s="2647" t="s">
        <v>2088</v>
      </c>
      <c r="H2151" s="2647" t="s">
        <v>2088</v>
      </c>
      <c r="I2151" s="2647" t="s">
        <v>2088</v>
      </c>
      <c r="J2151" s="2647">
        <v>4.79</v>
      </c>
      <c r="K2151" s="2648"/>
      <c r="L2151" s="2647" t="s">
        <v>2088</v>
      </c>
    </row>
    <row r="2152" spans="1:12">
      <c r="A2152" s="2646" t="s">
        <v>99</v>
      </c>
      <c r="B2152" s="2646" t="s">
        <v>4458</v>
      </c>
      <c r="C2152" s="2646">
        <v>71.438000000000002</v>
      </c>
      <c r="D2152" s="2646">
        <v>136.52500000000001</v>
      </c>
      <c r="E2152" s="2646">
        <v>41.274999999999999</v>
      </c>
      <c r="F2152" s="2646" t="s">
        <v>2088</v>
      </c>
      <c r="G2152" s="2646" t="s">
        <v>2088</v>
      </c>
      <c r="H2152" s="2646" t="s">
        <v>2088</v>
      </c>
      <c r="I2152" s="2646" t="s">
        <v>2088</v>
      </c>
      <c r="J2152" s="2646">
        <v>2.44</v>
      </c>
      <c r="L2152" s="2646" t="s">
        <v>2088</v>
      </c>
    </row>
    <row r="2153" spans="1:12">
      <c r="A2153" s="2647" t="s">
        <v>99</v>
      </c>
      <c r="B2153" s="2647" t="s">
        <v>4459</v>
      </c>
      <c r="C2153" s="2647">
        <v>88.9</v>
      </c>
      <c r="D2153" s="2647">
        <v>161.92500000000001</v>
      </c>
      <c r="E2153" s="2647">
        <v>47.625</v>
      </c>
      <c r="F2153" s="2647" t="s">
        <v>2088</v>
      </c>
      <c r="G2153" s="2647" t="s">
        <v>2088</v>
      </c>
      <c r="H2153" s="2647" t="s">
        <v>2088</v>
      </c>
      <c r="I2153" s="2647" t="s">
        <v>2088</v>
      </c>
      <c r="J2153" s="2647" t="s">
        <v>2088</v>
      </c>
      <c r="K2153" s="2648"/>
      <c r="L2153" s="2647" t="s">
        <v>2088</v>
      </c>
    </row>
    <row r="2154" spans="1:12">
      <c r="A2154" s="2646" t="s">
        <v>99</v>
      </c>
      <c r="B2154" s="2646" t="s">
        <v>4460</v>
      </c>
      <c r="C2154" s="2646">
        <v>22.225000000000001</v>
      </c>
      <c r="D2154" s="2646">
        <v>56.896000000000001</v>
      </c>
      <c r="E2154" s="2646">
        <v>19.367999999999999</v>
      </c>
      <c r="F2154" s="2646" t="s">
        <v>2088</v>
      </c>
      <c r="G2154" s="2646" t="s">
        <v>2088</v>
      </c>
      <c r="H2154" s="2646" t="s">
        <v>2088</v>
      </c>
      <c r="I2154" s="2646" t="s">
        <v>2088</v>
      </c>
      <c r="J2154" s="2646">
        <v>0.247</v>
      </c>
      <c r="L2154" s="2646" t="s">
        <v>2088</v>
      </c>
    </row>
    <row r="2155" spans="1:12">
      <c r="A2155" s="2647" t="s">
        <v>99</v>
      </c>
      <c r="B2155" s="2647" t="s">
        <v>4461</v>
      </c>
      <c r="C2155" s="2647">
        <v>23.812999999999999</v>
      </c>
      <c r="D2155" s="2647">
        <v>56.896000000000001</v>
      </c>
      <c r="E2155" s="2647">
        <v>19.367999999999999</v>
      </c>
      <c r="F2155" s="2647" t="s">
        <v>2088</v>
      </c>
      <c r="G2155" s="2647" t="s">
        <v>2088</v>
      </c>
      <c r="H2155" s="2647" t="s">
        <v>2088</v>
      </c>
      <c r="I2155" s="2647" t="s">
        <v>2088</v>
      </c>
      <c r="J2155" s="2647">
        <v>0.23499999999999999</v>
      </c>
      <c r="K2155" s="2648"/>
      <c r="L2155" s="2647" t="s">
        <v>2088</v>
      </c>
    </row>
    <row r="2156" spans="1:12">
      <c r="A2156" s="2646" t="s">
        <v>99</v>
      </c>
      <c r="B2156" s="2646" t="s">
        <v>4462</v>
      </c>
      <c r="C2156" s="2646">
        <v>23.812999999999999</v>
      </c>
      <c r="D2156" s="2646">
        <v>56.896000000000001</v>
      </c>
      <c r="E2156" s="2646">
        <v>19.367999999999999</v>
      </c>
      <c r="F2156" s="2646" t="s">
        <v>2088</v>
      </c>
      <c r="G2156" s="2646" t="s">
        <v>2088</v>
      </c>
      <c r="H2156" s="2646" t="s">
        <v>2088</v>
      </c>
      <c r="I2156" s="2646" t="s">
        <v>2088</v>
      </c>
      <c r="J2156" s="2646" t="s">
        <v>2088</v>
      </c>
      <c r="L2156" s="2646" t="s">
        <v>2088</v>
      </c>
    </row>
    <row r="2157" spans="1:12">
      <c r="A2157" s="2647" t="s">
        <v>99</v>
      </c>
      <c r="B2157" s="2647" t="s">
        <v>4463</v>
      </c>
      <c r="C2157" s="2647">
        <v>25.4</v>
      </c>
      <c r="D2157" s="2647">
        <v>58.738</v>
      </c>
      <c r="E2157" s="2647">
        <v>19.05</v>
      </c>
      <c r="F2157" s="2647" t="s">
        <v>2088</v>
      </c>
      <c r="G2157" s="2647" t="s">
        <v>2088</v>
      </c>
      <c r="H2157" s="2647" t="s">
        <v>2088</v>
      </c>
      <c r="I2157" s="2647" t="s">
        <v>2088</v>
      </c>
      <c r="J2157" s="2647" t="s">
        <v>2088</v>
      </c>
      <c r="K2157" s="2648"/>
      <c r="L2157" s="2647" t="s">
        <v>2088</v>
      </c>
    </row>
    <row r="2158" spans="1:12">
      <c r="A2158" s="2646" t="s">
        <v>99</v>
      </c>
      <c r="B2158" s="2646" t="s">
        <v>4464</v>
      </c>
      <c r="C2158" s="2646">
        <v>28.574999999999999</v>
      </c>
      <c r="D2158" s="2646">
        <v>57.15</v>
      </c>
      <c r="E2158" s="2646">
        <v>19.844999999999999</v>
      </c>
      <c r="F2158" s="2646" t="s">
        <v>2088</v>
      </c>
      <c r="G2158" s="2646" t="s">
        <v>2088</v>
      </c>
      <c r="H2158" s="2646" t="s">
        <v>2088</v>
      </c>
      <c r="I2158" s="2646" t="s">
        <v>2088</v>
      </c>
      <c r="J2158" s="2646">
        <v>0.214</v>
      </c>
      <c r="L2158" s="2646" t="s">
        <v>2088</v>
      </c>
    </row>
    <row r="2159" spans="1:12">
      <c r="A2159" s="2647" t="s">
        <v>99</v>
      </c>
      <c r="B2159" s="2647" t="s">
        <v>4465</v>
      </c>
      <c r="C2159" s="2647">
        <v>38.1</v>
      </c>
      <c r="D2159" s="2647">
        <v>76.2</v>
      </c>
      <c r="E2159" s="2647">
        <v>23.812000000000001</v>
      </c>
      <c r="F2159" s="2647" t="s">
        <v>2088</v>
      </c>
      <c r="G2159" s="2647" t="s">
        <v>2088</v>
      </c>
      <c r="H2159" s="2647" t="s">
        <v>2088</v>
      </c>
      <c r="I2159" s="2647" t="s">
        <v>2088</v>
      </c>
      <c r="J2159" s="2647">
        <v>0.503</v>
      </c>
      <c r="K2159" s="2648"/>
      <c r="L2159" s="2647" t="s">
        <v>2088</v>
      </c>
    </row>
    <row r="2160" spans="1:12">
      <c r="A2160" s="2646" t="s">
        <v>99</v>
      </c>
      <c r="B2160" s="2646" t="s">
        <v>4466</v>
      </c>
      <c r="C2160" s="2646">
        <v>46.037999999999997</v>
      </c>
      <c r="D2160" s="2646">
        <v>85.001000000000005</v>
      </c>
      <c r="E2160" s="2646">
        <v>25.4</v>
      </c>
      <c r="F2160" s="2646" t="s">
        <v>2088</v>
      </c>
      <c r="G2160" s="2646" t="s">
        <v>2088</v>
      </c>
      <c r="H2160" s="2646" t="s">
        <v>2088</v>
      </c>
      <c r="I2160" s="2646" t="s">
        <v>2088</v>
      </c>
      <c r="J2160" s="2646">
        <v>0.59</v>
      </c>
      <c r="L2160" s="2646" t="s">
        <v>2088</v>
      </c>
    </row>
    <row r="2161" spans="1:12">
      <c r="A2161" s="2647" t="s">
        <v>99</v>
      </c>
      <c r="B2161" s="2647" t="s">
        <v>4467</v>
      </c>
      <c r="C2161" s="2647">
        <v>46.037999999999997</v>
      </c>
      <c r="D2161" s="2647">
        <v>85.001000000000005</v>
      </c>
      <c r="E2161" s="2647">
        <v>25.4</v>
      </c>
      <c r="F2161" s="2647" t="s">
        <v>2088</v>
      </c>
      <c r="G2161" s="2647" t="s">
        <v>2088</v>
      </c>
      <c r="H2161" s="2647" t="s">
        <v>2088</v>
      </c>
      <c r="I2161" s="2647" t="s">
        <v>2088</v>
      </c>
      <c r="J2161" s="2647">
        <v>0.59</v>
      </c>
      <c r="K2161" s="2648"/>
      <c r="L2161" s="2647" t="s">
        <v>2088</v>
      </c>
    </row>
    <row r="2162" spans="1:12">
      <c r="A2162" s="2646" t="s">
        <v>99</v>
      </c>
      <c r="B2162" s="2646" t="s">
        <v>4468</v>
      </c>
      <c r="C2162" s="2646">
        <v>66.674999999999997</v>
      </c>
      <c r="D2162" s="2646">
        <v>12.712</v>
      </c>
      <c r="E2162" s="2646">
        <v>30.161999999999999</v>
      </c>
      <c r="F2162" s="2646" t="s">
        <v>2088</v>
      </c>
      <c r="G2162" s="2646" t="s">
        <v>2088</v>
      </c>
      <c r="H2162" s="2646" t="s">
        <v>2088</v>
      </c>
      <c r="I2162" s="2646" t="s">
        <v>2088</v>
      </c>
      <c r="J2162" s="2646" t="s">
        <v>2088</v>
      </c>
      <c r="L2162" s="2646" t="s">
        <v>2088</v>
      </c>
    </row>
    <row r="2163" spans="1:12">
      <c r="A2163" s="2647" t="s">
        <v>99</v>
      </c>
      <c r="B2163" s="2647" t="s">
        <v>4469</v>
      </c>
      <c r="C2163" s="2647">
        <v>66.674999999999997</v>
      </c>
      <c r="D2163" s="2647">
        <v>112.712</v>
      </c>
      <c r="E2163" s="2647">
        <v>33.338000000000001</v>
      </c>
      <c r="F2163" s="2647" t="s">
        <v>2088</v>
      </c>
      <c r="G2163" s="2647" t="s">
        <v>2088</v>
      </c>
      <c r="H2163" s="2647" t="s">
        <v>2088</v>
      </c>
      <c r="I2163" s="2647" t="s">
        <v>2088</v>
      </c>
      <c r="J2163" s="2647" t="s">
        <v>2088</v>
      </c>
      <c r="K2163" s="2648"/>
      <c r="L2163" s="2647" t="s">
        <v>2088</v>
      </c>
    </row>
    <row r="2164" spans="1:12">
      <c r="A2164" s="2646" t="s">
        <v>99</v>
      </c>
      <c r="B2164" s="2646" t="s">
        <v>4470</v>
      </c>
      <c r="C2164" s="2646">
        <v>68.263000000000005</v>
      </c>
      <c r="D2164" s="2646">
        <v>120.251</v>
      </c>
      <c r="E2164" s="2646">
        <v>52.387999999999998</v>
      </c>
      <c r="F2164" s="2646" t="s">
        <v>2088</v>
      </c>
      <c r="G2164" s="2646" t="s">
        <v>2088</v>
      </c>
      <c r="H2164" s="2646" t="s">
        <v>2088</v>
      </c>
      <c r="I2164" s="2646" t="s">
        <v>2088</v>
      </c>
      <c r="J2164" s="2646">
        <v>1.218</v>
      </c>
      <c r="L2164" s="2646" t="s">
        <v>2088</v>
      </c>
    </row>
    <row r="2165" spans="1:12">
      <c r="A2165" s="2647" t="s">
        <v>99</v>
      </c>
      <c r="B2165" s="2647" t="s">
        <v>4471</v>
      </c>
      <c r="C2165" s="2647">
        <v>234.92</v>
      </c>
      <c r="D2165" s="2647">
        <v>327.02499999999998</v>
      </c>
      <c r="E2165" s="2647">
        <v>114.3</v>
      </c>
      <c r="F2165" s="2647" t="s">
        <v>2088</v>
      </c>
      <c r="G2165" s="2647" t="s">
        <v>2088</v>
      </c>
      <c r="H2165" s="2647" t="s">
        <v>2088</v>
      </c>
      <c r="I2165" s="2647" t="s">
        <v>2088</v>
      </c>
      <c r="J2165" s="2647">
        <v>26.7</v>
      </c>
      <c r="K2165" s="2648"/>
      <c r="L2165" s="2647" t="s">
        <v>2088</v>
      </c>
    </row>
    <row r="2166" spans="1:12">
      <c r="A2166" s="2646" t="s">
        <v>99</v>
      </c>
      <c r="B2166" s="2646" t="s">
        <v>4472</v>
      </c>
      <c r="C2166" s="2646">
        <v>25.4</v>
      </c>
      <c r="D2166" s="2646">
        <v>66.986999999999995</v>
      </c>
      <c r="E2166" s="2646">
        <v>20.5</v>
      </c>
      <c r="F2166" s="2646" t="s">
        <v>2088</v>
      </c>
      <c r="G2166" s="2646" t="s">
        <v>2088</v>
      </c>
      <c r="H2166" s="2646" t="s">
        <v>2088</v>
      </c>
      <c r="I2166" s="2646" t="s">
        <v>2088</v>
      </c>
      <c r="J2166" s="2646" t="s">
        <v>2088</v>
      </c>
      <c r="L2166" s="2646" t="s">
        <v>2088</v>
      </c>
    </row>
    <row r="2167" spans="1:12">
      <c r="A2167" s="2647" t="s">
        <v>99</v>
      </c>
      <c r="B2167" s="2647" t="s">
        <v>4473</v>
      </c>
      <c r="C2167" s="2647">
        <v>28.574999999999999</v>
      </c>
      <c r="D2167" s="2647">
        <v>73.025000000000006</v>
      </c>
      <c r="E2167" s="2647">
        <v>22.225000000000001</v>
      </c>
      <c r="F2167" s="2647" t="s">
        <v>2088</v>
      </c>
      <c r="G2167" s="2647" t="s">
        <v>2088</v>
      </c>
      <c r="H2167" s="2647" t="s">
        <v>2088</v>
      </c>
      <c r="I2167" s="2647" t="s">
        <v>2088</v>
      </c>
      <c r="J2167" s="2647">
        <v>0.48399999999999999</v>
      </c>
      <c r="K2167" s="2648"/>
      <c r="L2167" s="2647" t="s">
        <v>2088</v>
      </c>
    </row>
    <row r="2168" spans="1:12">
      <c r="A2168" s="2646" t="s">
        <v>99</v>
      </c>
      <c r="B2168" s="2646" t="s">
        <v>4474</v>
      </c>
      <c r="C2168" s="2646">
        <v>25.4</v>
      </c>
      <c r="D2168" s="2646">
        <v>50.8</v>
      </c>
      <c r="E2168" s="2646">
        <v>30.079000000000001</v>
      </c>
      <c r="F2168" s="2646" t="s">
        <v>2088</v>
      </c>
      <c r="G2168" s="2646" t="s">
        <v>2088</v>
      </c>
      <c r="H2168" s="2646" t="s">
        <v>2088</v>
      </c>
      <c r="I2168" s="2646" t="s">
        <v>2088</v>
      </c>
      <c r="J2168" s="2646" t="s">
        <v>2088</v>
      </c>
      <c r="L2168" s="2646" t="s">
        <v>2088</v>
      </c>
    </row>
    <row r="2169" spans="1:12">
      <c r="A2169" s="2647" t="s">
        <v>99</v>
      </c>
      <c r="B2169" s="2647" t="s">
        <v>4475</v>
      </c>
      <c r="C2169" s="2647">
        <v>22.225000000000001</v>
      </c>
      <c r="D2169" s="2647">
        <v>50.8</v>
      </c>
      <c r="E2169" s="2647">
        <v>30.079000000000001</v>
      </c>
      <c r="F2169" s="2647" t="s">
        <v>2088</v>
      </c>
      <c r="G2169" s="2647" t="s">
        <v>2088</v>
      </c>
      <c r="H2169" s="2647" t="s">
        <v>2088</v>
      </c>
      <c r="I2169" s="2647" t="s">
        <v>2088</v>
      </c>
      <c r="J2169" s="2647" t="s">
        <v>2088</v>
      </c>
      <c r="K2169" s="2648"/>
      <c r="L2169" s="2647" t="s">
        <v>2088</v>
      </c>
    </row>
    <row r="2170" spans="1:12">
      <c r="A2170" s="2646" t="s">
        <v>99</v>
      </c>
      <c r="B2170" s="2646" t="s">
        <v>4476</v>
      </c>
      <c r="C2170" s="2646">
        <v>19.05</v>
      </c>
      <c r="D2170" s="2646">
        <v>49.225000000000001</v>
      </c>
      <c r="E2170" s="2646">
        <v>19.844999999999999</v>
      </c>
      <c r="F2170" s="2646" t="s">
        <v>2088</v>
      </c>
      <c r="G2170" s="2646" t="s">
        <v>2088</v>
      </c>
      <c r="H2170" s="2646" t="s">
        <v>2088</v>
      </c>
      <c r="I2170" s="2646" t="s">
        <v>2088</v>
      </c>
      <c r="J2170" s="2646">
        <v>0.17699999999999999</v>
      </c>
      <c r="L2170" s="2646" t="s">
        <v>2088</v>
      </c>
    </row>
    <row r="2171" spans="1:12">
      <c r="A2171" s="2647" t="s">
        <v>99</v>
      </c>
      <c r="B2171" s="2647" t="s">
        <v>4477</v>
      </c>
      <c r="C2171" s="2647">
        <v>19</v>
      </c>
      <c r="D2171" s="2647">
        <v>49.225000000000001</v>
      </c>
      <c r="E2171" s="2647">
        <v>23.812000000000001</v>
      </c>
      <c r="F2171" s="2647" t="s">
        <v>2088</v>
      </c>
      <c r="G2171" s="2647" t="s">
        <v>2088</v>
      </c>
      <c r="H2171" s="2647" t="s">
        <v>2088</v>
      </c>
      <c r="I2171" s="2647" t="s">
        <v>2088</v>
      </c>
      <c r="J2171" s="2647" t="s">
        <v>2088</v>
      </c>
      <c r="K2171" s="2648"/>
      <c r="L2171" s="2647" t="s">
        <v>2088</v>
      </c>
    </row>
    <row r="2172" spans="1:12">
      <c r="A2172" s="2646" t="s">
        <v>99</v>
      </c>
      <c r="B2172" s="2646" t="s">
        <v>4478</v>
      </c>
      <c r="C2172" s="2646">
        <v>23.812999999999999</v>
      </c>
      <c r="D2172" s="2646">
        <v>590.53</v>
      </c>
      <c r="E2172" s="2646">
        <v>20.32</v>
      </c>
      <c r="F2172" s="2646" t="s">
        <v>2088</v>
      </c>
      <c r="G2172" s="2646" t="s">
        <v>2088</v>
      </c>
      <c r="H2172" s="2646" t="s">
        <v>2088</v>
      </c>
      <c r="I2172" s="2646" t="s">
        <v>2088</v>
      </c>
      <c r="J2172" s="2646">
        <v>0.255</v>
      </c>
      <c r="L2172" s="2646" t="s">
        <v>2088</v>
      </c>
    </row>
    <row r="2173" spans="1:12">
      <c r="A2173" s="2647" t="s">
        <v>99</v>
      </c>
      <c r="B2173" s="2647" t="s">
        <v>4479</v>
      </c>
      <c r="C2173" s="2647">
        <v>39.688000000000002</v>
      </c>
      <c r="D2173" s="2647">
        <v>79.375</v>
      </c>
      <c r="E2173" s="2647">
        <v>31.242000000000001</v>
      </c>
      <c r="F2173" s="2647" t="s">
        <v>2088</v>
      </c>
      <c r="G2173" s="2647" t="s">
        <v>2088</v>
      </c>
      <c r="H2173" s="2647" t="s">
        <v>2088</v>
      </c>
      <c r="I2173" s="2647" t="s">
        <v>2088</v>
      </c>
      <c r="J2173" s="2647">
        <v>0.54700000000000004</v>
      </c>
      <c r="K2173" s="2648"/>
      <c r="L2173" s="2647" t="s">
        <v>2088</v>
      </c>
    </row>
    <row r="2174" spans="1:12">
      <c r="A2174" s="2646" t="s">
        <v>99</v>
      </c>
      <c r="B2174" s="2646" t="s">
        <v>4480</v>
      </c>
      <c r="C2174" s="2646">
        <v>21.43</v>
      </c>
      <c r="D2174" s="2646">
        <v>50.005000000000003</v>
      </c>
      <c r="E2174" s="2646">
        <v>17.526</v>
      </c>
      <c r="F2174" s="2646" t="s">
        <v>2088</v>
      </c>
      <c r="G2174" s="2646" t="s">
        <v>2088</v>
      </c>
      <c r="H2174" s="2646" t="s">
        <v>2088</v>
      </c>
      <c r="I2174" s="2646" t="s">
        <v>2088</v>
      </c>
      <c r="J2174" s="2646">
        <v>0.16900000000000001</v>
      </c>
      <c r="L2174" s="2646" t="s">
        <v>4481</v>
      </c>
    </row>
    <row r="2175" spans="1:12">
      <c r="A2175" s="2647" t="s">
        <v>99</v>
      </c>
      <c r="B2175" s="2647" t="s">
        <v>4482</v>
      </c>
      <c r="C2175" s="2647">
        <v>26.988</v>
      </c>
      <c r="D2175" s="2647">
        <v>57.15</v>
      </c>
      <c r="E2175" s="2647">
        <v>17.463000000000001</v>
      </c>
      <c r="F2175" s="2647" t="s">
        <v>2088</v>
      </c>
      <c r="G2175" s="2647" t="s">
        <v>2088</v>
      </c>
      <c r="H2175" s="2647" t="s">
        <v>2088</v>
      </c>
      <c r="I2175" s="2647" t="s">
        <v>2088</v>
      </c>
      <c r="J2175" s="2647">
        <v>0.24</v>
      </c>
      <c r="K2175" s="2648"/>
      <c r="L2175" s="2647" t="s">
        <v>2088</v>
      </c>
    </row>
    <row r="2176" spans="1:12">
      <c r="A2176" s="2646" t="s">
        <v>99</v>
      </c>
      <c r="B2176" s="2646" t="s">
        <v>4483</v>
      </c>
      <c r="C2176" s="2646">
        <v>38.1</v>
      </c>
      <c r="D2176" s="2646">
        <v>107.95</v>
      </c>
      <c r="E2176" s="2646">
        <v>58.375</v>
      </c>
      <c r="F2176" s="2646" t="s">
        <v>2088</v>
      </c>
      <c r="G2176" s="2646" t="s">
        <v>2088</v>
      </c>
      <c r="H2176" s="2646" t="s">
        <v>2088</v>
      </c>
      <c r="I2176" s="2646" t="s">
        <v>2088</v>
      </c>
      <c r="J2176" s="2646" t="s">
        <v>2088</v>
      </c>
      <c r="L2176" s="2646" t="s">
        <v>2088</v>
      </c>
    </row>
    <row r="2177" spans="1:12">
      <c r="A2177" s="2647" t="s">
        <v>99</v>
      </c>
      <c r="B2177" s="2647" t="s">
        <v>4484</v>
      </c>
      <c r="C2177" s="2647">
        <v>34.924999999999997</v>
      </c>
      <c r="D2177" s="2647">
        <v>73.025000000000006</v>
      </c>
      <c r="E2177" s="2647">
        <v>23.8</v>
      </c>
      <c r="F2177" s="2647" t="s">
        <v>2088</v>
      </c>
      <c r="G2177" s="2647" t="s">
        <v>2088</v>
      </c>
      <c r="H2177" s="2647" t="s">
        <v>2088</v>
      </c>
      <c r="I2177" s="2647" t="s">
        <v>2088</v>
      </c>
      <c r="J2177" s="2647">
        <v>0.46100000000000002</v>
      </c>
      <c r="K2177" s="2648"/>
      <c r="L2177" s="2647" t="s">
        <v>2088</v>
      </c>
    </row>
    <row r="2178" spans="1:12">
      <c r="A2178" s="2646" t="s">
        <v>99</v>
      </c>
      <c r="B2178" s="2646" t="s">
        <v>4485</v>
      </c>
      <c r="C2178" s="2646">
        <v>36.51</v>
      </c>
      <c r="D2178" s="2646">
        <v>82.93</v>
      </c>
      <c r="E2178" s="2646">
        <v>23.81</v>
      </c>
      <c r="F2178" s="2646" t="s">
        <v>2088</v>
      </c>
      <c r="G2178" s="2646" t="s">
        <v>2088</v>
      </c>
      <c r="H2178" s="2646" t="s">
        <v>2088</v>
      </c>
      <c r="I2178" s="2646" t="s">
        <v>2088</v>
      </c>
      <c r="J2178" s="2646">
        <v>0.66500000000000004</v>
      </c>
      <c r="L2178" s="2646" t="s">
        <v>2088</v>
      </c>
    </row>
    <row r="2179" spans="1:12">
      <c r="A2179" s="2647" t="s">
        <v>99</v>
      </c>
      <c r="B2179" s="2647" t="s">
        <v>4486</v>
      </c>
      <c r="C2179" s="2647">
        <v>38.1</v>
      </c>
      <c r="D2179" s="2647">
        <v>82.9</v>
      </c>
      <c r="E2179" s="2647">
        <v>23.81</v>
      </c>
      <c r="F2179" s="2647" t="s">
        <v>2088</v>
      </c>
      <c r="G2179" s="2647" t="s">
        <v>2088</v>
      </c>
      <c r="H2179" s="2647" t="s">
        <v>2088</v>
      </c>
      <c r="I2179" s="2647" t="s">
        <v>2088</v>
      </c>
      <c r="J2179" s="2647">
        <v>0.65600000000000003</v>
      </c>
      <c r="K2179" s="2648"/>
      <c r="L2179" s="2647" t="s">
        <v>2088</v>
      </c>
    </row>
    <row r="2180" spans="1:12">
      <c r="A2180" s="2646" t="s">
        <v>99</v>
      </c>
      <c r="B2180" s="2646" t="s">
        <v>4487</v>
      </c>
      <c r="C2180" s="2646">
        <v>42.875</v>
      </c>
      <c r="D2180" s="2646">
        <v>79.375</v>
      </c>
      <c r="E2180" s="2646">
        <v>23.812000000000001</v>
      </c>
      <c r="F2180" s="2646" t="s">
        <v>2088</v>
      </c>
      <c r="G2180" s="2646" t="s">
        <v>2088</v>
      </c>
      <c r="H2180" s="2646" t="s">
        <v>2088</v>
      </c>
      <c r="I2180" s="2646" t="s">
        <v>2088</v>
      </c>
      <c r="J2180" s="2646" t="s">
        <v>2088</v>
      </c>
      <c r="L2180" s="2646" t="s">
        <v>2088</v>
      </c>
    </row>
    <row r="2181" spans="1:12">
      <c r="A2181" s="2647" t="s">
        <v>99</v>
      </c>
      <c r="B2181" s="2647" t="s">
        <v>4488</v>
      </c>
      <c r="C2181" s="2647">
        <v>73.025000000000006</v>
      </c>
      <c r="D2181" s="2647">
        <v>125.41200000000001</v>
      </c>
      <c r="E2181" s="2647">
        <v>25.4</v>
      </c>
      <c r="F2181" s="2647" t="s">
        <v>2088</v>
      </c>
      <c r="G2181" s="2647" t="s">
        <v>2088</v>
      </c>
      <c r="H2181" s="2647" t="s">
        <v>2088</v>
      </c>
      <c r="I2181" s="2647" t="s">
        <v>2088</v>
      </c>
      <c r="J2181" s="2647" t="s">
        <v>2088</v>
      </c>
      <c r="K2181" s="2648"/>
      <c r="L2181" s="2647" t="s">
        <v>2088</v>
      </c>
    </row>
    <row r="2182" spans="1:12">
      <c r="A2182" s="2646" t="s">
        <v>99</v>
      </c>
      <c r="B2182" s="2646" t="s">
        <v>4489</v>
      </c>
      <c r="C2182" s="2646">
        <v>57.15</v>
      </c>
      <c r="D2182" s="2646">
        <v>97.63</v>
      </c>
      <c r="E2182" s="2646">
        <v>24.608000000000001</v>
      </c>
      <c r="F2182" s="2646" t="s">
        <v>2088</v>
      </c>
      <c r="G2182" s="2646" t="s">
        <v>2088</v>
      </c>
      <c r="H2182" s="2646" t="s">
        <v>2088</v>
      </c>
      <c r="I2182" s="2646" t="s">
        <v>2088</v>
      </c>
      <c r="J2182" s="2646">
        <v>0.73</v>
      </c>
      <c r="L2182" s="2646" t="s">
        <v>2088</v>
      </c>
    </row>
    <row r="2183" spans="1:12">
      <c r="A2183" s="2647" t="s">
        <v>99</v>
      </c>
      <c r="B2183" s="2647" t="s">
        <v>4490</v>
      </c>
      <c r="C2183" s="2647">
        <v>66.674999999999997</v>
      </c>
      <c r="D2183" s="2647">
        <v>107.95</v>
      </c>
      <c r="E2183" s="2647">
        <v>25.4</v>
      </c>
      <c r="F2183" s="2647" t="s">
        <v>2088</v>
      </c>
      <c r="G2183" s="2647" t="s">
        <v>2088</v>
      </c>
      <c r="H2183" s="2647" t="s">
        <v>2088</v>
      </c>
      <c r="I2183" s="2647" t="s">
        <v>2088</v>
      </c>
      <c r="J2183" s="2647">
        <v>0.84399999999999997</v>
      </c>
      <c r="K2183" s="2648"/>
      <c r="L2183" s="2647" t="s">
        <v>2088</v>
      </c>
    </row>
    <row r="2184" spans="1:12">
      <c r="A2184" s="2646" t="s">
        <v>99</v>
      </c>
      <c r="B2184" s="2646" t="s">
        <v>4491</v>
      </c>
      <c r="C2184" s="2646">
        <v>33.338000000000001</v>
      </c>
      <c r="D2184" s="2646">
        <v>76.2</v>
      </c>
      <c r="E2184" s="2646">
        <v>29.37</v>
      </c>
      <c r="F2184" s="2646" t="s">
        <v>2088</v>
      </c>
      <c r="G2184" s="2646" t="s">
        <v>2088</v>
      </c>
      <c r="H2184" s="2646" t="s">
        <v>2088</v>
      </c>
      <c r="I2184" s="2646" t="s">
        <v>2088</v>
      </c>
      <c r="J2184" s="2646">
        <v>0.64800000000000002</v>
      </c>
      <c r="L2184" s="2646" t="s">
        <v>2088</v>
      </c>
    </row>
    <row r="2185" spans="1:12">
      <c r="A2185" s="2647" t="s">
        <v>99</v>
      </c>
      <c r="B2185" s="2647" t="s">
        <v>4492</v>
      </c>
      <c r="C2185" s="2647">
        <v>34.924999999999997</v>
      </c>
      <c r="D2185" s="2647">
        <v>76.2</v>
      </c>
      <c r="E2185" s="2647">
        <v>29.37</v>
      </c>
      <c r="F2185" s="2647" t="s">
        <v>2088</v>
      </c>
      <c r="G2185" s="2647" t="s">
        <v>2088</v>
      </c>
      <c r="H2185" s="2647" t="s">
        <v>2088</v>
      </c>
      <c r="I2185" s="2647" t="s">
        <v>2088</v>
      </c>
      <c r="J2185" s="2647">
        <v>0.61899999999999999</v>
      </c>
      <c r="K2185" s="2648"/>
      <c r="L2185" s="2647" t="s">
        <v>2088</v>
      </c>
    </row>
    <row r="2186" spans="1:12">
      <c r="A2186" s="2646" t="s">
        <v>99</v>
      </c>
      <c r="B2186" s="2646" t="s">
        <v>4493</v>
      </c>
      <c r="C2186" s="2646">
        <v>55</v>
      </c>
      <c r="D2186" s="2646">
        <v>110</v>
      </c>
      <c r="E2186" s="2646">
        <v>42.25</v>
      </c>
      <c r="F2186" s="2646" t="s">
        <v>2088</v>
      </c>
      <c r="G2186" s="2646" t="s">
        <v>2088</v>
      </c>
      <c r="H2186" s="2646" t="s">
        <v>2088</v>
      </c>
      <c r="I2186" s="2646" t="s">
        <v>2088</v>
      </c>
      <c r="J2186" s="2646">
        <v>1.7090000000000001</v>
      </c>
      <c r="L2186" s="2646" t="s">
        <v>2088</v>
      </c>
    </row>
    <row r="2187" spans="1:12">
      <c r="A2187" s="2647" t="s">
        <v>99</v>
      </c>
      <c r="B2187" s="2647" t="s">
        <v>4494</v>
      </c>
      <c r="C2187" s="2647">
        <v>57.15</v>
      </c>
      <c r="D2187" s="2647">
        <v>120</v>
      </c>
      <c r="E2187" s="2647" t="s">
        <v>4495</v>
      </c>
      <c r="F2187" s="2647" t="s">
        <v>2088</v>
      </c>
      <c r="G2187" s="2647" t="s">
        <v>2088</v>
      </c>
      <c r="H2187" s="2647" t="s">
        <v>2088</v>
      </c>
      <c r="I2187" s="2647" t="s">
        <v>2088</v>
      </c>
      <c r="J2187" s="2647">
        <v>1.637</v>
      </c>
      <c r="K2187" s="2648"/>
      <c r="L2187" s="2647" t="s">
        <v>2088</v>
      </c>
    </row>
    <row r="2188" spans="1:12">
      <c r="A2188" s="2646" t="s">
        <v>99</v>
      </c>
      <c r="B2188" s="2646" t="s">
        <v>4496</v>
      </c>
      <c r="C2188" s="2646">
        <v>69.849999999999994</v>
      </c>
      <c r="D2188" s="2646">
        <v>120</v>
      </c>
      <c r="E2188" s="2646">
        <v>29.794</v>
      </c>
      <c r="F2188" s="2646" t="s">
        <v>2088</v>
      </c>
      <c r="G2188" s="2646" t="s">
        <v>2088</v>
      </c>
      <c r="H2188" s="2646" t="s">
        <v>2088</v>
      </c>
      <c r="I2188" s="2646" t="s">
        <v>2088</v>
      </c>
      <c r="J2188" s="2646">
        <v>1.32</v>
      </c>
      <c r="L2188" s="2646" t="s">
        <v>2088</v>
      </c>
    </row>
    <row r="2189" spans="1:12">
      <c r="A2189" s="2647" t="s">
        <v>99</v>
      </c>
      <c r="B2189" s="2647" t="s">
        <v>4497</v>
      </c>
      <c r="C2189" s="2647">
        <v>44.45</v>
      </c>
      <c r="D2189" s="2647">
        <v>95.25</v>
      </c>
      <c r="E2189" s="2647">
        <v>27.783000000000001</v>
      </c>
      <c r="F2189" s="2647" t="s">
        <v>2088</v>
      </c>
      <c r="G2189" s="2647" t="s">
        <v>2088</v>
      </c>
      <c r="H2189" s="2647" t="s">
        <v>2088</v>
      </c>
      <c r="I2189" s="2647" t="s">
        <v>2088</v>
      </c>
      <c r="J2189" s="2647" t="s">
        <v>2088</v>
      </c>
      <c r="K2189" s="2648"/>
      <c r="L2189" s="2647" t="s">
        <v>2088</v>
      </c>
    </row>
    <row r="2190" spans="1:12">
      <c r="A2190" s="2646" t="s">
        <v>99</v>
      </c>
      <c r="B2190" s="2646" t="s">
        <v>4498</v>
      </c>
      <c r="C2190" s="2646">
        <v>50.8</v>
      </c>
      <c r="D2190" s="2646">
        <v>95.25</v>
      </c>
      <c r="E2190" s="2646">
        <v>27.783000000000001</v>
      </c>
      <c r="F2190" s="2646" t="s">
        <v>2088</v>
      </c>
      <c r="G2190" s="2646" t="s">
        <v>2088</v>
      </c>
      <c r="H2190" s="2646" t="s">
        <v>2088</v>
      </c>
      <c r="I2190" s="2646" t="s">
        <v>2088</v>
      </c>
      <c r="J2190" s="2646" t="s">
        <v>2088</v>
      </c>
      <c r="L2190" s="2646" t="s">
        <v>2088</v>
      </c>
    </row>
    <row r="2191" spans="1:12">
      <c r="A2191" s="2647" t="s">
        <v>99</v>
      </c>
      <c r="B2191" s="2647" t="s">
        <v>4499</v>
      </c>
      <c r="C2191" s="2647">
        <v>52.387999999999998</v>
      </c>
      <c r="D2191" s="2647">
        <v>95.25</v>
      </c>
      <c r="E2191" s="2647">
        <v>27.783000000000001</v>
      </c>
      <c r="F2191" s="2647" t="s">
        <v>2088</v>
      </c>
      <c r="G2191" s="2647" t="s">
        <v>2088</v>
      </c>
      <c r="H2191" s="2647" t="s">
        <v>2088</v>
      </c>
      <c r="I2191" s="2647" t="s">
        <v>2088</v>
      </c>
      <c r="J2191" s="2647">
        <v>0.81599999999999995</v>
      </c>
      <c r="K2191" s="2648"/>
      <c r="L2191" s="2647" t="s">
        <v>2088</v>
      </c>
    </row>
    <row r="2192" spans="1:12">
      <c r="A2192" s="2646" t="s">
        <v>99</v>
      </c>
      <c r="B2192" s="2646" t="s">
        <v>4500</v>
      </c>
      <c r="C2192" s="2646">
        <v>177.8</v>
      </c>
      <c r="D2192" s="2646">
        <v>227.012</v>
      </c>
      <c r="E2192" s="2646">
        <v>30.164999999999999</v>
      </c>
      <c r="F2192" s="2646" t="s">
        <v>2088</v>
      </c>
      <c r="G2192" s="2646" t="s">
        <v>2088</v>
      </c>
      <c r="H2192" s="2646" t="s">
        <v>2088</v>
      </c>
      <c r="I2192" s="2646" t="s">
        <v>2088</v>
      </c>
      <c r="J2192" s="2646" t="s">
        <v>2088</v>
      </c>
      <c r="L2192" s="2646" t="s">
        <v>2088</v>
      </c>
    </row>
    <row r="2193" spans="1:12">
      <c r="A2193" s="2647" t="s">
        <v>99</v>
      </c>
      <c r="B2193" s="2647" t="s">
        <v>4501</v>
      </c>
      <c r="C2193" s="2647">
        <v>28.574999999999999</v>
      </c>
      <c r="D2193" s="2647">
        <v>72.626000000000005</v>
      </c>
      <c r="E2193" s="2647">
        <v>24.608000000000001</v>
      </c>
      <c r="F2193" s="2647" t="s">
        <v>2088</v>
      </c>
      <c r="G2193" s="2647" t="s">
        <v>2088</v>
      </c>
      <c r="H2193" s="2647" t="s">
        <v>2088</v>
      </c>
      <c r="I2193" s="2647" t="s">
        <v>2088</v>
      </c>
      <c r="J2193" s="2647">
        <v>0.46700000000000003</v>
      </c>
      <c r="K2193" s="2648"/>
      <c r="L2193" s="2647" t="s">
        <v>2088</v>
      </c>
    </row>
    <row r="2194" spans="1:12">
      <c r="A2194" s="2646" t="s">
        <v>99</v>
      </c>
      <c r="B2194" s="2646" t="s">
        <v>4502</v>
      </c>
      <c r="C2194" s="2646">
        <v>38.1</v>
      </c>
      <c r="D2194" s="2646">
        <v>88.501000000000005</v>
      </c>
      <c r="E2194" s="2646">
        <v>25.4</v>
      </c>
      <c r="F2194" s="2646" t="s">
        <v>2088</v>
      </c>
      <c r="G2194" s="2646" t="s">
        <v>2088</v>
      </c>
      <c r="H2194" s="2646" t="s">
        <v>2088</v>
      </c>
      <c r="I2194" s="2646" t="s">
        <v>2088</v>
      </c>
      <c r="J2194" s="2646">
        <v>0.63800000000000001</v>
      </c>
      <c r="L2194" s="2646" t="s">
        <v>2088</v>
      </c>
    </row>
    <row r="2195" spans="1:12">
      <c r="A2195" s="2647" t="s">
        <v>99</v>
      </c>
      <c r="B2195" s="2647" t="s">
        <v>4503</v>
      </c>
      <c r="C2195" s="2647">
        <v>123.825</v>
      </c>
      <c r="D2195" s="2647">
        <v>182.56200000000001</v>
      </c>
      <c r="E2195" s="2647">
        <v>39.688000000000002</v>
      </c>
      <c r="F2195" s="2647" t="s">
        <v>2088</v>
      </c>
      <c r="G2195" s="2647" t="s">
        <v>2088</v>
      </c>
      <c r="H2195" s="2647" t="s">
        <v>2088</v>
      </c>
      <c r="I2195" s="2647" t="s">
        <v>2088</v>
      </c>
      <c r="J2195" s="2647" t="s">
        <v>2088</v>
      </c>
      <c r="K2195" s="2648"/>
      <c r="L2195" s="2647" t="s">
        <v>2088</v>
      </c>
    </row>
    <row r="2196" spans="1:12">
      <c r="A2196" s="2646" t="s">
        <v>99</v>
      </c>
      <c r="B2196" s="2646" t="s">
        <v>4504</v>
      </c>
      <c r="C2196" s="2646">
        <v>44.45</v>
      </c>
      <c r="D2196" s="2646">
        <v>95.25</v>
      </c>
      <c r="E2196" s="2646">
        <v>30.957999999999998</v>
      </c>
      <c r="F2196" s="2646" t="s">
        <v>2088</v>
      </c>
      <c r="G2196" s="2646" t="s">
        <v>2088</v>
      </c>
      <c r="H2196" s="2646" t="s">
        <v>2088</v>
      </c>
      <c r="I2196" s="2646" t="s">
        <v>2088</v>
      </c>
      <c r="J2196" s="2646">
        <v>0.92700000000000005</v>
      </c>
      <c r="L2196" s="2646" t="s">
        <v>2088</v>
      </c>
    </row>
    <row r="2197" spans="1:12">
      <c r="A2197" s="2647" t="s">
        <v>99</v>
      </c>
      <c r="B2197" s="2647" t="s">
        <v>4505</v>
      </c>
      <c r="C2197" s="2647">
        <v>35</v>
      </c>
      <c r="D2197" s="2647">
        <v>72</v>
      </c>
      <c r="E2197" s="2647">
        <v>18.25</v>
      </c>
      <c r="F2197" s="2647" t="s">
        <v>2088</v>
      </c>
      <c r="G2197" s="2647" t="s">
        <v>2088</v>
      </c>
      <c r="H2197" s="2647" t="s">
        <v>2088</v>
      </c>
      <c r="I2197" s="2647" t="s">
        <v>2088</v>
      </c>
      <c r="J2197" s="2647">
        <v>0.33300000000000002</v>
      </c>
      <c r="K2197" s="2648"/>
      <c r="L2197" s="2647" t="s">
        <v>2088</v>
      </c>
    </row>
    <row r="2198" spans="1:12">
      <c r="A2198" s="2646" t="s">
        <v>99</v>
      </c>
      <c r="B2198" s="2646" t="s">
        <v>4506</v>
      </c>
      <c r="C2198" s="2646">
        <v>44.45</v>
      </c>
      <c r="D2198" s="2646">
        <v>104.77500000000001</v>
      </c>
      <c r="E2198" s="2646">
        <v>36.512999999999998</v>
      </c>
      <c r="F2198" s="2646" t="s">
        <v>2088</v>
      </c>
      <c r="G2198" s="2646" t="s">
        <v>2088</v>
      </c>
      <c r="H2198" s="2646" t="s">
        <v>2088</v>
      </c>
      <c r="I2198" s="2646" t="s">
        <v>2088</v>
      </c>
      <c r="J2198" s="2646">
        <v>1.48</v>
      </c>
      <c r="L2198" s="2646" t="s">
        <v>2088</v>
      </c>
    </row>
    <row r="2199" spans="1:12">
      <c r="A2199" s="2647" t="s">
        <v>99</v>
      </c>
      <c r="B2199" s="2647" t="s">
        <v>4507</v>
      </c>
      <c r="C2199" s="2647">
        <v>47.625</v>
      </c>
      <c r="D2199" s="2647">
        <v>104.77500000000001</v>
      </c>
      <c r="E2199" s="2647">
        <v>36.512999999999998</v>
      </c>
      <c r="F2199" s="2647" t="s">
        <v>2088</v>
      </c>
      <c r="G2199" s="2647" t="s">
        <v>2088</v>
      </c>
      <c r="H2199" s="2647" t="s">
        <v>2088</v>
      </c>
      <c r="I2199" s="2647" t="s">
        <v>2088</v>
      </c>
      <c r="J2199" s="2647">
        <v>1.4</v>
      </c>
      <c r="K2199" s="2648"/>
      <c r="L2199" s="2647" t="s">
        <v>2088</v>
      </c>
    </row>
    <row r="2200" spans="1:12">
      <c r="A2200" s="2646" t="s">
        <v>99</v>
      </c>
      <c r="B2200" s="2646" t="s">
        <v>4508</v>
      </c>
      <c r="C2200" s="2646">
        <v>60.325000000000003</v>
      </c>
      <c r="D2200" s="2646">
        <v>127</v>
      </c>
      <c r="E2200" s="2646">
        <v>44.65</v>
      </c>
      <c r="F2200" s="2646" t="s">
        <v>2088</v>
      </c>
      <c r="G2200" s="2646" t="s">
        <v>2088</v>
      </c>
      <c r="H2200" s="2646" t="s">
        <v>2088</v>
      </c>
      <c r="I2200" s="2646" t="s">
        <v>2088</v>
      </c>
      <c r="J2200" s="2646">
        <v>2.56</v>
      </c>
      <c r="L2200" s="2646" t="s">
        <v>2088</v>
      </c>
    </row>
    <row r="2201" spans="1:12">
      <c r="A2201" s="2647" t="s">
        <v>99</v>
      </c>
      <c r="B2201" s="2647" t="s">
        <v>4509</v>
      </c>
      <c r="C2201" s="2647">
        <v>44.45</v>
      </c>
      <c r="D2201" s="2647">
        <v>114.3</v>
      </c>
      <c r="E2201" s="2647">
        <v>44.45</v>
      </c>
      <c r="F2201" s="2647" t="s">
        <v>2088</v>
      </c>
      <c r="G2201" s="2647" t="s">
        <v>2088</v>
      </c>
      <c r="H2201" s="2647" t="s">
        <v>2088</v>
      </c>
      <c r="I2201" s="2647" t="s">
        <v>2088</v>
      </c>
      <c r="J2201" s="2647" t="s">
        <v>2088</v>
      </c>
      <c r="K2201" s="2648"/>
      <c r="L2201" s="2647" t="s">
        <v>2088</v>
      </c>
    </row>
    <row r="2202" spans="1:12">
      <c r="A2202" s="2646" t="s">
        <v>99</v>
      </c>
      <c r="B2202" s="2646" t="s">
        <v>4510</v>
      </c>
      <c r="C2202" s="2646">
        <v>133.35</v>
      </c>
      <c r="D2202" s="2646">
        <v>234.95</v>
      </c>
      <c r="E2202" s="2646">
        <v>63.5</v>
      </c>
      <c r="F2202" s="2646" t="s">
        <v>2088</v>
      </c>
      <c r="G2202" s="2646" t="s">
        <v>2088</v>
      </c>
      <c r="H2202" s="2646" t="s">
        <v>2088</v>
      </c>
      <c r="I2202" s="2646" t="s">
        <v>2088</v>
      </c>
      <c r="J2202" s="2646">
        <v>11.1</v>
      </c>
      <c r="L2202" s="2646" t="s">
        <v>2088</v>
      </c>
    </row>
    <row r="2203" spans="1:12">
      <c r="A2203" s="2647" t="s">
        <v>99</v>
      </c>
      <c r="B2203" s="2647" t="s">
        <v>4511</v>
      </c>
      <c r="C2203" s="2647">
        <v>170</v>
      </c>
      <c r="D2203" s="2647">
        <v>240</v>
      </c>
      <c r="E2203" s="2647">
        <v>46</v>
      </c>
      <c r="F2203" s="2647" t="s">
        <v>2088</v>
      </c>
      <c r="G2203" s="2647" t="s">
        <v>2088</v>
      </c>
      <c r="H2203" s="2647" t="s">
        <v>2088</v>
      </c>
      <c r="I2203" s="2647" t="s">
        <v>2088</v>
      </c>
      <c r="J2203" s="2647" t="s">
        <v>2088</v>
      </c>
      <c r="K2203" s="2648"/>
      <c r="L2203" s="2647" t="s">
        <v>2088</v>
      </c>
    </row>
    <row r="2204" spans="1:12">
      <c r="A2204" s="2646" t="s">
        <v>99</v>
      </c>
      <c r="B2204" s="2646" t="s">
        <v>4512</v>
      </c>
      <c r="C2204" s="2646">
        <v>127</v>
      </c>
      <c r="D2204" s="2646">
        <v>234.95</v>
      </c>
      <c r="E2204" s="2646">
        <v>63.5</v>
      </c>
      <c r="F2204" s="2646" t="s">
        <v>2088</v>
      </c>
      <c r="G2204" s="2646" t="s">
        <v>2088</v>
      </c>
      <c r="H2204" s="2646" t="s">
        <v>2088</v>
      </c>
      <c r="I2204" s="2646" t="s">
        <v>2088</v>
      </c>
      <c r="J2204" s="2646">
        <v>11.6</v>
      </c>
      <c r="L2204" s="2646" t="s">
        <v>2088</v>
      </c>
    </row>
    <row r="2205" spans="1:12">
      <c r="A2205" s="2647" t="s">
        <v>99</v>
      </c>
      <c r="B2205" s="2647" t="s">
        <v>4513</v>
      </c>
      <c r="C2205" s="2647">
        <v>209.55</v>
      </c>
      <c r="D2205" s="2647">
        <v>317.5</v>
      </c>
      <c r="E2205" s="2647">
        <v>63.5</v>
      </c>
      <c r="F2205" s="2647" t="s">
        <v>2088</v>
      </c>
      <c r="G2205" s="2647" t="s">
        <v>2088</v>
      </c>
      <c r="H2205" s="2647" t="s">
        <v>2088</v>
      </c>
      <c r="I2205" s="2647" t="s">
        <v>2088</v>
      </c>
      <c r="J2205" s="2647">
        <v>16.600000000000001</v>
      </c>
      <c r="K2205" s="2648"/>
      <c r="L2205" s="2647" t="s">
        <v>2088</v>
      </c>
    </row>
    <row r="2206" spans="1:12">
      <c r="A2206" s="2646" t="s">
        <v>99</v>
      </c>
      <c r="B2206" s="2646" t="s">
        <v>4514</v>
      </c>
      <c r="C2206" s="2646">
        <v>34.924999999999997</v>
      </c>
      <c r="D2206" s="2646">
        <v>76.2</v>
      </c>
      <c r="E2206" s="2646">
        <v>29.37</v>
      </c>
      <c r="F2206" s="2646" t="s">
        <v>2088</v>
      </c>
      <c r="G2206" s="2646" t="s">
        <v>2088</v>
      </c>
      <c r="H2206" s="2646" t="s">
        <v>2088</v>
      </c>
      <c r="I2206" s="2646" t="s">
        <v>2088</v>
      </c>
      <c r="J2206" s="2646" t="s">
        <v>2088</v>
      </c>
      <c r="L2206" s="2646" t="s">
        <v>2088</v>
      </c>
    </row>
    <row r="2207" spans="1:12">
      <c r="A2207" s="2647" t="s">
        <v>99</v>
      </c>
      <c r="B2207" s="2647" t="s">
        <v>4515</v>
      </c>
      <c r="C2207" s="2647">
        <v>120.65</v>
      </c>
      <c r="D2207" s="2647">
        <v>254</v>
      </c>
      <c r="E2207" s="2647">
        <v>77.787999999999997</v>
      </c>
      <c r="F2207" s="2647" t="s">
        <v>2088</v>
      </c>
      <c r="G2207" s="2647" t="s">
        <v>2088</v>
      </c>
      <c r="H2207" s="2647" t="s">
        <v>2088</v>
      </c>
      <c r="I2207" s="2647" t="s">
        <v>2088</v>
      </c>
      <c r="J2207" s="2647">
        <v>18.100000000000001</v>
      </c>
      <c r="K2207" s="2648"/>
      <c r="L2207" s="2647" t="s">
        <v>4516</v>
      </c>
    </row>
    <row r="2208" spans="1:12">
      <c r="A2208" s="2646" t="s">
        <v>99</v>
      </c>
      <c r="B2208" s="2646" t="s">
        <v>4517</v>
      </c>
      <c r="C2208" s="2646">
        <v>381</v>
      </c>
      <c r="D2208" s="2646">
        <v>546.1</v>
      </c>
      <c r="E2208" s="2646">
        <v>104.77500000000001</v>
      </c>
      <c r="F2208" s="2646" t="s">
        <v>2088</v>
      </c>
      <c r="G2208" s="2646" t="s">
        <v>2088</v>
      </c>
      <c r="H2208" s="2646" t="s">
        <v>2088</v>
      </c>
      <c r="I2208" s="2646" t="s">
        <v>2088</v>
      </c>
      <c r="J2208" s="2646" t="s">
        <v>2088</v>
      </c>
      <c r="L2208" s="2646" t="s">
        <v>2088</v>
      </c>
    </row>
    <row r="2209" spans="1:12">
      <c r="A2209" s="2647" t="s">
        <v>99</v>
      </c>
      <c r="B2209" s="2647" t="s">
        <v>4518</v>
      </c>
      <c r="C2209" s="2647">
        <v>139.69999999999999</v>
      </c>
      <c r="D2209" s="2647">
        <v>180.97499999999999</v>
      </c>
      <c r="E2209" s="2647">
        <v>21.433</v>
      </c>
      <c r="F2209" s="2647" t="s">
        <v>2088</v>
      </c>
      <c r="G2209" s="2647" t="s">
        <v>2088</v>
      </c>
      <c r="H2209" s="2647" t="s">
        <v>2088</v>
      </c>
      <c r="I2209" s="2647" t="s">
        <v>2088</v>
      </c>
      <c r="J2209" s="2647" t="s">
        <v>2088</v>
      </c>
      <c r="K2209" s="2648"/>
      <c r="L2209" s="2647" t="s">
        <v>2088</v>
      </c>
    </row>
    <row r="2210" spans="1:12">
      <c r="A2210" s="2646" t="s">
        <v>99</v>
      </c>
      <c r="B2210" s="2646" t="s">
        <v>4519</v>
      </c>
      <c r="C2210" s="2646">
        <v>60</v>
      </c>
      <c r="D2210" s="2646">
        <v>95</v>
      </c>
      <c r="E2210" s="2646">
        <v>24</v>
      </c>
      <c r="F2210" s="2646" t="s">
        <v>2088</v>
      </c>
      <c r="G2210" s="2646" t="s">
        <v>2088</v>
      </c>
      <c r="H2210" s="2646" t="s">
        <v>2088</v>
      </c>
      <c r="I2210" s="2646" t="s">
        <v>2088</v>
      </c>
      <c r="J2210" s="2646">
        <v>0.63</v>
      </c>
      <c r="L2210" s="2646" t="s">
        <v>2088</v>
      </c>
    </row>
    <row r="2211" spans="1:12">
      <c r="A2211" s="2647" t="s">
        <v>99</v>
      </c>
      <c r="B2211" s="2647" t="s">
        <v>4520</v>
      </c>
      <c r="C2211" s="2647">
        <v>110</v>
      </c>
      <c r="D2211" s="2647">
        <v>180</v>
      </c>
      <c r="E2211" s="2647">
        <v>47</v>
      </c>
      <c r="F2211" s="2647" t="s">
        <v>2088</v>
      </c>
      <c r="G2211" s="2647" t="s">
        <v>2088</v>
      </c>
      <c r="H2211" s="2647" t="s">
        <v>2088</v>
      </c>
      <c r="I2211" s="2647" t="s">
        <v>2088</v>
      </c>
      <c r="J2211" s="2647">
        <v>4.5599999999999996</v>
      </c>
      <c r="K2211" s="2648"/>
      <c r="L2211" s="2647" t="s">
        <v>2088</v>
      </c>
    </row>
    <row r="2212" spans="1:12">
      <c r="A2212" s="2646" t="s">
        <v>99</v>
      </c>
      <c r="B2212" s="2646" t="s">
        <v>4521</v>
      </c>
      <c r="C2212" s="2646">
        <v>54.5</v>
      </c>
      <c r="D2212" s="2646">
        <v>104.77500000000001</v>
      </c>
      <c r="E2212" s="2646">
        <v>36.512999999999998</v>
      </c>
      <c r="F2212" s="2646" t="s">
        <v>2088</v>
      </c>
      <c r="G2212" s="2646" t="s">
        <v>2088</v>
      </c>
      <c r="H2212" s="2646" t="s">
        <v>2088</v>
      </c>
      <c r="I2212" s="2646" t="s">
        <v>2088</v>
      </c>
      <c r="J2212" s="2646">
        <v>1.41</v>
      </c>
      <c r="L2212" s="2646" t="s">
        <v>2088</v>
      </c>
    </row>
    <row r="2213" spans="1:12">
      <c r="A2213" s="2647" t="s">
        <v>99</v>
      </c>
      <c r="B2213" s="2647" t="s">
        <v>4522</v>
      </c>
      <c r="C2213" s="2647">
        <v>100</v>
      </c>
      <c r="D2213" s="2647">
        <v>155</v>
      </c>
      <c r="E2213" s="2647">
        <v>36</v>
      </c>
      <c r="F2213" s="2647" t="s">
        <v>2088</v>
      </c>
      <c r="G2213" s="2647" t="s">
        <v>2088</v>
      </c>
      <c r="H2213" s="2647" t="s">
        <v>2088</v>
      </c>
      <c r="I2213" s="2647" t="s">
        <v>2088</v>
      </c>
      <c r="J2213" s="2647">
        <v>2.34</v>
      </c>
      <c r="K2213" s="2648"/>
      <c r="L2213" s="2647" t="s">
        <v>2088</v>
      </c>
    </row>
    <row r="2214" spans="1:12">
      <c r="A2214" s="2646" t="s">
        <v>99</v>
      </c>
      <c r="B2214" s="2646" t="s">
        <v>4523</v>
      </c>
      <c r="C2214" s="2646">
        <v>292.10000000000002</v>
      </c>
      <c r="D2214" s="2646">
        <v>469.9</v>
      </c>
      <c r="E2214" s="2646">
        <v>95.25</v>
      </c>
      <c r="F2214" s="2646" t="s">
        <v>2088</v>
      </c>
      <c r="G2214" s="2646" t="s">
        <v>2088</v>
      </c>
      <c r="H2214" s="2646" t="s">
        <v>2088</v>
      </c>
      <c r="I2214" s="2646" t="s">
        <v>2088</v>
      </c>
      <c r="J2214" s="2646" t="s">
        <v>2088</v>
      </c>
      <c r="L2214" s="2646" t="s">
        <v>2088</v>
      </c>
    </row>
    <row r="2215" spans="1:12">
      <c r="A2215" s="2647" t="s">
        <v>99</v>
      </c>
      <c r="B2215" s="2647" t="s">
        <v>4524</v>
      </c>
      <c r="C2215" s="2647">
        <v>41.274999999999999</v>
      </c>
      <c r="D2215" s="2647">
        <v>88.9</v>
      </c>
      <c r="E2215" s="2647">
        <v>30.161999999999999</v>
      </c>
      <c r="F2215" s="2647" t="s">
        <v>2088</v>
      </c>
      <c r="G2215" s="2647" t="s">
        <v>2088</v>
      </c>
      <c r="H2215" s="2647" t="s">
        <v>2088</v>
      </c>
      <c r="I2215" s="2647" t="s">
        <v>2088</v>
      </c>
      <c r="J2215" s="2647">
        <v>0.88200000000000001</v>
      </c>
      <c r="K2215" s="2648"/>
      <c r="L2215" s="2647" t="s">
        <v>2088</v>
      </c>
    </row>
    <row r="2216" spans="1:12">
      <c r="A2216" s="2646" t="s">
        <v>99</v>
      </c>
      <c r="B2216" s="2646" t="s">
        <v>4525</v>
      </c>
      <c r="C2216" s="2646">
        <v>244.47499999999999</v>
      </c>
      <c r="D2216" s="2646">
        <v>327.02499999999998</v>
      </c>
      <c r="E2216" s="2646">
        <v>193.67500000000001</v>
      </c>
      <c r="F2216" s="2646" t="s">
        <v>2088</v>
      </c>
      <c r="G2216" s="2646" t="s">
        <v>2088</v>
      </c>
      <c r="H2216" s="2646" t="s">
        <v>2088</v>
      </c>
      <c r="I2216" s="2646" t="s">
        <v>2088</v>
      </c>
      <c r="J2216" s="2646">
        <v>44.26</v>
      </c>
      <c r="L2216" s="2646" t="s">
        <v>2088</v>
      </c>
    </row>
    <row r="2217" spans="1:12">
      <c r="A2217" s="2647" t="s">
        <v>99</v>
      </c>
      <c r="B2217" s="2647" t="s">
        <v>4526</v>
      </c>
      <c r="C2217" s="2647">
        <v>266.7</v>
      </c>
      <c r="D2217" s="2647">
        <v>355.6</v>
      </c>
      <c r="E2217" s="2647">
        <v>230.18799999999999</v>
      </c>
      <c r="F2217" s="2647" t="s">
        <v>2088</v>
      </c>
      <c r="G2217" s="2647" t="s">
        <v>2088</v>
      </c>
      <c r="H2217" s="2647" t="s">
        <v>2088</v>
      </c>
      <c r="I2217" s="2647" t="s">
        <v>2088</v>
      </c>
      <c r="J2217" s="2647">
        <v>61.923000000000002</v>
      </c>
      <c r="K2217" s="2648"/>
      <c r="L2217" s="2647" t="s">
        <v>2088</v>
      </c>
    </row>
    <row r="2218" spans="1:12">
      <c r="A2218" s="2646" t="s">
        <v>99</v>
      </c>
      <c r="B2218" s="2646" t="s">
        <v>4527</v>
      </c>
      <c r="C2218" s="2646" t="s">
        <v>2088</v>
      </c>
      <c r="D2218" s="2646" t="s">
        <v>2088</v>
      </c>
      <c r="E2218" s="2646" t="s">
        <v>2088</v>
      </c>
      <c r="F2218" s="2646" t="s">
        <v>2088</v>
      </c>
      <c r="G2218" s="2646" t="s">
        <v>2088</v>
      </c>
      <c r="H2218" s="2646" t="s">
        <v>2088</v>
      </c>
      <c r="I2218" s="2646" t="s">
        <v>2088</v>
      </c>
      <c r="J2218" s="2646" t="s">
        <v>2088</v>
      </c>
      <c r="L2218" s="2646" t="s">
        <v>2088</v>
      </c>
    </row>
    <row r="2219" spans="1:12">
      <c r="A2219" s="2647" t="s">
        <v>99</v>
      </c>
      <c r="B2219" s="2647" t="s">
        <v>4528</v>
      </c>
      <c r="C2219" s="2647" t="s">
        <v>2088</v>
      </c>
      <c r="D2219" s="2647" t="s">
        <v>2088</v>
      </c>
      <c r="E2219" s="2647" t="s">
        <v>2088</v>
      </c>
      <c r="F2219" s="2647" t="s">
        <v>2088</v>
      </c>
      <c r="G2219" s="2647" t="s">
        <v>2088</v>
      </c>
      <c r="H2219" s="2647" t="s">
        <v>2088</v>
      </c>
      <c r="I2219" s="2647" t="s">
        <v>2088</v>
      </c>
      <c r="J2219" s="2647" t="s">
        <v>2088</v>
      </c>
      <c r="K2219" s="2648"/>
      <c r="L2219" s="2647" t="s">
        <v>2088</v>
      </c>
    </row>
    <row r="2220" spans="1:12">
      <c r="A2220" s="2646" t="s">
        <v>99</v>
      </c>
      <c r="B2220" s="2646" t="s">
        <v>4529</v>
      </c>
      <c r="C2220" s="2646">
        <v>70</v>
      </c>
      <c r="D2220" s="2646">
        <v>120</v>
      </c>
      <c r="E2220" s="2646">
        <v>65.09</v>
      </c>
      <c r="F2220" s="2646" t="s">
        <v>2088</v>
      </c>
      <c r="G2220" s="2646" t="s">
        <v>2088</v>
      </c>
      <c r="H2220" s="2646" t="s">
        <v>2088</v>
      </c>
      <c r="I2220" s="2646" t="s">
        <v>2088</v>
      </c>
      <c r="J2220" s="2646">
        <v>2.76</v>
      </c>
      <c r="L2220" s="2646" t="s">
        <v>2088</v>
      </c>
    </row>
    <row r="2221" spans="1:12">
      <c r="A2221" s="2647" t="s">
        <v>99</v>
      </c>
      <c r="B2221" s="2647" t="s">
        <v>4530</v>
      </c>
      <c r="C2221" s="2647">
        <v>35</v>
      </c>
      <c r="D2221" s="2647">
        <v>64</v>
      </c>
      <c r="E2221" s="2647">
        <v>18.5</v>
      </c>
      <c r="F2221" s="2647" t="s">
        <v>2088</v>
      </c>
      <c r="G2221" s="2647" t="s">
        <v>2088</v>
      </c>
      <c r="H2221" s="2647" t="s">
        <v>2088</v>
      </c>
      <c r="I2221" s="2647" t="s">
        <v>2088</v>
      </c>
      <c r="J2221" s="2647">
        <v>0.51100000000000001</v>
      </c>
      <c r="K2221" s="2648"/>
      <c r="L2221" s="2647" t="s">
        <v>2088</v>
      </c>
    </row>
    <row r="2222" spans="1:12">
      <c r="A2222" s="2646" t="s">
        <v>99</v>
      </c>
      <c r="B2222" s="2646" t="s">
        <v>4531</v>
      </c>
      <c r="C2222" s="2646">
        <v>39</v>
      </c>
      <c r="D2222" s="2646">
        <v>68</v>
      </c>
      <c r="E2222" s="2646">
        <v>18.5</v>
      </c>
      <c r="F2222" s="2646" t="s">
        <v>2088</v>
      </c>
      <c r="G2222" s="2646" t="s">
        <v>2088</v>
      </c>
      <c r="H2222" s="2646" t="s">
        <v>2088</v>
      </c>
      <c r="I2222" s="2646" t="s">
        <v>2088</v>
      </c>
      <c r="J2222" s="2646">
        <v>0.54100000000000004</v>
      </c>
      <c r="L2222" s="2646" t="s">
        <v>2088</v>
      </c>
    </row>
    <row r="2223" spans="1:12">
      <c r="A2223" s="2647" t="s">
        <v>99</v>
      </c>
      <c r="B2223" s="2647" t="s">
        <v>4532</v>
      </c>
      <c r="C2223" s="2647">
        <v>114.3</v>
      </c>
      <c r="D2223" s="2647">
        <v>177.8</v>
      </c>
      <c r="E2223" s="2647">
        <v>92.075000000000003</v>
      </c>
      <c r="F2223" s="2647" t="s">
        <v>2088</v>
      </c>
      <c r="G2223" s="2647" t="s">
        <v>2088</v>
      </c>
      <c r="H2223" s="2647" t="s">
        <v>2088</v>
      </c>
      <c r="I2223" s="2647" t="s">
        <v>2088</v>
      </c>
      <c r="J2223" s="2647">
        <v>7.45</v>
      </c>
      <c r="K2223" s="2648"/>
      <c r="L2223" s="2647" t="s">
        <v>2088</v>
      </c>
    </row>
    <row r="2224" spans="1:12">
      <c r="A2224" s="2646" t="s">
        <v>99</v>
      </c>
      <c r="B2224" s="2646" t="s">
        <v>4533</v>
      </c>
      <c r="C2224" s="2646">
        <v>165.1</v>
      </c>
      <c r="D2224" s="2646">
        <v>225.42500000000001</v>
      </c>
      <c r="E2224" s="2646">
        <v>95.25</v>
      </c>
      <c r="F2224" s="2646" t="s">
        <v>2088</v>
      </c>
      <c r="G2224" s="2646" t="s">
        <v>2088</v>
      </c>
      <c r="H2224" s="2646" t="s">
        <v>2088</v>
      </c>
      <c r="I2224" s="2646" t="s">
        <v>2088</v>
      </c>
      <c r="J2224" s="2646">
        <v>10.51</v>
      </c>
      <c r="L2224" s="2646" t="s">
        <v>2088</v>
      </c>
    </row>
    <row r="2225" spans="1:12">
      <c r="A2225" s="2647" t="s">
        <v>99</v>
      </c>
      <c r="B2225" s="2647" t="s">
        <v>4534</v>
      </c>
      <c r="C2225" s="2647">
        <v>111.125</v>
      </c>
      <c r="D2225" s="2647">
        <v>190.5</v>
      </c>
      <c r="E2225" s="2647">
        <v>106.36199999999999</v>
      </c>
      <c r="F2225" s="2647" t="s">
        <v>2088</v>
      </c>
      <c r="G2225" s="2647" t="s">
        <v>2088</v>
      </c>
      <c r="H2225" s="2647" t="s">
        <v>2088</v>
      </c>
      <c r="I2225" s="2647" t="s">
        <v>2088</v>
      </c>
      <c r="J2225" s="2647">
        <v>11.95</v>
      </c>
      <c r="K2225" s="2648"/>
      <c r="L2225" s="2647" t="s">
        <v>2088</v>
      </c>
    </row>
    <row r="2226" spans="1:12">
      <c r="A2226" s="2646" t="s">
        <v>99</v>
      </c>
      <c r="B2226" s="2646" t="s">
        <v>4535</v>
      </c>
      <c r="C2226" s="2646">
        <v>139.69999999999999</v>
      </c>
      <c r="D2226" s="2646">
        <v>215.9</v>
      </c>
      <c r="E2226" s="2646">
        <v>106.36199999999999</v>
      </c>
      <c r="F2226" s="2646" t="s">
        <v>2088</v>
      </c>
      <c r="G2226" s="2646" t="s">
        <v>2088</v>
      </c>
      <c r="H2226" s="2646" t="s">
        <v>2088</v>
      </c>
      <c r="I2226" s="2646" t="s">
        <v>2088</v>
      </c>
      <c r="J2226" s="2646">
        <v>9.94</v>
      </c>
      <c r="L2226" s="2646" t="s">
        <v>2088</v>
      </c>
    </row>
    <row r="2227" spans="1:12">
      <c r="A2227" s="2647" t="s">
        <v>99</v>
      </c>
      <c r="B2227" s="2647" t="s">
        <v>4536</v>
      </c>
      <c r="C2227" s="2647">
        <v>203.2</v>
      </c>
      <c r="D2227" s="2647">
        <v>406.4</v>
      </c>
      <c r="E2227" s="2647">
        <v>169.85</v>
      </c>
      <c r="F2227" s="2647" t="s">
        <v>2088</v>
      </c>
      <c r="G2227" s="2647" t="s">
        <v>2088</v>
      </c>
      <c r="H2227" s="2647" t="s">
        <v>2088</v>
      </c>
      <c r="I2227" s="2647" t="s">
        <v>2088</v>
      </c>
      <c r="J2227" s="2647">
        <v>107</v>
      </c>
      <c r="K2227" s="2648"/>
      <c r="L2227" s="2647" t="s">
        <v>2088</v>
      </c>
    </row>
    <row r="2228" spans="1:12">
      <c r="A2228" s="2646" t="s">
        <v>99</v>
      </c>
      <c r="B2228" s="2646" t="s">
        <v>4537</v>
      </c>
      <c r="C2228" s="2646">
        <v>249.25</v>
      </c>
      <c r="D2228" s="2646">
        <v>381</v>
      </c>
      <c r="E2228" s="2646">
        <v>171.45</v>
      </c>
      <c r="F2228" s="2646" t="s">
        <v>2088</v>
      </c>
      <c r="G2228" s="2646" t="s">
        <v>2088</v>
      </c>
      <c r="H2228" s="2646" t="s">
        <v>2088</v>
      </c>
      <c r="I2228" s="2646" t="s">
        <v>2088</v>
      </c>
      <c r="J2228" s="2646">
        <v>63.4</v>
      </c>
      <c r="L2228" s="2646" t="s">
        <v>2088</v>
      </c>
    </row>
    <row r="2229" spans="1:12">
      <c r="A2229" s="2647" t="s">
        <v>99</v>
      </c>
      <c r="B2229" s="2647" t="s">
        <v>4538</v>
      </c>
      <c r="C2229" s="2647">
        <v>119.062</v>
      </c>
      <c r="D2229" s="2647">
        <v>195</v>
      </c>
      <c r="E2229" s="2647">
        <v>142.875</v>
      </c>
      <c r="F2229" s="2647" t="s">
        <v>2088</v>
      </c>
      <c r="G2229" s="2647" t="s">
        <v>2088</v>
      </c>
      <c r="H2229" s="2647" t="s">
        <v>2088</v>
      </c>
      <c r="I2229" s="2647" t="s">
        <v>2088</v>
      </c>
      <c r="J2229" s="2647" t="s">
        <v>2088</v>
      </c>
      <c r="K2229" s="2648"/>
      <c r="L2229" s="2647" t="s">
        <v>2088</v>
      </c>
    </row>
    <row r="2230" spans="1:12">
      <c r="A2230" s="2646" t="s">
        <v>99</v>
      </c>
      <c r="B2230" s="2646" t="s">
        <v>4539</v>
      </c>
      <c r="C2230" s="2646">
        <v>144.44999999999999</v>
      </c>
      <c r="D2230" s="2646">
        <v>220.66300000000001</v>
      </c>
      <c r="E2230" s="2646">
        <v>155.57599999999999</v>
      </c>
      <c r="F2230" s="2646" t="s">
        <v>2088</v>
      </c>
      <c r="G2230" s="2646" t="s">
        <v>2088</v>
      </c>
      <c r="H2230" s="2646" t="s">
        <v>2088</v>
      </c>
      <c r="I2230" s="2646" t="s">
        <v>2088</v>
      </c>
      <c r="J2230" s="2646">
        <v>18.2</v>
      </c>
      <c r="L2230" s="2646" t="s">
        <v>2088</v>
      </c>
    </row>
    <row r="2231" spans="1:12">
      <c r="A2231" s="2647" t="s">
        <v>99</v>
      </c>
      <c r="B2231" s="2647" t="s">
        <v>4540</v>
      </c>
      <c r="C2231" s="2647">
        <v>368.24900000000002</v>
      </c>
      <c r="D2231" s="2647">
        <v>523.85699999999997</v>
      </c>
      <c r="E2231" s="2647">
        <v>203.2</v>
      </c>
      <c r="F2231" s="2647" t="s">
        <v>2088</v>
      </c>
      <c r="G2231" s="2647" t="s">
        <v>2088</v>
      </c>
      <c r="H2231" s="2647" t="s">
        <v>2088</v>
      </c>
      <c r="I2231" s="2647" t="s">
        <v>2088</v>
      </c>
      <c r="J2231" s="2647">
        <v>184</v>
      </c>
      <c r="K2231" s="2648"/>
      <c r="L2231" s="2647">
        <v>97974</v>
      </c>
    </row>
    <row r="2232" spans="1:12">
      <c r="A2232" s="2646" t="s">
        <v>99</v>
      </c>
      <c r="B2232" s="2646" t="s">
        <v>4541</v>
      </c>
      <c r="C2232" s="2646">
        <v>355.6</v>
      </c>
      <c r="D2232" s="2646">
        <v>501.65</v>
      </c>
      <c r="E2232" s="2646">
        <v>146.05000000000001</v>
      </c>
      <c r="F2232" s="2646" t="s">
        <v>2088</v>
      </c>
      <c r="G2232" s="2646" t="s">
        <v>2088</v>
      </c>
      <c r="H2232" s="2646" t="s">
        <v>2088</v>
      </c>
      <c r="I2232" s="2646" t="s">
        <v>2088</v>
      </c>
      <c r="J2232" s="2646">
        <v>88</v>
      </c>
      <c r="L2232" s="2646" t="s">
        <v>2088</v>
      </c>
    </row>
    <row r="2233" spans="1:12">
      <c r="A2233" s="2647" t="s">
        <v>99</v>
      </c>
      <c r="B2233" s="2647" t="s">
        <v>4542</v>
      </c>
      <c r="C2233" s="2647">
        <v>65</v>
      </c>
      <c r="D2233" s="2647">
        <v>120</v>
      </c>
      <c r="E2233" s="2647">
        <v>86</v>
      </c>
      <c r="F2233" s="2647" t="s">
        <v>2088</v>
      </c>
      <c r="G2233" s="2647" t="s">
        <v>2088</v>
      </c>
      <c r="H2233" s="2647" t="s">
        <v>2088</v>
      </c>
      <c r="I2233" s="2647" t="s">
        <v>2088</v>
      </c>
      <c r="J2233" s="2647">
        <v>3.89</v>
      </c>
      <c r="K2233" s="2648"/>
      <c r="L2233" s="2647" t="s">
        <v>2088</v>
      </c>
    </row>
    <row r="2234" spans="1:12">
      <c r="A2234" s="2646" t="s">
        <v>99</v>
      </c>
      <c r="B2234" s="2646" t="s">
        <v>4543</v>
      </c>
      <c r="C2234" s="2646">
        <v>65</v>
      </c>
      <c r="D2234" s="2646">
        <v>120</v>
      </c>
      <c r="E2234" s="2646">
        <v>86</v>
      </c>
      <c r="F2234" s="2646" t="s">
        <v>2088</v>
      </c>
      <c r="G2234" s="2646" t="s">
        <v>2088</v>
      </c>
      <c r="H2234" s="2646" t="s">
        <v>2088</v>
      </c>
      <c r="I2234" s="2646" t="s">
        <v>2088</v>
      </c>
      <c r="J2234" s="2646">
        <v>3.89</v>
      </c>
      <c r="L2234" s="2646" t="s">
        <v>2088</v>
      </c>
    </row>
    <row r="2235" spans="1:12">
      <c r="A2235" s="2647" t="s">
        <v>99</v>
      </c>
      <c r="B2235" s="2647" t="s">
        <v>4544</v>
      </c>
      <c r="C2235" s="2647">
        <v>177.8</v>
      </c>
      <c r="D2235" s="2647">
        <v>288.92500000000001</v>
      </c>
      <c r="E2235" s="2647">
        <v>142.875</v>
      </c>
      <c r="F2235" s="2647" t="s">
        <v>2088</v>
      </c>
      <c r="G2235" s="2647" t="s">
        <v>2088</v>
      </c>
      <c r="H2235" s="2647" t="s">
        <v>2088</v>
      </c>
      <c r="I2235" s="2647" t="s">
        <v>2088</v>
      </c>
      <c r="J2235" s="2647">
        <v>31.4</v>
      </c>
      <c r="K2235" s="2648"/>
      <c r="L2235" s="2647" t="s">
        <v>2088</v>
      </c>
    </row>
    <row r="2236" spans="1:12">
      <c r="A2236" s="2646" t="s">
        <v>99</v>
      </c>
      <c r="B2236" s="2646" t="s">
        <v>4545</v>
      </c>
      <c r="C2236" s="2646">
        <v>177.8</v>
      </c>
      <c r="D2236" s="2646">
        <v>288.29500000000002</v>
      </c>
      <c r="E2236" s="2646">
        <v>123.825</v>
      </c>
      <c r="F2236" s="2646" t="s">
        <v>2088</v>
      </c>
      <c r="G2236" s="2646" t="s">
        <v>2088</v>
      </c>
      <c r="H2236" s="2646" t="s">
        <v>2088</v>
      </c>
      <c r="I2236" s="2646" t="s">
        <v>2088</v>
      </c>
      <c r="J2236" s="2646">
        <v>31.5</v>
      </c>
      <c r="L2236" s="2646" t="s">
        <v>4546</v>
      </c>
    </row>
    <row r="2237" spans="1:12">
      <c r="A2237" s="2647" t="s">
        <v>99</v>
      </c>
      <c r="B2237" s="2647" t="s">
        <v>4547</v>
      </c>
      <c r="C2237" s="2647">
        <v>177.8</v>
      </c>
      <c r="D2237" s="2647">
        <v>288.92500000000001</v>
      </c>
      <c r="E2237" s="2647">
        <v>142.875</v>
      </c>
      <c r="F2237" s="2647" t="s">
        <v>2088</v>
      </c>
      <c r="G2237" s="2647" t="s">
        <v>2088</v>
      </c>
      <c r="H2237" s="2647" t="s">
        <v>2088</v>
      </c>
      <c r="I2237" s="2647" t="s">
        <v>2088</v>
      </c>
      <c r="J2237" s="2647">
        <v>30.8</v>
      </c>
      <c r="K2237" s="2648"/>
      <c r="L2237" s="2647" t="s">
        <v>4548</v>
      </c>
    </row>
    <row r="2238" spans="1:12">
      <c r="A2238" s="2646" t="s">
        <v>99</v>
      </c>
      <c r="B2238" s="2646" t="s">
        <v>4549</v>
      </c>
      <c r="C2238" s="2646">
        <v>177.8</v>
      </c>
      <c r="D2238" s="2646">
        <v>288.92500000000001</v>
      </c>
      <c r="E2238" s="2646">
        <v>142.875</v>
      </c>
      <c r="F2238" s="2646" t="s">
        <v>2088</v>
      </c>
      <c r="G2238" s="2646" t="s">
        <v>2088</v>
      </c>
      <c r="H2238" s="2646" t="s">
        <v>2088</v>
      </c>
      <c r="I2238" s="2646" t="s">
        <v>2088</v>
      </c>
      <c r="J2238" s="2646">
        <v>33</v>
      </c>
      <c r="L2238" s="2646" t="s">
        <v>2088</v>
      </c>
    </row>
    <row r="2239" spans="1:12">
      <c r="A2239" s="2647" t="s">
        <v>99</v>
      </c>
      <c r="B2239" s="2647" t="s">
        <v>4550</v>
      </c>
      <c r="C2239" s="2647">
        <v>203.2</v>
      </c>
      <c r="D2239" s="2647">
        <v>276.22500000000002</v>
      </c>
      <c r="E2239" s="2647">
        <v>95.25</v>
      </c>
      <c r="F2239" s="2647" t="s">
        <v>2088</v>
      </c>
      <c r="G2239" s="2647" t="s">
        <v>2088</v>
      </c>
      <c r="H2239" s="2647" t="s">
        <v>2088</v>
      </c>
      <c r="I2239" s="2647" t="s">
        <v>2088</v>
      </c>
      <c r="J2239" s="2647">
        <v>14.8</v>
      </c>
      <c r="K2239" s="2648"/>
      <c r="L2239" s="2647" t="s">
        <v>4551</v>
      </c>
    </row>
    <row r="2240" spans="1:12">
      <c r="A2240" s="2646" t="s">
        <v>99</v>
      </c>
      <c r="B2240" s="2646" t="s">
        <v>4552</v>
      </c>
      <c r="C2240" s="2646" t="s">
        <v>4553</v>
      </c>
      <c r="D2240" s="2646" t="s">
        <v>4554</v>
      </c>
      <c r="E2240" s="2646" t="s">
        <v>718</v>
      </c>
      <c r="F2240" s="2646" t="s">
        <v>2088</v>
      </c>
      <c r="G2240" s="2646" t="s">
        <v>2088</v>
      </c>
      <c r="H2240" s="2646" t="s">
        <v>2088</v>
      </c>
      <c r="I2240" s="2646" t="s">
        <v>2088</v>
      </c>
      <c r="J2240" s="2646">
        <v>24.4</v>
      </c>
      <c r="L2240" s="2646" t="s">
        <v>2088</v>
      </c>
    </row>
    <row r="2241" spans="1:12">
      <c r="A2241" s="2647" t="s">
        <v>99</v>
      </c>
      <c r="B2241" s="2647" t="s">
        <v>4555</v>
      </c>
      <c r="C2241" s="2647">
        <v>498.47500000000002</v>
      </c>
      <c r="D2241" s="2647">
        <v>634.87300000000005</v>
      </c>
      <c r="E2241" s="2647">
        <v>177.8</v>
      </c>
      <c r="F2241" s="2647" t="s">
        <v>2088</v>
      </c>
      <c r="G2241" s="2647" t="s">
        <v>2088</v>
      </c>
      <c r="H2241" s="2647" t="s">
        <v>2088</v>
      </c>
      <c r="I2241" s="2647" t="s">
        <v>2088</v>
      </c>
      <c r="J2241" s="2647">
        <v>127</v>
      </c>
      <c r="K2241" s="2648"/>
      <c r="L2241" s="2647" t="s">
        <v>4556</v>
      </c>
    </row>
    <row r="2242" spans="1:12">
      <c r="A2242" s="2646" t="s">
        <v>99</v>
      </c>
      <c r="B2242" s="2646" t="s">
        <v>4557</v>
      </c>
      <c r="C2242" s="2646">
        <v>279.39999999999998</v>
      </c>
      <c r="D2242" s="2646">
        <v>457.2</v>
      </c>
      <c r="E2242" s="2646">
        <v>244.75</v>
      </c>
      <c r="F2242" s="2646" t="s">
        <v>2088</v>
      </c>
      <c r="G2242" s="2646" t="s">
        <v>2088</v>
      </c>
      <c r="H2242" s="2646" t="s">
        <v>2088</v>
      </c>
      <c r="I2242" s="2646" t="s">
        <v>2088</v>
      </c>
      <c r="J2242" s="2646">
        <v>180.75</v>
      </c>
      <c r="L2242" s="2646" t="s">
        <v>2088</v>
      </c>
    </row>
    <row r="2243" spans="1:12">
      <c r="A2243" s="2647" t="s">
        <v>99</v>
      </c>
      <c r="B2243" s="2647" t="s">
        <v>4558</v>
      </c>
      <c r="C2243" s="2647">
        <v>303.21199999999999</v>
      </c>
      <c r="D2243" s="2647">
        <v>495.3</v>
      </c>
      <c r="E2243" s="2647">
        <v>263.52499999999998</v>
      </c>
      <c r="F2243" s="2647" t="s">
        <v>2088</v>
      </c>
      <c r="G2243" s="2647" t="s">
        <v>2088</v>
      </c>
      <c r="H2243" s="2647" t="s">
        <v>2088</v>
      </c>
      <c r="I2243" s="2647" t="s">
        <v>2088</v>
      </c>
      <c r="J2243" s="2647">
        <v>223.84</v>
      </c>
      <c r="K2243" s="2648"/>
      <c r="L2243" s="2647" t="s">
        <v>2088</v>
      </c>
    </row>
    <row r="2244" spans="1:12">
      <c r="A2244" s="2646" t="s">
        <v>99</v>
      </c>
      <c r="B2244" s="2646" t="s">
        <v>4559</v>
      </c>
      <c r="C2244" s="2646" t="s">
        <v>4553</v>
      </c>
      <c r="D2244" s="2646" t="s">
        <v>4554</v>
      </c>
      <c r="E2244" s="2646" t="s">
        <v>718</v>
      </c>
      <c r="F2244" s="2646" t="s">
        <v>2088</v>
      </c>
      <c r="G2244" s="2646" t="s">
        <v>2088</v>
      </c>
      <c r="H2244" s="2646" t="s">
        <v>2088</v>
      </c>
      <c r="I2244" s="2646" t="s">
        <v>2088</v>
      </c>
      <c r="J2244" s="2646">
        <v>102</v>
      </c>
      <c r="L2244" s="2646" t="s">
        <v>2088</v>
      </c>
    </row>
    <row r="2245" spans="1:12">
      <c r="A2245" s="2647" t="s">
        <v>99</v>
      </c>
      <c r="B2245" s="2647" t="s">
        <v>4560</v>
      </c>
      <c r="C2245" s="2647">
        <v>333.375</v>
      </c>
      <c r="D2245" s="2647">
        <v>469.9</v>
      </c>
      <c r="E2245" s="2647">
        <v>342.9</v>
      </c>
      <c r="F2245" s="2647" t="s">
        <v>2088</v>
      </c>
      <c r="G2245" s="2647" t="s">
        <v>2088</v>
      </c>
      <c r="H2245" s="2647" t="s">
        <v>2088</v>
      </c>
      <c r="I2245" s="2647" t="s">
        <v>2088</v>
      </c>
      <c r="J2245" s="2647">
        <v>194</v>
      </c>
      <c r="K2245" s="2648"/>
      <c r="L2245" s="2647">
        <v>77970</v>
      </c>
    </row>
    <row r="2246" spans="1:12">
      <c r="A2246" s="2646" t="s">
        <v>99</v>
      </c>
      <c r="B2246" s="2646" t="s">
        <v>4561</v>
      </c>
      <c r="C2246" s="2646">
        <v>368.24900000000002</v>
      </c>
      <c r="D2246" s="2646">
        <v>523.875</v>
      </c>
      <c r="E2246" s="2646">
        <v>214.31200000000001</v>
      </c>
      <c r="F2246" s="2646" t="s">
        <v>2088</v>
      </c>
      <c r="G2246" s="2646" t="s">
        <v>2088</v>
      </c>
      <c r="H2246" s="2646" t="s">
        <v>2088</v>
      </c>
      <c r="I2246" s="2646" t="s">
        <v>2088</v>
      </c>
      <c r="J2246" s="2646">
        <v>143</v>
      </c>
      <c r="L2246" s="2646" t="s">
        <v>4562</v>
      </c>
    </row>
    <row r="2247" spans="1:12">
      <c r="A2247" s="2647" t="s">
        <v>99</v>
      </c>
      <c r="B2247" s="2647" t="s">
        <v>4563</v>
      </c>
      <c r="C2247" s="2647" t="s">
        <v>4553</v>
      </c>
      <c r="D2247" s="2647" t="s">
        <v>4554</v>
      </c>
      <c r="E2247" s="2647" t="s">
        <v>718</v>
      </c>
      <c r="F2247" s="2647" t="s">
        <v>2088</v>
      </c>
      <c r="G2247" s="2647" t="s">
        <v>2088</v>
      </c>
      <c r="H2247" s="2647" t="s">
        <v>2088</v>
      </c>
      <c r="I2247" s="2647" t="s">
        <v>2088</v>
      </c>
      <c r="J2247" s="2647">
        <v>140</v>
      </c>
      <c r="K2247" s="2648"/>
      <c r="L2247" s="2647" t="s">
        <v>2088</v>
      </c>
    </row>
    <row r="2248" spans="1:12">
      <c r="A2248" s="2646" t="s">
        <v>99</v>
      </c>
      <c r="B2248" s="2646" t="s">
        <v>4564</v>
      </c>
      <c r="C2248" s="2646">
        <v>482.6</v>
      </c>
      <c r="D2248" s="2646">
        <v>615.95000000000005</v>
      </c>
      <c r="E2248" s="2646">
        <v>33.020000000000003</v>
      </c>
      <c r="F2248" s="2646" t="s">
        <v>2088</v>
      </c>
      <c r="G2248" s="2646" t="s">
        <v>2088</v>
      </c>
      <c r="H2248" s="2646" t="s">
        <v>2088</v>
      </c>
      <c r="I2248" s="2646" t="s">
        <v>2088</v>
      </c>
      <c r="J2248" s="2646">
        <v>252</v>
      </c>
      <c r="L2248" s="2646" t="s">
        <v>2088</v>
      </c>
    </row>
    <row r="2249" spans="1:12">
      <c r="A2249" s="2647" t="s">
        <v>99</v>
      </c>
      <c r="B2249" s="2647" t="s">
        <v>4565</v>
      </c>
      <c r="C2249" s="2647">
        <v>187.32499999999999</v>
      </c>
      <c r="D2249" s="2647">
        <v>269.875</v>
      </c>
      <c r="E2249" s="2647">
        <v>119.062</v>
      </c>
      <c r="F2249" s="2647" t="s">
        <v>2088</v>
      </c>
      <c r="G2249" s="2647" t="s">
        <v>2088</v>
      </c>
      <c r="H2249" s="2647" t="s">
        <v>2088</v>
      </c>
      <c r="I2249" s="2647" t="s">
        <v>2088</v>
      </c>
      <c r="J2249" s="2647">
        <v>19.3</v>
      </c>
      <c r="K2249" s="2648"/>
      <c r="L2249" s="2647" t="s">
        <v>2088</v>
      </c>
    </row>
    <row r="2250" spans="1:12">
      <c r="A2250" s="2646" t="s">
        <v>99</v>
      </c>
      <c r="B2250" s="2646" t="s">
        <v>4566</v>
      </c>
      <c r="C2250" s="2646">
        <v>228.6</v>
      </c>
      <c r="D2250" s="2646">
        <v>358.77499999999998</v>
      </c>
      <c r="E2250" s="2646">
        <v>152.4</v>
      </c>
      <c r="F2250" s="2646" t="s">
        <v>2088</v>
      </c>
      <c r="G2250" s="2646" t="s">
        <v>2088</v>
      </c>
      <c r="H2250" s="2646" t="s">
        <v>2088</v>
      </c>
      <c r="I2250" s="2646" t="s">
        <v>2088</v>
      </c>
      <c r="J2250" s="2646">
        <v>56.7</v>
      </c>
      <c r="L2250" s="2646" t="s">
        <v>2088</v>
      </c>
    </row>
    <row r="2251" spans="1:12">
      <c r="A2251" s="2647" t="s">
        <v>99</v>
      </c>
      <c r="B2251" s="2647" t="s">
        <v>4567</v>
      </c>
      <c r="C2251" s="2647" t="s">
        <v>4553</v>
      </c>
      <c r="D2251" s="2647" t="s">
        <v>4554</v>
      </c>
      <c r="E2251" s="2647" t="s">
        <v>718</v>
      </c>
      <c r="F2251" s="2647" t="s">
        <v>2088</v>
      </c>
      <c r="G2251" s="2647" t="s">
        <v>2088</v>
      </c>
      <c r="H2251" s="2647" t="s">
        <v>2088</v>
      </c>
      <c r="I2251" s="2647" t="s">
        <v>2088</v>
      </c>
      <c r="J2251" s="2647">
        <v>58</v>
      </c>
      <c r="K2251" s="2648"/>
      <c r="L2251" s="2647" t="s">
        <v>4327</v>
      </c>
    </row>
    <row r="2252" spans="1:12">
      <c r="A2252" s="2646" t="s">
        <v>99</v>
      </c>
      <c r="B2252" s="2646" t="s">
        <v>4568</v>
      </c>
      <c r="C2252" s="2646">
        <v>415.93</v>
      </c>
      <c r="D2252" s="2646">
        <v>590.54999999999995</v>
      </c>
      <c r="E2252" s="2646">
        <v>209.55</v>
      </c>
      <c r="F2252" s="2646" t="s">
        <v>2088</v>
      </c>
      <c r="G2252" s="2646" t="s">
        <v>2088</v>
      </c>
      <c r="H2252" s="2646" t="s">
        <v>2088</v>
      </c>
      <c r="I2252" s="2646" t="s">
        <v>2088</v>
      </c>
      <c r="J2252" s="2646">
        <v>179</v>
      </c>
      <c r="L2252" s="2646" t="s">
        <v>2088</v>
      </c>
    </row>
    <row r="2253" spans="1:12">
      <c r="A2253" s="2647" t="s">
        <v>99</v>
      </c>
      <c r="B2253" s="2647" t="s">
        <v>4569</v>
      </c>
      <c r="C2253" s="2647">
        <v>447.67500000000001</v>
      </c>
      <c r="D2253" s="2647">
        <v>635</v>
      </c>
      <c r="E2253" s="2647">
        <v>223.83799999999999</v>
      </c>
      <c r="F2253" s="2647" t="s">
        <v>2088</v>
      </c>
      <c r="G2253" s="2647" t="s">
        <v>2088</v>
      </c>
      <c r="H2253" s="2647" t="s">
        <v>2088</v>
      </c>
      <c r="I2253" s="2647" t="s">
        <v>2088</v>
      </c>
      <c r="J2253" s="2647">
        <v>238.3</v>
      </c>
      <c r="K2253" s="2648"/>
      <c r="L2253" s="2647" t="s">
        <v>2088</v>
      </c>
    </row>
    <row r="2254" spans="1:12">
      <c r="A2254" s="2646" t="s">
        <v>99</v>
      </c>
      <c r="B2254" s="2646" t="s">
        <v>4570</v>
      </c>
      <c r="C2254" s="2646">
        <v>479.42500000000001</v>
      </c>
      <c r="D2254" s="2646">
        <v>679.45</v>
      </c>
      <c r="E2254" s="2646">
        <v>276.22500000000002</v>
      </c>
      <c r="F2254" s="2646" t="s">
        <v>2088</v>
      </c>
      <c r="G2254" s="2646" t="s">
        <v>2088</v>
      </c>
      <c r="H2254" s="2646" t="s">
        <v>2088</v>
      </c>
      <c r="I2254" s="2646" t="s">
        <v>2088</v>
      </c>
      <c r="J2254" s="2646">
        <v>322</v>
      </c>
      <c r="L2254" s="2646" t="s">
        <v>4571</v>
      </c>
    </row>
    <row r="2255" spans="1:12">
      <c r="A2255" s="2647" t="s">
        <v>99</v>
      </c>
      <c r="B2255" s="2647" t="s">
        <v>4572</v>
      </c>
      <c r="C2255" s="2647">
        <v>304.8</v>
      </c>
      <c r="D2255" s="2647">
        <v>393.7</v>
      </c>
      <c r="E2255" s="2647">
        <v>50.8</v>
      </c>
      <c r="F2255" s="2647" t="s">
        <v>2088</v>
      </c>
      <c r="G2255" s="2647" t="s">
        <v>2088</v>
      </c>
      <c r="H2255" s="2647" t="s">
        <v>2088</v>
      </c>
      <c r="I2255" s="2647" t="s">
        <v>2088</v>
      </c>
      <c r="J2255" s="2647">
        <v>14.6</v>
      </c>
      <c r="K2255" s="2648"/>
      <c r="L2255" s="2647" t="s">
        <v>2088</v>
      </c>
    </row>
    <row r="2256" spans="1:12">
      <c r="A2256" s="2646" t="s">
        <v>99</v>
      </c>
      <c r="B2256" s="2646" t="s">
        <v>4573</v>
      </c>
      <c r="C2256" s="2646">
        <v>304.8</v>
      </c>
      <c r="D2256" s="2646">
        <v>393.7</v>
      </c>
      <c r="E2256" s="2646">
        <v>107.95</v>
      </c>
      <c r="F2256" s="2646" t="s">
        <v>2088</v>
      </c>
      <c r="G2256" s="2646" t="s">
        <v>2088</v>
      </c>
      <c r="H2256" s="2646" t="s">
        <v>2088</v>
      </c>
      <c r="I2256" s="2646" t="s">
        <v>2088</v>
      </c>
      <c r="J2256" s="2646">
        <v>30</v>
      </c>
      <c r="L2256" s="2646" t="s">
        <v>2887</v>
      </c>
    </row>
    <row r="2257" spans="1:12">
      <c r="A2257" s="2647" t="s">
        <v>99</v>
      </c>
      <c r="B2257" s="2647" t="s">
        <v>4574</v>
      </c>
      <c r="C2257" s="2647">
        <v>203.2</v>
      </c>
      <c r="D2257" s="2647">
        <v>368.3</v>
      </c>
      <c r="E2257" s="2647">
        <v>158.72</v>
      </c>
      <c r="F2257" s="2647" t="s">
        <v>2088</v>
      </c>
      <c r="G2257" s="2647" t="s">
        <v>2088</v>
      </c>
      <c r="H2257" s="2647" t="s">
        <v>2088</v>
      </c>
      <c r="I2257" s="2647" t="s">
        <v>2088</v>
      </c>
      <c r="J2257" s="2647">
        <v>76.2</v>
      </c>
      <c r="K2257" s="2648"/>
      <c r="L2257" s="2647" t="s">
        <v>4575</v>
      </c>
    </row>
    <row r="2258" spans="1:12">
      <c r="A2258" s="2646" t="s">
        <v>99</v>
      </c>
      <c r="B2258" s="2646" t="s">
        <v>4576</v>
      </c>
      <c r="C2258" s="2646">
        <v>65</v>
      </c>
      <c r="D2258" s="2646">
        <v>110</v>
      </c>
      <c r="E2258" s="2646">
        <v>62</v>
      </c>
      <c r="F2258" s="2646" t="s">
        <v>2088</v>
      </c>
      <c r="G2258" s="2646" t="s">
        <v>2088</v>
      </c>
      <c r="H2258" s="2646" t="s">
        <v>2088</v>
      </c>
      <c r="I2258" s="2646" t="s">
        <v>2088</v>
      </c>
      <c r="J2258" s="2646">
        <v>2.25</v>
      </c>
      <c r="L2258" s="2646" t="s">
        <v>2088</v>
      </c>
    </row>
    <row r="2259" spans="1:12">
      <c r="A2259" s="2647" t="s">
        <v>99</v>
      </c>
      <c r="B2259" s="2647" t="s">
        <v>4577</v>
      </c>
      <c r="C2259" s="2647">
        <v>170</v>
      </c>
      <c r="D2259" s="2647">
        <v>230</v>
      </c>
      <c r="E2259" s="2647">
        <v>87</v>
      </c>
      <c r="F2259" s="2647" t="s">
        <v>2088</v>
      </c>
      <c r="G2259" s="2647" t="s">
        <v>2088</v>
      </c>
      <c r="H2259" s="2647" t="s">
        <v>2088</v>
      </c>
      <c r="I2259" s="2647" t="s">
        <v>2088</v>
      </c>
      <c r="J2259" s="2647">
        <v>9.4</v>
      </c>
      <c r="K2259" s="2648"/>
      <c r="L2259" s="2647" t="s">
        <v>2088</v>
      </c>
    </row>
    <row r="2260" spans="1:12">
      <c r="A2260" s="2646" t="s">
        <v>99</v>
      </c>
      <c r="B2260" s="2646" t="s">
        <v>4578</v>
      </c>
      <c r="C2260" s="2646">
        <v>292.10000000000002</v>
      </c>
      <c r="D2260" s="2646">
        <v>469.9</v>
      </c>
      <c r="E2260" s="2646">
        <v>200.02500000000001</v>
      </c>
      <c r="F2260" s="2646" t="s">
        <v>2088</v>
      </c>
      <c r="G2260" s="2646" t="s">
        <v>2088</v>
      </c>
      <c r="H2260" s="2646" t="s">
        <v>2088</v>
      </c>
      <c r="I2260" s="2646" t="s">
        <v>2088</v>
      </c>
      <c r="J2260" s="2646">
        <v>122</v>
      </c>
      <c r="L2260" s="2646" t="s">
        <v>2088</v>
      </c>
    </row>
    <row r="2261" spans="1:12">
      <c r="A2261" s="2647" t="s">
        <v>99</v>
      </c>
      <c r="B2261" s="2647" t="s">
        <v>4579</v>
      </c>
      <c r="C2261" s="2647">
        <v>458.95</v>
      </c>
      <c r="D2261" s="2647">
        <v>634.87300000000005</v>
      </c>
      <c r="E2261" s="2647">
        <v>180.97499999999999</v>
      </c>
      <c r="F2261" s="2647" t="s">
        <v>2088</v>
      </c>
      <c r="G2261" s="2647" t="s">
        <v>2088</v>
      </c>
      <c r="H2261" s="2647" t="s">
        <v>2088</v>
      </c>
      <c r="I2261" s="2647" t="s">
        <v>2088</v>
      </c>
      <c r="J2261" s="2647">
        <v>138</v>
      </c>
      <c r="K2261" s="2648"/>
      <c r="L2261" s="2647" t="s">
        <v>2088</v>
      </c>
    </row>
    <row r="2262" spans="1:12">
      <c r="A2262" s="2646" t="s">
        <v>99</v>
      </c>
      <c r="B2262" s="2646" t="s">
        <v>4580</v>
      </c>
      <c r="C2262" s="2646">
        <v>254</v>
      </c>
      <c r="D2262" s="2646">
        <v>438.15</v>
      </c>
      <c r="E2262" s="2646">
        <v>165.1</v>
      </c>
      <c r="F2262" s="2646" t="s">
        <v>2088</v>
      </c>
      <c r="G2262" s="2646" t="s">
        <v>2088</v>
      </c>
      <c r="H2262" s="2646" t="s">
        <v>2088</v>
      </c>
      <c r="I2262" s="2646" t="s">
        <v>2088</v>
      </c>
      <c r="J2262" s="2646">
        <v>105</v>
      </c>
      <c r="L2262" s="2646" t="s">
        <v>4581</v>
      </c>
    </row>
    <row r="2263" spans="1:12">
      <c r="A2263" s="2647" t="s">
        <v>99</v>
      </c>
      <c r="B2263" s="2647" t="s">
        <v>4582</v>
      </c>
      <c r="C2263" s="2647">
        <v>254</v>
      </c>
      <c r="D2263" s="2647">
        <v>444.5</v>
      </c>
      <c r="E2263" s="2647">
        <v>133.35</v>
      </c>
      <c r="F2263" s="2647" t="s">
        <v>2088</v>
      </c>
      <c r="G2263" s="2647" t="s">
        <v>2088</v>
      </c>
      <c r="H2263" s="2647" t="s">
        <v>2088</v>
      </c>
      <c r="I2263" s="2647" t="s">
        <v>2088</v>
      </c>
      <c r="J2263" s="2647">
        <v>88</v>
      </c>
      <c r="K2263" s="2648"/>
      <c r="L2263" s="2647" t="s">
        <v>2088</v>
      </c>
    </row>
    <row r="2264" spans="1:12">
      <c r="A2264" s="2646" t="s">
        <v>99</v>
      </c>
      <c r="B2264" s="2646" t="s">
        <v>4583</v>
      </c>
      <c r="C2264" s="2646">
        <v>558.79999999999995</v>
      </c>
      <c r="D2264" s="2646">
        <v>742.95</v>
      </c>
      <c r="E2264" s="2646">
        <v>187.328</v>
      </c>
      <c r="F2264" s="2646" t="s">
        <v>2088</v>
      </c>
      <c r="G2264" s="2646" t="s">
        <v>2088</v>
      </c>
      <c r="H2264" s="2646" t="s">
        <v>2088</v>
      </c>
      <c r="I2264" s="2646" t="s">
        <v>2088</v>
      </c>
      <c r="J2264" s="2646">
        <v>205</v>
      </c>
      <c r="L2264" s="2646" t="s">
        <v>4584</v>
      </c>
    </row>
    <row r="2265" spans="1:12">
      <c r="A2265" s="2647" t="s">
        <v>99</v>
      </c>
      <c r="B2265" s="2647" t="s">
        <v>4585</v>
      </c>
      <c r="C2265" s="2647">
        <v>558.79999999999995</v>
      </c>
      <c r="D2265" s="2647">
        <v>742.95</v>
      </c>
      <c r="E2265" s="2647">
        <v>187.328</v>
      </c>
      <c r="F2265" s="2647" t="s">
        <v>2088</v>
      </c>
      <c r="G2265" s="2647" t="s">
        <v>2088</v>
      </c>
      <c r="H2265" s="2647" t="s">
        <v>2088</v>
      </c>
      <c r="I2265" s="2647" t="s">
        <v>2088</v>
      </c>
      <c r="J2265" s="2647">
        <v>205</v>
      </c>
      <c r="K2265" s="2648"/>
      <c r="L2265" s="2647" t="s">
        <v>4586</v>
      </c>
    </row>
    <row r="2266" spans="1:12">
      <c r="A2266" s="2646" t="s">
        <v>99</v>
      </c>
      <c r="B2266" s="2646" t="s">
        <v>4587</v>
      </c>
      <c r="C2266" s="2646">
        <v>558.79999999999995</v>
      </c>
      <c r="D2266" s="2646">
        <v>742.95</v>
      </c>
      <c r="E2266" s="2646">
        <v>187.328</v>
      </c>
      <c r="F2266" s="2646" t="s">
        <v>2088</v>
      </c>
      <c r="G2266" s="2646" t="s">
        <v>2088</v>
      </c>
      <c r="H2266" s="2646" t="s">
        <v>2088</v>
      </c>
      <c r="I2266" s="2646" t="s">
        <v>2088</v>
      </c>
      <c r="J2266" s="2646">
        <v>205</v>
      </c>
      <c r="L2266" s="2646" t="s">
        <v>4588</v>
      </c>
    </row>
    <row r="2267" spans="1:12">
      <c r="A2267" s="2647" t="s">
        <v>99</v>
      </c>
      <c r="B2267" s="2647" t="s">
        <v>4589</v>
      </c>
      <c r="C2267" s="2647">
        <v>127.792</v>
      </c>
      <c r="D2267" s="2647">
        <v>228.6</v>
      </c>
      <c r="E2267" s="2647">
        <v>115.88800000000001</v>
      </c>
      <c r="F2267" s="2647" t="s">
        <v>2088</v>
      </c>
      <c r="G2267" s="2647" t="s">
        <v>2088</v>
      </c>
      <c r="H2267" s="2647" t="s">
        <v>2088</v>
      </c>
      <c r="I2267" s="2647" t="s">
        <v>2088</v>
      </c>
      <c r="J2267" s="2647">
        <v>18.940000000000001</v>
      </c>
      <c r="K2267" s="2648"/>
      <c r="L2267" s="2647" t="s">
        <v>2088</v>
      </c>
    </row>
    <row r="2268" spans="1:12">
      <c r="A2268" s="2646" t="s">
        <v>99</v>
      </c>
      <c r="B2268" s="2646" t="s">
        <v>4590</v>
      </c>
      <c r="C2268" s="2646">
        <v>228.6</v>
      </c>
      <c r="D2268" s="2646">
        <v>488.95</v>
      </c>
      <c r="E2268" s="2646">
        <v>254</v>
      </c>
      <c r="F2268" s="2646" t="s">
        <v>2088</v>
      </c>
      <c r="G2268" s="2646" t="s">
        <v>2088</v>
      </c>
      <c r="H2268" s="2646" t="s">
        <v>2088</v>
      </c>
      <c r="I2268" s="2646" t="s">
        <v>2088</v>
      </c>
      <c r="J2268" s="2646">
        <v>206</v>
      </c>
      <c r="L2268" s="2646">
        <v>97946</v>
      </c>
    </row>
    <row r="2269" spans="1:12">
      <c r="A2269" s="2647" t="s">
        <v>99</v>
      </c>
      <c r="B2269" s="2647" t="s">
        <v>4591</v>
      </c>
      <c r="C2269" s="2647">
        <v>342.9</v>
      </c>
      <c r="D2269" s="2647">
        <v>457.09800000000001</v>
      </c>
      <c r="E2269" s="2647">
        <v>142.875</v>
      </c>
      <c r="F2269" s="2647" t="s">
        <v>2088</v>
      </c>
      <c r="G2269" s="2647" t="s">
        <v>2088</v>
      </c>
      <c r="H2269" s="2647" t="s">
        <v>2088</v>
      </c>
      <c r="I2269" s="2647" t="s">
        <v>2088</v>
      </c>
      <c r="J2269" s="2647">
        <v>60.35</v>
      </c>
      <c r="K2269" s="2648"/>
      <c r="L2269" s="2647" t="s">
        <v>2088</v>
      </c>
    </row>
    <row r="2270" spans="1:12">
      <c r="A2270" s="2646" t="s">
        <v>99</v>
      </c>
      <c r="B2270" s="2646" t="s">
        <v>4592</v>
      </c>
      <c r="C2270" s="2646">
        <v>44.45</v>
      </c>
      <c r="D2270" s="2646">
        <v>95.25</v>
      </c>
      <c r="E2270" s="2646">
        <v>30.957999999999998</v>
      </c>
      <c r="F2270" s="2646" t="s">
        <v>2088</v>
      </c>
      <c r="G2270" s="2646" t="s">
        <v>2088</v>
      </c>
      <c r="H2270" s="2646" t="s">
        <v>2088</v>
      </c>
      <c r="I2270" s="2646" t="s">
        <v>2088</v>
      </c>
      <c r="J2270" s="2646">
        <v>0.98199999999999998</v>
      </c>
      <c r="L2270" s="2646" t="s">
        <v>2088</v>
      </c>
    </row>
    <row r="2271" spans="1:12">
      <c r="A2271" s="2647" t="s">
        <v>99</v>
      </c>
      <c r="B2271" s="2647" t="s">
        <v>4593</v>
      </c>
      <c r="C2271" s="2647">
        <v>139.72499999999999</v>
      </c>
      <c r="D2271" s="2647">
        <v>200.05</v>
      </c>
      <c r="E2271" s="2647">
        <v>160.33799999999999</v>
      </c>
      <c r="F2271" s="2647" t="s">
        <v>2088</v>
      </c>
      <c r="G2271" s="2647" t="s">
        <v>2088</v>
      </c>
      <c r="H2271" s="2647" t="s">
        <v>2088</v>
      </c>
      <c r="I2271" s="2647" t="s">
        <v>2088</v>
      </c>
      <c r="J2271" s="2647">
        <v>14.5</v>
      </c>
      <c r="K2271" s="2648"/>
      <c r="L2271" s="2647" t="s">
        <v>4594</v>
      </c>
    </row>
    <row r="2272" spans="1:12">
      <c r="A2272" s="2646" t="s">
        <v>99</v>
      </c>
      <c r="B2272" s="2646" t="s">
        <v>4595</v>
      </c>
      <c r="C2272" s="2646">
        <v>254</v>
      </c>
      <c r="D2272" s="2646">
        <v>358.77499999999998</v>
      </c>
      <c r="E2272" s="2646">
        <v>269.875</v>
      </c>
      <c r="F2272" s="2646" t="s">
        <v>2088</v>
      </c>
      <c r="G2272" s="2646" t="s">
        <v>2088</v>
      </c>
      <c r="H2272" s="2646" t="s">
        <v>2088</v>
      </c>
      <c r="I2272" s="2646" t="s">
        <v>2088</v>
      </c>
      <c r="J2272" s="2646">
        <v>75.599999999999994</v>
      </c>
      <c r="L2272" s="2646" t="s">
        <v>2088</v>
      </c>
    </row>
    <row r="2273" spans="1:12">
      <c r="A2273" s="2647" t="s">
        <v>99</v>
      </c>
      <c r="B2273" s="2647" t="s">
        <v>4596</v>
      </c>
      <c r="C2273" s="2647">
        <v>241.47800000000001</v>
      </c>
      <c r="D2273" s="2647">
        <v>349.14800000000002</v>
      </c>
      <c r="E2273" s="2647">
        <v>228.6</v>
      </c>
      <c r="F2273" s="2647" t="s">
        <v>2088</v>
      </c>
      <c r="G2273" s="2647" t="s">
        <v>2088</v>
      </c>
      <c r="H2273" s="2647" t="s">
        <v>2088</v>
      </c>
      <c r="I2273" s="2647" t="s">
        <v>2088</v>
      </c>
      <c r="J2273" s="2647">
        <v>71.900000000000006</v>
      </c>
      <c r="K2273" s="2648"/>
      <c r="L2273" s="2647" t="s">
        <v>2088</v>
      </c>
    </row>
    <row r="2274" spans="1:12">
      <c r="A2274" s="2646" t="s">
        <v>99</v>
      </c>
      <c r="B2274" s="2646" t="s">
        <v>4597</v>
      </c>
      <c r="C2274" s="2646">
        <v>374.65</v>
      </c>
      <c r="D2274" s="2646">
        <v>501.65</v>
      </c>
      <c r="E2274" s="2646">
        <v>260.35000000000002</v>
      </c>
      <c r="F2274" s="2646" t="s">
        <v>2088</v>
      </c>
      <c r="G2274" s="2646" t="s">
        <v>2088</v>
      </c>
      <c r="H2274" s="2646" t="s">
        <v>2088</v>
      </c>
      <c r="I2274" s="2646" t="s">
        <v>2088</v>
      </c>
      <c r="J2274" s="2646">
        <v>141</v>
      </c>
      <c r="L2274" s="2646" t="s">
        <v>2088</v>
      </c>
    </row>
    <row r="2275" spans="1:12">
      <c r="A2275" s="2647" t="s">
        <v>99</v>
      </c>
      <c r="B2275" s="2647" t="s">
        <v>4598</v>
      </c>
      <c r="C2275" s="2647">
        <v>508</v>
      </c>
      <c r="D2275" s="2647">
        <v>762</v>
      </c>
      <c r="E2275" s="2647">
        <v>463.44</v>
      </c>
      <c r="F2275" s="2647" t="s">
        <v>2088</v>
      </c>
      <c r="G2275" s="2647" t="s">
        <v>2088</v>
      </c>
      <c r="H2275" s="2647" t="s">
        <v>2088</v>
      </c>
      <c r="I2275" s="2647" t="s">
        <v>2088</v>
      </c>
      <c r="J2275" s="2647">
        <v>715</v>
      </c>
      <c r="K2275" s="2648"/>
      <c r="L2275" s="2647" t="s">
        <v>4599</v>
      </c>
    </row>
    <row r="2276" spans="1:12">
      <c r="A2276" s="2646" t="s">
        <v>99</v>
      </c>
      <c r="B2276" s="2646" t="s">
        <v>4600</v>
      </c>
      <c r="C2276" s="2646">
        <v>609.6</v>
      </c>
      <c r="D2276" s="2646">
        <v>787.4</v>
      </c>
      <c r="E2276" s="2646">
        <v>361.95</v>
      </c>
      <c r="F2276" s="2646" t="s">
        <v>2088</v>
      </c>
      <c r="G2276" s="2646" t="s">
        <v>2088</v>
      </c>
      <c r="H2276" s="2646" t="s">
        <v>2088</v>
      </c>
      <c r="I2276" s="2646" t="s">
        <v>2088</v>
      </c>
      <c r="J2276" s="2646">
        <v>455</v>
      </c>
      <c r="L2276" s="2646" t="s">
        <v>4601</v>
      </c>
    </row>
    <row r="2277" spans="1:12">
      <c r="A2277" s="2647" t="s">
        <v>99</v>
      </c>
      <c r="B2277" s="2647" t="s">
        <v>4602</v>
      </c>
      <c r="C2277" s="2647">
        <v>685.8</v>
      </c>
      <c r="D2277" s="2647">
        <v>876.3</v>
      </c>
      <c r="E2277" s="2647">
        <v>355.6</v>
      </c>
      <c r="F2277" s="2647" t="s">
        <v>2088</v>
      </c>
      <c r="G2277" s="2647" t="s">
        <v>2088</v>
      </c>
      <c r="H2277" s="2647" t="s">
        <v>2088</v>
      </c>
      <c r="I2277" s="2647" t="s">
        <v>2088</v>
      </c>
      <c r="J2277" s="2647">
        <v>579</v>
      </c>
      <c r="K2277" s="2648"/>
      <c r="L2277" s="2647" t="s">
        <v>4603</v>
      </c>
    </row>
    <row r="2278" spans="1:12">
      <c r="A2278" s="2646" t="s">
        <v>99</v>
      </c>
      <c r="B2278" s="2646" t="s">
        <v>4604</v>
      </c>
      <c r="C2278" s="2646">
        <v>685.8</v>
      </c>
      <c r="D2278" s="2646">
        <v>876.3</v>
      </c>
      <c r="E2278" s="2646">
        <v>355.6</v>
      </c>
      <c r="F2278" s="2646" t="s">
        <v>2088</v>
      </c>
      <c r="G2278" s="2646" t="s">
        <v>2088</v>
      </c>
      <c r="H2278" s="2646" t="s">
        <v>2088</v>
      </c>
      <c r="I2278" s="2646" t="s">
        <v>2088</v>
      </c>
      <c r="J2278" s="2646">
        <v>579</v>
      </c>
      <c r="L2278" s="2646" t="s">
        <v>4605</v>
      </c>
    </row>
    <row r="2279" spans="1:12">
      <c r="A2279" s="2647" t="s">
        <v>99</v>
      </c>
      <c r="B2279" s="2647" t="s">
        <v>4606</v>
      </c>
      <c r="C2279" s="2647">
        <v>384.17500000000001</v>
      </c>
      <c r="D2279" s="2647">
        <v>546.1</v>
      </c>
      <c r="E2279" s="2647">
        <v>400.05</v>
      </c>
      <c r="F2279" s="2647" t="s">
        <v>2088</v>
      </c>
      <c r="G2279" s="2647" t="s">
        <v>2088</v>
      </c>
      <c r="H2279" s="2647" t="s">
        <v>2088</v>
      </c>
      <c r="I2279" s="2647" t="s">
        <v>2088</v>
      </c>
      <c r="J2279" s="2647">
        <v>310</v>
      </c>
      <c r="K2279" s="2648"/>
      <c r="L2279" s="2647" t="s">
        <v>2088</v>
      </c>
    </row>
    <row r="2280" spans="1:12">
      <c r="A2280" s="2646" t="s">
        <v>99</v>
      </c>
      <c r="B2280" s="2646" t="s">
        <v>4607</v>
      </c>
      <c r="C2280" s="2646">
        <v>50.8</v>
      </c>
      <c r="D2280" s="2646">
        <v>92.075000000000003</v>
      </c>
      <c r="E2280" s="2646">
        <v>54.381</v>
      </c>
      <c r="F2280" s="2646" t="s">
        <v>2088</v>
      </c>
      <c r="G2280" s="2646" t="s">
        <v>2088</v>
      </c>
      <c r="H2280" s="2646" t="s">
        <v>2088</v>
      </c>
      <c r="I2280" s="2646" t="s">
        <v>2088</v>
      </c>
      <c r="J2280" s="2646">
        <v>1.1499999999999999</v>
      </c>
      <c r="L2280" s="2646" t="s">
        <v>2088</v>
      </c>
    </row>
    <row r="2281" spans="1:12">
      <c r="A2281" s="2647" t="s">
        <v>99</v>
      </c>
      <c r="B2281" s="2647" t="s">
        <v>4608</v>
      </c>
      <c r="C2281" s="2647">
        <v>90</v>
      </c>
      <c r="D2281" s="2647">
        <v>147</v>
      </c>
      <c r="E2281" s="2647">
        <v>127</v>
      </c>
      <c r="F2281" s="2647" t="s">
        <v>2088</v>
      </c>
      <c r="G2281" s="2647" t="s">
        <v>2088</v>
      </c>
      <c r="H2281" s="2647" t="s">
        <v>2088</v>
      </c>
      <c r="I2281" s="2647" t="s">
        <v>2088</v>
      </c>
      <c r="J2281" s="2647">
        <v>6.88</v>
      </c>
      <c r="K2281" s="2648"/>
      <c r="L2281" s="2647" t="s">
        <v>2088</v>
      </c>
    </row>
    <row r="2282" spans="1:12">
      <c r="A2282" s="2646" t="s">
        <v>99</v>
      </c>
      <c r="B2282" s="2646" t="s">
        <v>4609</v>
      </c>
      <c r="C2282" s="2646">
        <v>96.837999999999994</v>
      </c>
      <c r="D2282" s="2646">
        <v>112.712</v>
      </c>
      <c r="E2282" s="2646">
        <v>61.924999999999997</v>
      </c>
      <c r="F2282" s="2646" t="s">
        <v>2088</v>
      </c>
      <c r="G2282" s="2646" t="s">
        <v>2088</v>
      </c>
      <c r="H2282" s="2646" t="s">
        <v>2088</v>
      </c>
      <c r="I2282" s="2646" t="s">
        <v>2088</v>
      </c>
      <c r="J2282" s="2646">
        <v>2.19</v>
      </c>
      <c r="L2282" s="2646" t="s">
        <v>2088</v>
      </c>
    </row>
    <row r="2283" spans="1:12">
      <c r="A2283" s="2647" t="s">
        <v>99</v>
      </c>
      <c r="B2283" s="2647" t="s">
        <v>4610</v>
      </c>
      <c r="C2283" s="2647">
        <v>133.35</v>
      </c>
      <c r="D2283" s="2647">
        <v>234.95</v>
      </c>
      <c r="E2283" s="2647">
        <v>63.5</v>
      </c>
      <c r="F2283" s="2647" t="s">
        <v>2088</v>
      </c>
      <c r="G2283" s="2647" t="s">
        <v>2088</v>
      </c>
      <c r="H2283" s="2647" t="s">
        <v>2088</v>
      </c>
      <c r="I2283" s="2647" t="s">
        <v>2088</v>
      </c>
      <c r="J2283" s="2647">
        <v>11.1</v>
      </c>
      <c r="K2283" s="2648"/>
      <c r="L2283" s="2647" t="s">
        <v>2088</v>
      </c>
    </row>
    <row r="2284" spans="1:12">
      <c r="A2284" s="2646" t="s">
        <v>99</v>
      </c>
      <c r="B2284" s="2646" t="s">
        <v>4611</v>
      </c>
      <c r="C2284" s="2646">
        <v>241.47800000000001</v>
      </c>
      <c r="D2284" s="2646">
        <v>349.14800000000002</v>
      </c>
      <c r="E2284" s="2646">
        <v>228.6</v>
      </c>
      <c r="F2284" s="2646" t="s">
        <v>2088</v>
      </c>
      <c r="G2284" s="2646" t="s">
        <v>2088</v>
      </c>
      <c r="H2284" s="2646" t="s">
        <v>2088</v>
      </c>
      <c r="I2284" s="2646" t="s">
        <v>2088</v>
      </c>
      <c r="J2284" s="2646">
        <v>71.900000000000006</v>
      </c>
      <c r="L2284" s="2646" t="s">
        <v>2088</v>
      </c>
    </row>
    <row r="2285" spans="1:12">
      <c r="A2285" s="2647" t="s">
        <v>99</v>
      </c>
      <c r="B2285" s="2647" t="s">
        <v>4612</v>
      </c>
      <c r="C2285" s="2647">
        <v>279.39999999999998</v>
      </c>
      <c r="D2285" s="2647">
        <v>393.7</v>
      </c>
      <c r="E2285" s="2647">
        <v>269.875</v>
      </c>
      <c r="F2285" s="2647" t="s">
        <v>2088</v>
      </c>
      <c r="G2285" s="2647" t="s">
        <v>2088</v>
      </c>
      <c r="H2285" s="2647" t="s">
        <v>2088</v>
      </c>
      <c r="I2285" s="2647" t="s">
        <v>2088</v>
      </c>
      <c r="J2285" s="2647">
        <v>103</v>
      </c>
      <c r="K2285" s="2648"/>
      <c r="L2285" s="2647" t="s">
        <v>2088</v>
      </c>
    </row>
    <row r="2286" spans="1:12">
      <c r="A2286" s="2646" t="s">
        <v>99</v>
      </c>
      <c r="B2286" s="2646" t="s">
        <v>4613</v>
      </c>
      <c r="C2286" s="2646">
        <v>181.80799999999999</v>
      </c>
      <c r="D2286" s="2646">
        <v>259.96899999999999</v>
      </c>
      <c r="E2286" s="2646">
        <v>161.92500000000001</v>
      </c>
      <c r="F2286" s="2646" t="s">
        <v>2088</v>
      </c>
      <c r="G2286" s="2646" t="s">
        <v>2088</v>
      </c>
      <c r="H2286" s="2646" t="s">
        <v>2088</v>
      </c>
      <c r="I2286" s="2646" t="s">
        <v>2088</v>
      </c>
      <c r="J2286" s="2646">
        <v>25.2</v>
      </c>
      <c r="L2286" s="2646" t="s">
        <v>4614</v>
      </c>
    </row>
    <row r="2287" spans="1:12">
      <c r="A2287" s="2647" t="s">
        <v>99</v>
      </c>
      <c r="B2287" s="2647" t="s">
        <v>4615</v>
      </c>
      <c r="C2287" s="2647">
        <v>244.47499999999999</v>
      </c>
      <c r="D2287" s="2647">
        <v>327.02499999999998</v>
      </c>
      <c r="E2287" s="2647">
        <v>193.67500000000001</v>
      </c>
      <c r="F2287" s="2647" t="s">
        <v>2088</v>
      </c>
      <c r="G2287" s="2647" t="s">
        <v>2088</v>
      </c>
      <c r="H2287" s="2647" t="s">
        <v>2088</v>
      </c>
      <c r="I2287" s="2647" t="s">
        <v>2088</v>
      </c>
      <c r="J2287" s="2647">
        <v>42.7</v>
      </c>
      <c r="K2287" s="2648"/>
      <c r="L2287" s="2647" t="s">
        <v>2088</v>
      </c>
    </row>
    <row r="2288" spans="1:12">
      <c r="A2288" s="2646" t="s">
        <v>99</v>
      </c>
      <c r="B2288" s="2646" t="s">
        <v>4616</v>
      </c>
      <c r="C2288" s="2646">
        <v>266.7</v>
      </c>
      <c r="D2288" s="2646">
        <v>355.6</v>
      </c>
      <c r="E2288" s="2646">
        <v>228.6</v>
      </c>
      <c r="F2288" s="2646" t="s">
        <v>2088</v>
      </c>
      <c r="G2288" s="2646" t="s">
        <v>2088</v>
      </c>
      <c r="H2288" s="2646" t="s">
        <v>2088</v>
      </c>
      <c r="I2288" s="2646" t="s">
        <v>2088</v>
      </c>
      <c r="J2288" s="2646">
        <v>59.4</v>
      </c>
      <c r="L2288" s="2646" t="s">
        <v>2088</v>
      </c>
    </row>
    <row r="2289" spans="1:12">
      <c r="A2289" s="2647" t="s">
        <v>99</v>
      </c>
      <c r="B2289" s="2647" t="s">
        <v>4617</v>
      </c>
      <c r="C2289" s="2647">
        <v>266.7</v>
      </c>
      <c r="D2289" s="2647">
        <v>355.6</v>
      </c>
      <c r="E2289" s="2647">
        <v>230.18799999999999</v>
      </c>
      <c r="F2289" s="2647" t="s">
        <v>2088</v>
      </c>
      <c r="G2289" s="2647" t="s">
        <v>2088</v>
      </c>
      <c r="H2289" s="2647" t="s">
        <v>2088</v>
      </c>
      <c r="I2289" s="2647" t="s">
        <v>2088</v>
      </c>
      <c r="J2289" s="2647">
        <v>65.3</v>
      </c>
      <c r="K2289" s="2648"/>
      <c r="L2289" s="2647" t="s">
        <v>2088</v>
      </c>
    </row>
    <row r="2290" spans="1:12">
      <c r="A2290" s="2646" t="s">
        <v>99</v>
      </c>
      <c r="B2290" s="2646" t="s">
        <v>4618</v>
      </c>
      <c r="C2290" s="2646">
        <v>341.31200000000001</v>
      </c>
      <c r="D2290" s="2646">
        <v>457.09800000000001</v>
      </c>
      <c r="E2290" s="2646">
        <v>254</v>
      </c>
      <c r="F2290" s="2646" t="s">
        <v>2088</v>
      </c>
      <c r="G2290" s="2646" t="s">
        <v>2088</v>
      </c>
      <c r="H2290" s="2646" t="s">
        <v>2088</v>
      </c>
      <c r="I2290" s="2646" t="s">
        <v>2088</v>
      </c>
      <c r="J2290" s="2646">
        <v>112</v>
      </c>
      <c r="L2290" s="2646" t="s">
        <v>2088</v>
      </c>
    </row>
    <row r="2291" spans="1:12">
      <c r="A2291" s="2647" t="s">
        <v>99</v>
      </c>
      <c r="B2291" s="2647" t="s">
        <v>4619</v>
      </c>
      <c r="C2291" s="2647">
        <v>343.05200000000002</v>
      </c>
      <c r="D2291" s="2647">
        <v>457.09800000000001</v>
      </c>
      <c r="E2291" s="2647">
        <v>254</v>
      </c>
      <c r="F2291" s="2647" t="s">
        <v>2088</v>
      </c>
      <c r="G2291" s="2647" t="s">
        <v>2088</v>
      </c>
      <c r="H2291" s="2647" t="s">
        <v>2088</v>
      </c>
      <c r="I2291" s="2647" t="s">
        <v>2088</v>
      </c>
      <c r="J2291" s="2647">
        <v>111</v>
      </c>
      <c r="K2291" s="2648"/>
      <c r="L2291" s="2647" t="s">
        <v>4620</v>
      </c>
    </row>
    <row r="2292" spans="1:12">
      <c r="A2292" s="2646" t="s">
        <v>99</v>
      </c>
      <c r="B2292" s="2646" t="s">
        <v>4621</v>
      </c>
      <c r="C2292" s="2646">
        <v>343.05200000000002</v>
      </c>
      <c r="D2292" s="2646">
        <v>457.09800000000001</v>
      </c>
      <c r="E2292" s="2646">
        <v>254</v>
      </c>
      <c r="F2292" s="2646" t="s">
        <v>2088</v>
      </c>
      <c r="G2292" s="2646" t="s">
        <v>2088</v>
      </c>
      <c r="H2292" s="2646" t="s">
        <v>2088</v>
      </c>
      <c r="I2292" s="2646" t="s">
        <v>2088</v>
      </c>
      <c r="J2292" s="2646">
        <v>111</v>
      </c>
      <c r="L2292" s="2646" t="s">
        <v>4622</v>
      </c>
    </row>
    <row r="2293" spans="1:12">
      <c r="A2293" s="2647" t="s">
        <v>99</v>
      </c>
      <c r="B2293" s="2647" t="s">
        <v>4623</v>
      </c>
      <c r="C2293" s="2647">
        <v>343.05200000000002</v>
      </c>
      <c r="D2293" s="2647">
        <v>457.09800000000001</v>
      </c>
      <c r="E2293" s="2647">
        <v>254</v>
      </c>
      <c r="F2293" s="2647" t="s">
        <v>2088</v>
      </c>
      <c r="G2293" s="2647" t="s">
        <v>2088</v>
      </c>
      <c r="H2293" s="2647" t="s">
        <v>2088</v>
      </c>
      <c r="I2293" s="2647" t="s">
        <v>2088</v>
      </c>
      <c r="J2293" s="2647">
        <v>118</v>
      </c>
      <c r="K2293" s="2648"/>
      <c r="L2293" s="2647" t="s">
        <v>4624</v>
      </c>
    </row>
    <row r="2294" spans="1:12">
      <c r="A2294" s="2646" t="s">
        <v>99</v>
      </c>
      <c r="B2294" s="2646" t="s">
        <v>4625</v>
      </c>
      <c r="C2294" s="2646">
        <v>343.05200000000002</v>
      </c>
      <c r="D2294" s="2646">
        <v>457.09800000000001</v>
      </c>
      <c r="E2294" s="2646">
        <v>254</v>
      </c>
      <c r="F2294" s="2646" t="s">
        <v>2088</v>
      </c>
      <c r="G2294" s="2646" t="s">
        <v>2088</v>
      </c>
      <c r="H2294" s="2646" t="s">
        <v>2088</v>
      </c>
      <c r="I2294" s="2646" t="s">
        <v>2088</v>
      </c>
      <c r="J2294" s="2646">
        <v>110</v>
      </c>
      <c r="L2294" s="2646" t="s">
        <v>2088</v>
      </c>
    </row>
    <row r="2295" spans="1:12">
      <c r="A2295" s="2647" t="s">
        <v>99</v>
      </c>
      <c r="B2295" s="2647" t="s">
        <v>4626</v>
      </c>
      <c r="C2295" s="2647">
        <v>431.8</v>
      </c>
      <c r="D2295" s="2647">
        <v>571.5</v>
      </c>
      <c r="E2295" s="2647">
        <v>336.55</v>
      </c>
      <c r="F2295" s="2647" t="s">
        <v>2088</v>
      </c>
      <c r="G2295" s="2647" t="s">
        <v>2088</v>
      </c>
      <c r="H2295" s="2647" t="s">
        <v>2088</v>
      </c>
      <c r="I2295" s="2647" t="s">
        <v>2088</v>
      </c>
      <c r="J2295" s="2647">
        <v>233</v>
      </c>
      <c r="K2295" s="2648"/>
      <c r="L2295" s="2647" t="s">
        <v>2088</v>
      </c>
    </row>
    <row r="2296" spans="1:12">
      <c r="A2296" s="2646" t="s">
        <v>99</v>
      </c>
      <c r="B2296" s="2646" t="s">
        <v>4627</v>
      </c>
      <c r="C2296" s="2646">
        <v>508</v>
      </c>
      <c r="D2296" s="2646">
        <v>695.32500000000005</v>
      </c>
      <c r="E2296" s="2646">
        <v>419.92500000000001</v>
      </c>
      <c r="F2296" s="2646" t="s">
        <v>2088</v>
      </c>
      <c r="G2296" s="2646" t="s">
        <v>2088</v>
      </c>
      <c r="H2296" s="2646" t="s">
        <v>2088</v>
      </c>
      <c r="I2296" s="2646" t="s">
        <v>2088</v>
      </c>
      <c r="J2296" s="2646">
        <v>464</v>
      </c>
      <c r="L2296" s="2646" t="s">
        <v>2088</v>
      </c>
    </row>
    <row r="2297" spans="1:12">
      <c r="A2297" s="2647" t="s">
        <v>99</v>
      </c>
      <c r="B2297" s="2647" t="s">
        <v>4628</v>
      </c>
      <c r="C2297" s="2647">
        <v>181.32499999999999</v>
      </c>
      <c r="D2297" s="2647">
        <v>269.875</v>
      </c>
      <c r="E2297" s="2647">
        <v>211.13800000000001</v>
      </c>
      <c r="F2297" s="2647" t="s">
        <v>2088</v>
      </c>
      <c r="G2297" s="2647" t="s">
        <v>2088</v>
      </c>
      <c r="H2297" s="2647" t="s">
        <v>2088</v>
      </c>
      <c r="I2297" s="2647" t="s">
        <v>2088</v>
      </c>
      <c r="J2297" s="2647">
        <v>41.5</v>
      </c>
      <c r="K2297" s="2648"/>
      <c r="L2297" s="2647" t="s">
        <v>2088</v>
      </c>
    </row>
    <row r="2298" spans="1:12">
      <c r="A2298" s="2646" t="s">
        <v>99</v>
      </c>
      <c r="B2298" s="2646" t="s">
        <v>4629</v>
      </c>
      <c r="C2298" s="2646">
        <v>198.43799999999999</v>
      </c>
      <c r="D2298" s="2646">
        <v>284.16300000000001</v>
      </c>
      <c r="E2298" s="2646" t="s">
        <v>2088</v>
      </c>
      <c r="F2298" s="2646" t="s">
        <v>2088</v>
      </c>
      <c r="G2298" s="2646" t="s">
        <v>2088</v>
      </c>
      <c r="H2298" s="2646" t="s">
        <v>2088</v>
      </c>
      <c r="I2298" s="2646" t="s">
        <v>2088</v>
      </c>
      <c r="J2298" s="2646">
        <v>46.414999999999999</v>
      </c>
      <c r="L2298" s="2646" t="s">
        <v>2088</v>
      </c>
    </row>
    <row r="2299" spans="1:12">
      <c r="A2299" s="2647" t="s">
        <v>99</v>
      </c>
      <c r="B2299" s="2647" t="s">
        <v>4630</v>
      </c>
      <c r="C2299" s="2647">
        <v>200.81899999999999</v>
      </c>
      <c r="D2299" s="2647">
        <v>284.16300000000001</v>
      </c>
      <c r="E2299" s="2647">
        <v>239.715</v>
      </c>
      <c r="F2299" s="2647" t="s">
        <v>2088</v>
      </c>
      <c r="G2299" s="2647" t="s">
        <v>2088</v>
      </c>
      <c r="H2299" s="2647" t="s">
        <v>2088</v>
      </c>
      <c r="I2299" s="2647" t="s">
        <v>2088</v>
      </c>
      <c r="J2299" s="2647">
        <v>52.246000000000002</v>
      </c>
      <c r="K2299" s="2648"/>
      <c r="L2299" s="2647" t="s">
        <v>2088</v>
      </c>
    </row>
    <row r="2300" spans="1:12">
      <c r="A2300" s="2646" t="s">
        <v>99</v>
      </c>
      <c r="B2300" s="2646" t="s">
        <v>4631</v>
      </c>
      <c r="C2300" s="2646">
        <v>254</v>
      </c>
      <c r="D2300" s="2646">
        <v>358.77499999999998</v>
      </c>
      <c r="E2300" s="2646">
        <v>269.875</v>
      </c>
      <c r="F2300" s="2646" t="s">
        <v>2088</v>
      </c>
      <c r="G2300" s="2646" t="s">
        <v>2088</v>
      </c>
      <c r="H2300" s="2646" t="s">
        <v>2088</v>
      </c>
      <c r="I2300" s="2646" t="s">
        <v>2088</v>
      </c>
      <c r="J2300" s="2646">
        <v>88.9</v>
      </c>
      <c r="L2300" s="2646" t="s">
        <v>2088</v>
      </c>
    </row>
    <row r="2301" spans="1:12">
      <c r="A2301" s="2647" t="s">
        <v>99</v>
      </c>
      <c r="B2301" s="2647" t="s">
        <v>4632</v>
      </c>
      <c r="C2301" s="2647">
        <v>254</v>
      </c>
      <c r="D2301" s="2647">
        <v>358.77499999999998</v>
      </c>
      <c r="E2301" s="2647">
        <v>289.875</v>
      </c>
      <c r="F2301" s="2647" t="s">
        <v>2088</v>
      </c>
      <c r="G2301" s="2647" t="s">
        <v>2088</v>
      </c>
      <c r="H2301" s="2647" t="s">
        <v>2088</v>
      </c>
      <c r="I2301" s="2647" t="s">
        <v>2088</v>
      </c>
      <c r="J2301" s="2647">
        <v>86.6</v>
      </c>
      <c r="K2301" s="2648"/>
      <c r="L2301" s="2647">
        <v>77951</v>
      </c>
    </row>
    <row r="2302" spans="1:12">
      <c r="A2302" s="2646" t="s">
        <v>99</v>
      </c>
      <c r="B2302" s="2646" t="s">
        <v>4633</v>
      </c>
      <c r="C2302" s="2646">
        <v>269.875</v>
      </c>
      <c r="D2302" s="2646">
        <v>381</v>
      </c>
      <c r="E2302" s="2646">
        <v>282.57499999999999</v>
      </c>
      <c r="F2302" s="2646" t="s">
        <v>2088</v>
      </c>
      <c r="G2302" s="2646" t="s">
        <v>2088</v>
      </c>
      <c r="H2302" s="2646" t="s">
        <v>2088</v>
      </c>
      <c r="I2302" s="2646" t="s">
        <v>2088</v>
      </c>
      <c r="J2302" s="2646">
        <v>105</v>
      </c>
      <c r="L2302" s="2646" t="s">
        <v>2088</v>
      </c>
    </row>
    <row r="2303" spans="1:12">
      <c r="A2303" s="2647" t="s">
        <v>99</v>
      </c>
      <c r="B2303" s="2647" t="s">
        <v>4634</v>
      </c>
      <c r="C2303" s="2647">
        <v>288.92500000000001</v>
      </c>
      <c r="D2303" s="2647">
        <v>406.4</v>
      </c>
      <c r="E2303" s="2647">
        <v>298.45</v>
      </c>
      <c r="F2303" s="2647" t="s">
        <v>2088</v>
      </c>
      <c r="G2303" s="2647" t="s">
        <v>2088</v>
      </c>
      <c r="H2303" s="2647" t="s">
        <v>2088</v>
      </c>
      <c r="I2303" s="2647" t="s">
        <v>2088</v>
      </c>
      <c r="J2303" s="2647">
        <v>125</v>
      </c>
      <c r="K2303" s="2648"/>
      <c r="L2303" s="2647" t="s">
        <v>2088</v>
      </c>
    </row>
    <row r="2304" spans="1:12">
      <c r="A2304" s="2646" t="s">
        <v>4635</v>
      </c>
      <c r="B2304" s="2646" t="s">
        <v>4636</v>
      </c>
      <c r="C2304" s="2646">
        <v>304.8</v>
      </c>
      <c r="D2304" s="2646">
        <v>419.1</v>
      </c>
      <c r="E2304" s="2646">
        <v>269.875</v>
      </c>
      <c r="F2304" s="2646" t="s">
        <v>2088</v>
      </c>
      <c r="G2304" s="2646" t="s">
        <v>2088</v>
      </c>
      <c r="H2304" s="2646" t="s">
        <v>2088</v>
      </c>
      <c r="I2304" s="2646" t="s">
        <v>2088</v>
      </c>
      <c r="J2304" s="2646" t="s">
        <v>2088</v>
      </c>
      <c r="L2304" s="2646" t="s">
        <v>2088</v>
      </c>
    </row>
    <row r="2305" spans="1:12">
      <c r="A2305" s="2647" t="s">
        <v>99</v>
      </c>
      <c r="B2305" s="2647" t="s">
        <v>4637</v>
      </c>
      <c r="C2305" s="2647">
        <v>304.90199999999999</v>
      </c>
      <c r="D2305" s="2647">
        <v>412.64800000000002</v>
      </c>
      <c r="E2305" s="2647">
        <v>266.7</v>
      </c>
      <c r="F2305" s="2647" t="s">
        <v>2088</v>
      </c>
      <c r="G2305" s="2647" t="s">
        <v>2088</v>
      </c>
      <c r="H2305" s="2647" t="s">
        <v>2088</v>
      </c>
      <c r="I2305" s="2647" t="s">
        <v>2088</v>
      </c>
      <c r="J2305" s="2647">
        <v>102</v>
      </c>
      <c r="K2305" s="2648"/>
      <c r="L2305" s="2647" t="s">
        <v>2088</v>
      </c>
    </row>
    <row r="2306" spans="1:12">
      <c r="A2306" s="2646" t="s">
        <v>99</v>
      </c>
      <c r="B2306" s="2646" t="s">
        <v>4638</v>
      </c>
      <c r="C2306" s="2646">
        <v>501.65</v>
      </c>
      <c r="D2306" s="2646">
        <v>711.2</v>
      </c>
      <c r="E2306" s="2646">
        <v>520.70000000000005</v>
      </c>
      <c r="F2306" s="2646" t="s">
        <v>2088</v>
      </c>
      <c r="G2306" s="2646" t="s">
        <v>2088</v>
      </c>
      <c r="H2306" s="2646" t="s">
        <v>2088</v>
      </c>
      <c r="I2306" s="2646" t="s">
        <v>2088</v>
      </c>
      <c r="J2306" s="2646">
        <v>687</v>
      </c>
      <c r="L2306" s="2646" t="s">
        <v>2088</v>
      </c>
    </row>
    <row r="2307" spans="1:12">
      <c r="A2307" s="2647" t="s">
        <v>99</v>
      </c>
      <c r="B2307" s="2647" t="s">
        <v>4639</v>
      </c>
      <c r="C2307" s="2647">
        <v>682.7</v>
      </c>
      <c r="D2307" s="2647">
        <v>965.3</v>
      </c>
      <c r="E2307" s="2647">
        <v>701.67600000000004</v>
      </c>
      <c r="F2307" s="2647" t="s">
        <v>2088</v>
      </c>
      <c r="G2307" s="2647" t="s">
        <v>2088</v>
      </c>
      <c r="H2307" s="2647" t="s">
        <v>2088</v>
      </c>
      <c r="I2307" s="2647" t="s">
        <v>2088</v>
      </c>
      <c r="J2307" s="2647">
        <v>1740</v>
      </c>
      <c r="K2307" s="2648"/>
      <c r="L2307" s="2647" t="s">
        <v>4640</v>
      </c>
    </row>
    <row r="2308" spans="1:12">
      <c r="A2308" s="2646" t="s">
        <v>99</v>
      </c>
      <c r="B2308" s="2646" t="s">
        <v>4641</v>
      </c>
      <c r="C2308" s="2646">
        <v>40</v>
      </c>
      <c r="D2308" s="2646">
        <v>90</v>
      </c>
      <c r="E2308" s="2646">
        <v>35.25</v>
      </c>
      <c r="F2308" s="2646" t="s">
        <v>2088</v>
      </c>
      <c r="G2308" s="2646" t="s">
        <v>2088</v>
      </c>
      <c r="H2308" s="2646" t="s">
        <v>2088</v>
      </c>
      <c r="I2308" s="2646" t="s">
        <v>2088</v>
      </c>
      <c r="J2308" s="2646" t="s">
        <v>4642</v>
      </c>
      <c r="L2308" s="2646">
        <v>7608</v>
      </c>
    </row>
    <row r="2309" spans="1:12">
      <c r="A2309" s="2647" t="s">
        <v>99</v>
      </c>
      <c r="B2309" s="2647">
        <v>7312</v>
      </c>
      <c r="C2309" s="2647">
        <v>60</v>
      </c>
      <c r="D2309" s="2647">
        <v>130</v>
      </c>
      <c r="E2309" s="2647">
        <v>31</v>
      </c>
      <c r="F2309" s="2647" t="s">
        <v>2088</v>
      </c>
      <c r="G2309" s="2647" t="s">
        <v>2088</v>
      </c>
      <c r="H2309" s="2647" t="s">
        <v>2088</v>
      </c>
      <c r="I2309" s="2647" t="s">
        <v>2088</v>
      </c>
      <c r="J2309" s="2647">
        <v>1.99</v>
      </c>
      <c r="K2309" s="2648"/>
      <c r="L2309" s="2647">
        <v>30312</v>
      </c>
    </row>
    <row r="2310" spans="1:12">
      <c r="A2310" s="2646" t="s">
        <v>99</v>
      </c>
      <c r="B2310" s="2646" t="s">
        <v>4643</v>
      </c>
      <c r="C2310" s="2646">
        <v>45.241999999999997</v>
      </c>
      <c r="D2310" s="2646">
        <v>73.430999999999997</v>
      </c>
      <c r="E2310" s="2646">
        <v>19.588000000000001</v>
      </c>
      <c r="F2310" s="2646" t="s">
        <v>2088</v>
      </c>
      <c r="G2310" s="2646" t="s">
        <v>2088</v>
      </c>
      <c r="H2310" s="2646" t="s">
        <v>2088</v>
      </c>
      <c r="I2310" s="2646" t="s">
        <v>2088</v>
      </c>
      <c r="J2310" s="2646">
        <v>0.32100000000000001</v>
      </c>
      <c r="L2310" s="2646" t="s">
        <v>4643</v>
      </c>
    </row>
    <row r="2311" spans="1:12">
      <c r="A2311" s="2647" t="s">
        <v>99</v>
      </c>
      <c r="B2311" s="2647" t="s">
        <v>4644</v>
      </c>
      <c r="C2311" s="2647">
        <v>180</v>
      </c>
      <c r="D2311" s="2647">
        <v>240</v>
      </c>
      <c r="E2311" s="2647">
        <v>32</v>
      </c>
      <c r="F2311" s="2647" t="s">
        <v>2088</v>
      </c>
      <c r="G2311" s="2647" t="s">
        <v>2088</v>
      </c>
      <c r="H2311" s="2647" t="s">
        <v>2088</v>
      </c>
      <c r="I2311" s="2647" t="s">
        <v>2088</v>
      </c>
      <c r="J2311" s="2647" t="s">
        <v>4645</v>
      </c>
      <c r="K2311" s="2648"/>
      <c r="L2311" s="2647" t="s">
        <v>4644</v>
      </c>
    </row>
    <row r="2312" spans="1:12">
      <c r="A2312" s="2646" t="s">
        <v>99</v>
      </c>
      <c r="B2312" s="2646" t="s">
        <v>4599</v>
      </c>
      <c r="C2312" s="2646">
        <v>508</v>
      </c>
      <c r="D2312" s="2646">
        <v>762</v>
      </c>
      <c r="E2312" s="2646">
        <v>464</v>
      </c>
      <c r="F2312" s="2646" t="s">
        <v>2088</v>
      </c>
      <c r="G2312" s="2646" t="s">
        <v>2088</v>
      </c>
      <c r="H2312" s="2646" t="s">
        <v>2088</v>
      </c>
      <c r="I2312" s="2646" t="s">
        <v>2088</v>
      </c>
      <c r="J2312" s="2646" t="s">
        <v>4646</v>
      </c>
      <c r="L2312" s="2646" t="s">
        <v>4647</v>
      </c>
    </row>
    <row r="2313" spans="1:12">
      <c r="A2313" s="2647" t="s">
        <v>99</v>
      </c>
      <c r="B2313" s="2647" t="s">
        <v>4603</v>
      </c>
      <c r="C2313" s="2647">
        <v>685</v>
      </c>
      <c r="D2313" s="2647">
        <v>876</v>
      </c>
      <c r="E2313" s="2647">
        <v>356</v>
      </c>
      <c r="F2313" s="2647" t="s">
        <v>2088</v>
      </c>
      <c r="G2313" s="2647" t="s">
        <v>2088</v>
      </c>
      <c r="H2313" s="2647" t="s">
        <v>2088</v>
      </c>
      <c r="I2313" s="2647" t="s">
        <v>2088</v>
      </c>
      <c r="J2313" s="2647" t="s">
        <v>4648</v>
      </c>
      <c r="K2313" s="2648"/>
      <c r="L2313" s="2647" t="s">
        <v>4649</v>
      </c>
    </row>
    <row r="2314" spans="1:12">
      <c r="A2314" s="2646" t="s">
        <v>99</v>
      </c>
      <c r="B2314" s="2646" t="s">
        <v>4650</v>
      </c>
      <c r="C2314" s="2646">
        <v>479</v>
      </c>
      <c r="D2314" s="2646">
        <v>679</v>
      </c>
      <c r="E2314" s="2646">
        <v>276</v>
      </c>
      <c r="F2314" s="2646" t="s">
        <v>2088</v>
      </c>
      <c r="G2314" s="2646" t="s">
        <v>2088</v>
      </c>
      <c r="H2314" s="2646" t="s">
        <v>2088</v>
      </c>
      <c r="I2314" s="2646" t="s">
        <v>2088</v>
      </c>
      <c r="J2314" s="2646" t="s">
        <v>4651</v>
      </c>
      <c r="L2314" s="2646" t="s">
        <v>4652</v>
      </c>
    </row>
    <row r="2315" spans="1:12">
      <c r="A2315" s="2647" t="s">
        <v>99</v>
      </c>
      <c r="B2315" s="2647" t="s">
        <v>4653</v>
      </c>
      <c r="C2315" s="2647">
        <v>571</v>
      </c>
      <c r="D2315" s="2647">
        <v>813</v>
      </c>
      <c r="E2315" s="2647">
        <v>594</v>
      </c>
      <c r="F2315" s="2647" t="s">
        <v>2088</v>
      </c>
      <c r="G2315" s="2647" t="s">
        <v>2088</v>
      </c>
      <c r="H2315" s="2647" t="s">
        <v>2088</v>
      </c>
      <c r="I2315" s="2647" t="s">
        <v>2088</v>
      </c>
      <c r="J2315" s="2647" t="s">
        <v>4654</v>
      </c>
      <c r="K2315" s="2648"/>
      <c r="L2315" s="2647" t="s">
        <v>4655</v>
      </c>
    </row>
    <row r="2316" spans="1:12">
      <c r="A2316" s="2646" t="s">
        <v>99</v>
      </c>
      <c r="B2316" s="2646" t="s">
        <v>3045</v>
      </c>
      <c r="C2316" s="2646">
        <v>305</v>
      </c>
      <c r="D2316" s="2646">
        <v>445</v>
      </c>
      <c r="E2316" s="2646">
        <v>63.5</v>
      </c>
      <c r="F2316" s="2646" t="s">
        <v>2088</v>
      </c>
      <c r="G2316" s="2646" t="s">
        <v>2088</v>
      </c>
      <c r="H2316" s="2646" t="s">
        <v>2088</v>
      </c>
      <c r="I2316" s="2646" t="s">
        <v>2088</v>
      </c>
      <c r="J2316" s="2646" t="s">
        <v>4656</v>
      </c>
      <c r="L2316" s="2646" t="s">
        <v>4657</v>
      </c>
    </row>
    <row r="2317" spans="1:12">
      <c r="A2317" s="2647" t="s">
        <v>99</v>
      </c>
      <c r="B2317" s="2647" t="s">
        <v>2796</v>
      </c>
      <c r="C2317" s="2647">
        <v>305</v>
      </c>
      <c r="D2317" s="2647">
        <v>438</v>
      </c>
      <c r="E2317" s="2647">
        <v>161</v>
      </c>
      <c r="F2317" s="2647" t="s">
        <v>2088</v>
      </c>
      <c r="G2317" s="2647" t="s">
        <v>2088</v>
      </c>
      <c r="H2317" s="2647" t="s">
        <v>2088</v>
      </c>
      <c r="I2317" s="2647" t="s">
        <v>2088</v>
      </c>
      <c r="J2317" s="2647" t="s">
        <v>4658</v>
      </c>
      <c r="K2317" s="2648"/>
      <c r="L2317" s="2647" t="s">
        <v>2795</v>
      </c>
    </row>
    <row r="2318" spans="1:12">
      <c r="A2318" s="2646" t="s">
        <v>99</v>
      </c>
      <c r="B2318" s="2646" t="s">
        <v>4659</v>
      </c>
      <c r="C2318" s="2646">
        <v>368</v>
      </c>
      <c r="D2318" s="2646">
        <v>524</v>
      </c>
      <c r="E2318" s="2646">
        <v>186</v>
      </c>
      <c r="F2318" s="2646" t="s">
        <v>2088</v>
      </c>
      <c r="G2318" s="2646" t="s">
        <v>2088</v>
      </c>
      <c r="H2318" s="2646" t="s">
        <v>2088</v>
      </c>
      <c r="I2318" s="2646" t="s">
        <v>2088</v>
      </c>
      <c r="J2318" s="2646" t="s">
        <v>4660</v>
      </c>
      <c r="L2318" s="2646" t="s">
        <v>4661</v>
      </c>
    </row>
    <row r="2319" spans="1:12">
      <c r="A2319" s="2647" t="s">
        <v>99</v>
      </c>
      <c r="B2319" s="2647" t="s">
        <v>3915</v>
      </c>
      <c r="C2319" s="2647">
        <v>305</v>
      </c>
      <c r="D2319" s="2647">
        <v>413</v>
      </c>
      <c r="E2319" s="2647">
        <v>267</v>
      </c>
      <c r="F2319" s="2647" t="s">
        <v>2088</v>
      </c>
      <c r="G2319" s="2647" t="s">
        <v>2088</v>
      </c>
      <c r="H2319" s="2647" t="s">
        <v>2088</v>
      </c>
      <c r="I2319" s="2647" t="s">
        <v>2088</v>
      </c>
      <c r="J2319" s="2647" t="s">
        <v>4662</v>
      </c>
      <c r="K2319" s="2648"/>
      <c r="L2319" s="2647" t="s">
        <v>4663</v>
      </c>
    </row>
    <row r="2320" spans="1:12">
      <c r="A2320" s="2646" t="s">
        <v>99</v>
      </c>
      <c r="B2320" s="2646" t="s">
        <v>3918</v>
      </c>
      <c r="C2320" s="2646">
        <v>270</v>
      </c>
      <c r="D2320" s="2646">
        <v>331</v>
      </c>
      <c r="E2320" s="2646">
        <v>283</v>
      </c>
      <c r="F2320" s="2646" t="s">
        <v>2088</v>
      </c>
      <c r="G2320" s="2646" t="s">
        <v>2088</v>
      </c>
      <c r="H2320" s="2646" t="s">
        <v>2088</v>
      </c>
      <c r="I2320" s="2646" t="s">
        <v>2088</v>
      </c>
      <c r="J2320" s="2646" t="s">
        <v>4664</v>
      </c>
      <c r="L2320" s="2646" t="s">
        <v>4665</v>
      </c>
    </row>
    <row r="2321" spans="1:12">
      <c r="A2321" s="2647" t="s">
        <v>99</v>
      </c>
      <c r="B2321" s="2647" t="s">
        <v>4546</v>
      </c>
      <c r="C2321" s="2647">
        <v>178</v>
      </c>
      <c r="D2321" s="2647">
        <v>289</v>
      </c>
      <c r="E2321" s="2647">
        <v>124</v>
      </c>
      <c r="F2321" s="2647" t="s">
        <v>2088</v>
      </c>
      <c r="G2321" s="2647" t="s">
        <v>2088</v>
      </c>
      <c r="H2321" s="2647" t="s">
        <v>2088</v>
      </c>
      <c r="I2321" s="2647" t="s">
        <v>2088</v>
      </c>
      <c r="J2321" s="2647" t="s">
        <v>4666</v>
      </c>
      <c r="K2321" s="2648"/>
      <c r="L2321" s="2647" t="s">
        <v>4545</v>
      </c>
    </row>
    <row r="2322" spans="1:12">
      <c r="A2322" s="2646" t="s">
        <v>99</v>
      </c>
      <c r="B2322" s="2646" t="s">
        <v>4614</v>
      </c>
      <c r="C2322" s="2646">
        <v>182</v>
      </c>
      <c r="D2322" s="2646">
        <v>260</v>
      </c>
      <c r="E2322" s="2646">
        <v>162</v>
      </c>
      <c r="F2322" s="2646" t="s">
        <v>2088</v>
      </c>
      <c r="G2322" s="2646" t="s">
        <v>2088</v>
      </c>
      <c r="H2322" s="2646" t="s">
        <v>2088</v>
      </c>
      <c r="I2322" s="2646" t="s">
        <v>2088</v>
      </c>
      <c r="J2322" s="2646" t="s">
        <v>4667</v>
      </c>
      <c r="L2322" s="2646" t="s">
        <v>4668</v>
      </c>
    </row>
    <row r="2323" spans="1:12">
      <c r="A2323" s="2647" t="s">
        <v>99</v>
      </c>
      <c r="B2323" s="2647" t="s">
        <v>4669</v>
      </c>
      <c r="C2323" s="2647">
        <v>498</v>
      </c>
      <c r="D2323" s="2647">
        <v>635</v>
      </c>
      <c r="E2323" s="2647">
        <v>178</v>
      </c>
      <c r="F2323" s="2647" t="s">
        <v>2088</v>
      </c>
      <c r="G2323" s="2647" t="s">
        <v>2088</v>
      </c>
      <c r="H2323" s="2647" t="s">
        <v>2088</v>
      </c>
      <c r="I2323" s="2647" t="s">
        <v>2088</v>
      </c>
      <c r="J2323" s="2647" t="s">
        <v>4670</v>
      </c>
      <c r="K2323" s="2648"/>
      <c r="L2323" s="2647" t="s">
        <v>4671</v>
      </c>
    </row>
    <row r="2324" spans="1:12">
      <c r="A2324" s="2646" t="s">
        <v>99</v>
      </c>
      <c r="B2324" s="2646" t="s">
        <v>4672</v>
      </c>
      <c r="C2324" s="2646">
        <v>203</v>
      </c>
      <c r="D2324" s="2646">
        <v>406</v>
      </c>
      <c r="E2324" s="2646">
        <v>197</v>
      </c>
      <c r="F2324" s="2646" t="s">
        <v>2088</v>
      </c>
      <c r="G2324" s="2646" t="s">
        <v>2088</v>
      </c>
      <c r="H2324" s="2646" t="s">
        <v>2088</v>
      </c>
      <c r="I2324" s="2646" t="s">
        <v>2088</v>
      </c>
      <c r="J2324" s="2646" t="s">
        <v>4673</v>
      </c>
      <c r="L2324" s="2646" t="s">
        <v>4674</v>
      </c>
    </row>
    <row r="2325" spans="1:12">
      <c r="A2325" s="2647" t="s">
        <v>99</v>
      </c>
      <c r="B2325" s="2647" t="s">
        <v>4675</v>
      </c>
      <c r="C2325" s="2647">
        <v>40</v>
      </c>
      <c r="D2325" s="2647">
        <v>80</v>
      </c>
      <c r="E2325" s="2647">
        <v>21</v>
      </c>
      <c r="F2325" s="2647" t="s">
        <v>2088</v>
      </c>
      <c r="G2325" s="2647" t="s">
        <v>2088</v>
      </c>
      <c r="H2325" s="2647" t="s">
        <v>2088</v>
      </c>
      <c r="I2325" s="2647" t="s">
        <v>2088</v>
      </c>
      <c r="J2325" s="2647" t="s">
        <v>4676</v>
      </c>
      <c r="K2325" s="2648"/>
      <c r="L2325" s="2647" t="s">
        <v>4675</v>
      </c>
    </row>
    <row r="2326" spans="1:12">
      <c r="A2326" s="2646" t="s">
        <v>99</v>
      </c>
      <c r="B2326" s="2646" t="s">
        <v>4677</v>
      </c>
      <c r="C2326" s="2646">
        <v>17</v>
      </c>
      <c r="D2326" s="2646">
        <v>40</v>
      </c>
      <c r="E2326" s="2646">
        <v>13.8</v>
      </c>
      <c r="F2326" s="2646" t="s">
        <v>2088</v>
      </c>
      <c r="G2326" s="2646" t="s">
        <v>2088</v>
      </c>
      <c r="H2326" s="2646" t="s">
        <v>2088</v>
      </c>
      <c r="I2326" s="2646" t="s">
        <v>2088</v>
      </c>
      <c r="J2326" s="2646" t="s">
        <v>4678</v>
      </c>
      <c r="L2326" s="2646" t="s">
        <v>4677</v>
      </c>
    </row>
    <row r="2327" spans="1:12">
      <c r="A2327" s="2647" t="s">
        <v>99</v>
      </c>
      <c r="B2327" s="2647" t="s">
        <v>4679</v>
      </c>
      <c r="C2327" s="2647">
        <v>19</v>
      </c>
      <c r="D2327" s="2647">
        <v>45</v>
      </c>
      <c r="E2327" s="2647">
        <v>15.5</v>
      </c>
      <c r="F2327" s="2647" t="s">
        <v>2088</v>
      </c>
      <c r="G2327" s="2647" t="s">
        <v>2088</v>
      </c>
      <c r="H2327" s="2647" t="s">
        <v>2088</v>
      </c>
      <c r="I2327" s="2647" t="s">
        <v>2088</v>
      </c>
      <c r="J2327" s="2647" t="s">
        <v>4680</v>
      </c>
      <c r="K2327" s="2648"/>
      <c r="L2327" s="2647" t="s">
        <v>4679</v>
      </c>
    </row>
    <row r="2328" spans="1:12">
      <c r="A2328" s="2646" t="s">
        <v>99</v>
      </c>
      <c r="B2328" s="2646" t="s">
        <v>4681</v>
      </c>
      <c r="C2328" s="2646">
        <v>21</v>
      </c>
      <c r="D2328" s="2646">
        <v>50</v>
      </c>
      <c r="E2328" s="2646">
        <v>17.5</v>
      </c>
      <c r="F2328" s="2646" t="s">
        <v>2088</v>
      </c>
      <c r="G2328" s="2646" t="s">
        <v>2088</v>
      </c>
      <c r="H2328" s="2646" t="s">
        <v>2088</v>
      </c>
      <c r="I2328" s="2646" t="s">
        <v>2088</v>
      </c>
      <c r="J2328" s="2646" t="s">
        <v>4682</v>
      </c>
      <c r="L2328" s="2646" t="s">
        <v>4681</v>
      </c>
    </row>
    <row r="2329" spans="1:12">
      <c r="A2329" s="2647" t="s">
        <v>99</v>
      </c>
      <c r="B2329" s="2647" t="s">
        <v>4683</v>
      </c>
      <c r="C2329" s="2647">
        <v>22</v>
      </c>
      <c r="D2329" s="2647">
        <v>46</v>
      </c>
      <c r="E2329" s="2647">
        <v>15.5</v>
      </c>
      <c r="F2329" s="2647" t="s">
        <v>2088</v>
      </c>
      <c r="G2329" s="2647" t="s">
        <v>2088</v>
      </c>
      <c r="H2329" s="2647" t="s">
        <v>2088</v>
      </c>
      <c r="I2329" s="2647" t="s">
        <v>2088</v>
      </c>
      <c r="J2329" s="2647" t="s">
        <v>4680</v>
      </c>
      <c r="K2329" s="2648"/>
      <c r="L2329" s="2647" t="s">
        <v>4683</v>
      </c>
    </row>
    <row r="2330" spans="1:12">
      <c r="A2330" s="2646" t="s">
        <v>99</v>
      </c>
      <c r="B2330" s="2646" t="s">
        <v>4684</v>
      </c>
      <c r="C2330" s="2646">
        <v>32</v>
      </c>
      <c r="D2330" s="2646">
        <v>62</v>
      </c>
      <c r="E2330" s="2646">
        <v>18.2</v>
      </c>
      <c r="F2330" s="2646" t="s">
        <v>2088</v>
      </c>
      <c r="G2330" s="2646" t="s">
        <v>2088</v>
      </c>
      <c r="H2330" s="2646" t="s">
        <v>2088</v>
      </c>
      <c r="I2330" s="2646" t="s">
        <v>2088</v>
      </c>
      <c r="J2330" s="2646" t="s">
        <v>4685</v>
      </c>
      <c r="L2330" s="2646" t="s">
        <v>4684</v>
      </c>
    </row>
    <row r="2331" spans="1:12">
      <c r="A2331" s="2647" t="s">
        <v>99</v>
      </c>
      <c r="B2331" s="2647" t="s">
        <v>4686</v>
      </c>
      <c r="C2331" s="2647">
        <v>44</v>
      </c>
      <c r="D2331" s="2647">
        <v>83</v>
      </c>
      <c r="E2331" s="2647">
        <v>23.8</v>
      </c>
      <c r="F2331" s="2647" t="s">
        <v>2088</v>
      </c>
      <c r="G2331" s="2647" t="s">
        <v>2088</v>
      </c>
      <c r="H2331" s="2647" t="s">
        <v>2088</v>
      </c>
      <c r="I2331" s="2647" t="s">
        <v>2088</v>
      </c>
      <c r="J2331" s="2647" t="s">
        <v>4687</v>
      </c>
      <c r="K2331" s="2648"/>
      <c r="L2331" s="2647" t="s">
        <v>4686</v>
      </c>
    </row>
    <row r="2332" spans="1:12">
      <c r="A2332" s="2646" t="s">
        <v>99</v>
      </c>
      <c r="B2332" s="2646" t="s">
        <v>4688</v>
      </c>
      <c r="C2332" s="2646">
        <v>47</v>
      </c>
      <c r="D2332" s="2646">
        <v>83</v>
      </c>
      <c r="E2332" s="2646">
        <v>25.4</v>
      </c>
      <c r="F2332" s="2646" t="s">
        <v>2088</v>
      </c>
      <c r="G2332" s="2646" t="s">
        <v>2088</v>
      </c>
      <c r="H2332" s="2646" t="s">
        <v>2088</v>
      </c>
      <c r="I2332" s="2646" t="s">
        <v>2088</v>
      </c>
      <c r="J2332" s="2646" t="s">
        <v>4689</v>
      </c>
      <c r="L2332" s="2646" t="s">
        <v>4688</v>
      </c>
    </row>
    <row r="2333" spans="1:12">
      <c r="A2333" s="2647" t="s">
        <v>99</v>
      </c>
      <c r="B2333" s="2647" t="s">
        <v>4690</v>
      </c>
      <c r="C2333" s="2647">
        <v>38</v>
      </c>
      <c r="D2333" s="2647">
        <v>65</v>
      </c>
      <c r="E2333" s="2647">
        <v>18.3</v>
      </c>
      <c r="F2333" s="2647" t="s">
        <v>2088</v>
      </c>
      <c r="G2333" s="2647" t="s">
        <v>2088</v>
      </c>
      <c r="H2333" s="2647" t="s">
        <v>2088</v>
      </c>
      <c r="I2333" s="2647" t="s">
        <v>2088</v>
      </c>
      <c r="J2333" s="2647" t="s">
        <v>4691</v>
      </c>
      <c r="K2333" s="2648"/>
      <c r="L2333" s="2647" t="s">
        <v>2872</v>
      </c>
    </row>
    <row r="2334" spans="1:12">
      <c r="A2334" s="2646" t="s">
        <v>99</v>
      </c>
      <c r="B2334" s="2646" t="s">
        <v>4692</v>
      </c>
      <c r="C2334" s="2646">
        <v>140</v>
      </c>
      <c r="D2334" s="2646">
        <v>200</v>
      </c>
      <c r="E2334" s="2646">
        <v>160</v>
      </c>
      <c r="F2334" s="2646" t="s">
        <v>2088</v>
      </c>
      <c r="G2334" s="2646" t="s">
        <v>2088</v>
      </c>
      <c r="H2334" s="2646" t="s">
        <v>2088</v>
      </c>
      <c r="I2334" s="2646" t="s">
        <v>2088</v>
      </c>
      <c r="J2334" s="2646" t="s">
        <v>4693</v>
      </c>
      <c r="L2334" s="2646" t="s">
        <v>4692</v>
      </c>
    </row>
    <row r="2335" spans="1:12">
      <c r="A2335" s="2647" t="s">
        <v>99</v>
      </c>
      <c r="B2335" s="2647" t="s">
        <v>4694</v>
      </c>
      <c r="C2335" s="2647">
        <v>143</v>
      </c>
      <c r="D2335" s="2647">
        <v>200</v>
      </c>
      <c r="E2335" s="2647">
        <v>41.3</v>
      </c>
      <c r="F2335" s="2647" t="s">
        <v>2088</v>
      </c>
      <c r="G2335" s="2647" t="s">
        <v>2088</v>
      </c>
      <c r="H2335" s="2647" t="s">
        <v>2088</v>
      </c>
      <c r="I2335" s="2647" t="s">
        <v>2088</v>
      </c>
      <c r="J2335" s="2647" t="s">
        <v>4695</v>
      </c>
      <c r="K2335" s="2648"/>
      <c r="L2335" s="2647" t="s">
        <v>4694</v>
      </c>
    </row>
    <row r="2336" spans="1:12">
      <c r="A2336" s="2646" t="s">
        <v>99</v>
      </c>
      <c r="B2336" s="2646" t="s">
        <v>4696</v>
      </c>
      <c r="C2336" s="2646">
        <v>221</v>
      </c>
      <c r="D2336" s="2646">
        <v>314</v>
      </c>
      <c r="E2336" s="2646">
        <v>240</v>
      </c>
      <c r="F2336" s="2646" t="s">
        <v>2088</v>
      </c>
      <c r="G2336" s="2646" t="s">
        <v>2088</v>
      </c>
      <c r="H2336" s="2646" t="s">
        <v>2088</v>
      </c>
      <c r="I2336" s="2646" t="s">
        <v>2088</v>
      </c>
      <c r="J2336" s="2646" t="s">
        <v>4697</v>
      </c>
      <c r="L2336" s="2646" t="s">
        <v>4698</v>
      </c>
    </row>
    <row r="2337" spans="1:12">
      <c r="A2337" s="2647" t="s">
        <v>99</v>
      </c>
      <c r="B2337" s="2647" t="s">
        <v>4699</v>
      </c>
      <c r="C2337" s="2647">
        <v>35.4</v>
      </c>
      <c r="D2337" s="2647">
        <v>50.292000000000002</v>
      </c>
      <c r="E2337" s="2647">
        <v>14.224</v>
      </c>
      <c r="F2337" s="2647" t="s">
        <v>2088</v>
      </c>
      <c r="G2337" s="2647" t="s">
        <v>2088</v>
      </c>
      <c r="H2337" s="2647" t="s">
        <v>2088</v>
      </c>
      <c r="I2337" s="2647" t="s">
        <v>2088</v>
      </c>
      <c r="J2337" s="2647" t="s">
        <v>4700</v>
      </c>
      <c r="K2337" s="2648"/>
      <c r="L2337" s="2647" t="s">
        <v>4699</v>
      </c>
    </row>
    <row r="2338" spans="1:12">
      <c r="A2338" s="2646" t="s">
        <v>99</v>
      </c>
      <c r="B2338" s="2646" t="s">
        <v>4701</v>
      </c>
      <c r="C2338" s="2646">
        <v>35.988</v>
      </c>
      <c r="D2338" s="2646">
        <v>50.292000000000002</v>
      </c>
      <c r="E2338" s="2646">
        <v>14.224</v>
      </c>
      <c r="F2338" s="2646" t="s">
        <v>2088</v>
      </c>
      <c r="G2338" s="2646" t="s">
        <v>2088</v>
      </c>
      <c r="H2338" s="2646" t="s">
        <v>2088</v>
      </c>
      <c r="I2338" s="2646" t="s">
        <v>2088</v>
      </c>
      <c r="J2338" s="2646" t="s">
        <v>4700</v>
      </c>
      <c r="L2338" s="2646" t="s">
        <v>4701</v>
      </c>
    </row>
    <row r="2339" spans="1:12">
      <c r="A2339" s="2647" t="s">
        <v>99</v>
      </c>
      <c r="B2339" s="2647" t="s">
        <v>4702</v>
      </c>
      <c r="C2339" s="2647">
        <v>35.512</v>
      </c>
      <c r="D2339" s="2647">
        <v>93.622</v>
      </c>
      <c r="E2339" s="2647">
        <v>31.75</v>
      </c>
      <c r="F2339" s="2647" t="s">
        <v>2088</v>
      </c>
      <c r="G2339" s="2647" t="s">
        <v>2088</v>
      </c>
      <c r="H2339" s="2647" t="s">
        <v>2088</v>
      </c>
      <c r="I2339" s="2647" t="s">
        <v>2088</v>
      </c>
      <c r="J2339" s="2647" t="s">
        <v>4703</v>
      </c>
      <c r="K2339" s="2648"/>
      <c r="L2339" s="2647" t="s">
        <v>4702</v>
      </c>
    </row>
    <row r="2340" spans="1:12">
      <c r="A2340" s="2646" t="s">
        <v>99</v>
      </c>
      <c r="B2340" s="2646" t="s">
        <v>4704</v>
      </c>
      <c r="C2340" s="2646">
        <v>32.549999999999997</v>
      </c>
      <c r="D2340" s="2646">
        <v>133.35</v>
      </c>
      <c r="E2340" s="2646">
        <v>33.335999999999999</v>
      </c>
      <c r="F2340" s="2646" t="s">
        <v>2088</v>
      </c>
      <c r="G2340" s="2646" t="s">
        <v>2088</v>
      </c>
      <c r="H2340" s="2646" t="s">
        <v>2088</v>
      </c>
      <c r="I2340" s="2646" t="s">
        <v>2088</v>
      </c>
      <c r="J2340" s="2646" t="s">
        <v>4705</v>
      </c>
      <c r="L2340" s="2646" t="s">
        <v>4704</v>
      </c>
    </row>
    <row r="2341" spans="1:12">
      <c r="A2341" s="2647" t="s">
        <v>99</v>
      </c>
      <c r="B2341" s="2647" t="s">
        <v>4706</v>
      </c>
      <c r="C2341" s="2647">
        <v>123.825</v>
      </c>
      <c r="D2341" s="2647">
        <v>182.56200000000001</v>
      </c>
      <c r="E2341" s="2647">
        <v>39.688000000000002</v>
      </c>
      <c r="F2341" s="2647" t="s">
        <v>2088</v>
      </c>
      <c r="G2341" s="2647" t="s">
        <v>2088</v>
      </c>
      <c r="H2341" s="2647" t="s">
        <v>2088</v>
      </c>
      <c r="I2341" s="2647" t="s">
        <v>2088</v>
      </c>
      <c r="J2341" s="2647">
        <v>3.2389999999999999</v>
      </c>
      <c r="K2341" s="2648"/>
      <c r="L2341" s="2647" t="s">
        <v>4706</v>
      </c>
    </row>
    <row r="2342" spans="1:12">
      <c r="A2342" s="2646" t="s">
        <v>99</v>
      </c>
      <c r="B2342" s="2646" t="s">
        <v>4707</v>
      </c>
      <c r="C2342" s="2646">
        <v>127</v>
      </c>
      <c r="D2342" s="2646">
        <v>182.52</v>
      </c>
      <c r="E2342" s="2646">
        <v>38.688000000000002</v>
      </c>
      <c r="F2342" s="2646" t="s">
        <v>2088</v>
      </c>
      <c r="G2342" s="2646" t="s">
        <v>2088</v>
      </c>
      <c r="H2342" s="2646" t="s">
        <v>2088</v>
      </c>
      <c r="I2342" s="2646" t="s">
        <v>2088</v>
      </c>
      <c r="J2342" s="2646" t="s">
        <v>4708</v>
      </c>
      <c r="L2342" s="2646" t="s">
        <v>4707</v>
      </c>
    </row>
    <row r="2343" spans="1:12">
      <c r="A2343" s="2647" t="s">
        <v>99</v>
      </c>
      <c r="B2343" s="2647" t="s">
        <v>4709</v>
      </c>
      <c r="C2343" s="2647">
        <v>34.975000000000001</v>
      </c>
      <c r="D2343" s="2647">
        <v>65.084000000000003</v>
      </c>
      <c r="E2343" s="2647">
        <v>18.030999999999999</v>
      </c>
      <c r="F2343" s="2647" t="s">
        <v>2088</v>
      </c>
      <c r="G2343" s="2647" t="s">
        <v>2088</v>
      </c>
      <c r="H2343" s="2647" t="s">
        <v>2088</v>
      </c>
      <c r="I2343" s="2647" t="s">
        <v>2088</v>
      </c>
      <c r="J2343" s="2647" t="s">
        <v>4710</v>
      </c>
      <c r="K2343" s="2648"/>
      <c r="L2343" s="2647" t="s">
        <v>4709</v>
      </c>
    </row>
    <row r="2344" spans="1:12">
      <c r="A2344" s="2646" t="s">
        <v>99</v>
      </c>
      <c r="B2344" s="2646" t="s">
        <v>4711</v>
      </c>
      <c r="C2344" s="2646">
        <v>34.924999999999997</v>
      </c>
      <c r="D2344" s="2646">
        <v>65.087999999999994</v>
      </c>
      <c r="E2344" s="2646">
        <v>21.082000000000001</v>
      </c>
      <c r="F2344" s="2646" t="s">
        <v>2088</v>
      </c>
      <c r="G2344" s="2646" t="s">
        <v>2088</v>
      </c>
      <c r="H2344" s="2646" t="s">
        <v>2088</v>
      </c>
      <c r="I2344" s="2646" t="s">
        <v>2088</v>
      </c>
      <c r="J2344" s="2646" t="s">
        <v>4712</v>
      </c>
      <c r="L2344" s="2646" t="s">
        <v>4711</v>
      </c>
    </row>
    <row r="2345" spans="1:12">
      <c r="A2345" s="2647" t="s">
        <v>99</v>
      </c>
      <c r="B2345" s="2647" t="s">
        <v>4713</v>
      </c>
      <c r="C2345" s="2647">
        <v>107.95</v>
      </c>
      <c r="D2345" s="2647">
        <v>171.34800000000001</v>
      </c>
      <c r="E2345" s="2647">
        <v>36.512</v>
      </c>
      <c r="F2345" s="2647" t="s">
        <v>2088</v>
      </c>
      <c r="G2345" s="2647" t="s">
        <v>2088</v>
      </c>
      <c r="H2345" s="2647" t="s">
        <v>2088</v>
      </c>
      <c r="I2345" s="2647" t="s">
        <v>2088</v>
      </c>
      <c r="J2345" s="2647" t="s">
        <v>4714</v>
      </c>
      <c r="K2345" s="2648"/>
      <c r="L2345" s="2647" t="s">
        <v>4713</v>
      </c>
    </row>
    <row r="2346" spans="1:12">
      <c r="A2346" s="2646" t="s">
        <v>99</v>
      </c>
      <c r="B2346" s="2646" t="s">
        <v>4715</v>
      </c>
      <c r="C2346" s="2646">
        <v>114.3</v>
      </c>
      <c r="D2346" s="2646">
        <v>177.34800000000001</v>
      </c>
      <c r="E2346" s="2646">
        <v>41.274999999999999</v>
      </c>
      <c r="F2346" s="2646" t="s">
        <v>2088</v>
      </c>
      <c r="G2346" s="2646" t="s">
        <v>2088</v>
      </c>
      <c r="H2346" s="2646" t="s">
        <v>2088</v>
      </c>
      <c r="I2346" s="2646" t="s">
        <v>2088</v>
      </c>
      <c r="J2346" s="2646" t="s">
        <v>4716</v>
      </c>
      <c r="L2346" s="2646" t="s">
        <v>4715</v>
      </c>
    </row>
    <row r="2347" spans="1:12">
      <c r="A2347" s="2647" t="s">
        <v>99</v>
      </c>
      <c r="B2347" s="2647" t="s">
        <v>4717</v>
      </c>
      <c r="C2347" s="2647">
        <v>31.75</v>
      </c>
      <c r="D2347" s="2647">
        <v>59.131</v>
      </c>
      <c r="E2347" s="2647">
        <v>15.875</v>
      </c>
      <c r="F2347" s="2647" t="s">
        <v>2088</v>
      </c>
      <c r="G2347" s="2647" t="s">
        <v>2088</v>
      </c>
      <c r="H2347" s="2647" t="s">
        <v>2088</v>
      </c>
      <c r="I2347" s="2647" t="s">
        <v>2088</v>
      </c>
      <c r="J2347" s="2647" t="s">
        <v>4682</v>
      </c>
      <c r="K2347" s="2648"/>
      <c r="L2347" s="2647" t="s">
        <v>4717</v>
      </c>
    </row>
    <row r="2348" spans="1:12">
      <c r="A2348" s="2646" t="s">
        <v>99</v>
      </c>
      <c r="B2348" s="2646" t="s">
        <v>4718</v>
      </c>
      <c r="C2348" s="2646">
        <v>35</v>
      </c>
      <c r="D2348" s="2646">
        <v>60</v>
      </c>
      <c r="E2348" s="2646">
        <v>15.875</v>
      </c>
      <c r="F2348" s="2646" t="s">
        <v>2088</v>
      </c>
      <c r="G2348" s="2646" t="s">
        <v>2088</v>
      </c>
      <c r="H2348" s="2646" t="s">
        <v>2088</v>
      </c>
      <c r="I2348" s="2646" t="s">
        <v>2088</v>
      </c>
      <c r="J2348" s="2646" t="s">
        <v>4682</v>
      </c>
      <c r="L2348" s="2646" t="s">
        <v>4718</v>
      </c>
    </row>
    <row r="2349" spans="1:12">
      <c r="A2349" s="2647" t="s">
        <v>99</v>
      </c>
      <c r="B2349" s="2647" t="s">
        <v>4719</v>
      </c>
      <c r="C2349" s="2647">
        <v>35</v>
      </c>
      <c r="D2349" s="2647">
        <v>60</v>
      </c>
      <c r="E2349" s="2647">
        <v>15.875</v>
      </c>
      <c r="F2349" s="2647" t="s">
        <v>2088</v>
      </c>
      <c r="G2349" s="2647" t="s">
        <v>2088</v>
      </c>
      <c r="H2349" s="2647" t="s">
        <v>2088</v>
      </c>
      <c r="I2349" s="2647" t="s">
        <v>2088</v>
      </c>
      <c r="J2349" s="2647" t="s">
        <v>4682</v>
      </c>
      <c r="K2349" s="2648"/>
      <c r="L2349" s="2647" t="s">
        <v>4719</v>
      </c>
    </row>
    <row r="2350" spans="1:12">
      <c r="A2350" s="2646" t="s">
        <v>99</v>
      </c>
      <c r="B2350" s="2646" t="s">
        <v>4720</v>
      </c>
      <c r="C2350" s="2646">
        <v>31.75</v>
      </c>
      <c r="D2350" s="2646">
        <v>73.025000000000006</v>
      </c>
      <c r="E2350" s="2646">
        <v>29.37</v>
      </c>
      <c r="F2350" s="2646" t="s">
        <v>2088</v>
      </c>
      <c r="G2350" s="2646" t="s">
        <v>2088</v>
      </c>
      <c r="H2350" s="2646" t="s">
        <v>2088</v>
      </c>
      <c r="I2350" s="2646" t="s">
        <v>2088</v>
      </c>
      <c r="J2350" s="2646" t="s">
        <v>4721</v>
      </c>
      <c r="L2350" s="2646" t="s">
        <v>4720</v>
      </c>
    </row>
    <row r="2351" spans="1:12">
      <c r="A2351" s="2647" t="s">
        <v>99</v>
      </c>
      <c r="B2351" s="2647" t="s">
        <v>4722</v>
      </c>
      <c r="C2351" s="2647">
        <v>30.161999999999999</v>
      </c>
      <c r="D2351" s="2647">
        <v>61.296999999999997</v>
      </c>
      <c r="E2351" s="2647">
        <v>21.344000000000001</v>
      </c>
      <c r="F2351" s="2647" t="s">
        <v>2088</v>
      </c>
      <c r="G2351" s="2647" t="s">
        <v>2088</v>
      </c>
      <c r="H2351" s="2647" t="s">
        <v>2088</v>
      </c>
      <c r="I2351" s="2647" t="s">
        <v>2088</v>
      </c>
      <c r="J2351" s="2647" t="s">
        <v>4723</v>
      </c>
      <c r="K2351" s="2648"/>
      <c r="L2351" s="2647" t="s">
        <v>4722</v>
      </c>
    </row>
    <row r="2352" spans="1:12">
      <c r="A2352" s="2646" t="s">
        <v>99</v>
      </c>
      <c r="B2352" s="2646" t="s">
        <v>4724</v>
      </c>
      <c r="C2352" s="2646">
        <v>152.4</v>
      </c>
      <c r="D2352" s="2646">
        <v>254</v>
      </c>
      <c r="E2352" s="2646">
        <v>66.674999999999997</v>
      </c>
      <c r="F2352" s="2646" t="s">
        <v>2088</v>
      </c>
      <c r="G2352" s="2646" t="s">
        <v>2088</v>
      </c>
      <c r="H2352" s="2646" t="s">
        <v>2088</v>
      </c>
      <c r="I2352" s="2646" t="s">
        <v>2088</v>
      </c>
      <c r="J2352" s="2646" t="s">
        <v>4725</v>
      </c>
      <c r="L2352" s="2646" t="s">
        <v>4724</v>
      </c>
    </row>
    <row r="2353" spans="1:12">
      <c r="A2353" s="2647" t="s">
        <v>99</v>
      </c>
      <c r="B2353" s="2647" t="s">
        <v>4726</v>
      </c>
      <c r="C2353" s="2647">
        <v>50</v>
      </c>
      <c r="D2353" s="2647">
        <v>82</v>
      </c>
      <c r="E2353" s="2647">
        <v>21.5</v>
      </c>
      <c r="F2353" s="2647" t="s">
        <v>2088</v>
      </c>
      <c r="G2353" s="2647" t="s">
        <v>2088</v>
      </c>
      <c r="H2353" s="2647" t="s">
        <v>2088</v>
      </c>
      <c r="I2353" s="2647" t="s">
        <v>2088</v>
      </c>
      <c r="J2353" s="2647" t="s">
        <v>4727</v>
      </c>
      <c r="K2353" s="2648"/>
      <c r="L2353" s="2647" t="s">
        <v>4728</v>
      </c>
    </row>
    <row r="2354" spans="1:12">
      <c r="A2354" s="2646" t="s">
        <v>99</v>
      </c>
      <c r="B2354" s="2646" t="s">
        <v>4729</v>
      </c>
      <c r="C2354" s="2646">
        <v>66.674999999999997</v>
      </c>
      <c r="D2354" s="2646">
        <v>122.238</v>
      </c>
      <c r="E2354" s="2646">
        <v>38.1</v>
      </c>
      <c r="F2354" s="2646" t="s">
        <v>2088</v>
      </c>
      <c r="G2354" s="2646" t="s">
        <v>2088</v>
      </c>
      <c r="H2354" s="2646" t="s">
        <v>2088</v>
      </c>
      <c r="I2354" s="2646" t="s">
        <v>2088</v>
      </c>
      <c r="J2354" s="2646" t="s">
        <v>4730</v>
      </c>
      <c r="L2354" s="2646" t="s">
        <v>4729</v>
      </c>
    </row>
    <row r="2355" spans="1:12">
      <c r="A2355" s="2647" t="s">
        <v>99</v>
      </c>
      <c r="B2355" s="2647" t="s">
        <v>4731</v>
      </c>
      <c r="C2355" s="2647">
        <v>89.974999999999994</v>
      </c>
      <c r="D2355" s="2647">
        <v>146.97499999999999</v>
      </c>
      <c r="E2355" s="2647">
        <v>40</v>
      </c>
      <c r="F2355" s="2647" t="s">
        <v>2088</v>
      </c>
      <c r="G2355" s="2647" t="s">
        <v>2088</v>
      </c>
      <c r="H2355" s="2647" t="s">
        <v>2088</v>
      </c>
      <c r="I2355" s="2647" t="s">
        <v>2088</v>
      </c>
      <c r="J2355" s="2647" t="s">
        <v>4732</v>
      </c>
      <c r="K2355" s="2648"/>
      <c r="L2355" s="2647" t="s">
        <v>4731</v>
      </c>
    </row>
    <row r="2356" spans="1:12">
      <c r="A2356" s="2646" t="s">
        <v>99</v>
      </c>
      <c r="B2356" s="2646" t="s">
        <v>4733</v>
      </c>
      <c r="C2356" s="2646">
        <v>41.274999999999999</v>
      </c>
      <c r="D2356" s="2646">
        <v>73.430999999999997</v>
      </c>
      <c r="E2356" s="2646">
        <v>19.588000000000001</v>
      </c>
      <c r="F2356" s="2646" t="s">
        <v>2088</v>
      </c>
      <c r="G2356" s="2646" t="s">
        <v>2088</v>
      </c>
      <c r="H2356" s="2646" t="s">
        <v>2088</v>
      </c>
      <c r="I2356" s="2646" t="s">
        <v>2088</v>
      </c>
      <c r="J2356" s="2646" t="s">
        <v>4734</v>
      </c>
      <c r="L2356" s="2646" t="s">
        <v>4733</v>
      </c>
    </row>
    <row r="2357" spans="1:12">
      <c r="A2357" s="2647" t="s">
        <v>99</v>
      </c>
      <c r="B2357" s="2647">
        <v>352973</v>
      </c>
      <c r="C2357" s="2647">
        <v>360</v>
      </c>
      <c r="D2357" s="2647">
        <v>480</v>
      </c>
      <c r="E2357" s="2647">
        <v>160</v>
      </c>
      <c r="F2357" s="2647" t="s">
        <v>2088</v>
      </c>
      <c r="G2357" s="2647" t="s">
        <v>2088</v>
      </c>
      <c r="H2357" s="2647" t="s">
        <v>2088</v>
      </c>
      <c r="I2357" s="2647" t="s">
        <v>2088</v>
      </c>
      <c r="J2357" s="2647">
        <v>74</v>
      </c>
      <c r="K2357" s="2648"/>
      <c r="L2357" s="2647">
        <v>2097973</v>
      </c>
    </row>
    <row r="2358" spans="1:12">
      <c r="A2358" s="2646" t="s">
        <v>99</v>
      </c>
      <c r="B2358" s="2646" t="s">
        <v>4735</v>
      </c>
      <c r="C2358" s="2646">
        <v>19.05</v>
      </c>
      <c r="D2358" s="2646">
        <v>43.14</v>
      </c>
      <c r="E2358" s="2646">
        <v>21.934999999999999</v>
      </c>
      <c r="F2358" s="2646" t="s">
        <v>2088</v>
      </c>
      <c r="G2358" s="2646" t="s">
        <v>2088</v>
      </c>
      <c r="H2358" s="2646" t="s">
        <v>2088</v>
      </c>
      <c r="I2358" s="2646" t="s">
        <v>2088</v>
      </c>
      <c r="J2358" s="2646">
        <v>1.2</v>
      </c>
      <c r="L2358" s="2646" t="s">
        <v>4735</v>
      </c>
    </row>
    <row r="2359" spans="1:12">
      <c r="A2359" s="2647" t="s">
        <v>99</v>
      </c>
      <c r="B2359" s="2647" t="s">
        <v>4736</v>
      </c>
      <c r="C2359" s="2647">
        <v>105</v>
      </c>
      <c r="D2359" s="2647">
        <v>170</v>
      </c>
      <c r="E2359" s="2647">
        <v>57</v>
      </c>
      <c r="F2359" s="2647" t="s">
        <v>2088</v>
      </c>
      <c r="G2359" s="2647" t="s">
        <v>2088</v>
      </c>
      <c r="H2359" s="2647" t="s">
        <v>2088</v>
      </c>
      <c r="I2359" s="2647" t="s">
        <v>2088</v>
      </c>
      <c r="J2359" s="2647">
        <v>5.72</v>
      </c>
      <c r="K2359" s="2648"/>
      <c r="L2359" s="2647" t="s">
        <v>4737</v>
      </c>
    </row>
    <row r="2360" spans="1:12">
      <c r="A2360" s="2646" t="s">
        <v>99</v>
      </c>
      <c r="B2360" s="2646" t="s">
        <v>4738</v>
      </c>
      <c r="C2360" s="2646">
        <v>35</v>
      </c>
      <c r="D2360" s="2646">
        <v>72</v>
      </c>
      <c r="E2360" s="2646">
        <v>18.25</v>
      </c>
      <c r="F2360" s="2646" t="s">
        <v>2088</v>
      </c>
      <c r="G2360" s="2646" t="s">
        <v>2088</v>
      </c>
      <c r="H2360" s="2646" t="s">
        <v>2088</v>
      </c>
      <c r="I2360" s="2646" t="s">
        <v>2088</v>
      </c>
      <c r="J2360" s="2646">
        <v>0.32</v>
      </c>
      <c r="L2360" s="2646">
        <v>7207</v>
      </c>
    </row>
    <row r="2361" spans="1:12">
      <c r="A2361" s="2647" t="s">
        <v>99</v>
      </c>
      <c r="B2361" s="2647" t="s">
        <v>4739</v>
      </c>
      <c r="C2361" s="2647">
        <v>30</v>
      </c>
      <c r="D2361" s="2647">
        <v>62</v>
      </c>
      <c r="E2361" s="2647">
        <v>17.25</v>
      </c>
      <c r="F2361" s="2647" t="s">
        <v>2088</v>
      </c>
      <c r="G2361" s="2647" t="s">
        <v>2088</v>
      </c>
      <c r="H2361" s="2647" t="s">
        <v>2088</v>
      </c>
      <c r="I2361" s="2647" t="s">
        <v>2088</v>
      </c>
      <c r="J2361" s="2647">
        <v>0.23</v>
      </c>
      <c r="K2361" s="2648"/>
      <c r="L2361" s="2647">
        <v>7206</v>
      </c>
    </row>
    <row r="2362" spans="1:12">
      <c r="A2362" s="2646" t="s">
        <v>99</v>
      </c>
      <c r="B2362" s="2646" t="s">
        <v>4740</v>
      </c>
      <c r="C2362" s="2646">
        <v>25</v>
      </c>
      <c r="D2362" s="2646">
        <v>52</v>
      </c>
      <c r="E2362" s="2646">
        <v>16.25</v>
      </c>
      <c r="F2362" s="2646" t="s">
        <v>2088</v>
      </c>
      <c r="G2362" s="2646" t="s">
        <v>2088</v>
      </c>
      <c r="H2362" s="2646" t="s">
        <v>2088</v>
      </c>
      <c r="I2362" s="2646" t="s">
        <v>2088</v>
      </c>
      <c r="J2362" s="2646">
        <v>0.15</v>
      </c>
      <c r="L2362" s="2646">
        <v>7205</v>
      </c>
    </row>
    <row r="2363" spans="1:12">
      <c r="A2363" s="2647" t="s">
        <v>99</v>
      </c>
      <c r="B2363" s="2647" t="s">
        <v>4741</v>
      </c>
      <c r="C2363" s="2647">
        <v>38</v>
      </c>
      <c r="D2363" s="2647">
        <v>63</v>
      </c>
      <c r="E2363" s="2647">
        <v>17</v>
      </c>
      <c r="F2363" s="2647" t="s">
        <v>2088</v>
      </c>
      <c r="G2363" s="2647" t="s">
        <v>2088</v>
      </c>
      <c r="H2363" s="2647" t="s">
        <v>2088</v>
      </c>
      <c r="I2363" s="2647" t="s">
        <v>2088</v>
      </c>
      <c r="J2363" s="2647">
        <v>0.2</v>
      </c>
      <c r="K2363" s="2648"/>
      <c r="L2363" s="2647" t="s">
        <v>4741</v>
      </c>
    </row>
    <row r="2364" spans="1:12">
      <c r="A2364" s="2646" t="s">
        <v>99</v>
      </c>
      <c r="B2364" s="2646" t="s">
        <v>4742</v>
      </c>
      <c r="C2364" s="2646">
        <v>38</v>
      </c>
      <c r="D2364" s="2646">
        <v>36</v>
      </c>
      <c r="E2364" s="2646">
        <v>17</v>
      </c>
      <c r="F2364" s="2646" t="s">
        <v>2088</v>
      </c>
      <c r="G2364" s="2646" t="s">
        <v>2088</v>
      </c>
      <c r="H2364" s="2646" t="s">
        <v>2088</v>
      </c>
      <c r="I2364" s="2646" t="s">
        <v>2088</v>
      </c>
      <c r="J2364" s="2646">
        <v>0.2</v>
      </c>
      <c r="L2364" s="2646" t="s">
        <v>4742</v>
      </c>
    </row>
    <row r="2365" spans="1:12">
      <c r="A2365" s="2647" t="s">
        <v>99</v>
      </c>
      <c r="B2365" s="2647" t="s">
        <v>4743</v>
      </c>
      <c r="C2365" s="2647">
        <v>40</v>
      </c>
      <c r="D2365" s="2647">
        <v>85</v>
      </c>
      <c r="E2365" s="2647">
        <v>33</v>
      </c>
      <c r="F2365" s="2647" t="s">
        <v>2088</v>
      </c>
      <c r="G2365" s="2647" t="s">
        <v>2088</v>
      </c>
      <c r="H2365" s="2647" t="s">
        <v>2088</v>
      </c>
      <c r="I2365" s="2647" t="s">
        <v>2088</v>
      </c>
      <c r="J2365" s="2647">
        <v>0.9</v>
      </c>
      <c r="K2365" s="2648"/>
      <c r="L2365" s="2647" t="s">
        <v>4743</v>
      </c>
    </row>
    <row r="2366" spans="1:12">
      <c r="A2366" s="2646" t="s">
        <v>99</v>
      </c>
      <c r="B2366" s="2646" t="s">
        <v>4744</v>
      </c>
      <c r="C2366" s="2646">
        <v>45</v>
      </c>
      <c r="D2366" s="2646">
        <v>95</v>
      </c>
      <c r="E2366" s="2646">
        <v>29</v>
      </c>
      <c r="F2366" s="2646" t="s">
        <v>2088</v>
      </c>
      <c r="G2366" s="2646" t="s">
        <v>2088</v>
      </c>
      <c r="H2366" s="2646" t="s">
        <v>2088</v>
      </c>
      <c r="I2366" s="2646" t="s">
        <v>2088</v>
      </c>
      <c r="J2366" s="2646">
        <v>0.92</v>
      </c>
      <c r="L2366" s="2646" t="s">
        <v>4744</v>
      </c>
    </row>
    <row r="2367" spans="1:12">
      <c r="A2367" s="2647" t="s">
        <v>99</v>
      </c>
      <c r="B2367" s="2647">
        <v>45320</v>
      </c>
      <c r="C2367" s="2647">
        <v>100</v>
      </c>
      <c r="D2367" s="2647">
        <v>165</v>
      </c>
      <c r="E2367" s="2647">
        <v>52</v>
      </c>
      <c r="F2367" s="2647">
        <v>237</v>
      </c>
      <c r="G2367" s="2647">
        <v>384</v>
      </c>
      <c r="H2367" s="2647">
        <v>1800</v>
      </c>
      <c r="I2367" s="2647">
        <v>2300</v>
      </c>
      <c r="J2367" s="2647">
        <v>4.26</v>
      </c>
      <c r="K2367" s="2648"/>
      <c r="L2367" s="2647" t="s">
        <v>2088</v>
      </c>
    </row>
    <row r="2368" spans="1:12">
      <c r="A2368" s="2646" t="s">
        <v>99</v>
      </c>
      <c r="B2368" s="2646">
        <v>45322</v>
      </c>
      <c r="C2368" s="2646">
        <v>110</v>
      </c>
      <c r="D2368" s="2646">
        <v>180</v>
      </c>
      <c r="E2368" s="2646">
        <v>56</v>
      </c>
      <c r="F2368" s="2646">
        <v>300</v>
      </c>
      <c r="G2368" s="2646">
        <v>505</v>
      </c>
      <c r="H2368" s="2646">
        <v>1600</v>
      </c>
      <c r="I2368" s="2646">
        <v>2100</v>
      </c>
      <c r="J2368" s="2646">
        <v>5.4</v>
      </c>
      <c r="L2368" s="2646" t="s">
        <v>2088</v>
      </c>
    </row>
    <row r="2369" spans="1:12">
      <c r="A2369" s="2647" t="s">
        <v>99</v>
      </c>
      <c r="B2369" s="2647">
        <v>45224</v>
      </c>
      <c r="C2369" s="2647">
        <v>120</v>
      </c>
      <c r="D2369" s="2647">
        <v>180</v>
      </c>
      <c r="E2369" s="2647">
        <v>46</v>
      </c>
      <c r="F2369" s="2647">
        <v>229</v>
      </c>
      <c r="G2369" s="2647">
        <v>424</v>
      </c>
      <c r="H2369" s="2647">
        <v>1500</v>
      </c>
      <c r="I2369" s="2647">
        <v>2100</v>
      </c>
      <c r="J2369" s="2647">
        <v>4.08</v>
      </c>
      <c r="K2369" s="2648"/>
      <c r="L2369" s="2647" t="s">
        <v>2088</v>
      </c>
    </row>
    <row r="2370" spans="1:12">
      <c r="A2370" s="2646" t="s">
        <v>99</v>
      </c>
      <c r="B2370" s="2646">
        <v>45324</v>
      </c>
      <c r="C2370" s="2646">
        <v>120</v>
      </c>
      <c r="D2370" s="2646">
        <v>200</v>
      </c>
      <c r="E2370" s="2646">
        <v>62</v>
      </c>
      <c r="F2370" s="2646">
        <v>353</v>
      </c>
      <c r="G2370" s="2646">
        <v>598</v>
      </c>
      <c r="H2370" s="2646">
        <v>1400</v>
      </c>
      <c r="I2370" s="2646">
        <v>1900</v>
      </c>
      <c r="J2370" s="2646">
        <v>7.92</v>
      </c>
      <c r="L2370" s="2646" t="s">
        <v>2088</v>
      </c>
    </row>
    <row r="2371" spans="1:12">
      <c r="A2371" s="2647" t="s">
        <v>99</v>
      </c>
      <c r="B2371" s="2647">
        <v>45226</v>
      </c>
      <c r="C2371" s="2647">
        <v>130</v>
      </c>
      <c r="D2371" s="2647">
        <v>200</v>
      </c>
      <c r="E2371" s="2647">
        <v>52</v>
      </c>
      <c r="F2371" s="2647">
        <v>300</v>
      </c>
      <c r="G2371" s="2647">
        <v>548</v>
      </c>
      <c r="H2371" s="2647">
        <v>1400</v>
      </c>
      <c r="I2371" s="2647">
        <v>1800</v>
      </c>
      <c r="J2371" s="2647">
        <v>5.96</v>
      </c>
      <c r="K2371" s="2648"/>
      <c r="L2371" s="2647" t="s">
        <v>2088</v>
      </c>
    </row>
    <row r="2372" spans="1:12">
      <c r="A2372" s="2646" t="s">
        <v>99</v>
      </c>
      <c r="B2372" s="2646">
        <v>45326</v>
      </c>
      <c r="C2372" s="2646">
        <v>130</v>
      </c>
      <c r="D2372" s="2646">
        <v>210</v>
      </c>
      <c r="E2372" s="2646">
        <v>64</v>
      </c>
      <c r="F2372" s="2646">
        <v>412</v>
      </c>
      <c r="G2372" s="2646">
        <v>657</v>
      </c>
      <c r="H2372" s="2646">
        <v>1300</v>
      </c>
      <c r="I2372" s="2646">
        <v>1800</v>
      </c>
      <c r="J2372" s="2646">
        <v>8.41</v>
      </c>
      <c r="L2372" s="2646" t="s">
        <v>2088</v>
      </c>
    </row>
    <row r="2373" spans="1:12">
      <c r="A2373" s="2647" t="s">
        <v>99</v>
      </c>
      <c r="B2373" s="2647">
        <v>45228</v>
      </c>
      <c r="C2373" s="2647">
        <v>140</v>
      </c>
      <c r="D2373" s="2647">
        <v>210</v>
      </c>
      <c r="E2373" s="2647">
        <v>53</v>
      </c>
      <c r="F2373" s="2647">
        <v>311</v>
      </c>
      <c r="G2373" s="2647">
        <v>564</v>
      </c>
      <c r="H2373" s="2647">
        <v>1300</v>
      </c>
      <c r="I2373" s="2647">
        <v>1800</v>
      </c>
      <c r="J2373" s="2647">
        <v>6.45</v>
      </c>
      <c r="K2373" s="2648"/>
      <c r="L2373" s="2647" t="s">
        <v>2088</v>
      </c>
    </row>
    <row r="2374" spans="1:12">
      <c r="A2374" s="2646" t="s">
        <v>99</v>
      </c>
      <c r="B2374" s="2646">
        <v>45328</v>
      </c>
      <c r="C2374" s="2646">
        <v>140</v>
      </c>
      <c r="D2374" s="2646">
        <v>225</v>
      </c>
      <c r="E2374" s="2646">
        <v>68</v>
      </c>
      <c r="F2374" s="2646">
        <v>486</v>
      </c>
      <c r="G2374" s="2646">
        <v>807</v>
      </c>
      <c r="H2374" s="2646">
        <v>1200</v>
      </c>
      <c r="I2374" s="2646">
        <v>1700</v>
      </c>
      <c r="J2374" s="2646">
        <v>10</v>
      </c>
      <c r="L2374" s="2646" t="s">
        <v>2088</v>
      </c>
    </row>
    <row r="2375" spans="1:12">
      <c r="A2375" s="2647" t="s">
        <v>99</v>
      </c>
      <c r="B2375" s="2647">
        <v>45230</v>
      </c>
      <c r="C2375" s="2647">
        <v>150</v>
      </c>
      <c r="D2375" s="2647">
        <v>225</v>
      </c>
      <c r="E2375" s="2647">
        <v>56</v>
      </c>
      <c r="F2375" s="2647">
        <v>355</v>
      </c>
      <c r="G2375" s="2647">
        <v>686</v>
      </c>
      <c r="H2375" s="2647">
        <v>1200</v>
      </c>
      <c r="I2375" s="2647">
        <v>1600</v>
      </c>
      <c r="J2375" s="2647">
        <v>7.87</v>
      </c>
      <c r="K2375" s="2648"/>
      <c r="L2375" s="2647" t="s">
        <v>2088</v>
      </c>
    </row>
    <row r="2376" spans="1:12">
      <c r="A2376" s="2646" t="s">
        <v>99</v>
      </c>
      <c r="B2376" s="2646">
        <v>45330</v>
      </c>
      <c r="C2376" s="2646">
        <v>150</v>
      </c>
      <c r="D2376" s="2646">
        <v>250</v>
      </c>
      <c r="E2376" s="2646">
        <v>80</v>
      </c>
      <c r="F2376" s="2646">
        <v>593</v>
      </c>
      <c r="G2376" s="2646">
        <v>955</v>
      </c>
      <c r="H2376" s="2646">
        <v>1100</v>
      </c>
      <c r="I2376" s="2646">
        <v>1500</v>
      </c>
      <c r="J2376" s="2646">
        <v>15.5</v>
      </c>
      <c r="L2376" s="2646" t="s">
        <v>2088</v>
      </c>
    </row>
    <row r="2377" spans="1:12">
      <c r="A2377" s="2647" t="s">
        <v>99</v>
      </c>
      <c r="B2377" s="2647">
        <v>45232</v>
      </c>
      <c r="C2377" s="2647">
        <v>160</v>
      </c>
      <c r="D2377" s="2647">
        <v>240</v>
      </c>
      <c r="E2377" s="2647">
        <v>60</v>
      </c>
      <c r="F2377" s="2647">
        <v>421</v>
      </c>
      <c r="G2377" s="2647">
        <v>705</v>
      </c>
      <c r="H2377" s="2647">
        <v>1100</v>
      </c>
      <c r="I2377" s="2647">
        <v>1500</v>
      </c>
      <c r="J2377" s="2647">
        <v>9.2200000000000006</v>
      </c>
      <c r="K2377" s="2648"/>
      <c r="L2377" s="2647" t="s">
        <v>2088</v>
      </c>
    </row>
    <row r="2378" spans="1:12">
      <c r="A2378" s="2646" t="s">
        <v>99</v>
      </c>
      <c r="B2378" s="2646">
        <v>45332</v>
      </c>
      <c r="C2378" s="2646">
        <v>160</v>
      </c>
      <c r="D2378" s="2646">
        <v>270</v>
      </c>
      <c r="E2378" s="2646">
        <v>86</v>
      </c>
      <c r="F2378" s="2646">
        <v>678</v>
      </c>
      <c r="G2378" s="2646">
        <v>1100</v>
      </c>
      <c r="H2378" s="2646">
        <v>1000</v>
      </c>
      <c r="I2378" s="2646">
        <v>1400</v>
      </c>
      <c r="J2378" s="2646">
        <v>19.8</v>
      </c>
      <c r="L2378" s="2646" t="s">
        <v>2088</v>
      </c>
    </row>
    <row r="2379" spans="1:12">
      <c r="A2379" s="2647" t="s">
        <v>99</v>
      </c>
      <c r="B2379" s="2647">
        <v>45234</v>
      </c>
      <c r="C2379" s="2647">
        <v>170</v>
      </c>
      <c r="D2379" s="2647">
        <v>260</v>
      </c>
      <c r="E2379" s="2647">
        <v>67</v>
      </c>
      <c r="F2379" s="2647">
        <v>521</v>
      </c>
      <c r="G2379" s="2647">
        <v>956</v>
      </c>
      <c r="H2379" s="2647">
        <v>1000</v>
      </c>
      <c r="I2379" s="2647">
        <v>1400</v>
      </c>
      <c r="J2379" s="2647">
        <v>12.4</v>
      </c>
      <c r="K2379" s="2648"/>
      <c r="L2379" s="2647" t="s">
        <v>2088</v>
      </c>
    </row>
    <row r="2380" spans="1:12">
      <c r="A2380" s="2646" t="s">
        <v>99</v>
      </c>
      <c r="B2380" s="2646">
        <v>45334</v>
      </c>
      <c r="C2380" s="2646">
        <v>170</v>
      </c>
      <c r="D2380" s="2646">
        <v>280</v>
      </c>
      <c r="E2380" s="2646">
        <v>88</v>
      </c>
      <c r="F2380" s="2646">
        <v>723</v>
      </c>
      <c r="G2380" s="2646">
        <v>1210</v>
      </c>
      <c r="H2380" s="2646">
        <v>970</v>
      </c>
      <c r="I2380" s="2646">
        <v>1300</v>
      </c>
      <c r="J2380" s="2646">
        <v>21.6</v>
      </c>
      <c r="L2380" s="2646" t="s">
        <v>2088</v>
      </c>
    </row>
    <row r="2381" spans="1:12">
      <c r="A2381" s="2647" t="s">
        <v>99</v>
      </c>
      <c r="B2381" s="2647">
        <v>45236</v>
      </c>
      <c r="C2381" s="2647">
        <v>180</v>
      </c>
      <c r="D2381" s="2647">
        <v>280</v>
      </c>
      <c r="E2381" s="2647">
        <v>74</v>
      </c>
      <c r="F2381" s="2647">
        <v>575</v>
      </c>
      <c r="G2381" s="2647">
        <v>1050</v>
      </c>
      <c r="H2381" s="2647">
        <v>950</v>
      </c>
      <c r="I2381" s="2647">
        <v>1300</v>
      </c>
      <c r="J2381" s="2647">
        <v>16.8</v>
      </c>
      <c r="K2381" s="2648"/>
      <c r="L2381" s="2647" t="s">
        <v>2088</v>
      </c>
    </row>
    <row r="2382" spans="1:12">
      <c r="A2382" s="2646" t="s">
        <v>99</v>
      </c>
      <c r="B2382" s="2646">
        <v>45336</v>
      </c>
      <c r="C2382" s="2646">
        <v>180</v>
      </c>
      <c r="D2382" s="2646">
        <v>300</v>
      </c>
      <c r="E2382" s="2646">
        <v>96</v>
      </c>
      <c r="F2382" s="2646">
        <v>860</v>
      </c>
      <c r="G2382" s="2646">
        <v>1370</v>
      </c>
      <c r="H2382" s="2646">
        <v>910</v>
      </c>
      <c r="I2382" s="2646">
        <v>1200</v>
      </c>
      <c r="J2382" s="2646">
        <v>26.5</v>
      </c>
      <c r="L2382" s="2646" t="s">
        <v>2088</v>
      </c>
    </row>
    <row r="2383" spans="1:12">
      <c r="A2383" s="2647" t="s">
        <v>99</v>
      </c>
      <c r="B2383" s="2647">
        <v>45238</v>
      </c>
      <c r="C2383" s="2647">
        <v>190</v>
      </c>
      <c r="D2383" s="2647">
        <v>290</v>
      </c>
      <c r="E2383" s="2647">
        <v>75</v>
      </c>
      <c r="F2383" s="2647">
        <v>599</v>
      </c>
      <c r="G2383" s="2647">
        <v>1130</v>
      </c>
      <c r="H2383" s="2647">
        <v>900</v>
      </c>
      <c r="I2383" s="2647">
        <v>1200</v>
      </c>
      <c r="J2383" s="2647">
        <v>17.7</v>
      </c>
      <c r="K2383" s="2648"/>
      <c r="L2383" s="2647" t="s">
        <v>2088</v>
      </c>
    </row>
    <row r="2384" spans="1:12">
      <c r="A2384" s="2646" t="s">
        <v>99</v>
      </c>
      <c r="B2384" s="2646">
        <v>45338</v>
      </c>
      <c r="C2384" s="2646">
        <v>190</v>
      </c>
      <c r="D2384" s="2646">
        <v>320</v>
      </c>
      <c r="E2384" s="2646">
        <v>104</v>
      </c>
      <c r="F2384" s="2646">
        <v>981</v>
      </c>
      <c r="G2384" s="2646">
        <v>1590</v>
      </c>
      <c r="H2384" s="2646">
        <v>840</v>
      </c>
      <c r="I2384" s="2646">
        <v>1100</v>
      </c>
      <c r="J2384" s="2646">
        <v>34</v>
      </c>
      <c r="L2384" s="2646" t="s">
        <v>2088</v>
      </c>
    </row>
    <row r="2385" spans="1:12">
      <c r="A2385" s="2647" t="s">
        <v>99</v>
      </c>
      <c r="B2385" s="2647">
        <v>45240</v>
      </c>
      <c r="C2385" s="2647">
        <v>200</v>
      </c>
      <c r="D2385" s="2647">
        <v>310</v>
      </c>
      <c r="E2385" s="2647">
        <v>82</v>
      </c>
      <c r="F2385" s="2647">
        <v>728</v>
      </c>
      <c r="G2385" s="2647">
        <v>1410</v>
      </c>
      <c r="H2385" s="2647">
        <v>830</v>
      </c>
      <c r="I2385" s="2647">
        <v>1100</v>
      </c>
      <c r="J2385" s="2647">
        <v>22.9</v>
      </c>
      <c r="K2385" s="2648"/>
      <c r="L2385" s="2647" t="s">
        <v>2088</v>
      </c>
    </row>
    <row r="2386" spans="1:12">
      <c r="A2386" s="2646" t="s">
        <v>99</v>
      </c>
      <c r="B2386" s="2646">
        <v>45340</v>
      </c>
      <c r="C2386" s="2646">
        <v>200</v>
      </c>
      <c r="D2386" s="2646">
        <v>340</v>
      </c>
      <c r="E2386" s="2646">
        <v>112</v>
      </c>
      <c r="F2386" s="2646">
        <v>1080</v>
      </c>
      <c r="G2386" s="2646">
        <v>1840</v>
      </c>
      <c r="H2386" s="2646">
        <v>770</v>
      </c>
      <c r="I2386" s="2646">
        <v>1000</v>
      </c>
      <c r="J2386" s="2646">
        <v>41.9</v>
      </c>
      <c r="L2386" s="2646" t="s">
        <v>2088</v>
      </c>
    </row>
    <row r="2387" spans="1:12">
      <c r="A2387" s="2647" t="s">
        <v>99</v>
      </c>
      <c r="B2387" s="2647">
        <v>45244</v>
      </c>
      <c r="C2387" s="2647">
        <v>220</v>
      </c>
      <c r="D2387" s="2647">
        <v>340</v>
      </c>
      <c r="E2387" s="2647">
        <v>90</v>
      </c>
      <c r="F2387" s="2647">
        <v>804</v>
      </c>
      <c r="G2387" s="2647">
        <v>1460</v>
      </c>
      <c r="H2387" s="2647">
        <v>740</v>
      </c>
      <c r="I2387" s="2647">
        <v>990</v>
      </c>
      <c r="J2387" s="2647">
        <v>28.5</v>
      </c>
      <c r="K2387" s="2648"/>
      <c r="L2387" s="2647" t="s">
        <v>2088</v>
      </c>
    </row>
    <row r="2388" spans="1:12">
      <c r="A2388" s="2646" t="s">
        <v>99</v>
      </c>
      <c r="B2388" s="2646">
        <v>45344</v>
      </c>
      <c r="C2388" s="2646">
        <v>220</v>
      </c>
      <c r="D2388" s="2646">
        <v>370</v>
      </c>
      <c r="E2388" s="2646">
        <v>120</v>
      </c>
      <c r="F2388" s="2646">
        <v>1210</v>
      </c>
      <c r="G2388" s="2646">
        <v>2060</v>
      </c>
      <c r="H2388" s="2646">
        <v>700</v>
      </c>
      <c r="I2388" s="2646">
        <v>930</v>
      </c>
      <c r="J2388" s="2646">
        <v>50.8</v>
      </c>
      <c r="L2388" s="2646" t="s">
        <v>2088</v>
      </c>
    </row>
    <row r="2389" spans="1:12">
      <c r="A2389" s="2647" t="s">
        <v>99</v>
      </c>
      <c r="B2389" s="2647">
        <v>45246</v>
      </c>
      <c r="C2389" s="2647">
        <v>230</v>
      </c>
      <c r="D2389" s="2647">
        <v>350</v>
      </c>
      <c r="E2389" s="2647">
        <v>90</v>
      </c>
      <c r="F2389" s="2647">
        <v>791</v>
      </c>
      <c r="G2389" s="2647">
        <v>1560</v>
      </c>
      <c r="H2389" s="2647">
        <v>710</v>
      </c>
      <c r="I2389" s="2647">
        <v>950</v>
      </c>
      <c r="J2389" s="2647">
        <v>30.6</v>
      </c>
      <c r="K2389" s="2648"/>
      <c r="L2389" s="2647" t="s">
        <v>2088</v>
      </c>
    </row>
    <row r="2390" spans="1:12">
      <c r="A2390" s="2646" t="s">
        <v>99</v>
      </c>
      <c r="B2390" s="2646">
        <v>45248</v>
      </c>
      <c r="C2390" s="2646">
        <v>240</v>
      </c>
      <c r="D2390" s="2646">
        <v>360</v>
      </c>
      <c r="E2390" s="2646">
        <v>92</v>
      </c>
      <c r="F2390" s="2646">
        <v>915</v>
      </c>
      <c r="G2390" s="2646">
        <v>1790</v>
      </c>
      <c r="H2390" s="2646">
        <v>690</v>
      </c>
      <c r="I2390" s="2646">
        <v>920</v>
      </c>
      <c r="J2390" s="2646">
        <v>32.200000000000003</v>
      </c>
      <c r="L2390" s="2646" t="s">
        <v>2088</v>
      </c>
    </row>
    <row r="2391" spans="1:12">
      <c r="A2391" s="2647" t="s">
        <v>99</v>
      </c>
      <c r="B2391" s="2647">
        <v>45348</v>
      </c>
      <c r="C2391" s="2647">
        <v>240</v>
      </c>
      <c r="D2391" s="2647">
        <v>400</v>
      </c>
      <c r="E2391" s="2647">
        <v>128</v>
      </c>
      <c r="F2391" s="2647">
        <v>1430</v>
      </c>
      <c r="G2391" s="2647">
        <v>2470</v>
      </c>
      <c r="H2391" s="2647">
        <v>630</v>
      </c>
      <c r="I2391" s="2647">
        <v>840</v>
      </c>
      <c r="J2391" s="2647">
        <v>65.400000000000006</v>
      </c>
      <c r="K2391" s="2648"/>
      <c r="L2391" s="2647" t="s">
        <v>2088</v>
      </c>
    </row>
    <row r="2392" spans="1:12">
      <c r="A2392" s="2646" t="s">
        <v>99</v>
      </c>
      <c r="B2392" s="2646">
        <v>45252</v>
      </c>
      <c r="C2392" s="2646">
        <v>260</v>
      </c>
      <c r="D2392" s="2646">
        <v>400</v>
      </c>
      <c r="E2392" s="2646">
        <v>104</v>
      </c>
      <c r="F2392" s="2646">
        <v>1140</v>
      </c>
      <c r="G2392" s="2646">
        <v>2120</v>
      </c>
      <c r="H2392" s="2646">
        <v>610</v>
      </c>
      <c r="I2392" s="2646">
        <v>810</v>
      </c>
      <c r="J2392" s="2646">
        <v>48.1</v>
      </c>
      <c r="L2392" s="2646" t="s">
        <v>2088</v>
      </c>
    </row>
    <row r="2393" spans="1:12">
      <c r="A2393" s="2647" t="s">
        <v>99</v>
      </c>
      <c r="B2393" s="2647">
        <v>45352</v>
      </c>
      <c r="C2393" s="2647">
        <v>260</v>
      </c>
      <c r="D2393" s="2647">
        <v>400</v>
      </c>
      <c r="E2393" s="2647">
        <v>144</v>
      </c>
      <c r="F2393" s="2647">
        <v>1890</v>
      </c>
      <c r="G2393" s="2647">
        <v>3440</v>
      </c>
      <c r="H2393" s="2647">
        <v>560</v>
      </c>
      <c r="I2393" s="2647">
        <v>750</v>
      </c>
      <c r="J2393" s="2647">
        <v>92.2</v>
      </c>
      <c r="K2393" s="2648"/>
      <c r="L2393" s="2647" t="s">
        <v>2088</v>
      </c>
    </row>
    <row r="2394" spans="1:12">
      <c r="A2394" s="2646" t="s">
        <v>99</v>
      </c>
      <c r="B2394" s="2646">
        <v>45256</v>
      </c>
      <c r="C2394" s="2646">
        <v>280</v>
      </c>
      <c r="D2394" s="2646">
        <v>420</v>
      </c>
      <c r="E2394" s="2646">
        <v>106</v>
      </c>
      <c r="F2394" s="2646">
        <v>1190</v>
      </c>
      <c r="G2394" s="2646">
        <v>2470</v>
      </c>
      <c r="H2394" s="2646">
        <v>560</v>
      </c>
      <c r="I2394" s="2646">
        <v>750</v>
      </c>
      <c r="J2394" s="2646">
        <v>51.9</v>
      </c>
      <c r="L2394" s="2646" t="s">
        <v>2088</v>
      </c>
    </row>
    <row r="2395" spans="1:12">
      <c r="A2395" s="2647" t="s">
        <v>99</v>
      </c>
      <c r="B2395" s="2647">
        <v>45356</v>
      </c>
      <c r="C2395" s="2647">
        <v>280</v>
      </c>
      <c r="D2395" s="2647">
        <v>460</v>
      </c>
      <c r="E2395" s="2647">
        <v>146</v>
      </c>
      <c r="F2395" s="2647">
        <v>1930</v>
      </c>
      <c r="G2395" s="2647">
        <v>3320</v>
      </c>
      <c r="H2395" s="2647">
        <v>520</v>
      </c>
      <c r="I2395" s="2647">
        <v>700</v>
      </c>
      <c r="J2395" s="2647">
        <v>93.1</v>
      </c>
      <c r="K2395" s="2648"/>
      <c r="L2395" s="2647" t="s">
        <v>2088</v>
      </c>
    </row>
    <row r="2396" spans="1:12">
      <c r="A2396" s="2646" t="s">
        <v>99</v>
      </c>
      <c r="B2396" s="2646">
        <v>45260</v>
      </c>
      <c r="C2396" s="2646">
        <v>300</v>
      </c>
      <c r="D2396" s="2646">
        <v>460</v>
      </c>
      <c r="E2396" s="2646">
        <v>118</v>
      </c>
      <c r="F2396" s="2646">
        <v>1610</v>
      </c>
      <c r="G2396" s="2646">
        <v>3150</v>
      </c>
      <c r="H2396" s="2646">
        <v>500</v>
      </c>
      <c r="I2396" s="2646">
        <v>670</v>
      </c>
      <c r="J2396" s="2646">
        <v>78.5</v>
      </c>
      <c r="L2396" s="2646" t="s">
        <v>2088</v>
      </c>
    </row>
    <row r="2397" spans="1:12">
      <c r="A2397" s="2647" t="s">
        <v>99</v>
      </c>
      <c r="B2397" s="2647">
        <v>45360</v>
      </c>
      <c r="C2397" s="2647">
        <v>300</v>
      </c>
      <c r="D2397" s="2647">
        <v>500</v>
      </c>
      <c r="E2397" s="2647">
        <v>160</v>
      </c>
      <c r="F2397" s="2647">
        <v>2120</v>
      </c>
      <c r="G2397" s="2647">
        <v>4240</v>
      </c>
      <c r="H2397" s="2647">
        <v>470</v>
      </c>
      <c r="I2397" s="2647">
        <v>630</v>
      </c>
      <c r="J2397" s="2647">
        <v>129</v>
      </c>
      <c r="K2397" s="2648"/>
      <c r="L2397" s="2647" t="s">
        <v>2088</v>
      </c>
    </row>
    <row r="2398" spans="1:12">
      <c r="A2398" s="2646" t="s">
        <v>99</v>
      </c>
      <c r="B2398" s="2646">
        <v>45264</v>
      </c>
      <c r="C2398" s="2646">
        <v>320</v>
      </c>
      <c r="D2398" s="2646">
        <v>480</v>
      </c>
      <c r="E2398" s="2646">
        <v>121</v>
      </c>
      <c r="F2398" s="2646">
        <v>1630</v>
      </c>
      <c r="G2398" s="2646">
        <v>3180</v>
      </c>
      <c r="H2398" s="2646">
        <v>470</v>
      </c>
      <c r="I2398" s="2646">
        <v>630</v>
      </c>
      <c r="J2398" s="2646">
        <v>77.8</v>
      </c>
      <c r="L2398" s="2646" t="s">
        <v>2088</v>
      </c>
    </row>
    <row r="2399" spans="1:12">
      <c r="A2399" s="2647" t="s">
        <v>99</v>
      </c>
      <c r="B2399" s="2647" t="s">
        <v>4745</v>
      </c>
      <c r="C2399" s="2647">
        <v>320</v>
      </c>
      <c r="D2399" s="2647">
        <v>540</v>
      </c>
      <c r="E2399" s="2647">
        <v>176</v>
      </c>
      <c r="F2399" s="2647">
        <v>2690</v>
      </c>
      <c r="G2399" s="2647">
        <v>5280</v>
      </c>
      <c r="H2399" s="2647">
        <v>430</v>
      </c>
      <c r="I2399" s="2647">
        <v>570</v>
      </c>
      <c r="J2399" s="2647">
        <v>167</v>
      </c>
      <c r="K2399" s="2648"/>
      <c r="L2399" s="2647" t="s">
        <v>2088</v>
      </c>
    </row>
    <row r="2400" spans="1:12">
      <c r="A2400" s="2646" t="s">
        <v>99</v>
      </c>
      <c r="B2400" s="2646">
        <v>45268</v>
      </c>
      <c r="C2400" s="2646">
        <v>340</v>
      </c>
      <c r="D2400" s="2646">
        <v>520</v>
      </c>
      <c r="E2400" s="2646">
        <v>133</v>
      </c>
      <c r="F2400" s="2646">
        <v>1880</v>
      </c>
      <c r="G2400" s="2646">
        <v>3850</v>
      </c>
      <c r="H2400" s="2646">
        <v>420</v>
      </c>
      <c r="I2400" s="2646">
        <v>570</v>
      </c>
      <c r="J2400" s="2646">
        <v>104</v>
      </c>
      <c r="L2400" s="2646" t="s">
        <v>2088</v>
      </c>
    </row>
    <row r="2401" spans="1:12">
      <c r="A2401" s="2647" t="s">
        <v>99</v>
      </c>
      <c r="B2401" s="2647">
        <v>45368</v>
      </c>
      <c r="C2401" s="2647">
        <v>340</v>
      </c>
      <c r="D2401" s="2647">
        <v>580</v>
      </c>
      <c r="E2401" s="2647">
        <v>190</v>
      </c>
      <c r="F2401" s="2647">
        <v>3290</v>
      </c>
      <c r="G2401" s="2647">
        <v>5470</v>
      </c>
      <c r="H2401" s="2647">
        <v>390</v>
      </c>
      <c r="I2401" s="2647">
        <v>510</v>
      </c>
      <c r="J2401" s="2647">
        <v>202</v>
      </c>
      <c r="K2401" s="2648"/>
      <c r="L2401" s="2647" t="s">
        <v>2088</v>
      </c>
    </row>
    <row r="2402" spans="1:12">
      <c r="A2402" s="2646" t="s">
        <v>99</v>
      </c>
      <c r="B2402" s="2646">
        <v>45272</v>
      </c>
      <c r="C2402" s="2646">
        <v>360</v>
      </c>
      <c r="D2402" s="2646">
        <v>540</v>
      </c>
      <c r="E2402" s="2646">
        <v>134</v>
      </c>
      <c r="F2402" s="2646">
        <v>2050</v>
      </c>
      <c r="G2402" s="2646">
        <v>3910</v>
      </c>
      <c r="H2402" s="2646">
        <v>400</v>
      </c>
      <c r="I2402" s="2646">
        <v>540</v>
      </c>
      <c r="J2402" s="2646">
        <v>101</v>
      </c>
      <c r="L2402" s="2646" t="s">
        <v>2088</v>
      </c>
    </row>
    <row r="2403" spans="1:12">
      <c r="A2403" s="2647" t="s">
        <v>99</v>
      </c>
      <c r="B2403" s="2647">
        <v>45372</v>
      </c>
      <c r="C2403" s="2647">
        <v>360</v>
      </c>
      <c r="D2403" s="2647">
        <v>600</v>
      </c>
      <c r="E2403" s="2647">
        <v>192</v>
      </c>
      <c r="F2403" s="2647">
        <v>3360</v>
      </c>
      <c r="G2403" s="2647">
        <v>6750</v>
      </c>
      <c r="H2403" s="2647">
        <v>360</v>
      </c>
      <c r="I2403" s="2647">
        <v>490</v>
      </c>
      <c r="J2403" s="2647">
        <v>228</v>
      </c>
      <c r="K2403" s="2648"/>
      <c r="L2403" s="2647" t="s">
        <v>2088</v>
      </c>
    </row>
    <row r="2404" spans="1:12">
      <c r="A2404" s="2646" t="s">
        <v>99</v>
      </c>
      <c r="B2404" s="2646">
        <v>45276</v>
      </c>
      <c r="C2404" s="2646">
        <v>380</v>
      </c>
      <c r="D2404" s="2646">
        <v>560</v>
      </c>
      <c r="E2404" s="2646">
        <v>135</v>
      </c>
      <c r="F2404" s="2646">
        <v>2060</v>
      </c>
      <c r="G2404" s="2646">
        <v>3790</v>
      </c>
      <c r="H2404" s="2646">
        <v>380</v>
      </c>
      <c r="I2404" s="2646">
        <v>500</v>
      </c>
      <c r="J2404" s="2646">
        <v>112</v>
      </c>
      <c r="L2404" s="2646" t="s">
        <v>2088</v>
      </c>
    </row>
    <row r="2405" spans="1:12">
      <c r="A2405" s="2647" t="s">
        <v>99</v>
      </c>
      <c r="B2405" s="2647">
        <v>45376</v>
      </c>
      <c r="C2405" s="2647">
        <v>380</v>
      </c>
      <c r="D2405" s="2647">
        <v>620</v>
      </c>
      <c r="E2405" s="2647">
        <v>194</v>
      </c>
      <c r="F2405" s="2647">
        <v>3070</v>
      </c>
      <c r="G2405" s="2647">
        <v>6360</v>
      </c>
      <c r="H2405" s="2647">
        <v>340</v>
      </c>
      <c r="I2405" s="2647">
        <v>450</v>
      </c>
      <c r="J2405" s="2647">
        <v>234</v>
      </c>
      <c r="K2405" s="2648"/>
      <c r="L2405" s="2647" t="s">
        <v>2088</v>
      </c>
    </row>
    <row r="2406" spans="1:12">
      <c r="A2406" s="2646" t="s">
        <v>99</v>
      </c>
      <c r="B2406" s="2646">
        <v>45280</v>
      </c>
      <c r="C2406" s="2646">
        <v>400</v>
      </c>
      <c r="D2406" s="2646">
        <v>600</v>
      </c>
      <c r="E2406" s="2646">
        <v>148</v>
      </c>
      <c r="F2406" s="2646">
        <v>2410</v>
      </c>
      <c r="G2406" s="2646">
        <v>4960</v>
      </c>
      <c r="H2406" s="2646">
        <v>340</v>
      </c>
      <c r="I2406" s="2646">
        <v>450</v>
      </c>
      <c r="J2406" s="2646">
        <v>143</v>
      </c>
      <c r="L2406" s="2646" t="s">
        <v>2088</v>
      </c>
    </row>
    <row r="2407" spans="1:12">
      <c r="A2407" s="2647" t="s">
        <v>99</v>
      </c>
      <c r="B2407" s="2647">
        <v>45380</v>
      </c>
      <c r="C2407" s="2647">
        <v>400</v>
      </c>
      <c r="D2407" s="2647">
        <v>650</v>
      </c>
      <c r="E2407" s="2647">
        <v>200</v>
      </c>
      <c r="F2407" s="2647">
        <v>3850</v>
      </c>
      <c r="G2407" s="2647">
        <v>7810</v>
      </c>
      <c r="H2407" s="2647">
        <v>320</v>
      </c>
      <c r="I2407" s="2647">
        <v>420</v>
      </c>
      <c r="J2407" s="2647">
        <v>265</v>
      </c>
      <c r="K2407" s="2648"/>
      <c r="L2407" s="2647" t="s">
        <v>2088</v>
      </c>
    </row>
    <row r="2408" spans="1:12">
      <c r="A2408" s="2646" t="s">
        <v>99</v>
      </c>
      <c r="B2408" s="2646">
        <v>45284</v>
      </c>
      <c r="C2408" s="2646">
        <v>420</v>
      </c>
      <c r="D2408" s="2646">
        <v>620</v>
      </c>
      <c r="E2408" s="2646">
        <v>150</v>
      </c>
      <c r="F2408" s="2646">
        <v>2600</v>
      </c>
      <c r="G2408" s="2646">
        <v>5200</v>
      </c>
      <c r="H2408" s="2646">
        <v>320</v>
      </c>
      <c r="I2408" s="2646">
        <v>430</v>
      </c>
      <c r="J2408" s="2646">
        <v>152</v>
      </c>
      <c r="L2408" s="2646" t="s">
        <v>2088</v>
      </c>
    </row>
    <row r="2409" spans="1:12">
      <c r="A2409" s="2647" t="s">
        <v>99</v>
      </c>
      <c r="B2409" s="2647">
        <v>45384</v>
      </c>
      <c r="C2409" s="2647">
        <v>420</v>
      </c>
      <c r="D2409" s="2647">
        <v>700</v>
      </c>
      <c r="E2409" s="2647">
        <v>224</v>
      </c>
      <c r="F2409" s="2647">
        <v>4710</v>
      </c>
      <c r="G2409" s="2647">
        <v>8380</v>
      </c>
      <c r="H2409" s="2647">
        <v>280</v>
      </c>
      <c r="I2409" s="2647">
        <v>380</v>
      </c>
      <c r="J2409" s="2647">
        <v>352</v>
      </c>
      <c r="K2409" s="2648"/>
      <c r="L2409" s="2647" t="s">
        <v>2088</v>
      </c>
    </row>
    <row r="2410" spans="1:12">
      <c r="A2410" s="2646" t="s">
        <v>99</v>
      </c>
      <c r="B2410" s="2646">
        <v>45288</v>
      </c>
      <c r="C2410" s="2646">
        <v>440</v>
      </c>
      <c r="D2410" s="2646">
        <v>650</v>
      </c>
      <c r="E2410" s="2646">
        <v>157</v>
      </c>
      <c r="F2410" s="2646">
        <v>2750</v>
      </c>
      <c r="G2410" s="2646">
        <v>5500</v>
      </c>
      <c r="H2410" s="2646">
        <v>300</v>
      </c>
      <c r="I2410" s="2646">
        <v>390</v>
      </c>
      <c r="J2410" s="2646">
        <v>182</v>
      </c>
      <c r="L2410" s="2646" t="s">
        <v>2088</v>
      </c>
    </row>
    <row r="2411" spans="1:12">
      <c r="A2411" s="2647" t="s">
        <v>99</v>
      </c>
      <c r="B2411" s="2647">
        <v>45388</v>
      </c>
      <c r="C2411" s="2647">
        <v>440</v>
      </c>
      <c r="D2411" s="2647">
        <v>720</v>
      </c>
      <c r="E2411" s="2647">
        <v>226</v>
      </c>
      <c r="F2411" s="2647">
        <v>4990</v>
      </c>
      <c r="G2411" s="2647">
        <v>9130</v>
      </c>
      <c r="H2411" s="2647">
        <v>270</v>
      </c>
      <c r="I2411" s="2647">
        <v>360</v>
      </c>
      <c r="J2411" s="2647">
        <v>367</v>
      </c>
      <c r="K2411" s="2648"/>
      <c r="L2411" s="2647" t="s">
        <v>2088</v>
      </c>
    </row>
    <row r="2412" spans="1:12">
      <c r="A2412" s="2646" t="s">
        <v>99</v>
      </c>
      <c r="B2412" s="2646">
        <v>45292</v>
      </c>
      <c r="C2412" s="2646">
        <v>460</v>
      </c>
      <c r="D2412" s="2646">
        <v>680</v>
      </c>
      <c r="E2412" s="2646">
        <v>163</v>
      </c>
      <c r="F2412" s="2646">
        <v>3000</v>
      </c>
      <c r="G2412" s="2646">
        <v>5660</v>
      </c>
      <c r="H2412" s="2646">
        <v>280</v>
      </c>
      <c r="I2412" s="2646">
        <v>370</v>
      </c>
      <c r="J2412" s="2646">
        <v>197</v>
      </c>
      <c r="L2412" s="2646" t="s">
        <v>2088</v>
      </c>
    </row>
    <row r="2413" spans="1:12">
      <c r="A2413" s="2647" t="s">
        <v>99</v>
      </c>
      <c r="B2413" s="2647">
        <v>45392</v>
      </c>
      <c r="C2413" s="2647">
        <v>460</v>
      </c>
      <c r="D2413" s="2647">
        <v>760</v>
      </c>
      <c r="E2413" s="2647">
        <v>240</v>
      </c>
      <c r="F2413" s="2647">
        <v>5230</v>
      </c>
      <c r="G2413" s="2647">
        <v>10400</v>
      </c>
      <c r="H2413" s="2647">
        <v>250</v>
      </c>
      <c r="I2413" s="2647">
        <v>330</v>
      </c>
      <c r="J2413" s="2647">
        <v>444</v>
      </c>
      <c r="K2413" s="2648"/>
      <c r="L2413" s="2647" t="s">
        <v>2088</v>
      </c>
    </row>
    <row r="2414" spans="1:12">
      <c r="A2414" s="2646" t="s">
        <v>99</v>
      </c>
      <c r="B2414" s="2646">
        <v>45296</v>
      </c>
      <c r="C2414" s="2646">
        <v>480</v>
      </c>
      <c r="D2414" s="2646">
        <v>700</v>
      </c>
      <c r="E2414" s="2646">
        <v>165</v>
      </c>
      <c r="F2414" s="2646">
        <v>3060</v>
      </c>
      <c r="G2414" s="2646">
        <v>6710</v>
      </c>
      <c r="H2414" s="2646">
        <v>260</v>
      </c>
      <c r="I2414" s="2646">
        <v>350</v>
      </c>
      <c r="J2414" s="2646">
        <v>215</v>
      </c>
      <c r="L2414" s="2646" t="s">
        <v>2088</v>
      </c>
    </row>
    <row r="2415" spans="1:12">
      <c r="A2415" s="2647" t="s">
        <v>99</v>
      </c>
      <c r="B2415" s="2647">
        <v>45396</v>
      </c>
      <c r="C2415" s="2647">
        <v>480</v>
      </c>
      <c r="D2415" s="2647">
        <v>790</v>
      </c>
      <c r="E2415" s="2647">
        <v>248</v>
      </c>
      <c r="F2415" s="2647">
        <v>5710</v>
      </c>
      <c r="G2415" s="2647">
        <v>11600</v>
      </c>
      <c r="H2415" s="2647">
        <v>230</v>
      </c>
      <c r="I2415" s="2647">
        <v>310</v>
      </c>
      <c r="J2415" s="2647">
        <v>494</v>
      </c>
      <c r="K2415" s="2648"/>
      <c r="L2415" s="2647" t="s">
        <v>2088</v>
      </c>
    </row>
    <row r="2416" spans="1:12">
      <c r="A2416" s="2646" t="s">
        <v>99</v>
      </c>
      <c r="B2416" s="2646" t="s">
        <v>4746</v>
      </c>
      <c r="C2416" s="2646">
        <v>500</v>
      </c>
      <c r="D2416" s="2646">
        <v>720</v>
      </c>
      <c r="E2416" s="2646">
        <v>167</v>
      </c>
      <c r="F2416" s="2646">
        <v>3430</v>
      </c>
      <c r="G2416" s="2646">
        <v>7350</v>
      </c>
      <c r="H2416" s="2646">
        <v>250</v>
      </c>
      <c r="I2416" s="2646">
        <v>330</v>
      </c>
      <c r="J2416" s="2646">
        <v>222</v>
      </c>
      <c r="L2416" s="2646" t="s">
        <v>2088</v>
      </c>
    </row>
    <row r="2417" spans="1:12">
      <c r="A2417" s="2647" t="s">
        <v>99</v>
      </c>
      <c r="B2417" s="2647" t="s">
        <v>4747</v>
      </c>
      <c r="C2417" s="2647">
        <v>500</v>
      </c>
      <c r="D2417" s="2647">
        <v>830</v>
      </c>
      <c r="E2417" s="2647">
        <v>264</v>
      </c>
      <c r="F2417" s="2647">
        <v>6280</v>
      </c>
      <c r="G2417" s="2647">
        <v>12300</v>
      </c>
      <c r="H2417" s="2647">
        <v>210</v>
      </c>
      <c r="I2417" s="2647">
        <v>280</v>
      </c>
      <c r="J2417" s="2647">
        <v>586</v>
      </c>
      <c r="K2417" s="2648"/>
      <c r="L2417" s="2647" t="s">
        <v>2088</v>
      </c>
    </row>
    <row r="2418" spans="1:12">
      <c r="A2418" s="2646" t="s">
        <v>99</v>
      </c>
      <c r="B2418" s="2646" t="s">
        <v>4748</v>
      </c>
      <c r="C2418" s="2646">
        <v>25</v>
      </c>
      <c r="D2418" s="2646">
        <v>62</v>
      </c>
      <c r="E2418" s="2646">
        <v>40</v>
      </c>
      <c r="F2418" s="2646">
        <v>61.3</v>
      </c>
      <c r="G2418" s="2646">
        <v>73.599999999999994</v>
      </c>
      <c r="H2418" s="2646">
        <v>4500</v>
      </c>
      <c r="I2418" s="2646">
        <v>6400</v>
      </c>
      <c r="J2418" s="2646">
        <v>0.59499999999999997</v>
      </c>
      <c r="L2418" s="2646" t="s">
        <v>2088</v>
      </c>
    </row>
    <row r="2419" spans="1:12">
      <c r="A2419" s="2647" t="s">
        <v>99</v>
      </c>
      <c r="B2419" s="2647" t="s">
        <v>4749</v>
      </c>
      <c r="C2419" s="2647">
        <v>30</v>
      </c>
      <c r="D2419" s="2647">
        <v>72</v>
      </c>
      <c r="E2419" s="2647">
        <v>45</v>
      </c>
      <c r="F2419" s="2647">
        <v>82.9</v>
      </c>
      <c r="G2419" s="2647">
        <v>102</v>
      </c>
      <c r="H2419" s="2647">
        <v>3900</v>
      </c>
      <c r="I2419" s="2647">
        <v>5400</v>
      </c>
      <c r="J2419" s="2647">
        <v>0.89100000000000001</v>
      </c>
      <c r="K2419" s="2648"/>
      <c r="L2419" s="2647" t="s">
        <v>2088</v>
      </c>
    </row>
    <row r="2420" spans="1:12">
      <c r="A2420" s="2646" t="s">
        <v>99</v>
      </c>
      <c r="B2420" s="2646" t="s">
        <v>4750</v>
      </c>
      <c r="C2420" s="2646">
        <v>35</v>
      </c>
      <c r="D2420" s="2646">
        <v>80</v>
      </c>
      <c r="E2420" s="2646">
        <v>51</v>
      </c>
      <c r="F2420" s="2646">
        <v>92.6</v>
      </c>
      <c r="G2420" s="2646">
        <v>112</v>
      </c>
      <c r="H2420" s="2646">
        <v>3400</v>
      </c>
      <c r="I2420" s="2646">
        <v>4800</v>
      </c>
      <c r="J2420" s="2646">
        <v>1.22</v>
      </c>
      <c r="L2420" s="2646" t="s">
        <v>2088</v>
      </c>
    </row>
    <row r="2421" spans="1:12">
      <c r="A2421" s="2647" t="s">
        <v>99</v>
      </c>
      <c r="B2421" s="2647" t="s">
        <v>4751</v>
      </c>
      <c r="C2421" s="2647">
        <v>40</v>
      </c>
      <c r="D2421" s="2647">
        <v>80</v>
      </c>
      <c r="E2421" s="2647">
        <v>45</v>
      </c>
      <c r="F2421" s="2647">
        <v>93.2</v>
      </c>
      <c r="G2421" s="2647">
        <v>114</v>
      </c>
      <c r="H2421" s="2647">
        <v>4000</v>
      </c>
      <c r="I2421" s="2647">
        <v>5300</v>
      </c>
      <c r="J2421" s="2647">
        <v>1</v>
      </c>
      <c r="K2421" s="2648"/>
      <c r="L2421" s="2647" t="s">
        <v>2088</v>
      </c>
    </row>
    <row r="2422" spans="1:12">
      <c r="A2422" s="2646" t="s">
        <v>99</v>
      </c>
      <c r="B2422" s="2646" t="s">
        <v>4752</v>
      </c>
      <c r="C2422" s="2646">
        <v>40</v>
      </c>
      <c r="D2422" s="2646">
        <v>80</v>
      </c>
      <c r="E2422" s="2646">
        <v>55</v>
      </c>
      <c r="F2422" s="2646">
        <v>115</v>
      </c>
      <c r="G2422" s="2646">
        <v>150</v>
      </c>
      <c r="H2422" s="2646">
        <v>4000</v>
      </c>
      <c r="I2422" s="2646">
        <v>5300</v>
      </c>
      <c r="J2422" s="2646">
        <v>1.22</v>
      </c>
      <c r="L2422" s="2646" t="s">
        <v>2088</v>
      </c>
    </row>
    <row r="2423" spans="1:12">
      <c r="A2423" s="2647" t="s">
        <v>99</v>
      </c>
      <c r="B2423" s="2647" t="s">
        <v>4753</v>
      </c>
      <c r="C2423" s="2647">
        <v>40</v>
      </c>
      <c r="D2423" s="2647">
        <v>90</v>
      </c>
      <c r="E2423" s="2647">
        <v>56</v>
      </c>
      <c r="F2423" s="2647">
        <v>118</v>
      </c>
      <c r="G2423" s="2647">
        <v>147</v>
      </c>
      <c r="H2423" s="2647">
        <v>3000</v>
      </c>
      <c r="I2423" s="2647">
        <v>4200</v>
      </c>
      <c r="J2423" s="2647">
        <v>1.68</v>
      </c>
      <c r="K2423" s="2648"/>
      <c r="L2423" s="2647" t="s">
        <v>2088</v>
      </c>
    </row>
    <row r="2424" spans="1:12">
      <c r="A2424" s="2646" t="s">
        <v>99</v>
      </c>
      <c r="B2424" s="2646" t="s">
        <v>4754</v>
      </c>
      <c r="C2424" s="2646">
        <v>40</v>
      </c>
      <c r="D2424" s="2646">
        <v>90</v>
      </c>
      <c r="E2424" s="2646">
        <v>56</v>
      </c>
      <c r="F2424" s="2646">
        <v>133</v>
      </c>
      <c r="G2424" s="2646">
        <v>164</v>
      </c>
      <c r="H2424" s="2646">
        <v>3600</v>
      </c>
      <c r="I2424" s="2646">
        <v>4900</v>
      </c>
      <c r="J2424" s="2646">
        <v>1.68</v>
      </c>
      <c r="L2424" s="2646" t="s">
        <v>2088</v>
      </c>
    </row>
    <row r="2425" spans="1:12">
      <c r="A2425" s="2647" t="s">
        <v>99</v>
      </c>
      <c r="B2425" s="2647" t="s">
        <v>4755</v>
      </c>
      <c r="C2425" s="2647">
        <v>45</v>
      </c>
      <c r="D2425" s="2647">
        <v>85</v>
      </c>
      <c r="E2425" s="2647">
        <v>47</v>
      </c>
      <c r="F2425" s="2647">
        <v>105</v>
      </c>
      <c r="G2425" s="2647">
        <v>138</v>
      </c>
      <c r="H2425" s="2647">
        <v>3700</v>
      </c>
      <c r="I2425" s="2647">
        <v>4900</v>
      </c>
      <c r="J2425" s="2647">
        <v>1.1299999999999999</v>
      </c>
      <c r="K2425" s="2648"/>
      <c r="L2425" s="2647" t="s">
        <v>2088</v>
      </c>
    </row>
    <row r="2426" spans="1:12">
      <c r="A2426" s="2646" t="s">
        <v>99</v>
      </c>
      <c r="B2426" s="2646" t="s">
        <v>4756</v>
      </c>
      <c r="C2426" s="2646">
        <v>45</v>
      </c>
      <c r="D2426" s="2646">
        <v>85</v>
      </c>
      <c r="E2426" s="2646">
        <v>55</v>
      </c>
      <c r="F2426" s="2646">
        <v>123</v>
      </c>
      <c r="G2426" s="2646">
        <v>167</v>
      </c>
      <c r="H2426" s="2646">
        <v>3700</v>
      </c>
      <c r="I2426" s="2646">
        <v>4900</v>
      </c>
      <c r="J2426" s="2646">
        <v>1.32</v>
      </c>
      <c r="L2426" s="2646" t="s">
        <v>2088</v>
      </c>
    </row>
    <row r="2427" spans="1:12">
      <c r="A2427" s="2647" t="s">
        <v>99</v>
      </c>
      <c r="B2427" s="2647" t="s">
        <v>4757</v>
      </c>
      <c r="C2427" s="2647">
        <v>45</v>
      </c>
      <c r="D2427" s="2647">
        <v>100</v>
      </c>
      <c r="E2427" s="2647">
        <v>60</v>
      </c>
      <c r="F2427" s="2647">
        <v>140</v>
      </c>
      <c r="G2427" s="2647">
        <v>174</v>
      </c>
      <c r="H2427" s="2647">
        <v>2700</v>
      </c>
      <c r="I2427" s="2647">
        <v>3800</v>
      </c>
      <c r="J2427" s="2647">
        <v>2.21</v>
      </c>
      <c r="K2427" s="2648"/>
      <c r="L2427" s="2647" t="s">
        <v>2088</v>
      </c>
    </row>
    <row r="2428" spans="1:12">
      <c r="A2428" s="2646" t="s">
        <v>99</v>
      </c>
      <c r="B2428" s="2646" t="s">
        <v>4758</v>
      </c>
      <c r="C2428" s="2646">
        <v>45</v>
      </c>
      <c r="D2428" s="2646">
        <v>100</v>
      </c>
      <c r="E2428" s="2646">
        <v>60</v>
      </c>
      <c r="F2428" s="2646">
        <v>166</v>
      </c>
      <c r="G2428" s="2646">
        <v>208</v>
      </c>
      <c r="H2428" s="2646">
        <v>3300</v>
      </c>
      <c r="I2428" s="2646">
        <v>4300</v>
      </c>
      <c r="J2428" s="2646">
        <v>2.21</v>
      </c>
      <c r="L2428" s="2646" t="s">
        <v>2088</v>
      </c>
    </row>
    <row r="2429" spans="1:12">
      <c r="A2429" s="2647" t="s">
        <v>99</v>
      </c>
      <c r="B2429" s="2647" t="s">
        <v>4759</v>
      </c>
      <c r="C2429" s="2647">
        <v>50</v>
      </c>
      <c r="D2429" s="2647">
        <v>90</v>
      </c>
      <c r="E2429" s="2647">
        <v>49</v>
      </c>
      <c r="F2429" s="2647">
        <v>115</v>
      </c>
      <c r="G2429" s="2647">
        <v>154</v>
      </c>
      <c r="H2429" s="2647">
        <v>3400</v>
      </c>
      <c r="I2429" s="2647">
        <v>4600</v>
      </c>
      <c r="J2429" s="2647">
        <v>1.27</v>
      </c>
      <c r="K2429" s="2648"/>
      <c r="L2429" s="2647" t="s">
        <v>2088</v>
      </c>
    </row>
    <row r="2430" spans="1:12">
      <c r="A2430" s="2646" t="s">
        <v>99</v>
      </c>
      <c r="B2430" s="2646" t="s">
        <v>4760</v>
      </c>
      <c r="C2430" s="2646">
        <v>50</v>
      </c>
      <c r="D2430" s="2646">
        <v>90</v>
      </c>
      <c r="E2430" s="2646">
        <v>55</v>
      </c>
      <c r="F2430" s="2646">
        <v>128</v>
      </c>
      <c r="G2430" s="2646">
        <v>177</v>
      </c>
      <c r="H2430" s="2646">
        <v>2500</v>
      </c>
      <c r="I2430" s="2646">
        <v>4600</v>
      </c>
      <c r="J2430" s="2646">
        <v>1.42</v>
      </c>
      <c r="L2430" s="2646" t="s">
        <v>2088</v>
      </c>
    </row>
    <row r="2431" spans="1:12">
      <c r="A2431" s="2647" t="s">
        <v>99</v>
      </c>
      <c r="B2431" s="2647" t="s">
        <v>4761</v>
      </c>
      <c r="C2431" s="2647">
        <v>50</v>
      </c>
      <c r="D2431" s="2647">
        <v>110</v>
      </c>
      <c r="E2431" s="2647">
        <v>64</v>
      </c>
      <c r="F2431" s="2647">
        <v>179</v>
      </c>
      <c r="G2431" s="2647">
        <v>233</v>
      </c>
      <c r="H2431" s="2647">
        <v>2500</v>
      </c>
      <c r="I2431" s="2647">
        <v>3500</v>
      </c>
      <c r="J2431" s="2647">
        <v>2.84</v>
      </c>
      <c r="K2431" s="2648"/>
      <c r="L2431" s="2647" t="s">
        <v>2088</v>
      </c>
    </row>
    <row r="2432" spans="1:12">
      <c r="A2432" s="2646" t="s">
        <v>99</v>
      </c>
      <c r="B2432" s="2646" t="s">
        <v>4762</v>
      </c>
      <c r="C2432" s="2646">
        <v>50</v>
      </c>
      <c r="D2432" s="2646">
        <v>110</v>
      </c>
      <c r="E2432" s="2646">
        <v>64</v>
      </c>
      <c r="F2432" s="2646">
        <v>212</v>
      </c>
      <c r="G2432" s="2646">
        <v>264</v>
      </c>
      <c r="H2432" s="2646">
        <v>3000</v>
      </c>
      <c r="I2432" s="2646">
        <v>4000</v>
      </c>
      <c r="J2432" s="2646">
        <v>2.84</v>
      </c>
      <c r="L2432" s="2646" t="s">
        <v>2088</v>
      </c>
    </row>
    <row r="2433" spans="1:12">
      <c r="A2433" s="2647" t="s">
        <v>99</v>
      </c>
      <c r="B2433" s="2647" t="s">
        <v>4763</v>
      </c>
      <c r="C2433" s="2647">
        <v>50</v>
      </c>
      <c r="D2433" s="2647">
        <v>110</v>
      </c>
      <c r="E2433" s="2647">
        <v>90</v>
      </c>
      <c r="F2433" s="2647">
        <v>259</v>
      </c>
      <c r="G2433" s="2647">
        <v>358</v>
      </c>
      <c r="H2433" s="2647">
        <v>3000</v>
      </c>
      <c r="I2433" s="2647">
        <v>4000</v>
      </c>
      <c r="J2433" s="2647">
        <v>3.99</v>
      </c>
      <c r="K2433" s="2648"/>
      <c r="L2433" s="2647" t="s">
        <v>2088</v>
      </c>
    </row>
    <row r="2434" spans="1:12">
      <c r="A2434" s="2646" t="s">
        <v>99</v>
      </c>
      <c r="B2434" s="2646" t="s">
        <v>4764</v>
      </c>
      <c r="C2434" s="2646">
        <v>55</v>
      </c>
      <c r="D2434" s="2646">
        <v>400</v>
      </c>
      <c r="E2434" s="2646">
        <v>51</v>
      </c>
      <c r="F2434" s="2646">
        <v>149</v>
      </c>
      <c r="G2434" s="2646">
        <v>202</v>
      </c>
      <c r="H2434" s="2646">
        <v>3100</v>
      </c>
      <c r="I2434" s="2646">
        <v>4100</v>
      </c>
      <c r="J2434" s="2646">
        <v>1.64</v>
      </c>
      <c r="L2434" s="2646" t="s">
        <v>2088</v>
      </c>
    </row>
    <row r="2435" spans="1:12">
      <c r="A2435" s="2647" t="s">
        <v>99</v>
      </c>
      <c r="B2435" s="2647" t="s">
        <v>4765</v>
      </c>
      <c r="C2435" s="2647">
        <v>55</v>
      </c>
      <c r="D2435" s="2647">
        <v>100</v>
      </c>
      <c r="E2435" s="2647">
        <v>60</v>
      </c>
      <c r="F2435" s="2647">
        <v>162</v>
      </c>
      <c r="G2435" s="2647">
        <v>224</v>
      </c>
      <c r="H2435" s="2647">
        <v>3100</v>
      </c>
      <c r="I2435" s="2647">
        <v>4100</v>
      </c>
      <c r="J2435" s="2647">
        <v>1.94</v>
      </c>
      <c r="K2435" s="2648"/>
      <c r="L2435" s="2647" t="s">
        <v>2088</v>
      </c>
    </row>
    <row r="2436" spans="1:12">
      <c r="A2436" s="2646" t="s">
        <v>99</v>
      </c>
      <c r="B2436" s="2646" t="s">
        <v>4766</v>
      </c>
      <c r="C2436" s="2646">
        <v>55</v>
      </c>
      <c r="D2436" s="2646">
        <v>120</v>
      </c>
      <c r="E2436" s="2646">
        <v>70</v>
      </c>
      <c r="F2436" s="2646">
        <v>189</v>
      </c>
      <c r="G2436" s="2646">
        <v>241</v>
      </c>
      <c r="H2436" s="2646">
        <v>2300</v>
      </c>
      <c r="I2436" s="2646">
        <v>3200</v>
      </c>
      <c r="J2436" s="2646">
        <v>3.68</v>
      </c>
      <c r="L2436" s="2646" t="s">
        <v>2088</v>
      </c>
    </row>
    <row r="2437" spans="1:12">
      <c r="A2437" s="2647" t="s">
        <v>99</v>
      </c>
      <c r="B2437" s="2647" t="s">
        <v>4767</v>
      </c>
      <c r="C2437" s="2647">
        <v>55</v>
      </c>
      <c r="D2437" s="2647">
        <v>120</v>
      </c>
      <c r="E2437" s="2647">
        <v>70</v>
      </c>
      <c r="F2437" s="2647">
        <v>219</v>
      </c>
      <c r="G2437" s="2647">
        <v>277</v>
      </c>
      <c r="H2437" s="2647">
        <v>2700</v>
      </c>
      <c r="I2437" s="2647">
        <v>3600</v>
      </c>
      <c r="J2437" s="2647">
        <v>3.68</v>
      </c>
      <c r="K2437" s="2648"/>
      <c r="L2437" s="2647" t="s">
        <v>2088</v>
      </c>
    </row>
    <row r="2438" spans="1:12">
      <c r="A2438" s="2646" t="s">
        <v>99</v>
      </c>
      <c r="B2438" s="2646" t="s">
        <v>4768</v>
      </c>
      <c r="C2438" s="2646">
        <v>55</v>
      </c>
      <c r="D2438" s="2646">
        <v>120</v>
      </c>
      <c r="E2438" s="2646">
        <v>97</v>
      </c>
      <c r="F2438" s="2646">
        <v>293</v>
      </c>
      <c r="G2438" s="2646">
        <v>406</v>
      </c>
      <c r="H2438" s="2646">
        <v>2700</v>
      </c>
      <c r="I2438" s="2646">
        <v>3600</v>
      </c>
      <c r="J2438" s="2646">
        <v>5.0999999999999996</v>
      </c>
      <c r="L2438" s="2646" t="s">
        <v>2088</v>
      </c>
    </row>
    <row r="2439" spans="1:12">
      <c r="A2439" s="2647" t="s">
        <v>99</v>
      </c>
      <c r="B2439" s="2647" t="s">
        <v>4769</v>
      </c>
      <c r="C2439" s="2647">
        <v>60</v>
      </c>
      <c r="D2439" s="2647">
        <v>110</v>
      </c>
      <c r="E2439" s="2647">
        <v>53</v>
      </c>
      <c r="F2439" s="2647">
        <v>168</v>
      </c>
      <c r="G2439" s="2647">
        <v>227</v>
      </c>
      <c r="H2439" s="2647">
        <v>2800</v>
      </c>
      <c r="I2439" s="2647">
        <v>3800</v>
      </c>
      <c r="J2439" s="2647">
        <v>2.08</v>
      </c>
      <c r="K2439" s="2648"/>
      <c r="L2439" s="2647" t="s">
        <v>2088</v>
      </c>
    </row>
    <row r="2440" spans="1:12">
      <c r="A2440" s="2646" t="s">
        <v>99</v>
      </c>
      <c r="B2440" s="2646" t="s">
        <v>4770</v>
      </c>
      <c r="C2440" s="2646">
        <v>60</v>
      </c>
      <c r="D2440" s="2646">
        <v>110</v>
      </c>
      <c r="E2440" s="2646">
        <v>66</v>
      </c>
      <c r="F2440" s="2646">
        <v>198</v>
      </c>
      <c r="G2440" s="2646">
        <v>282</v>
      </c>
      <c r="H2440" s="2646">
        <v>2800</v>
      </c>
      <c r="I2440" s="2646">
        <v>3800</v>
      </c>
      <c r="J2440" s="2646">
        <v>2.59</v>
      </c>
      <c r="L2440" s="2646" t="s">
        <v>2088</v>
      </c>
    </row>
    <row r="2441" spans="1:12">
      <c r="A2441" s="2647" t="s">
        <v>99</v>
      </c>
      <c r="B2441" s="2647" t="s">
        <v>4771</v>
      </c>
      <c r="C2441" s="2647">
        <v>60</v>
      </c>
      <c r="D2441" s="2647">
        <v>130</v>
      </c>
      <c r="E2441" s="2647">
        <v>74</v>
      </c>
      <c r="F2441" s="2647">
        <v>137</v>
      </c>
      <c r="G2441" s="2647">
        <v>314</v>
      </c>
      <c r="H2441" s="2647">
        <v>2100</v>
      </c>
      <c r="I2441" s="2647">
        <v>2900</v>
      </c>
      <c r="J2441" s="2647">
        <v>4.55</v>
      </c>
      <c r="K2441" s="2648"/>
      <c r="L2441" s="2647" t="s">
        <v>2088</v>
      </c>
    </row>
    <row r="2442" spans="1:12">
      <c r="A2442" s="2646" t="s">
        <v>99</v>
      </c>
      <c r="B2442" s="2646" t="s">
        <v>4772</v>
      </c>
      <c r="C2442" s="2646">
        <v>60</v>
      </c>
      <c r="D2442" s="2646">
        <v>130</v>
      </c>
      <c r="E2442" s="2646">
        <v>74</v>
      </c>
      <c r="F2442" s="2646">
        <v>254</v>
      </c>
      <c r="G2442" s="2646">
        <v>326</v>
      </c>
      <c r="H2442" s="2646">
        <v>2500</v>
      </c>
      <c r="I2442" s="2646">
        <v>3300</v>
      </c>
      <c r="J2442" s="2646">
        <v>4.55</v>
      </c>
      <c r="L2442" s="2646" t="s">
        <v>2088</v>
      </c>
    </row>
    <row r="2443" spans="1:12">
      <c r="A2443" s="2647" t="s">
        <v>99</v>
      </c>
      <c r="B2443" s="2647" t="s">
        <v>4773</v>
      </c>
      <c r="C2443" s="2647">
        <v>60</v>
      </c>
      <c r="D2443" s="2647">
        <v>130</v>
      </c>
      <c r="E2443" s="2647">
        <v>104</v>
      </c>
      <c r="F2443" s="2647">
        <v>379</v>
      </c>
      <c r="G2443" s="2647">
        <v>551</v>
      </c>
      <c r="H2443" s="2647">
        <v>2500</v>
      </c>
      <c r="I2443" s="2647">
        <v>3300</v>
      </c>
      <c r="J2443" s="2647">
        <v>6.4</v>
      </c>
      <c r="K2443" s="2648"/>
      <c r="L2443" s="2647" t="s">
        <v>2088</v>
      </c>
    </row>
    <row r="2444" spans="1:12">
      <c r="A2444" s="2646" t="s">
        <v>99</v>
      </c>
      <c r="B2444" s="2646" t="s">
        <v>4774</v>
      </c>
      <c r="C2444" s="2646">
        <v>65</v>
      </c>
      <c r="D2444" s="2646">
        <v>120</v>
      </c>
      <c r="E2444" s="2646">
        <v>56</v>
      </c>
      <c r="F2444" s="2646">
        <v>202</v>
      </c>
      <c r="G2444" s="2646">
        <v>278</v>
      </c>
      <c r="H2444" s="2646">
        <v>2600</v>
      </c>
      <c r="I2444" s="2646">
        <v>3400</v>
      </c>
      <c r="J2444" s="2646">
        <v>2.63</v>
      </c>
      <c r="L2444" s="2646" t="s">
        <v>2088</v>
      </c>
    </row>
    <row r="2445" spans="1:12">
      <c r="A2445" s="2647" t="s">
        <v>99</v>
      </c>
      <c r="B2445" s="2647" t="s">
        <v>4775</v>
      </c>
      <c r="C2445" s="2647">
        <v>65</v>
      </c>
      <c r="D2445" s="2647">
        <v>120</v>
      </c>
      <c r="E2445" s="2647">
        <v>73</v>
      </c>
      <c r="F2445" s="2647">
        <v>237</v>
      </c>
      <c r="G2445" s="2647">
        <v>342</v>
      </c>
      <c r="H2445" s="2647">
        <v>2600</v>
      </c>
      <c r="I2445" s="2647">
        <v>3400</v>
      </c>
      <c r="J2445" s="2647">
        <v>3.43</v>
      </c>
      <c r="K2445" s="2648"/>
      <c r="L2445" s="2647" t="s">
        <v>2088</v>
      </c>
    </row>
    <row r="2446" spans="1:12">
      <c r="A2446" s="2646" t="s">
        <v>99</v>
      </c>
      <c r="B2446" s="2646" t="s">
        <v>4776</v>
      </c>
      <c r="C2446" s="2646">
        <v>65</v>
      </c>
      <c r="D2446" s="2646">
        <v>140</v>
      </c>
      <c r="E2446" s="2646">
        <v>79</v>
      </c>
      <c r="F2446" s="2646">
        <v>273</v>
      </c>
      <c r="G2446" s="2646">
        <v>365</v>
      </c>
      <c r="H2446" s="2646">
        <v>1900</v>
      </c>
      <c r="I2446" s="2646">
        <v>2700</v>
      </c>
      <c r="J2446" s="2646">
        <v>5.62</v>
      </c>
      <c r="L2446" s="2646" t="s">
        <v>2088</v>
      </c>
    </row>
    <row r="2447" spans="1:12">
      <c r="A2447" s="2647" t="s">
        <v>99</v>
      </c>
      <c r="B2447" s="2647" t="s">
        <v>4777</v>
      </c>
      <c r="C2447" s="2647">
        <v>65</v>
      </c>
      <c r="D2447" s="2647">
        <v>140</v>
      </c>
      <c r="E2447" s="2647">
        <v>79</v>
      </c>
      <c r="F2447" s="2647">
        <v>316</v>
      </c>
      <c r="G2447" s="2647">
        <v>419</v>
      </c>
      <c r="H2447" s="2647">
        <v>2300</v>
      </c>
      <c r="I2447" s="2647">
        <v>3000</v>
      </c>
      <c r="J2447" s="2647">
        <v>5.62</v>
      </c>
      <c r="K2447" s="2648"/>
      <c r="L2447" s="2647" t="s">
        <v>2088</v>
      </c>
    </row>
    <row r="2448" spans="1:12">
      <c r="A2448" s="2646" t="s">
        <v>99</v>
      </c>
      <c r="B2448" s="2646" t="s">
        <v>4778</v>
      </c>
      <c r="C2448" s="2646">
        <v>65</v>
      </c>
      <c r="D2448" s="2646">
        <v>140</v>
      </c>
      <c r="E2448" s="2646">
        <v>108</v>
      </c>
      <c r="F2448" s="2646">
        <v>429</v>
      </c>
      <c r="G2448" s="2646">
        <v>625</v>
      </c>
      <c r="H2448" s="2646">
        <v>2300</v>
      </c>
      <c r="I2448" s="2646">
        <v>3100</v>
      </c>
      <c r="J2448" s="2646">
        <v>7.68</v>
      </c>
      <c r="L2448" s="2646" t="s">
        <v>2088</v>
      </c>
    </row>
    <row r="2449" spans="1:12">
      <c r="A2449" s="2647" t="s">
        <v>99</v>
      </c>
      <c r="B2449" s="2647" t="s">
        <v>4779</v>
      </c>
      <c r="C2449" s="2647">
        <v>70</v>
      </c>
      <c r="D2449" s="2647">
        <v>125</v>
      </c>
      <c r="E2449" s="2647">
        <v>59</v>
      </c>
      <c r="F2449" s="2647">
        <v>219</v>
      </c>
      <c r="G2449" s="2647">
        <v>311</v>
      </c>
      <c r="H2449" s="2647">
        <v>2400</v>
      </c>
      <c r="I2449" s="2647">
        <v>3300</v>
      </c>
      <c r="J2449" s="2647">
        <v>2.93</v>
      </c>
      <c r="K2449" s="2648"/>
      <c r="L2449" s="2647" t="s">
        <v>2088</v>
      </c>
    </row>
    <row r="2450" spans="1:12">
      <c r="A2450" s="2646" t="s">
        <v>99</v>
      </c>
      <c r="B2450" s="2646" t="s">
        <v>4780</v>
      </c>
      <c r="C2450" s="2646">
        <v>70</v>
      </c>
      <c r="D2450" s="2646">
        <v>125</v>
      </c>
      <c r="E2450" s="2646">
        <v>74</v>
      </c>
      <c r="F2450" s="2646">
        <v>268</v>
      </c>
      <c r="G2450" s="2646">
        <v>405</v>
      </c>
      <c r="H2450" s="2646">
        <v>2400</v>
      </c>
      <c r="I2450" s="2646">
        <v>3300</v>
      </c>
      <c r="J2450" s="2646">
        <v>3.67</v>
      </c>
      <c r="L2450" s="2646" t="s">
        <v>2088</v>
      </c>
    </row>
    <row r="2451" spans="1:12">
      <c r="A2451" s="2647" t="s">
        <v>99</v>
      </c>
      <c r="B2451" s="2647" t="s">
        <v>4781</v>
      </c>
      <c r="C2451" s="2647">
        <v>70</v>
      </c>
      <c r="D2451" s="2647">
        <v>150</v>
      </c>
      <c r="E2451" s="2647">
        <v>83</v>
      </c>
      <c r="F2451" s="2647">
        <v>306</v>
      </c>
      <c r="G2451" s="2647">
        <v>412</v>
      </c>
      <c r="H2451" s="2647">
        <v>1800</v>
      </c>
      <c r="I2451" s="2647">
        <v>2500</v>
      </c>
      <c r="J2451" s="2647">
        <v>6.75</v>
      </c>
      <c r="K2451" s="2648"/>
      <c r="L2451" s="2647" t="s">
        <v>2088</v>
      </c>
    </row>
    <row r="2452" spans="1:12">
      <c r="A2452" s="2646" t="s">
        <v>99</v>
      </c>
      <c r="B2452" s="2646" t="s">
        <v>4782</v>
      </c>
      <c r="C2452" s="2646">
        <v>70</v>
      </c>
      <c r="D2452" s="2646">
        <v>150</v>
      </c>
      <c r="E2452" s="2646">
        <v>83</v>
      </c>
      <c r="F2452" s="2646">
        <v>357</v>
      </c>
      <c r="G2452" s="2646">
        <v>478</v>
      </c>
      <c r="H2452" s="2646">
        <v>2100</v>
      </c>
      <c r="I2452" s="2646">
        <v>2800</v>
      </c>
      <c r="J2452" s="2646">
        <v>6.75</v>
      </c>
      <c r="L2452" s="2646" t="s">
        <v>2088</v>
      </c>
    </row>
    <row r="2453" spans="1:12">
      <c r="A2453" s="2647" t="s">
        <v>99</v>
      </c>
      <c r="B2453" s="2647" t="s">
        <v>4783</v>
      </c>
      <c r="C2453" s="2647">
        <v>70</v>
      </c>
      <c r="D2453" s="2647">
        <v>150</v>
      </c>
      <c r="E2453" s="2647">
        <v>116</v>
      </c>
      <c r="F2453" s="2647">
        <v>491</v>
      </c>
      <c r="G2453" s="2647">
        <v>725</v>
      </c>
      <c r="H2453" s="2647">
        <v>2200</v>
      </c>
      <c r="I2453" s="2647">
        <v>2900</v>
      </c>
      <c r="J2453" s="2647">
        <v>9.44</v>
      </c>
      <c r="K2453" s="2648"/>
      <c r="L2453" s="2647" t="s">
        <v>2088</v>
      </c>
    </row>
    <row r="2454" spans="1:12">
      <c r="A2454" s="2646" t="s">
        <v>99</v>
      </c>
      <c r="B2454" s="2646">
        <v>46215</v>
      </c>
      <c r="C2454" s="2646">
        <v>75</v>
      </c>
      <c r="D2454" s="2646">
        <v>115</v>
      </c>
      <c r="E2454" s="2646">
        <v>60</v>
      </c>
      <c r="F2454" s="2646">
        <v>71.7</v>
      </c>
      <c r="G2454" s="2646">
        <v>105</v>
      </c>
      <c r="H2454" s="2646">
        <v>2500</v>
      </c>
      <c r="I2454" s="2646">
        <v>3300</v>
      </c>
      <c r="J2454" s="2646">
        <v>0.99399999999999999</v>
      </c>
      <c r="L2454" s="2646" t="s">
        <v>2088</v>
      </c>
    </row>
    <row r="2455" spans="1:12">
      <c r="A2455" s="2647" t="s">
        <v>99</v>
      </c>
      <c r="B2455" s="2647" t="s">
        <v>4784</v>
      </c>
      <c r="C2455" s="2647">
        <v>75</v>
      </c>
      <c r="D2455" s="2647">
        <v>115</v>
      </c>
      <c r="E2455" s="2647">
        <v>38</v>
      </c>
      <c r="F2455" s="2647">
        <v>122</v>
      </c>
      <c r="G2455" s="2647">
        <v>207</v>
      </c>
      <c r="H2455" s="2647">
        <v>2500</v>
      </c>
      <c r="I2455" s="2647">
        <v>3300</v>
      </c>
      <c r="J2455" s="2647">
        <v>1.32</v>
      </c>
      <c r="K2455" s="2648"/>
      <c r="L2455" s="2647" t="s">
        <v>2088</v>
      </c>
    </row>
    <row r="2456" spans="1:12">
      <c r="A2456" s="2646" t="s">
        <v>99</v>
      </c>
      <c r="B2456" s="2646" t="s">
        <v>4785</v>
      </c>
      <c r="C2456" s="2646">
        <v>75</v>
      </c>
      <c r="D2456" s="2646">
        <v>130</v>
      </c>
      <c r="E2456" s="2646">
        <v>62</v>
      </c>
      <c r="F2456" s="2646">
        <v>225</v>
      </c>
      <c r="G2456" s="2646">
        <v>326</v>
      </c>
      <c r="H2456" s="2646">
        <v>2300</v>
      </c>
      <c r="I2456" s="2646">
        <v>3100</v>
      </c>
      <c r="J2456" s="2646">
        <v>3.23</v>
      </c>
      <c r="L2456" s="2646" t="s">
        <v>2088</v>
      </c>
    </row>
    <row r="2457" spans="1:12">
      <c r="A2457" s="2647" t="s">
        <v>99</v>
      </c>
      <c r="B2457" s="2647" t="s">
        <v>4786</v>
      </c>
      <c r="C2457" s="2647">
        <v>75</v>
      </c>
      <c r="D2457" s="2647">
        <v>130</v>
      </c>
      <c r="E2457" s="2647">
        <v>74</v>
      </c>
      <c r="F2457" s="2647">
        <v>275</v>
      </c>
      <c r="G2457" s="2647">
        <v>422</v>
      </c>
      <c r="H2457" s="2647">
        <v>2300</v>
      </c>
      <c r="I2457" s="2647">
        <v>3100</v>
      </c>
      <c r="J2457" s="2647">
        <v>3.86</v>
      </c>
      <c r="K2457" s="2648"/>
      <c r="L2457" s="2647" t="s">
        <v>2088</v>
      </c>
    </row>
    <row r="2458" spans="1:12">
      <c r="A2458" s="2646" t="s">
        <v>99</v>
      </c>
      <c r="B2458" s="2646" t="s">
        <v>4787</v>
      </c>
      <c r="C2458" s="2646">
        <v>75</v>
      </c>
      <c r="D2458" s="2646">
        <v>160</v>
      </c>
      <c r="E2458" s="2646">
        <v>87</v>
      </c>
      <c r="F2458" s="2646">
        <v>403</v>
      </c>
      <c r="G2458" s="2646">
        <v>544</v>
      </c>
      <c r="H2458" s="2646">
        <v>2000</v>
      </c>
      <c r="I2458" s="2646">
        <v>2600</v>
      </c>
      <c r="J2458" s="2646">
        <v>8.0399999999999991</v>
      </c>
      <c r="L2458" s="2646" t="s">
        <v>2088</v>
      </c>
    </row>
    <row r="2459" spans="1:12">
      <c r="A2459" s="2647" t="s">
        <v>99</v>
      </c>
      <c r="B2459" s="2647" t="s">
        <v>4788</v>
      </c>
      <c r="C2459" s="2647">
        <v>75</v>
      </c>
      <c r="D2459" s="2647">
        <v>160</v>
      </c>
      <c r="E2459" s="2647">
        <v>125</v>
      </c>
      <c r="F2459" s="2647">
        <v>563</v>
      </c>
      <c r="G2459" s="2647">
        <v>843</v>
      </c>
      <c r="H2459" s="2647">
        <v>2000</v>
      </c>
      <c r="I2459" s="2647">
        <v>2700</v>
      </c>
      <c r="J2459" s="2647">
        <v>11.5</v>
      </c>
      <c r="K2459" s="2648"/>
      <c r="L2459" s="2647" t="s">
        <v>2088</v>
      </c>
    </row>
    <row r="2460" spans="1:12">
      <c r="A2460" s="2646" t="s">
        <v>99</v>
      </c>
      <c r="B2460" s="2646">
        <v>46216</v>
      </c>
      <c r="C2460" s="2646">
        <v>80</v>
      </c>
      <c r="D2460" s="2646">
        <v>125</v>
      </c>
      <c r="E2460" s="2646">
        <v>34</v>
      </c>
      <c r="F2460" s="2646">
        <v>108</v>
      </c>
      <c r="G2460" s="2646">
        <v>155</v>
      </c>
      <c r="H2460" s="2646">
        <v>2300</v>
      </c>
      <c r="I2460" s="2646">
        <v>3100</v>
      </c>
      <c r="J2460" s="2646">
        <v>1.38</v>
      </c>
      <c r="L2460" s="2646" t="s">
        <v>2088</v>
      </c>
    </row>
    <row r="2461" spans="1:12">
      <c r="A2461" s="2647" t="s">
        <v>99</v>
      </c>
      <c r="B2461" s="2647" t="s">
        <v>4789</v>
      </c>
      <c r="C2461" s="2647">
        <v>80</v>
      </c>
      <c r="D2461" s="2647">
        <v>140</v>
      </c>
      <c r="E2461" s="2647">
        <v>64</v>
      </c>
      <c r="F2461" s="2647">
        <v>256</v>
      </c>
      <c r="G2461" s="2647">
        <v>364</v>
      </c>
      <c r="H2461" s="2647">
        <v>2200</v>
      </c>
      <c r="I2461" s="2647">
        <v>2900</v>
      </c>
      <c r="J2461" s="2647">
        <v>3.91</v>
      </c>
      <c r="K2461" s="2648"/>
      <c r="L2461" s="2647" t="s">
        <v>2088</v>
      </c>
    </row>
    <row r="2462" spans="1:12">
      <c r="A2462" s="2646" t="s">
        <v>99</v>
      </c>
      <c r="B2462" s="2646" t="s">
        <v>4790</v>
      </c>
      <c r="C2462" s="2646">
        <v>80</v>
      </c>
      <c r="D2462" s="2646">
        <v>140</v>
      </c>
      <c r="E2462" s="2646">
        <v>78</v>
      </c>
      <c r="F2462" s="2646">
        <v>321</v>
      </c>
      <c r="G2462" s="2646">
        <v>488</v>
      </c>
      <c r="H2462" s="2646">
        <v>2200</v>
      </c>
      <c r="I2462" s="2646">
        <v>2900</v>
      </c>
      <c r="J2462" s="2646">
        <v>4.76</v>
      </c>
      <c r="L2462" s="2646" t="s">
        <v>2088</v>
      </c>
    </row>
    <row r="2463" spans="1:12">
      <c r="A2463" s="2647" t="s">
        <v>99</v>
      </c>
      <c r="B2463" s="2647" t="s">
        <v>4791</v>
      </c>
      <c r="C2463" s="2647">
        <v>80</v>
      </c>
      <c r="D2463" s="2647">
        <v>170</v>
      </c>
      <c r="E2463" s="2647">
        <v>92</v>
      </c>
      <c r="F2463" s="2647">
        <v>456</v>
      </c>
      <c r="G2463" s="2647">
        <v>622</v>
      </c>
      <c r="H2463" s="2647">
        <v>1800</v>
      </c>
      <c r="I2463" s="2647">
        <v>2500</v>
      </c>
      <c r="J2463" s="2647">
        <v>9.57</v>
      </c>
      <c r="K2463" s="2648"/>
      <c r="L2463" s="2647" t="s">
        <v>2088</v>
      </c>
    </row>
    <row r="2464" spans="1:12">
      <c r="A2464" s="2646" t="s">
        <v>99</v>
      </c>
      <c r="B2464" s="2646" t="s">
        <v>4792</v>
      </c>
      <c r="C2464" s="2646">
        <v>80</v>
      </c>
      <c r="D2464" s="2646">
        <v>170</v>
      </c>
      <c r="E2464" s="2646">
        <v>131</v>
      </c>
      <c r="F2464" s="2646">
        <v>595</v>
      </c>
      <c r="G2464" s="2646">
        <v>881</v>
      </c>
      <c r="H2464" s="2646">
        <v>1900</v>
      </c>
      <c r="I2464" s="2646">
        <v>2500</v>
      </c>
      <c r="J2464" s="2646">
        <v>13.6</v>
      </c>
      <c r="L2464" s="2646" t="s">
        <v>2088</v>
      </c>
    </row>
    <row r="2465" spans="1:12">
      <c r="A2465" s="2647" t="s">
        <v>99</v>
      </c>
      <c r="B2465" s="2647" t="s">
        <v>4793</v>
      </c>
      <c r="C2465" s="2647">
        <v>85</v>
      </c>
      <c r="D2465" s="2647">
        <v>150</v>
      </c>
      <c r="E2465" s="2647">
        <v>70</v>
      </c>
      <c r="F2465" s="2647">
        <v>289</v>
      </c>
      <c r="G2465" s="2647">
        <v>416</v>
      </c>
      <c r="H2465" s="2647">
        <v>2000</v>
      </c>
      <c r="I2465" s="2647">
        <v>2700</v>
      </c>
      <c r="J2465" s="2647">
        <v>4.9400000000000004</v>
      </c>
      <c r="K2465" s="2648"/>
      <c r="L2465" s="2647" t="s">
        <v>2088</v>
      </c>
    </row>
    <row r="2466" spans="1:12">
      <c r="A2466" s="2646" t="s">
        <v>99</v>
      </c>
      <c r="B2466" s="2646" t="s">
        <v>4794</v>
      </c>
      <c r="C2466" s="2646">
        <v>85</v>
      </c>
      <c r="D2466" s="2646">
        <v>150</v>
      </c>
      <c r="E2466" s="2646">
        <v>86</v>
      </c>
      <c r="F2466" s="2646">
        <v>368</v>
      </c>
      <c r="G2466" s="2646">
        <v>567</v>
      </c>
      <c r="H2466" s="2646">
        <v>2000</v>
      </c>
      <c r="I2466" s="2646">
        <v>2700</v>
      </c>
      <c r="J2466" s="2646">
        <v>6.07</v>
      </c>
      <c r="L2466" s="2646" t="s">
        <v>2088</v>
      </c>
    </row>
    <row r="2467" spans="1:12">
      <c r="A2467" s="2647" t="s">
        <v>99</v>
      </c>
      <c r="B2467" s="2647" t="s">
        <v>4795</v>
      </c>
      <c r="C2467" s="2647">
        <v>85</v>
      </c>
      <c r="D2467" s="2647">
        <v>180</v>
      </c>
      <c r="E2467" s="2647">
        <v>98</v>
      </c>
      <c r="F2467" s="2647">
        <v>491</v>
      </c>
      <c r="G2467" s="2647">
        <v>672</v>
      </c>
      <c r="H2467" s="2647">
        <v>1700</v>
      </c>
      <c r="I2467" s="2647">
        <v>2300</v>
      </c>
      <c r="J2467" s="2647">
        <v>11.4</v>
      </c>
      <c r="K2467" s="2648"/>
      <c r="L2467" s="2647" t="s">
        <v>2088</v>
      </c>
    </row>
    <row r="2468" spans="1:12">
      <c r="A2468" s="2646" t="s">
        <v>99</v>
      </c>
      <c r="B2468" s="2646" t="s">
        <v>4796</v>
      </c>
      <c r="C2468" s="2646">
        <v>85</v>
      </c>
      <c r="D2468" s="2646">
        <v>180</v>
      </c>
      <c r="E2468" s="2646">
        <v>137</v>
      </c>
      <c r="F2468" s="2646">
        <v>680</v>
      </c>
      <c r="G2468" s="2646">
        <v>1030</v>
      </c>
      <c r="H2468" s="2646">
        <v>1800</v>
      </c>
      <c r="I2468" s="2646">
        <v>2400</v>
      </c>
      <c r="J2468" s="2646">
        <v>15.9</v>
      </c>
      <c r="L2468" s="2646" t="s">
        <v>2088</v>
      </c>
    </row>
    <row r="2469" spans="1:12">
      <c r="A2469" s="2647" t="s">
        <v>99</v>
      </c>
      <c r="B2469" s="2647">
        <v>46218</v>
      </c>
      <c r="C2469" s="2647">
        <v>90</v>
      </c>
      <c r="D2469" s="2647">
        <v>140</v>
      </c>
      <c r="E2469" s="2647">
        <v>37</v>
      </c>
      <c r="F2469" s="2647">
        <v>136</v>
      </c>
      <c r="G2469" s="2647">
        <v>199</v>
      </c>
      <c r="H2469" s="2647">
        <v>2100</v>
      </c>
      <c r="I2469" s="2647">
        <v>2800</v>
      </c>
      <c r="J2469" s="2647">
        <v>1.89</v>
      </c>
      <c r="K2469" s="2648"/>
      <c r="L2469" s="2647" t="s">
        <v>2088</v>
      </c>
    </row>
    <row r="2470" spans="1:12">
      <c r="A2470" s="2646" t="s">
        <v>99</v>
      </c>
      <c r="B2470" s="2646" t="s">
        <v>4797</v>
      </c>
      <c r="C2470" s="2646">
        <v>90</v>
      </c>
      <c r="D2470" s="2646">
        <v>140</v>
      </c>
      <c r="E2470" s="2646">
        <v>46</v>
      </c>
      <c r="F2470" s="2646">
        <v>157</v>
      </c>
      <c r="G2470" s="2646">
        <v>266</v>
      </c>
      <c r="H2470" s="2646">
        <v>2000</v>
      </c>
      <c r="I2470" s="2646">
        <v>2700</v>
      </c>
      <c r="J2470" s="2646">
        <v>2.37</v>
      </c>
      <c r="L2470" s="2646" t="s">
        <v>2088</v>
      </c>
    </row>
    <row r="2471" spans="1:12">
      <c r="A2471" s="2647" t="s">
        <v>99</v>
      </c>
      <c r="B2471" s="2647" t="s">
        <v>4798</v>
      </c>
      <c r="C2471" s="2647">
        <v>90</v>
      </c>
      <c r="D2471" s="2647">
        <v>160</v>
      </c>
      <c r="E2471" s="2647">
        <v>74</v>
      </c>
      <c r="F2471" s="2647">
        <v>324</v>
      </c>
      <c r="G2471" s="2647">
        <v>470</v>
      </c>
      <c r="H2471" s="2647">
        <v>1900</v>
      </c>
      <c r="I2471" s="2647">
        <v>2500</v>
      </c>
      <c r="J2471" s="2647">
        <v>5.99</v>
      </c>
      <c r="K2471" s="2648"/>
      <c r="L2471" s="2647" t="s">
        <v>2088</v>
      </c>
    </row>
    <row r="2472" spans="1:12">
      <c r="A2472" s="2646" t="s">
        <v>99</v>
      </c>
      <c r="B2472" s="2646" t="s">
        <v>4799</v>
      </c>
      <c r="C2472" s="2646">
        <v>90</v>
      </c>
      <c r="D2472" s="2646">
        <v>160</v>
      </c>
      <c r="E2472" s="2646">
        <v>94</v>
      </c>
      <c r="F2472" s="2646">
        <v>417</v>
      </c>
      <c r="G2472" s="2646">
        <v>651</v>
      </c>
      <c r="H2472" s="2646">
        <v>1900</v>
      </c>
      <c r="I2472" s="2646">
        <v>2500</v>
      </c>
      <c r="J2472" s="2646">
        <v>7.61</v>
      </c>
      <c r="L2472" s="2646" t="s">
        <v>2088</v>
      </c>
    </row>
    <row r="2473" spans="1:12">
      <c r="A2473" s="2647" t="s">
        <v>99</v>
      </c>
      <c r="B2473" s="2647" t="s">
        <v>4800</v>
      </c>
      <c r="C2473" s="2647">
        <v>90</v>
      </c>
      <c r="D2473" s="2647">
        <v>190</v>
      </c>
      <c r="E2473" s="2647">
        <v>102</v>
      </c>
      <c r="F2473" s="2647">
        <v>536</v>
      </c>
      <c r="G2473" s="2647">
        <v>736</v>
      </c>
      <c r="H2473" s="2647">
        <v>1600</v>
      </c>
      <c r="I2473" s="2647">
        <v>2200</v>
      </c>
      <c r="J2473" s="2647">
        <v>13.2</v>
      </c>
      <c r="K2473" s="2648"/>
      <c r="L2473" s="2647" t="s">
        <v>2088</v>
      </c>
    </row>
    <row r="2474" spans="1:12">
      <c r="A2474" s="2646" t="s">
        <v>99</v>
      </c>
      <c r="B2474" s="2646" t="s">
        <v>4801</v>
      </c>
      <c r="C2474" s="2646">
        <v>90</v>
      </c>
      <c r="D2474" s="2646">
        <v>190</v>
      </c>
      <c r="E2474" s="2646">
        <v>144</v>
      </c>
      <c r="F2474" s="2646">
        <v>715</v>
      </c>
      <c r="G2474" s="2646">
        <v>1070</v>
      </c>
      <c r="H2474" s="2646">
        <v>1700</v>
      </c>
      <c r="I2474" s="2646">
        <v>2200</v>
      </c>
      <c r="J2474" s="2646">
        <v>18.600000000000001</v>
      </c>
      <c r="L2474" s="2646" t="s">
        <v>2088</v>
      </c>
    </row>
    <row r="2475" spans="1:12">
      <c r="A2475" s="2647" t="s">
        <v>99</v>
      </c>
      <c r="B2475" s="2647" t="s">
        <v>4802</v>
      </c>
      <c r="C2475" s="2647">
        <v>95</v>
      </c>
      <c r="D2475" s="2647">
        <v>170</v>
      </c>
      <c r="E2475" s="2647">
        <v>78</v>
      </c>
      <c r="F2475" s="2647">
        <v>366</v>
      </c>
      <c r="G2475" s="2647">
        <v>538</v>
      </c>
      <c r="H2475" s="2647">
        <v>1800</v>
      </c>
      <c r="I2475" s="2647">
        <v>2400</v>
      </c>
      <c r="J2475" s="2647">
        <v>7.17</v>
      </c>
      <c r="K2475" s="2648"/>
      <c r="L2475" s="2647" t="s">
        <v>2088</v>
      </c>
    </row>
    <row r="2476" spans="1:12">
      <c r="A2476" s="2646" t="s">
        <v>99</v>
      </c>
      <c r="B2476" s="2646" t="s">
        <v>4803</v>
      </c>
      <c r="C2476" s="2646">
        <v>95</v>
      </c>
      <c r="D2476" s="2646">
        <v>170</v>
      </c>
      <c r="E2476" s="2646">
        <v>100</v>
      </c>
      <c r="F2476" s="2646">
        <v>493</v>
      </c>
      <c r="G2476" s="2646">
        <v>790</v>
      </c>
      <c r="H2476" s="2646">
        <v>1800</v>
      </c>
      <c r="I2476" s="2646">
        <v>2400</v>
      </c>
      <c r="J2476" s="2646">
        <v>9.19</v>
      </c>
      <c r="L2476" s="2646" t="s">
        <v>2088</v>
      </c>
    </row>
    <row r="2477" spans="1:12">
      <c r="A2477" s="2647" t="s">
        <v>99</v>
      </c>
      <c r="B2477" s="2647" t="s">
        <v>4804</v>
      </c>
      <c r="C2477" s="2647">
        <v>95</v>
      </c>
      <c r="D2477" s="2647">
        <v>200</v>
      </c>
      <c r="E2477" s="2647">
        <v>108</v>
      </c>
      <c r="F2477" s="2647">
        <v>577</v>
      </c>
      <c r="G2477" s="2647">
        <v>796</v>
      </c>
      <c r="H2477" s="2647">
        <v>1600</v>
      </c>
      <c r="I2477" s="2647">
        <v>2100</v>
      </c>
      <c r="J2477" s="2647">
        <v>15.5</v>
      </c>
      <c r="K2477" s="2648"/>
      <c r="L2477" s="2647" t="s">
        <v>2088</v>
      </c>
    </row>
    <row r="2478" spans="1:12">
      <c r="A2478" s="2646" t="s">
        <v>99</v>
      </c>
      <c r="B2478" s="2646" t="s">
        <v>4805</v>
      </c>
      <c r="C2478" s="2646">
        <v>95</v>
      </c>
      <c r="D2478" s="2646">
        <v>200</v>
      </c>
      <c r="E2478" s="2646">
        <v>151</v>
      </c>
      <c r="F2478" s="2646">
        <v>801</v>
      </c>
      <c r="G2478" s="2646">
        <v>1220</v>
      </c>
      <c r="H2478" s="2646">
        <v>1600</v>
      </c>
      <c r="I2478" s="2646">
        <v>2100</v>
      </c>
      <c r="J2478" s="2646">
        <v>21.6</v>
      </c>
      <c r="L2478" s="2646" t="s">
        <v>2088</v>
      </c>
    </row>
    <row r="2479" spans="1:12">
      <c r="A2479" s="2647" t="s">
        <v>99</v>
      </c>
      <c r="B2479" s="2647" t="s">
        <v>4806</v>
      </c>
      <c r="C2479" s="2647">
        <v>100</v>
      </c>
      <c r="D2479" s="2647">
        <v>150</v>
      </c>
      <c r="E2479" s="2647">
        <v>46</v>
      </c>
      <c r="F2479" s="2647">
        <v>180</v>
      </c>
      <c r="G2479" s="2647">
        <v>293</v>
      </c>
      <c r="H2479" s="2647">
        <v>1900</v>
      </c>
      <c r="I2479" s="2647">
        <v>2500</v>
      </c>
      <c r="J2479" s="2647">
        <v>2.5299999999999998</v>
      </c>
      <c r="K2479" s="2648"/>
      <c r="L2479" s="2647" t="s">
        <v>2088</v>
      </c>
    </row>
    <row r="2480" spans="1:12">
      <c r="A2480" s="2646" t="s">
        <v>99</v>
      </c>
      <c r="B2480" s="2646">
        <v>46320</v>
      </c>
      <c r="C2480" s="2646">
        <v>100</v>
      </c>
      <c r="D2480" s="2646">
        <v>165</v>
      </c>
      <c r="E2480" s="2646">
        <v>52</v>
      </c>
      <c r="F2480" s="2646">
        <v>198</v>
      </c>
      <c r="G2480" s="2646">
        <v>305</v>
      </c>
      <c r="H2480" s="2646">
        <v>1700</v>
      </c>
      <c r="I2480" s="2646">
        <v>2300</v>
      </c>
      <c r="J2480" s="2646">
        <v>4.03</v>
      </c>
      <c r="L2480" s="2646" t="s">
        <v>2088</v>
      </c>
    </row>
    <row r="2481" spans="1:12">
      <c r="A2481" s="2647" t="s">
        <v>99</v>
      </c>
      <c r="B2481" s="2647" t="s">
        <v>4807</v>
      </c>
      <c r="C2481" s="2647">
        <v>100</v>
      </c>
      <c r="D2481" s="2647">
        <v>165</v>
      </c>
      <c r="E2481" s="2647">
        <v>65</v>
      </c>
      <c r="F2481" s="2647">
        <v>265</v>
      </c>
      <c r="G2481" s="2647">
        <v>443</v>
      </c>
      <c r="H2481" s="2647">
        <v>1800</v>
      </c>
      <c r="I2481" s="2647">
        <v>2300</v>
      </c>
      <c r="J2481" s="2647">
        <v>4.97</v>
      </c>
      <c r="K2481" s="2648"/>
      <c r="L2481" s="2647" t="s">
        <v>2088</v>
      </c>
    </row>
    <row r="2482" spans="1:12">
      <c r="A2482" s="2646" t="s">
        <v>99</v>
      </c>
      <c r="B2482" s="2646" t="s">
        <v>4808</v>
      </c>
      <c r="C2482" s="2646">
        <v>100</v>
      </c>
      <c r="D2482" s="2646">
        <v>180</v>
      </c>
      <c r="E2482" s="2646">
        <v>83</v>
      </c>
      <c r="F2482" s="2646">
        <v>409</v>
      </c>
      <c r="G2482" s="2646">
        <v>608</v>
      </c>
      <c r="H2482" s="2646">
        <v>1700</v>
      </c>
      <c r="I2482" s="2646">
        <v>2200</v>
      </c>
      <c r="J2482" s="2646">
        <v>8.6</v>
      </c>
      <c r="L2482" s="2646" t="s">
        <v>2088</v>
      </c>
    </row>
    <row r="2483" spans="1:12">
      <c r="A2483" s="2647" t="s">
        <v>99</v>
      </c>
      <c r="B2483" s="2647" t="s">
        <v>4809</v>
      </c>
      <c r="C2483" s="2647">
        <v>100</v>
      </c>
      <c r="D2483" s="2647">
        <v>180</v>
      </c>
      <c r="E2483" s="2647">
        <v>107</v>
      </c>
      <c r="F2483" s="2647">
        <v>550</v>
      </c>
      <c r="G2483" s="2647">
        <v>891</v>
      </c>
      <c r="H2483" s="2647">
        <v>1700</v>
      </c>
      <c r="I2483" s="2647">
        <v>2200</v>
      </c>
      <c r="J2483" s="2647">
        <v>11.1</v>
      </c>
      <c r="K2483" s="2648"/>
      <c r="L2483" s="2647" t="s">
        <v>2088</v>
      </c>
    </row>
    <row r="2484" spans="1:12">
      <c r="A2484" s="2646" t="s">
        <v>99</v>
      </c>
      <c r="B2484" s="2646" t="s">
        <v>4810</v>
      </c>
      <c r="C2484" s="2646">
        <v>100</v>
      </c>
      <c r="D2484" s="2646">
        <v>215</v>
      </c>
      <c r="E2484" s="2646">
        <v>112</v>
      </c>
      <c r="F2484" s="2646">
        <v>655</v>
      </c>
      <c r="G2484" s="2646">
        <v>912</v>
      </c>
      <c r="H2484" s="2646">
        <v>1500</v>
      </c>
      <c r="I2484" s="2646">
        <v>1900</v>
      </c>
      <c r="J2484" s="2646">
        <v>18.8</v>
      </c>
      <c r="L2484" s="2646" t="s">
        <v>2088</v>
      </c>
    </row>
    <row r="2485" spans="1:12">
      <c r="A2485" s="2647" t="s">
        <v>99</v>
      </c>
      <c r="B2485" s="2647" t="s">
        <v>4811</v>
      </c>
      <c r="C2485" s="2647">
        <v>100</v>
      </c>
      <c r="D2485" s="2647">
        <v>215</v>
      </c>
      <c r="E2485" s="2647">
        <v>162</v>
      </c>
      <c r="F2485" s="2647">
        <v>892</v>
      </c>
      <c r="G2485" s="2647">
        <v>1360</v>
      </c>
      <c r="H2485" s="2647">
        <v>1500</v>
      </c>
      <c r="I2485" s="2647">
        <v>2000</v>
      </c>
      <c r="J2485" s="2647">
        <v>27.1</v>
      </c>
      <c r="K2485" s="2648"/>
      <c r="L2485" s="2647" t="s">
        <v>2088</v>
      </c>
    </row>
    <row r="2486" spans="1:12">
      <c r="A2486" s="2646" t="s">
        <v>99</v>
      </c>
      <c r="B2486" s="2646" t="s">
        <v>4812</v>
      </c>
      <c r="C2486" s="2646">
        <v>105</v>
      </c>
      <c r="D2486" s="2646">
        <v>190</v>
      </c>
      <c r="E2486" s="2646">
        <v>88</v>
      </c>
      <c r="F2486" s="2646">
        <v>456</v>
      </c>
      <c r="G2486" s="2646">
        <v>685</v>
      </c>
      <c r="H2486" s="2646">
        <v>1600</v>
      </c>
      <c r="I2486" s="2646">
        <v>2100</v>
      </c>
      <c r="J2486" s="2646">
        <v>10.199999999999999</v>
      </c>
      <c r="L2486" s="2646" t="s">
        <v>2088</v>
      </c>
    </row>
    <row r="2487" spans="1:12">
      <c r="A2487" s="2647" t="s">
        <v>99</v>
      </c>
      <c r="B2487" s="2647" t="s">
        <v>4813</v>
      </c>
      <c r="C2487" s="2647">
        <v>105</v>
      </c>
      <c r="D2487" s="2647">
        <v>190</v>
      </c>
      <c r="E2487" s="2647">
        <v>115</v>
      </c>
      <c r="F2487" s="2647">
        <v>620</v>
      </c>
      <c r="G2487" s="2647">
        <v>1020</v>
      </c>
      <c r="H2487" s="2647">
        <v>1600</v>
      </c>
      <c r="I2487" s="2647">
        <v>2100</v>
      </c>
      <c r="J2487" s="2647">
        <v>13.3</v>
      </c>
      <c r="K2487" s="2648"/>
      <c r="L2487" s="2647" t="s">
        <v>2088</v>
      </c>
    </row>
    <row r="2488" spans="1:12">
      <c r="A2488" s="2646" t="s">
        <v>99</v>
      </c>
      <c r="B2488" s="2646" t="s">
        <v>4814</v>
      </c>
      <c r="C2488" s="2646">
        <v>105</v>
      </c>
      <c r="D2488" s="2646">
        <v>225</v>
      </c>
      <c r="E2488" s="2646">
        <v>116</v>
      </c>
      <c r="F2488" s="2646">
        <v>720</v>
      </c>
      <c r="G2488" s="2646">
        <v>1010</v>
      </c>
      <c r="H2488" s="2646">
        <v>1400</v>
      </c>
      <c r="I2488" s="2646">
        <v>1800</v>
      </c>
      <c r="J2488" s="2646">
        <v>21.2</v>
      </c>
      <c r="L2488" s="2646" t="s">
        <v>2088</v>
      </c>
    </row>
    <row r="2489" spans="1:12">
      <c r="A2489" s="2647" t="s">
        <v>99</v>
      </c>
      <c r="B2489" s="2647" t="s">
        <v>4815</v>
      </c>
      <c r="C2489" s="2647">
        <v>105</v>
      </c>
      <c r="D2489" s="2647">
        <v>225</v>
      </c>
      <c r="E2489" s="2647">
        <v>170</v>
      </c>
      <c r="F2489" s="2647">
        <v>977</v>
      </c>
      <c r="G2489" s="2647">
        <v>1500</v>
      </c>
      <c r="H2489" s="2647">
        <v>1400</v>
      </c>
      <c r="I2489" s="2647">
        <v>1900</v>
      </c>
      <c r="J2489" s="2647">
        <v>31.1</v>
      </c>
      <c r="K2489" s="2648"/>
      <c r="L2489" s="2647" t="s">
        <v>2088</v>
      </c>
    </row>
    <row r="2490" spans="1:12">
      <c r="A2490" s="2646" t="s">
        <v>99</v>
      </c>
      <c r="B2490" s="2646">
        <v>46222</v>
      </c>
      <c r="C2490" s="2646">
        <v>110</v>
      </c>
      <c r="D2490" s="2646">
        <v>170</v>
      </c>
      <c r="E2490" s="2646">
        <v>45</v>
      </c>
      <c r="F2490" s="2646">
        <v>175</v>
      </c>
      <c r="G2490" s="2646">
        <v>304</v>
      </c>
      <c r="H2490" s="2646">
        <v>1700</v>
      </c>
      <c r="I2490" s="2646">
        <v>2200</v>
      </c>
      <c r="J2490" s="2646">
        <v>3.58</v>
      </c>
      <c r="L2490" s="2646" t="s">
        <v>2088</v>
      </c>
    </row>
    <row r="2491" spans="1:12">
      <c r="A2491" s="2647" t="s">
        <v>99</v>
      </c>
      <c r="B2491" s="2647">
        <v>46322</v>
      </c>
      <c r="C2491" s="2647">
        <v>110</v>
      </c>
      <c r="D2491" s="2647">
        <v>180</v>
      </c>
      <c r="E2491" s="2647">
        <v>56</v>
      </c>
      <c r="F2491" s="2647">
        <v>245</v>
      </c>
      <c r="G2491" s="2647">
        <v>388</v>
      </c>
      <c r="H2491" s="2647">
        <v>1600</v>
      </c>
      <c r="I2491" s="2647">
        <v>2100</v>
      </c>
      <c r="J2491" s="2647">
        <v>5.13</v>
      </c>
      <c r="K2491" s="2648"/>
      <c r="L2491" s="2647" t="s">
        <v>2088</v>
      </c>
    </row>
    <row r="2492" spans="1:12">
      <c r="A2492" s="2646" t="s">
        <v>99</v>
      </c>
      <c r="B2492" s="2646" t="s">
        <v>4816</v>
      </c>
      <c r="C2492" s="2646">
        <v>110</v>
      </c>
      <c r="D2492" s="2646">
        <v>180</v>
      </c>
      <c r="E2492" s="2646">
        <v>70</v>
      </c>
      <c r="F2492" s="2646">
        <v>324</v>
      </c>
      <c r="G2492" s="2646">
        <v>533</v>
      </c>
      <c r="H2492" s="2646">
        <v>1600</v>
      </c>
      <c r="I2492" s="2646">
        <v>2100</v>
      </c>
      <c r="J2492" s="2646">
        <v>6.43</v>
      </c>
      <c r="L2492" s="2646" t="s">
        <v>2088</v>
      </c>
    </row>
    <row r="2493" spans="1:12">
      <c r="A2493" s="2647" t="s">
        <v>99</v>
      </c>
      <c r="B2493" s="2647" t="s">
        <v>4817</v>
      </c>
      <c r="C2493" s="2647">
        <v>110</v>
      </c>
      <c r="D2493" s="2647">
        <v>200</v>
      </c>
      <c r="E2493" s="2647">
        <v>92</v>
      </c>
      <c r="F2493" s="2647">
        <v>513</v>
      </c>
      <c r="G2493" s="2647">
        <v>781</v>
      </c>
      <c r="H2493" s="2647">
        <v>1500</v>
      </c>
      <c r="I2493" s="2647">
        <v>2000</v>
      </c>
      <c r="J2493" s="2647">
        <v>11.9</v>
      </c>
      <c r="K2493" s="2648"/>
      <c r="L2493" s="2647" t="s">
        <v>2088</v>
      </c>
    </row>
    <row r="2494" spans="1:12">
      <c r="A2494" s="2646" t="s">
        <v>99</v>
      </c>
      <c r="B2494" s="2646" t="s">
        <v>4818</v>
      </c>
      <c r="C2494" s="2646">
        <v>110</v>
      </c>
      <c r="D2494" s="2646">
        <v>200</v>
      </c>
      <c r="E2494" s="2646">
        <v>121</v>
      </c>
      <c r="F2494" s="2646">
        <v>693</v>
      </c>
      <c r="G2494" s="2646">
        <v>1150</v>
      </c>
      <c r="H2494" s="2646">
        <v>1500</v>
      </c>
      <c r="I2494" s="2646">
        <v>2000</v>
      </c>
      <c r="J2494" s="2646">
        <v>15.6</v>
      </c>
      <c r="L2494" s="2646" t="s">
        <v>2088</v>
      </c>
    </row>
    <row r="2495" spans="1:12">
      <c r="A2495" s="2647" t="s">
        <v>99</v>
      </c>
      <c r="B2495" s="2647" t="s">
        <v>4819</v>
      </c>
      <c r="C2495" s="2647">
        <v>110</v>
      </c>
      <c r="D2495" s="2647">
        <v>240</v>
      </c>
      <c r="E2495" s="2647">
        <v>118</v>
      </c>
      <c r="F2495" s="2647">
        <v>746</v>
      </c>
      <c r="G2495" s="2647">
        <v>1030</v>
      </c>
      <c r="H2495" s="2647">
        <v>1300</v>
      </c>
      <c r="I2495" s="2647">
        <v>1700</v>
      </c>
      <c r="J2495" s="2647">
        <v>24.8</v>
      </c>
      <c r="K2495" s="2648"/>
      <c r="L2495" s="2647" t="s">
        <v>2088</v>
      </c>
    </row>
    <row r="2496" spans="1:12">
      <c r="A2496" s="2646" t="s">
        <v>99</v>
      </c>
      <c r="B2496" s="2646" t="s">
        <v>4820</v>
      </c>
      <c r="C2496" s="2646">
        <v>110</v>
      </c>
      <c r="D2496" s="2646">
        <v>240</v>
      </c>
      <c r="E2496" s="2646">
        <v>181</v>
      </c>
      <c r="F2496" s="2646">
        <v>1060</v>
      </c>
      <c r="G2496" s="2646">
        <v>1630</v>
      </c>
      <c r="H2496" s="2646">
        <v>1300</v>
      </c>
      <c r="I2496" s="2646">
        <v>1700</v>
      </c>
      <c r="J2496" s="2646">
        <v>38.1</v>
      </c>
      <c r="L2496" s="2646" t="s">
        <v>2088</v>
      </c>
    </row>
    <row r="2497" spans="1:12">
      <c r="A2497" s="2647" t="s">
        <v>99</v>
      </c>
      <c r="B2497" s="2647">
        <v>46224</v>
      </c>
      <c r="C2497" s="2647">
        <v>120</v>
      </c>
      <c r="D2497" s="2647">
        <v>180</v>
      </c>
      <c r="E2497" s="2647">
        <v>46</v>
      </c>
      <c r="F2497" s="2647">
        <v>185</v>
      </c>
      <c r="G2497" s="2647">
        <v>317</v>
      </c>
      <c r="H2497" s="2647">
        <v>1500</v>
      </c>
      <c r="I2497" s="2647">
        <v>2000</v>
      </c>
      <c r="J2497" s="2647">
        <v>3.81</v>
      </c>
      <c r="K2497" s="2648"/>
      <c r="L2497" s="2647" t="s">
        <v>2088</v>
      </c>
    </row>
    <row r="2498" spans="1:12">
      <c r="A2498" s="2646" t="s">
        <v>99</v>
      </c>
      <c r="B2498" s="2646" t="s">
        <v>4821</v>
      </c>
      <c r="C2498" s="2646">
        <v>120</v>
      </c>
      <c r="D2498" s="2646">
        <v>180</v>
      </c>
      <c r="E2498" s="2646">
        <v>58</v>
      </c>
      <c r="F2498" s="2646">
        <v>247</v>
      </c>
      <c r="G2498" s="2646">
        <v>460</v>
      </c>
      <c r="H2498" s="2646">
        <v>1500</v>
      </c>
      <c r="I2498" s="2646">
        <v>2100</v>
      </c>
      <c r="J2498" s="2646">
        <v>4.66</v>
      </c>
      <c r="L2498" s="2646" t="s">
        <v>2088</v>
      </c>
    </row>
    <row r="2499" spans="1:12">
      <c r="A2499" s="2647" t="s">
        <v>99</v>
      </c>
      <c r="B2499" s="2647">
        <v>46324</v>
      </c>
      <c r="C2499" s="2647">
        <v>120</v>
      </c>
      <c r="D2499" s="2647">
        <v>200</v>
      </c>
      <c r="E2499" s="2647">
        <v>62</v>
      </c>
      <c r="F2499" s="2647">
        <v>292</v>
      </c>
      <c r="G2499" s="2647">
        <v>470</v>
      </c>
      <c r="H2499" s="2647">
        <v>1400</v>
      </c>
      <c r="I2499" s="2647">
        <v>1900</v>
      </c>
      <c r="J2499" s="2647">
        <v>7.28</v>
      </c>
      <c r="K2499" s="2648"/>
      <c r="L2499" s="2647" t="s">
        <v>2088</v>
      </c>
    </row>
    <row r="2500" spans="1:12">
      <c r="A2500" s="2646" t="s">
        <v>99</v>
      </c>
      <c r="B2500" s="2646" t="s">
        <v>4822</v>
      </c>
      <c r="C2500" s="2646">
        <v>15</v>
      </c>
      <c r="D2500" s="2646">
        <v>42</v>
      </c>
      <c r="E2500" s="2646">
        <v>13</v>
      </c>
      <c r="F2500" s="2646">
        <v>21.9</v>
      </c>
      <c r="G2500" s="2646">
        <v>19.2</v>
      </c>
      <c r="H2500" s="2646">
        <v>10000</v>
      </c>
      <c r="I2500" s="2646">
        <v>14000</v>
      </c>
      <c r="J2500" s="2646">
        <v>9.8000000000000004E-2</v>
      </c>
      <c r="L2500" s="2646" t="s">
        <v>2088</v>
      </c>
    </row>
    <row r="2501" spans="1:12">
      <c r="A2501" s="2647" t="s">
        <v>99</v>
      </c>
      <c r="B2501" s="2647" t="s">
        <v>4823</v>
      </c>
      <c r="C2501" s="2647">
        <v>17</v>
      </c>
      <c r="D2501" s="2647">
        <v>40</v>
      </c>
      <c r="E2501" s="2647">
        <v>12</v>
      </c>
      <c r="F2501" s="2647">
        <v>20.8</v>
      </c>
      <c r="G2501" s="2647">
        <v>20.7</v>
      </c>
      <c r="H2501" s="2647">
        <v>10000</v>
      </c>
      <c r="I2501" s="2647">
        <v>14000</v>
      </c>
      <c r="J2501" s="2647">
        <v>8.1000000000000003E-2</v>
      </c>
      <c r="K2501" s="2648"/>
      <c r="L2501" s="2647" t="s">
        <v>2088</v>
      </c>
    </row>
    <row r="2502" spans="1:12">
      <c r="A2502" s="2646" t="s">
        <v>99</v>
      </c>
      <c r="B2502" s="2646" t="s">
        <v>4824</v>
      </c>
      <c r="C2502" s="2646">
        <v>17</v>
      </c>
      <c r="D2502" s="2646">
        <v>40</v>
      </c>
      <c r="E2502" s="2646">
        <v>16</v>
      </c>
      <c r="F2502" s="2646">
        <v>27.4</v>
      </c>
      <c r="G2502" s="2646">
        <v>27.5</v>
      </c>
      <c r="H2502" s="2646">
        <v>10000</v>
      </c>
      <c r="I2502" s="2646">
        <v>14000</v>
      </c>
      <c r="J2502" s="2646">
        <v>0.104</v>
      </c>
      <c r="L2502" s="2646" t="s">
        <v>2088</v>
      </c>
    </row>
    <row r="2503" spans="1:12">
      <c r="A2503" s="2647" t="s">
        <v>99</v>
      </c>
      <c r="B2503" s="2647" t="s">
        <v>4825</v>
      </c>
      <c r="C2503" s="2647">
        <v>17</v>
      </c>
      <c r="D2503" s="2647">
        <v>47</v>
      </c>
      <c r="E2503" s="2647">
        <v>14</v>
      </c>
      <c r="F2503" s="2647">
        <v>27.4</v>
      </c>
      <c r="G2503" s="2647">
        <v>24.5</v>
      </c>
      <c r="H2503" s="2647">
        <v>9200</v>
      </c>
      <c r="I2503" s="2647">
        <v>12000</v>
      </c>
      <c r="J2503" s="2647">
        <v>0.13300000000000001</v>
      </c>
      <c r="K2503" s="2648"/>
      <c r="L2503" s="2647" t="s">
        <v>2088</v>
      </c>
    </row>
    <row r="2504" spans="1:12">
      <c r="A2504" s="2646" t="s">
        <v>99</v>
      </c>
      <c r="B2504" s="2646" t="s">
        <v>4826</v>
      </c>
      <c r="C2504" s="2646">
        <v>17</v>
      </c>
      <c r="D2504" s="2646">
        <v>47</v>
      </c>
      <c r="E2504" s="2646">
        <v>14</v>
      </c>
      <c r="F2504" s="2646">
        <v>27.4</v>
      </c>
      <c r="G2504" s="2646">
        <v>24.5</v>
      </c>
      <c r="H2504" s="2646">
        <v>9200</v>
      </c>
      <c r="I2504" s="2646">
        <v>12000</v>
      </c>
      <c r="J2504" s="2646">
        <v>0.127</v>
      </c>
      <c r="L2504" s="2646" t="s">
        <v>2088</v>
      </c>
    </row>
    <row r="2505" spans="1:12">
      <c r="A2505" s="2647" t="s">
        <v>99</v>
      </c>
      <c r="B2505" s="2647" t="s">
        <v>4827</v>
      </c>
      <c r="C2505" s="2647">
        <v>17</v>
      </c>
      <c r="D2505" s="2647">
        <v>47</v>
      </c>
      <c r="E2505" s="2647">
        <v>19</v>
      </c>
      <c r="F2505" s="2647">
        <v>36.6</v>
      </c>
      <c r="G2505" s="2647">
        <v>35.9</v>
      </c>
      <c r="H2505" s="2647">
        <v>9400</v>
      </c>
      <c r="I2505" s="2647">
        <v>13000</v>
      </c>
      <c r="J2505" s="2647">
        <v>0.17599999999999999</v>
      </c>
      <c r="K2505" s="2648"/>
      <c r="L2505" s="2647" t="s">
        <v>2088</v>
      </c>
    </row>
    <row r="2506" spans="1:12">
      <c r="A2506" s="2646" t="s">
        <v>99</v>
      </c>
      <c r="B2506" s="2646" t="s">
        <v>4828</v>
      </c>
      <c r="C2506" s="2646">
        <v>20</v>
      </c>
      <c r="D2506" s="2646">
        <v>42</v>
      </c>
      <c r="E2506" s="2646">
        <v>15</v>
      </c>
      <c r="F2506" s="2646">
        <v>27.3</v>
      </c>
      <c r="G2506" s="2646">
        <v>31.5</v>
      </c>
      <c r="H2506" s="2646">
        <v>9700</v>
      </c>
      <c r="I2506" s="2646">
        <v>13000</v>
      </c>
      <c r="J2506" s="2646">
        <v>0.10199999999999999</v>
      </c>
      <c r="L2506" s="2646" t="s">
        <v>2088</v>
      </c>
    </row>
    <row r="2507" spans="1:12">
      <c r="A2507" s="2647" t="s">
        <v>99</v>
      </c>
      <c r="B2507" s="2647" t="s">
        <v>4829</v>
      </c>
      <c r="C2507" s="2647">
        <v>20</v>
      </c>
      <c r="D2507" s="2647">
        <v>47</v>
      </c>
      <c r="E2507" s="2647">
        <v>14</v>
      </c>
      <c r="F2507" s="2647">
        <v>25.8</v>
      </c>
      <c r="G2507" s="2647">
        <v>25.5</v>
      </c>
      <c r="H2507" s="2647">
        <v>9000</v>
      </c>
      <c r="I2507" s="2647">
        <v>12000</v>
      </c>
      <c r="J2507" s="2647">
        <v>0.125</v>
      </c>
      <c r="K2507" s="2648"/>
      <c r="L2507" s="2647" t="s">
        <v>2088</v>
      </c>
    </row>
    <row r="2508" spans="1:12">
      <c r="A2508" s="2646" t="s">
        <v>99</v>
      </c>
      <c r="B2508" s="2646" t="s">
        <v>4830</v>
      </c>
      <c r="C2508" s="2646">
        <v>20</v>
      </c>
      <c r="D2508" s="2646">
        <v>47</v>
      </c>
      <c r="E2508" s="2646">
        <v>14</v>
      </c>
      <c r="F2508" s="2646">
        <v>27</v>
      </c>
      <c r="G2508" s="2646">
        <v>27.2</v>
      </c>
      <c r="H2508" s="2646">
        <v>8700</v>
      </c>
      <c r="I2508" s="2646">
        <v>12000</v>
      </c>
      <c r="J2508" s="2646">
        <v>0.127</v>
      </c>
      <c r="L2508" s="2646" t="s">
        <v>2088</v>
      </c>
    </row>
    <row r="2509" spans="1:12">
      <c r="A2509" s="2647" t="s">
        <v>99</v>
      </c>
      <c r="B2509" s="2647" t="s">
        <v>4831</v>
      </c>
      <c r="C2509" s="2647">
        <v>20</v>
      </c>
      <c r="D2509" s="2647">
        <v>47</v>
      </c>
      <c r="E2509" s="2647">
        <v>18</v>
      </c>
      <c r="F2509" s="2647">
        <v>33.1</v>
      </c>
      <c r="G2509" s="2647">
        <v>34.700000000000003</v>
      </c>
      <c r="H2509" s="2647">
        <v>8900</v>
      </c>
      <c r="I2509" s="2647">
        <v>12000</v>
      </c>
      <c r="J2509" s="2647">
        <v>0.159</v>
      </c>
      <c r="K2509" s="2648"/>
      <c r="L2509" s="2647" t="s">
        <v>2088</v>
      </c>
    </row>
    <row r="2510" spans="1:12">
      <c r="A2510" s="2646" t="s">
        <v>99</v>
      </c>
      <c r="B2510" s="2646" t="s">
        <v>4832</v>
      </c>
      <c r="C2510" s="2646">
        <v>20</v>
      </c>
      <c r="D2510" s="2646">
        <v>47</v>
      </c>
      <c r="E2510" s="2646">
        <v>18</v>
      </c>
      <c r="F2510" s="2646">
        <v>33.299999999999997</v>
      </c>
      <c r="G2510" s="2646">
        <v>37</v>
      </c>
      <c r="H2510" s="2646">
        <v>9100</v>
      </c>
      <c r="I2510" s="2646">
        <v>12000</v>
      </c>
      <c r="J2510" s="2646">
        <v>0.17</v>
      </c>
      <c r="L2510" s="2646" t="s">
        <v>2088</v>
      </c>
    </row>
    <row r="2511" spans="1:12">
      <c r="A2511" s="2647" t="s">
        <v>99</v>
      </c>
      <c r="B2511" s="2647" t="s">
        <v>4833</v>
      </c>
      <c r="C2511" s="2647">
        <v>20</v>
      </c>
      <c r="D2511" s="2647">
        <v>52</v>
      </c>
      <c r="E2511" s="2647">
        <v>16</v>
      </c>
      <c r="F2511" s="2647">
        <v>36.200000000000003</v>
      </c>
      <c r="G2511" s="2647">
        <v>35.1</v>
      </c>
      <c r="H2511" s="2647">
        <v>8300</v>
      </c>
      <c r="I2511" s="2647">
        <v>11000</v>
      </c>
      <c r="J2511" s="2647">
        <v>0.17899999999999999</v>
      </c>
      <c r="K2511" s="2648"/>
      <c r="L2511" s="2647" t="s">
        <v>2088</v>
      </c>
    </row>
    <row r="2512" spans="1:12">
      <c r="A2512" s="2646" t="s">
        <v>99</v>
      </c>
      <c r="B2512" s="2646" t="s">
        <v>4834</v>
      </c>
      <c r="C2512" s="2646">
        <v>20</v>
      </c>
      <c r="D2512" s="2646">
        <v>52</v>
      </c>
      <c r="E2512" s="2646">
        <v>21</v>
      </c>
      <c r="F2512" s="2646">
        <v>41.8</v>
      </c>
      <c r="G2512" s="2646">
        <v>44.9</v>
      </c>
      <c r="H2512" s="2646">
        <v>8600</v>
      </c>
      <c r="I2512" s="2646">
        <v>12000</v>
      </c>
      <c r="J2512" s="2646">
        <v>0.25</v>
      </c>
      <c r="L2512" s="2646" t="s">
        <v>2088</v>
      </c>
    </row>
    <row r="2513" spans="1:12">
      <c r="A2513" s="2647" t="s">
        <v>99</v>
      </c>
      <c r="B2513" s="2647" t="s">
        <v>4835</v>
      </c>
      <c r="C2513" s="2647">
        <v>20</v>
      </c>
      <c r="D2513" s="2647">
        <v>52</v>
      </c>
      <c r="E2513" s="2647">
        <v>21</v>
      </c>
      <c r="F2513" s="2647">
        <v>45.1</v>
      </c>
      <c r="G2513" s="2647">
        <v>46.7</v>
      </c>
      <c r="H2513" s="2647">
        <v>8400</v>
      </c>
      <c r="I2513" s="2647">
        <v>11000</v>
      </c>
      <c r="J2513" s="2647">
        <v>0.24399999999999999</v>
      </c>
      <c r="K2513" s="2648"/>
      <c r="L2513" s="2647" t="s">
        <v>2088</v>
      </c>
    </row>
    <row r="2514" spans="1:12">
      <c r="A2514" s="2646" t="s">
        <v>99</v>
      </c>
      <c r="B2514" s="2646" t="s">
        <v>4836</v>
      </c>
      <c r="C2514" s="2646">
        <v>22</v>
      </c>
      <c r="D2514" s="2646">
        <v>44</v>
      </c>
      <c r="E2514" s="2646">
        <v>15</v>
      </c>
      <c r="F2514" s="2646">
        <v>28.3</v>
      </c>
      <c r="G2514" s="2646">
        <v>33.6</v>
      </c>
      <c r="H2514" s="2646">
        <v>9100</v>
      </c>
      <c r="I2514" s="2646">
        <v>12000</v>
      </c>
      <c r="J2514" s="2646">
        <v>0.108</v>
      </c>
      <c r="L2514" s="2646" t="s">
        <v>2088</v>
      </c>
    </row>
    <row r="2515" spans="1:12">
      <c r="A2515" s="2647" t="s">
        <v>99</v>
      </c>
      <c r="B2515" s="2647" t="s">
        <v>4837</v>
      </c>
      <c r="C2515" s="2647">
        <v>22</v>
      </c>
      <c r="D2515" s="2647">
        <v>47</v>
      </c>
      <c r="E2515" s="2647">
        <v>13.5</v>
      </c>
      <c r="F2515" s="2647">
        <v>32.700000000000003</v>
      </c>
      <c r="G2515" s="2647">
        <v>35.9</v>
      </c>
      <c r="H2515" s="2647">
        <v>8700</v>
      </c>
      <c r="I2515" s="2647">
        <v>12000</v>
      </c>
      <c r="J2515" s="2647">
        <v>0.13800000000000001</v>
      </c>
      <c r="K2515" s="2648"/>
      <c r="L2515" s="2647" t="s">
        <v>2088</v>
      </c>
    </row>
    <row r="2516" spans="1:12">
      <c r="A2516" s="2646" t="s">
        <v>99</v>
      </c>
      <c r="B2516" s="2646" t="s">
        <v>4838</v>
      </c>
      <c r="C2516" s="2646">
        <v>22</v>
      </c>
      <c r="D2516" s="2646">
        <v>50</v>
      </c>
      <c r="E2516" s="2646">
        <v>14</v>
      </c>
      <c r="F2516" s="2646">
        <v>29.2</v>
      </c>
      <c r="G2516" s="2646">
        <v>28.6</v>
      </c>
      <c r="H2516" s="2646">
        <v>8400</v>
      </c>
      <c r="I2516" s="2646">
        <v>11000</v>
      </c>
      <c r="J2516" s="2646">
        <v>0.14000000000000001</v>
      </c>
      <c r="L2516" s="2646" t="s">
        <v>2088</v>
      </c>
    </row>
    <row r="2517" spans="1:12">
      <c r="A2517" s="2647" t="s">
        <v>99</v>
      </c>
      <c r="B2517" s="2647" t="s">
        <v>4839</v>
      </c>
      <c r="C2517" s="2647">
        <v>22</v>
      </c>
      <c r="D2517" s="2647">
        <v>50</v>
      </c>
      <c r="E2517" s="2647">
        <v>14</v>
      </c>
      <c r="F2517" s="2647">
        <v>29.3</v>
      </c>
      <c r="G2517" s="2647">
        <v>30.9</v>
      </c>
      <c r="H2517" s="2647">
        <v>8100</v>
      </c>
      <c r="I2517" s="2647">
        <v>11000</v>
      </c>
      <c r="J2517" s="2647">
        <v>0.14399999999999999</v>
      </c>
      <c r="K2517" s="2648"/>
      <c r="L2517" s="2647" t="s">
        <v>2088</v>
      </c>
    </row>
    <row r="2518" spans="1:12">
      <c r="A2518" s="2646" t="s">
        <v>99</v>
      </c>
      <c r="B2518" s="2646" t="s">
        <v>4840</v>
      </c>
      <c r="C2518" s="2646">
        <v>22</v>
      </c>
      <c r="D2518" s="2646">
        <v>50</v>
      </c>
      <c r="E2518" s="2646">
        <v>18</v>
      </c>
      <c r="F2518" s="2646">
        <v>35.1</v>
      </c>
      <c r="G2518" s="2646">
        <v>39.1</v>
      </c>
      <c r="H2518" s="2646">
        <v>8400</v>
      </c>
      <c r="I2518" s="2646">
        <v>11000</v>
      </c>
      <c r="J2518" s="2646">
        <v>0.17</v>
      </c>
      <c r="L2518" s="2646" t="s">
        <v>2088</v>
      </c>
    </row>
    <row r="2519" spans="1:12">
      <c r="A2519" s="2647" t="s">
        <v>99</v>
      </c>
      <c r="B2519" s="2647" t="s">
        <v>4841</v>
      </c>
      <c r="C2519" s="2647">
        <v>22</v>
      </c>
      <c r="D2519" s="2647">
        <v>50</v>
      </c>
      <c r="E2519" s="2647">
        <v>18</v>
      </c>
      <c r="F2519" s="2647">
        <v>36.799999999999997</v>
      </c>
      <c r="G2519" s="2647">
        <v>41.6</v>
      </c>
      <c r="H2519" s="2647">
        <v>8100</v>
      </c>
      <c r="I2519" s="2647">
        <v>11000</v>
      </c>
      <c r="J2519" s="2647">
        <v>0.17799999999999999</v>
      </c>
      <c r="K2519" s="2648"/>
      <c r="L2519" s="2647" t="s">
        <v>2088</v>
      </c>
    </row>
    <row r="2520" spans="1:12">
      <c r="A2520" s="2646" t="s">
        <v>99</v>
      </c>
      <c r="B2520" s="2646" t="s">
        <v>4842</v>
      </c>
      <c r="C2520" s="2646">
        <v>22</v>
      </c>
      <c r="D2520" s="2646">
        <v>56</v>
      </c>
      <c r="E2520" s="2646">
        <v>16</v>
      </c>
      <c r="F2520" s="2646">
        <v>36.299999999999997</v>
      </c>
      <c r="G2520" s="2646">
        <v>36.6</v>
      </c>
      <c r="H2520" s="2646">
        <v>7700</v>
      </c>
      <c r="I2520" s="2646">
        <v>10000</v>
      </c>
      <c r="J2520" s="2646">
        <v>0.21</v>
      </c>
      <c r="L2520" s="2646" t="s">
        <v>2088</v>
      </c>
    </row>
    <row r="2521" spans="1:12">
      <c r="A2521" s="2647" t="s">
        <v>99</v>
      </c>
      <c r="B2521" s="2647" t="s">
        <v>4843</v>
      </c>
      <c r="C2521" s="2647">
        <v>22</v>
      </c>
      <c r="D2521" s="2647">
        <v>56</v>
      </c>
      <c r="E2521" s="2647">
        <v>16</v>
      </c>
      <c r="F2521" s="2647">
        <v>41.7</v>
      </c>
      <c r="G2521" s="2647">
        <v>41.1</v>
      </c>
      <c r="H2521" s="2647">
        <v>7500</v>
      </c>
      <c r="I2521" s="2647">
        <v>10000</v>
      </c>
      <c r="J2521" s="2647">
        <v>0.216</v>
      </c>
      <c r="K2521" s="2648"/>
      <c r="L2521" s="2647" t="s">
        <v>2088</v>
      </c>
    </row>
    <row r="2522" spans="1:12">
      <c r="A2522" s="2646" t="s">
        <v>99</v>
      </c>
      <c r="B2522" s="2646" t="s">
        <v>4844</v>
      </c>
      <c r="C2522" s="2646">
        <v>22</v>
      </c>
      <c r="D2522" s="2646">
        <v>56</v>
      </c>
      <c r="E2522" s="2646">
        <v>21</v>
      </c>
      <c r="F2522" s="2646">
        <v>48.3</v>
      </c>
      <c r="G2522" s="2646">
        <v>50.6</v>
      </c>
      <c r="H2522" s="2646">
        <v>8000</v>
      </c>
      <c r="I2522" s="2646">
        <v>11000</v>
      </c>
      <c r="J2522" s="2646">
        <v>0.28999999999999998</v>
      </c>
      <c r="L2522" s="2646" t="s">
        <v>2088</v>
      </c>
    </row>
    <row r="2523" spans="1:12">
      <c r="A2523" s="2647" t="s">
        <v>99</v>
      </c>
      <c r="B2523" s="2647" t="s">
        <v>4845</v>
      </c>
      <c r="C2523" s="2647">
        <v>22</v>
      </c>
      <c r="D2523" s="2647">
        <v>56</v>
      </c>
      <c r="E2523" s="2647">
        <v>21</v>
      </c>
      <c r="F2523" s="2647">
        <v>50.6</v>
      </c>
      <c r="G2523" s="2647">
        <v>52.7</v>
      </c>
      <c r="H2523" s="2647">
        <v>7600</v>
      </c>
      <c r="I2523" s="2647">
        <v>10000</v>
      </c>
      <c r="J2523" s="2647">
        <v>0.27300000000000002</v>
      </c>
      <c r="K2523" s="2648"/>
      <c r="L2523" s="2647" t="s">
        <v>2088</v>
      </c>
    </row>
    <row r="2524" spans="1:12">
      <c r="A2524" s="2646" t="s">
        <v>99</v>
      </c>
      <c r="B2524" s="2646" t="s">
        <v>4846</v>
      </c>
      <c r="C2524" s="2646">
        <v>25</v>
      </c>
      <c r="D2524" s="2646">
        <v>47</v>
      </c>
      <c r="E2524" s="2646">
        <v>15</v>
      </c>
      <c r="F2524" s="2646">
        <v>30.2</v>
      </c>
      <c r="G2524" s="2646">
        <v>37.700000000000003</v>
      </c>
      <c r="H2524" s="2646">
        <v>8300</v>
      </c>
      <c r="I2524" s="2646">
        <v>11000</v>
      </c>
      <c r="J2524" s="2646">
        <v>0.11799999999999999</v>
      </c>
      <c r="L2524" s="2646" t="s">
        <v>2088</v>
      </c>
    </row>
    <row r="2525" spans="1:12">
      <c r="A2525" s="2647" t="s">
        <v>99</v>
      </c>
      <c r="B2525" s="2647" t="s">
        <v>4847</v>
      </c>
      <c r="C2525" s="2647">
        <v>25</v>
      </c>
      <c r="D2525" s="2647">
        <v>47</v>
      </c>
      <c r="E2525" s="2647">
        <v>17</v>
      </c>
      <c r="F2525" s="2647">
        <v>33.5</v>
      </c>
      <c r="G2525" s="2647">
        <v>42.3</v>
      </c>
      <c r="H2525" s="2647">
        <v>8300</v>
      </c>
      <c r="I2525" s="2647">
        <v>11000</v>
      </c>
      <c r="J2525" s="2647">
        <v>0.13100000000000001</v>
      </c>
      <c r="K2525" s="2648"/>
      <c r="L2525" s="2647" t="s">
        <v>2088</v>
      </c>
    </row>
    <row r="2526" spans="1:12">
      <c r="A2526" s="2646" t="s">
        <v>99</v>
      </c>
      <c r="B2526" s="2646" t="s">
        <v>4848</v>
      </c>
      <c r="C2526" s="2646">
        <v>25</v>
      </c>
      <c r="D2526" s="2646">
        <v>52</v>
      </c>
      <c r="E2526" s="2646">
        <v>15</v>
      </c>
      <c r="F2526" s="2646">
        <v>30.4</v>
      </c>
      <c r="G2526" s="2646">
        <v>32.4</v>
      </c>
      <c r="H2526" s="2646">
        <v>7900</v>
      </c>
      <c r="I2526" s="2646">
        <v>11000</v>
      </c>
      <c r="J2526" s="2646">
        <v>0.155</v>
      </c>
      <c r="L2526" s="2646" t="s">
        <v>2088</v>
      </c>
    </row>
    <row r="2527" spans="1:12">
      <c r="A2527" s="2647" t="s">
        <v>99</v>
      </c>
      <c r="B2527" s="2647" t="s">
        <v>4849</v>
      </c>
      <c r="C2527" s="2647">
        <v>25</v>
      </c>
      <c r="D2527" s="2647">
        <v>52</v>
      </c>
      <c r="E2527" s="2647">
        <v>15</v>
      </c>
      <c r="F2527" s="2647">
        <v>31.5</v>
      </c>
      <c r="G2527" s="2647">
        <v>33.700000000000003</v>
      </c>
      <c r="H2527" s="2647">
        <v>7800</v>
      </c>
      <c r="I2527" s="2647">
        <v>10000</v>
      </c>
      <c r="J2527" s="2647">
        <v>0.156</v>
      </c>
      <c r="K2527" s="2648"/>
      <c r="L2527" s="2647" t="s">
        <v>2088</v>
      </c>
    </row>
    <row r="2528" spans="1:12">
      <c r="A2528" s="2646" t="s">
        <v>99</v>
      </c>
      <c r="B2528" s="2646" t="s">
        <v>4850</v>
      </c>
      <c r="C2528" s="2646">
        <v>25</v>
      </c>
      <c r="D2528" s="2646">
        <v>52</v>
      </c>
      <c r="E2528" s="2646">
        <v>18</v>
      </c>
      <c r="F2528" s="2646">
        <v>36.4</v>
      </c>
      <c r="G2528" s="2646">
        <v>43.2</v>
      </c>
      <c r="H2528" s="2646">
        <v>7900</v>
      </c>
      <c r="I2528" s="2646">
        <v>11000</v>
      </c>
      <c r="J2528" s="2646">
        <v>0.2</v>
      </c>
      <c r="L2528" s="2646" t="s">
        <v>2088</v>
      </c>
    </row>
    <row r="2529" spans="1:12">
      <c r="A2529" s="2647" t="s">
        <v>99</v>
      </c>
      <c r="B2529" s="2647" t="s">
        <v>4851</v>
      </c>
      <c r="C2529" s="2647">
        <v>25</v>
      </c>
      <c r="D2529" s="2647">
        <v>52</v>
      </c>
      <c r="E2529" s="2647">
        <v>18</v>
      </c>
      <c r="F2529" s="2647">
        <v>39.799999999999997</v>
      </c>
      <c r="G2529" s="2647">
        <v>44.8</v>
      </c>
      <c r="H2529" s="2647">
        <v>7900</v>
      </c>
      <c r="I2529" s="2647">
        <v>11000</v>
      </c>
      <c r="J2529" s="2647">
        <v>0.188</v>
      </c>
      <c r="K2529" s="2648"/>
      <c r="L2529" s="2647" t="s">
        <v>2088</v>
      </c>
    </row>
    <row r="2530" spans="1:12">
      <c r="A2530" s="2646" t="s">
        <v>99</v>
      </c>
      <c r="B2530" s="2646" t="s">
        <v>4852</v>
      </c>
      <c r="C2530" s="2646">
        <v>25</v>
      </c>
      <c r="D2530" s="2646">
        <v>52</v>
      </c>
      <c r="E2530" s="2646">
        <v>22</v>
      </c>
      <c r="F2530" s="2646">
        <v>48.9</v>
      </c>
      <c r="G2530" s="2646">
        <v>58.5</v>
      </c>
      <c r="H2530" s="2646">
        <v>7900</v>
      </c>
      <c r="I2530" s="2646">
        <v>10000</v>
      </c>
      <c r="J2530" s="2646">
        <v>0.22500000000000001</v>
      </c>
      <c r="L2530" s="2646" t="s">
        <v>2088</v>
      </c>
    </row>
    <row r="2531" spans="1:12">
      <c r="A2531" s="2647" t="s">
        <v>99</v>
      </c>
      <c r="B2531" s="2647" t="s">
        <v>4853</v>
      </c>
      <c r="C2531" s="2647">
        <v>25</v>
      </c>
      <c r="D2531" s="2647">
        <v>62</v>
      </c>
      <c r="E2531" s="2647">
        <v>17</v>
      </c>
      <c r="F2531" s="2647">
        <v>39.799999999999997</v>
      </c>
      <c r="G2531" s="2647">
        <v>42.5</v>
      </c>
      <c r="H2531" s="2647">
        <v>5700</v>
      </c>
      <c r="I2531" s="2647">
        <v>8000</v>
      </c>
      <c r="J2531" s="2647">
        <v>0.26900000000000002</v>
      </c>
      <c r="K2531" s="2648"/>
      <c r="L2531" s="2647" t="s">
        <v>2088</v>
      </c>
    </row>
    <row r="2532" spans="1:12">
      <c r="A2532" s="2646" t="s">
        <v>99</v>
      </c>
      <c r="B2532" s="2646" t="s">
        <v>4854</v>
      </c>
      <c r="C2532" s="2646">
        <v>25</v>
      </c>
      <c r="D2532" s="2646">
        <v>62</v>
      </c>
      <c r="E2532" s="2646">
        <v>17</v>
      </c>
      <c r="F2532" s="2646">
        <v>45</v>
      </c>
      <c r="G2532" s="2646">
        <v>45.8</v>
      </c>
      <c r="H2532" s="2646">
        <v>6700</v>
      </c>
      <c r="I2532" s="2646">
        <v>9000</v>
      </c>
      <c r="J2532" s="2646">
        <v>0.27500000000000002</v>
      </c>
      <c r="L2532" s="2646" t="s">
        <v>2088</v>
      </c>
    </row>
    <row r="2533" spans="1:12">
      <c r="A2533" s="2647" t="s">
        <v>99</v>
      </c>
      <c r="B2533" s="2647" t="s">
        <v>4855</v>
      </c>
      <c r="C2533" s="2647">
        <v>25</v>
      </c>
      <c r="D2533" s="2647">
        <v>62</v>
      </c>
      <c r="E2533" s="2647">
        <v>17</v>
      </c>
      <c r="F2533" s="2647">
        <v>48.2</v>
      </c>
      <c r="G2533" s="2647">
        <v>46.9</v>
      </c>
      <c r="H2533" s="2647">
        <v>6800</v>
      </c>
      <c r="I2533" s="2647">
        <v>9000</v>
      </c>
      <c r="J2533" s="2647">
        <v>0.23699999999999999</v>
      </c>
      <c r="K2533" s="2648"/>
      <c r="L2533" s="2647" t="s">
        <v>2088</v>
      </c>
    </row>
    <row r="2534" spans="1:12">
      <c r="A2534" s="2646" t="s">
        <v>99</v>
      </c>
      <c r="B2534" s="2646" t="s">
        <v>4856</v>
      </c>
      <c r="C2534" s="2646">
        <v>25</v>
      </c>
      <c r="D2534" s="2646">
        <v>62</v>
      </c>
      <c r="E2534" s="2646">
        <v>24</v>
      </c>
      <c r="F2534" s="2646">
        <v>57.2</v>
      </c>
      <c r="G2534" s="2646">
        <v>65.8</v>
      </c>
      <c r="H2534" s="2646">
        <v>7000</v>
      </c>
      <c r="I2534" s="2646">
        <v>9300</v>
      </c>
      <c r="J2534" s="2646">
        <v>0.39</v>
      </c>
      <c r="L2534" s="2646" t="s">
        <v>2088</v>
      </c>
    </row>
    <row r="2535" spans="1:12">
      <c r="A2535" s="2647" t="s">
        <v>99</v>
      </c>
      <c r="B2535" s="2647" t="s">
        <v>4857</v>
      </c>
      <c r="C2535" s="2647">
        <v>25</v>
      </c>
      <c r="D2535" s="2647">
        <v>62</v>
      </c>
      <c r="E2535" s="2647">
        <v>24</v>
      </c>
      <c r="F2535" s="2647">
        <v>61.2</v>
      </c>
      <c r="G2535" s="2647">
        <v>64.099999999999994</v>
      </c>
      <c r="H2535" s="2647">
        <v>6900</v>
      </c>
      <c r="I2535" s="2647">
        <v>9100</v>
      </c>
      <c r="J2535" s="2647">
        <v>0.38600000000000001</v>
      </c>
      <c r="K2535" s="2648"/>
      <c r="L2535" s="2647" t="s">
        <v>2088</v>
      </c>
    </row>
    <row r="2536" spans="1:12">
      <c r="A2536" s="2646" t="s">
        <v>99</v>
      </c>
      <c r="B2536" s="2646" t="s">
        <v>4858</v>
      </c>
      <c r="C2536" s="2646">
        <v>28</v>
      </c>
      <c r="D2536" s="2646">
        <v>52</v>
      </c>
      <c r="E2536" s="2646">
        <v>16</v>
      </c>
      <c r="F2536" s="2646">
        <v>35.200000000000003</v>
      </c>
      <c r="G2536" s="2646">
        <v>44</v>
      </c>
      <c r="H2536" s="2646">
        <v>7500</v>
      </c>
      <c r="I2536" s="2646">
        <v>10000</v>
      </c>
      <c r="J2536" s="2646">
        <v>0.15</v>
      </c>
      <c r="L2536" s="2646" t="s">
        <v>2088</v>
      </c>
    </row>
    <row r="2537" spans="1:12">
      <c r="A2537" s="2647" t="s">
        <v>99</v>
      </c>
      <c r="B2537" s="2647" t="s">
        <v>4859</v>
      </c>
      <c r="C2537" s="2647">
        <v>28</v>
      </c>
      <c r="D2537" s="2647">
        <v>58</v>
      </c>
      <c r="E2537" s="2647">
        <v>16</v>
      </c>
      <c r="F2537" s="2647">
        <v>38.799999999999997</v>
      </c>
      <c r="G2537" s="2647">
        <v>41.7</v>
      </c>
      <c r="H2537" s="2647">
        <v>7000</v>
      </c>
      <c r="I2537" s="2647">
        <v>9300</v>
      </c>
      <c r="J2537" s="2647">
        <v>0.20499999999999999</v>
      </c>
      <c r="K2537" s="2648"/>
      <c r="L2537" s="2647" t="s">
        <v>2088</v>
      </c>
    </row>
    <row r="2538" spans="1:12">
      <c r="A2538" s="2646" t="s">
        <v>99</v>
      </c>
      <c r="B2538" s="2646" t="s">
        <v>4860</v>
      </c>
      <c r="C2538" s="2646">
        <v>28</v>
      </c>
      <c r="D2538" s="2646">
        <v>58</v>
      </c>
      <c r="E2538" s="2646">
        <v>16</v>
      </c>
      <c r="F2538" s="2646">
        <v>38.799999999999997</v>
      </c>
      <c r="G2538" s="2646">
        <v>42</v>
      </c>
      <c r="H2538" s="2646">
        <v>7000</v>
      </c>
      <c r="I2538" s="2646">
        <v>9300</v>
      </c>
      <c r="J2538" s="2646">
        <v>0.20899999999999999</v>
      </c>
      <c r="L2538" s="2646" t="s">
        <v>2088</v>
      </c>
    </row>
    <row r="2539" spans="1:12">
      <c r="A2539" s="2647" t="s">
        <v>99</v>
      </c>
      <c r="B2539" s="2647" t="s">
        <v>4861</v>
      </c>
      <c r="C2539" s="2647">
        <v>28</v>
      </c>
      <c r="D2539" s="2647">
        <v>58</v>
      </c>
      <c r="E2539" s="2647">
        <v>19</v>
      </c>
      <c r="F2539" s="2647">
        <v>44.9</v>
      </c>
      <c r="G2539" s="2647">
        <v>54.1</v>
      </c>
      <c r="H2539" s="2647">
        <v>7100</v>
      </c>
      <c r="I2539" s="2647">
        <v>9400</v>
      </c>
      <c r="J2539" s="2647">
        <v>0.255</v>
      </c>
      <c r="K2539" s="2648"/>
      <c r="L2539" s="2647" t="s">
        <v>2088</v>
      </c>
    </row>
    <row r="2540" spans="1:12">
      <c r="A2540" s="2646" t="s">
        <v>99</v>
      </c>
      <c r="B2540" s="2646" t="s">
        <v>4862</v>
      </c>
      <c r="C2540" s="2646">
        <v>25</v>
      </c>
      <c r="D2540" s="2646">
        <v>58</v>
      </c>
      <c r="E2540" s="2646">
        <v>19</v>
      </c>
      <c r="F2540" s="2646">
        <v>49.2</v>
      </c>
      <c r="G2540" s="2646">
        <v>55.2</v>
      </c>
      <c r="H2540" s="2646">
        <v>6900</v>
      </c>
      <c r="I2540" s="2646">
        <v>9100</v>
      </c>
      <c r="J2540" s="2646">
        <v>0.24399999999999999</v>
      </c>
      <c r="L2540" s="2646" t="s">
        <v>2088</v>
      </c>
    </row>
    <row r="2541" spans="1:12">
      <c r="A2541" s="2647" t="s">
        <v>99</v>
      </c>
      <c r="B2541" s="2647" t="s">
        <v>4863</v>
      </c>
      <c r="C2541" s="2647">
        <v>28</v>
      </c>
      <c r="D2541" s="2647">
        <v>58</v>
      </c>
      <c r="E2541" s="2647">
        <v>24</v>
      </c>
      <c r="F2541" s="2647">
        <v>57.6</v>
      </c>
      <c r="G2541" s="2647">
        <v>69.5</v>
      </c>
      <c r="H2541" s="2647">
        <v>7000</v>
      </c>
      <c r="I2541" s="2647">
        <v>9300</v>
      </c>
      <c r="J2541" s="2647">
        <v>0.30199999999999999</v>
      </c>
      <c r="K2541" s="2648"/>
      <c r="L2541" s="2647" t="s">
        <v>2088</v>
      </c>
    </row>
    <row r="2542" spans="1:12">
      <c r="A2542" s="2646" t="s">
        <v>99</v>
      </c>
      <c r="B2542" s="2646" t="s">
        <v>4864</v>
      </c>
      <c r="C2542" s="2646">
        <v>28</v>
      </c>
      <c r="D2542" s="2646">
        <v>68</v>
      </c>
      <c r="E2542" s="2646">
        <v>18</v>
      </c>
      <c r="F2542" s="2646">
        <v>51.7</v>
      </c>
      <c r="G2542" s="2646">
        <v>50.2</v>
      </c>
      <c r="H2542" s="2646">
        <v>6200</v>
      </c>
      <c r="I2542" s="2646">
        <v>8200</v>
      </c>
      <c r="J2542" s="2646">
        <v>0.33200000000000002</v>
      </c>
      <c r="L2542" s="2646" t="s">
        <v>2088</v>
      </c>
    </row>
    <row r="2543" spans="1:12">
      <c r="A2543" s="2647" t="s">
        <v>99</v>
      </c>
      <c r="B2543" s="2647" t="s">
        <v>4865</v>
      </c>
      <c r="C2543" s="2647">
        <v>28</v>
      </c>
      <c r="D2543" s="2647">
        <v>68</v>
      </c>
      <c r="E2543" s="2647">
        <v>18</v>
      </c>
      <c r="F2543" s="2647">
        <v>53.5</v>
      </c>
      <c r="G2543" s="2647">
        <v>54</v>
      </c>
      <c r="H2543" s="2647">
        <v>6100</v>
      </c>
      <c r="I2543" s="2647">
        <v>8200</v>
      </c>
      <c r="J2543" s="2647">
        <v>0.34499999999999997</v>
      </c>
      <c r="K2543" s="2648"/>
      <c r="L2543" s="2647" t="s">
        <v>2088</v>
      </c>
    </row>
    <row r="2544" spans="1:12">
      <c r="A2544" s="2646" t="s">
        <v>99</v>
      </c>
      <c r="B2544" s="2646" t="s">
        <v>4866</v>
      </c>
      <c r="C2544" s="2646">
        <v>28</v>
      </c>
      <c r="D2544" s="2646">
        <v>68</v>
      </c>
      <c r="E2544" s="2646">
        <v>24</v>
      </c>
      <c r="F2544" s="2646">
        <v>66.5</v>
      </c>
      <c r="G2544" s="2646">
        <v>72.900000000000006</v>
      </c>
      <c r="H2544" s="2646">
        <v>6300</v>
      </c>
      <c r="I2544" s="2646">
        <v>8500</v>
      </c>
      <c r="J2544" s="2646">
        <v>0.48</v>
      </c>
      <c r="L2544" s="2646" t="s">
        <v>2088</v>
      </c>
    </row>
    <row r="2545" spans="1:12">
      <c r="A2545" s="2647" t="s">
        <v>99</v>
      </c>
      <c r="B2545" s="2647" t="s">
        <v>4867</v>
      </c>
      <c r="C2545" s="2647">
        <v>30</v>
      </c>
      <c r="D2545" s="2647">
        <v>55</v>
      </c>
      <c r="E2545" s="2647">
        <v>17</v>
      </c>
      <c r="F2545" s="2647">
        <v>38.200000000000003</v>
      </c>
      <c r="G2545" s="2647">
        <v>48</v>
      </c>
      <c r="H2545" s="2647">
        <v>7000</v>
      </c>
      <c r="I2545" s="2647">
        <v>9400</v>
      </c>
      <c r="J2545" s="2647">
        <v>0.17699999999999999</v>
      </c>
      <c r="K2545" s="2648"/>
      <c r="L2545" s="2647" t="s">
        <v>2088</v>
      </c>
    </row>
    <row r="2546" spans="1:12">
      <c r="A2546" s="2646" t="s">
        <v>99</v>
      </c>
      <c r="B2546" s="2646" t="s">
        <v>4868</v>
      </c>
      <c r="C2546" s="2646">
        <v>30</v>
      </c>
      <c r="D2546" s="2646">
        <v>55</v>
      </c>
      <c r="E2546" s="2646">
        <v>20</v>
      </c>
      <c r="F2546" s="2646">
        <v>43.2</v>
      </c>
      <c r="G2546" s="2646">
        <v>55.1</v>
      </c>
      <c r="H2546" s="2646">
        <v>7000</v>
      </c>
      <c r="I2546" s="2646">
        <v>9400</v>
      </c>
      <c r="J2546" s="2646">
        <v>0.20300000000000001</v>
      </c>
      <c r="L2546" s="2646" t="s">
        <v>2088</v>
      </c>
    </row>
    <row r="2547" spans="1:12">
      <c r="A2547" s="2647" t="s">
        <v>99</v>
      </c>
      <c r="B2547" s="2647" t="s">
        <v>4869</v>
      </c>
      <c r="C2547" s="2647">
        <v>30</v>
      </c>
      <c r="D2547" s="2647">
        <v>62</v>
      </c>
      <c r="E2547" s="2647">
        <v>16</v>
      </c>
      <c r="F2547" s="2647">
        <v>42.3</v>
      </c>
      <c r="G2547" s="2647">
        <v>45.1</v>
      </c>
      <c r="H2547" s="2647">
        <v>6500</v>
      </c>
      <c r="I2547" s="2647">
        <v>8700</v>
      </c>
      <c r="J2547" s="2647">
        <v>0.23</v>
      </c>
      <c r="K2547" s="2648"/>
      <c r="L2547" s="2647" t="s">
        <v>2088</v>
      </c>
    </row>
    <row r="2548" spans="1:12">
      <c r="A2548" s="2646" t="s">
        <v>99</v>
      </c>
      <c r="B2548" s="2646" t="s">
        <v>4870</v>
      </c>
      <c r="C2548" s="2646">
        <v>30</v>
      </c>
      <c r="D2548" s="2646">
        <v>62</v>
      </c>
      <c r="E2548" s="2646">
        <v>16</v>
      </c>
      <c r="F2548" s="2646">
        <v>41.5</v>
      </c>
      <c r="G2548" s="2646">
        <v>44.8</v>
      </c>
      <c r="H2548" s="2646">
        <v>6500</v>
      </c>
      <c r="I2548" s="2646">
        <v>8700</v>
      </c>
      <c r="J2548" s="2646">
        <v>0.23599999999999999</v>
      </c>
      <c r="L2548" s="2646" t="s">
        <v>2088</v>
      </c>
    </row>
    <row r="2549" spans="1:12">
      <c r="A2549" s="2647" t="s">
        <v>99</v>
      </c>
      <c r="B2549" s="2647" t="s">
        <v>4871</v>
      </c>
      <c r="C2549" s="2647">
        <v>30</v>
      </c>
      <c r="D2549" s="2647">
        <v>62</v>
      </c>
      <c r="E2549" s="2647">
        <v>20</v>
      </c>
      <c r="F2549" s="2647">
        <v>51.7</v>
      </c>
      <c r="G2549" s="2647">
        <v>59</v>
      </c>
      <c r="H2549" s="2647">
        <v>6600</v>
      </c>
      <c r="I2549" s="2647">
        <v>8900</v>
      </c>
      <c r="J2549" s="2647">
        <v>0.3</v>
      </c>
      <c r="K2549" s="2648"/>
      <c r="L2549" s="2647" t="s">
        <v>2088</v>
      </c>
    </row>
    <row r="2550" spans="1:12">
      <c r="A2550" s="2646" t="s">
        <v>99</v>
      </c>
      <c r="B2550" s="2646" t="s">
        <v>4872</v>
      </c>
      <c r="C2550" s="2646">
        <v>30</v>
      </c>
      <c r="D2550" s="2646">
        <v>62</v>
      </c>
      <c r="E2550" s="2646">
        <v>20</v>
      </c>
      <c r="F2550" s="2646">
        <v>50.7</v>
      </c>
      <c r="G2550" s="2646">
        <v>57.9</v>
      </c>
      <c r="H2550" s="2646">
        <v>6500</v>
      </c>
      <c r="I2550" s="2646">
        <v>8700</v>
      </c>
      <c r="J2550" s="2646">
        <v>0.29199999999999998</v>
      </c>
      <c r="L2550" s="2646" t="s">
        <v>2088</v>
      </c>
    </row>
    <row r="2551" spans="1:12">
      <c r="A2551" s="2647" t="s">
        <v>99</v>
      </c>
      <c r="B2551" s="2647" t="s">
        <v>4873</v>
      </c>
      <c r="C2551" s="2647">
        <v>30</v>
      </c>
      <c r="D2551" s="2647">
        <v>62</v>
      </c>
      <c r="E2551" s="2647">
        <v>25</v>
      </c>
      <c r="F2551" s="2647">
        <v>66.400000000000006</v>
      </c>
      <c r="G2551" s="2647">
        <v>79.400000000000006</v>
      </c>
      <c r="H2551" s="2647">
        <v>6500</v>
      </c>
      <c r="I2551" s="2647">
        <v>8700</v>
      </c>
      <c r="J2551" s="2647">
        <v>0.35899999999999999</v>
      </c>
      <c r="K2551" s="2648"/>
      <c r="L2551" s="2647" t="s">
        <v>2088</v>
      </c>
    </row>
    <row r="2552" spans="1:12">
      <c r="A2552" s="2646" t="s">
        <v>99</v>
      </c>
      <c r="B2552" s="2646" t="s">
        <v>4874</v>
      </c>
      <c r="C2552" s="2646">
        <v>30</v>
      </c>
      <c r="D2552" s="2646">
        <v>72</v>
      </c>
      <c r="E2552" s="2646">
        <v>19</v>
      </c>
      <c r="F2552" s="2646">
        <v>50.9</v>
      </c>
      <c r="G2552" s="2646">
        <v>54.9</v>
      </c>
      <c r="H2552" s="2646">
        <v>4900</v>
      </c>
      <c r="I2552" s="2646">
        <v>6800</v>
      </c>
      <c r="J2552" s="2646">
        <v>0.4</v>
      </c>
      <c r="L2552" s="2646" t="s">
        <v>2088</v>
      </c>
    </row>
    <row r="2553" spans="1:12">
      <c r="A2553" s="2647" t="s">
        <v>99</v>
      </c>
      <c r="B2553" s="2647" t="s">
        <v>4875</v>
      </c>
      <c r="C2553" s="2647">
        <v>30</v>
      </c>
      <c r="D2553" s="2647">
        <v>72</v>
      </c>
      <c r="E2553" s="2647">
        <v>19</v>
      </c>
      <c r="F2553" s="2647">
        <v>56.5</v>
      </c>
      <c r="G2553" s="2647">
        <v>55.2</v>
      </c>
      <c r="H2553" s="2647">
        <v>5900</v>
      </c>
      <c r="I2553" s="2647">
        <v>7900</v>
      </c>
      <c r="J2553" s="2647">
        <v>0.40500000000000003</v>
      </c>
      <c r="K2553" s="2648"/>
      <c r="L2553" s="2647" t="s">
        <v>2088</v>
      </c>
    </row>
    <row r="2554" spans="1:12">
      <c r="A2554" s="2646" t="s">
        <v>99</v>
      </c>
      <c r="B2554" s="2646" t="s">
        <v>4876</v>
      </c>
      <c r="C2554" s="2646">
        <v>30</v>
      </c>
      <c r="D2554" s="2646">
        <v>72</v>
      </c>
      <c r="E2554" s="2646">
        <v>19</v>
      </c>
      <c r="F2554" s="2646">
        <v>59.6</v>
      </c>
      <c r="G2554" s="2646">
        <v>60.1</v>
      </c>
      <c r="H2554" s="2646">
        <v>5800</v>
      </c>
      <c r="I2554" s="2646">
        <v>7700</v>
      </c>
      <c r="J2554" s="2646">
        <v>0.41099999999999998</v>
      </c>
      <c r="L2554" s="2646" t="s">
        <v>2088</v>
      </c>
    </row>
    <row r="2555" spans="1:12">
      <c r="A2555" s="2647" t="s">
        <v>99</v>
      </c>
      <c r="B2555" s="2647" t="s">
        <v>4877</v>
      </c>
      <c r="C2555" s="2647">
        <v>30</v>
      </c>
      <c r="D2555" s="2647">
        <v>72</v>
      </c>
      <c r="E2555" s="2647">
        <v>27</v>
      </c>
      <c r="F2555" s="2647">
        <v>80</v>
      </c>
      <c r="G2555" s="2647">
        <v>93.8</v>
      </c>
      <c r="H2555" s="2647">
        <v>6000</v>
      </c>
      <c r="I2555" s="2647">
        <v>8000</v>
      </c>
      <c r="J2555" s="2647">
        <v>0.61</v>
      </c>
      <c r="K2555" s="2648"/>
      <c r="L2555" s="2647" t="s">
        <v>2088</v>
      </c>
    </row>
    <row r="2556" spans="1:12">
      <c r="A2556" s="2646" t="s">
        <v>99</v>
      </c>
      <c r="B2556" s="2646" t="s">
        <v>4878</v>
      </c>
      <c r="C2556" s="2646">
        <v>30</v>
      </c>
      <c r="D2556" s="2646">
        <v>72</v>
      </c>
      <c r="E2556" s="2646">
        <v>27</v>
      </c>
      <c r="F2556" s="2646">
        <v>82.2</v>
      </c>
      <c r="G2556" s="2646">
        <v>91.6</v>
      </c>
      <c r="H2556" s="2646">
        <v>5900</v>
      </c>
      <c r="I2556" s="2646">
        <v>7900</v>
      </c>
      <c r="J2556" s="2646">
        <v>0.58799999999999997</v>
      </c>
      <c r="L2556" s="2646" t="s">
        <v>2088</v>
      </c>
    </row>
    <row r="2557" spans="1:12">
      <c r="A2557" s="2647" t="s">
        <v>99</v>
      </c>
      <c r="B2557" s="2647" t="s">
        <v>4879</v>
      </c>
      <c r="C2557" s="2647">
        <v>32</v>
      </c>
      <c r="D2557" s="2647">
        <v>58</v>
      </c>
      <c r="E2557" s="2647">
        <v>17</v>
      </c>
      <c r="F2557" s="2647">
        <v>39.200000000000003</v>
      </c>
      <c r="G2557" s="2647">
        <v>50.6</v>
      </c>
      <c r="H2557" s="2647">
        <v>6700</v>
      </c>
      <c r="I2557" s="2647">
        <v>8900</v>
      </c>
      <c r="J2557" s="2647">
        <v>0.19600000000000001</v>
      </c>
      <c r="K2557" s="2648"/>
      <c r="L2557" s="2647" t="s">
        <v>2088</v>
      </c>
    </row>
    <row r="2558" spans="1:12">
      <c r="A2558" s="2646" t="s">
        <v>99</v>
      </c>
      <c r="B2558" s="2646" t="s">
        <v>4880</v>
      </c>
      <c r="C2558" s="2646">
        <v>32</v>
      </c>
      <c r="D2558" s="2646">
        <v>65</v>
      </c>
      <c r="E2558" s="2646">
        <v>17</v>
      </c>
      <c r="F2558" s="2646">
        <v>47.5</v>
      </c>
      <c r="G2558" s="2646">
        <v>51.5</v>
      </c>
      <c r="H2558" s="2646">
        <v>6200</v>
      </c>
      <c r="I2558" s="2646">
        <v>8300</v>
      </c>
      <c r="J2558" s="2646">
        <v>0.27500000000000002</v>
      </c>
      <c r="L2558" s="2646" t="s">
        <v>2088</v>
      </c>
    </row>
    <row r="2559" spans="1:12">
      <c r="A2559" s="2647" t="s">
        <v>99</v>
      </c>
      <c r="B2559" s="2647" t="s">
        <v>4881</v>
      </c>
      <c r="C2559" s="2647">
        <v>32</v>
      </c>
      <c r="D2559" s="2647">
        <v>65</v>
      </c>
      <c r="E2559" s="2647">
        <v>17</v>
      </c>
      <c r="F2559" s="2647">
        <v>48</v>
      </c>
      <c r="G2559" s="2647">
        <v>51.4</v>
      </c>
      <c r="H2559" s="2647">
        <v>6200</v>
      </c>
      <c r="I2559" s="2647">
        <v>8200</v>
      </c>
      <c r="J2559" s="2647">
        <v>0.26600000000000001</v>
      </c>
      <c r="K2559" s="2648"/>
      <c r="L2559" s="2647" t="s">
        <v>2088</v>
      </c>
    </row>
    <row r="2560" spans="1:12">
      <c r="A2560" s="2646" t="s">
        <v>99</v>
      </c>
      <c r="B2560" s="2646" t="s">
        <v>4882</v>
      </c>
      <c r="C2560" s="2646">
        <v>32</v>
      </c>
      <c r="D2560" s="2646">
        <v>65</v>
      </c>
      <c r="E2560" s="2646">
        <v>22</v>
      </c>
      <c r="F2560" s="2646">
        <v>55.8</v>
      </c>
      <c r="G2560" s="2646">
        <v>65.099999999999994</v>
      </c>
      <c r="H2560" s="2646">
        <v>6300</v>
      </c>
      <c r="I2560" s="2646">
        <v>8400</v>
      </c>
      <c r="J2560" s="2646">
        <v>0.34</v>
      </c>
      <c r="L2560" s="2646" t="s">
        <v>2088</v>
      </c>
    </row>
    <row r="2561" spans="1:12">
      <c r="A2561" s="2647" t="s">
        <v>99</v>
      </c>
      <c r="B2561" s="2647" t="s">
        <v>4883</v>
      </c>
      <c r="C2561" s="2647">
        <v>32</v>
      </c>
      <c r="D2561" s="2647">
        <v>65</v>
      </c>
      <c r="E2561" s="2647">
        <v>21</v>
      </c>
      <c r="F2561" s="2647">
        <v>51.6</v>
      </c>
      <c r="G2561" s="2647">
        <v>57.7</v>
      </c>
      <c r="H2561" s="2647">
        <v>6200</v>
      </c>
      <c r="I2561" s="2647">
        <v>8200</v>
      </c>
      <c r="J2561" s="2647">
        <v>0.33</v>
      </c>
      <c r="K2561" s="2648"/>
      <c r="L2561" s="2647" t="s">
        <v>2088</v>
      </c>
    </row>
    <row r="2562" spans="1:12">
      <c r="A2562" s="2646" t="s">
        <v>99</v>
      </c>
      <c r="B2562" s="2646" t="s">
        <v>4884</v>
      </c>
      <c r="C2562" s="2646">
        <v>32</v>
      </c>
      <c r="D2562" s="2646">
        <v>65</v>
      </c>
      <c r="E2562" s="2646">
        <v>26</v>
      </c>
      <c r="F2562" s="2646">
        <v>71.8</v>
      </c>
      <c r="G2562" s="2646">
        <v>86.9</v>
      </c>
      <c r="H2562" s="2646">
        <v>6200</v>
      </c>
      <c r="I2562" s="2646">
        <v>8300</v>
      </c>
      <c r="J2562" s="2646">
        <v>0.40400000000000003</v>
      </c>
      <c r="L2562" s="2646" t="s">
        <v>2088</v>
      </c>
    </row>
    <row r="2563" spans="1:12">
      <c r="A2563" s="2647" t="s">
        <v>99</v>
      </c>
      <c r="B2563" s="2647" t="s">
        <v>4885</v>
      </c>
      <c r="C2563" s="2647">
        <v>32</v>
      </c>
      <c r="D2563" s="2647">
        <v>75</v>
      </c>
      <c r="E2563" s="2647">
        <v>20</v>
      </c>
      <c r="F2563" s="2647">
        <v>63.4</v>
      </c>
      <c r="G2563" s="2647">
        <v>66.3</v>
      </c>
      <c r="H2563" s="2647">
        <v>5600</v>
      </c>
      <c r="I2563" s="2647">
        <v>7400</v>
      </c>
      <c r="J2563" s="2647">
        <v>0.46500000000000002</v>
      </c>
      <c r="K2563" s="2648"/>
      <c r="L2563" s="2647" t="s">
        <v>2088</v>
      </c>
    </row>
    <row r="2564" spans="1:12">
      <c r="A2564" s="2646" t="s">
        <v>99</v>
      </c>
      <c r="B2564" s="2646" t="s">
        <v>4886</v>
      </c>
      <c r="C2564" s="2646">
        <v>32</v>
      </c>
      <c r="D2564" s="2646">
        <v>75</v>
      </c>
      <c r="E2564" s="2646">
        <v>20</v>
      </c>
      <c r="F2564" s="2646">
        <v>64.400000000000006</v>
      </c>
      <c r="G2564" s="2646">
        <v>65.599999999999994</v>
      </c>
      <c r="H2564" s="2646">
        <v>5500</v>
      </c>
      <c r="I2564" s="2646">
        <v>7300</v>
      </c>
      <c r="J2564" s="2646">
        <v>0.46100000000000002</v>
      </c>
      <c r="L2564" s="2646" t="s">
        <v>2088</v>
      </c>
    </row>
    <row r="2565" spans="1:12">
      <c r="A2565" s="2647" t="s">
        <v>99</v>
      </c>
      <c r="B2565" s="2647" t="s">
        <v>4887</v>
      </c>
      <c r="C2565" s="2647">
        <v>32</v>
      </c>
      <c r="D2565" s="2647">
        <v>75</v>
      </c>
      <c r="E2565" s="2647">
        <v>28</v>
      </c>
      <c r="F2565" s="2647">
        <v>75.099999999999994</v>
      </c>
      <c r="G2565" s="2647">
        <v>87.1</v>
      </c>
      <c r="H2565" s="2647">
        <v>5600</v>
      </c>
      <c r="I2565" s="2647">
        <v>7400</v>
      </c>
      <c r="J2565" s="2647">
        <v>0.64900000000000002</v>
      </c>
      <c r="K2565" s="2648"/>
      <c r="L2565" s="2647" t="s">
        <v>2088</v>
      </c>
    </row>
    <row r="2566" spans="1:12">
      <c r="A2566" s="2646" t="s">
        <v>99</v>
      </c>
      <c r="B2566" s="2646" t="s">
        <v>4888</v>
      </c>
      <c r="C2566" s="2646">
        <v>32</v>
      </c>
      <c r="D2566" s="2646">
        <v>75</v>
      </c>
      <c r="E2566" s="2646">
        <v>28</v>
      </c>
      <c r="F2566" s="2646">
        <v>89.6</v>
      </c>
      <c r="G2566" s="2646">
        <v>101</v>
      </c>
      <c r="H2566" s="2646">
        <v>5600</v>
      </c>
      <c r="I2566" s="2646">
        <v>7400</v>
      </c>
      <c r="J2566" s="2646">
        <v>0.65</v>
      </c>
      <c r="L2566" s="2646" t="s">
        <v>2088</v>
      </c>
    </row>
    <row r="2567" spans="1:12">
      <c r="A2567" s="2647" t="s">
        <v>99</v>
      </c>
      <c r="B2567" s="2647" t="s">
        <v>4889</v>
      </c>
      <c r="C2567" s="2647">
        <v>35</v>
      </c>
      <c r="D2567" s="2647">
        <v>55</v>
      </c>
      <c r="E2567" s="2647">
        <v>14</v>
      </c>
      <c r="F2567" s="2647">
        <v>27.8</v>
      </c>
      <c r="G2567" s="2647">
        <v>39.6</v>
      </c>
      <c r="H2567" s="2647">
        <v>6600</v>
      </c>
      <c r="I2567" s="2647">
        <v>8800</v>
      </c>
      <c r="J2567" s="2647">
        <v>0.122</v>
      </c>
      <c r="K2567" s="2648"/>
      <c r="L2567" s="2647" t="s">
        <v>2088</v>
      </c>
    </row>
    <row r="2568" spans="1:12">
      <c r="A2568" s="2646" t="s">
        <v>99</v>
      </c>
      <c r="B2568" s="2646" t="s">
        <v>4889</v>
      </c>
      <c r="C2568" s="2646">
        <v>35</v>
      </c>
      <c r="D2568" s="2646">
        <v>55</v>
      </c>
      <c r="E2568" s="2646">
        <v>14</v>
      </c>
      <c r="F2568" s="2646">
        <v>27.8</v>
      </c>
      <c r="G2568" s="2646">
        <v>39.6</v>
      </c>
      <c r="H2568" s="2646">
        <v>6600</v>
      </c>
      <c r="I2568" s="2646">
        <v>8800</v>
      </c>
      <c r="J2568" s="2646">
        <v>0.122</v>
      </c>
      <c r="L2568" s="2646" t="s">
        <v>2088</v>
      </c>
    </row>
    <row r="2569" spans="1:12">
      <c r="A2569" s="2647" t="s">
        <v>99</v>
      </c>
      <c r="B2569" s="2647" t="s">
        <v>4890</v>
      </c>
      <c r="C2569" s="2647">
        <v>35</v>
      </c>
      <c r="D2569" s="2647">
        <v>62</v>
      </c>
      <c r="E2569" s="2647">
        <v>18</v>
      </c>
      <c r="F2569" s="2647">
        <v>45.5</v>
      </c>
      <c r="G2569" s="2647">
        <v>59.4</v>
      </c>
      <c r="H2569" s="2647">
        <v>6200</v>
      </c>
      <c r="I2569" s="2647">
        <v>8200</v>
      </c>
      <c r="J2569" s="2647">
        <v>0.23100000000000001</v>
      </c>
      <c r="K2569" s="2648"/>
      <c r="L2569" s="2647" t="s">
        <v>2088</v>
      </c>
    </row>
    <row r="2570" spans="1:12">
      <c r="A2570" s="2646" t="s">
        <v>99</v>
      </c>
      <c r="B2570" s="2646" t="s">
        <v>4891</v>
      </c>
      <c r="C2570" s="2646">
        <v>35</v>
      </c>
      <c r="D2570" s="2646">
        <v>62</v>
      </c>
      <c r="E2570" s="2646">
        <v>21</v>
      </c>
      <c r="F2570" s="2646">
        <v>51.3</v>
      </c>
      <c r="G2570" s="2646">
        <v>68</v>
      </c>
      <c r="H2570" s="2646">
        <v>6200</v>
      </c>
      <c r="I2570" s="2646">
        <v>8200</v>
      </c>
      <c r="J2570" s="2646">
        <v>0.26300000000000001</v>
      </c>
      <c r="L2570" s="2646" t="s">
        <v>2088</v>
      </c>
    </row>
    <row r="2571" spans="1:12">
      <c r="A2571" s="2647" t="s">
        <v>99</v>
      </c>
      <c r="B2571" s="2647" t="s">
        <v>4892</v>
      </c>
      <c r="C2571" s="2647">
        <v>35</v>
      </c>
      <c r="D2571" s="2647">
        <v>72</v>
      </c>
      <c r="E2571" s="2647">
        <v>17</v>
      </c>
      <c r="F2571" s="2647">
        <v>52.9</v>
      </c>
      <c r="G2571" s="2647">
        <v>56.2</v>
      </c>
      <c r="H2571" s="2647">
        <v>5700</v>
      </c>
      <c r="I2571" s="2647">
        <v>7600</v>
      </c>
      <c r="J2571" s="2647">
        <v>0.35</v>
      </c>
      <c r="K2571" s="2648"/>
      <c r="L2571" s="2647" t="s">
        <v>2088</v>
      </c>
    </row>
    <row r="2572" spans="1:12">
      <c r="A2572" s="2646" t="s">
        <v>99</v>
      </c>
      <c r="B2572" s="2646" t="s">
        <v>4893</v>
      </c>
      <c r="C2572" s="2646">
        <v>35</v>
      </c>
      <c r="D2572" s="2646">
        <v>72</v>
      </c>
      <c r="E2572" s="2646">
        <v>17</v>
      </c>
      <c r="F2572" s="2646">
        <v>55.1</v>
      </c>
      <c r="G2572" s="2646">
        <v>60.9</v>
      </c>
      <c r="H2572" s="2646">
        <v>5600</v>
      </c>
      <c r="I2572" s="2646">
        <v>7400</v>
      </c>
      <c r="J2572" s="2646">
        <v>0.34399999999999997</v>
      </c>
      <c r="L2572" s="2646" t="s">
        <v>2088</v>
      </c>
    </row>
    <row r="2573" spans="1:12">
      <c r="A2573" s="2647" t="s">
        <v>99</v>
      </c>
      <c r="B2573" s="2647" t="s">
        <v>4894</v>
      </c>
      <c r="C2573" s="2647">
        <v>35</v>
      </c>
      <c r="D2573" s="2647">
        <v>72</v>
      </c>
      <c r="E2573" s="2647">
        <v>23</v>
      </c>
      <c r="F2573" s="2647">
        <v>69</v>
      </c>
      <c r="G2573" s="2647">
        <v>86.6</v>
      </c>
      <c r="H2573" s="2647">
        <v>5700</v>
      </c>
      <c r="I2573" s="2647">
        <v>7600</v>
      </c>
      <c r="J2573" s="2647">
        <v>0.46500000000000002</v>
      </c>
      <c r="K2573" s="2648"/>
      <c r="L2573" s="2647" t="s">
        <v>2088</v>
      </c>
    </row>
    <row r="2574" spans="1:12">
      <c r="A2574" s="2646" t="s">
        <v>99</v>
      </c>
      <c r="B2574" s="2646" t="s">
        <v>4895</v>
      </c>
      <c r="C2574" s="2646">
        <v>35</v>
      </c>
      <c r="D2574" s="2646">
        <v>72</v>
      </c>
      <c r="E2574" s="2646">
        <v>23</v>
      </c>
      <c r="F2574" s="2646">
        <v>69.599999999999994</v>
      </c>
      <c r="G2574" s="2646">
        <v>82.4</v>
      </c>
      <c r="H2574" s="2646">
        <v>5600</v>
      </c>
      <c r="I2574" s="2646">
        <v>7500</v>
      </c>
      <c r="J2574" s="2646">
        <v>0.45300000000000001</v>
      </c>
      <c r="L2574" s="2646" t="s">
        <v>2088</v>
      </c>
    </row>
    <row r="2575" spans="1:12">
      <c r="A2575" s="2647" t="s">
        <v>99</v>
      </c>
      <c r="B2575" s="2647" t="s">
        <v>4896</v>
      </c>
      <c r="C2575" s="2647">
        <v>35</v>
      </c>
      <c r="D2575" s="2647">
        <v>72</v>
      </c>
      <c r="E2575" s="2647">
        <v>28</v>
      </c>
      <c r="F2575" s="2647">
        <v>87.6</v>
      </c>
      <c r="G2575" s="2647">
        <v>107</v>
      </c>
      <c r="H2575" s="2647">
        <v>5700</v>
      </c>
      <c r="I2575" s="2647">
        <v>7500</v>
      </c>
      <c r="J2575" s="2647">
        <v>0.55100000000000005</v>
      </c>
      <c r="K2575" s="2648"/>
      <c r="L2575" s="2647" t="s">
        <v>2088</v>
      </c>
    </row>
    <row r="2576" spans="1:12">
      <c r="A2576" s="2646" t="s">
        <v>99</v>
      </c>
      <c r="B2576" s="2646" t="s">
        <v>4897</v>
      </c>
      <c r="C2576" s="2646">
        <v>35</v>
      </c>
      <c r="D2576" s="2646">
        <v>80</v>
      </c>
      <c r="E2576" s="2646">
        <v>21</v>
      </c>
      <c r="F2576" s="2646">
        <v>63.1</v>
      </c>
      <c r="G2576" s="2646">
        <v>69.099999999999994</v>
      </c>
      <c r="H2576" s="2646">
        <v>4300</v>
      </c>
      <c r="I2576" s="2646">
        <v>6000</v>
      </c>
      <c r="J2576" s="2646">
        <v>0.53600000000000003</v>
      </c>
      <c r="L2576" s="2646" t="s">
        <v>2088</v>
      </c>
    </row>
    <row r="2577" spans="1:12">
      <c r="A2577" s="2647" t="s">
        <v>99</v>
      </c>
      <c r="B2577" s="2647" t="s">
        <v>4898</v>
      </c>
      <c r="C2577" s="2647">
        <v>35</v>
      </c>
      <c r="D2577" s="2647">
        <v>80</v>
      </c>
      <c r="E2577" s="2647">
        <v>21</v>
      </c>
      <c r="F2577" s="2647">
        <v>69.8</v>
      </c>
      <c r="G2577" s="2647">
        <v>77.8</v>
      </c>
      <c r="H2577" s="2647">
        <v>5200</v>
      </c>
      <c r="I2577" s="2647">
        <v>7000</v>
      </c>
      <c r="J2577" s="2647">
        <v>0.56000000000000005</v>
      </c>
      <c r="K2577" s="2648"/>
      <c r="L2577" s="2647" t="s">
        <v>2088</v>
      </c>
    </row>
    <row r="2578" spans="1:12">
      <c r="A2578" s="2646" t="s">
        <v>99</v>
      </c>
      <c r="B2578" s="2646" t="s">
        <v>4899</v>
      </c>
      <c r="C2578" s="2646">
        <v>35</v>
      </c>
      <c r="D2578" s="2646">
        <v>80</v>
      </c>
      <c r="E2578" s="2646">
        <v>21</v>
      </c>
      <c r="F2578" s="2646">
        <v>76.2</v>
      </c>
      <c r="G2578" s="2646">
        <v>78.900000000000006</v>
      </c>
      <c r="H2578" s="2646">
        <v>5200</v>
      </c>
      <c r="I2578" s="2646">
        <v>6900</v>
      </c>
      <c r="J2578" s="2646">
        <v>0.52700000000000002</v>
      </c>
      <c r="L2578" s="2646" t="s">
        <v>2088</v>
      </c>
    </row>
    <row r="2579" spans="1:12">
      <c r="A2579" s="2647" t="s">
        <v>99</v>
      </c>
      <c r="B2579" s="2647" t="s">
        <v>4900</v>
      </c>
      <c r="C2579" s="2647">
        <v>35</v>
      </c>
      <c r="D2579" s="2647">
        <v>80</v>
      </c>
      <c r="E2579" s="2647">
        <v>31</v>
      </c>
      <c r="F2579" s="2647">
        <v>96.9</v>
      </c>
      <c r="G2579" s="2647">
        <v>123</v>
      </c>
      <c r="H2579" s="2647">
        <v>5200</v>
      </c>
      <c r="I2579" s="2647">
        <v>7000</v>
      </c>
      <c r="J2579" s="2647">
        <v>0.83</v>
      </c>
      <c r="K2579" s="2648"/>
      <c r="L2579" s="2647" t="s">
        <v>2088</v>
      </c>
    </row>
    <row r="2580" spans="1:12">
      <c r="A2580" s="2646" t="s">
        <v>99</v>
      </c>
      <c r="B2580" s="2646" t="s">
        <v>4901</v>
      </c>
      <c r="C2580" s="2646">
        <v>35</v>
      </c>
      <c r="D2580" s="2646">
        <v>80</v>
      </c>
      <c r="E2580" s="2646">
        <v>31</v>
      </c>
      <c r="F2580" s="2646">
        <v>101</v>
      </c>
      <c r="G2580" s="2646">
        <v>114</v>
      </c>
      <c r="H2580" s="2646">
        <v>5300</v>
      </c>
      <c r="I2580" s="2646">
        <v>7000</v>
      </c>
      <c r="J2580" s="2646">
        <v>0.77600000000000002</v>
      </c>
      <c r="L2580" s="2646" t="s">
        <v>2088</v>
      </c>
    </row>
    <row r="2581" spans="1:12">
      <c r="A2581" s="2647" t="s">
        <v>99</v>
      </c>
      <c r="B2581" s="2647" t="s">
        <v>4902</v>
      </c>
      <c r="C2581" s="2647">
        <v>40</v>
      </c>
      <c r="D2581" s="2647">
        <v>62</v>
      </c>
      <c r="E2581" s="2647">
        <v>15</v>
      </c>
      <c r="F2581" s="2647">
        <v>33.5</v>
      </c>
      <c r="G2581" s="2647">
        <v>48.5</v>
      </c>
      <c r="H2581" s="2647">
        <v>5900</v>
      </c>
      <c r="I2581" s="2647">
        <v>7800</v>
      </c>
      <c r="J2581" s="2647">
        <v>0.16400000000000001</v>
      </c>
      <c r="K2581" s="2648"/>
      <c r="L2581" s="2647" t="s">
        <v>2088</v>
      </c>
    </row>
    <row r="2582" spans="1:12">
      <c r="A2582" s="2646" t="s">
        <v>99</v>
      </c>
      <c r="B2582" s="2646" t="s">
        <v>4903</v>
      </c>
      <c r="C2582" s="2646">
        <v>40</v>
      </c>
      <c r="D2582" s="2646">
        <v>68</v>
      </c>
      <c r="E2582" s="2646">
        <v>19</v>
      </c>
      <c r="F2582" s="2646">
        <v>53.5</v>
      </c>
      <c r="G2582" s="2646">
        <v>71.400000000000006</v>
      </c>
      <c r="H2582" s="2646">
        <v>5600</v>
      </c>
      <c r="I2582" s="2646">
        <v>7400</v>
      </c>
      <c r="J2582" s="2646">
        <v>0.28199999999999997</v>
      </c>
      <c r="L2582" s="2646" t="s">
        <v>2088</v>
      </c>
    </row>
    <row r="2583" spans="1:12">
      <c r="A2583" s="2647" t="s">
        <v>99</v>
      </c>
      <c r="B2583" s="2647" t="s">
        <v>4904</v>
      </c>
      <c r="C2583" s="2647">
        <v>40</v>
      </c>
      <c r="D2583" s="2647">
        <v>68</v>
      </c>
      <c r="E2583" s="2647">
        <v>22</v>
      </c>
      <c r="F2583" s="2647">
        <v>60.4</v>
      </c>
      <c r="G2583" s="2647">
        <v>84.6</v>
      </c>
      <c r="H2583" s="2647">
        <v>5500</v>
      </c>
      <c r="I2583" s="2647">
        <v>7400</v>
      </c>
      <c r="J2583" s="2647">
        <v>0.32600000000000001</v>
      </c>
      <c r="K2583" s="2648"/>
      <c r="L2583" s="2647" t="s">
        <v>2088</v>
      </c>
    </row>
    <row r="2584" spans="1:12">
      <c r="A2584" s="2646" t="s">
        <v>99</v>
      </c>
      <c r="B2584" s="2646" t="s">
        <v>4905</v>
      </c>
      <c r="C2584" s="2646">
        <v>40</v>
      </c>
      <c r="D2584" s="2646">
        <v>75</v>
      </c>
      <c r="E2584" s="2646">
        <v>26</v>
      </c>
      <c r="F2584" s="2646">
        <v>82.2</v>
      </c>
      <c r="G2584" s="2646">
        <v>108</v>
      </c>
      <c r="H2584" s="2646">
        <v>5200</v>
      </c>
      <c r="I2584" s="2646">
        <v>6900</v>
      </c>
      <c r="J2584" s="2646">
        <v>0.50800000000000001</v>
      </c>
      <c r="L2584" s="2646" t="s">
        <v>2088</v>
      </c>
    </row>
    <row r="2585" spans="1:12">
      <c r="A2585" s="2647" t="s">
        <v>99</v>
      </c>
      <c r="B2585" s="2647" t="s">
        <v>4906</v>
      </c>
      <c r="C2585" s="2647">
        <v>40</v>
      </c>
      <c r="D2585" s="2647">
        <v>80</v>
      </c>
      <c r="E2585" s="2647">
        <v>18</v>
      </c>
      <c r="F2585" s="2647">
        <v>61.4</v>
      </c>
      <c r="G2585" s="2647">
        <v>67.400000000000006</v>
      </c>
      <c r="H2585" s="2647">
        <v>5000</v>
      </c>
      <c r="I2585" s="2647">
        <v>6700</v>
      </c>
      <c r="J2585" s="2647">
        <v>0.44500000000000001</v>
      </c>
      <c r="K2585" s="2648"/>
      <c r="L2585" s="2647" t="s">
        <v>2088</v>
      </c>
    </row>
    <row r="2586" spans="1:12">
      <c r="A2586" s="2646" t="s">
        <v>99</v>
      </c>
      <c r="B2586" s="2646" t="s">
        <v>4907</v>
      </c>
      <c r="C2586" s="2646">
        <v>40</v>
      </c>
      <c r="D2586" s="2646">
        <v>80</v>
      </c>
      <c r="E2586" s="2646">
        <v>18</v>
      </c>
      <c r="F2586" s="2646">
        <v>62.9</v>
      </c>
      <c r="G2586" s="2646">
        <v>69.2</v>
      </c>
      <c r="H2586" s="2646">
        <v>5000</v>
      </c>
      <c r="I2586" s="2646">
        <v>6700</v>
      </c>
      <c r="J2586" s="2646">
        <v>0.434</v>
      </c>
      <c r="L2586" s="2646" t="s">
        <v>2088</v>
      </c>
    </row>
    <row r="2587" spans="1:12">
      <c r="A2587" s="2647" t="s">
        <v>99</v>
      </c>
      <c r="B2587" s="2647" t="s">
        <v>4908</v>
      </c>
      <c r="C2587" s="2647">
        <v>40</v>
      </c>
      <c r="D2587" s="2647">
        <v>80</v>
      </c>
      <c r="E2587" s="2647">
        <v>23</v>
      </c>
      <c r="F2587" s="2647">
        <v>78.5</v>
      </c>
      <c r="G2587" s="2647">
        <v>93.1</v>
      </c>
      <c r="H2587" s="2647">
        <v>5000</v>
      </c>
      <c r="I2587" s="2647">
        <v>6700</v>
      </c>
      <c r="J2587" s="2647">
        <v>0.56999999999999995</v>
      </c>
      <c r="K2587" s="2648"/>
      <c r="L2587" s="2647" t="s">
        <v>2088</v>
      </c>
    </row>
    <row r="2588" spans="1:12">
      <c r="A2588" s="2646" t="s">
        <v>99</v>
      </c>
      <c r="B2588" s="2646" t="s">
        <v>4909</v>
      </c>
      <c r="C2588" s="2646">
        <v>40</v>
      </c>
      <c r="D2588" s="2646">
        <v>80</v>
      </c>
      <c r="E2588" s="2646">
        <v>23</v>
      </c>
      <c r="F2588" s="2646">
        <v>77.7</v>
      </c>
      <c r="G2588" s="2646">
        <v>90.8</v>
      </c>
      <c r="H2588" s="2646">
        <v>5000</v>
      </c>
      <c r="I2588" s="2646">
        <v>6600</v>
      </c>
      <c r="J2588" s="2646">
        <v>0.55400000000000005</v>
      </c>
      <c r="L2588" s="2646" t="s">
        <v>2088</v>
      </c>
    </row>
    <row r="2589" spans="1:12">
      <c r="A2589" s="2647" t="s">
        <v>99</v>
      </c>
      <c r="B2589" s="2647" t="s">
        <v>4910</v>
      </c>
      <c r="C2589" s="2647">
        <v>40</v>
      </c>
      <c r="D2589" s="2647">
        <v>80</v>
      </c>
      <c r="E2589" s="2647">
        <v>32</v>
      </c>
      <c r="F2589" s="2647">
        <v>108</v>
      </c>
      <c r="G2589" s="2647">
        <v>139</v>
      </c>
      <c r="H2589" s="2647">
        <v>5000</v>
      </c>
      <c r="I2589" s="2647">
        <v>6700</v>
      </c>
      <c r="J2589" s="2647">
        <v>0.75800000000000001</v>
      </c>
      <c r="K2589" s="2648"/>
      <c r="L2589" s="2647" t="s">
        <v>2088</v>
      </c>
    </row>
    <row r="2590" spans="1:12">
      <c r="A2590" s="2646" t="s">
        <v>99</v>
      </c>
      <c r="B2590" s="2646" t="s">
        <v>4911</v>
      </c>
      <c r="C2590" s="2646">
        <v>40</v>
      </c>
      <c r="D2590" s="2646">
        <v>85</v>
      </c>
      <c r="E2590" s="2646">
        <v>33</v>
      </c>
      <c r="F2590" s="2646">
        <v>114</v>
      </c>
      <c r="G2590" s="2646">
        <v>143</v>
      </c>
      <c r="H2590" s="2646">
        <v>4800</v>
      </c>
      <c r="I2590" s="2646">
        <v>6400</v>
      </c>
      <c r="J2590" s="2646">
        <v>0.9</v>
      </c>
      <c r="L2590" s="2646" t="s">
        <v>2088</v>
      </c>
    </row>
    <row r="2591" spans="1:12">
      <c r="A2591" s="2647" t="s">
        <v>99</v>
      </c>
      <c r="B2591" s="2647" t="s">
        <v>4912</v>
      </c>
      <c r="C2591" s="2647">
        <v>40</v>
      </c>
      <c r="D2591" s="2647">
        <v>90</v>
      </c>
      <c r="E2591" s="2647">
        <v>23</v>
      </c>
      <c r="F2591" s="2647">
        <v>80.5</v>
      </c>
      <c r="G2591" s="2647">
        <v>90.2</v>
      </c>
      <c r="H2591" s="2647">
        <v>3800</v>
      </c>
      <c r="I2591" s="2647">
        <v>5300</v>
      </c>
      <c r="J2591" s="2647">
        <v>0.75700000000000001</v>
      </c>
      <c r="K2591" s="2648"/>
      <c r="L2591" s="2647" t="s">
        <v>2088</v>
      </c>
    </row>
    <row r="2592" spans="1:12">
      <c r="A2592" s="2646" t="s">
        <v>99</v>
      </c>
      <c r="B2592" s="2646" t="s">
        <v>4913</v>
      </c>
      <c r="C2592" s="2646">
        <v>40</v>
      </c>
      <c r="D2592" s="2646">
        <v>90</v>
      </c>
      <c r="E2592" s="2646">
        <v>23</v>
      </c>
      <c r="F2592" s="2646">
        <v>87.3</v>
      </c>
      <c r="G2592" s="2646">
        <v>98.5</v>
      </c>
      <c r="H2592" s="2646">
        <v>4600</v>
      </c>
      <c r="I2592" s="2646">
        <v>6100</v>
      </c>
      <c r="J2592" s="2646">
        <v>0.78</v>
      </c>
      <c r="L2592" s="2646" t="s">
        <v>2088</v>
      </c>
    </row>
    <row r="2593" spans="1:12">
      <c r="A2593" s="2647" t="s">
        <v>99</v>
      </c>
      <c r="B2593" s="2647" t="s">
        <v>4914</v>
      </c>
      <c r="C2593" s="2647">
        <v>40</v>
      </c>
      <c r="D2593" s="2647">
        <v>90</v>
      </c>
      <c r="E2593" s="2647">
        <v>23</v>
      </c>
      <c r="F2593" s="2647">
        <v>90.6</v>
      </c>
      <c r="G2593" s="2647">
        <v>101</v>
      </c>
      <c r="H2593" s="2647">
        <v>4500</v>
      </c>
      <c r="I2593" s="2647">
        <v>6100</v>
      </c>
      <c r="J2593" s="2647">
        <v>0.75700000000000001</v>
      </c>
      <c r="K2593" s="2648"/>
      <c r="L2593" s="2647" t="s">
        <v>2088</v>
      </c>
    </row>
    <row r="2594" spans="1:12">
      <c r="A2594" s="2646" t="s">
        <v>99</v>
      </c>
      <c r="B2594" s="2646" t="s">
        <v>4915</v>
      </c>
      <c r="C2594" s="2646">
        <v>40</v>
      </c>
      <c r="D2594" s="2646">
        <v>90</v>
      </c>
      <c r="E2594" s="2646">
        <v>33</v>
      </c>
      <c r="F2594" s="2646">
        <v>112</v>
      </c>
      <c r="G2594" s="2646">
        <v>138</v>
      </c>
      <c r="H2594" s="2646">
        <v>4700</v>
      </c>
      <c r="I2594" s="2646">
        <v>6200</v>
      </c>
      <c r="J2594" s="2646">
        <v>1.1000000000000001</v>
      </c>
      <c r="L2594" s="2646" t="s">
        <v>2088</v>
      </c>
    </row>
    <row r="2595" spans="1:12">
      <c r="A2595" s="2647" t="s">
        <v>99</v>
      </c>
      <c r="B2595" s="2647" t="s">
        <v>4916</v>
      </c>
      <c r="C2595" s="2647">
        <v>40</v>
      </c>
      <c r="D2595" s="2647">
        <v>90</v>
      </c>
      <c r="E2595" s="2647">
        <v>33</v>
      </c>
      <c r="F2595" s="2647">
        <v>116</v>
      </c>
      <c r="G2595" s="2647">
        <v>139</v>
      </c>
      <c r="H2595" s="2647">
        <v>4600</v>
      </c>
      <c r="I2595" s="2647">
        <v>6200</v>
      </c>
      <c r="J2595" s="2647">
        <v>1.06</v>
      </c>
      <c r="K2595" s="2648"/>
      <c r="L2595" s="2647" t="s">
        <v>2088</v>
      </c>
    </row>
    <row r="2596" spans="1:12">
      <c r="A2596" s="2646" t="s">
        <v>99</v>
      </c>
      <c r="B2596" s="2646" t="s">
        <v>4917</v>
      </c>
      <c r="C2596" s="2646">
        <v>45</v>
      </c>
      <c r="D2596" s="2646">
        <v>68</v>
      </c>
      <c r="E2596" s="2646">
        <v>15</v>
      </c>
      <c r="F2596" s="2646">
        <v>34.700000000000003</v>
      </c>
      <c r="G2596" s="2646">
        <v>52.4</v>
      </c>
      <c r="H2596" s="2646">
        <v>5300</v>
      </c>
      <c r="I2596" s="2646">
        <v>7100</v>
      </c>
      <c r="J2596" s="2646">
        <v>0.19</v>
      </c>
      <c r="L2596" s="2646" t="s">
        <v>2088</v>
      </c>
    </row>
    <row r="2597" spans="1:12">
      <c r="A2597" s="2647" t="s">
        <v>99</v>
      </c>
      <c r="B2597" s="2647" t="s">
        <v>4918</v>
      </c>
      <c r="C2597" s="2647">
        <v>45</v>
      </c>
      <c r="D2597" s="2647">
        <v>75</v>
      </c>
      <c r="E2597" s="2647">
        <v>20</v>
      </c>
      <c r="F2597" s="2647">
        <v>62.8</v>
      </c>
      <c r="G2597" s="2647">
        <v>86.5</v>
      </c>
      <c r="H2597" s="2647">
        <v>5000</v>
      </c>
      <c r="I2597" s="2647">
        <v>6600</v>
      </c>
      <c r="J2597" s="2647">
        <v>0.35399999999999998</v>
      </c>
      <c r="K2597" s="2648"/>
      <c r="L2597" s="2647" t="s">
        <v>2088</v>
      </c>
    </row>
    <row r="2598" spans="1:12">
      <c r="A2598" s="2646" t="s">
        <v>99</v>
      </c>
      <c r="B2598" s="2646" t="s">
        <v>4919</v>
      </c>
      <c r="C2598" s="2646">
        <v>45</v>
      </c>
      <c r="D2598" s="2646">
        <v>75</v>
      </c>
      <c r="E2598" s="2646">
        <v>24</v>
      </c>
      <c r="F2598" s="2646">
        <v>69.599999999999994</v>
      </c>
      <c r="G2598" s="2646">
        <v>101</v>
      </c>
      <c r="H2598" s="2646">
        <v>5000</v>
      </c>
      <c r="I2598" s="2646">
        <v>6700</v>
      </c>
      <c r="J2598" s="2646">
        <v>0.41599999999999998</v>
      </c>
      <c r="L2598" s="2646" t="s">
        <v>2088</v>
      </c>
    </row>
    <row r="2599" spans="1:12">
      <c r="A2599" s="2647" t="s">
        <v>99</v>
      </c>
      <c r="B2599" s="2647" t="s">
        <v>4920</v>
      </c>
      <c r="C2599" s="2647">
        <v>45</v>
      </c>
      <c r="D2599" s="2647">
        <v>80</v>
      </c>
      <c r="E2599" s="2647">
        <v>26</v>
      </c>
      <c r="F2599" s="2647">
        <v>87.5</v>
      </c>
      <c r="G2599" s="2647">
        <v>120</v>
      </c>
      <c r="H2599" s="2647">
        <v>4800</v>
      </c>
      <c r="I2599" s="2647">
        <v>6400</v>
      </c>
      <c r="J2599" s="2647">
        <v>0.56299999999999994</v>
      </c>
      <c r="K2599" s="2648"/>
      <c r="L2599" s="2647" t="s">
        <v>2088</v>
      </c>
    </row>
    <row r="2600" spans="1:12">
      <c r="A2600" s="2646" t="s">
        <v>99</v>
      </c>
      <c r="B2600" s="2646" t="s">
        <v>4921</v>
      </c>
      <c r="C2600" s="2646">
        <v>45</v>
      </c>
      <c r="D2600" s="2646">
        <v>85</v>
      </c>
      <c r="E2600" s="2646">
        <v>19</v>
      </c>
      <c r="F2600" s="2646">
        <v>69.400000000000006</v>
      </c>
      <c r="G2600" s="2646">
        <v>81.5</v>
      </c>
      <c r="H2600" s="2646">
        <v>4600</v>
      </c>
      <c r="I2600" s="2646">
        <v>6100</v>
      </c>
      <c r="J2600" s="2646">
        <v>0.5</v>
      </c>
      <c r="L2600" s="2646" t="s">
        <v>2088</v>
      </c>
    </row>
    <row r="2601" spans="1:12">
      <c r="A2601" s="2647" t="s">
        <v>99</v>
      </c>
      <c r="B2601" s="2647" t="s">
        <v>4922</v>
      </c>
      <c r="C2601" s="2647">
        <v>45</v>
      </c>
      <c r="D2601" s="2647">
        <v>85</v>
      </c>
      <c r="E2601" s="2647">
        <v>19</v>
      </c>
      <c r="F2601" s="2647">
        <v>67.2</v>
      </c>
      <c r="G2601" s="2647">
        <v>77.400000000000006</v>
      </c>
      <c r="H2601" s="2647">
        <v>4600</v>
      </c>
      <c r="I2601" s="2647">
        <v>6100</v>
      </c>
      <c r="J2601" s="2647">
        <v>0.502</v>
      </c>
      <c r="K2601" s="2648"/>
      <c r="L2601" s="2647" t="s">
        <v>2088</v>
      </c>
    </row>
    <row r="2602" spans="1:12">
      <c r="A2602" s="2646" t="s">
        <v>99</v>
      </c>
      <c r="B2602" s="2646" t="s">
        <v>4923</v>
      </c>
      <c r="C2602" s="2646">
        <v>45</v>
      </c>
      <c r="D2602" s="2646">
        <v>85</v>
      </c>
      <c r="E2602" s="2646">
        <v>23</v>
      </c>
      <c r="F2602" s="2646">
        <v>80.7</v>
      </c>
      <c r="G2602" s="2646">
        <v>102</v>
      </c>
      <c r="H2602" s="2646">
        <v>4600</v>
      </c>
      <c r="I2602" s="2646">
        <v>6200</v>
      </c>
      <c r="J2602" s="2646">
        <v>0.625</v>
      </c>
      <c r="L2602" s="2646" t="s">
        <v>2088</v>
      </c>
    </row>
    <row r="2603" spans="1:12">
      <c r="A2603" s="2647" t="s">
        <v>99</v>
      </c>
      <c r="B2603" s="2647" t="s">
        <v>4924</v>
      </c>
      <c r="C2603" s="2647">
        <v>45</v>
      </c>
      <c r="D2603" s="2647">
        <v>85</v>
      </c>
      <c r="E2603" s="2647">
        <v>23</v>
      </c>
      <c r="F2603" s="2647">
        <v>84.2</v>
      </c>
      <c r="G2603" s="2647">
        <v>104</v>
      </c>
      <c r="H2603" s="2647">
        <v>4600</v>
      </c>
      <c r="I2603" s="2647">
        <v>6100</v>
      </c>
      <c r="J2603" s="2647">
        <v>0.59699999999999998</v>
      </c>
      <c r="K2603" s="2648"/>
      <c r="L2603" s="2647" t="s">
        <v>2088</v>
      </c>
    </row>
    <row r="2604" spans="1:12">
      <c r="A2604" s="2646" t="s">
        <v>99</v>
      </c>
      <c r="B2604" s="2646" t="s">
        <v>4925</v>
      </c>
      <c r="C2604" s="2646">
        <v>45</v>
      </c>
      <c r="D2604" s="2646">
        <v>85</v>
      </c>
      <c r="E2604" s="2646">
        <v>32</v>
      </c>
      <c r="F2604" s="2646">
        <v>112</v>
      </c>
      <c r="G2604" s="2646">
        <v>149</v>
      </c>
      <c r="H2604" s="2646">
        <v>4600</v>
      </c>
      <c r="I2604" s="2646">
        <v>6200</v>
      </c>
      <c r="J2604" s="2646">
        <v>0.81799999999999995</v>
      </c>
      <c r="L2604" s="2646" t="s">
        <v>2088</v>
      </c>
    </row>
    <row r="2605" spans="1:12">
      <c r="A2605" s="2647" t="s">
        <v>99</v>
      </c>
      <c r="B2605" s="2647" t="s">
        <v>4926</v>
      </c>
      <c r="C2605" s="2647">
        <v>45</v>
      </c>
      <c r="D2605" s="2647">
        <v>95</v>
      </c>
      <c r="E2605" s="2647">
        <v>29</v>
      </c>
      <c r="F2605" s="2647">
        <v>94.1</v>
      </c>
      <c r="G2605" s="2647">
        <v>118</v>
      </c>
      <c r="H2605" s="2647">
        <v>3600</v>
      </c>
      <c r="I2605" s="2647" t="s">
        <v>2088</v>
      </c>
      <c r="J2605" s="2647">
        <v>0.94299999999999995</v>
      </c>
      <c r="K2605" s="2648"/>
      <c r="L2605" s="2647" t="s">
        <v>2088</v>
      </c>
    </row>
    <row r="2606" spans="1:12">
      <c r="A2606" s="2646" t="s">
        <v>99</v>
      </c>
      <c r="B2606" s="2646" t="s">
        <v>4927</v>
      </c>
      <c r="C2606" s="2646">
        <v>45</v>
      </c>
      <c r="D2606" s="2646">
        <v>95</v>
      </c>
      <c r="E2606" s="2646">
        <v>35</v>
      </c>
      <c r="F2606" s="2646">
        <v>140</v>
      </c>
      <c r="G2606" s="2646">
        <v>177</v>
      </c>
      <c r="H2606" s="2646">
        <v>4300</v>
      </c>
      <c r="I2606" s="2646">
        <v>5700</v>
      </c>
      <c r="J2606" s="2646">
        <v>1.2</v>
      </c>
      <c r="L2606" s="2646" t="s">
        <v>2088</v>
      </c>
    </row>
    <row r="2607" spans="1:12">
      <c r="A2607" s="2647" t="s">
        <v>99</v>
      </c>
      <c r="B2607" s="2647" t="s">
        <v>4928</v>
      </c>
      <c r="C2607" s="2647">
        <v>45</v>
      </c>
      <c r="D2607" s="2647">
        <v>100</v>
      </c>
      <c r="E2607" s="2647">
        <v>25</v>
      </c>
      <c r="F2607" s="2647">
        <v>95.1</v>
      </c>
      <c r="G2607" s="2647">
        <v>107</v>
      </c>
      <c r="H2607" s="2647">
        <v>3400</v>
      </c>
      <c r="I2607" s="2647">
        <v>4700</v>
      </c>
      <c r="J2607" s="2647">
        <v>0.97299999999999998</v>
      </c>
      <c r="K2607" s="2648"/>
      <c r="L2607" s="2647" t="s">
        <v>2088</v>
      </c>
    </row>
    <row r="2608" spans="1:12">
      <c r="A2608" s="2646" t="s">
        <v>99</v>
      </c>
      <c r="B2608" s="2646" t="s">
        <v>4929</v>
      </c>
      <c r="C2608" s="2646">
        <v>45</v>
      </c>
      <c r="D2608" s="2646">
        <v>100</v>
      </c>
      <c r="E2608" s="2646">
        <v>25</v>
      </c>
      <c r="F2608" s="2646">
        <v>109</v>
      </c>
      <c r="G2608" s="2646">
        <v>119</v>
      </c>
      <c r="H2608" s="2646">
        <v>4100</v>
      </c>
      <c r="I2608" s="2646">
        <v>5500</v>
      </c>
      <c r="J2608" s="2646">
        <v>1</v>
      </c>
      <c r="L2608" s="2646" t="s">
        <v>2088</v>
      </c>
    </row>
    <row r="2609" spans="1:12">
      <c r="A2609" s="2647" t="s">
        <v>99</v>
      </c>
      <c r="B2609" s="2647" t="s">
        <v>4930</v>
      </c>
      <c r="C2609" s="2647">
        <v>45</v>
      </c>
      <c r="D2609" s="2647">
        <v>100</v>
      </c>
      <c r="E2609" s="2647">
        <v>25</v>
      </c>
      <c r="F2609" s="2647">
        <v>113</v>
      </c>
      <c r="G2609" s="2647">
        <v>128</v>
      </c>
      <c r="H2609" s="2647">
        <v>4100</v>
      </c>
      <c r="I2609" s="2647">
        <v>5400</v>
      </c>
      <c r="J2609" s="2647">
        <v>1.01</v>
      </c>
      <c r="K2609" s="2648"/>
      <c r="L2609" s="2647" t="s">
        <v>2088</v>
      </c>
    </row>
    <row r="2610" spans="1:12">
      <c r="A2610" s="2646" t="s">
        <v>99</v>
      </c>
      <c r="B2610" s="2646" t="s">
        <v>4931</v>
      </c>
      <c r="C2610" s="2646">
        <v>45</v>
      </c>
      <c r="D2610" s="2646">
        <v>100</v>
      </c>
      <c r="E2610" s="2646">
        <v>36</v>
      </c>
      <c r="F2610" s="2646">
        <v>145</v>
      </c>
      <c r="G2610" s="2646">
        <v>182</v>
      </c>
      <c r="H2610" s="2646">
        <v>4200</v>
      </c>
      <c r="I2610" s="2646">
        <v>5600</v>
      </c>
      <c r="J2610" s="2646">
        <v>1.45</v>
      </c>
      <c r="L2610" s="2646" t="s">
        <v>2088</v>
      </c>
    </row>
    <row r="2611" spans="1:12">
      <c r="A2611" s="2647" t="s">
        <v>99</v>
      </c>
      <c r="B2611" s="2647" t="s">
        <v>4932</v>
      </c>
      <c r="C2611" s="2647">
        <v>45</v>
      </c>
      <c r="D2611" s="2647">
        <v>100</v>
      </c>
      <c r="E2611" s="2647">
        <v>38.25</v>
      </c>
      <c r="F2611" s="2647">
        <v>146</v>
      </c>
      <c r="G2611" s="2647">
        <v>180</v>
      </c>
      <c r="H2611" s="2647">
        <v>4100</v>
      </c>
      <c r="I2611" s="2647">
        <v>5500</v>
      </c>
      <c r="J2611" s="2647">
        <v>1.43</v>
      </c>
      <c r="K2611" s="2648"/>
      <c r="L2611" s="2647" t="s">
        <v>2088</v>
      </c>
    </row>
    <row r="2612" spans="1:12">
      <c r="A2612" s="2646" t="s">
        <v>99</v>
      </c>
      <c r="B2612" s="2646" t="s">
        <v>4933</v>
      </c>
      <c r="C2612" s="2646">
        <v>50</v>
      </c>
      <c r="D2612" s="2646">
        <v>72</v>
      </c>
      <c r="E2612" s="2646">
        <v>15</v>
      </c>
      <c r="F2612" s="2646">
        <v>35.9</v>
      </c>
      <c r="G2612" s="2646">
        <v>56.3</v>
      </c>
      <c r="H2612" s="2646">
        <v>4900</v>
      </c>
      <c r="I2612" s="2646">
        <v>6600</v>
      </c>
      <c r="J2612" s="2646">
        <v>0.19500000000000001</v>
      </c>
      <c r="L2612" s="2646" t="s">
        <v>2088</v>
      </c>
    </row>
    <row r="2613" spans="1:12">
      <c r="A2613" s="2647" t="s">
        <v>99</v>
      </c>
      <c r="B2613" s="2647" t="s">
        <v>4933</v>
      </c>
      <c r="C2613" s="2647">
        <v>50</v>
      </c>
      <c r="D2613" s="2647">
        <v>72</v>
      </c>
      <c r="E2613" s="2647">
        <v>15</v>
      </c>
      <c r="F2613" s="2647">
        <v>35.9</v>
      </c>
      <c r="G2613" s="2647">
        <v>56.3</v>
      </c>
      <c r="H2613" s="2647">
        <v>4900</v>
      </c>
      <c r="I2613" s="2647">
        <v>6600</v>
      </c>
      <c r="J2613" s="2647">
        <v>0.19500000000000001</v>
      </c>
      <c r="K2613" s="2648"/>
      <c r="L2613" s="2647" t="s">
        <v>2088</v>
      </c>
    </row>
    <row r="2614" spans="1:12">
      <c r="A2614" s="2646" t="s">
        <v>99</v>
      </c>
      <c r="B2614" s="2646" t="s">
        <v>4934</v>
      </c>
      <c r="C2614" s="2646">
        <v>50</v>
      </c>
      <c r="D2614" s="2646">
        <v>80</v>
      </c>
      <c r="E2614" s="2646">
        <v>20</v>
      </c>
      <c r="F2614" s="2646">
        <v>65.7</v>
      </c>
      <c r="G2614" s="2646">
        <v>94.5</v>
      </c>
      <c r="H2614" s="2646">
        <v>4600</v>
      </c>
      <c r="I2614" s="2646">
        <v>6100</v>
      </c>
      <c r="J2614" s="2646">
        <v>0.38900000000000001</v>
      </c>
      <c r="L2614" s="2646" t="s">
        <v>2088</v>
      </c>
    </row>
    <row r="2615" spans="1:12">
      <c r="A2615" s="2647" t="s">
        <v>99</v>
      </c>
      <c r="B2615" s="2647" t="s">
        <v>4935</v>
      </c>
      <c r="C2615" s="2647">
        <v>50</v>
      </c>
      <c r="D2615" s="2647">
        <v>80</v>
      </c>
      <c r="E2615" s="2647">
        <v>24</v>
      </c>
      <c r="F2615" s="2647">
        <v>73</v>
      </c>
      <c r="G2615" s="2647">
        <v>110</v>
      </c>
      <c r="H2615" s="2647">
        <v>4600</v>
      </c>
      <c r="I2615" s="2647">
        <v>6100</v>
      </c>
      <c r="J2615" s="2647">
        <v>0.45100000000000001</v>
      </c>
      <c r="K2615" s="2648"/>
      <c r="L2615" s="2647" t="s">
        <v>2088</v>
      </c>
    </row>
    <row r="2616" spans="1:12">
      <c r="A2616" s="2646" t="s">
        <v>99</v>
      </c>
      <c r="B2616" s="2646" t="s">
        <v>4936</v>
      </c>
      <c r="C2616" s="2646">
        <v>50</v>
      </c>
      <c r="D2616" s="2646">
        <v>85</v>
      </c>
      <c r="E2616" s="2646">
        <v>26</v>
      </c>
      <c r="F2616" s="2646">
        <v>89.4</v>
      </c>
      <c r="G2616" s="2646">
        <v>127</v>
      </c>
      <c r="H2616" s="2646">
        <v>4400</v>
      </c>
      <c r="I2616" s="2646">
        <v>5900</v>
      </c>
      <c r="J2616" s="2646">
        <v>0.59399999999999997</v>
      </c>
      <c r="L2616" s="2646" t="s">
        <v>2088</v>
      </c>
    </row>
    <row r="2617" spans="1:12">
      <c r="A2617" s="2647" t="s">
        <v>99</v>
      </c>
      <c r="B2617" s="2647" t="s">
        <v>4937</v>
      </c>
      <c r="C2617" s="2647">
        <v>50</v>
      </c>
      <c r="D2617" s="2647">
        <v>90</v>
      </c>
      <c r="E2617" s="2647">
        <v>20</v>
      </c>
      <c r="F2617" s="2647">
        <v>77.2</v>
      </c>
      <c r="G2617" s="2647">
        <v>95.8</v>
      </c>
      <c r="H2617" s="2647">
        <v>4300</v>
      </c>
      <c r="I2617" s="2647">
        <v>5700</v>
      </c>
      <c r="J2617" s="2647">
        <v>0.59</v>
      </c>
      <c r="K2617" s="2648"/>
      <c r="L2617" s="2647" t="s">
        <v>2088</v>
      </c>
    </row>
    <row r="2618" spans="1:12">
      <c r="A2618" s="2646" t="s">
        <v>99</v>
      </c>
      <c r="B2618" s="2646" t="s">
        <v>4938</v>
      </c>
      <c r="C2618" s="2646">
        <v>50</v>
      </c>
      <c r="D2618" s="2646">
        <v>90</v>
      </c>
      <c r="E2618" s="2646">
        <v>20</v>
      </c>
      <c r="F2618" s="2646">
        <v>76.5</v>
      </c>
      <c r="G2618" s="2646">
        <v>91.7</v>
      </c>
      <c r="H2618" s="2646">
        <v>4300</v>
      </c>
      <c r="I2618" s="2646">
        <v>5700</v>
      </c>
      <c r="J2618" s="2646">
        <v>0.56599999999999995</v>
      </c>
      <c r="L2618" s="2646" t="s">
        <v>2088</v>
      </c>
    </row>
    <row r="2619" spans="1:12">
      <c r="A2619" s="2647" t="s">
        <v>99</v>
      </c>
      <c r="B2619" s="2647" t="s">
        <v>4939</v>
      </c>
      <c r="C2619" s="2647">
        <v>50</v>
      </c>
      <c r="D2619" s="2647">
        <v>90</v>
      </c>
      <c r="E2619" s="2647">
        <v>23</v>
      </c>
      <c r="F2619" s="2647">
        <v>84.5</v>
      </c>
      <c r="G2619" s="2647">
        <v>113</v>
      </c>
      <c r="H2619" s="2647">
        <v>4300</v>
      </c>
      <c r="I2619" s="2647">
        <v>5700</v>
      </c>
      <c r="J2619" s="2647">
        <v>0.67500000000000004</v>
      </c>
      <c r="K2619" s="2648"/>
      <c r="L2619" s="2647" t="s">
        <v>2088</v>
      </c>
    </row>
    <row r="2620" spans="1:12">
      <c r="A2620" s="2646" t="s">
        <v>99</v>
      </c>
      <c r="B2620" s="2646" t="s">
        <v>4940</v>
      </c>
      <c r="C2620" s="2646">
        <v>50</v>
      </c>
      <c r="D2620" s="2646">
        <v>90</v>
      </c>
      <c r="E2620" s="2646">
        <v>23</v>
      </c>
      <c r="F2620" s="2646">
        <v>85</v>
      </c>
      <c r="G2620" s="2646">
        <v>105</v>
      </c>
      <c r="H2620" s="2646">
        <v>4300</v>
      </c>
      <c r="I2620" s="2646">
        <v>5700</v>
      </c>
      <c r="J2620" s="2646">
        <v>0.64300000000000002</v>
      </c>
      <c r="L2620" s="2646" t="s">
        <v>2088</v>
      </c>
    </row>
    <row r="2621" spans="1:12">
      <c r="A2621" s="2647" t="s">
        <v>99</v>
      </c>
      <c r="B2621" s="2647" t="s">
        <v>4941</v>
      </c>
      <c r="C2621" s="2647">
        <v>50</v>
      </c>
      <c r="D2621" s="2647">
        <v>90</v>
      </c>
      <c r="E2621" s="2647">
        <v>32</v>
      </c>
      <c r="F2621" s="2647">
        <v>119</v>
      </c>
      <c r="G2621" s="2647">
        <v>167</v>
      </c>
      <c r="H2621" s="2647">
        <v>4300</v>
      </c>
      <c r="I2621" s="2647">
        <v>5700</v>
      </c>
      <c r="J2621" s="2647">
        <v>0.88700000000000001</v>
      </c>
      <c r="K2621" s="2648"/>
      <c r="L2621" s="2647" t="s">
        <v>2088</v>
      </c>
    </row>
    <row r="2622" spans="1:12">
      <c r="A2622" s="2646" t="s">
        <v>99</v>
      </c>
      <c r="B2622" s="2646" t="s">
        <v>4942</v>
      </c>
      <c r="C2622" s="2646">
        <v>50</v>
      </c>
      <c r="D2622" s="2646">
        <v>100</v>
      </c>
      <c r="E2622" s="2646">
        <v>35</v>
      </c>
      <c r="F2622" s="2646">
        <v>157</v>
      </c>
      <c r="G2622" s="2646">
        <v>196</v>
      </c>
      <c r="H2622" s="2646">
        <v>4100</v>
      </c>
      <c r="I2622" s="2646">
        <v>5400</v>
      </c>
      <c r="J2622" s="2646">
        <v>1.28</v>
      </c>
      <c r="L2622" s="2646" t="s">
        <v>2088</v>
      </c>
    </row>
    <row r="2623" spans="1:12">
      <c r="A2623" s="2647" t="s">
        <v>99</v>
      </c>
      <c r="B2623" s="2647" t="s">
        <v>4943</v>
      </c>
      <c r="C2623" s="2647">
        <v>50</v>
      </c>
      <c r="D2623" s="2647">
        <v>105</v>
      </c>
      <c r="E2623" s="2647">
        <v>29</v>
      </c>
      <c r="F2623" s="2647">
        <v>113</v>
      </c>
      <c r="G2623" s="2647">
        <v>140</v>
      </c>
      <c r="H2623" s="2647">
        <v>3300</v>
      </c>
      <c r="I2623" s="2647">
        <v>4600</v>
      </c>
      <c r="J2623" s="2647">
        <v>1.25</v>
      </c>
      <c r="K2623" s="2648"/>
      <c r="L2623" s="2647" t="s">
        <v>2088</v>
      </c>
    </row>
    <row r="2624" spans="1:12">
      <c r="A2624" s="2646" t="s">
        <v>99</v>
      </c>
      <c r="B2624" s="2646" t="s">
        <v>4944</v>
      </c>
      <c r="C2624" s="2646">
        <v>50</v>
      </c>
      <c r="D2624" s="2646">
        <v>110</v>
      </c>
      <c r="E2624" s="2646">
        <v>27</v>
      </c>
      <c r="F2624" s="2646">
        <v>115</v>
      </c>
      <c r="G2624" s="2646">
        <v>133</v>
      </c>
      <c r="H2624" s="2646">
        <v>3100</v>
      </c>
      <c r="I2624" s="2646">
        <v>4300</v>
      </c>
      <c r="J2624" s="2646">
        <v>1.25</v>
      </c>
      <c r="L2624" s="2646" t="s">
        <v>2088</v>
      </c>
    </row>
    <row r="2625" spans="1:12">
      <c r="A2625" s="2647" t="s">
        <v>99</v>
      </c>
      <c r="B2625" s="2647" t="s">
        <v>4945</v>
      </c>
      <c r="C2625" s="2647">
        <v>50</v>
      </c>
      <c r="D2625" s="2647">
        <v>110</v>
      </c>
      <c r="E2625" s="2647">
        <v>27</v>
      </c>
      <c r="F2625" s="2647">
        <v>124</v>
      </c>
      <c r="G2625" s="2647">
        <v>143</v>
      </c>
      <c r="H2625" s="2647">
        <v>3700</v>
      </c>
      <c r="I2625" s="2647">
        <v>4900</v>
      </c>
      <c r="J2625" s="2647">
        <v>1.25</v>
      </c>
      <c r="K2625" s="2648"/>
      <c r="L2625" s="2647" t="s">
        <v>2088</v>
      </c>
    </row>
    <row r="2626" spans="1:12">
      <c r="A2626" s="2646" t="s">
        <v>99</v>
      </c>
      <c r="B2626" s="2646" t="s">
        <v>4946</v>
      </c>
      <c r="C2626" s="2646">
        <v>50</v>
      </c>
      <c r="D2626" s="2646">
        <v>110</v>
      </c>
      <c r="E2626" s="2646">
        <v>27</v>
      </c>
      <c r="F2626" s="2646">
        <v>137</v>
      </c>
      <c r="G2626" s="2646">
        <v>152</v>
      </c>
      <c r="H2626" s="2646">
        <v>3700</v>
      </c>
      <c r="I2626" s="2646">
        <v>4900</v>
      </c>
      <c r="J2626" s="2646">
        <v>1.32</v>
      </c>
      <c r="L2626" s="2646" t="s">
        <v>2088</v>
      </c>
    </row>
    <row r="2627" spans="1:12">
      <c r="A2627" s="2647" t="s">
        <v>99</v>
      </c>
      <c r="B2627" s="2647" t="s">
        <v>4947</v>
      </c>
      <c r="C2627" s="2647">
        <v>50</v>
      </c>
      <c r="D2627" s="2647">
        <v>110</v>
      </c>
      <c r="E2627" s="2647">
        <v>40</v>
      </c>
      <c r="F2627" s="2647">
        <v>171</v>
      </c>
      <c r="G2627" s="2647">
        <v>234</v>
      </c>
      <c r="H2627" s="2647">
        <v>3800</v>
      </c>
      <c r="I2627" s="2647">
        <v>5100</v>
      </c>
      <c r="J2627" s="2647">
        <v>2</v>
      </c>
      <c r="K2627" s="2648"/>
      <c r="L2627" s="2647" t="s">
        <v>2088</v>
      </c>
    </row>
    <row r="2628" spans="1:12">
      <c r="A2628" s="2646" t="s">
        <v>99</v>
      </c>
      <c r="B2628" s="2646" t="s">
        <v>4948</v>
      </c>
      <c r="C2628" s="2646">
        <v>50</v>
      </c>
      <c r="D2628" s="2646">
        <v>110</v>
      </c>
      <c r="E2628" s="2646">
        <v>33</v>
      </c>
      <c r="F2628" s="2646">
        <v>176</v>
      </c>
      <c r="G2628" s="2646">
        <v>220</v>
      </c>
      <c r="H2628" s="2646">
        <v>3700</v>
      </c>
      <c r="I2628" s="2646">
        <v>5000</v>
      </c>
      <c r="J2628" s="2646">
        <v>1.89</v>
      </c>
      <c r="L2628" s="2646" t="s">
        <v>2088</v>
      </c>
    </row>
    <row r="2629" spans="1:12">
      <c r="A2629" s="2647" t="s">
        <v>99</v>
      </c>
      <c r="B2629" s="2647" t="s">
        <v>4949</v>
      </c>
      <c r="C2629" s="2647">
        <v>55</v>
      </c>
      <c r="D2629" s="2647">
        <v>80</v>
      </c>
      <c r="E2629" s="2647">
        <v>17</v>
      </c>
      <c r="F2629" s="2647">
        <v>44.6</v>
      </c>
      <c r="G2629" s="2647">
        <v>73.3</v>
      </c>
      <c r="H2629" s="2647">
        <v>4400</v>
      </c>
      <c r="I2629" s="2647">
        <v>5900</v>
      </c>
      <c r="J2629" s="2647">
        <v>0.28499999999999998</v>
      </c>
      <c r="K2629" s="2648"/>
      <c r="L2629" s="2647" t="s">
        <v>2088</v>
      </c>
    </row>
    <row r="2630" spans="1:12">
      <c r="A2630" s="2646" t="s">
        <v>99</v>
      </c>
      <c r="B2630" s="2646" t="s">
        <v>4950</v>
      </c>
      <c r="C2630" s="2646">
        <v>55</v>
      </c>
      <c r="D2630" s="2646">
        <v>90</v>
      </c>
      <c r="E2630" s="2646">
        <v>23</v>
      </c>
      <c r="F2630" s="2646">
        <v>84.6</v>
      </c>
      <c r="G2630" s="2646">
        <v>121</v>
      </c>
      <c r="H2630" s="2646">
        <v>4100</v>
      </c>
      <c r="I2630" s="2646">
        <v>5500</v>
      </c>
      <c r="J2630" s="2646">
        <v>0.56899999999999995</v>
      </c>
      <c r="L2630" s="2646" t="s">
        <v>2088</v>
      </c>
    </row>
    <row r="2631" spans="1:12">
      <c r="A2631" s="2647" t="s">
        <v>99</v>
      </c>
      <c r="B2631" s="2647" t="s">
        <v>4951</v>
      </c>
      <c r="C2631" s="2647">
        <v>55</v>
      </c>
      <c r="D2631" s="2647">
        <v>90</v>
      </c>
      <c r="E2631" s="2647">
        <v>27</v>
      </c>
      <c r="F2631" s="2647">
        <v>96.5</v>
      </c>
      <c r="G2631" s="2647">
        <v>149</v>
      </c>
      <c r="H2631" s="2647">
        <v>4100</v>
      </c>
      <c r="I2631" s="2647">
        <v>5400</v>
      </c>
      <c r="J2631" s="2647">
        <v>0.67200000000000004</v>
      </c>
      <c r="K2631" s="2648"/>
      <c r="L2631" s="2647" t="s">
        <v>2088</v>
      </c>
    </row>
    <row r="2632" spans="1:12">
      <c r="A2632" s="2646" t="s">
        <v>99</v>
      </c>
      <c r="B2632" s="2646" t="s">
        <v>4952</v>
      </c>
      <c r="C2632" s="2646">
        <v>55</v>
      </c>
      <c r="D2632" s="2646">
        <v>95</v>
      </c>
      <c r="E2632" s="2646">
        <v>30</v>
      </c>
      <c r="F2632" s="2646">
        <v>116</v>
      </c>
      <c r="G2632" s="2646">
        <v>161</v>
      </c>
      <c r="H2632" s="2646">
        <v>4000</v>
      </c>
      <c r="I2632" s="2646">
        <v>5300</v>
      </c>
      <c r="J2632" s="2646">
        <v>0.86799999999999999</v>
      </c>
      <c r="L2632" s="2646" t="s">
        <v>2088</v>
      </c>
    </row>
    <row r="2633" spans="1:12">
      <c r="A2633" s="2647" t="s">
        <v>99</v>
      </c>
      <c r="B2633" s="2647" t="s">
        <v>4953</v>
      </c>
      <c r="C2633" s="2647">
        <v>55</v>
      </c>
      <c r="D2633" s="2647">
        <v>100</v>
      </c>
      <c r="E2633" s="2647">
        <v>21</v>
      </c>
      <c r="F2633" s="2647">
        <v>89.6</v>
      </c>
      <c r="G2633" s="2647">
        <v>108</v>
      </c>
      <c r="H2633" s="2647">
        <v>3900</v>
      </c>
      <c r="I2633" s="2647">
        <v>5200</v>
      </c>
      <c r="J2633" s="2647">
        <v>0.75</v>
      </c>
      <c r="K2633" s="2648"/>
      <c r="L2633" s="2647" t="s">
        <v>2088</v>
      </c>
    </row>
    <row r="2634" spans="1:12">
      <c r="A2634" s="2646" t="s">
        <v>99</v>
      </c>
      <c r="B2634" s="2646" t="s">
        <v>4954</v>
      </c>
      <c r="C2634" s="2646">
        <v>55</v>
      </c>
      <c r="D2634" s="2646">
        <v>100</v>
      </c>
      <c r="E2634" s="2646">
        <v>21</v>
      </c>
      <c r="F2634" s="2646">
        <v>94.6</v>
      </c>
      <c r="G2634" s="2646">
        <v>113</v>
      </c>
      <c r="H2634" s="2646">
        <v>3900</v>
      </c>
      <c r="I2634" s="2646">
        <v>5200</v>
      </c>
      <c r="J2634" s="2646">
        <v>0.73199999999999998</v>
      </c>
      <c r="L2634" s="2646" t="s">
        <v>2088</v>
      </c>
    </row>
    <row r="2635" spans="1:12">
      <c r="A2635" s="2647" t="s">
        <v>99</v>
      </c>
      <c r="B2635" s="2647" t="s">
        <v>4955</v>
      </c>
      <c r="C2635" s="2647">
        <v>55</v>
      </c>
      <c r="D2635" s="2647">
        <v>100</v>
      </c>
      <c r="E2635" s="2647">
        <v>25</v>
      </c>
      <c r="F2635" s="2647">
        <v>107</v>
      </c>
      <c r="G2635" s="2647">
        <v>135</v>
      </c>
      <c r="H2635" s="2647">
        <v>3900</v>
      </c>
      <c r="I2635" s="2647">
        <v>5200</v>
      </c>
      <c r="J2635" s="2647">
        <v>0.875</v>
      </c>
      <c r="K2635" s="2648"/>
      <c r="L2635" s="2647" t="s">
        <v>2088</v>
      </c>
    </row>
    <row r="2636" spans="1:12">
      <c r="A2636" s="2646" t="s">
        <v>99</v>
      </c>
      <c r="B2636" s="2646" t="s">
        <v>4956</v>
      </c>
      <c r="C2636" s="2646">
        <v>55</v>
      </c>
      <c r="D2636" s="2646">
        <v>100</v>
      </c>
      <c r="E2636" s="2646">
        <v>25</v>
      </c>
      <c r="F2636" s="2646">
        <v>107</v>
      </c>
      <c r="G2636" s="2646">
        <v>133</v>
      </c>
      <c r="H2636" s="2646">
        <v>3900</v>
      </c>
      <c r="I2636" s="2646">
        <v>5200</v>
      </c>
      <c r="J2636" s="2646">
        <v>0.86299999999999999</v>
      </c>
      <c r="L2636" s="2646" t="s">
        <v>2088</v>
      </c>
    </row>
    <row r="2637" spans="1:12">
      <c r="A2637" s="2647" t="s">
        <v>99</v>
      </c>
      <c r="B2637" s="2647" t="s">
        <v>4957</v>
      </c>
      <c r="C2637" s="2647">
        <v>55</v>
      </c>
      <c r="D2637" s="2647">
        <v>100</v>
      </c>
      <c r="E2637" s="2647">
        <v>35</v>
      </c>
      <c r="F2637" s="2647">
        <v>142</v>
      </c>
      <c r="G2637" s="2647">
        <v>189</v>
      </c>
      <c r="H2637" s="2647">
        <v>3900</v>
      </c>
      <c r="I2637" s="2647">
        <v>5200</v>
      </c>
      <c r="J2637" s="2647">
        <v>1.18</v>
      </c>
      <c r="K2637" s="2648"/>
      <c r="L2637" s="2647" t="s">
        <v>2088</v>
      </c>
    </row>
    <row r="2638" spans="1:12">
      <c r="A2638" s="2646" t="s">
        <v>99</v>
      </c>
      <c r="B2638" s="2646" t="s">
        <v>4958</v>
      </c>
      <c r="C2638" s="2646">
        <v>55</v>
      </c>
      <c r="D2638" s="2646">
        <v>115</v>
      </c>
      <c r="E2638" s="2646">
        <v>31</v>
      </c>
      <c r="F2638" s="2646">
        <v>129</v>
      </c>
      <c r="G2638" s="2646">
        <v>164</v>
      </c>
      <c r="H2638" s="2646">
        <v>3000</v>
      </c>
      <c r="I2638" s="2646">
        <v>4200</v>
      </c>
      <c r="J2638" s="2646">
        <v>1.59</v>
      </c>
      <c r="L2638" s="2646" t="s">
        <v>2088</v>
      </c>
    </row>
    <row r="2639" spans="1:12">
      <c r="A2639" s="2647" t="s">
        <v>99</v>
      </c>
      <c r="B2639" s="2647" t="s">
        <v>4959</v>
      </c>
      <c r="C2639" s="2647">
        <v>55</v>
      </c>
      <c r="D2639" s="2647">
        <v>120</v>
      </c>
      <c r="E2639" s="2647">
        <v>29</v>
      </c>
      <c r="F2639" s="2647">
        <v>129</v>
      </c>
      <c r="G2639" s="2647">
        <v>148</v>
      </c>
      <c r="H2639" s="2647">
        <v>2900</v>
      </c>
      <c r="I2639" s="2647">
        <v>4000</v>
      </c>
      <c r="J2639" s="2647">
        <v>1.59</v>
      </c>
      <c r="K2639" s="2648"/>
      <c r="L2639" s="2647" t="s">
        <v>2088</v>
      </c>
    </row>
    <row r="2640" spans="1:12">
      <c r="A2640" s="2646" t="s">
        <v>99</v>
      </c>
      <c r="B2640" s="2646" t="s">
        <v>4960</v>
      </c>
      <c r="C2640" s="2646">
        <v>55</v>
      </c>
      <c r="D2640" s="2646">
        <v>120</v>
      </c>
      <c r="E2640" s="2646">
        <v>29</v>
      </c>
      <c r="F2640" s="2646">
        <v>144</v>
      </c>
      <c r="G2640" s="2646">
        <v>161</v>
      </c>
      <c r="H2640" s="2646">
        <v>3400</v>
      </c>
      <c r="I2640" s="2646">
        <v>4500</v>
      </c>
      <c r="J2640" s="2646">
        <v>1.58</v>
      </c>
      <c r="L2640" s="2646" t="s">
        <v>2088</v>
      </c>
    </row>
    <row r="2641" spans="1:12">
      <c r="A2641" s="2647" t="s">
        <v>99</v>
      </c>
      <c r="B2641" s="2647" t="s">
        <v>4961</v>
      </c>
      <c r="C2641" s="2647">
        <v>55</v>
      </c>
      <c r="D2641" s="2647">
        <v>120</v>
      </c>
      <c r="E2641" s="2647">
        <v>29</v>
      </c>
      <c r="F2641" s="2647">
        <v>149</v>
      </c>
      <c r="G2641" s="2647">
        <v>170</v>
      </c>
      <c r="H2641" s="2647">
        <v>3300</v>
      </c>
      <c r="I2641" s="2647">
        <v>4500</v>
      </c>
      <c r="J2641" s="2647">
        <v>1.65</v>
      </c>
      <c r="K2641" s="2648"/>
      <c r="L2641" s="2647" t="s">
        <v>2088</v>
      </c>
    </row>
    <row r="2642" spans="1:12">
      <c r="A2642" s="2646" t="s">
        <v>99</v>
      </c>
      <c r="B2642" s="2646" t="s">
        <v>4962</v>
      </c>
      <c r="C2642" s="2646">
        <v>55</v>
      </c>
      <c r="D2642" s="2646">
        <v>120</v>
      </c>
      <c r="E2642" s="2646">
        <v>43</v>
      </c>
      <c r="F2642" s="2646">
        <v>184</v>
      </c>
      <c r="G2642" s="2646">
        <v>247</v>
      </c>
      <c r="H2642" s="2646">
        <v>3400</v>
      </c>
      <c r="I2642" s="2646">
        <v>4600</v>
      </c>
      <c r="J2642" s="2646">
        <v>2.4500000000000002</v>
      </c>
      <c r="L2642" s="2646" t="s">
        <v>2088</v>
      </c>
    </row>
    <row r="2643" spans="1:12">
      <c r="A2643" s="2647" t="s">
        <v>99</v>
      </c>
      <c r="B2643" s="2647" t="s">
        <v>4963</v>
      </c>
      <c r="C2643" s="2647">
        <v>55</v>
      </c>
      <c r="D2643" s="2647">
        <v>120</v>
      </c>
      <c r="E2643" s="2647">
        <v>43</v>
      </c>
      <c r="F2643" s="2647">
        <v>171</v>
      </c>
      <c r="G2643" s="2647">
        <v>203</v>
      </c>
      <c r="H2643" s="2647">
        <v>3400</v>
      </c>
      <c r="I2643" s="2647">
        <v>4500</v>
      </c>
      <c r="J2643" s="2647">
        <v>2.2400000000000002</v>
      </c>
      <c r="K2643" s="2648"/>
      <c r="L2643" s="2647" t="s">
        <v>2088</v>
      </c>
    </row>
    <row r="2644" spans="1:12">
      <c r="A2644" s="2646" t="s">
        <v>99</v>
      </c>
      <c r="B2644" s="2646" t="s">
        <v>4964</v>
      </c>
      <c r="C2644" s="2646">
        <v>55</v>
      </c>
      <c r="D2644" s="2646">
        <v>120</v>
      </c>
      <c r="E2644" s="2646">
        <v>43</v>
      </c>
      <c r="F2644" s="2646">
        <v>200</v>
      </c>
      <c r="G2644" s="2646">
        <v>250</v>
      </c>
      <c r="H2644" s="2646">
        <v>3400</v>
      </c>
      <c r="I2644" s="2646">
        <v>4500</v>
      </c>
      <c r="J2644" s="2646">
        <v>2.38</v>
      </c>
      <c r="L2644" s="2646" t="s">
        <v>2088</v>
      </c>
    </row>
    <row r="2645" spans="1:12">
      <c r="A2645" s="2647" t="s">
        <v>99</v>
      </c>
      <c r="B2645" s="2647" t="s">
        <v>4965</v>
      </c>
      <c r="C2645" s="2647">
        <v>55</v>
      </c>
      <c r="D2645" s="2647">
        <v>125</v>
      </c>
      <c r="E2645" s="2647">
        <v>36</v>
      </c>
      <c r="F2645" s="2647">
        <v>135</v>
      </c>
      <c r="G2645" s="2647">
        <v>172</v>
      </c>
      <c r="H2645" s="2647">
        <v>2800</v>
      </c>
      <c r="I2645" s="2647">
        <v>3800</v>
      </c>
      <c r="J2645" s="2647">
        <v>2.1</v>
      </c>
      <c r="K2645" s="2648"/>
      <c r="L2645" s="2647" t="s">
        <v>2088</v>
      </c>
    </row>
    <row r="2646" spans="1:12">
      <c r="A2646" s="2646" t="s">
        <v>99</v>
      </c>
      <c r="B2646" s="2646" t="s">
        <v>4966</v>
      </c>
      <c r="C2646" s="2646">
        <v>60</v>
      </c>
      <c r="D2646" s="2646">
        <v>85</v>
      </c>
      <c r="E2646" s="2646">
        <v>17</v>
      </c>
      <c r="F2646" s="2646">
        <v>46.2</v>
      </c>
      <c r="G2646" s="2646">
        <v>78.2</v>
      </c>
      <c r="H2646" s="2646">
        <v>4100</v>
      </c>
      <c r="I2646" s="2646">
        <v>5500</v>
      </c>
      <c r="J2646" s="2646">
        <v>0.30599999999999999</v>
      </c>
      <c r="L2646" s="2646" t="s">
        <v>2088</v>
      </c>
    </row>
    <row r="2647" spans="1:12">
      <c r="A2647" s="2647" t="s">
        <v>99</v>
      </c>
      <c r="B2647" s="2647" t="s">
        <v>4967</v>
      </c>
      <c r="C2647" s="2647">
        <v>60</v>
      </c>
      <c r="D2647" s="2647">
        <v>95</v>
      </c>
      <c r="E2647" s="2647">
        <v>23</v>
      </c>
      <c r="F2647" s="2647">
        <v>86.1</v>
      </c>
      <c r="G2647" s="2647">
        <v>127</v>
      </c>
      <c r="H2647" s="2647">
        <v>3900</v>
      </c>
      <c r="I2647" s="2647">
        <v>5200</v>
      </c>
      <c r="J2647" s="2647">
        <v>0.621</v>
      </c>
      <c r="K2647" s="2648"/>
      <c r="L2647" s="2647" t="s">
        <v>2088</v>
      </c>
    </row>
    <row r="2648" spans="1:12">
      <c r="A2648" s="2646" t="s">
        <v>99</v>
      </c>
      <c r="B2648" s="2646" t="s">
        <v>4968</v>
      </c>
      <c r="C2648" s="2646">
        <v>60</v>
      </c>
      <c r="D2648" s="2646">
        <v>95</v>
      </c>
      <c r="E2648" s="2646">
        <v>27</v>
      </c>
      <c r="F2648" s="2646">
        <v>101</v>
      </c>
      <c r="G2648" s="2646">
        <v>162</v>
      </c>
      <c r="H2648" s="2646">
        <v>3900</v>
      </c>
      <c r="I2648" s="2646">
        <v>5200</v>
      </c>
      <c r="J2648" s="2646">
        <v>0.71899999999999997</v>
      </c>
      <c r="L2648" s="2646" t="s">
        <v>2088</v>
      </c>
    </row>
    <row r="2649" spans="1:12">
      <c r="A2649" s="2647" t="s">
        <v>99</v>
      </c>
      <c r="B2649" s="2647" t="s">
        <v>4969</v>
      </c>
      <c r="C2649" s="2647">
        <v>60</v>
      </c>
      <c r="D2649" s="2647">
        <v>100</v>
      </c>
      <c r="E2649" s="2647">
        <v>30</v>
      </c>
      <c r="F2649" s="2647">
        <v>118</v>
      </c>
      <c r="G2649" s="2647">
        <v>170</v>
      </c>
      <c r="H2649" s="2647">
        <v>3700</v>
      </c>
      <c r="I2649" s="2647">
        <v>5000</v>
      </c>
      <c r="J2649" s="2647">
        <v>0.92300000000000004</v>
      </c>
      <c r="K2649" s="2648"/>
      <c r="L2649" s="2647" t="s">
        <v>2088</v>
      </c>
    </row>
    <row r="2650" spans="1:12">
      <c r="A2650" s="2646" t="s">
        <v>99</v>
      </c>
      <c r="B2650" s="2646" t="s">
        <v>4970</v>
      </c>
      <c r="C2650" s="2646">
        <v>60</v>
      </c>
      <c r="D2650" s="2646">
        <v>110</v>
      </c>
      <c r="E2650" s="2646">
        <v>22</v>
      </c>
      <c r="F2650" s="2646">
        <v>102</v>
      </c>
      <c r="G2650" s="2646">
        <v>123</v>
      </c>
      <c r="H2650" s="2646">
        <v>3500</v>
      </c>
      <c r="I2650" s="2646">
        <v>4700</v>
      </c>
      <c r="J2650" s="2646">
        <v>0.93</v>
      </c>
      <c r="L2650" s="2646" t="s">
        <v>2088</v>
      </c>
    </row>
    <row r="2651" spans="1:12">
      <c r="A2651" s="2647" t="s">
        <v>99</v>
      </c>
      <c r="B2651" s="2647" t="s">
        <v>4971</v>
      </c>
      <c r="C2651" s="2647">
        <v>60</v>
      </c>
      <c r="D2651" s="2647">
        <v>110</v>
      </c>
      <c r="E2651" s="2647">
        <v>22</v>
      </c>
      <c r="F2651" s="2647">
        <v>106</v>
      </c>
      <c r="G2651" s="2647">
        <v>127</v>
      </c>
      <c r="H2651" s="2647">
        <v>3500</v>
      </c>
      <c r="I2651" s="2647">
        <v>4700</v>
      </c>
      <c r="J2651" s="2647">
        <v>0.94499999999999995</v>
      </c>
      <c r="K2651" s="2648"/>
      <c r="L2651" s="2647" t="s">
        <v>2088</v>
      </c>
    </row>
    <row r="2652" spans="1:12">
      <c r="A2652" s="2646" t="s">
        <v>99</v>
      </c>
      <c r="B2652" s="2646" t="s">
        <v>4972</v>
      </c>
      <c r="C2652" s="2646">
        <v>60</v>
      </c>
      <c r="D2652" s="2646">
        <v>110</v>
      </c>
      <c r="E2652" s="2646">
        <v>28</v>
      </c>
      <c r="F2652" s="2646">
        <v>128</v>
      </c>
      <c r="G2652" s="2646">
        <v>164</v>
      </c>
      <c r="H2652" s="2646">
        <v>3600</v>
      </c>
      <c r="I2652" s="2646">
        <v>4700</v>
      </c>
      <c r="J2652" s="2646">
        <v>1.2</v>
      </c>
      <c r="L2652" s="2646" t="s">
        <v>2088</v>
      </c>
    </row>
    <row r="2653" spans="1:12">
      <c r="A2653" s="2647" t="s">
        <v>99</v>
      </c>
      <c r="B2653" s="2647" t="s">
        <v>4973</v>
      </c>
      <c r="C2653" s="2647">
        <v>60</v>
      </c>
      <c r="D2653" s="2647">
        <v>110</v>
      </c>
      <c r="E2653" s="2647">
        <v>28</v>
      </c>
      <c r="F2653" s="2647">
        <v>132</v>
      </c>
      <c r="G2653" s="2647">
        <v>167</v>
      </c>
      <c r="H2653" s="2647">
        <v>3500</v>
      </c>
      <c r="I2653" s="2647">
        <v>4700</v>
      </c>
      <c r="J2653" s="2647">
        <v>1.19</v>
      </c>
      <c r="K2653" s="2648"/>
      <c r="L2653" s="2647" t="s">
        <v>2088</v>
      </c>
    </row>
    <row r="2654" spans="1:12">
      <c r="A2654" s="2646" t="s">
        <v>99</v>
      </c>
      <c r="B2654" s="2646" t="s">
        <v>4974</v>
      </c>
      <c r="C2654" s="2646">
        <v>60</v>
      </c>
      <c r="D2654" s="2646">
        <v>110</v>
      </c>
      <c r="E2654" s="2646">
        <v>38</v>
      </c>
      <c r="F2654" s="2646">
        <v>174</v>
      </c>
      <c r="G2654" s="2646">
        <v>239</v>
      </c>
      <c r="H2654" s="2646">
        <v>3600</v>
      </c>
      <c r="I2654" s="2646">
        <v>4700</v>
      </c>
      <c r="J2654" s="2646">
        <v>1.57</v>
      </c>
      <c r="L2654" s="2646" t="s">
        <v>2088</v>
      </c>
    </row>
    <row r="2655" spans="1:12">
      <c r="A2655" s="2647" t="s">
        <v>99</v>
      </c>
      <c r="B2655" s="2647" t="s">
        <v>4975</v>
      </c>
      <c r="C2655" s="2647">
        <v>60</v>
      </c>
      <c r="D2655" s="2647">
        <v>115</v>
      </c>
      <c r="E2655" s="2647">
        <v>38</v>
      </c>
      <c r="F2655" s="2647">
        <v>158</v>
      </c>
      <c r="G2655" s="2647">
        <v>227</v>
      </c>
      <c r="H2655" s="2647">
        <v>3400</v>
      </c>
      <c r="I2655" s="2647">
        <v>4600</v>
      </c>
      <c r="J2655" s="2647">
        <v>1.81</v>
      </c>
      <c r="K2655" s="2648"/>
      <c r="L2655" s="2647" t="s">
        <v>2088</v>
      </c>
    </row>
    <row r="2656" spans="1:12">
      <c r="A2656" s="2646" t="s">
        <v>99</v>
      </c>
      <c r="B2656" s="2646" t="s">
        <v>4976</v>
      </c>
      <c r="C2656" s="2646">
        <v>60</v>
      </c>
      <c r="D2656" s="2646">
        <v>115</v>
      </c>
      <c r="E2656" s="2646">
        <v>39</v>
      </c>
      <c r="F2656" s="2646">
        <v>183</v>
      </c>
      <c r="G2656" s="2646">
        <v>242</v>
      </c>
      <c r="H2656" s="2646">
        <v>3400</v>
      </c>
      <c r="I2656" s="2646">
        <v>4600</v>
      </c>
      <c r="J2656" s="2646">
        <v>1.8</v>
      </c>
      <c r="L2656" s="2646" t="s">
        <v>2088</v>
      </c>
    </row>
    <row r="2657" spans="1:12">
      <c r="A2657" s="2647" t="s">
        <v>99</v>
      </c>
      <c r="B2657" s="2647" t="s">
        <v>4977</v>
      </c>
      <c r="C2657" s="2647">
        <v>60</v>
      </c>
      <c r="D2657" s="2647">
        <v>125</v>
      </c>
      <c r="E2657" s="2647">
        <v>26</v>
      </c>
      <c r="F2657" s="2647">
        <v>153</v>
      </c>
      <c r="G2657" s="2647">
        <v>194</v>
      </c>
      <c r="H2657" s="2647">
        <v>2800</v>
      </c>
      <c r="I2657" s="2647">
        <v>3900</v>
      </c>
      <c r="J2657" s="2647">
        <v>2.0299999999999998</v>
      </c>
      <c r="K2657" s="2648"/>
      <c r="L2657" s="2647" t="s">
        <v>2088</v>
      </c>
    </row>
    <row r="2658" spans="1:12">
      <c r="A2658" s="2646" t="s">
        <v>99</v>
      </c>
      <c r="B2658" s="2646" t="s">
        <v>4978</v>
      </c>
      <c r="C2658" s="2646">
        <v>60</v>
      </c>
      <c r="D2658" s="2646">
        <v>130</v>
      </c>
      <c r="E2658" s="2646">
        <v>31</v>
      </c>
      <c r="F2658" s="2646">
        <v>153</v>
      </c>
      <c r="G2658" s="2646">
        <v>179</v>
      </c>
      <c r="H2658" s="2646">
        <v>2600</v>
      </c>
      <c r="I2658" s="2646">
        <v>3700</v>
      </c>
      <c r="J2658" s="2646">
        <v>2.0099999999999998</v>
      </c>
      <c r="L2658" s="2646" t="s">
        <v>2088</v>
      </c>
    </row>
    <row r="2659" spans="1:12">
      <c r="A2659" s="2647" t="s">
        <v>99</v>
      </c>
      <c r="B2659" s="2647" t="s">
        <v>4979</v>
      </c>
      <c r="C2659" s="2647">
        <v>60</v>
      </c>
      <c r="D2659" s="2647">
        <v>130</v>
      </c>
      <c r="E2659" s="2647">
        <v>31</v>
      </c>
      <c r="F2659" s="2647">
        <v>169</v>
      </c>
      <c r="G2659" s="2647">
        <v>196</v>
      </c>
      <c r="H2659" s="2647">
        <v>3100</v>
      </c>
      <c r="I2659" s="2647">
        <v>4200</v>
      </c>
      <c r="J2659" s="2647">
        <v>1.99</v>
      </c>
      <c r="K2659" s="2648"/>
      <c r="L2659" s="2647" t="s">
        <v>2088</v>
      </c>
    </row>
    <row r="2660" spans="1:12">
      <c r="A2660" s="2646" t="s">
        <v>99</v>
      </c>
      <c r="B2660" s="2646" t="s">
        <v>4980</v>
      </c>
      <c r="C2660" s="2646">
        <v>60</v>
      </c>
      <c r="D2660" s="2646">
        <v>130</v>
      </c>
      <c r="E2660" s="2646">
        <v>31</v>
      </c>
      <c r="F2660" s="2646">
        <v>173</v>
      </c>
      <c r="G2660" s="2646">
        <v>201</v>
      </c>
      <c r="H2660" s="2646">
        <v>3100</v>
      </c>
      <c r="I2660" s="2646">
        <v>4100</v>
      </c>
      <c r="J2660" s="2646">
        <v>2.08</v>
      </c>
      <c r="L2660" s="2646" t="s">
        <v>2088</v>
      </c>
    </row>
    <row r="2661" spans="1:12">
      <c r="A2661" s="2647" t="s">
        <v>99</v>
      </c>
      <c r="B2661" s="2647" t="s">
        <v>4981</v>
      </c>
      <c r="C2661" s="2647">
        <v>60</v>
      </c>
      <c r="D2661" s="2647">
        <v>130</v>
      </c>
      <c r="E2661" s="2647">
        <v>46</v>
      </c>
      <c r="F2661" s="2647">
        <v>229</v>
      </c>
      <c r="G2661" s="2647">
        <v>310</v>
      </c>
      <c r="H2661" s="2647">
        <v>3200</v>
      </c>
      <c r="I2661" s="2647">
        <v>4300</v>
      </c>
      <c r="J2661" s="2647">
        <v>3.15</v>
      </c>
      <c r="K2661" s="2648"/>
      <c r="L2661" s="2647" t="s">
        <v>2088</v>
      </c>
    </row>
    <row r="2662" spans="1:12">
      <c r="A2662" s="2646" t="s">
        <v>99</v>
      </c>
      <c r="B2662" s="2646" t="s">
        <v>4982</v>
      </c>
      <c r="C2662" s="2646">
        <v>60</v>
      </c>
      <c r="D2662" s="2646">
        <v>130</v>
      </c>
      <c r="E2662" s="2646">
        <v>46</v>
      </c>
      <c r="F2662" s="2646">
        <v>221</v>
      </c>
      <c r="G2662" s="2646">
        <v>275</v>
      </c>
      <c r="H2662" s="2646">
        <v>3100</v>
      </c>
      <c r="I2662" s="2646">
        <v>4200</v>
      </c>
      <c r="J2662" s="2646">
        <v>2.87</v>
      </c>
      <c r="L2662" s="2646" t="s">
        <v>2088</v>
      </c>
    </row>
    <row r="2663" spans="1:12">
      <c r="A2663" s="2647" t="s">
        <v>99</v>
      </c>
      <c r="B2663" s="2647" t="s">
        <v>4983</v>
      </c>
      <c r="C2663" s="2647">
        <v>60</v>
      </c>
      <c r="D2663" s="2647">
        <v>130</v>
      </c>
      <c r="E2663" s="2647">
        <v>46</v>
      </c>
      <c r="F2663" s="2647">
        <v>244</v>
      </c>
      <c r="G2663" s="2647">
        <v>315</v>
      </c>
      <c r="H2663" s="2647">
        <v>3100</v>
      </c>
      <c r="I2663" s="2647">
        <v>4200</v>
      </c>
      <c r="J2663" s="2647">
        <v>2.99</v>
      </c>
      <c r="K2663" s="2648"/>
      <c r="L2663" s="2647" t="s">
        <v>2088</v>
      </c>
    </row>
    <row r="2664" spans="1:12">
      <c r="A2664" s="2646" t="s">
        <v>99</v>
      </c>
      <c r="B2664" s="2646" t="s">
        <v>4984</v>
      </c>
      <c r="C2664" s="2646">
        <v>65</v>
      </c>
      <c r="D2664" s="2646">
        <v>90</v>
      </c>
      <c r="E2664" s="2646">
        <v>17</v>
      </c>
      <c r="F2664" s="2646">
        <v>47.4</v>
      </c>
      <c r="G2664" s="2646">
        <v>83.1</v>
      </c>
      <c r="H2664" s="2646">
        <v>3900</v>
      </c>
      <c r="I2664" s="2646">
        <v>5200</v>
      </c>
      <c r="J2664" s="2646">
        <v>0.32700000000000001</v>
      </c>
      <c r="L2664" s="2646" t="s">
        <v>2088</v>
      </c>
    </row>
    <row r="2665" spans="1:12">
      <c r="A2665" s="2647" t="s">
        <v>99</v>
      </c>
      <c r="B2665" s="2647" t="s">
        <v>4985</v>
      </c>
      <c r="C2665" s="2647">
        <v>65</v>
      </c>
      <c r="D2665" s="2647">
        <v>100</v>
      </c>
      <c r="E2665" s="2647">
        <v>23</v>
      </c>
      <c r="F2665" s="2647">
        <v>90</v>
      </c>
      <c r="G2665" s="2647">
        <v>137</v>
      </c>
      <c r="H2665" s="2647">
        <v>3600</v>
      </c>
      <c r="I2665" s="2647">
        <v>4800</v>
      </c>
      <c r="J2665" s="2647">
        <v>0.66400000000000003</v>
      </c>
      <c r="K2665" s="2648"/>
      <c r="L2665" s="2647" t="s">
        <v>2088</v>
      </c>
    </row>
    <row r="2666" spans="1:12">
      <c r="A2666" s="2646" t="s">
        <v>99</v>
      </c>
      <c r="B2666" s="2646" t="s">
        <v>4986</v>
      </c>
      <c r="C2666" s="2646">
        <v>65</v>
      </c>
      <c r="D2666" s="2646">
        <v>100</v>
      </c>
      <c r="E2666" s="2646">
        <v>27</v>
      </c>
      <c r="F2666" s="2646">
        <v>103</v>
      </c>
      <c r="G2666" s="2646">
        <v>169</v>
      </c>
      <c r="H2666" s="2646">
        <v>3600</v>
      </c>
      <c r="I2666" s="2646">
        <v>4800</v>
      </c>
      <c r="J2666" s="2646">
        <v>0.76200000000000001</v>
      </c>
      <c r="L2666" s="2646" t="s">
        <v>2088</v>
      </c>
    </row>
    <row r="2667" spans="1:12">
      <c r="A2667" s="2647" t="s">
        <v>99</v>
      </c>
      <c r="B2667" s="2647" t="s">
        <v>4987</v>
      </c>
      <c r="C2667" s="2647">
        <v>65</v>
      </c>
      <c r="D2667" s="2647">
        <v>110</v>
      </c>
      <c r="E2667" s="2647">
        <v>34</v>
      </c>
      <c r="F2667" s="2647">
        <v>152</v>
      </c>
      <c r="G2667" s="2647">
        <v>223</v>
      </c>
      <c r="H2667" s="2647">
        <v>3400</v>
      </c>
      <c r="I2667" s="2647">
        <v>4600</v>
      </c>
      <c r="J2667" s="2647">
        <v>1.33</v>
      </c>
      <c r="K2667" s="2648"/>
      <c r="L2667" s="2647" t="s">
        <v>2088</v>
      </c>
    </row>
    <row r="2668" spans="1:12">
      <c r="A2668" s="2646" t="s">
        <v>99</v>
      </c>
      <c r="B2668" s="2646" t="s">
        <v>4988</v>
      </c>
      <c r="C2668" s="2646">
        <v>65</v>
      </c>
      <c r="D2668" s="2646">
        <v>120</v>
      </c>
      <c r="E2668" s="2646">
        <v>23</v>
      </c>
      <c r="F2668" s="2646">
        <v>116</v>
      </c>
      <c r="G2668" s="2646">
        <v>139</v>
      </c>
      <c r="H2668" s="2646">
        <v>3200</v>
      </c>
      <c r="I2668" s="2646">
        <v>4300</v>
      </c>
      <c r="J2668" s="2646">
        <v>1.1499999999999999</v>
      </c>
      <c r="L2668" s="2646" t="s">
        <v>2088</v>
      </c>
    </row>
    <row r="2669" spans="1:12">
      <c r="A2669" s="2647" t="s">
        <v>99</v>
      </c>
      <c r="B2669" s="2647" t="s">
        <v>4989</v>
      </c>
      <c r="C2669" s="2647">
        <v>65</v>
      </c>
      <c r="D2669" s="2647">
        <v>120</v>
      </c>
      <c r="E2669" s="2647">
        <v>23</v>
      </c>
      <c r="F2669" s="2647">
        <v>128</v>
      </c>
      <c r="G2669" s="2647">
        <v>156</v>
      </c>
      <c r="H2669" s="2647">
        <v>3200</v>
      </c>
      <c r="I2669" s="2647">
        <v>4300</v>
      </c>
      <c r="J2669" s="2647">
        <v>1.18</v>
      </c>
      <c r="K2669" s="2648"/>
      <c r="L2669" s="2647" t="s">
        <v>2088</v>
      </c>
    </row>
    <row r="2670" spans="1:12">
      <c r="A2670" s="2646" t="s">
        <v>99</v>
      </c>
      <c r="B2670" s="2646" t="s">
        <v>4990</v>
      </c>
      <c r="C2670" s="2646">
        <v>65</v>
      </c>
      <c r="D2670" s="2646">
        <v>120</v>
      </c>
      <c r="E2670" s="2646">
        <v>31</v>
      </c>
      <c r="F2670" s="2646">
        <v>151</v>
      </c>
      <c r="G2670" s="2646">
        <v>198</v>
      </c>
      <c r="H2670" s="2646">
        <v>3200</v>
      </c>
      <c r="I2670" s="2646">
        <v>4300</v>
      </c>
      <c r="J2670" s="2646">
        <v>1.55</v>
      </c>
      <c r="L2670" s="2646" t="s">
        <v>2088</v>
      </c>
    </row>
    <row r="2671" spans="1:12">
      <c r="A2671" s="2647" t="s">
        <v>99</v>
      </c>
      <c r="B2671" s="2647" t="s">
        <v>4991</v>
      </c>
      <c r="C2671" s="2647">
        <v>65</v>
      </c>
      <c r="D2671" s="2647">
        <v>120</v>
      </c>
      <c r="E2671" s="2647">
        <v>31</v>
      </c>
      <c r="F2671" s="2647">
        <v>157</v>
      </c>
      <c r="G2671" s="2647">
        <v>203</v>
      </c>
      <c r="H2671" s="2647">
        <v>3200</v>
      </c>
      <c r="I2671" s="2647">
        <v>4300</v>
      </c>
      <c r="J2671" s="2647">
        <v>1.58</v>
      </c>
      <c r="K2671" s="2648"/>
      <c r="L2671" s="2647" t="s">
        <v>2088</v>
      </c>
    </row>
    <row r="2672" spans="1:12">
      <c r="A2672" s="2646" t="s">
        <v>99</v>
      </c>
      <c r="B2672" s="2646" t="s">
        <v>4992</v>
      </c>
      <c r="C2672" s="2646">
        <v>65</v>
      </c>
      <c r="D2672" s="2646">
        <v>120</v>
      </c>
      <c r="E2672" s="2646">
        <v>39</v>
      </c>
      <c r="F2672" s="2646">
        <v>151</v>
      </c>
      <c r="G2672" s="2646">
        <v>232</v>
      </c>
      <c r="H2672" s="2646">
        <v>3200</v>
      </c>
      <c r="I2672" s="2646">
        <v>4300</v>
      </c>
      <c r="J2672" s="2646">
        <v>1.93</v>
      </c>
      <c r="L2672" s="2646" t="s">
        <v>2088</v>
      </c>
    </row>
    <row r="2673" spans="1:12">
      <c r="A2673" s="2647" t="s">
        <v>99</v>
      </c>
      <c r="B2673" s="2647" t="s">
        <v>4993</v>
      </c>
      <c r="C2673" s="2647">
        <v>65</v>
      </c>
      <c r="D2673" s="2647">
        <v>120</v>
      </c>
      <c r="E2673" s="2647">
        <v>41</v>
      </c>
      <c r="F2673" s="2647">
        <v>200</v>
      </c>
      <c r="G2673" s="2647">
        <v>277</v>
      </c>
      <c r="H2673" s="2647">
        <v>3200</v>
      </c>
      <c r="I2673" s="2647">
        <v>4300</v>
      </c>
      <c r="J2673" s="2647">
        <v>2.02</v>
      </c>
      <c r="K2673" s="2648"/>
      <c r="L2673" s="2647" t="s">
        <v>2088</v>
      </c>
    </row>
    <row r="2674" spans="1:12">
      <c r="A2674" s="2646" t="s">
        <v>99</v>
      </c>
      <c r="B2674" s="2646" t="s">
        <v>4994</v>
      </c>
      <c r="C2674" s="2646">
        <v>65</v>
      </c>
      <c r="D2674" s="2646">
        <v>130</v>
      </c>
      <c r="E2674" s="2646">
        <v>37</v>
      </c>
      <c r="F2674" s="2646">
        <v>148</v>
      </c>
      <c r="G2674" s="2646">
        <v>211</v>
      </c>
      <c r="H2674" s="2646">
        <v>2600</v>
      </c>
      <c r="I2674" s="2646">
        <v>3600</v>
      </c>
      <c r="J2674" s="2646">
        <v>2.17</v>
      </c>
      <c r="L2674" s="2646" t="s">
        <v>2088</v>
      </c>
    </row>
    <row r="2675" spans="1:12">
      <c r="A2675" s="2647" t="s">
        <v>99</v>
      </c>
      <c r="B2675" s="2647" t="s">
        <v>4995</v>
      </c>
      <c r="C2675" s="2647">
        <v>65</v>
      </c>
      <c r="D2675" s="2647">
        <v>140</v>
      </c>
      <c r="E2675" s="2647">
        <v>36</v>
      </c>
      <c r="F2675" s="2647">
        <v>176</v>
      </c>
      <c r="G2675" s="2647">
        <v>209</v>
      </c>
      <c r="H2675" s="2647">
        <v>2400</v>
      </c>
      <c r="I2675" s="2647">
        <v>3400</v>
      </c>
      <c r="J2675" s="2647">
        <v>2.44</v>
      </c>
      <c r="K2675" s="2648"/>
      <c r="L2675" s="2647" t="s">
        <v>2088</v>
      </c>
    </row>
    <row r="2676" spans="1:12">
      <c r="A2676" s="2646" t="s">
        <v>99</v>
      </c>
      <c r="B2676" s="2646" t="s">
        <v>4996</v>
      </c>
      <c r="C2676" s="2646">
        <v>65</v>
      </c>
      <c r="D2676" s="2646">
        <v>140</v>
      </c>
      <c r="E2676" s="2646">
        <v>36</v>
      </c>
      <c r="F2676" s="2646">
        <v>193</v>
      </c>
      <c r="G2676" s="2646">
        <v>227</v>
      </c>
      <c r="H2676" s="2646">
        <v>2900</v>
      </c>
      <c r="I2676" s="2646">
        <v>3900</v>
      </c>
      <c r="J2676" s="2646">
        <v>2.44</v>
      </c>
      <c r="L2676" s="2646" t="s">
        <v>2088</v>
      </c>
    </row>
    <row r="2677" spans="1:12">
      <c r="A2677" s="2647" t="s">
        <v>99</v>
      </c>
      <c r="B2677" s="2647" t="s">
        <v>4997</v>
      </c>
      <c r="C2677" s="2647">
        <v>65</v>
      </c>
      <c r="D2677" s="2647">
        <v>140</v>
      </c>
      <c r="E2677" s="2647">
        <v>36</v>
      </c>
      <c r="F2677" s="2647">
        <v>204</v>
      </c>
      <c r="G2677" s="2647">
        <v>239</v>
      </c>
      <c r="H2677" s="2647">
        <v>2800</v>
      </c>
      <c r="I2677" s="2647">
        <v>3800</v>
      </c>
      <c r="J2677" s="2647">
        <v>2.56</v>
      </c>
      <c r="K2677" s="2648"/>
      <c r="L2677" s="2647" t="s">
        <v>2088</v>
      </c>
    </row>
    <row r="2678" spans="1:12">
      <c r="A2678" s="2646" t="s">
        <v>99</v>
      </c>
      <c r="B2678" s="2646" t="s">
        <v>4998</v>
      </c>
      <c r="C2678" s="2646">
        <v>65</v>
      </c>
      <c r="D2678" s="2646">
        <v>140</v>
      </c>
      <c r="E2678" s="2646">
        <v>48</v>
      </c>
      <c r="F2678" s="2646">
        <v>258</v>
      </c>
      <c r="G2678" s="2646">
        <v>361</v>
      </c>
      <c r="H2678" s="2646">
        <v>2900</v>
      </c>
      <c r="I2678" s="2646">
        <v>3900</v>
      </c>
      <c r="J2678" s="2646">
        <v>3.85</v>
      </c>
      <c r="L2678" s="2646" t="s">
        <v>2088</v>
      </c>
    </row>
    <row r="2679" spans="1:12">
      <c r="A2679" s="2647" t="s">
        <v>99</v>
      </c>
      <c r="B2679" s="2647" t="s">
        <v>4999</v>
      </c>
      <c r="C2679" s="2647">
        <v>65</v>
      </c>
      <c r="D2679" s="2647">
        <v>140</v>
      </c>
      <c r="E2679" s="2647">
        <v>48</v>
      </c>
      <c r="F2679" s="2647">
        <v>250</v>
      </c>
      <c r="G2679" s="2647">
        <v>312</v>
      </c>
      <c r="H2679" s="2647">
        <v>2900</v>
      </c>
      <c r="I2679" s="2647">
        <v>3900</v>
      </c>
      <c r="J2679" s="2647">
        <v>3.49</v>
      </c>
      <c r="K2679" s="2648"/>
      <c r="L2679" s="2647" t="s">
        <v>2088</v>
      </c>
    </row>
    <row r="2680" spans="1:12">
      <c r="A2680" s="2646" t="s">
        <v>99</v>
      </c>
      <c r="B2680" s="2646" t="s">
        <v>5000</v>
      </c>
      <c r="C2680" s="2646">
        <v>65</v>
      </c>
      <c r="D2680" s="2646">
        <v>140</v>
      </c>
      <c r="E2680" s="2646">
        <v>48</v>
      </c>
      <c r="F2680" s="2646">
        <v>276</v>
      </c>
      <c r="G2680" s="2646">
        <v>357</v>
      </c>
      <c r="H2680" s="2646">
        <v>2900</v>
      </c>
      <c r="I2680" s="2646">
        <v>3900</v>
      </c>
      <c r="J2680" s="2646">
        <v>3.64</v>
      </c>
      <c r="L2680" s="2646" t="s">
        <v>2088</v>
      </c>
    </row>
    <row r="2681" spans="1:12">
      <c r="A2681" s="2647" t="s">
        <v>99</v>
      </c>
      <c r="B2681" s="2647">
        <v>807713</v>
      </c>
      <c r="C2681" s="2647">
        <v>65</v>
      </c>
      <c r="D2681" s="2647">
        <v>150</v>
      </c>
      <c r="E2681" s="2647">
        <v>54</v>
      </c>
      <c r="F2681" s="2647">
        <v>269</v>
      </c>
      <c r="G2681" s="2647">
        <v>390</v>
      </c>
      <c r="H2681" s="2647">
        <v>2400</v>
      </c>
      <c r="I2681" s="2647">
        <v>3400</v>
      </c>
      <c r="J2681" s="2647">
        <v>4.43</v>
      </c>
      <c r="K2681" s="2648"/>
      <c r="L2681" s="2647" t="s">
        <v>2088</v>
      </c>
    </row>
    <row r="2682" spans="1:12">
      <c r="A2682" s="2646" t="s">
        <v>99</v>
      </c>
      <c r="B2682" s="2646" t="s">
        <v>5001</v>
      </c>
      <c r="C2682" s="2646">
        <v>70</v>
      </c>
      <c r="D2682" s="2646">
        <v>100</v>
      </c>
      <c r="E2682" s="2646">
        <v>20</v>
      </c>
      <c r="F2682" s="2646">
        <v>71</v>
      </c>
      <c r="G2682" s="2646">
        <v>115</v>
      </c>
      <c r="H2682" s="2646">
        <v>3500</v>
      </c>
      <c r="I2682" s="2646">
        <v>4700</v>
      </c>
      <c r="J2682" s="2646">
        <v>0.496</v>
      </c>
      <c r="L2682" s="2646" t="s">
        <v>2088</v>
      </c>
    </row>
    <row r="2683" spans="1:12">
      <c r="A2683" s="2647" t="s">
        <v>99</v>
      </c>
      <c r="B2683" s="2647" t="s">
        <v>5002</v>
      </c>
      <c r="C2683" s="2647">
        <v>70</v>
      </c>
      <c r="D2683" s="2647">
        <v>110</v>
      </c>
      <c r="E2683" s="2647">
        <v>25</v>
      </c>
      <c r="F2683" s="2647">
        <v>108</v>
      </c>
      <c r="G2683" s="2647">
        <v>163</v>
      </c>
      <c r="H2683" s="2647">
        <v>3300</v>
      </c>
      <c r="I2683" s="2647">
        <v>4400</v>
      </c>
      <c r="J2683" s="2647">
        <v>0.88400000000000001</v>
      </c>
      <c r="K2683" s="2648"/>
      <c r="L2683" s="2647" t="s">
        <v>2088</v>
      </c>
    </row>
    <row r="2684" spans="1:12">
      <c r="A2684" s="2646" t="s">
        <v>99</v>
      </c>
      <c r="B2684" s="2646" t="s">
        <v>5003</v>
      </c>
      <c r="C2684" s="2646">
        <v>70</v>
      </c>
      <c r="D2684" s="2646">
        <v>110</v>
      </c>
      <c r="E2684" s="2646">
        <v>31</v>
      </c>
      <c r="F2684" s="2646">
        <v>134</v>
      </c>
      <c r="G2684" s="2646">
        <v>208</v>
      </c>
      <c r="H2684" s="2646">
        <v>3300</v>
      </c>
      <c r="I2684" s="2646">
        <v>4400</v>
      </c>
      <c r="J2684" s="2646">
        <v>1.0900000000000001</v>
      </c>
      <c r="L2684" s="2646" t="s">
        <v>2088</v>
      </c>
    </row>
    <row r="2685" spans="1:12">
      <c r="A2685" s="2647" t="s">
        <v>99</v>
      </c>
      <c r="B2685" s="2647" t="s">
        <v>5004</v>
      </c>
      <c r="C2685" s="2647">
        <v>70</v>
      </c>
      <c r="D2685" s="2647">
        <v>120</v>
      </c>
      <c r="E2685" s="2647">
        <v>37</v>
      </c>
      <c r="F2685" s="2647">
        <v>181</v>
      </c>
      <c r="G2685" s="2647">
        <v>266</v>
      </c>
      <c r="H2685" s="2647">
        <v>3100</v>
      </c>
      <c r="I2685" s="2647">
        <v>420</v>
      </c>
      <c r="J2685" s="2647">
        <v>1.71</v>
      </c>
      <c r="K2685" s="2648"/>
      <c r="L2685" s="2647" t="s">
        <v>2088</v>
      </c>
    </row>
    <row r="2686" spans="1:12">
      <c r="A2686" s="2646" t="s">
        <v>99</v>
      </c>
      <c r="B2686" s="2646" t="s">
        <v>5005</v>
      </c>
      <c r="C2686" s="2646">
        <v>70</v>
      </c>
      <c r="D2686" s="2646">
        <v>125</v>
      </c>
      <c r="E2686" s="2646">
        <v>24</v>
      </c>
      <c r="F2686" s="2646">
        <v>126</v>
      </c>
      <c r="G2686" s="2646">
        <v>158</v>
      </c>
      <c r="H2686" s="2646">
        <v>3000</v>
      </c>
      <c r="I2686" s="2646">
        <v>4000</v>
      </c>
      <c r="J2686" s="2646">
        <v>1.3</v>
      </c>
      <c r="L2686" s="2646" t="s">
        <v>2088</v>
      </c>
    </row>
    <row r="2687" spans="1:12">
      <c r="A2687" s="2647" t="s">
        <v>99</v>
      </c>
      <c r="B2687" s="2647" t="s">
        <v>5006</v>
      </c>
      <c r="C2687" s="2647">
        <v>70</v>
      </c>
      <c r="D2687" s="2647">
        <v>125</v>
      </c>
      <c r="E2687" s="2647">
        <v>24</v>
      </c>
      <c r="F2687" s="2647">
        <v>138</v>
      </c>
      <c r="G2687" s="2647">
        <v>173</v>
      </c>
      <c r="H2687" s="2647">
        <v>3100</v>
      </c>
      <c r="I2687" s="2647">
        <v>4100</v>
      </c>
      <c r="J2687" s="2647">
        <v>1.32</v>
      </c>
      <c r="K2687" s="2648"/>
      <c r="L2687" s="2647" t="s">
        <v>2088</v>
      </c>
    </row>
    <row r="2688" spans="1:12">
      <c r="A2688" s="2646" t="s">
        <v>99</v>
      </c>
      <c r="B2688" s="2646" t="s">
        <v>5007</v>
      </c>
      <c r="C2688" s="2646">
        <v>70</v>
      </c>
      <c r="D2688" s="2646">
        <v>125</v>
      </c>
      <c r="E2688" s="2646">
        <v>31</v>
      </c>
      <c r="F2688" s="2646">
        <v>157</v>
      </c>
      <c r="G2688" s="2646">
        <v>212</v>
      </c>
      <c r="H2688" s="2646">
        <v>3100</v>
      </c>
      <c r="I2688" s="2646">
        <v>4100</v>
      </c>
      <c r="J2688" s="2646">
        <v>1.65</v>
      </c>
      <c r="L2688" s="2646" t="s">
        <v>2088</v>
      </c>
    </row>
    <row r="2689" spans="1:12">
      <c r="A2689" s="2647" t="s">
        <v>99</v>
      </c>
      <c r="B2689" s="2647" t="s">
        <v>5008</v>
      </c>
      <c r="C2689" s="2647">
        <v>70</v>
      </c>
      <c r="D2689" s="2647">
        <v>125</v>
      </c>
      <c r="E2689" s="2647">
        <v>31</v>
      </c>
      <c r="F2689" s="2647">
        <v>169</v>
      </c>
      <c r="G2689" s="2647">
        <v>225</v>
      </c>
      <c r="H2689" s="2647">
        <v>3100</v>
      </c>
      <c r="I2689" s="2647">
        <v>4100</v>
      </c>
      <c r="J2689" s="2647">
        <v>1.71</v>
      </c>
      <c r="K2689" s="2648"/>
      <c r="L2689" s="2647" t="s">
        <v>2088</v>
      </c>
    </row>
    <row r="2690" spans="1:12">
      <c r="A2690" s="2646" t="s">
        <v>99</v>
      </c>
      <c r="B2690" s="2646" t="s">
        <v>5009</v>
      </c>
      <c r="C2690" s="2646">
        <v>70</v>
      </c>
      <c r="D2690" s="2646">
        <v>125</v>
      </c>
      <c r="E2690" s="2646">
        <v>41</v>
      </c>
      <c r="F2690" s="2646">
        <v>206</v>
      </c>
      <c r="G2690" s="2646">
        <v>294</v>
      </c>
      <c r="H2690" s="2646">
        <v>3100</v>
      </c>
      <c r="I2690" s="2646">
        <v>4100</v>
      </c>
      <c r="J2690" s="2646">
        <v>2.16</v>
      </c>
      <c r="L2690" s="2646" t="s">
        <v>2088</v>
      </c>
    </row>
    <row r="2691" spans="1:12">
      <c r="A2691" s="2647" t="s">
        <v>99</v>
      </c>
      <c r="B2691" s="2647" t="s">
        <v>5010</v>
      </c>
      <c r="C2691" s="2647">
        <v>70</v>
      </c>
      <c r="D2691" s="2647">
        <v>140</v>
      </c>
      <c r="E2691" s="2647">
        <v>35.5</v>
      </c>
      <c r="F2691" s="2647">
        <v>177</v>
      </c>
      <c r="G2691" s="2647">
        <v>242</v>
      </c>
      <c r="H2691" s="2647">
        <v>2400</v>
      </c>
      <c r="I2691" s="2647">
        <v>3400</v>
      </c>
      <c r="J2691" s="2647">
        <v>2.64</v>
      </c>
      <c r="K2691" s="2648"/>
      <c r="L2691" s="2647" t="s">
        <v>2088</v>
      </c>
    </row>
    <row r="2692" spans="1:12">
      <c r="A2692" s="2646" t="s">
        <v>99</v>
      </c>
      <c r="B2692" s="2646" t="s">
        <v>5011</v>
      </c>
      <c r="C2692" s="2646">
        <v>70</v>
      </c>
      <c r="D2692" s="2646">
        <v>140</v>
      </c>
      <c r="E2692" s="2646">
        <v>61</v>
      </c>
      <c r="F2692" s="2646">
        <v>264</v>
      </c>
      <c r="G2692" s="2646">
        <v>382</v>
      </c>
      <c r="H2692" s="2646">
        <v>2900</v>
      </c>
      <c r="I2692" s="2646">
        <v>3800</v>
      </c>
      <c r="J2692" s="2646">
        <v>3.69</v>
      </c>
      <c r="L2692" s="2646" t="s">
        <v>2088</v>
      </c>
    </row>
    <row r="2693" spans="1:12">
      <c r="A2693" s="2647" t="s">
        <v>99</v>
      </c>
      <c r="B2693" s="2647" t="s">
        <v>5012</v>
      </c>
      <c r="C2693" s="2647">
        <v>70</v>
      </c>
      <c r="D2693" s="2647">
        <v>150</v>
      </c>
      <c r="E2693" s="2647">
        <v>35</v>
      </c>
      <c r="F2693" s="2647">
        <v>197</v>
      </c>
      <c r="G2693" s="2647">
        <v>235</v>
      </c>
      <c r="H2693" s="2647">
        <v>2300</v>
      </c>
      <c r="I2693" s="2647">
        <v>3200</v>
      </c>
      <c r="J2693" s="2647">
        <v>2.97</v>
      </c>
      <c r="K2693" s="2648"/>
      <c r="L2693" s="2647" t="s">
        <v>2088</v>
      </c>
    </row>
    <row r="2694" spans="1:12">
      <c r="A2694" s="2646" t="s">
        <v>99</v>
      </c>
      <c r="B2694" s="2646" t="s">
        <v>5013</v>
      </c>
      <c r="C2694" s="2646">
        <v>70</v>
      </c>
      <c r="D2694" s="2646">
        <v>150</v>
      </c>
      <c r="E2694" s="2646">
        <v>35</v>
      </c>
      <c r="F2694" s="2646">
        <v>224</v>
      </c>
      <c r="G2694" s="2646">
        <v>256</v>
      </c>
      <c r="H2694" s="2646">
        <v>2700</v>
      </c>
      <c r="I2694" s="2646">
        <v>3600</v>
      </c>
      <c r="J2694" s="2646">
        <v>3.1</v>
      </c>
      <c r="L2694" s="2646" t="s">
        <v>2088</v>
      </c>
    </row>
    <row r="2695" spans="1:12">
      <c r="A2695" s="2647" t="s">
        <v>99</v>
      </c>
      <c r="B2695" s="2647" t="s">
        <v>5014</v>
      </c>
      <c r="C2695" s="2647">
        <v>70</v>
      </c>
      <c r="D2695" s="2647">
        <v>150</v>
      </c>
      <c r="E2695" s="2647">
        <v>38</v>
      </c>
      <c r="F2695" s="2647">
        <v>230</v>
      </c>
      <c r="G2695" s="2647">
        <v>273</v>
      </c>
      <c r="H2695" s="2647">
        <v>2600</v>
      </c>
      <c r="I2695" s="2647">
        <v>3500</v>
      </c>
      <c r="J2695" s="2647">
        <v>3.08</v>
      </c>
      <c r="K2695" s="2648"/>
      <c r="L2695" s="2647" t="s">
        <v>2088</v>
      </c>
    </row>
    <row r="2696" spans="1:12">
      <c r="A2696" s="2646" t="s">
        <v>99</v>
      </c>
      <c r="B2696" s="2646" t="s">
        <v>5015</v>
      </c>
      <c r="C2696" s="2646">
        <v>70</v>
      </c>
      <c r="D2696" s="2646">
        <v>150</v>
      </c>
      <c r="E2696" s="2646">
        <v>51</v>
      </c>
      <c r="F2696" s="2646">
        <v>297</v>
      </c>
      <c r="G2696" s="2646">
        <v>391</v>
      </c>
      <c r="H2696" s="2646">
        <v>2700</v>
      </c>
      <c r="I2696" s="2646">
        <v>3600</v>
      </c>
      <c r="J2696" s="2646">
        <v>4.5</v>
      </c>
      <c r="L2696" s="2646" t="s">
        <v>2088</v>
      </c>
    </row>
    <row r="2697" spans="1:12">
      <c r="A2697" s="2647" t="s">
        <v>99</v>
      </c>
      <c r="B2697" s="2647" t="s">
        <v>5016</v>
      </c>
      <c r="C2697" s="2647">
        <v>70</v>
      </c>
      <c r="D2697" s="2647">
        <v>150</v>
      </c>
      <c r="E2697" s="2647">
        <v>61</v>
      </c>
      <c r="F2697" s="2647">
        <v>317</v>
      </c>
      <c r="G2697" s="2647">
        <v>414</v>
      </c>
      <c r="H2697" s="2647">
        <v>2700</v>
      </c>
      <c r="I2697" s="2647">
        <v>3600</v>
      </c>
      <c r="J2697" s="2647">
        <v>4.5</v>
      </c>
      <c r="K2697" s="2648"/>
      <c r="L2697" s="2647" t="s">
        <v>2088</v>
      </c>
    </row>
    <row r="2698" spans="1:12">
      <c r="A2698" s="2646" t="s">
        <v>99</v>
      </c>
      <c r="B2698" s="2646" t="s">
        <v>5017</v>
      </c>
      <c r="C2698" s="2646">
        <v>75</v>
      </c>
      <c r="D2698" s="2646">
        <v>105</v>
      </c>
      <c r="E2698" s="2646">
        <v>20</v>
      </c>
      <c r="F2698" s="2646">
        <v>73.599999999999994</v>
      </c>
      <c r="G2698" s="2646">
        <v>123</v>
      </c>
      <c r="H2698" s="2646">
        <v>3300</v>
      </c>
      <c r="I2698" s="2646">
        <v>4400</v>
      </c>
      <c r="J2698" s="2646">
        <v>0.52600000000000002</v>
      </c>
      <c r="L2698" s="2646" t="s">
        <v>2088</v>
      </c>
    </row>
    <row r="2699" spans="1:12">
      <c r="A2699" s="2647" t="s">
        <v>99</v>
      </c>
      <c r="B2699" s="2647" t="s">
        <v>5018</v>
      </c>
      <c r="C2699" s="2647">
        <v>75</v>
      </c>
      <c r="D2699" s="2647">
        <v>115</v>
      </c>
      <c r="E2699" s="2647">
        <v>25</v>
      </c>
      <c r="F2699" s="2647">
        <v>110</v>
      </c>
      <c r="G2699" s="2647">
        <v>169</v>
      </c>
      <c r="H2699" s="2647">
        <v>3100</v>
      </c>
      <c r="I2699" s="2647">
        <v>4200</v>
      </c>
      <c r="J2699" s="2647">
        <v>0.93</v>
      </c>
      <c r="K2699" s="2648"/>
      <c r="L2699" s="2647" t="s">
        <v>2088</v>
      </c>
    </row>
    <row r="2700" spans="1:12">
      <c r="A2700" s="2646" t="s">
        <v>99</v>
      </c>
      <c r="B2700" s="2646" t="s">
        <v>5019</v>
      </c>
      <c r="C2700" s="2646">
        <v>75</v>
      </c>
      <c r="D2700" s="2646">
        <v>115</v>
      </c>
      <c r="E2700" s="2646">
        <v>31</v>
      </c>
      <c r="F2700" s="2646">
        <v>141</v>
      </c>
      <c r="G2700" s="2646">
        <v>225</v>
      </c>
      <c r="H2700" s="2646">
        <v>3200</v>
      </c>
      <c r="I2700" s="2646">
        <v>4200</v>
      </c>
      <c r="J2700" s="2646">
        <v>1.1599999999999999</v>
      </c>
      <c r="L2700" s="2646" t="s">
        <v>2088</v>
      </c>
    </row>
    <row r="2701" spans="1:12">
      <c r="A2701" s="2647" t="s">
        <v>99</v>
      </c>
      <c r="B2701" s="2647" t="s">
        <v>5020</v>
      </c>
      <c r="C2701" s="2647">
        <v>75</v>
      </c>
      <c r="D2701" s="2647">
        <v>125</v>
      </c>
      <c r="E2701" s="2647">
        <v>37</v>
      </c>
      <c r="F2701" s="2647">
        <v>186</v>
      </c>
      <c r="G2701" s="2647">
        <v>280</v>
      </c>
      <c r="H2701" s="2647">
        <v>3000</v>
      </c>
      <c r="I2701" s="2647">
        <v>4000</v>
      </c>
      <c r="J2701" s="2647">
        <v>1.84</v>
      </c>
      <c r="K2701" s="2648"/>
      <c r="L2701" s="2647" t="s">
        <v>2088</v>
      </c>
    </row>
    <row r="2702" spans="1:12">
      <c r="A2702" s="2646" t="s">
        <v>99</v>
      </c>
      <c r="B2702" s="2646" t="s">
        <v>5021</v>
      </c>
      <c r="C2702" s="2646">
        <v>75</v>
      </c>
      <c r="D2702" s="2646">
        <v>130</v>
      </c>
      <c r="E2702" s="2646">
        <v>25</v>
      </c>
      <c r="F2702" s="2646">
        <v>136</v>
      </c>
      <c r="G2702" s="2646">
        <v>178</v>
      </c>
      <c r="H2702" s="2646">
        <v>2900</v>
      </c>
      <c r="I2702" s="2646">
        <v>3800</v>
      </c>
      <c r="J2702" s="2646">
        <v>1.4</v>
      </c>
      <c r="L2702" s="2646" t="s">
        <v>2088</v>
      </c>
    </row>
    <row r="2703" spans="1:12">
      <c r="A2703" s="2647" t="s">
        <v>99</v>
      </c>
      <c r="B2703" s="2647" t="s">
        <v>5022</v>
      </c>
      <c r="C2703" s="2647">
        <v>75</v>
      </c>
      <c r="D2703" s="2647">
        <v>130</v>
      </c>
      <c r="E2703" s="2647">
        <v>25</v>
      </c>
      <c r="F2703" s="2647">
        <v>142</v>
      </c>
      <c r="G2703" s="2647">
        <v>181</v>
      </c>
      <c r="H2703" s="2647">
        <v>2900</v>
      </c>
      <c r="I2703" s="2647">
        <v>3900</v>
      </c>
      <c r="J2703" s="2647">
        <v>1.42</v>
      </c>
      <c r="K2703" s="2648"/>
      <c r="L2703" s="2647" t="s">
        <v>2088</v>
      </c>
    </row>
    <row r="2704" spans="1:12">
      <c r="A2704" s="2646" t="s">
        <v>99</v>
      </c>
      <c r="B2704" s="2646" t="s">
        <v>5023</v>
      </c>
      <c r="C2704" s="2646">
        <v>75</v>
      </c>
      <c r="D2704" s="2646">
        <v>130</v>
      </c>
      <c r="E2704" s="2646">
        <v>31</v>
      </c>
      <c r="F2704" s="2646">
        <v>163</v>
      </c>
      <c r="G2704" s="2646">
        <v>225</v>
      </c>
      <c r="H2704" s="2646">
        <v>2900</v>
      </c>
      <c r="I2704" s="2646">
        <v>3900</v>
      </c>
      <c r="J2704" s="2646">
        <v>1.75</v>
      </c>
      <c r="L2704" s="2646" t="s">
        <v>2088</v>
      </c>
    </row>
    <row r="2705" spans="1:12">
      <c r="A2705" s="2647" t="s">
        <v>99</v>
      </c>
      <c r="B2705" s="2647" t="s">
        <v>5024</v>
      </c>
      <c r="C2705" s="2647">
        <v>75</v>
      </c>
      <c r="D2705" s="2647">
        <v>130</v>
      </c>
      <c r="E2705" s="2647">
        <v>31</v>
      </c>
      <c r="F2705" s="2647">
        <v>174</v>
      </c>
      <c r="G2705" s="2647">
        <v>234</v>
      </c>
      <c r="H2705" s="2647">
        <v>2900</v>
      </c>
      <c r="I2705" s="2647">
        <v>3900</v>
      </c>
      <c r="J2705" s="2647">
        <v>1.77</v>
      </c>
      <c r="K2705" s="2648"/>
      <c r="L2705" s="2647" t="s">
        <v>2088</v>
      </c>
    </row>
    <row r="2706" spans="1:12">
      <c r="A2706" s="2646" t="s">
        <v>99</v>
      </c>
      <c r="B2706" s="2646" t="s">
        <v>5025</v>
      </c>
      <c r="C2706" s="2646">
        <v>75</v>
      </c>
      <c r="D2706" s="2646">
        <v>130</v>
      </c>
      <c r="E2706" s="2646">
        <v>41</v>
      </c>
      <c r="F2706" s="2646">
        <v>212</v>
      </c>
      <c r="G2706" s="2646">
        <v>310</v>
      </c>
      <c r="H2706" s="2646">
        <v>2900</v>
      </c>
      <c r="I2706" s="2646">
        <v>3900</v>
      </c>
      <c r="J2706" s="2646">
        <v>2.2599999999999998</v>
      </c>
      <c r="L2706" s="2646" t="s">
        <v>2088</v>
      </c>
    </row>
    <row r="2707" spans="1:12">
      <c r="A2707" s="2647" t="s">
        <v>99</v>
      </c>
      <c r="B2707" s="2647" t="s">
        <v>5026</v>
      </c>
      <c r="C2707" s="2647">
        <v>75</v>
      </c>
      <c r="D2707" s="2647">
        <v>150</v>
      </c>
      <c r="E2707" s="2647">
        <v>38</v>
      </c>
      <c r="F2707" s="2647">
        <v>191</v>
      </c>
      <c r="G2707" s="2647">
        <v>270</v>
      </c>
      <c r="H2707" s="2647">
        <v>2200</v>
      </c>
      <c r="I2707" s="2647">
        <v>3100</v>
      </c>
      <c r="J2707" s="2647">
        <v>3.24</v>
      </c>
      <c r="K2707" s="2648"/>
      <c r="L2707" s="2647" t="s">
        <v>2088</v>
      </c>
    </row>
    <row r="2708" spans="1:12">
      <c r="A2708" s="2646" t="s">
        <v>99</v>
      </c>
      <c r="B2708" s="2646" t="s">
        <v>5027</v>
      </c>
      <c r="C2708" s="2646">
        <v>75</v>
      </c>
      <c r="D2708" s="2646">
        <v>160</v>
      </c>
      <c r="E2708" s="2646">
        <v>40</v>
      </c>
      <c r="F2708" s="2646">
        <v>213</v>
      </c>
      <c r="G2708" s="2646">
        <v>254</v>
      </c>
      <c r="H2708" s="2646">
        <v>2100</v>
      </c>
      <c r="I2708" s="2646">
        <v>2900</v>
      </c>
      <c r="J2708" s="2646">
        <v>3.45</v>
      </c>
      <c r="L2708" s="2646" t="s">
        <v>2088</v>
      </c>
    </row>
    <row r="2709" spans="1:12">
      <c r="A2709" s="2647" t="s">
        <v>99</v>
      </c>
      <c r="B2709" s="2647" t="s">
        <v>5028</v>
      </c>
      <c r="C2709" s="2647">
        <v>75</v>
      </c>
      <c r="D2709" s="2647">
        <v>160</v>
      </c>
      <c r="E2709" s="2647">
        <v>37</v>
      </c>
      <c r="F2709" s="2647">
        <v>222</v>
      </c>
      <c r="G2709" s="2647">
        <v>266</v>
      </c>
      <c r="H2709" s="2647">
        <v>2100</v>
      </c>
      <c r="I2709" s="2647">
        <v>2900</v>
      </c>
      <c r="J2709" s="2647">
        <v>3.48</v>
      </c>
      <c r="K2709" s="2648"/>
      <c r="L2709" s="2647" t="s">
        <v>2088</v>
      </c>
    </row>
    <row r="2710" spans="1:12">
      <c r="A2710" s="2646" t="s">
        <v>99</v>
      </c>
      <c r="B2710" s="2646" t="s">
        <v>5029</v>
      </c>
      <c r="C2710" s="2646">
        <v>75</v>
      </c>
      <c r="D2710" s="2646">
        <v>160</v>
      </c>
      <c r="E2710" s="2646">
        <v>37</v>
      </c>
      <c r="F2710" s="2646">
        <v>248</v>
      </c>
      <c r="G2710" s="2646">
        <v>296</v>
      </c>
      <c r="H2710" s="2646">
        <v>2500</v>
      </c>
      <c r="I2710" s="2646">
        <v>3400</v>
      </c>
      <c r="J2710" s="2646">
        <v>3.8</v>
      </c>
      <c r="L2710" s="2646" t="s">
        <v>2088</v>
      </c>
    </row>
    <row r="2711" spans="1:12">
      <c r="A2711" s="2647" t="s">
        <v>99</v>
      </c>
      <c r="B2711" s="2647" t="s">
        <v>5030</v>
      </c>
      <c r="C2711" s="2647">
        <v>75</v>
      </c>
      <c r="D2711" s="2647">
        <v>160</v>
      </c>
      <c r="E2711" s="2647">
        <v>37</v>
      </c>
      <c r="F2711" s="2647">
        <v>260</v>
      </c>
      <c r="G2711" s="2647">
        <v>311</v>
      </c>
      <c r="H2711" s="2647">
        <v>2500</v>
      </c>
      <c r="I2711" s="2647">
        <v>3300</v>
      </c>
      <c r="J2711" s="2647">
        <v>3.65</v>
      </c>
      <c r="K2711" s="2648"/>
      <c r="L2711" s="2647" t="s">
        <v>2088</v>
      </c>
    </row>
    <row r="2712" spans="1:12">
      <c r="A2712" s="2646" t="s">
        <v>99</v>
      </c>
      <c r="B2712" s="2646" t="s">
        <v>5031</v>
      </c>
      <c r="C2712" s="2646">
        <v>75</v>
      </c>
      <c r="D2712" s="2646">
        <v>160</v>
      </c>
      <c r="E2712" s="2646">
        <v>37</v>
      </c>
      <c r="F2712" s="2646">
        <v>251</v>
      </c>
      <c r="G2712" s="2646">
        <v>298</v>
      </c>
      <c r="H2712" s="2646">
        <v>2500</v>
      </c>
      <c r="I2712" s="2646">
        <v>3300</v>
      </c>
      <c r="J2712" s="2646">
        <v>3.52</v>
      </c>
      <c r="L2712" s="2646" t="s">
        <v>2088</v>
      </c>
    </row>
    <row r="2713" spans="1:12">
      <c r="A2713" s="2647" t="s">
        <v>99</v>
      </c>
      <c r="B2713" s="2647" t="s">
        <v>5032</v>
      </c>
      <c r="C2713" s="2647">
        <v>75</v>
      </c>
      <c r="D2713" s="2647">
        <v>160</v>
      </c>
      <c r="E2713" s="2647">
        <v>55</v>
      </c>
      <c r="F2713" s="2647">
        <v>357</v>
      </c>
      <c r="G2713" s="2647">
        <v>474</v>
      </c>
      <c r="H2713" s="2647">
        <v>2500</v>
      </c>
      <c r="I2713" s="2647">
        <v>3400</v>
      </c>
      <c r="J2713" s="2647">
        <v>5.5</v>
      </c>
      <c r="K2713" s="2648"/>
      <c r="L2713" s="2647" t="s">
        <v>2088</v>
      </c>
    </row>
    <row r="2714" spans="1:12">
      <c r="A2714" s="2646" t="s">
        <v>99</v>
      </c>
      <c r="B2714" s="2646" t="s">
        <v>5033</v>
      </c>
      <c r="C2714" s="2646">
        <v>75</v>
      </c>
      <c r="D2714" s="2646">
        <v>160</v>
      </c>
      <c r="E2714" s="2646">
        <v>55</v>
      </c>
      <c r="F2714" s="2646">
        <v>363</v>
      </c>
      <c r="G2714" s="2646">
        <v>481</v>
      </c>
      <c r="H2714" s="2646">
        <v>2500</v>
      </c>
      <c r="I2714" s="2646">
        <v>3300</v>
      </c>
      <c r="J2714" s="2646">
        <v>5.41</v>
      </c>
      <c r="L2714" s="2646" t="s">
        <v>2088</v>
      </c>
    </row>
    <row r="2715" spans="1:12">
      <c r="A2715" s="2647" t="s">
        <v>99</v>
      </c>
      <c r="B2715" s="2647" t="s">
        <v>5034</v>
      </c>
      <c r="C2715" s="2647">
        <v>75</v>
      </c>
      <c r="D2715" s="2647">
        <v>160</v>
      </c>
      <c r="E2715" s="2647">
        <v>55</v>
      </c>
      <c r="F2715" s="2647">
        <v>340</v>
      </c>
      <c r="G2715" s="2647">
        <v>444</v>
      </c>
      <c r="H2715" s="2647">
        <v>2500</v>
      </c>
      <c r="I2715" s="2647">
        <v>3300</v>
      </c>
      <c r="J2715" s="2647">
        <v>5.3</v>
      </c>
      <c r="K2715" s="2648"/>
      <c r="L2715" s="2647" t="s">
        <v>2088</v>
      </c>
    </row>
    <row r="2716" spans="1:12">
      <c r="A2716" s="2646" t="s">
        <v>99</v>
      </c>
      <c r="B2716" s="2646" t="s">
        <v>5035</v>
      </c>
      <c r="C2716" s="2646">
        <v>80</v>
      </c>
      <c r="D2716" s="2646">
        <v>110</v>
      </c>
      <c r="E2716" s="2646">
        <v>20</v>
      </c>
      <c r="F2716" s="2646">
        <v>76.099999999999994</v>
      </c>
      <c r="G2716" s="2646">
        <v>131</v>
      </c>
      <c r="H2716" s="2646">
        <v>3100</v>
      </c>
      <c r="I2716" s="2646">
        <v>4200</v>
      </c>
      <c r="J2716" s="2646">
        <v>0.55600000000000005</v>
      </c>
      <c r="L2716" s="2646" t="s">
        <v>2088</v>
      </c>
    </row>
    <row r="2717" spans="1:12">
      <c r="A2717" s="2647" t="s">
        <v>99</v>
      </c>
      <c r="B2717" s="2647" t="s">
        <v>5036</v>
      </c>
      <c r="C2717" s="2647">
        <v>80</v>
      </c>
      <c r="D2717" s="2647">
        <v>125</v>
      </c>
      <c r="E2717" s="2647">
        <v>29</v>
      </c>
      <c r="F2717" s="2647">
        <v>147</v>
      </c>
      <c r="G2717" s="2647">
        <v>225</v>
      </c>
      <c r="H2717" s="2647">
        <v>2900</v>
      </c>
      <c r="I2717" s="2647">
        <v>3900</v>
      </c>
      <c r="J2717" s="2647">
        <v>1.32</v>
      </c>
      <c r="K2717" s="2648"/>
      <c r="L2717" s="2647" t="s">
        <v>2088</v>
      </c>
    </row>
    <row r="2718" spans="1:12">
      <c r="A2718" s="2646" t="s">
        <v>99</v>
      </c>
      <c r="B2718" s="2646" t="s">
        <v>5037</v>
      </c>
      <c r="C2718" s="2646">
        <v>80</v>
      </c>
      <c r="D2718" s="2646">
        <v>125</v>
      </c>
      <c r="E2718" s="2646">
        <v>36</v>
      </c>
      <c r="F2718" s="2646">
        <v>173</v>
      </c>
      <c r="G2718" s="2646">
        <v>288</v>
      </c>
      <c r="H2718" s="2646">
        <v>2900</v>
      </c>
      <c r="I2718" s="2646">
        <v>3900</v>
      </c>
      <c r="J2718" s="2646">
        <v>1.63</v>
      </c>
      <c r="L2718" s="2646" t="s">
        <v>2088</v>
      </c>
    </row>
    <row r="2719" spans="1:12">
      <c r="A2719" s="2647" t="s">
        <v>99</v>
      </c>
      <c r="B2719" s="2647" t="s">
        <v>5038</v>
      </c>
      <c r="C2719" s="2647">
        <v>80</v>
      </c>
      <c r="D2719" s="2647">
        <v>130</v>
      </c>
      <c r="E2719" s="2647">
        <v>37</v>
      </c>
      <c r="F2719" s="2647">
        <v>191</v>
      </c>
      <c r="G2719" s="2647">
        <v>294</v>
      </c>
      <c r="H2719" s="2647">
        <v>2800</v>
      </c>
      <c r="I2719" s="2647">
        <v>3800</v>
      </c>
      <c r="J2719" s="2647">
        <v>1.93</v>
      </c>
      <c r="K2719" s="2648"/>
      <c r="L2719" s="2647" t="s">
        <v>2088</v>
      </c>
    </row>
    <row r="2720" spans="1:12">
      <c r="A2720" s="2646" t="s">
        <v>99</v>
      </c>
      <c r="B2720" s="2646" t="s">
        <v>5039</v>
      </c>
      <c r="C2720" s="2646">
        <v>70</v>
      </c>
      <c r="D2720" s="2646">
        <v>140</v>
      </c>
      <c r="E2720" s="2646">
        <v>26</v>
      </c>
      <c r="F2720" s="2646">
        <v>161</v>
      </c>
      <c r="G2720" s="2646">
        <v>202</v>
      </c>
      <c r="H2720" s="2646">
        <v>2700</v>
      </c>
      <c r="I2720" s="2646">
        <v>3600</v>
      </c>
      <c r="J2720" s="2646">
        <v>1.72</v>
      </c>
      <c r="L2720" s="2646" t="s">
        <v>2088</v>
      </c>
    </row>
    <row r="2721" spans="1:12">
      <c r="A2721" s="2647" t="s">
        <v>99</v>
      </c>
      <c r="B2721" s="2647" t="s">
        <v>5040</v>
      </c>
      <c r="C2721" s="2647">
        <v>70</v>
      </c>
      <c r="D2721" s="2647">
        <v>140</v>
      </c>
      <c r="E2721" s="2647">
        <v>33</v>
      </c>
      <c r="F2721" s="2647">
        <v>203</v>
      </c>
      <c r="G2721" s="2647">
        <v>271</v>
      </c>
      <c r="H2721" s="2647">
        <v>2700</v>
      </c>
      <c r="I2721" s="2647">
        <v>3600</v>
      </c>
      <c r="J2721" s="2647">
        <v>2.17</v>
      </c>
      <c r="K2721" s="2648"/>
      <c r="L2721" s="2647" t="s">
        <v>2088</v>
      </c>
    </row>
    <row r="2722" spans="1:12">
      <c r="A2722" s="2646" t="s">
        <v>99</v>
      </c>
      <c r="B2722" s="2646" t="s">
        <v>5041</v>
      </c>
      <c r="C2722" s="2646">
        <v>80</v>
      </c>
      <c r="D2722" s="2646">
        <v>140</v>
      </c>
      <c r="E2722" s="2646">
        <v>46</v>
      </c>
      <c r="F2722" s="2646">
        <v>250</v>
      </c>
      <c r="G2722" s="2646">
        <v>371</v>
      </c>
      <c r="H2722" s="2646">
        <v>2700</v>
      </c>
      <c r="I2722" s="2646">
        <v>3600</v>
      </c>
      <c r="J2722" s="2646">
        <v>2.99</v>
      </c>
      <c r="L2722" s="2646" t="s">
        <v>2088</v>
      </c>
    </row>
    <row r="2723" spans="1:12">
      <c r="A2723" s="2647" t="s">
        <v>99</v>
      </c>
      <c r="B2723" s="2647" t="s">
        <v>5042</v>
      </c>
      <c r="C2723" s="2647">
        <v>80</v>
      </c>
      <c r="D2723" s="2647">
        <v>145</v>
      </c>
      <c r="E2723" s="2647">
        <v>45</v>
      </c>
      <c r="F2723" s="2647">
        <v>266</v>
      </c>
      <c r="G2723" s="2647">
        <v>381</v>
      </c>
      <c r="H2723" s="2647">
        <v>2600</v>
      </c>
      <c r="I2723" s="2647">
        <v>3500</v>
      </c>
      <c r="J2723" s="2647">
        <v>3.2</v>
      </c>
      <c r="K2723" s="2648"/>
      <c r="L2723" s="2647" t="s">
        <v>2088</v>
      </c>
    </row>
    <row r="2724" spans="1:12">
      <c r="A2724" s="2646" t="s">
        <v>99</v>
      </c>
      <c r="B2724" s="2646" t="s">
        <v>5043</v>
      </c>
      <c r="C2724" s="2646">
        <v>80</v>
      </c>
      <c r="D2724" s="2646">
        <v>170</v>
      </c>
      <c r="E2724" s="2646">
        <v>39</v>
      </c>
      <c r="F2724" s="2646">
        <v>236</v>
      </c>
      <c r="G2724" s="2646">
        <v>282</v>
      </c>
      <c r="H2724" s="2646">
        <v>2000</v>
      </c>
      <c r="I2724" s="2646">
        <v>2800</v>
      </c>
      <c r="J2724" s="2646">
        <v>4.12</v>
      </c>
      <c r="L2724" s="2646" t="s">
        <v>2088</v>
      </c>
    </row>
    <row r="2725" spans="1:12">
      <c r="A2725" s="2647" t="s">
        <v>99</v>
      </c>
      <c r="B2725" s="2647" t="s">
        <v>5044</v>
      </c>
      <c r="C2725" s="2647">
        <v>80</v>
      </c>
      <c r="D2725" s="2647">
        <v>170</v>
      </c>
      <c r="E2725" s="2647">
        <v>39</v>
      </c>
      <c r="F2725" s="2647">
        <v>294</v>
      </c>
      <c r="G2725" s="2647">
        <v>355</v>
      </c>
      <c r="H2725" s="2647">
        <v>2300</v>
      </c>
      <c r="I2725" s="2647">
        <v>3100</v>
      </c>
      <c r="J2725" s="2647">
        <v>4.46</v>
      </c>
      <c r="K2725" s="2648"/>
      <c r="L2725" s="2647" t="s">
        <v>2088</v>
      </c>
    </row>
    <row r="2726" spans="1:12">
      <c r="A2726" s="2646" t="s">
        <v>99</v>
      </c>
      <c r="B2726" s="2646" t="s">
        <v>5045</v>
      </c>
      <c r="C2726" s="2646">
        <v>80</v>
      </c>
      <c r="D2726" s="2646">
        <v>170</v>
      </c>
      <c r="E2726" s="2646">
        <v>39</v>
      </c>
      <c r="F2726" s="2646">
        <v>227</v>
      </c>
      <c r="G2726" s="2646">
        <v>330</v>
      </c>
      <c r="H2726" s="2646">
        <v>2300</v>
      </c>
      <c r="I2726" s="2646">
        <v>3100</v>
      </c>
      <c r="J2726" s="2646">
        <v>4.26</v>
      </c>
      <c r="L2726" s="2646" t="s">
        <v>2088</v>
      </c>
    </row>
    <row r="2727" spans="1:12">
      <c r="A2727" s="2647" t="s">
        <v>99</v>
      </c>
      <c r="B2727" s="2647" t="s">
        <v>5046</v>
      </c>
      <c r="C2727" s="2647">
        <v>80</v>
      </c>
      <c r="D2727" s="2647">
        <v>170</v>
      </c>
      <c r="E2727" s="2647">
        <v>58</v>
      </c>
      <c r="F2727" s="2647">
        <v>347</v>
      </c>
      <c r="G2727" s="2647">
        <v>440</v>
      </c>
      <c r="H2727" s="2647">
        <v>2300</v>
      </c>
      <c r="I2727" s="2647">
        <v>3100</v>
      </c>
      <c r="J2727" s="2647">
        <v>6.04</v>
      </c>
      <c r="K2727" s="2648"/>
      <c r="L2727" s="2647" t="s">
        <v>2088</v>
      </c>
    </row>
    <row r="2728" spans="1:12">
      <c r="A2728" s="2646" t="s">
        <v>99</v>
      </c>
      <c r="B2728" s="2646" t="s">
        <v>5047</v>
      </c>
      <c r="C2728" s="2646">
        <v>80</v>
      </c>
      <c r="D2728" s="2646">
        <v>170</v>
      </c>
      <c r="E2728" s="2646">
        <v>58</v>
      </c>
      <c r="F2728" s="2646">
        <v>383</v>
      </c>
      <c r="G2728" s="2646">
        <v>503</v>
      </c>
      <c r="H2728" s="2646">
        <v>2300</v>
      </c>
      <c r="I2728" s="2646">
        <v>3100</v>
      </c>
      <c r="J2728" s="2646">
        <v>6.31</v>
      </c>
      <c r="L2728" s="2646" t="s">
        <v>2088</v>
      </c>
    </row>
    <row r="2729" spans="1:12">
      <c r="A2729" s="2647" t="s">
        <v>99</v>
      </c>
      <c r="B2729" s="2647" t="s">
        <v>5048</v>
      </c>
      <c r="C2729" s="2647">
        <v>85</v>
      </c>
      <c r="D2729" s="2647">
        <v>120</v>
      </c>
      <c r="E2729" s="2647">
        <v>23</v>
      </c>
      <c r="F2729" s="2647">
        <v>97.1</v>
      </c>
      <c r="G2729" s="2647">
        <v>165</v>
      </c>
      <c r="H2729" s="2647">
        <v>2900</v>
      </c>
      <c r="I2729" s="2647">
        <v>3900</v>
      </c>
      <c r="J2729" s="2647">
        <v>0.79400000000000004</v>
      </c>
      <c r="K2729" s="2648"/>
      <c r="L2729" s="2647" t="s">
        <v>2088</v>
      </c>
    </row>
    <row r="2730" spans="1:12">
      <c r="A2730" s="2646" t="s">
        <v>99</v>
      </c>
      <c r="B2730" s="2646" t="s">
        <v>5049</v>
      </c>
      <c r="C2730" s="2646">
        <v>85</v>
      </c>
      <c r="D2730" s="2646">
        <v>130</v>
      </c>
      <c r="E2730" s="2646">
        <v>29</v>
      </c>
      <c r="F2730" s="2646">
        <v>150</v>
      </c>
      <c r="G2730" s="2646">
        <v>234</v>
      </c>
      <c r="H2730" s="2646">
        <v>2800</v>
      </c>
      <c r="I2730" s="2646">
        <v>3700</v>
      </c>
      <c r="J2730" s="2646">
        <v>1.38</v>
      </c>
      <c r="L2730" s="2646" t="s">
        <v>2088</v>
      </c>
    </row>
    <row r="2731" spans="1:12">
      <c r="A2731" s="2647" t="s">
        <v>99</v>
      </c>
      <c r="B2731" s="2647" t="s">
        <v>5050</v>
      </c>
      <c r="C2731" s="2647">
        <v>85</v>
      </c>
      <c r="D2731" s="2647">
        <v>130</v>
      </c>
      <c r="E2731" s="2647">
        <v>36</v>
      </c>
      <c r="F2731" s="2647">
        <v>177</v>
      </c>
      <c r="G2731" s="2647">
        <v>300</v>
      </c>
      <c r="H2731" s="2647">
        <v>2800</v>
      </c>
      <c r="I2731" s="2647">
        <v>3700</v>
      </c>
      <c r="J2731" s="2647">
        <v>1.72</v>
      </c>
      <c r="K2731" s="2648"/>
      <c r="L2731" s="2647" t="s">
        <v>2088</v>
      </c>
    </row>
    <row r="2732" spans="1:12">
      <c r="A2732" s="2646" t="s">
        <v>99</v>
      </c>
      <c r="B2732" s="2646" t="s">
        <v>5051</v>
      </c>
      <c r="C2732" s="2646">
        <v>85</v>
      </c>
      <c r="D2732" s="2646">
        <v>140</v>
      </c>
      <c r="E2732" s="2646">
        <v>41</v>
      </c>
      <c r="F2732" s="2646">
        <v>224</v>
      </c>
      <c r="G2732" s="2646">
        <v>346</v>
      </c>
      <c r="H2732" s="2646">
        <v>2600</v>
      </c>
      <c r="I2732" s="2646">
        <v>3500</v>
      </c>
      <c r="J2732" s="2646">
        <v>2.4300000000000002</v>
      </c>
      <c r="L2732" s="2646" t="s">
        <v>2088</v>
      </c>
    </row>
    <row r="2733" spans="1:12">
      <c r="A2733" s="2647" t="s">
        <v>99</v>
      </c>
      <c r="B2733" s="2647" t="s">
        <v>5052</v>
      </c>
      <c r="C2733" s="2647">
        <v>85</v>
      </c>
      <c r="D2733" s="2647">
        <v>150</v>
      </c>
      <c r="E2733" s="2647">
        <v>28</v>
      </c>
      <c r="F2733" s="2647">
        <v>182</v>
      </c>
      <c r="G2733" s="2647">
        <v>231</v>
      </c>
      <c r="H2733" s="2647">
        <v>2500</v>
      </c>
      <c r="I2733" s="2647">
        <v>3400</v>
      </c>
      <c r="J2733" s="2647">
        <v>2.17</v>
      </c>
      <c r="K2733" s="2648"/>
      <c r="L2733" s="2647" t="s">
        <v>2088</v>
      </c>
    </row>
    <row r="2734" spans="1:12">
      <c r="A2734" s="2646" t="s">
        <v>99</v>
      </c>
      <c r="B2734" s="2646" t="s">
        <v>5053</v>
      </c>
      <c r="C2734" s="2646">
        <v>85</v>
      </c>
      <c r="D2734" s="2646">
        <v>150</v>
      </c>
      <c r="E2734" s="2646">
        <v>36</v>
      </c>
      <c r="F2734" s="2646">
        <v>232</v>
      </c>
      <c r="G2734" s="2646">
        <v>315</v>
      </c>
      <c r="H2734" s="2646">
        <v>2500</v>
      </c>
      <c r="I2734" s="2646">
        <v>3400</v>
      </c>
      <c r="J2734" s="2646">
        <v>2.8</v>
      </c>
      <c r="L2734" s="2646" t="s">
        <v>2088</v>
      </c>
    </row>
    <row r="2735" spans="1:12">
      <c r="A2735" s="2647" t="s">
        <v>99</v>
      </c>
      <c r="B2735" s="2647" t="s">
        <v>5054</v>
      </c>
      <c r="C2735" s="2647">
        <v>85</v>
      </c>
      <c r="D2735" s="2647">
        <v>150</v>
      </c>
      <c r="E2735" s="2647">
        <v>49</v>
      </c>
      <c r="F2735" s="2647">
        <v>294</v>
      </c>
      <c r="G2735" s="2647">
        <v>439</v>
      </c>
      <c r="H2735" s="2647">
        <v>2500</v>
      </c>
      <c r="I2735" s="2647">
        <v>3400</v>
      </c>
      <c r="J2735" s="2647">
        <v>3.63</v>
      </c>
      <c r="K2735" s="2648"/>
      <c r="L2735" s="2647" t="s">
        <v>2088</v>
      </c>
    </row>
    <row r="2736" spans="1:12">
      <c r="A2736" s="2646" t="s">
        <v>99</v>
      </c>
      <c r="B2736" s="2646" t="s">
        <v>5055</v>
      </c>
      <c r="C2736" s="2646">
        <v>85</v>
      </c>
      <c r="D2736" s="2646">
        <v>180</v>
      </c>
      <c r="E2736" s="2646">
        <v>41</v>
      </c>
      <c r="F2736" s="2646">
        <v>231</v>
      </c>
      <c r="G2736" s="2646">
        <v>265</v>
      </c>
      <c r="H2736" s="2646">
        <v>1900</v>
      </c>
      <c r="I2736" s="2646">
        <v>2600</v>
      </c>
      <c r="J2736" s="2646">
        <v>4.54</v>
      </c>
      <c r="L2736" s="2646" t="s">
        <v>2088</v>
      </c>
    </row>
    <row r="2737" spans="1:12">
      <c r="A2737" s="2647" t="s">
        <v>99</v>
      </c>
      <c r="B2737" s="2647" t="s">
        <v>5056</v>
      </c>
      <c r="C2737" s="2647">
        <v>85</v>
      </c>
      <c r="D2737" s="2647">
        <v>180</v>
      </c>
      <c r="E2737" s="2647">
        <v>41</v>
      </c>
      <c r="F2737" s="2647">
        <v>263</v>
      </c>
      <c r="G2737" s="2647">
        <v>317</v>
      </c>
      <c r="H2737" s="2647">
        <v>1900</v>
      </c>
      <c r="I2737" s="2647">
        <v>2600</v>
      </c>
      <c r="J2737" s="2647">
        <v>4.8099999999999996</v>
      </c>
      <c r="K2737" s="2648"/>
      <c r="L2737" s="2647" t="s">
        <v>2088</v>
      </c>
    </row>
    <row r="2738" spans="1:12">
      <c r="A2738" s="2646" t="s">
        <v>99</v>
      </c>
      <c r="B2738" s="2646" t="s">
        <v>5057</v>
      </c>
      <c r="C2738" s="2646">
        <v>85</v>
      </c>
      <c r="D2738" s="2646">
        <v>180</v>
      </c>
      <c r="E2738" s="2646">
        <v>41</v>
      </c>
      <c r="F2738" s="2646">
        <v>316</v>
      </c>
      <c r="G2738" s="2646">
        <v>384</v>
      </c>
      <c r="H2738" s="2646">
        <v>2200</v>
      </c>
      <c r="I2738" s="2646">
        <v>2900</v>
      </c>
      <c r="J2738" s="2646">
        <v>5.15</v>
      </c>
      <c r="L2738" s="2646" t="s">
        <v>2088</v>
      </c>
    </row>
    <row r="2739" spans="1:12">
      <c r="A2739" s="2647" t="s">
        <v>99</v>
      </c>
      <c r="B2739" s="2647" t="s">
        <v>5058</v>
      </c>
      <c r="C2739" s="2647">
        <v>85</v>
      </c>
      <c r="D2739" s="2647">
        <v>180</v>
      </c>
      <c r="E2739" s="2647">
        <v>41</v>
      </c>
      <c r="F2739" s="2647">
        <v>305</v>
      </c>
      <c r="G2739" s="2647">
        <v>367</v>
      </c>
      <c r="H2739" s="2647">
        <v>2200</v>
      </c>
      <c r="I2739" s="2647">
        <v>2900</v>
      </c>
      <c r="J2739" s="2647">
        <v>4.97</v>
      </c>
      <c r="K2739" s="2648"/>
      <c r="L2739" s="2647" t="s">
        <v>2088</v>
      </c>
    </row>
    <row r="2740" spans="1:12">
      <c r="A2740" s="2646" t="s">
        <v>99</v>
      </c>
      <c r="B2740" s="2646" t="s">
        <v>5059</v>
      </c>
      <c r="C2740" s="2646">
        <v>85</v>
      </c>
      <c r="D2740" s="2646">
        <v>180</v>
      </c>
      <c r="E2740" s="2646">
        <v>60</v>
      </c>
      <c r="F2740" s="2646">
        <v>439</v>
      </c>
      <c r="G2740" s="2646">
        <v>587</v>
      </c>
      <c r="H2740" s="2646">
        <v>2200</v>
      </c>
      <c r="I2740" s="2646">
        <v>3000</v>
      </c>
      <c r="J2740" s="2646">
        <v>7.42</v>
      </c>
      <c r="L2740" s="2646" t="s">
        <v>2088</v>
      </c>
    </row>
    <row r="2741" spans="1:12">
      <c r="A2741" s="2647" t="s">
        <v>99</v>
      </c>
      <c r="B2741" s="2647" t="s">
        <v>5060</v>
      </c>
      <c r="C2741" s="2647">
        <v>90</v>
      </c>
      <c r="D2741" s="2647">
        <v>125</v>
      </c>
      <c r="E2741" s="2647">
        <v>23</v>
      </c>
      <c r="F2741" s="2647">
        <v>101</v>
      </c>
      <c r="G2741" s="2647">
        <v>175</v>
      </c>
      <c r="H2741" s="2647">
        <v>2800</v>
      </c>
      <c r="I2741" s="2647">
        <v>3700</v>
      </c>
      <c r="J2741" s="2647">
        <v>0.83399999999999996</v>
      </c>
      <c r="K2741" s="2648"/>
      <c r="L2741" s="2647" t="s">
        <v>2088</v>
      </c>
    </row>
    <row r="2742" spans="1:12">
      <c r="A2742" s="2646" t="s">
        <v>99</v>
      </c>
      <c r="B2742" s="2646" t="s">
        <v>5061</v>
      </c>
      <c r="C2742" s="2646">
        <v>90</v>
      </c>
      <c r="D2742" s="2646">
        <v>140</v>
      </c>
      <c r="E2742" s="2646">
        <v>32</v>
      </c>
      <c r="F2742" s="2646">
        <v>178</v>
      </c>
      <c r="G2742" s="2646">
        <v>276</v>
      </c>
      <c r="H2742" s="2646">
        <v>2600</v>
      </c>
      <c r="I2742" s="2646">
        <v>3500</v>
      </c>
      <c r="J2742" s="2646">
        <v>1.8</v>
      </c>
      <c r="L2742" s="2646" t="s">
        <v>2088</v>
      </c>
    </row>
    <row r="2743" spans="1:12">
      <c r="A2743" s="2647" t="s">
        <v>99</v>
      </c>
      <c r="B2743" s="2647" t="s">
        <v>5062</v>
      </c>
      <c r="C2743" s="2647">
        <v>90</v>
      </c>
      <c r="D2743" s="2647">
        <v>140</v>
      </c>
      <c r="E2743" s="2647">
        <v>39</v>
      </c>
      <c r="F2743" s="2647">
        <v>221</v>
      </c>
      <c r="G2743" s="2647">
        <v>367</v>
      </c>
      <c r="H2743" s="2647">
        <v>2600</v>
      </c>
      <c r="I2743" s="2647">
        <v>3400</v>
      </c>
      <c r="J2743" s="2647">
        <v>2.2200000000000002</v>
      </c>
      <c r="K2743" s="2648"/>
      <c r="L2743" s="2647" t="s">
        <v>2088</v>
      </c>
    </row>
    <row r="2744" spans="1:12">
      <c r="A2744" s="2646" t="s">
        <v>99</v>
      </c>
      <c r="B2744" s="2646" t="s">
        <v>5063</v>
      </c>
      <c r="C2744" s="2646">
        <v>90</v>
      </c>
      <c r="D2744" s="2646">
        <v>150</v>
      </c>
      <c r="E2744" s="2646">
        <v>45</v>
      </c>
      <c r="F2744" s="2646">
        <v>258</v>
      </c>
      <c r="G2744" s="2646">
        <v>413</v>
      </c>
      <c r="H2744" s="2646">
        <v>2500</v>
      </c>
      <c r="I2744" s="2646">
        <v>3300</v>
      </c>
      <c r="J2744" s="2646">
        <v>3.13</v>
      </c>
      <c r="L2744" s="2646" t="s">
        <v>2088</v>
      </c>
    </row>
    <row r="2745" spans="1:12">
      <c r="A2745" s="2647" t="s">
        <v>99</v>
      </c>
      <c r="B2745" s="2647" t="s">
        <v>5064</v>
      </c>
      <c r="C2745" s="2647">
        <v>90</v>
      </c>
      <c r="D2745" s="2647">
        <v>155</v>
      </c>
      <c r="E2745" s="2647">
        <v>46</v>
      </c>
      <c r="F2745" s="2647">
        <v>273</v>
      </c>
      <c r="G2745" s="2647">
        <v>405</v>
      </c>
      <c r="H2745" s="2647">
        <v>2400</v>
      </c>
      <c r="I2745" s="2647">
        <v>3200</v>
      </c>
      <c r="J2745" s="2647">
        <v>3.47</v>
      </c>
      <c r="K2745" s="2648"/>
      <c r="L2745" s="2647" t="s">
        <v>2088</v>
      </c>
    </row>
    <row r="2746" spans="1:12">
      <c r="A2746" s="2646" t="s">
        <v>99</v>
      </c>
      <c r="B2746" s="2646" t="s">
        <v>5065</v>
      </c>
      <c r="C2746" s="2646">
        <v>90</v>
      </c>
      <c r="D2746" s="2646">
        <v>160</v>
      </c>
      <c r="E2746" s="2646">
        <v>30</v>
      </c>
      <c r="F2746" s="2646">
        <v>204</v>
      </c>
      <c r="G2746" s="2646">
        <v>261</v>
      </c>
      <c r="H2746" s="2646">
        <v>2400</v>
      </c>
      <c r="I2746" s="2646">
        <v>3200</v>
      </c>
      <c r="J2746" s="2646">
        <v>2.65</v>
      </c>
      <c r="L2746" s="2646" t="s">
        <v>2088</v>
      </c>
    </row>
    <row r="2747" spans="1:12">
      <c r="A2747" s="2647" t="s">
        <v>99</v>
      </c>
      <c r="B2747" s="2647" t="s">
        <v>5066</v>
      </c>
      <c r="C2747" s="2647">
        <v>90</v>
      </c>
      <c r="D2747" s="2647">
        <v>160</v>
      </c>
      <c r="E2747" s="2647">
        <v>40</v>
      </c>
      <c r="F2747" s="2647">
        <v>263</v>
      </c>
      <c r="G2747" s="2647">
        <v>362</v>
      </c>
      <c r="H2747" s="2647">
        <v>2400</v>
      </c>
      <c r="I2747" s="2647">
        <v>3200</v>
      </c>
      <c r="J2747" s="2647">
        <v>3.47</v>
      </c>
      <c r="K2747" s="2648"/>
      <c r="L2747" s="2647" t="s">
        <v>2088</v>
      </c>
    </row>
    <row r="2748" spans="1:12">
      <c r="A2748" s="2646" t="s">
        <v>99</v>
      </c>
      <c r="B2748" s="2646" t="s">
        <v>5067</v>
      </c>
      <c r="C2748" s="2646">
        <v>90</v>
      </c>
      <c r="D2748" s="2646">
        <v>160</v>
      </c>
      <c r="E2748" s="2646">
        <v>55</v>
      </c>
      <c r="F2748" s="2646">
        <v>343</v>
      </c>
      <c r="G2748" s="2646">
        <v>527</v>
      </c>
      <c r="H2748" s="2646">
        <v>2400</v>
      </c>
      <c r="I2748" s="2646">
        <v>3200</v>
      </c>
      <c r="J2748" s="2646">
        <v>4.76</v>
      </c>
      <c r="L2748" s="2646" t="s">
        <v>2088</v>
      </c>
    </row>
    <row r="2749" spans="1:12">
      <c r="A2749" s="2647" t="s">
        <v>99</v>
      </c>
      <c r="B2749" s="2647" t="s">
        <v>5068</v>
      </c>
      <c r="C2749" s="2647">
        <v>90</v>
      </c>
      <c r="D2749" s="2647">
        <v>190</v>
      </c>
      <c r="E2749" s="2647">
        <v>43</v>
      </c>
      <c r="F2749" s="2647">
        <v>288</v>
      </c>
      <c r="G2749" s="2647">
        <v>350</v>
      </c>
      <c r="H2749" s="2647">
        <v>1700</v>
      </c>
      <c r="I2749" s="2647">
        <v>2400</v>
      </c>
      <c r="J2749" s="2647">
        <v>5.57</v>
      </c>
      <c r="K2749" s="2648"/>
      <c r="L2749" s="2647" t="s">
        <v>2088</v>
      </c>
    </row>
    <row r="2750" spans="1:12">
      <c r="A2750" s="2646" t="s">
        <v>99</v>
      </c>
      <c r="B2750" s="2646" t="s">
        <v>5069</v>
      </c>
      <c r="C2750" s="2646">
        <v>90</v>
      </c>
      <c r="D2750" s="2646">
        <v>190</v>
      </c>
      <c r="E2750" s="2646">
        <v>43</v>
      </c>
      <c r="F2750" s="2646">
        <v>282</v>
      </c>
      <c r="G2750" s="2646">
        <v>336</v>
      </c>
      <c r="H2750" s="2646">
        <v>1700</v>
      </c>
      <c r="I2750" s="2646">
        <v>2400</v>
      </c>
      <c r="J2750" s="2646">
        <v>5.6</v>
      </c>
      <c r="L2750" s="2646" t="s">
        <v>2088</v>
      </c>
    </row>
    <row r="2751" spans="1:12">
      <c r="A2751" s="2647" t="s">
        <v>99</v>
      </c>
      <c r="B2751" s="2647" t="s">
        <v>5070</v>
      </c>
      <c r="C2751" s="2647">
        <v>90</v>
      </c>
      <c r="D2751" s="2647">
        <v>190</v>
      </c>
      <c r="E2751" s="2647">
        <v>43</v>
      </c>
      <c r="F2751" s="2647">
        <v>345</v>
      </c>
      <c r="G2751" s="2647">
        <v>420</v>
      </c>
      <c r="H2751" s="2647">
        <v>2100</v>
      </c>
      <c r="I2751" s="2647">
        <v>2700</v>
      </c>
      <c r="J2751" s="2647">
        <v>6.04</v>
      </c>
      <c r="K2751" s="2648"/>
      <c r="L2751" s="2647" t="s">
        <v>2088</v>
      </c>
    </row>
    <row r="2752" spans="1:12">
      <c r="A2752" s="2646" t="s">
        <v>99</v>
      </c>
      <c r="B2752" s="2646" t="s">
        <v>5071</v>
      </c>
      <c r="C2752" s="2646">
        <v>90</v>
      </c>
      <c r="D2752" s="2646">
        <v>190</v>
      </c>
      <c r="E2752" s="2646">
        <v>43</v>
      </c>
      <c r="F2752" s="2646">
        <v>336</v>
      </c>
      <c r="G2752" s="2646">
        <v>407</v>
      </c>
      <c r="H2752" s="2646">
        <v>2100</v>
      </c>
      <c r="I2752" s="2646">
        <v>2700</v>
      </c>
      <c r="J2752" s="2646">
        <v>5.78</v>
      </c>
      <c r="L2752" s="2646" t="s">
        <v>2088</v>
      </c>
    </row>
    <row r="2753" spans="1:12">
      <c r="A2753" s="2647" t="s">
        <v>99</v>
      </c>
      <c r="B2753" s="2647" t="s">
        <v>5072</v>
      </c>
      <c r="C2753" s="2647">
        <v>90</v>
      </c>
      <c r="D2753" s="2647">
        <v>190</v>
      </c>
      <c r="E2753" s="2647">
        <v>64</v>
      </c>
      <c r="F2753" s="2647">
        <v>461</v>
      </c>
      <c r="G2753" s="2647">
        <v>614</v>
      </c>
      <c r="H2753" s="2647">
        <v>2100</v>
      </c>
      <c r="I2753" s="2647">
        <v>2800</v>
      </c>
      <c r="J2753" s="2647">
        <v>8.61</v>
      </c>
      <c r="K2753" s="2648"/>
      <c r="L2753" s="2647" t="s">
        <v>2088</v>
      </c>
    </row>
    <row r="2754" spans="1:12">
      <c r="A2754" s="2646" t="s">
        <v>99</v>
      </c>
      <c r="B2754" s="2646" t="s">
        <v>5073</v>
      </c>
      <c r="C2754" s="2646">
        <v>95</v>
      </c>
      <c r="D2754" s="2646">
        <v>130</v>
      </c>
      <c r="E2754" s="2646">
        <v>23</v>
      </c>
      <c r="F2754" s="2646">
        <v>104</v>
      </c>
      <c r="G2754" s="2646">
        <v>186</v>
      </c>
      <c r="H2754" s="2646">
        <v>2600</v>
      </c>
      <c r="I2754" s="2646">
        <v>3500</v>
      </c>
      <c r="J2754" s="2646">
        <v>0.876</v>
      </c>
      <c r="L2754" s="2646" t="s">
        <v>2088</v>
      </c>
    </row>
    <row r="2755" spans="1:12">
      <c r="A2755" s="2647" t="s">
        <v>99</v>
      </c>
      <c r="B2755" s="2647" t="s">
        <v>5074</v>
      </c>
      <c r="C2755" s="2647">
        <v>95</v>
      </c>
      <c r="D2755" s="2647">
        <v>145</v>
      </c>
      <c r="E2755" s="2647">
        <v>32</v>
      </c>
      <c r="F2755" s="2647">
        <v>182</v>
      </c>
      <c r="G2755" s="2647">
        <v>287</v>
      </c>
      <c r="H2755" s="2647">
        <v>2500</v>
      </c>
      <c r="I2755" s="2647">
        <v>3300</v>
      </c>
      <c r="J2755" s="2647">
        <v>1.88</v>
      </c>
      <c r="K2755" s="2648"/>
      <c r="L2755" s="2647" t="s">
        <v>2088</v>
      </c>
    </row>
    <row r="2756" spans="1:12">
      <c r="A2756" s="2646" t="s">
        <v>99</v>
      </c>
      <c r="B2756" s="2646" t="s">
        <v>5075</v>
      </c>
      <c r="C2756" s="2646">
        <v>95</v>
      </c>
      <c r="D2756" s="2646">
        <v>145</v>
      </c>
      <c r="E2756" s="2646">
        <v>39</v>
      </c>
      <c r="F2756" s="2646">
        <v>226</v>
      </c>
      <c r="G2756" s="2646">
        <v>382</v>
      </c>
      <c r="H2756" s="2646">
        <v>2500</v>
      </c>
      <c r="I2756" s="2646">
        <v>3300</v>
      </c>
      <c r="J2756" s="2646">
        <v>2.31</v>
      </c>
      <c r="L2756" s="2646" t="s">
        <v>2088</v>
      </c>
    </row>
    <row r="2757" spans="1:12">
      <c r="A2757" s="2647" t="s">
        <v>99</v>
      </c>
      <c r="B2757" s="2647" t="s">
        <v>5076</v>
      </c>
      <c r="C2757" s="2647">
        <v>95</v>
      </c>
      <c r="D2757" s="2647">
        <v>160</v>
      </c>
      <c r="E2757" s="2647">
        <v>46</v>
      </c>
      <c r="F2757" s="2647">
        <v>281</v>
      </c>
      <c r="G2757" s="2647">
        <v>427</v>
      </c>
      <c r="H2757" s="2647">
        <v>2300</v>
      </c>
      <c r="I2757" s="2647">
        <v>3100</v>
      </c>
      <c r="J2757" s="2647">
        <v>3.62</v>
      </c>
      <c r="K2757" s="2648"/>
      <c r="L2757" s="2647" t="s">
        <v>2088</v>
      </c>
    </row>
    <row r="2758" spans="1:12">
      <c r="A2758" s="2646" t="s">
        <v>99</v>
      </c>
      <c r="B2758" s="2646" t="s">
        <v>5077</v>
      </c>
      <c r="C2758" s="2646">
        <v>95</v>
      </c>
      <c r="D2758" s="2646">
        <v>160</v>
      </c>
      <c r="E2758" s="2646">
        <v>49</v>
      </c>
      <c r="F2758" s="2646">
        <v>304</v>
      </c>
      <c r="G2758" s="2646">
        <v>473</v>
      </c>
      <c r="H2758" s="2646">
        <v>2300</v>
      </c>
      <c r="I2758" s="2646">
        <v>3100</v>
      </c>
      <c r="J2758" s="2646">
        <v>3.89</v>
      </c>
      <c r="L2758" s="2646" t="s">
        <v>2088</v>
      </c>
    </row>
    <row r="2759" spans="1:12">
      <c r="A2759" s="2647" t="s">
        <v>99</v>
      </c>
      <c r="B2759" s="2647" t="s">
        <v>5078</v>
      </c>
      <c r="C2759" s="2647">
        <v>95</v>
      </c>
      <c r="D2759" s="2647">
        <v>170</v>
      </c>
      <c r="E2759" s="2647">
        <v>32</v>
      </c>
      <c r="F2759" s="2647">
        <v>231</v>
      </c>
      <c r="G2759" s="2647">
        <v>229</v>
      </c>
      <c r="H2759" s="2647">
        <v>2200</v>
      </c>
      <c r="I2759" s="2647">
        <v>3000</v>
      </c>
      <c r="J2759" s="2647">
        <v>3.2</v>
      </c>
      <c r="K2759" s="2648"/>
      <c r="L2759" s="2647" t="s">
        <v>2088</v>
      </c>
    </row>
    <row r="2760" spans="1:12">
      <c r="A2760" s="2646" t="s">
        <v>99</v>
      </c>
      <c r="B2760" s="2646" t="s">
        <v>5079</v>
      </c>
      <c r="C2760" s="2646">
        <v>95</v>
      </c>
      <c r="D2760" s="2646">
        <v>170</v>
      </c>
      <c r="E2760" s="2646">
        <v>43</v>
      </c>
      <c r="F2760" s="2646">
        <v>311</v>
      </c>
      <c r="G2760" s="2646">
        <v>439</v>
      </c>
      <c r="H2760" s="2646">
        <v>2200</v>
      </c>
      <c r="I2760" s="2646">
        <v>3000</v>
      </c>
      <c r="J2760" s="2646">
        <v>4.34</v>
      </c>
      <c r="L2760" s="2646" t="s">
        <v>2088</v>
      </c>
    </row>
    <row r="2761" spans="1:12">
      <c r="A2761" s="2647" t="s">
        <v>99</v>
      </c>
      <c r="B2761" s="2647" t="s">
        <v>5080</v>
      </c>
      <c r="C2761" s="2647">
        <v>95</v>
      </c>
      <c r="D2761" s="2647">
        <v>170</v>
      </c>
      <c r="E2761" s="2647">
        <v>58</v>
      </c>
      <c r="F2761" s="2647">
        <v>374</v>
      </c>
      <c r="G2761" s="2647">
        <v>582</v>
      </c>
      <c r="H2761" s="2647">
        <v>2200</v>
      </c>
      <c r="I2761" s="2647">
        <v>2900</v>
      </c>
      <c r="J2761" s="2647">
        <v>5.66</v>
      </c>
      <c r="K2761" s="2648"/>
      <c r="L2761" s="2647" t="s">
        <v>2088</v>
      </c>
    </row>
    <row r="2762" spans="1:12">
      <c r="A2762" s="2646" t="s">
        <v>99</v>
      </c>
      <c r="B2762" s="2646" t="s">
        <v>5081</v>
      </c>
      <c r="C2762" s="2646">
        <v>95</v>
      </c>
      <c r="D2762" s="2646">
        <v>200</v>
      </c>
      <c r="E2762" s="2646">
        <v>45</v>
      </c>
      <c r="F2762" s="2646">
        <v>319</v>
      </c>
      <c r="G2762" s="2646">
        <v>391</v>
      </c>
      <c r="H2762" s="2646">
        <v>1700</v>
      </c>
      <c r="I2762" s="2646">
        <v>2300</v>
      </c>
      <c r="J2762" s="2646">
        <v>6.68</v>
      </c>
      <c r="L2762" s="2646" t="s">
        <v>2088</v>
      </c>
    </row>
    <row r="2763" spans="1:12">
      <c r="A2763" s="2647" t="s">
        <v>99</v>
      </c>
      <c r="B2763" s="2647" t="s">
        <v>5082</v>
      </c>
      <c r="C2763" s="2647">
        <v>95</v>
      </c>
      <c r="D2763" s="2647">
        <v>200</v>
      </c>
      <c r="E2763" s="2647">
        <v>45</v>
      </c>
      <c r="F2763" s="2647">
        <v>317</v>
      </c>
      <c r="G2763" s="2647">
        <v>382</v>
      </c>
      <c r="H2763" s="2647">
        <v>1700</v>
      </c>
      <c r="I2763" s="2647">
        <v>2300</v>
      </c>
      <c r="J2763" s="2647">
        <v>6.84</v>
      </c>
      <c r="K2763" s="2648"/>
      <c r="L2763" s="2647" t="s">
        <v>2088</v>
      </c>
    </row>
    <row r="2764" spans="1:12">
      <c r="A2764" s="2646" t="s">
        <v>99</v>
      </c>
      <c r="B2764" s="2646" t="s">
        <v>5083</v>
      </c>
      <c r="C2764" s="2646">
        <v>95</v>
      </c>
      <c r="D2764" s="2646">
        <v>200</v>
      </c>
      <c r="E2764" s="2646">
        <v>45</v>
      </c>
      <c r="F2764" s="2646">
        <v>372</v>
      </c>
      <c r="G2764" s="2646">
        <v>455</v>
      </c>
      <c r="H2764" s="2646">
        <v>1000</v>
      </c>
      <c r="I2764" s="2646">
        <v>2600</v>
      </c>
      <c r="J2764" s="2646">
        <v>6.96</v>
      </c>
      <c r="L2764" s="2646" t="s">
        <v>2088</v>
      </c>
    </row>
    <row r="2765" spans="1:12">
      <c r="A2765" s="2647" t="s">
        <v>99</v>
      </c>
      <c r="B2765" s="2647" t="s">
        <v>5083</v>
      </c>
      <c r="C2765" s="2647">
        <v>95</v>
      </c>
      <c r="D2765" s="2647">
        <v>200</v>
      </c>
      <c r="E2765" s="2647">
        <v>45</v>
      </c>
      <c r="F2765" s="2647">
        <v>372</v>
      </c>
      <c r="G2765" s="2647">
        <v>455</v>
      </c>
      <c r="H2765" s="2647">
        <v>1000</v>
      </c>
      <c r="I2765" s="2647">
        <v>2600</v>
      </c>
      <c r="J2765" s="2647">
        <v>6.96</v>
      </c>
      <c r="K2765" s="2648"/>
      <c r="L2765" s="2647" t="s">
        <v>2088</v>
      </c>
    </row>
    <row r="2766" spans="1:12">
      <c r="A2766" s="2646" t="s">
        <v>99</v>
      </c>
      <c r="B2766" s="2646" t="s">
        <v>5084</v>
      </c>
      <c r="C2766" s="2646">
        <v>95</v>
      </c>
      <c r="D2766" s="2646">
        <v>200</v>
      </c>
      <c r="E2766" s="2646">
        <v>67</v>
      </c>
      <c r="F2766" s="2646">
        <v>517</v>
      </c>
      <c r="G2766" s="2646">
        <v>695</v>
      </c>
      <c r="H2766" s="2646">
        <v>2000</v>
      </c>
      <c r="I2766" s="2646">
        <v>2600</v>
      </c>
      <c r="J2766" s="2646">
        <v>10.1</v>
      </c>
      <c r="L2766" s="2646" t="s">
        <v>2088</v>
      </c>
    </row>
    <row r="2767" spans="1:12">
      <c r="A2767" s="2647" t="s">
        <v>99</v>
      </c>
      <c r="B2767" s="2647" t="s">
        <v>5085</v>
      </c>
      <c r="C2767" s="2647">
        <v>100</v>
      </c>
      <c r="D2767" s="2647">
        <v>140</v>
      </c>
      <c r="E2767" s="2647">
        <v>25</v>
      </c>
      <c r="F2767" s="2647">
        <v>126</v>
      </c>
      <c r="G2767" s="2647">
        <v>217</v>
      </c>
      <c r="H2767" s="2647">
        <v>2400</v>
      </c>
      <c r="I2767" s="2647">
        <v>3300</v>
      </c>
      <c r="J2767" s="2647">
        <v>1.19</v>
      </c>
      <c r="K2767" s="2648"/>
      <c r="L2767" s="2647" t="s">
        <v>2088</v>
      </c>
    </row>
    <row r="2768" spans="1:12">
      <c r="A2768" s="2646" t="s">
        <v>99</v>
      </c>
      <c r="B2768" s="2646" t="s">
        <v>5086</v>
      </c>
      <c r="C2768" s="2646">
        <v>100</v>
      </c>
      <c r="D2768" s="2646">
        <v>145</v>
      </c>
      <c r="E2768" s="2646">
        <v>22.5</v>
      </c>
      <c r="F2768" s="2646">
        <v>116</v>
      </c>
      <c r="G2768" s="2646">
        <v>167</v>
      </c>
      <c r="H2768" s="2646">
        <v>2400</v>
      </c>
      <c r="I2768" s="2646">
        <v>3200</v>
      </c>
      <c r="J2768" s="2646">
        <v>1.1200000000000001</v>
      </c>
      <c r="L2768" s="2646" t="s">
        <v>2088</v>
      </c>
    </row>
    <row r="2769" spans="1:12">
      <c r="A2769" s="2647" t="s">
        <v>99</v>
      </c>
      <c r="B2769" s="2647" t="s">
        <v>5087</v>
      </c>
      <c r="C2769" s="2647">
        <v>100</v>
      </c>
      <c r="D2769" s="2647">
        <v>150</v>
      </c>
      <c r="E2769" s="2647">
        <v>32</v>
      </c>
      <c r="F2769" s="2647">
        <v>185</v>
      </c>
      <c r="G2769" s="2647">
        <v>298</v>
      </c>
      <c r="H2769" s="2647">
        <v>2400</v>
      </c>
      <c r="I2769" s="2647">
        <v>3200</v>
      </c>
      <c r="J2769" s="2647">
        <v>1.95</v>
      </c>
      <c r="K2769" s="2648"/>
      <c r="L2769" s="2647" t="s">
        <v>2088</v>
      </c>
    </row>
    <row r="2770" spans="1:12">
      <c r="A2770" s="2646" t="s">
        <v>99</v>
      </c>
      <c r="B2770" s="2646" t="s">
        <v>5088</v>
      </c>
      <c r="C2770" s="2646">
        <v>100</v>
      </c>
      <c r="D2770" s="2646">
        <v>150</v>
      </c>
      <c r="E2770" s="2646">
        <v>39</v>
      </c>
      <c r="F2770" s="2646">
        <v>231</v>
      </c>
      <c r="G2770" s="2646">
        <v>397</v>
      </c>
      <c r="H2770" s="2646">
        <v>2400</v>
      </c>
      <c r="I2770" s="2646">
        <v>3200</v>
      </c>
      <c r="J2770" s="2646">
        <v>2.4</v>
      </c>
      <c r="L2770" s="2646" t="s">
        <v>2088</v>
      </c>
    </row>
    <row r="2771" spans="1:12">
      <c r="A2771" s="2647" t="s">
        <v>99</v>
      </c>
      <c r="B2771" s="2647" t="s">
        <v>5089</v>
      </c>
      <c r="C2771" s="2647">
        <v>100</v>
      </c>
      <c r="D2771" s="2647">
        <v>165</v>
      </c>
      <c r="E2771" s="2647">
        <v>46</v>
      </c>
      <c r="F2771" s="2647">
        <v>293</v>
      </c>
      <c r="G2771" s="2647">
        <v>458</v>
      </c>
      <c r="H2771" s="2647">
        <v>2200</v>
      </c>
      <c r="I2771" s="2647">
        <v>3000</v>
      </c>
      <c r="J2771" s="2647">
        <v>3.86</v>
      </c>
      <c r="K2771" s="2648"/>
      <c r="L2771" s="2647" t="s">
        <v>2088</v>
      </c>
    </row>
    <row r="2772" spans="1:12">
      <c r="A2772" s="2646" t="s">
        <v>99</v>
      </c>
      <c r="B2772" s="2646" t="s">
        <v>5090</v>
      </c>
      <c r="C2772" s="2646">
        <v>100</v>
      </c>
      <c r="D2772" s="2646">
        <v>165</v>
      </c>
      <c r="E2772" s="2646">
        <v>52</v>
      </c>
      <c r="F2772" s="2646">
        <v>325</v>
      </c>
      <c r="G2772" s="2646">
        <v>523</v>
      </c>
      <c r="H2772" s="2646">
        <v>2200</v>
      </c>
      <c r="I2772" s="2646">
        <v>3000</v>
      </c>
      <c r="J2772" s="2646">
        <v>4.29</v>
      </c>
      <c r="L2772" s="2646" t="s">
        <v>2088</v>
      </c>
    </row>
    <row r="2773" spans="1:12">
      <c r="A2773" s="2647" t="s">
        <v>99</v>
      </c>
      <c r="B2773" s="2647" t="s">
        <v>5091</v>
      </c>
      <c r="C2773" s="2647">
        <v>100</v>
      </c>
      <c r="D2773" s="2647">
        <v>180</v>
      </c>
      <c r="E2773" s="2647">
        <v>34</v>
      </c>
      <c r="F2773" s="2647">
        <v>258</v>
      </c>
      <c r="G2773" s="2647">
        <v>338</v>
      </c>
      <c r="H2773" s="2647">
        <v>2100</v>
      </c>
      <c r="I2773" s="2647">
        <v>2800</v>
      </c>
      <c r="J2773" s="2647">
        <v>3.83</v>
      </c>
      <c r="K2773" s="2648"/>
      <c r="L2773" s="2647" t="s">
        <v>2088</v>
      </c>
    </row>
    <row r="2774" spans="1:12">
      <c r="A2774" s="2646" t="s">
        <v>99</v>
      </c>
      <c r="B2774" s="2646" t="s">
        <v>5092</v>
      </c>
      <c r="C2774" s="2646">
        <v>100</v>
      </c>
      <c r="D2774" s="2646">
        <v>180</v>
      </c>
      <c r="E2774" s="2646">
        <v>46</v>
      </c>
      <c r="F2774" s="2646">
        <v>347</v>
      </c>
      <c r="G2774" s="2646">
        <v>495</v>
      </c>
      <c r="H2774" s="2646">
        <v>2100</v>
      </c>
      <c r="I2774" s="2646">
        <v>2800</v>
      </c>
      <c r="J2774" s="2646">
        <v>5.21</v>
      </c>
      <c r="L2774" s="2646" t="s">
        <v>2088</v>
      </c>
    </row>
    <row r="2775" spans="1:12">
      <c r="A2775" s="2647" t="s">
        <v>99</v>
      </c>
      <c r="B2775" s="2647" t="s">
        <v>5093</v>
      </c>
      <c r="C2775" s="2647">
        <v>100</v>
      </c>
      <c r="D2775" s="2647">
        <v>180</v>
      </c>
      <c r="E2775" s="2647">
        <v>63</v>
      </c>
      <c r="F2775" s="2647">
        <v>431</v>
      </c>
      <c r="G2775" s="2647">
        <v>680</v>
      </c>
      <c r="H2775" s="2647">
        <v>2100</v>
      </c>
      <c r="I2775" s="2647">
        <v>2800</v>
      </c>
      <c r="J2775" s="2647">
        <v>6.91</v>
      </c>
      <c r="K2775" s="2648"/>
      <c r="L2775" s="2647" t="s">
        <v>2088</v>
      </c>
    </row>
    <row r="2776" spans="1:12">
      <c r="A2776" s="2646" t="s">
        <v>99</v>
      </c>
      <c r="B2776" s="2646" t="s">
        <v>5094</v>
      </c>
      <c r="C2776" s="2646">
        <v>100</v>
      </c>
      <c r="D2776" s="2646">
        <v>215</v>
      </c>
      <c r="E2776" s="2646">
        <v>47</v>
      </c>
      <c r="F2776" s="2646">
        <v>318</v>
      </c>
      <c r="G2776" s="2646">
        <v>374</v>
      </c>
      <c r="H2776" s="2646">
        <v>1500</v>
      </c>
      <c r="I2776" s="2646">
        <v>2100</v>
      </c>
      <c r="J2776" s="2646">
        <v>8.02</v>
      </c>
      <c r="L2776" s="2646" t="s">
        <v>2088</v>
      </c>
    </row>
    <row r="2777" spans="1:12">
      <c r="A2777" s="2647" t="s">
        <v>99</v>
      </c>
      <c r="B2777" s="2647" t="s">
        <v>5095</v>
      </c>
      <c r="C2777" s="2647">
        <v>100</v>
      </c>
      <c r="D2777" s="2647">
        <v>215</v>
      </c>
      <c r="E2777" s="2647">
        <v>47</v>
      </c>
      <c r="F2777" s="2647">
        <v>422</v>
      </c>
      <c r="G2777" s="2647">
        <v>521</v>
      </c>
      <c r="H2777" s="2647">
        <v>1800</v>
      </c>
      <c r="I2777" s="2647">
        <v>2400</v>
      </c>
      <c r="J2777" s="2647">
        <v>8.49</v>
      </c>
      <c r="K2777" s="2648"/>
      <c r="L2777" s="2647" t="s">
        <v>2088</v>
      </c>
    </row>
    <row r="2778" spans="1:12">
      <c r="A2778" s="2646" t="s">
        <v>99</v>
      </c>
      <c r="B2778" s="2646" t="s">
        <v>5096</v>
      </c>
      <c r="C2778" s="2646">
        <v>100</v>
      </c>
      <c r="D2778" s="2646">
        <v>215</v>
      </c>
      <c r="E2778" s="2646">
        <v>51</v>
      </c>
      <c r="F2778" s="2646">
        <v>373</v>
      </c>
      <c r="G2778" s="2646">
        <v>459</v>
      </c>
      <c r="H2778" s="2646">
        <v>1500</v>
      </c>
      <c r="I2778" s="2646">
        <v>2200</v>
      </c>
      <c r="J2778" s="2646">
        <v>8.7200000000000006</v>
      </c>
      <c r="L2778" s="2646" t="s">
        <v>2088</v>
      </c>
    </row>
    <row r="2779" spans="1:12">
      <c r="A2779" s="2647" t="s">
        <v>99</v>
      </c>
      <c r="B2779" s="2647" t="s">
        <v>5097</v>
      </c>
      <c r="C2779" s="2647">
        <v>100</v>
      </c>
      <c r="D2779" s="2647">
        <v>215</v>
      </c>
      <c r="E2779" s="2647">
        <v>73</v>
      </c>
      <c r="F2779" s="2647">
        <v>579</v>
      </c>
      <c r="G2779" s="2647">
        <v>783</v>
      </c>
      <c r="H2779" s="2647">
        <v>1800</v>
      </c>
      <c r="I2779" s="2647">
        <v>2400</v>
      </c>
      <c r="J2779" s="2647">
        <v>13</v>
      </c>
      <c r="K2779" s="2648"/>
      <c r="L2779" s="2647" t="s">
        <v>2088</v>
      </c>
    </row>
    <row r="2780" spans="1:12">
      <c r="A2780" s="2646" t="s">
        <v>99</v>
      </c>
      <c r="B2780" s="2646" t="s">
        <v>5098</v>
      </c>
      <c r="C2780" s="2646">
        <v>105</v>
      </c>
      <c r="D2780" s="2646">
        <v>145</v>
      </c>
      <c r="E2780" s="2646">
        <v>25</v>
      </c>
      <c r="F2780" s="2646">
        <v>128</v>
      </c>
      <c r="G2780" s="2646">
        <v>224</v>
      </c>
      <c r="H2780" s="2646">
        <v>2400</v>
      </c>
      <c r="I2780" s="2646">
        <v>3100</v>
      </c>
      <c r="J2780" s="2646">
        <v>1.23</v>
      </c>
      <c r="L2780" s="2646" t="s">
        <v>2088</v>
      </c>
    </row>
    <row r="2781" spans="1:12">
      <c r="A2781" s="2647" t="s">
        <v>99</v>
      </c>
      <c r="B2781" s="2647" t="s">
        <v>5099</v>
      </c>
      <c r="C2781" s="2647">
        <v>105</v>
      </c>
      <c r="D2781" s="2647">
        <v>160</v>
      </c>
      <c r="E2781" s="2647">
        <v>35</v>
      </c>
      <c r="F2781" s="2647">
        <v>215</v>
      </c>
      <c r="G2781" s="2647">
        <v>344</v>
      </c>
      <c r="H2781" s="2647">
        <v>2200</v>
      </c>
      <c r="I2781" s="2647">
        <v>3000</v>
      </c>
      <c r="J2781" s="2647">
        <v>2.4500000000000002</v>
      </c>
      <c r="K2781" s="2648"/>
      <c r="L2781" s="2647" t="s">
        <v>2088</v>
      </c>
    </row>
    <row r="2782" spans="1:12">
      <c r="A2782" s="2646" t="s">
        <v>99</v>
      </c>
      <c r="B2782" s="2646" t="s">
        <v>5100</v>
      </c>
      <c r="C2782" s="2646">
        <v>105</v>
      </c>
      <c r="D2782" s="2646">
        <v>160</v>
      </c>
      <c r="E2782" s="2646">
        <v>43</v>
      </c>
      <c r="F2782" s="2646">
        <v>267</v>
      </c>
      <c r="G2782" s="2646">
        <v>461</v>
      </c>
      <c r="H2782" s="2646">
        <v>2200</v>
      </c>
      <c r="I2782" s="2646">
        <v>3000</v>
      </c>
      <c r="J2782" s="2646">
        <v>3.08</v>
      </c>
      <c r="L2782" s="2646" t="s">
        <v>2088</v>
      </c>
    </row>
    <row r="2783" spans="1:12">
      <c r="A2783" s="2647" t="s">
        <v>99</v>
      </c>
      <c r="B2783" s="2647" t="s">
        <v>5101</v>
      </c>
      <c r="C2783" s="2647">
        <v>105</v>
      </c>
      <c r="D2783" s="2647">
        <v>175</v>
      </c>
      <c r="E2783" s="2647">
        <v>56</v>
      </c>
      <c r="F2783" s="2647">
        <v>360</v>
      </c>
      <c r="G2783" s="2647">
        <v>607</v>
      </c>
      <c r="H2783" s="2647">
        <v>2100</v>
      </c>
      <c r="I2783" s="2647">
        <v>2800</v>
      </c>
      <c r="J2783" s="2647">
        <v>5.33</v>
      </c>
      <c r="K2783" s="2648"/>
      <c r="L2783" s="2647" t="s">
        <v>2088</v>
      </c>
    </row>
    <row r="2784" spans="1:12">
      <c r="A2784" s="2646" t="s">
        <v>99</v>
      </c>
      <c r="B2784" s="2646" t="s">
        <v>5102</v>
      </c>
      <c r="C2784" s="2646">
        <v>105</v>
      </c>
      <c r="D2784" s="2646">
        <v>190</v>
      </c>
      <c r="E2784" s="2646">
        <v>36</v>
      </c>
      <c r="F2784" s="2646">
        <v>288</v>
      </c>
      <c r="G2784" s="2646">
        <v>380</v>
      </c>
      <c r="H2784" s="2646">
        <v>2000</v>
      </c>
      <c r="I2784" s="2646">
        <v>2600</v>
      </c>
      <c r="J2784" s="2646">
        <v>4.49</v>
      </c>
      <c r="L2784" s="2646" t="s">
        <v>2088</v>
      </c>
    </row>
    <row r="2785" spans="1:12">
      <c r="A2785" s="2647" t="s">
        <v>99</v>
      </c>
      <c r="B2785" s="2647" t="s">
        <v>5103</v>
      </c>
      <c r="C2785" s="2647">
        <v>105</v>
      </c>
      <c r="D2785" s="2647">
        <v>190</v>
      </c>
      <c r="E2785" s="2647">
        <v>50</v>
      </c>
      <c r="F2785" s="2647">
        <v>392</v>
      </c>
      <c r="G2785" s="2647">
        <v>567</v>
      </c>
      <c r="H2785" s="2647">
        <v>2000</v>
      </c>
      <c r="I2785" s="2647">
        <v>2700</v>
      </c>
      <c r="J2785" s="2647">
        <v>6.37</v>
      </c>
      <c r="K2785" s="2648"/>
      <c r="L2785" s="2647" t="s">
        <v>2088</v>
      </c>
    </row>
    <row r="2786" spans="1:12">
      <c r="A2786" s="2646" t="s">
        <v>99</v>
      </c>
      <c r="B2786" s="2646" t="s">
        <v>5104</v>
      </c>
      <c r="C2786" s="2646">
        <v>105</v>
      </c>
      <c r="D2786" s="2646">
        <v>190</v>
      </c>
      <c r="E2786" s="2646">
        <v>68</v>
      </c>
      <c r="F2786" s="2646">
        <v>497</v>
      </c>
      <c r="G2786" s="2646">
        <v>790</v>
      </c>
      <c r="H2786" s="2646">
        <v>2000</v>
      </c>
      <c r="I2786" s="2646">
        <v>2600</v>
      </c>
      <c r="J2786" s="2646">
        <v>8.43</v>
      </c>
      <c r="L2786" s="2646" t="s">
        <v>2088</v>
      </c>
    </row>
    <row r="2787" spans="1:12">
      <c r="A2787" s="2647" t="s">
        <v>99</v>
      </c>
      <c r="B2787" s="2647" t="s">
        <v>5105</v>
      </c>
      <c r="C2787" s="2647">
        <v>105</v>
      </c>
      <c r="D2787" s="2647">
        <v>225</v>
      </c>
      <c r="E2787" s="2647">
        <v>49</v>
      </c>
      <c r="F2787" s="2647">
        <v>339</v>
      </c>
      <c r="G2787" s="2647">
        <v>396</v>
      </c>
      <c r="H2787" s="2647">
        <v>1400</v>
      </c>
      <c r="I2787" s="2647">
        <v>2000</v>
      </c>
      <c r="J2787" s="2647">
        <v>8.76</v>
      </c>
      <c r="K2787" s="2648"/>
      <c r="L2787" s="2647" t="s">
        <v>2088</v>
      </c>
    </row>
    <row r="2788" spans="1:12">
      <c r="A2788" s="2646" t="s">
        <v>99</v>
      </c>
      <c r="B2788" s="2646" t="s">
        <v>5106</v>
      </c>
      <c r="C2788" s="2646">
        <v>105</v>
      </c>
      <c r="D2788" s="2646">
        <v>225</v>
      </c>
      <c r="E2788" s="2646">
        <v>49</v>
      </c>
      <c r="F2788" s="2646">
        <v>464</v>
      </c>
      <c r="G2788" s="2646">
        <v>578</v>
      </c>
      <c r="H2788" s="2646">
        <v>1700</v>
      </c>
      <c r="I2788" s="2646">
        <v>2300</v>
      </c>
      <c r="J2788" s="2646">
        <v>9.73</v>
      </c>
      <c r="L2788" s="2646" t="s">
        <v>2088</v>
      </c>
    </row>
    <row r="2789" spans="1:12">
      <c r="A2789" s="2647" t="s">
        <v>99</v>
      </c>
      <c r="B2789" s="2647" t="s">
        <v>5107</v>
      </c>
      <c r="C2789" s="2647">
        <v>105</v>
      </c>
      <c r="D2789" s="2647">
        <v>225</v>
      </c>
      <c r="E2789" s="2647">
        <v>53</v>
      </c>
      <c r="F2789" s="2647">
        <v>397</v>
      </c>
      <c r="G2789" s="2647">
        <v>489</v>
      </c>
      <c r="H2789" s="2647">
        <v>1500</v>
      </c>
      <c r="I2789" s="2647">
        <v>2100</v>
      </c>
      <c r="J2789" s="2647">
        <v>9.7200000000000006</v>
      </c>
      <c r="K2789" s="2648"/>
      <c r="L2789" s="2647" t="s">
        <v>2088</v>
      </c>
    </row>
    <row r="2790" spans="1:12">
      <c r="A2790" s="2646" t="s">
        <v>99</v>
      </c>
      <c r="B2790" s="2646" t="s">
        <v>5108</v>
      </c>
      <c r="C2790" s="2646">
        <v>105</v>
      </c>
      <c r="D2790" s="2646">
        <v>225</v>
      </c>
      <c r="E2790" s="2646">
        <v>77</v>
      </c>
      <c r="F2790" s="2646">
        <v>635</v>
      </c>
      <c r="G2790" s="2646">
        <v>866</v>
      </c>
      <c r="H2790" s="2646">
        <v>1800</v>
      </c>
      <c r="I2790" s="2646">
        <v>2300</v>
      </c>
      <c r="J2790" s="2646">
        <v>14.9</v>
      </c>
      <c r="L2790" s="2646" t="s">
        <v>2088</v>
      </c>
    </row>
    <row r="2791" spans="1:12">
      <c r="A2791" s="2647" t="s">
        <v>99</v>
      </c>
      <c r="B2791" s="2647" t="s">
        <v>5109</v>
      </c>
      <c r="C2791" s="2647">
        <v>110</v>
      </c>
      <c r="D2791" s="2647">
        <v>150</v>
      </c>
      <c r="E2791" s="2647">
        <v>25</v>
      </c>
      <c r="F2791" s="2647">
        <v>129</v>
      </c>
      <c r="G2791" s="2647">
        <v>231</v>
      </c>
      <c r="H2791" s="2647">
        <v>2300</v>
      </c>
      <c r="I2791" s="2647">
        <v>3000</v>
      </c>
      <c r="J2791" s="2647">
        <v>1.28</v>
      </c>
      <c r="K2791" s="2648"/>
      <c r="L2791" s="2647" t="s">
        <v>2088</v>
      </c>
    </row>
    <row r="2792" spans="1:12">
      <c r="A2792" s="2646" t="s">
        <v>99</v>
      </c>
      <c r="B2792" s="2646" t="s">
        <v>5110</v>
      </c>
      <c r="C2792" s="2646">
        <v>110</v>
      </c>
      <c r="D2792" s="2646">
        <v>160</v>
      </c>
      <c r="E2792" s="2646">
        <v>25.5</v>
      </c>
      <c r="F2792" s="2646">
        <v>146</v>
      </c>
      <c r="G2792" s="2646">
        <v>225</v>
      </c>
      <c r="H2792" s="2646">
        <v>2200</v>
      </c>
      <c r="I2792" s="2646">
        <v>2900</v>
      </c>
      <c r="J2792" s="2646">
        <v>1.63</v>
      </c>
      <c r="L2792" s="2646" t="s">
        <v>2088</v>
      </c>
    </row>
    <row r="2793" spans="1:12">
      <c r="A2793" s="2647" t="s">
        <v>99</v>
      </c>
      <c r="B2793" s="2647" t="s">
        <v>5111</v>
      </c>
      <c r="C2793" s="2647">
        <v>110</v>
      </c>
      <c r="D2793" s="2647">
        <v>170</v>
      </c>
      <c r="E2793" s="2647">
        <v>38</v>
      </c>
      <c r="F2793" s="2647">
        <v>248</v>
      </c>
      <c r="G2793" s="2647">
        <v>395</v>
      </c>
      <c r="H2793" s="2647">
        <v>2100</v>
      </c>
      <c r="I2793" s="2647">
        <v>2800</v>
      </c>
      <c r="J2793" s="2647">
        <v>3.12</v>
      </c>
      <c r="K2793" s="2648"/>
      <c r="L2793" s="2647" t="s">
        <v>2088</v>
      </c>
    </row>
    <row r="2794" spans="1:12">
      <c r="A2794" s="2646" t="s">
        <v>99</v>
      </c>
      <c r="B2794" s="2646" t="s">
        <v>5112</v>
      </c>
      <c r="C2794" s="2646">
        <v>110</v>
      </c>
      <c r="D2794" s="2646">
        <v>170</v>
      </c>
      <c r="E2794" s="2646">
        <v>47</v>
      </c>
      <c r="F2794" s="2646">
        <v>287</v>
      </c>
      <c r="G2794" s="2646">
        <v>502</v>
      </c>
      <c r="H2794" s="2646">
        <v>2100</v>
      </c>
      <c r="I2794" s="2646">
        <v>2800</v>
      </c>
      <c r="J2794" s="2646">
        <v>3.81</v>
      </c>
      <c r="L2794" s="2646" t="s">
        <v>2088</v>
      </c>
    </row>
    <row r="2795" spans="1:12">
      <c r="A2795" s="2647" t="s">
        <v>99</v>
      </c>
      <c r="B2795" s="2647" t="s">
        <v>5113</v>
      </c>
      <c r="C2795" s="2647">
        <v>110</v>
      </c>
      <c r="D2795" s="2647">
        <v>180</v>
      </c>
      <c r="E2795" s="2647">
        <v>56</v>
      </c>
      <c r="F2795" s="2647">
        <v>369</v>
      </c>
      <c r="G2795" s="2647">
        <v>634</v>
      </c>
      <c r="H2795" s="2647">
        <v>2000</v>
      </c>
      <c r="I2795" s="2647">
        <v>2700</v>
      </c>
      <c r="J2795" s="2647">
        <v>5.52</v>
      </c>
      <c r="K2795" s="2648"/>
      <c r="L2795" s="2647" t="s">
        <v>2088</v>
      </c>
    </row>
    <row r="2796" spans="1:12">
      <c r="A2796" s="2646" t="s">
        <v>99</v>
      </c>
      <c r="B2796" s="2646" t="s">
        <v>5114</v>
      </c>
      <c r="C2796" s="2646">
        <v>110</v>
      </c>
      <c r="D2796" s="2646">
        <v>200</v>
      </c>
      <c r="E2796" s="2646">
        <v>53</v>
      </c>
      <c r="F2796" s="2646">
        <v>438</v>
      </c>
      <c r="G2796" s="2646">
        <v>640</v>
      </c>
      <c r="H2796" s="2646">
        <v>1900</v>
      </c>
      <c r="I2796" s="2646">
        <v>2500</v>
      </c>
      <c r="J2796" s="2646">
        <v>7.45</v>
      </c>
      <c r="L2796" s="2646" t="s">
        <v>2088</v>
      </c>
    </row>
    <row r="2797" spans="1:12">
      <c r="A2797" s="2647" t="s">
        <v>99</v>
      </c>
      <c r="B2797" s="2647" t="s">
        <v>5115</v>
      </c>
      <c r="C2797" s="2647">
        <v>110</v>
      </c>
      <c r="D2797" s="2647">
        <v>240</v>
      </c>
      <c r="E2797" s="2647">
        <v>50</v>
      </c>
      <c r="F2797" s="2647">
        <v>365</v>
      </c>
      <c r="G2797" s="2647">
        <v>429</v>
      </c>
      <c r="H2797" s="2647">
        <v>1400</v>
      </c>
      <c r="I2797" s="2647">
        <v>1900</v>
      </c>
      <c r="J2797" s="2647">
        <v>10.199999999999999</v>
      </c>
      <c r="K2797" s="2648"/>
      <c r="L2797" s="2647" t="s">
        <v>2088</v>
      </c>
    </row>
    <row r="2798" spans="1:12">
      <c r="A2798" s="2646" t="s">
        <v>99</v>
      </c>
      <c r="B2798" s="2646" t="s">
        <v>5116</v>
      </c>
      <c r="C2798" s="2646">
        <v>110</v>
      </c>
      <c r="D2798" s="2646">
        <v>240</v>
      </c>
      <c r="E2798" s="2646">
        <v>50</v>
      </c>
      <c r="F2798" s="2646">
        <v>481</v>
      </c>
      <c r="G2798" s="2646">
        <v>590</v>
      </c>
      <c r="H2798" s="2646">
        <v>1600</v>
      </c>
      <c r="I2798" s="2646">
        <v>2100</v>
      </c>
      <c r="J2798" s="2646">
        <v>11.4</v>
      </c>
      <c r="L2798" s="2646" t="s">
        <v>2088</v>
      </c>
    </row>
    <row r="2799" spans="1:12">
      <c r="A2799" s="2647" t="s">
        <v>99</v>
      </c>
      <c r="B2799" s="2647" t="s">
        <v>5117</v>
      </c>
      <c r="C2799" s="2647">
        <v>110</v>
      </c>
      <c r="D2799" s="2647">
        <v>240</v>
      </c>
      <c r="E2799" s="2647">
        <v>57</v>
      </c>
      <c r="F2799" s="2647">
        <v>452</v>
      </c>
      <c r="G2799" s="2647">
        <v>563</v>
      </c>
      <c r="H2799" s="2647">
        <v>1400</v>
      </c>
      <c r="I2799" s="2647">
        <v>1900</v>
      </c>
      <c r="J2799" s="2647">
        <v>12.2</v>
      </c>
      <c r="K2799" s="2648"/>
      <c r="L2799" s="2647" t="s">
        <v>2088</v>
      </c>
    </row>
    <row r="2800" spans="1:12">
      <c r="A2800" s="2646" t="s">
        <v>99</v>
      </c>
      <c r="B2800" s="2646" t="s">
        <v>5118</v>
      </c>
      <c r="C2800" s="2646">
        <v>110</v>
      </c>
      <c r="D2800" s="2646">
        <v>240</v>
      </c>
      <c r="E2800" s="2646">
        <v>80</v>
      </c>
      <c r="F2800" s="2646">
        <v>691</v>
      </c>
      <c r="G2800" s="2646">
        <v>943</v>
      </c>
      <c r="H2800" s="2646">
        <v>1600</v>
      </c>
      <c r="I2800" s="2646">
        <v>2200</v>
      </c>
      <c r="J2800" s="2646">
        <v>17.8</v>
      </c>
      <c r="L2800" s="2646" t="s">
        <v>2088</v>
      </c>
    </row>
    <row r="2801" spans="1:12">
      <c r="A2801" s="2647" t="s">
        <v>99</v>
      </c>
      <c r="B2801" s="2647">
        <v>7723</v>
      </c>
      <c r="C2801" s="2647">
        <v>115</v>
      </c>
      <c r="D2801" s="2647">
        <v>190</v>
      </c>
      <c r="E2801" s="2647">
        <v>49</v>
      </c>
      <c r="F2801" s="2647">
        <v>156</v>
      </c>
      <c r="G2801" s="2647">
        <v>439</v>
      </c>
      <c r="H2801" s="2647">
        <v>1600</v>
      </c>
      <c r="I2801" s="2647">
        <v>2200</v>
      </c>
      <c r="J2801" s="2647">
        <v>5.13</v>
      </c>
      <c r="K2801" s="2648"/>
      <c r="L2801" s="2647" t="s">
        <v>2088</v>
      </c>
    </row>
    <row r="2802" spans="1:12">
      <c r="A2802" s="2646" t="s">
        <v>99</v>
      </c>
      <c r="B2802" s="2646" t="s">
        <v>5119</v>
      </c>
      <c r="C2802" s="2646">
        <v>120</v>
      </c>
      <c r="D2802" s="2646">
        <v>165</v>
      </c>
      <c r="E2802" s="2646">
        <v>29</v>
      </c>
      <c r="F2802" s="2646">
        <v>172</v>
      </c>
      <c r="G2802" s="2646">
        <v>298</v>
      </c>
      <c r="H2802" s="2646">
        <v>2100</v>
      </c>
      <c r="I2802" s="2646">
        <v>2700</v>
      </c>
      <c r="J2802" s="2646">
        <v>1.77</v>
      </c>
      <c r="L2802" s="2646" t="s">
        <v>2088</v>
      </c>
    </row>
    <row r="2803" spans="1:12">
      <c r="A2803" s="2647" t="s">
        <v>99</v>
      </c>
      <c r="B2803" s="2647" t="s">
        <v>5120</v>
      </c>
      <c r="C2803" s="2647">
        <v>120</v>
      </c>
      <c r="D2803" s="2647">
        <v>170</v>
      </c>
      <c r="E2803" s="2647">
        <v>25</v>
      </c>
      <c r="F2803" s="2647">
        <v>164</v>
      </c>
      <c r="G2803" s="2647">
        <v>262</v>
      </c>
      <c r="H2803" s="2647">
        <v>2000</v>
      </c>
      <c r="I2803" s="2647">
        <v>2700</v>
      </c>
      <c r="J2803" s="2647">
        <v>1.76</v>
      </c>
      <c r="K2803" s="2648"/>
      <c r="L2803" s="2647" t="s">
        <v>2088</v>
      </c>
    </row>
    <row r="2804" spans="1:12">
      <c r="A2804" s="2646" t="s">
        <v>99</v>
      </c>
      <c r="B2804" s="2646" t="s">
        <v>5121</v>
      </c>
      <c r="C2804" s="2646">
        <v>120</v>
      </c>
      <c r="D2804" s="2646">
        <v>180</v>
      </c>
      <c r="E2804" s="2646">
        <v>38</v>
      </c>
      <c r="F2804" s="2646">
        <v>258</v>
      </c>
      <c r="G2804" s="2646">
        <v>427</v>
      </c>
      <c r="H2804" s="2646">
        <v>2000</v>
      </c>
      <c r="I2804" s="2646">
        <v>2600</v>
      </c>
      <c r="J2804" s="2646">
        <v>3.34</v>
      </c>
      <c r="L2804" s="2646" t="s">
        <v>2088</v>
      </c>
    </row>
    <row r="2805" spans="1:12">
      <c r="A2805" s="2647" t="s">
        <v>99</v>
      </c>
      <c r="B2805" s="2647" t="s">
        <v>5122</v>
      </c>
      <c r="C2805" s="2647">
        <v>120</v>
      </c>
      <c r="D2805" s="2647">
        <v>180</v>
      </c>
      <c r="E2805" s="2647">
        <v>48</v>
      </c>
      <c r="F2805" s="2647">
        <v>299</v>
      </c>
      <c r="G2805" s="2647">
        <v>540</v>
      </c>
      <c r="H2805" s="2647">
        <v>2000</v>
      </c>
      <c r="I2805" s="2647">
        <v>2600</v>
      </c>
      <c r="J2805" s="2647">
        <v>4.16</v>
      </c>
      <c r="K2805" s="2648"/>
      <c r="L2805" s="2647" t="s">
        <v>2088</v>
      </c>
    </row>
    <row r="2806" spans="1:12">
      <c r="A2806" s="2646" t="s">
        <v>99</v>
      </c>
      <c r="B2806" s="2646" t="s">
        <v>5123</v>
      </c>
      <c r="C2806" s="2646">
        <v>120</v>
      </c>
      <c r="D2806" s="2646">
        <v>200</v>
      </c>
      <c r="E2806" s="2646">
        <v>62</v>
      </c>
      <c r="F2806" s="2646">
        <v>462</v>
      </c>
      <c r="G2806" s="2646">
        <v>785</v>
      </c>
      <c r="H2806" s="2646">
        <v>1800</v>
      </c>
      <c r="I2806" s="2646">
        <v>2400</v>
      </c>
      <c r="J2806" s="2646">
        <v>7.73</v>
      </c>
      <c r="L2806" s="2646" t="s">
        <v>2088</v>
      </c>
    </row>
    <row r="2807" spans="1:12">
      <c r="A2807" s="2647" t="s">
        <v>99</v>
      </c>
      <c r="B2807" s="2647" t="s">
        <v>5123</v>
      </c>
      <c r="C2807" s="2647">
        <v>120</v>
      </c>
      <c r="D2807" s="2647">
        <v>200</v>
      </c>
      <c r="E2807" s="2647">
        <v>62</v>
      </c>
      <c r="F2807" s="2647">
        <v>462</v>
      </c>
      <c r="G2807" s="2647">
        <v>785</v>
      </c>
      <c r="H2807" s="2647">
        <v>1800</v>
      </c>
      <c r="I2807" s="2647">
        <v>2400</v>
      </c>
      <c r="J2807" s="2647">
        <v>7.73</v>
      </c>
      <c r="K2807" s="2648"/>
      <c r="L2807" s="2647" t="s">
        <v>2088</v>
      </c>
    </row>
    <row r="2808" spans="1:12">
      <c r="A2808" s="2646" t="s">
        <v>99</v>
      </c>
      <c r="B2808" s="2646" t="s">
        <v>5124</v>
      </c>
      <c r="C2808" s="2646">
        <v>120</v>
      </c>
      <c r="D2808" s="2646">
        <v>215</v>
      </c>
      <c r="E2808" s="2646">
        <v>40</v>
      </c>
      <c r="F2808" s="2646">
        <v>347</v>
      </c>
      <c r="G2808" s="2646">
        <v>473</v>
      </c>
      <c r="H2808" s="2646">
        <v>1700</v>
      </c>
      <c r="I2808" s="2646">
        <v>2300</v>
      </c>
      <c r="J2808" s="2646">
        <v>6.36</v>
      </c>
      <c r="L2808" s="2646" t="s">
        <v>2088</v>
      </c>
    </row>
    <row r="2809" spans="1:12">
      <c r="A2809" s="2647" t="s">
        <v>99</v>
      </c>
      <c r="B2809" s="2647" t="s">
        <v>5125</v>
      </c>
      <c r="C2809" s="2647">
        <v>120</v>
      </c>
      <c r="D2809" s="2647">
        <v>215</v>
      </c>
      <c r="E2809" s="2647">
        <v>58</v>
      </c>
      <c r="F2809" s="2647">
        <v>470</v>
      </c>
      <c r="G2809" s="2647">
        <v>691</v>
      </c>
      <c r="H2809" s="2647">
        <v>1700</v>
      </c>
      <c r="I2809" s="2647">
        <v>2300</v>
      </c>
      <c r="J2809" s="2647">
        <v>9.0399999999999991</v>
      </c>
      <c r="K2809" s="2648"/>
      <c r="L2809" s="2647" t="s">
        <v>2088</v>
      </c>
    </row>
    <row r="2810" spans="1:12">
      <c r="A2810" s="2646" t="s">
        <v>99</v>
      </c>
      <c r="B2810" s="2646" t="s">
        <v>5126</v>
      </c>
      <c r="C2810" s="2646">
        <v>120</v>
      </c>
      <c r="D2810" s="2646">
        <v>260</v>
      </c>
      <c r="E2810" s="2646">
        <v>55</v>
      </c>
      <c r="F2810" s="2646">
        <v>430</v>
      </c>
      <c r="G2810" s="2646">
        <v>512</v>
      </c>
      <c r="H2810" s="2646">
        <v>1200</v>
      </c>
      <c r="I2810" s="2646">
        <v>1700</v>
      </c>
      <c r="J2810" s="2646">
        <v>13</v>
      </c>
      <c r="L2810" s="2646" t="s">
        <v>2088</v>
      </c>
    </row>
    <row r="2811" spans="1:12">
      <c r="A2811" s="2647" t="s">
        <v>99</v>
      </c>
      <c r="B2811" s="2647" t="s">
        <v>5127</v>
      </c>
      <c r="C2811" s="2647">
        <v>120</v>
      </c>
      <c r="D2811" s="2647">
        <v>260</v>
      </c>
      <c r="E2811" s="2647">
        <v>55</v>
      </c>
      <c r="F2811" s="2647">
        <v>569</v>
      </c>
      <c r="G2811" s="2647">
        <v>714</v>
      </c>
      <c r="H2811" s="2647">
        <v>1500</v>
      </c>
      <c r="I2811" s="2647">
        <v>2000</v>
      </c>
      <c r="J2811" s="2647">
        <v>14.5</v>
      </c>
      <c r="K2811" s="2648"/>
      <c r="L2811" s="2647" t="s">
        <v>2088</v>
      </c>
    </row>
    <row r="2812" spans="1:12">
      <c r="A2812" s="2646" t="s">
        <v>99</v>
      </c>
      <c r="B2812" s="2646" t="s">
        <v>5128</v>
      </c>
      <c r="C2812" s="2646">
        <v>120</v>
      </c>
      <c r="D2812" s="2646">
        <v>260</v>
      </c>
      <c r="E2812" s="2646">
        <v>62</v>
      </c>
      <c r="F2812" s="2646">
        <v>526</v>
      </c>
      <c r="G2812" s="2646">
        <v>665</v>
      </c>
      <c r="H2812" s="2646">
        <v>1300</v>
      </c>
      <c r="I2812" s="2646">
        <v>1800</v>
      </c>
      <c r="J2812" s="2646">
        <v>15.4</v>
      </c>
      <c r="L2812" s="2646" t="s">
        <v>2088</v>
      </c>
    </row>
    <row r="2813" spans="1:12">
      <c r="A2813" s="2647" t="s">
        <v>99</v>
      </c>
      <c r="B2813" s="2647" t="s">
        <v>5129</v>
      </c>
      <c r="C2813" s="2647">
        <v>120</v>
      </c>
      <c r="D2813" s="2647">
        <v>260</v>
      </c>
      <c r="E2813" s="2647">
        <v>86</v>
      </c>
      <c r="F2813" s="2647">
        <v>800</v>
      </c>
      <c r="G2813" s="2647">
        <v>1110</v>
      </c>
      <c r="H2813" s="2647">
        <v>1500</v>
      </c>
      <c r="I2813" s="2647">
        <v>2000</v>
      </c>
      <c r="J2813" s="2647">
        <v>22.2</v>
      </c>
      <c r="K2813" s="2648"/>
      <c r="L2813" s="2647" t="s">
        <v>2088</v>
      </c>
    </row>
    <row r="2814" spans="1:12">
      <c r="A2814" s="2646" t="s">
        <v>99</v>
      </c>
      <c r="B2814" s="2646" t="s">
        <v>5130</v>
      </c>
      <c r="C2814" s="2646">
        <v>120</v>
      </c>
      <c r="D2814" s="2646">
        <v>260</v>
      </c>
      <c r="E2814" s="2646">
        <v>86</v>
      </c>
      <c r="F2814" s="2646">
        <v>797</v>
      </c>
      <c r="G2814" s="2646">
        <v>1110</v>
      </c>
      <c r="H2814" s="2646">
        <v>1500</v>
      </c>
      <c r="I2814" s="2646">
        <v>2000</v>
      </c>
      <c r="J2814" s="2646">
        <v>21.8</v>
      </c>
      <c r="L2814" s="2646" t="s">
        <v>2088</v>
      </c>
    </row>
    <row r="2815" spans="1:12">
      <c r="A2815" s="2647" t="s">
        <v>99</v>
      </c>
      <c r="B2815" s="2647" t="s">
        <v>5131</v>
      </c>
      <c r="C2815" s="2647">
        <v>130</v>
      </c>
      <c r="D2815" s="2647">
        <v>180</v>
      </c>
      <c r="E2815" s="2647">
        <v>32</v>
      </c>
      <c r="F2815" s="2647">
        <v>200</v>
      </c>
      <c r="G2815" s="2647">
        <v>368</v>
      </c>
      <c r="H2815" s="2647">
        <v>1900</v>
      </c>
      <c r="I2815" s="2647">
        <v>2500</v>
      </c>
      <c r="J2815" s="2647">
        <v>2.42</v>
      </c>
      <c r="K2815" s="2648"/>
      <c r="L2815" s="2647" t="s">
        <v>2088</v>
      </c>
    </row>
    <row r="2816" spans="1:12">
      <c r="A2816" s="2646" t="s">
        <v>99</v>
      </c>
      <c r="B2816" s="2646" t="s">
        <v>5132</v>
      </c>
      <c r="C2816" s="2646">
        <v>130</v>
      </c>
      <c r="D2816" s="2646">
        <v>185</v>
      </c>
      <c r="E2816" s="2646">
        <v>27</v>
      </c>
      <c r="F2816" s="2646">
        <v>183</v>
      </c>
      <c r="G2816" s="2646">
        <v>282</v>
      </c>
      <c r="H2816" s="2646">
        <v>1800</v>
      </c>
      <c r="I2816" s="2646">
        <v>2500</v>
      </c>
      <c r="J2816" s="2646">
        <v>2.2200000000000002</v>
      </c>
      <c r="L2816" s="2646" t="s">
        <v>2088</v>
      </c>
    </row>
    <row r="2817" spans="1:12">
      <c r="A2817" s="2647" t="s">
        <v>99</v>
      </c>
      <c r="B2817" s="2647" t="s">
        <v>5133</v>
      </c>
      <c r="C2817" s="2647">
        <v>130</v>
      </c>
      <c r="D2817" s="2647">
        <v>200</v>
      </c>
      <c r="E2817" s="2647">
        <v>45</v>
      </c>
      <c r="F2817" s="2647">
        <v>340</v>
      </c>
      <c r="G2817" s="2647">
        <v>563</v>
      </c>
      <c r="H2817" s="2647">
        <v>1800</v>
      </c>
      <c r="I2817" s="2647">
        <v>2300</v>
      </c>
      <c r="J2817" s="2647">
        <v>5.04</v>
      </c>
      <c r="K2817" s="2648"/>
      <c r="L2817" s="2647" t="s">
        <v>2088</v>
      </c>
    </row>
    <row r="2818" spans="1:12">
      <c r="A2818" s="2646" t="s">
        <v>99</v>
      </c>
      <c r="B2818" s="2646" t="s">
        <v>5134</v>
      </c>
      <c r="C2818" s="2646">
        <v>130</v>
      </c>
      <c r="D2818" s="2646">
        <v>200</v>
      </c>
      <c r="E2818" s="2646">
        <v>55</v>
      </c>
      <c r="F2818" s="2646">
        <v>390</v>
      </c>
      <c r="G2818" s="2646">
        <v>705</v>
      </c>
      <c r="H2818" s="2646">
        <v>1700</v>
      </c>
      <c r="I2818" s="2646">
        <v>2300</v>
      </c>
      <c r="J2818" s="2646">
        <v>6.19</v>
      </c>
      <c r="L2818" s="2646" t="s">
        <v>2088</v>
      </c>
    </row>
    <row r="2819" spans="1:12">
      <c r="A2819" s="2647" t="s">
        <v>99</v>
      </c>
      <c r="B2819" s="2647" t="s">
        <v>5135</v>
      </c>
      <c r="C2819" s="2647">
        <v>130</v>
      </c>
      <c r="D2819" s="2647">
        <v>230</v>
      </c>
      <c r="E2819" s="2647">
        <v>40</v>
      </c>
      <c r="F2819" s="2647">
        <v>377</v>
      </c>
      <c r="G2819" s="2647">
        <v>511</v>
      </c>
      <c r="H2819" s="2647">
        <v>1600</v>
      </c>
      <c r="I2819" s="2647">
        <v>2100</v>
      </c>
      <c r="J2819" s="2647">
        <v>7.24</v>
      </c>
      <c r="K2819" s="2648"/>
      <c r="L2819" s="2647" t="s">
        <v>2088</v>
      </c>
    </row>
    <row r="2820" spans="1:12">
      <c r="A2820" s="2646" t="s">
        <v>99</v>
      </c>
      <c r="B2820" s="2646" t="s">
        <v>5136</v>
      </c>
      <c r="C2820" s="2646">
        <v>130</v>
      </c>
      <c r="D2820" s="2646">
        <v>230</v>
      </c>
      <c r="E2820" s="2646">
        <v>64</v>
      </c>
      <c r="F2820" s="2646">
        <v>554</v>
      </c>
      <c r="G2820" s="2646">
        <v>830</v>
      </c>
      <c r="H2820" s="2646">
        <v>1600</v>
      </c>
      <c r="I2820" s="2646">
        <v>2200</v>
      </c>
      <c r="J2820" s="2646">
        <v>11.5</v>
      </c>
      <c r="L2820" s="2646" t="s">
        <v>2088</v>
      </c>
    </row>
    <row r="2821" spans="1:12">
      <c r="A2821" s="2647" t="s">
        <v>99</v>
      </c>
      <c r="B2821" s="2647" t="s">
        <v>5137</v>
      </c>
      <c r="C2821" s="2647">
        <v>130</v>
      </c>
      <c r="D2821" s="2647">
        <v>280</v>
      </c>
      <c r="E2821" s="2647">
        <v>58</v>
      </c>
      <c r="F2821" s="2647">
        <v>485</v>
      </c>
      <c r="G2821" s="2647">
        <v>582</v>
      </c>
      <c r="H2821" s="2647">
        <v>1200</v>
      </c>
      <c r="I2821" s="2647">
        <v>1600</v>
      </c>
      <c r="J2821" s="2647">
        <v>16.3</v>
      </c>
      <c r="K2821" s="2648"/>
      <c r="L2821" s="2647" t="s">
        <v>2088</v>
      </c>
    </row>
    <row r="2822" spans="1:12">
      <c r="A2822" s="2646" t="s">
        <v>99</v>
      </c>
      <c r="B2822" s="2646" t="s">
        <v>5138</v>
      </c>
      <c r="C2822" s="2646">
        <v>130</v>
      </c>
      <c r="D2822" s="2646">
        <v>280</v>
      </c>
      <c r="E2822" s="2646">
        <v>58</v>
      </c>
      <c r="F2822" s="2646">
        <v>657</v>
      </c>
      <c r="G2822" s="2646">
        <v>834</v>
      </c>
      <c r="H2822" s="2646">
        <v>1400</v>
      </c>
      <c r="I2822" s="2646">
        <v>1800</v>
      </c>
      <c r="J2822" s="2646">
        <v>18.100000000000001</v>
      </c>
      <c r="L2822" s="2646" t="s">
        <v>2088</v>
      </c>
    </row>
    <row r="2823" spans="1:12">
      <c r="A2823" s="2647" t="s">
        <v>99</v>
      </c>
      <c r="B2823" s="2647" t="s">
        <v>5139</v>
      </c>
      <c r="C2823" s="2647">
        <v>130</v>
      </c>
      <c r="D2823" s="2647">
        <v>280</v>
      </c>
      <c r="E2823" s="2647">
        <v>66</v>
      </c>
      <c r="F2823" s="2647">
        <v>589</v>
      </c>
      <c r="G2823" s="2647">
        <v>748</v>
      </c>
      <c r="H2823" s="2647">
        <v>1200</v>
      </c>
      <c r="I2823" s="2647">
        <v>1600</v>
      </c>
      <c r="J2823" s="2647">
        <v>18.899999999999999</v>
      </c>
      <c r="K2823" s="2648"/>
      <c r="L2823" s="2647" t="s">
        <v>2088</v>
      </c>
    </row>
    <row r="2824" spans="1:12">
      <c r="A2824" s="2646" t="s">
        <v>99</v>
      </c>
      <c r="B2824" s="2646" t="s">
        <v>5140</v>
      </c>
      <c r="C2824" s="2646">
        <v>140</v>
      </c>
      <c r="D2824" s="2646">
        <v>190</v>
      </c>
      <c r="E2824" s="2646">
        <v>32</v>
      </c>
      <c r="F2824" s="2646">
        <v>206</v>
      </c>
      <c r="G2824" s="2646">
        <v>390</v>
      </c>
      <c r="H2824" s="2646">
        <v>1800</v>
      </c>
      <c r="I2824" s="2646">
        <v>2300</v>
      </c>
      <c r="J2824" s="2646">
        <v>2.57</v>
      </c>
      <c r="L2824" s="2646" t="s">
        <v>2088</v>
      </c>
    </row>
    <row r="2825" spans="1:12">
      <c r="A2825" s="2647" t="s">
        <v>99</v>
      </c>
      <c r="B2825" s="2647" t="s">
        <v>5141</v>
      </c>
      <c r="C2825" s="2647">
        <v>140</v>
      </c>
      <c r="D2825" s="2647">
        <v>195</v>
      </c>
      <c r="E2825" s="2647">
        <v>27</v>
      </c>
      <c r="F2825" s="2647">
        <v>185</v>
      </c>
      <c r="G2825" s="2647">
        <v>293</v>
      </c>
      <c r="H2825" s="2647">
        <v>1700</v>
      </c>
      <c r="I2825" s="2647">
        <v>2300</v>
      </c>
      <c r="J2825" s="2647">
        <v>2.36</v>
      </c>
      <c r="K2825" s="2648"/>
      <c r="L2825" s="2647" t="s">
        <v>2088</v>
      </c>
    </row>
    <row r="2826" spans="1:12">
      <c r="A2826" s="2646" t="s">
        <v>99</v>
      </c>
      <c r="B2826" s="2646" t="s">
        <v>5142</v>
      </c>
      <c r="C2826" s="2646">
        <v>140</v>
      </c>
      <c r="D2826" s="2646">
        <v>210</v>
      </c>
      <c r="E2826" s="2646">
        <v>45</v>
      </c>
      <c r="F2826" s="2646">
        <v>346</v>
      </c>
      <c r="G2826" s="2646">
        <v>585</v>
      </c>
      <c r="H2826" s="2646">
        <v>1700</v>
      </c>
      <c r="I2826" s="2646">
        <v>2200</v>
      </c>
      <c r="J2826" s="2646">
        <v>5.28</v>
      </c>
      <c r="L2826" s="2646" t="s">
        <v>2088</v>
      </c>
    </row>
    <row r="2827" spans="1:12">
      <c r="A2827" s="2647" t="s">
        <v>99</v>
      </c>
      <c r="B2827" s="2647" t="s">
        <v>5143</v>
      </c>
      <c r="C2827" s="2647">
        <v>140</v>
      </c>
      <c r="D2827" s="2647">
        <v>210</v>
      </c>
      <c r="E2827" s="2647">
        <v>56</v>
      </c>
      <c r="F2827" s="2647">
        <v>406</v>
      </c>
      <c r="G2827" s="2647">
        <v>758</v>
      </c>
      <c r="H2827" s="2647">
        <v>1600</v>
      </c>
      <c r="I2827" s="2647">
        <v>2200</v>
      </c>
      <c r="J2827" s="2647">
        <v>6.61</v>
      </c>
      <c r="K2827" s="2648"/>
      <c r="L2827" s="2647" t="s">
        <v>2088</v>
      </c>
    </row>
    <row r="2828" spans="1:12">
      <c r="A2828" s="2646" t="s">
        <v>99</v>
      </c>
      <c r="B2828" s="2646" t="s">
        <v>5144</v>
      </c>
      <c r="C2828" s="2646">
        <v>140</v>
      </c>
      <c r="D2828" s="2646">
        <v>250</v>
      </c>
      <c r="E2828" s="2646">
        <v>42</v>
      </c>
      <c r="F2828" s="2646">
        <v>420</v>
      </c>
      <c r="G2828" s="2646">
        <v>570</v>
      </c>
      <c r="H2828" s="2646">
        <v>1500</v>
      </c>
      <c r="I2828" s="2646">
        <v>1900</v>
      </c>
      <c r="J2828" s="2646">
        <v>8.9700000000000006</v>
      </c>
      <c r="L2828" s="2646" t="s">
        <v>2088</v>
      </c>
    </row>
    <row r="2829" spans="1:12">
      <c r="A2829" s="2647" t="s">
        <v>99</v>
      </c>
      <c r="B2829" s="2647" t="s">
        <v>5145</v>
      </c>
      <c r="C2829" s="2647">
        <v>140</v>
      </c>
      <c r="D2829" s="2647">
        <v>250</v>
      </c>
      <c r="E2829" s="2647">
        <v>68</v>
      </c>
      <c r="F2829" s="2647">
        <v>363</v>
      </c>
      <c r="G2829" s="2647">
        <v>961</v>
      </c>
      <c r="H2829" s="2647">
        <v>1500</v>
      </c>
      <c r="I2829" s="2647">
        <v>2000</v>
      </c>
      <c r="J2829" s="2647">
        <v>14.7</v>
      </c>
      <c r="K2829" s="2648"/>
      <c r="L2829" s="2647" t="s">
        <v>2088</v>
      </c>
    </row>
    <row r="2830" spans="1:12">
      <c r="A2830" s="2646" t="s">
        <v>99</v>
      </c>
      <c r="B2830" s="2646" t="s">
        <v>5146</v>
      </c>
      <c r="C2830" s="2646">
        <v>140</v>
      </c>
      <c r="D2830" s="2646">
        <v>300</v>
      </c>
      <c r="E2830" s="2646">
        <v>62</v>
      </c>
      <c r="F2830" s="2646">
        <v>525</v>
      </c>
      <c r="G2830" s="2646">
        <v>627</v>
      </c>
      <c r="H2830" s="2646">
        <v>1100</v>
      </c>
      <c r="I2830" s="2646">
        <v>1500</v>
      </c>
      <c r="J2830" s="2646">
        <v>20</v>
      </c>
      <c r="L2830" s="2646" t="s">
        <v>2088</v>
      </c>
    </row>
    <row r="2831" spans="1:12">
      <c r="A2831" s="2647" t="s">
        <v>99</v>
      </c>
      <c r="B2831" s="2647" t="s">
        <v>5147</v>
      </c>
      <c r="C2831" s="2647">
        <v>140</v>
      </c>
      <c r="D2831" s="2647">
        <v>300</v>
      </c>
      <c r="E2831" s="2647">
        <v>62</v>
      </c>
      <c r="F2831" s="2647">
        <v>749</v>
      </c>
      <c r="G2831" s="2647">
        <v>962</v>
      </c>
      <c r="H2831" s="2647">
        <v>1300</v>
      </c>
      <c r="I2831" s="2647">
        <v>1700</v>
      </c>
      <c r="J2831" s="2647">
        <v>22.6</v>
      </c>
      <c r="K2831" s="2648"/>
      <c r="L2831" s="2647" t="s">
        <v>2088</v>
      </c>
    </row>
    <row r="2832" spans="1:12">
      <c r="A2832" s="2646" t="s">
        <v>99</v>
      </c>
      <c r="B2832" s="2646" t="s">
        <v>5148</v>
      </c>
      <c r="C2832" s="2646">
        <v>140</v>
      </c>
      <c r="D2832" s="2646">
        <v>300</v>
      </c>
      <c r="E2832" s="2646">
        <v>70</v>
      </c>
      <c r="F2832" s="2646">
        <v>674</v>
      </c>
      <c r="G2832" s="2646">
        <v>865</v>
      </c>
      <c r="H2832" s="2646">
        <v>1100</v>
      </c>
      <c r="I2832" s="2646">
        <v>1500</v>
      </c>
      <c r="J2832" s="2646">
        <v>23.3</v>
      </c>
      <c r="L2832" s="2646" t="s">
        <v>2088</v>
      </c>
    </row>
    <row r="2833" spans="1:12">
      <c r="A2833" s="2647" t="s">
        <v>99</v>
      </c>
      <c r="B2833" s="2647" t="s">
        <v>5149</v>
      </c>
      <c r="C2833" s="2647">
        <v>140</v>
      </c>
      <c r="D2833" s="2647">
        <v>300</v>
      </c>
      <c r="E2833" s="2647">
        <v>102</v>
      </c>
      <c r="F2833" s="2647">
        <v>1110</v>
      </c>
      <c r="G2833" s="2647">
        <v>1570</v>
      </c>
      <c r="H2833" s="2647">
        <v>1300</v>
      </c>
      <c r="I2833" s="2647">
        <v>1700</v>
      </c>
      <c r="J2833" s="2647">
        <v>35.1</v>
      </c>
      <c r="K2833" s="2648"/>
      <c r="L2833" s="2647" t="s">
        <v>2088</v>
      </c>
    </row>
    <row r="2834" spans="1:12">
      <c r="A2834" s="2646" t="s">
        <v>99</v>
      </c>
      <c r="B2834" s="2646" t="s">
        <v>5150</v>
      </c>
      <c r="C2834" s="2646">
        <v>150</v>
      </c>
      <c r="D2834" s="2646">
        <v>210</v>
      </c>
      <c r="E2834" s="2646">
        <v>38</v>
      </c>
      <c r="F2834" s="2646">
        <v>286</v>
      </c>
      <c r="G2834" s="2646">
        <v>536</v>
      </c>
      <c r="H2834" s="2646">
        <v>1600</v>
      </c>
      <c r="I2834" s="2646">
        <v>2100</v>
      </c>
      <c r="J2834" s="2646">
        <v>3.96</v>
      </c>
      <c r="L2834" s="2646" t="s">
        <v>2088</v>
      </c>
    </row>
    <row r="2835" spans="1:12">
      <c r="A2835" s="2647" t="s">
        <v>99</v>
      </c>
      <c r="B2835" s="2647" t="s">
        <v>5151</v>
      </c>
      <c r="C2835" s="2647">
        <v>150</v>
      </c>
      <c r="D2835" s="2647">
        <v>225</v>
      </c>
      <c r="E2835" s="2647">
        <v>48</v>
      </c>
      <c r="F2835" s="2647">
        <v>391</v>
      </c>
      <c r="G2835" s="2647">
        <v>668</v>
      </c>
      <c r="H2835" s="2647">
        <v>1500</v>
      </c>
      <c r="I2835" s="2647">
        <v>2000</v>
      </c>
      <c r="J2835" s="2647">
        <v>6.41</v>
      </c>
      <c r="K2835" s="2648"/>
      <c r="L2835" s="2647" t="s">
        <v>2088</v>
      </c>
    </row>
    <row r="2836" spans="1:12">
      <c r="A2836" s="2646" t="s">
        <v>99</v>
      </c>
      <c r="B2836" s="2646" t="s">
        <v>5152</v>
      </c>
      <c r="C2836" s="2646">
        <v>150</v>
      </c>
      <c r="D2836" s="2646">
        <v>225</v>
      </c>
      <c r="E2836" s="2646">
        <v>59</v>
      </c>
      <c r="F2836" s="2646">
        <v>459</v>
      </c>
      <c r="G2836" s="2646">
        <v>869</v>
      </c>
      <c r="H2836" s="2646">
        <v>1500</v>
      </c>
      <c r="I2836" s="2646">
        <v>2000</v>
      </c>
      <c r="J2836" s="2646">
        <v>8.09</v>
      </c>
      <c r="L2836" s="2646" t="s">
        <v>2088</v>
      </c>
    </row>
    <row r="2837" spans="1:12">
      <c r="A2837" s="2647" t="s">
        <v>99</v>
      </c>
      <c r="B2837" s="2647" t="s">
        <v>5153</v>
      </c>
      <c r="C2837" s="2647">
        <v>150</v>
      </c>
      <c r="D2837" s="2647">
        <v>270</v>
      </c>
      <c r="E2837" s="2647">
        <v>45</v>
      </c>
      <c r="F2837" s="2647">
        <v>483</v>
      </c>
      <c r="G2837" s="2647">
        <v>664</v>
      </c>
      <c r="H2837" s="2647">
        <v>1300</v>
      </c>
      <c r="I2837" s="2647">
        <v>1800</v>
      </c>
      <c r="J2837" s="2647">
        <v>11.6</v>
      </c>
      <c r="K2837" s="2648"/>
      <c r="L2837" s="2647" t="s">
        <v>2088</v>
      </c>
    </row>
    <row r="2838" spans="1:12">
      <c r="A2838" s="2646" t="s">
        <v>99</v>
      </c>
      <c r="B2838" s="2646" t="s">
        <v>5154</v>
      </c>
      <c r="C2838" s="2646">
        <v>150</v>
      </c>
      <c r="D2838" s="2646">
        <v>270</v>
      </c>
      <c r="E2838" s="2646">
        <v>73</v>
      </c>
      <c r="F2838" s="2646">
        <v>704</v>
      </c>
      <c r="G2838" s="2646">
        <v>1070</v>
      </c>
      <c r="H2838" s="2646">
        <v>1300</v>
      </c>
      <c r="I2838" s="2646">
        <v>1800</v>
      </c>
      <c r="J2838" s="2646">
        <v>18.2</v>
      </c>
      <c r="L2838" s="2646" t="s">
        <v>2088</v>
      </c>
    </row>
    <row r="2839" spans="1:12">
      <c r="A2839" s="2647" t="s">
        <v>99</v>
      </c>
      <c r="B2839" s="2647" t="s">
        <v>5155</v>
      </c>
      <c r="C2839" s="2647">
        <v>150</v>
      </c>
      <c r="D2839" s="2647">
        <v>320</v>
      </c>
      <c r="E2839" s="2647">
        <v>65</v>
      </c>
      <c r="F2839" s="2647">
        <v>616</v>
      </c>
      <c r="G2839" s="2647">
        <v>750</v>
      </c>
      <c r="H2839" s="2647">
        <v>970</v>
      </c>
      <c r="I2839" s="2647">
        <v>1400</v>
      </c>
      <c r="J2839" s="2647">
        <v>23.9</v>
      </c>
      <c r="K2839" s="2648"/>
      <c r="L2839" s="2647" t="s">
        <v>2088</v>
      </c>
    </row>
    <row r="2840" spans="1:12">
      <c r="A2840" s="2646" t="s">
        <v>99</v>
      </c>
      <c r="B2840" s="2646" t="s">
        <v>5156</v>
      </c>
      <c r="C2840" s="2646">
        <v>150</v>
      </c>
      <c r="D2840" s="2646">
        <v>320</v>
      </c>
      <c r="E2840" s="2646">
        <v>65</v>
      </c>
      <c r="F2840" s="2646">
        <v>837</v>
      </c>
      <c r="G2840" s="2646">
        <v>1080</v>
      </c>
      <c r="H2840" s="2646">
        <v>1200</v>
      </c>
      <c r="I2840" s="2646">
        <v>1500</v>
      </c>
      <c r="J2840" s="2646">
        <v>26.6</v>
      </c>
      <c r="L2840" s="2646" t="s">
        <v>2088</v>
      </c>
    </row>
    <row r="2841" spans="1:12">
      <c r="A2841" s="2647" t="s">
        <v>99</v>
      </c>
      <c r="B2841" s="2647" t="s">
        <v>5157</v>
      </c>
      <c r="C2841" s="2647">
        <v>150</v>
      </c>
      <c r="D2841" s="2647">
        <v>320</v>
      </c>
      <c r="E2841" s="2647">
        <v>75</v>
      </c>
      <c r="F2841" s="2647">
        <v>763</v>
      </c>
      <c r="G2841" s="2647">
        <v>989</v>
      </c>
      <c r="H2841" s="2647">
        <v>980</v>
      </c>
      <c r="I2841" s="2647">
        <v>1400</v>
      </c>
      <c r="J2841" s="2647">
        <v>28</v>
      </c>
      <c r="K2841" s="2648"/>
      <c r="L2841" s="2647" t="s">
        <v>2088</v>
      </c>
    </row>
    <row r="2842" spans="1:12">
      <c r="A2842" s="2646" t="s">
        <v>99</v>
      </c>
      <c r="B2842" s="2646" t="s">
        <v>5158</v>
      </c>
      <c r="C2842" s="2646">
        <v>150</v>
      </c>
      <c r="D2842" s="2646">
        <v>320</v>
      </c>
      <c r="E2842" s="2646">
        <v>108</v>
      </c>
      <c r="F2842" s="2646">
        <v>1240</v>
      </c>
      <c r="G2842" s="2646">
        <v>1790</v>
      </c>
      <c r="H2842" s="2646">
        <v>1200</v>
      </c>
      <c r="I2842" s="2646">
        <v>1600</v>
      </c>
      <c r="J2842" s="2646">
        <v>42</v>
      </c>
      <c r="L2842" s="2646" t="s">
        <v>2088</v>
      </c>
    </row>
    <row r="2843" spans="1:12">
      <c r="A2843" s="2647" t="s">
        <v>99</v>
      </c>
      <c r="B2843" s="2647" t="s">
        <v>5159</v>
      </c>
      <c r="C2843" s="2647">
        <v>160</v>
      </c>
      <c r="D2843" s="2647">
        <v>220</v>
      </c>
      <c r="E2843" s="2647">
        <v>30</v>
      </c>
      <c r="F2843" s="2647">
        <v>225</v>
      </c>
      <c r="G2843" s="2647">
        <v>379</v>
      </c>
      <c r="H2843" s="2647">
        <v>1500</v>
      </c>
      <c r="I2843" s="2647">
        <v>2000</v>
      </c>
      <c r="J2843" s="2647">
        <v>3.23</v>
      </c>
      <c r="K2843" s="2648"/>
      <c r="L2843" s="2647" t="s">
        <v>2088</v>
      </c>
    </row>
    <row r="2844" spans="1:12">
      <c r="A2844" s="2646" t="s">
        <v>99</v>
      </c>
      <c r="B2844" s="2646" t="s">
        <v>5160</v>
      </c>
      <c r="C2844" s="2646">
        <v>160</v>
      </c>
      <c r="D2844" s="2646">
        <v>220</v>
      </c>
      <c r="E2844" s="2646">
        <v>38</v>
      </c>
      <c r="F2844" s="2646">
        <v>295</v>
      </c>
      <c r="G2844" s="2646">
        <v>568</v>
      </c>
      <c r="H2844" s="2646">
        <v>1500</v>
      </c>
      <c r="I2844" s="2646">
        <v>2000</v>
      </c>
      <c r="J2844" s="2646">
        <v>4.1900000000000004</v>
      </c>
      <c r="L2844" s="2646" t="s">
        <v>2088</v>
      </c>
    </row>
    <row r="2845" spans="1:12">
      <c r="A2845" s="2647" t="s">
        <v>99</v>
      </c>
      <c r="B2845" s="2647" t="s">
        <v>5161</v>
      </c>
      <c r="C2845" s="2647">
        <v>160</v>
      </c>
      <c r="D2845" s="2647">
        <v>240</v>
      </c>
      <c r="E2845" s="2647">
        <v>51</v>
      </c>
      <c r="F2845" s="2647">
        <v>440</v>
      </c>
      <c r="G2845" s="2647">
        <v>758</v>
      </c>
      <c r="H2845" s="2647">
        <v>1400</v>
      </c>
      <c r="I2845" s="2647">
        <v>1900</v>
      </c>
      <c r="J2845" s="2647">
        <v>7.75</v>
      </c>
      <c r="K2845" s="2648"/>
      <c r="L2845" s="2647" t="s">
        <v>2088</v>
      </c>
    </row>
    <row r="2846" spans="1:12">
      <c r="A2846" s="2646" t="s">
        <v>99</v>
      </c>
      <c r="B2846" s="2646" t="s">
        <v>5162</v>
      </c>
      <c r="C2846" s="2646">
        <v>160</v>
      </c>
      <c r="D2846" s="2646">
        <v>290</v>
      </c>
      <c r="E2846" s="2646">
        <v>40</v>
      </c>
      <c r="F2846" s="2646">
        <v>542</v>
      </c>
      <c r="G2846" s="2646">
        <v>750</v>
      </c>
      <c r="H2846" s="2646">
        <v>1200</v>
      </c>
      <c r="I2846" s="2646">
        <v>1600</v>
      </c>
      <c r="J2846" s="2646">
        <v>14.1</v>
      </c>
      <c r="L2846" s="2646" t="s">
        <v>2088</v>
      </c>
    </row>
    <row r="2847" spans="1:12">
      <c r="A2847" s="2647" t="s">
        <v>99</v>
      </c>
      <c r="B2847" s="2647" t="s">
        <v>5163</v>
      </c>
      <c r="C2847" s="2647">
        <v>160</v>
      </c>
      <c r="D2847" s="2647">
        <v>290</v>
      </c>
      <c r="E2847" s="2647">
        <v>80</v>
      </c>
      <c r="F2847" s="2647">
        <v>795</v>
      </c>
      <c r="G2847" s="2647">
        <v>1210</v>
      </c>
      <c r="H2847" s="2647">
        <v>1200</v>
      </c>
      <c r="I2847" s="2647">
        <v>1700</v>
      </c>
      <c r="J2847" s="2647">
        <v>23.2</v>
      </c>
      <c r="K2847" s="2648"/>
      <c r="L2847" s="2647" t="s">
        <v>2088</v>
      </c>
    </row>
    <row r="2848" spans="1:12">
      <c r="A2848" s="2646" t="s">
        <v>99</v>
      </c>
      <c r="B2848" s="2646" t="s">
        <v>5164</v>
      </c>
      <c r="C2848" s="2646">
        <v>160</v>
      </c>
      <c r="D2848" s="2646">
        <v>340</v>
      </c>
      <c r="E2848" s="2646">
        <v>68</v>
      </c>
      <c r="F2848" s="2646">
        <v>742</v>
      </c>
      <c r="G2848" s="2646">
        <v>933</v>
      </c>
      <c r="H2848" s="2646">
        <v>900</v>
      </c>
      <c r="I2848" s="2646">
        <v>1300</v>
      </c>
      <c r="J2848" s="2646">
        <v>29.1</v>
      </c>
      <c r="L2848" s="2646" t="s">
        <v>2088</v>
      </c>
    </row>
    <row r="2849" spans="1:12">
      <c r="A2849" s="2647" t="s">
        <v>99</v>
      </c>
      <c r="B2849" s="2647" t="s">
        <v>5165</v>
      </c>
      <c r="C2849" s="2647">
        <v>160</v>
      </c>
      <c r="D2849" s="2647">
        <v>340</v>
      </c>
      <c r="E2849" s="2647">
        <v>68</v>
      </c>
      <c r="F2849" s="2647">
        <v>938</v>
      </c>
      <c r="G2849" s="2647">
        <v>1220</v>
      </c>
      <c r="H2849" s="2647">
        <v>1100</v>
      </c>
      <c r="I2849" s="2647">
        <v>1400</v>
      </c>
      <c r="J2849" s="2647">
        <v>31.8</v>
      </c>
      <c r="K2849" s="2648"/>
      <c r="L2849" s="2647" t="s">
        <v>2088</v>
      </c>
    </row>
    <row r="2850" spans="1:12">
      <c r="A2850" s="2646" t="s">
        <v>99</v>
      </c>
      <c r="B2850" s="2646">
        <v>7832</v>
      </c>
      <c r="C2850" s="2646">
        <v>160</v>
      </c>
      <c r="D2850" s="2646">
        <v>375</v>
      </c>
      <c r="E2850" s="2646">
        <v>79.400000000000006</v>
      </c>
      <c r="F2850" s="2646">
        <v>790</v>
      </c>
      <c r="G2850" s="2646">
        <v>1057</v>
      </c>
      <c r="H2850" s="2646">
        <v>1000</v>
      </c>
      <c r="I2850" s="2646">
        <v>1500</v>
      </c>
      <c r="J2850" s="2646">
        <v>40.700000000000003</v>
      </c>
      <c r="L2850" s="2646" t="s">
        <v>2088</v>
      </c>
    </row>
    <row r="2851" spans="1:12">
      <c r="A2851" s="2647" t="s">
        <v>99</v>
      </c>
      <c r="B2851" s="2647" t="s">
        <v>5166</v>
      </c>
      <c r="C2851" s="2647">
        <v>170</v>
      </c>
      <c r="D2851" s="2647">
        <v>230</v>
      </c>
      <c r="E2851" s="2647">
        <v>38</v>
      </c>
      <c r="F2851" s="2647">
        <v>296</v>
      </c>
      <c r="G2851" s="2647">
        <v>606</v>
      </c>
      <c r="H2851" s="2647">
        <v>1400</v>
      </c>
      <c r="I2851" s="2647">
        <v>1900</v>
      </c>
      <c r="J2851" s="2647">
        <v>4.49</v>
      </c>
      <c r="K2851" s="2648"/>
      <c r="L2851" s="2647" t="s">
        <v>2088</v>
      </c>
    </row>
    <row r="2852" spans="1:12">
      <c r="A2852" s="2646" t="s">
        <v>99</v>
      </c>
      <c r="B2852" s="2646" t="s">
        <v>5167</v>
      </c>
      <c r="C2852" s="2646">
        <v>170</v>
      </c>
      <c r="D2852" s="2646">
        <v>260</v>
      </c>
      <c r="E2852" s="2646">
        <v>57</v>
      </c>
      <c r="F2852" s="2646">
        <v>526</v>
      </c>
      <c r="G2852" s="2646">
        <v>905</v>
      </c>
      <c r="H2852" s="2646">
        <v>1300</v>
      </c>
      <c r="I2852" s="2646">
        <v>1700</v>
      </c>
      <c r="J2852" s="2646">
        <v>10.5</v>
      </c>
      <c r="L2852" s="2646" t="s">
        <v>2088</v>
      </c>
    </row>
    <row r="2853" spans="1:12">
      <c r="A2853" s="2647" t="s">
        <v>99</v>
      </c>
      <c r="B2853" s="2647" t="s">
        <v>5127</v>
      </c>
      <c r="C2853" s="2647">
        <v>170</v>
      </c>
      <c r="D2853" s="2647">
        <v>310</v>
      </c>
      <c r="E2853" s="2647">
        <v>52</v>
      </c>
      <c r="F2853" s="2647">
        <v>620</v>
      </c>
      <c r="G2853" s="2647">
        <v>867</v>
      </c>
      <c r="H2853" s="2647">
        <v>1100</v>
      </c>
      <c r="I2853" s="2647">
        <v>1500</v>
      </c>
      <c r="J2853" s="2647">
        <v>17.8</v>
      </c>
      <c r="K2853" s="2648"/>
      <c r="L2853" s="2647" t="s">
        <v>2088</v>
      </c>
    </row>
    <row r="2854" spans="1:12">
      <c r="A2854" s="2646" t="s">
        <v>99</v>
      </c>
      <c r="B2854" s="2646" t="s">
        <v>5168</v>
      </c>
      <c r="C2854" s="2646">
        <v>170</v>
      </c>
      <c r="D2854" s="2646">
        <v>310</v>
      </c>
      <c r="E2854" s="2646">
        <v>86</v>
      </c>
      <c r="F2854" s="2646">
        <v>898</v>
      </c>
      <c r="G2854" s="2646">
        <v>1380</v>
      </c>
      <c r="H2854" s="2646">
        <v>1100</v>
      </c>
      <c r="I2854" s="2646">
        <v>1500</v>
      </c>
      <c r="J2854" s="2646">
        <v>28.9</v>
      </c>
      <c r="L2854" s="2646" t="s">
        <v>2088</v>
      </c>
    </row>
    <row r="2855" spans="1:12">
      <c r="A2855" s="2647" t="s">
        <v>99</v>
      </c>
      <c r="B2855" s="2647" t="s">
        <v>5169</v>
      </c>
      <c r="C2855" s="2647">
        <v>170</v>
      </c>
      <c r="D2855" s="2647">
        <v>360</v>
      </c>
      <c r="E2855" s="2647">
        <v>72</v>
      </c>
      <c r="F2855" s="2647">
        <v>762</v>
      </c>
      <c r="G2855" s="2647">
        <v>1040</v>
      </c>
      <c r="H2855" s="2647">
        <v>830</v>
      </c>
      <c r="I2855" s="2647">
        <v>1200</v>
      </c>
      <c r="J2855" s="2647">
        <v>34.299999999999997</v>
      </c>
      <c r="K2855" s="2648"/>
      <c r="L2855" s="2647" t="s">
        <v>2088</v>
      </c>
    </row>
    <row r="2856" spans="1:12">
      <c r="A2856" s="2646" t="s">
        <v>99</v>
      </c>
      <c r="B2856" s="2646" t="s">
        <v>5170</v>
      </c>
      <c r="C2856" s="2646">
        <v>170</v>
      </c>
      <c r="D2856" s="2646">
        <v>360</v>
      </c>
      <c r="E2856" s="2646">
        <v>72</v>
      </c>
      <c r="F2856" s="2646">
        <v>1040</v>
      </c>
      <c r="G2856" s="2646">
        <v>1370</v>
      </c>
      <c r="H2856" s="2646">
        <v>1000</v>
      </c>
      <c r="I2856" s="2646">
        <v>1300</v>
      </c>
      <c r="J2856" s="2646">
        <v>37.5</v>
      </c>
      <c r="L2856" s="2646" t="s">
        <v>2088</v>
      </c>
    </row>
    <row r="2857" spans="1:12">
      <c r="A2857" s="2647" t="s">
        <v>99</v>
      </c>
      <c r="B2857" s="2647" t="s">
        <v>5171</v>
      </c>
      <c r="C2857" s="2647">
        <v>180</v>
      </c>
      <c r="D2857" s="2647">
        <v>250</v>
      </c>
      <c r="E2857" s="2647">
        <v>45</v>
      </c>
      <c r="F2857" s="2647">
        <v>357</v>
      </c>
      <c r="G2857" s="2647">
        <v>735</v>
      </c>
      <c r="H2857" s="2647">
        <v>1300</v>
      </c>
      <c r="I2857" s="2647">
        <v>1700</v>
      </c>
      <c r="J2857" s="2647">
        <v>6.46</v>
      </c>
      <c r="K2857" s="2648"/>
      <c r="L2857" s="2647" t="s">
        <v>2088</v>
      </c>
    </row>
    <row r="2858" spans="1:12">
      <c r="A2858" s="2646" t="s">
        <v>99</v>
      </c>
      <c r="B2858" s="2646" t="s">
        <v>5172</v>
      </c>
      <c r="C2858" s="2646">
        <v>180</v>
      </c>
      <c r="D2858" s="2646">
        <v>280</v>
      </c>
      <c r="E2858" s="2646">
        <v>64</v>
      </c>
      <c r="F2858" s="2646">
        <v>644</v>
      </c>
      <c r="G2858" s="2646">
        <v>1100</v>
      </c>
      <c r="H2858" s="2646">
        <v>1200</v>
      </c>
      <c r="I2858" s="2646">
        <v>1600</v>
      </c>
      <c r="J2858" s="2646">
        <v>14.1</v>
      </c>
      <c r="L2858" s="2646" t="s">
        <v>2088</v>
      </c>
    </row>
    <row r="2859" spans="1:12">
      <c r="A2859" s="2647" t="s">
        <v>99</v>
      </c>
      <c r="B2859" s="2647" t="s">
        <v>5173</v>
      </c>
      <c r="C2859" s="2647">
        <v>180</v>
      </c>
      <c r="D2859" s="2647">
        <v>320</v>
      </c>
      <c r="E2859" s="2647">
        <v>52</v>
      </c>
      <c r="F2859" s="2647">
        <v>615</v>
      </c>
      <c r="G2859" s="2647">
        <v>870</v>
      </c>
      <c r="H2859" s="2647">
        <v>1100</v>
      </c>
      <c r="I2859" s="2647">
        <v>1400</v>
      </c>
      <c r="J2859" s="2647">
        <v>18.3</v>
      </c>
      <c r="K2859" s="2648"/>
      <c r="L2859" s="2647" t="s">
        <v>2088</v>
      </c>
    </row>
    <row r="2860" spans="1:12">
      <c r="A2860" s="2646" t="s">
        <v>99</v>
      </c>
      <c r="B2860" s="2646" t="s">
        <v>5174</v>
      </c>
      <c r="C2860" s="2646">
        <v>180</v>
      </c>
      <c r="D2860" s="2646">
        <v>320</v>
      </c>
      <c r="E2860" s="2646">
        <v>86</v>
      </c>
      <c r="F2860" s="2646">
        <v>957</v>
      </c>
      <c r="G2860" s="2646">
        <v>1520</v>
      </c>
      <c r="H2860" s="2646">
        <v>1100</v>
      </c>
      <c r="I2860" s="2646">
        <v>1500</v>
      </c>
      <c r="J2860" s="2646">
        <v>29.9</v>
      </c>
      <c r="L2860" s="2646" t="s">
        <v>2088</v>
      </c>
    </row>
    <row r="2861" spans="1:12">
      <c r="A2861" s="2647" t="s">
        <v>99</v>
      </c>
      <c r="B2861" s="2647" t="s">
        <v>5175</v>
      </c>
      <c r="C2861" s="2647">
        <v>180</v>
      </c>
      <c r="D2861" s="2647">
        <v>380</v>
      </c>
      <c r="E2861" s="2647">
        <v>75</v>
      </c>
      <c r="F2861" s="2647">
        <v>833</v>
      </c>
      <c r="G2861" s="2647">
        <v>1150</v>
      </c>
      <c r="H2861" s="2647">
        <v>780</v>
      </c>
      <c r="I2861" s="2647">
        <v>1100</v>
      </c>
      <c r="J2861" s="2647">
        <v>40.1</v>
      </c>
      <c r="K2861" s="2648"/>
      <c r="L2861" s="2647" t="s">
        <v>2088</v>
      </c>
    </row>
    <row r="2862" spans="1:12">
      <c r="A2862" s="2646" t="s">
        <v>99</v>
      </c>
      <c r="B2862" s="2646" t="s">
        <v>5176</v>
      </c>
      <c r="C2862" s="2646">
        <v>190</v>
      </c>
      <c r="D2862" s="2646">
        <v>260</v>
      </c>
      <c r="E2862" s="2646">
        <v>45</v>
      </c>
      <c r="F2862" s="2646">
        <v>366</v>
      </c>
      <c r="G2862" s="2646">
        <v>789</v>
      </c>
      <c r="H2862" s="2646">
        <v>1200</v>
      </c>
      <c r="I2862" s="2646">
        <v>1600</v>
      </c>
      <c r="J2862" s="2646">
        <v>6.89</v>
      </c>
      <c r="L2862" s="2646" t="s">
        <v>2088</v>
      </c>
    </row>
    <row r="2863" spans="1:12">
      <c r="A2863" s="2647" t="s">
        <v>99</v>
      </c>
      <c r="B2863" s="2647" t="s">
        <v>5177</v>
      </c>
      <c r="C2863" s="2647">
        <v>190</v>
      </c>
      <c r="D2863" s="2647">
        <v>290</v>
      </c>
      <c r="E2863" s="2647">
        <v>64</v>
      </c>
      <c r="F2863" s="2647">
        <v>654</v>
      </c>
      <c r="G2863" s="2647">
        <v>1170</v>
      </c>
      <c r="H2863" s="2647">
        <v>1100</v>
      </c>
      <c r="I2863" s="2647">
        <v>1500</v>
      </c>
      <c r="J2863" s="2647">
        <v>14.7</v>
      </c>
      <c r="K2863" s="2648"/>
      <c r="L2863" s="2647" t="s">
        <v>2088</v>
      </c>
    </row>
    <row r="2864" spans="1:12">
      <c r="A2864" s="2646" t="s">
        <v>99</v>
      </c>
      <c r="B2864" s="2646" t="s">
        <v>5178</v>
      </c>
      <c r="C2864" s="2646">
        <v>190</v>
      </c>
      <c r="D2864" s="2646">
        <v>340</v>
      </c>
      <c r="E2864" s="2646">
        <v>55</v>
      </c>
      <c r="F2864" s="2646">
        <v>729</v>
      </c>
      <c r="G2864" s="2646">
        <v>1030</v>
      </c>
      <c r="H2864" s="2646">
        <v>1000</v>
      </c>
      <c r="I2864" s="2646">
        <v>1300</v>
      </c>
      <c r="J2864" s="2646">
        <v>21.9</v>
      </c>
      <c r="L2864" s="2646" t="s">
        <v>2088</v>
      </c>
    </row>
    <row r="2865" spans="1:12">
      <c r="A2865" s="2647" t="s">
        <v>99</v>
      </c>
      <c r="B2865" s="2647" t="s">
        <v>5179</v>
      </c>
      <c r="C2865" s="2647">
        <v>190</v>
      </c>
      <c r="D2865" s="2647">
        <v>340</v>
      </c>
      <c r="E2865" s="2647">
        <v>92</v>
      </c>
      <c r="F2865" s="2647">
        <v>1090</v>
      </c>
      <c r="G2865" s="2647">
        <v>1740</v>
      </c>
      <c r="H2865" s="2647">
        <v>1000</v>
      </c>
      <c r="I2865" s="2647">
        <v>1300</v>
      </c>
      <c r="J2865" s="2647">
        <v>36.6</v>
      </c>
      <c r="K2865" s="2648"/>
      <c r="L2865" s="2647" t="s">
        <v>2088</v>
      </c>
    </row>
    <row r="2866" spans="1:12">
      <c r="A2866" s="2646" t="s">
        <v>99</v>
      </c>
      <c r="B2866" s="2646" t="s">
        <v>5180</v>
      </c>
      <c r="C2866" s="2646">
        <v>190</v>
      </c>
      <c r="D2866" s="2646">
        <v>400</v>
      </c>
      <c r="E2866" s="2646">
        <v>78</v>
      </c>
      <c r="F2866" s="2646">
        <v>950</v>
      </c>
      <c r="G2866" s="2646">
        <v>1210</v>
      </c>
      <c r="H2866" s="2646">
        <v>740</v>
      </c>
      <c r="I2866" s="2646">
        <v>1000</v>
      </c>
      <c r="J2866" s="2646">
        <v>44.8</v>
      </c>
      <c r="L2866" s="2646" t="s">
        <v>2088</v>
      </c>
    </row>
    <row r="2867" spans="1:12">
      <c r="A2867" s="2647" t="s">
        <v>99</v>
      </c>
      <c r="B2867" s="2647" t="s">
        <v>5181</v>
      </c>
      <c r="C2867" s="2647">
        <v>200</v>
      </c>
      <c r="D2867" s="2647">
        <v>280</v>
      </c>
      <c r="E2867" s="2647">
        <v>51</v>
      </c>
      <c r="F2867" s="2647">
        <v>486</v>
      </c>
      <c r="G2867" s="2647">
        <v>958</v>
      </c>
      <c r="H2867" s="2647">
        <v>1100</v>
      </c>
      <c r="I2867" s="2647">
        <v>1500</v>
      </c>
      <c r="J2867" s="2647">
        <v>9.44</v>
      </c>
      <c r="K2867" s="2648"/>
      <c r="L2867" s="2647" t="s">
        <v>2088</v>
      </c>
    </row>
    <row r="2868" spans="1:12">
      <c r="A2868" s="2646" t="s">
        <v>99</v>
      </c>
      <c r="B2868" s="2646" t="s">
        <v>5182</v>
      </c>
      <c r="C2868" s="2646">
        <v>200</v>
      </c>
      <c r="D2868" s="2646">
        <v>310</v>
      </c>
      <c r="E2868" s="2646">
        <v>70</v>
      </c>
      <c r="F2868" s="2646">
        <v>755</v>
      </c>
      <c r="G2868" s="2646">
        <v>1340</v>
      </c>
      <c r="H2868" s="2646">
        <v>1100</v>
      </c>
      <c r="I2868" s="2646">
        <v>1400</v>
      </c>
      <c r="J2868" s="2646">
        <v>19.100000000000001</v>
      </c>
      <c r="L2868" s="2646" t="s">
        <v>2088</v>
      </c>
    </row>
    <row r="2869" spans="1:12">
      <c r="A2869" s="2647" t="s">
        <v>99</v>
      </c>
      <c r="B2869" s="2647" t="s">
        <v>5183</v>
      </c>
      <c r="C2869" s="2647">
        <v>200</v>
      </c>
      <c r="D2869" s="2647">
        <v>360</v>
      </c>
      <c r="E2869" s="2647">
        <v>58</v>
      </c>
      <c r="F2869" s="2647">
        <v>792</v>
      </c>
      <c r="G2869" s="2647">
        <v>1120</v>
      </c>
      <c r="H2869" s="2647">
        <v>940</v>
      </c>
      <c r="I2869" s="2647">
        <v>1200</v>
      </c>
      <c r="J2869" s="2647">
        <v>26.4</v>
      </c>
      <c r="K2869" s="2648"/>
      <c r="L2869" s="2647" t="s">
        <v>2088</v>
      </c>
    </row>
    <row r="2870" spans="1:12">
      <c r="A2870" s="2646" t="s">
        <v>99</v>
      </c>
      <c r="B2870" s="2646" t="s">
        <v>5184</v>
      </c>
      <c r="C2870" s="2646">
        <v>200</v>
      </c>
      <c r="D2870" s="2646">
        <v>360</v>
      </c>
      <c r="E2870" s="2646">
        <v>98</v>
      </c>
      <c r="F2870" s="2646">
        <v>1240</v>
      </c>
      <c r="G2870" s="2646">
        <v>1880</v>
      </c>
      <c r="H2870" s="2646">
        <v>960</v>
      </c>
      <c r="I2870" s="2646">
        <v>1300</v>
      </c>
      <c r="J2870" s="2646">
        <v>44.2</v>
      </c>
      <c r="L2870" s="2646" t="s">
        <v>2088</v>
      </c>
    </row>
    <row r="2871" spans="1:12">
      <c r="A2871" s="2647" t="s">
        <v>99</v>
      </c>
      <c r="B2871" s="2647" t="s">
        <v>5185</v>
      </c>
      <c r="C2871" s="2647">
        <v>200</v>
      </c>
      <c r="D2871" s="2647">
        <v>420</v>
      </c>
      <c r="E2871" s="2647">
        <v>80</v>
      </c>
      <c r="F2871" s="2647">
        <v>904</v>
      </c>
      <c r="G2871" s="2647">
        <v>1230</v>
      </c>
      <c r="H2871" s="2647">
        <v>690</v>
      </c>
      <c r="I2871" s="2647">
        <v>970</v>
      </c>
      <c r="J2871" s="2647">
        <v>50.6</v>
      </c>
      <c r="K2871" s="2648"/>
      <c r="L2871" s="2647" t="s">
        <v>2088</v>
      </c>
    </row>
    <row r="2872" spans="1:12">
      <c r="A2872" s="2646" t="s">
        <v>99</v>
      </c>
      <c r="B2872" s="2646" t="s">
        <v>5186</v>
      </c>
      <c r="C2872" s="2646">
        <v>220</v>
      </c>
      <c r="D2872" s="2646">
        <v>300</v>
      </c>
      <c r="E2872" s="2646">
        <v>51</v>
      </c>
      <c r="F2872" s="2646">
        <v>498</v>
      </c>
      <c r="G2872" s="2646">
        <v>1010</v>
      </c>
      <c r="H2872" s="2646">
        <v>1000</v>
      </c>
      <c r="I2872" s="2646">
        <v>1400</v>
      </c>
      <c r="J2872" s="2646">
        <v>10.1</v>
      </c>
      <c r="L2872" s="2646" t="s">
        <v>2088</v>
      </c>
    </row>
    <row r="2873" spans="1:12">
      <c r="A2873" s="2647" t="s">
        <v>99</v>
      </c>
      <c r="B2873" s="2647" t="s">
        <v>5187</v>
      </c>
      <c r="C2873" s="2647">
        <v>220</v>
      </c>
      <c r="D2873" s="2647">
        <v>340</v>
      </c>
      <c r="E2873" s="2647">
        <v>76</v>
      </c>
      <c r="F2873" s="2647">
        <v>894</v>
      </c>
      <c r="G2873" s="2647">
        <v>1620</v>
      </c>
      <c r="H2873" s="2647">
        <v>940</v>
      </c>
      <c r="I2873" s="2647">
        <v>1300</v>
      </c>
      <c r="J2873" s="2647">
        <v>25.2</v>
      </c>
      <c r="K2873" s="2648"/>
      <c r="L2873" s="2647" t="s">
        <v>2088</v>
      </c>
    </row>
    <row r="2874" spans="1:12">
      <c r="A2874" s="2646" t="s">
        <v>99</v>
      </c>
      <c r="B2874" s="2646" t="s">
        <v>5188</v>
      </c>
      <c r="C2874" s="2646">
        <v>220</v>
      </c>
      <c r="D2874" s="2646">
        <v>400</v>
      </c>
      <c r="E2874" s="2646">
        <v>65</v>
      </c>
      <c r="F2874" s="2646">
        <v>1010</v>
      </c>
      <c r="G2874" s="2646">
        <v>1440</v>
      </c>
      <c r="H2874" s="2646">
        <v>830</v>
      </c>
      <c r="I2874" s="2646">
        <v>1100</v>
      </c>
      <c r="J2874" s="2646">
        <v>35.9</v>
      </c>
      <c r="L2874" s="2646" t="s">
        <v>2088</v>
      </c>
    </row>
    <row r="2875" spans="1:12">
      <c r="A2875" s="2647" t="s">
        <v>99</v>
      </c>
      <c r="B2875" s="2647" t="s">
        <v>5189</v>
      </c>
      <c r="C2875" s="2647">
        <v>240</v>
      </c>
      <c r="D2875" s="2647">
        <v>320</v>
      </c>
      <c r="E2875" s="2647">
        <v>51</v>
      </c>
      <c r="F2875" s="2647">
        <v>515</v>
      </c>
      <c r="G2875" s="2647">
        <v>1090</v>
      </c>
      <c r="H2875" s="2647">
        <v>940</v>
      </c>
      <c r="I2875" s="2647">
        <v>1300</v>
      </c>
      <c r="J2875" s="2647">
        <v>10.9</v>
      </c>
      <c r="K2875" s="2648"/>
      <c r="L2875" s="2647" t="s">
        <v>2088</v>
      </c>
    </row>
    <row r="2876" spans="1:12">
      <c r="A2876" s="2646" t="s">
        <v>99</v>
      </c>
      <c r="B2876" s="2646" t="s">
        <v>5190</v>
      </c>
      <c r="C2876" s="2646">
        <v>240</v>
      </c>
      <c r="D2876" s="2646">
        <v>360</v>
      </c>
      <c r="E2876" s="2646">
        <v>76</v>
      </c>
      <c r="F2876" s="2646">
        <v>924</v>
      </c>
      <c r="G2876" s="2646">
        <v>1720</v>
      </c>
      <c r="H2876" s="2646">
        <v>870</v>
      </c>
      <c r="I2876" s="2646">
        <v>1200</v>
      </c>
      <c r="J2876" s="2646">
        <v>26.8</v>
      </c>
      <c r="L2876" s="2646" t="s">
        <v>2088</v>
      </c>
    </row>
    <row r="2877" spans="1:12">
      <c r="A2877" s="2647" t="s">
        <v>99</v>
      </c>
      <c r="B2877" s="2647" t="s">
        <v>5191</v>
      </c>
      <c r="C2877" s="2647">
        <v>240</v>
      </c>
      <c r="D2877" s="2647">
        <v>440</v>
      </c>
      <c r="E2877" s="2647">
        <v>72</v>
      </c>
      <c r="F2877" s="2647">
        <v>1230</v>
      </c>
      <c r="G2877" s="2647">
        <v>1790</v>
      </c>
      <c r="H2877" s="2647">
        <v>730</v>
      </c>
      <c r="I2877" s="2647">
        <v>980</v>
      </c>
      <c r="J2877" s="2647">
        <v>49.5</v>
      </c>
      <c r="K2877" s="2648"/>
      <c r="L2877" s="2647" t="s">
        <v>2088</v>
      </c>
    </row>
    <row r="2878" spans="1:12">
      <c r="A2878" s="2646" t="s">
        <v>99</v>
      </c>
      <c r="B2878" s="2646" t="s">
        <v>5192</v>
      </c>
      <c r="C2878" s="2646">
        <v>260</v>
      </c>
      <c r="D2878" s="2646">
        <v>360</v>
      </c>
      <c r="E2878" s="2646">
        <v>63.5</v>
      </c>
      <c r="F2878" s="2646">
        <v>741</v>
      </c>
      <c r="G2878" s="2646">
        <v>1550</v>
      </c>
      <c r="H2878" s="2646">
        <v>830</v>
      </c>
      <c r="I2878" s="2646">
        <v>1100</v>
      </c>
      <c r="J2878" s="2646">
        <v>18.899999999999999</v>
      </c>
      <c r="L2878" s="2646" t="s">
        <v>2088</v>
      </c>
    </row>
    <row r="2879" spans="1:12">
      <c r="A2879" s="2647" t="s">
        <v>99</v>
      </c>
      <c r="B2879" s="2647" t="s">
        <v>5193</v>
      </c>
      <c r="C2879" s="2647">
        <v>260</v>
      </c>
      <c r="D2879" s="2647">
        <v>400</v>
      </c>
      <c r="E2879" s="2647">
        <v>87</v>
      </c>
      <c r="F2879" s="2647">
        <v>1170</v>
      </c>
      <c r="G2879" s="2647">
        <v>2170</v>
      </c>
      <c r="H2879" s="2647">
        <v>770</v>
      </c>
      <c r="I2879" s="2647">
        <v>1000</v>
      </c>
      <c r="J2879" s="2647">
        <v>39.5</v>
      </c>
      <c r="K2879" s="2648"/>
      <c r="L2879" s="2647" t="s">
        <v>2088</v>
      </c>
    </row>
    <row r="2880" spans="1:12">
      <c r="A2880" s="2646" t="s">
        <v>99</v>
      </c>
      <c r="B2880" s="2646" t="s">
        <v>5194</v>
      </c>
      <c r="C2880" s="2646">
        <v>280</v>
      </c>
      <c r="D2880" s="2646">
        <v>380</v>
      </c>
      <c r="E2880" s="2646">
        <v>63.5</v>
      </c>
      <c r="F2880" s="2646">
        <v>760</v>
      </c>
      <c r="G2880" s="2646">
        <v>1630</v>
      </c>
      <c r="H2880" s="2646">
        <v>770</v>
      </c>
      <c r="I2880" s="2646">
        <v>1000</v>
      </c>
      <c r="J2880" s="2646">
        <v>20.100000000000001</v>
      </c>
      <c r="L2880" s="2646" t="s">
        <v>2088</v>
      </c>
    </row>
    <row r="2881" spans="1:12">
      <c r="A2881" s="2647" t="s">
        <v>99</v>
      </c>
      <c r="B2881" s="2647" t="s">
        <v>5195</v>
      </c>
      <c r="C2881" s="2647">
        <v>280</v>
      </c>
      <c r="D2881" s="2647">
        <v>420</v>
      </c>
      <c r="E2881" s="2647">
        <v>87</v>
      </c>
      <c r="F2881" s="2647">
        <v>1200</v>
      </c>
      <c r="G2881" s="2647">
        <v>2280</v>
      </c>
      <c r="H2881" s="2647">
        <v>720</v>
      </c>
      <c r="I2881" s="2647">
        <v>960</v>
      </c>
      <c r="J2881" s="2647">
        <v>417</v>
      </c>
      <c r="K2881" s="2648"/>
      <c r="L2881" s="2647" t="s">
        <v>2088</v>
      </c>
    </row>
    <row r="2882" spans="1:12">
      <c r="A2882" s="2646" t="s">
        <v>99</v>
      </c>
      <c r="B2882" s="2646" t="s">
        <v>5196</v>
      </c>
      <c r="C2882" s="2646">
        <v>300</v>
      </c>
      <c r="D2882" s="2646">
        <v>420</v>
      </c>
      <c r="E2882" s="2646">
        <v>76</v>
      </c>
      <c r="F2882" s="2646">
        <v>1050</v>
      </c>
      <c r="G2882" s="2646">
        <v>2210</v>
      </c>
      <c r="H2882" s="2646">
        <v>680</v>
      </c>
      <c r="I2882" s="2646">
        <v>910</v>
      </c>
      <c r="J2882" s="2646">
        <v>32.4</v>
      </c>
      <c r="L2882" s="2646" t="s">
        <v>2088</v>
      </c>
    </row>
    <row r="2883" spans="1:12">
      <c r="A2883" s="2647" t="s">
        <v>99</v>
      </c>
      <c r="B2883" s="2647" t="s">
        <v>5197</v>
      </c>
      <c r="C2883" s="2647">
        <v>300</v>
      </c>
      <c r="D2883" s="2647">
        <v>460</v>
      </c>
      <c r="E2883" s="2647">
        <v>100</v>
      </c>
      <c r="F2883" s="2647">
        <v>1430</v>
      </c>
      <c r="G2883" s="2647">
        <v>2660</v>
      </c>
      <c r="H2883" s="2647">
        <v>640</v>
      </c>
      <c r="I2883" s="2647">
        <v>850</v>
      </c>
      <c r="J2883" s="2647">
        <v>57.5</v>
      </c>
      <c r="K2883" s="2648"/>
      <c r="L2883" s="2647" t="s">
        <v>2088</v>
      </c>
    </row>
    <row r="2884" spans="1:12">
      <c r="A2884" s="2646" t="s">
        <v>99</v>
      </c>
      <c r="B2884" s="2646">
        <v>30260</v>
      </c>
      <c r="C2884" s="2646">
        <v>300</v>
      </c>
      <c r="D2884" s="2646">
        <v>540</v>
      </c>
      <c r="E2884" s="2646">
        <v>85</v>
      </c>
      <c r="F2884" s="2646">
        <v>1510</v>
      </c>
      <c r="G2884" s="2646">
        <v>2360</v>
      </c>
      <c r="H2884" s="2646">
        <v>550</v>
      </c>
      <c r="I2884" s="2646">
        <v>730</v>
      </c>
      <c r="J2884" s="2646">
        <v>84.7</v>
      </c>
      <c r="L2884" s="2646" t="s">
        <v>2088</v>
      </c>
    </row>
    <row r="2885" spans="1:12">
      <c r="A2885" s="2647" t="s">
        <v>99</v>
      </c>
      <c r="B2885" s="2647" t="s">
        <v>5198</v>
      </c>
      <c r="C2885" s="2647">
        <v>320</v>
      </c>
      <c r="D2885" s="2647">
        <v>440</v>
      </c>
      <c r="E2885" s="2647">
        <v>76</v>
      </c>
      <c r="F2885" s="2647">
        <v>1060</v>
      </c>
      <c r="G2885" s="2647">
        <v>2270</v>
      </c>
      <c r="H2885" s="2647">
        <v>640</v>
      </c>
      <c r="I2885" s="2647">
        <v>850</v>
      </c>
      <c r="J2885" s="2647">
        <v>34</v>
      </c>
      <c r="K2885" s="2648"/>
      <c r="L2885" s="2647" t="s">
        <v>2088</v>
      </c>
    </row>
    <row r="2886" spans="1:12">
      <c r="A2886" s="2646" t="s">
        <v>99</v>
      </c>
      <c r="B2886" s="2646" t="s">
        <v>5199</v>
      </c>
      <c r="C2886" s="2646">
        <v>320</v>
      </c>
      <c r="D2886" s="2646">
        <v>480</v>
      </c>
      <c r="E2886" s="2646">
        <v>100</v>
      </c>
      <c r="F2886" s="2646">
        <v>1510</v>
      </c>
      <c r="G2886" s="2646">
        <v>2810</v>
      </c>
      <c r="H2886" s="2646">
        <v>600</v>
      </c>
      <c r="I2886" s="2646">
        <v>800</v>
      </c>
      <c r="J2886" s="2646">
        <v>58.7</v>
      </c>
      <c r="L2886" s="2646" t="s">
        <v>2088</v>
      </c>
    </row>
    <row r="2887" spans="1:12">
      <c r="A2887" s="2647" t="s">
        <v>99</v>
      </c>
      <c r="B2887" s="2647">
        <v>30264</v>
      </c>
      <c r="C2887" s="2647">
        <v>320</v>
      </c>
      <c r="D2887" s="2647">
        <v>580</v>
      </c>
      <c r="E2887" s="2647">
        <v>92</v>
      </c>
      <c r="F2887" s="2647">
        <v>1740</v>
      </c>
      <c r="G2887" s="2647">
        <v>2770</v>
      </c>
      <c r="H2887" s="2647">
        <v>490</v>
      </c>
      <c r="I2887" s="2647">
        <v>660</v>
      </c>
      <c r="J2887" s="2647">
        <v>108</v>
      </c>
      <c r="K2887" s="2648"/>
      <c r="L2887" s="2647" t="s">
        <v>2088</v>
      </c>
    </row>
    <row r="2888" spans="1:12">
      <c r="A2888" s="2646" t="s">
        <v>99</v>
      </c>
      <c r="B2888" s="2646" t="s">
        <v>5200</v>
      </c>
      <c r="C2888" s="2646">
        <v>340</v>
      </c>
      <c r="D2888" s="2646">
        <v>460</v>
      </c>
      <c r="E2888" s="2646">
        <v>75</v>
      </c>
      <c r="F2888" s="2646">
        <v>1070</v>
      </c>
      <c r="G2888" s="2646">
        <v>2340</v>
      </c>
      <c r="H2888" s="2646">
        <v>590</v>
      </c>
      <c r="I2888" s="2646">
        <v>790</v>
      </c>
      <c r="J2888" s="2646">
        <v>35.6</v>
      </c>
      <c r="L2888" s="2646" t="s">
        <v>2088</v>
      </c>
    </row>
    <row r="2889" spans="1:12">
      <c r="A2889" s="2647" t="s">
        <v>99</v>
      </c>
      <c r="B2889" s="2647" t="s">
        <v>5201</v>
      </c>
      <c r="C2889" s="2647">
        <v>360</v>
      </c>
      <c r="D2889" s="2647">
        <v>480</v>
      </c>
      <c r="E2889" s="2647">
        <v>76</v>
      </c>
      <c r="F2889" s="2647">
        <v>1080</v>
      </c>
      <c r="G2889" s="2647">
        <v>2400</v>
      </c>
      <c r="H2889" s="2647">
        <v>560</v>
      </c>
      <c r="I2889" s="2647">
        <v>740</v>
      </c>
      <c r="J2889" s="2647">
        <v>37.1</v>
      </c>
      <c r="K2889" s="2648"/>
      <c r="L2889" s="2647" t="s">
        <v>2088</v>
      </c>
    </row>
    <row r="2890" spans="1:12">
      <c r="A2890" s="2646" t="s">
        <v>99</v>
      </c>
      <c r="B2890" s="2646">
        <v>7880</v>
      </c>
      <c r="C2890" s="2646">
        <v>400</v>
      </c>
      <c r="D2890" s="2646">
        <v>500</v>
      </c>
      <c r="E2890" s="2646">
        <v>57</v>
      </c>
      <c r="F2890" s="2646">
        <v>421</v>
      </c>
      <c r="G2890" s="2646">
        <v>954</v>
      </c>
      <c r="H2890" s="2646">
        <v>400</v>
      </c>
      <c r="I2890" s="2646">
        <v>500</v>
      </c>
      <c r="J2890" s="2646">
        <v>25.1</v>
      </c>
      <c r="L2890" s="2646" t="s">
        <v>2088</v>
      </c>
    </row>
    <row r="2891" spans="1:12">
      <c r="A2891" s="2647" t="s">
        <v>99</v>
      </c>
      <c r="B2891" s="2647" t="s">
        <v>5202</v>
      </c>
      <c r="C2891" s="2647">
        <v>420</v>
      </c>
      <c r="D2891" s="2647">
        <v>620</v>
      </c>
      <c r="E2891" s="2647">
        <v>90</v>
      </c>
      <c r="F2891" s="2647">
        <v>1050</v>
      </c>
      <c r="G2891" s="2647">
        <v>2130</v>
      </c>
      <c r="H2891" s="2647">
        <v>380</v>
      </c>
      <c r="I2891" s="2647">
        <v>480</v>
      </c>
      <c r="J2891" s="2647">
        <v>88.3</v>
      </c>
      <c r="K2891" s="2648"/>
      <c r="L2891" s="2647" t="s">
        <v>2088</v>
      </c>
    </row>
    <row r="2892" spans="1:12">
      <c r="A2892" s="2646" t="s">
        <v>99</v>
      </c>
      <c r="B2892" s="2646" t="s">
        <v>2449</v>
      </c>
      <c r="C2892" s="2646">
        <v>760</v>
      </c>
      <c r="D2892" s="2646">
        <v>890</v>
      </c>
      <c r="E2892" s="2646">
        <v>75</v>
      </c>
      <c r="F2892" s="2646">
        <v>1241</v>
      </c>
      <c r="G2892" s="2646">
        <v>3519</v>
      </c>
      <c r="H2892" s="2646">
        <v>130</v>
      </c>
      <c r="I2892" s="2646">
        <v>170</v>
      </c>
      <c r="J2892" s="2646">
        <v>78.3</v>
      </c>
      <c r="L2892" s="2646" t="s">
        <v>2088</v>
      </c>
    </row>
    <row r="2893" spans="1:12">
      <c r="A2893" s="2647" t="s">
        <v>99</v>
      </c>
      <c r="B2893" s="2647" t="s">
        <v>2412</v>
      </c>
      <c r="C2893" s="2647">
        <v>900</v>
      </c>
      <c r="D2893" s="2647">
        <v>1280</v>
      </c>
      <c r="E2893" s="2647">
        <v>170</v>
      </c>
      <c r="F2893" s="2647">
        <v>5860</v>
      </c>
      <c r="G2893" s="2647">
        <v>14607</v>
      </c>
      <c r="H2893" s="2647">
        <v>95</v>
      </c>
      <c r="I2893" s="2647">
        <v>130</v>
      </c>
      <c r="J2893" s="2647">
        <v>71.8</v>
      </c>
      <c r="K2893" s="2648"/>
      <c r="L2893" s="2647" t="s">
        <v>2088</v>
      </c>
    </row>
    <row r="2894" spans="1:12">
      <c r="A2894" s="2646" t="s">
        <v>99</v>
      </c>
      <c r="B2894" s="2646">
        <v>350210</v>
      </c>
      <c r="C2894" s="2646">
        <v>50</v>
      </c>
      <c r="D2894" s="2646">
        <v>90</v>
      </c>
      <c r="E2894" s="2646">
        <v>20</v>
      </c>
      <c r="F2894" s="2646">
        <v>101</v>
      </c>
      <c r="G2894" s="2646">
        <v>140</v>
      </c>
      <c r="H2894" s="2646">
        <v>3400</v>
      </c>
      <c r="I2894" s="2646">
        <v>4500</v>
      </c>
      <c r="J2894" s="2646">
        <v>1.24</v>
      </c>
      <c r="L2894" s="2646">
        <v>97210</v>
      </c>
    </row>
    <row r="2895" spans="1:12">
      <c r="A2895" s="2647" t="s">
        <v>99</v>
      </c>
      <c r="B2895" s="2647" t="s">
        <v>5203</v>
      </c>
      <c r="C2895" s="2647">
        <v>120</v>
      </c>
      <c r="D2895" s="2647">
        <v>200</v>
      </c>
      <c r="E2895" s="2647">
        <v>78</v>
      </c>
      <c r="F2895" s="2647">
        <v>387</v>
      </c>
      <c r="G2895" s="2647">
        <v>672</v>
      </c>
      <c r="H2895" s="2647">
        <v>1400</v>
      </c>
      <c r="I2895" s="2647">
        <v>1900</v>
      </c>
      <c r="J2895" s="2647">
        <v>9.14</v>
      </c>
      <c r="K2895" s="2648"/>
      <c r="L2895" s="2647" t="s">
        <v>2088</v>
      </c>
    </row>
    <row r="2896" spans="1:12">
      <c r="A2896" s="2646" t="s">
        <v>99</v>
      </c>
      <c r="B2896" s="2646" t="s">
        <v>5204</v>
      </c>
      <c r="C2896" s="2646">
        <v>120</v>
      </c>
      <c r="D2896" s="2646">
        <v>200</v>
      </c>
      <c r="E2896" s="2646">
        <v>100</v>
      </c>
      <c r="F2896" s="2646">
        <v>533</v>
      </c>
      <c r="G2896" s="2646">
        <v>1010</v>
      </c>
      <c r="H2896" s="2646">
        <v>1400</v>
      </c>
      <c r="I2896" s="2646">
        <v>1900</v>
      </c>
      <c r="J2896" s="2646">
        <v>12</v>
      </c>
      <c r="L2896" s="2646" t="s">
        <v>2088</v>
      </c>
    </row>
    <row r="2897" spans="1:12">
      <c r="A2897" s="2647" t="s">
        <v>99</v>
      </c>
      <c r="B2897" s="2647" t="s">
        <v>5205</v>
      </c>
      <c r="C2897" s="2647">
        <v>120</v>
      </c>
      <c r="D2897" s="2647">
        <v>215</v>
      </c>
      <c r="E2897" s="2647">
        <v>97</v>
      </c>
      <c r="F2897" s="2647">
        <v>550</v>
      </c>
      <c r="G2897" s="2647">
        <v>851</v>
      </c>
      <c r="H2897" s="2647">
        <v>1400</v>
      </c>
      <c r="I2897" s="2647">
        <v>1800</v>
      </c>
      <c r="J2897" s="2647">
        <v>14.3</v>
      </c>
      <c r="K2897" s="2648"/>
      <c r="L2897" s="2647" t="s">
        <v>2088</v>
      </c>
    </row>
    <row r="2898" spans="1:12">
      <c r="A2898" s="2646" t="s">
        <v>99</v>
      </c>
      <c r="B2898" s="2646" t="s">
        <v>5206</v>
      </c>
      <c r="C2898" s="2646">
        <v>120</v>
      </c>
      <c r="D2898" s="2646">
        <v>215</v>
      </c>
      <c r="E2898" s="2646">
        <v>132</v>
      </c>
      <c r="F2898" s="2646">
        <v>742</v>
      </c>
      <c r="G2898" s="2646">
        <v>1240</v>
      </c>
      <c r="H2898" s="2646">
        <v>1400</v>
      </c>
      <c r="I2898" s="2646">
        <v>1900</v>
      </c>
      <c r="J2898" s="2646">
        <v>19.399999999999999</v>
      </c>
      <c r="L2898" s="2646" t="s">
        <v>2088</v>
      </c>
    </row>
    <row r="2899" spans="1:12">
      <c r="A2899" s="2647" t="s">
        <v>99</v>
      </c>
      <c r="B2899" s="2647" t="s">
        <v>5207</v>
      </c>
      <c r="C2899" s="2647">
        <v>120</v>
      </c>
      <c r="D2899" s="2647">
        <v>260</v>
      </c>
      <c r="E2899" s="2647">
        <v>128</v>
      </c>
      <c r="F2899" s="2647">
        <v>883</v>
      </c>
      <c r="G2899" s="2647">
        <v>1250</v>
      </c>
      <c r="H2899" s="2647">
        <v>1200</v>
      </c>
      <c r="I2899" s="2647">
        <v>1600</v>
      </c>
      <c r="J2899" s="2647">
        <v>37.9</v>
      </c>
      <c r="K2899" s="2648"/>
      <c r="L2899" s="2647" t="s">
        <v>2088</v>
      </c>
    </row>
    <row r="2900" spans="1:12">
      <c r="A2900" s="2646" t="s">
        <v>99</v>
      </c>
      <c r="B2900" s="2646" t="s">
        <v>5208</v>
      </c>
      <c r="C2900" s="2646">
        <v>120</v>
      </c>
      <c r="D2900" s="2646">
        <v>260</v>
      </c>
      <c r="E2900" s="2646">
        <v>188</v>
      </c>
      <c r="F2900" s="2646">
        <v>1230</v>
      </c>
      <c r="G2900" s="2646">
        <v>1920</v>
      </c>
      <c r="H2900" s="2646">
        <v>1200</v>
      </c>
      <c r="I2900" s="2646">
        <v>1600</v>
      </c>
      <c r="J2900" s="2646">
        <v>46.2</v>
      </c>
      <c r="L2900" s="2646" t="s">
        <v>2088</v>
      </c>
    </row>
    <row r="2901" spans="1:12">
      <c r="A2901" s="2647" t="s">
        <v>99</v>
      </c>
      <c r="B2901" s="2647" t="s">
        <v>5209</v>
      </c>
      <c r="C2901" s="2647">
        <v>130</v>
      </c>
      <c r="D2901" s="2647">
        <v>200</v>
      </c>
      <c r="E2901" s="2647">
        <v>65</v>
      </c>
      <c r="F2901" s="2647">
        <v>319</v>
      </c>
      <c r="G2901" s="2647">
        <v>618</v>
      </c>
      <c r="H2901" s="2647">
        <v>1400</v>
      </c>
      <c r="I2901" s="2647">
        <v>1900</v>
      </c>
      <c r="J2901" s="2647">
        <v>7.06</v>
      </c>
      <c r="K2901" s="2648"/>
      <c r="L2901" s="2647" t="s">
        <v>2088</v>
      </c>
    </row>
    <row r="2902" spans="1:12">
      <c r="A2902" s="2646" t="s">
        <v>99</v>
      </c>
      <c r="B2902" s="2646" t="s">
        <v>5210</v>
      </c>
      <c r="C2902" s="2646">
        <v>130</v>
      </c>
      <c r="D2902" s="2646">
        <v>210</v>
      </c>
      <c r="E2902" s="2646">
        <v>80</v>
      </c>
      <c r="F2902" s="2646">
        <v>424</v>
      </c>
      <c r="G2902" s="2646">
        <v>723</v>
      </c>
      <c r="H2902" s="2646">
        <v>1300</v>
      </c>
      <c r="I2902" s="2646">
        <v>1800</v>
      </c>
      <c r="J2902" s="2646">
        <v>9.57</v>
      </c>
      <c r="L2902" s="2646" t="s">
        <v>2088</v>
      </c>
    </row>
    <row r="2903" spans="1:12">
      <c r="A2903" s="2647" t="s">
        <v>99</v>
      </c>
      <c r="B2903" s="2647" t="s">
        <v>5211</v>
      </c>
      <c r="C2903" s="2647">
        <v>130</v>
      </c>
      <c r="D2903" s="2647">
        <v>230</v>
      </c>
      <c r="E2903" s="2647">
        <v>98</v>
      </c>
      <c r="F2903" s="2647">
        <v>596</v>
      </c>
      <c r="G2903" s="2647">
        <v>917</v>
      </c>
      <c r="H2903" s="2647">
        <v>1300</v>
      </c>
      <c r="I2903" s="2647">
        <v>1700</v>
      </c>
      <c r="J2903" s="2647">
        <v>16.3</v>
      </c>
      <c r="K2903" s="2648"/>
      <c r="L2903" s="2647" t="s">
        <v>2088</v>
      </c>
    </row>
    <row r="2904" spans="1:12">
      <c r="A2904" s="2646" t="s">
        <v>99</v>
      </c>
      <c r="B2904" s="2646" t="s">
        <v>5212</v>
      </c>
      <c r="C2904" s="2646">
        <v>130</v>
      </c>
      <c r="D2904" s="2646">
        <v>230</v>
      </c>
      <c r="E2904" s="2646">
        <v>145</v>
      </c>
      <c r="F2904" s="2646">
        <v>873</v>
      </c>
      <c r="G2904" s="2646">
        <v>1490</v>
      </c>
      <c r="H2904" s="2646">
        <v>1300</v>
      </c>
      <c r="I2904" s="2646">
        <v>1700</v>
      </c>
      <c r="J2904" s="2646">
        <v>24.1</v>
      </c>
      <c r="L2904" s="2646" t="s">
        <v>2088</v>
      </c>
    </row>
    <row r="2905" spans="1:12">
      <c r="A2905" s="2647" t="s">
        <v>99</v>
      </c>
      <c r="B2905" s="2647" t="s">
        <v>5213</v>
      </c>
      <c r="C2905" s="2647">
        <v>130</v>
      </c>
      <c r="D2905" s="2647">
        <v>280</v>
      </c>
      <c r="E2905" s="2647">
        <v>137</v>
      </c>
      <c r="F2905" s="2647">
        <v>1020</v>
      </c>
      <c r="G2905" s="2647">
        <v>1460</v>
      </c>
      <c r="H2905" s="2647">
        <v>1100</v>
      </c>
      <c r="I2905" s="2647">
        <v>1400</v>
      </c>
      <c r="J2905" s="2647">
        <v>39</v>
      </c>
      <c r="K2905" s="2648"/>
      <c r="L2905" s="2647" t="s">
        <v>2088</v>
      </c>
    </row>
    <row r="2906" spans="1:12">
      <c r="A2906" s="2646" t="s">
        <v>99</v>
      </c>
      <c r="B2906" s="2646" t="s">
        <v>5214</v>
      </c>
      <c r="C2906" s="2646">
        <v>130</v>
      </c>
      <c r="D2906" s="2646">
        <v>280</v>
      </c>
      <c r="E2906" s="2646">
        <v>205</v>
      </c>
      <c r="F2906" s="2646">
        <v>1450</v>
      </c>
      <c r="G2906" s="2646">
        <v>2290</v>
      </c>
      <c r="H2906" s="2646">
        <v>1100</v>
      </c>
      <c r="I2906" s="2646">
        <v>1500</v>
      </c>
      <c r="J2906" s="2646">
        <v>58.3</v>
      </c>
      <c r="L2906" s="2646" t="s">
        <v>2088</v>
      </c>
    </row>
    <row r="2907" spans="1:12">
      <c r="A2907" s="2647" t="s">
        <v>99</v>
      </c>
      <c r="B2907" s="2647" t="s">
        <v>5215</v>
      </c>
      <c r="C2907" s="2647">
        <v>140</v>
      </c>
      <c r="D2907" s="2647">
        <v>210</v>
      </c>
      <c r="E2907" s="2647">
        <v>66</v>
      </c>
      <c r="F2907" s="2647">
        <v>360</v>
      </c>
      <c r="G2907" s="2647">
        <v>639</v>
      </c>
      <c r="H2907" s="2647">
        <v>1300</v>
      </c>
      <c r="I2907" s="2647">
        <v>1800</v>
      </c>
      <c r="J2907" s="2647">
        <v>7.18</v>
      </c>
      <c r="K2907" s="2648"/>
      <c r="L2907" s="2647" t="s">
        <v>2088</v>
      </c>
    </row>
  </sheetData>
  <mergeCells count="4">
    <mergeCell ref="A1:L1"/>
    <mergeCell ref="A2:A3"/>
    <mergeCell ref="B2:B3"/>
    <mergeCell ref="L2:L3"/>
  </mergeCells>
  <phoneticPr fontId="378" type="noConversion"/>
  <hyperlinks>
    <hyperlink ref="M2" location="总目录!A1" display="返回目录"/>
  </hyperlinks>
  <pageMargins left="0.75" right="0.75" top="1" bottom="1" header="0.5" footer="0.5"/>
  <headerFooter scaleWithDoc="0"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00"/>
  <sheetViews>
    <sheetView zoomScale="115" zoomScaleNormal="115" workbookViewId="0">
      <pane xSplit="3" ySplit="3" topLeftCell="D124" activePane="bottomRight" state="frozen"/>
      <selection activeCell="K3" sqref="K3"/>
      <selection pane="topRight" activeCell="K3" sqref="K3"/>
      <selection pane="bottomLeft" activeCell="K3" sqref="K3"/>
      <selection pane="bottomRight" activeCell="J1" sqref="J1:J3"/>
    </sheetView>
  </sheetViews>
  <sheetFormatPr defaultColWidth="8" defaultRowHeight="12.75"/>
  <cols>
    <col min="1" max="1" width="8.25" style="2604"/>
    <col min="2" max="2" width="16.5" style="2604" customWidth="1"/>
    <col min="3" max="9" width="8.25" style="2604"/>
    <col min="10" max="10" width="5.5" style="2604" customWidth="1"/>
    <col min="11" max="17" width="8.25" style="2604"/>
    <col min="18" max="18" width="9.875" style="2604"/>
    <col min="19" max="53" width="8.25" style="2604"/>
    <col min="54" max="54" width="8.25" style="2604" hidden="1" customWidth="1"/>
    <col min="55" max="256" width="8.25" style="2604"/>
    <col min="257" max="16384" width="8" style="2604"/>
  </cols>
  <sheetData>
    <row r="1" spans="1:54" ht="19.5">
      <c r="A1" s="2605" t="s">
        <v>2040</v>
      </c>
      <c r="B1" s="2605"/>
      <c r="C1" s="3254" t="s">
        <v>5216</v>
      </c>
      <c r="D1" s="3255"/>
      <c r="E1" s="3255"/>
      <c r="F1" s="3255"/>
      <c r="G1" s="3255"/>
      <c r="H1" s="3255"/>
      <c r="I1" s="3256"/>
      <c r="J1" s="3199" t="s">
        <v>12704</v>
      </c>
      <c r="K1" s="3254" t="s">
        <v>5217</v>
      </c>
      <c r="L1" s="3255"/>
      <c r="M1" s="3255"/>
      <c r="N1" s="3255"/>
      <c r="O1" s="3255"/>
      <c r="P1" s="3255"/>
      <c r="Q1" s="3255"/>
      <c r="R1" s="3256"/>
      <c r="BB1" s="2604" t="s">
        <v>5218</v>
      </c>
    </row>
    <row r="2" spans="1:54" ht="16.5">
      <c r="A2" s="2606"/>
      <c r="B2" s="2606"/>
      <c r="C2" s="2607"/>
      <c r="D2" s="3257" t="s">
        <v>5219</v>
      </c>
      <c r="E2" s="3258"/>
      <c r="F2" s="3257" t="s">
        <v>5220</v>
      </c>
      <c r="G2" s="3258"/>
      <c r="H2" s="3257" t="s">
        <v>5221</v>
      </c>
      <c r="I2" s="3259"/>
      <c r="J2" s="3199"/>
      <c r="K2" s="2607"/>
      <c r="L2" s="3257" t="s">
        <v>5221</v>
      </c>
      <c r="M2" s="3258"/>
      <c r="N2" s="3257" t="s">
        <v>5222</v>
      </c>
      <c r="O2" s="3258"/>
      <c r="P2" s="3257" t="s">
        <v>5223</v>
      </c>
      <c r="Q2" s="3258"/>
      <c r="R2" s="2627" t="s">
        <v>5224</v>
      </c>
      <c r="BB2" s="2604" t="s">
        <v>2040</v>
      </c>
    </row>
    <row r="3" spans="1:54" ht="13.5" thickBot="1">
      <c r="A3" s="2608" t="s">
        <v>5225</v>
      </c>
      <c r="B3" s="2608" t="s">
        <v>5226</v>
      </c>
      <c r="C3" s="2609" t="s">
        <v>5227</v>
      </c>
      <c r="D3" s="2610" t="s">
        <v>5228</v>
      </c>
      <c r="E3" s="2611" t="s">
        <v>5229</v>
      </c>
      <c r="F3" s="2610" t="s">
        <v>5228</v>
      </c>
      <c r="G3" s="2611" t="s">
        <v>5229</v>
      </c>
      <c r="H3" s="2610" t="s">
        <v>5228</v>
      </c>
      <c r="I3" s="2624" t="s">
        <v>5229</v>
      </c>
      <c r="J3" s="3200"/>
      <c r="K3" s="2609" t="s">
        <v>5227</v>
      </c>
      <c r="L3" s="2610" t="s">
        <v>5229</v>
      </c>
      <c r="M3" s="2611" t="s">
        <v>5228</v>
      </c>
      <c r="N3" s="2610" t="s">
        <v>5229</v>
      </c>
      <c r="O3" s="2611" t="s">
        <v>5228</v>
      </c>
      <c r="P3" s="2610" t="s">
        <v>5229</v>
      </c>
      <c r="Q3" s="2611" t="s">
        <v>5228</v>
      </c>
      <c r="R3" s="2628" t="s">
        <v>5230</v>
      </c>
    </row>
    <row r="4" spans="1:54">
      <c r="A4" s="2612">
        <v>0.25</v>
      </c>
      <c r="B4" s="2613" t="s">
        <v>5231</v>
      </c>
      <c r="C4" s="2613" t="s">
        <v>5232</v>
      </c>
      <c r="D4" s="2614">
        <v>0.25</v>
      </c>
      <c r="E4" s="2614">
        <v>0.23499999999999999</v>
      </c>
      <c r="F4" s="2614">
        <v>0.20100000000000001</v>
      </c>
      <c r="G4" s="2614">
        <v>0.187</v>
      </c>
      <c r="H4" s="2614">
        <v>0.16</v>
      </c>
      <c r="I4" s="2614">
        <v>0.14000000000000001</v>
      </c>
      <c r="J4" s="2625"/>
      <c r="K4" s="2625" t="s">
        <v>5233</v>
      </c>
      <c r="L4" s="2614">
        <v>0.17199999999999999</v>
      </c>
      <c r="M4" s="2614">
        <v>0.20799999999999999</v>
      </c>
      <c r="N4" s="2614">
        <v>0.20100000000000001</v>
      </c>
      <c r="O4" s="2614">
        <v>0.215</v>
      </c>
      <c r="P4" s="2614">
        <v>0.255</v>
      </c>
      <c r="Q4" s="2614">
        <v>0.27600000000000002</v>
      </c>
      <c r="R4" s="2629">
        <v>0.17499999999999999</v>
      </c>
    </row>
    <row r="5" spans="1:54">
      <c r="A5" s="2615"/>
      <c r="B5" s="2616" t="s">
        <v>5231</v>
      </c>
      <c r="C5" s="2616" t="s">
        <v>5234</v>
      </c>
      <c r="D5" s="2617">
        <v>0.25</v>
      </c>
      <c r="E5" s="2617">
        <v>0.23499999999999999</v>
      </c>
      <c r="F5" s="2617">
        <v>0.20100000000000001</v>
      </c>
      <c r="G5" s="2617">
        <v>0.193</v>
      </c>
      <c r="H5" s="2617">
        <v>0.16</v>
      </c>
      <c r="I5" s="2617">
        <v>0.152</v>
      </c>
      <c r="J5" s="2623"/>
      <c r="K5" s="2623"/>
      <c r="L5" s="2617"/>
      <c r="M5" s="2617"/>
      <c r="N5" s="2617"/>
      <c r="O5" s="2617"/>
      <c r="P5" s="2617"/>
      <c r="Q5" s="2617"/>
      <c r="R5" s="2630"/>
    </row>
    <row r="6" spans="1:54">
      <c r="A6" s="2615">
        <v>0.3</v>
      </c>
      <c r="B6" s="2616" t="s">
        <v>5235</v>
      </c>
      <c r="C6" s="2616" t="s">
        <v>5232</v>
      </c>
      <c r="D6" s="2617">
        <v>0.3</v>
      </c>
      <c r="E6" s="2617">
        <v>0.28399999999999997</v>
      </c>
      <c r="F6" s="2617">
        <v>0.248</v>
      </c>
      <c r="G6" s="2617">
        <v>0.23400000000000001</v>
      </c>
      <c r="H6" s="2617">
        <v>0.20399999999999999</v>
      </c>
      <c r="I6" s="2617">
        <v>0.183</v>
      </c>
      <c r="J6" s="2623"/>
      <c r="K6" s="2623" t="s">
        <v>5233</v>
      </c>
      <c r="L6" s="2617">
        <v>0.217</v>
      </c>
      <c r="M6" s="2617">
        <v>0.254</v>
      </c>
      <c r="N6" s="2617">
        <v>0.248</v>
      </c>
      <c r="O6" s="2617">
        <v>0.26200000000000001</v>
      </c>
      <c r="P6" s="2617">
        <v>0.30599999999999999</v>
      </c>
      <c r="Q6" s="2617">
        <v>0.32700000000000001</v>
      </c>
      <c r="R6" s="2630">
        <v>0.21</v>
      </c>
    </row>
    <row r="7" spans="1:54">
      <c r="A7" s="2615"/>
      <c r="B7" s="2616" t="s">
        <v>5235</v>
      </c>
      <c r="C7" s="2616" t="s">
        <v>5234</v>
      </c>
      <c r="D7" s="2617">
        <v>0.3</v>
      </c>
      <c r="E7" s="2617">
        <v>0.28399999999999997</v>
      </c>
      <c r="F7" s="2617">
        <v>0.248</v>
      </c>
      <c r="G7" s="2617">
        <v>0.23899999999999999</v>
      </c>
      <c r="H7" s="2617">
        <v>0.20399999999999999</v>
      </c>
      <c r="I7" s="2617">
        <v>0.19500000000000001</v>
      </c>
      <c r="J7" s="2623"/>
      <c r="K7" s="2623"/>
      <c r="L7" s="2617"/>
      <c r="M7" s="2617"/>
      <c r="N7" s="2617"/>
      <c r="O7" s="2617"/>
      <c r="P7" s="2617"/>
      <c r="Q7" s="2617"/>
      <c r="R7" s="2630"/>
    </row>
    <row r="8" spans="1:54">
      <c r="A8" s="2615"/>
      <c r="B8" s="2616" t="s">
        <v>5236</v>
      </c>
      <c r="C8" s="2616" t="s">
        <v>5232</v>
      </c>
      <c r="D8" s="2617">
        <v>0.3</v>
      </c>
      <c r="E8" s="2617">
        <v>0.28299999999999997</v>
      </c>
      <c r="F8" s="2617">
        <v>0.24199999999999999</v>
      </c>
      <c r="G8" s="2617">
        <v>0.22600000000000001</v>
      </c>
      <c r="H8" s="2617">
        <v>0.192</v>
      </c>
      <c r="I8" s="2617">
        <v>0.17</v>
      </c>
      <c r="J8" s="2623"/>
      <c r="K8" s="2623" t="s">
        <v>5233</v>
      </c>
      <c r="L8" s="2617">
        <v>0.20599999999999999</v>
      </c>
      <c r="M8" s="2617">
        <v>0.247</v>
      </c>
      <c r="N8" s="2617">
        <v>0.24199999999999999</v>
      </c>
      <c r="O8" s="2617">
        <v>0.25700000000000001</v>
      </c>
      <c r="P8" s="2617">
        <v>0.30599999999999999</v>
      </c>
      <c r="Q8" s="2617">
        <v>0.33</v>
      </c>
      <c r="R8" s="2630"/>
    </row>
    <row r="9" spans="1:54">
      <c r="A9" s="2615"/>
      <c r="B9" s="2616" t="s">
        <v>5236</v>
      </c>
      <c r="C9" s="2616" t="s">
        <v>5234</v>
      </c>
      <c r="D9" s="2617">
        <v>0.3</v>
      </c>
      <c r="E9" s="2617">
        <v>0.28299999999999997</v>
      </c>
      <c r="F9" s="2617">
        <v>0.24199999999999999</v>
      </c>
      <c r="G9" s="2617">
        <v>0.23300000000000001</v>
      </c>
      <c r="H9" s="2617">
        <v>0.192</v>
      </c>
      <c r="I9" s="2617">
        <v>0.183</v>
      </c>
      <c r="J9" s="2623"/>
      <c r="K9" s="2623"/>
      <c r="L9" s="2617"/>
      <c r="M9" s="2617"/>
      <c r="N9" s="2617"/>
      <c r="O9" s="2617"/>
      <c r="P9" s="2617"/>
      <c r="Q9" s="2617"/>
      <c r="R9" s="2630"/>
    </row>
    <row r="10" spans="1:54">
      <c r="A10" s="2615">
        <v>0.35</v>
      </c>
      <c r="B10" s="2616" t="s">
        <v>5237</v>
      </c>
      <c r="C10" s="2616" t="s">
        <v>5232</v>
      </c>
      <c r="D10" s="2617">
        <v>0.35</v>
      </c>
      <c r="E10" s="2617">
        <v>0.33300000000000002</v>
      </c>
      <c r="F10" s="2617">
        <v>0.29199999999999998</v>
      </c>
      <c r="G10" s="2617">
        <v>0.27700000000000002</v>
      </c>
      <c r="H10" s="2617">
        <v>0.24199999999999999</v>
      </c>
      <c r="I10" s="2617">
        <v>0.22</v>
      </c>
      <c r="J10" s="2623"/>
      <c r="K10" s="2623" t="s">
        <v>5233</v>
      </c>
      <c r="L10" s="2617">
        <v>0.25600000000000001</v>
      </c>
      <c r="M10" s="2617">
        <v>0.29699999999999999</v>
      </c>
      <c r="N10" s="2617">
        <v>0.29199999999999998</v>
      </c>
      <c r="O10" s="2617">
        <v>0.307</v>
      </c>
      <c r="P10" s="2617">
        <v>0.35599999999999998</v>
      </c>
      <c r="Q10" s="2617">
        <v>0.38</v>
      </c>
      <c r="R10" s="2630">
        <v>0.245</v>
      </c>
    </row>
    <row r="11" spans="1:54">
      <c r="A11" s="2615"/>
      <c r="B11" s="2616" t="s">
        <v>5237</v>
      </c>
      <c r="C11" s="2616" t="s">
        <v>5234</v>
      </c>
      <c r="D11" s="2617">
        <v>0.35</v>
      </c>
      <c r="E11" s="2617">
        <v>0.33300000000000002</v>
      </c>
      <c r="F11" s="2617">
        <v>0.29199999999999998</v>
      </c>
      <c r="G11" s="2617">
        <v>0.28299999999999997</v>
      </c>
      <c r="H11" s="2617">
        <v>0.24199999999999999</v>
      </c>
      <c r="I11" s="2617">
        <v>0.23300000000000001</v>
      </c>
      <c r="J11" s="2623"/>
      <c r="K11" s="2623"/>
      <c r="L11" s="2617"/>
      <c r="M11" s="2617"/>
      <c r="N11" s="2617"/>
      <c r="O11" s="2617"/>
      <c r="P11" s="2617"/>
      <c r="Q11" s="2617"/>
      <c r="R11" s="2630"/>
    </row>
    <row r="12" spans="1:54">
      <c r="A12" s="2615">
        <v>0.4</v>
      </c>
      <c r="B12" s="2616" t="s">
        <v>5238</v>
      </c>
      <c r="C12" s="2616" t="s">
        <v>5232</v>
      </c>
      <c r="D12" s="2617">
        <v>0.4</v>
      </c>
      <c r="E12" s="2617">
        <v>0.38200000000000001</v>
      </c>
      <c r="F12" s="2617">
        <v>0.33500000000000002</v>
      </c>
      <c r="G12" s="2617">
        <v>0.31900000000000001</v>
      </c>
      <c r="H12" s="2617">
        <v>0.28000000000000003</v>
      </c>
      <c r="I12" s="2617">
        <v>0.25600000000000001</v>
      </c>
      <c r="J12" s="2623"/>
      <c r="K12" s="2623" t="s">
        <v>5233</v>
      </c>
      <c r="L12" s="2617">
        <v>0.29599999999999999</v>
      </c>
      <c r="M12" s="2617">
        <v>0.34</v>
      </c>
      <c r="N12" s="2617">
        <v>0.33500000000000002</v>
      </c>
      <c r="O12" s="2617">
        <v>0.35099999999999998</v>
      </c>
      <c r="P12" s="2617">
        <v>0.40699999999999997</v>
      </c>
      <c r="Q12" s="2617">
        <v>0.432</v>
      </c>
      <c r="R12" s="2630">
        <v>0.28000000000000003</v>
      </c>
    </row>
    <row r="13" spans="1:54">
      <c r="A13" s="2615"/>
      <c r="B13" s="2616" t="s">
        <v>5238</v>
      </c>
      <c r="C13" s="2616" t="s">
        <v>5234</v>
      </c>
      <c r="D13" s="2617">
        <v>0.4</v>
      </c>
      <c r="E13" s="2617">
        <v>0.38200000000000001</v>
      </c>
      <c r="F13" s="2617">
        <v>0.33500000000000002</v>
      </c>
      <c r="G13" s="2617">
        <v>0.32500000000000001</v>
      </c>
      <c r="H13" s="2617">
        <v>0.28000000000000003</v>
      </c>
      <c r="I13" s="2617">
        <v>0.27</v>
      </c>
      <c r="J13" s="2623"/>
      <c r="K13" s="2623"/>
      <c r="L13" s="2617"/>
      <c r="M13" s="2617"/>
      <c r="N13" s="2617"/>
      <c r="O13" s="2617"/>
      <c r="P13" s="2617"/>
      <c r="Q13" s="2617"/>
      <c r="R13" s="2630"/>
    </row>
    <row r="14" spans="1:54">
      <c r="A14" s="2615">
        <v>0.45</v>
      </c>
      <c r="B14" s="2616" t="s">
        <v>5239</v>
      </c>
      <c r="C14" s="2616" t="s">
        <v>5232</v>
      </c>
      <c r="D14" s="2617">
        <v>0.45</v>
      </c>
      <c r="E14" s="2617">
        <v>0.432</v>
      </c>
      <c r="F14" s="2617">
        <v>0.38500000000000001</v>
      </c>
      <c r="G14" s="2617">
        <v>0.36899999999999999</v>
      </c>
      <c r="H14" s="2617">
        <v>0.33</v>
      </c>
      <c r="I14" s="2617">
        <v>0.30599999999999999</v>
      </c>
      <c r="J14" s="2623"/>
      <c r="K14" s="2623" t="s">
        <v>5233</v>
      </c>
      <c r="L14" s="2617">
        <v>0.34599999999999997</v>
      </c>
      <c r="M14" s="2617">
        <v>0.39</v>
      </c>
      <c r="N14" s="2617">
        <v>0.38500000000000001</v>
      </c>
      <c r="O14" s="2617">
        <v>0.40100000000000002</v>
      </c>
      <c r="P14" s="2617">
        <v>0.45700000000000002</v>
      </c>
      <c r="Q14" s="2617">
        <v>0.48199999999999998</v>
      </c>
      <c r="R14" s="2630">
        <v>0.315</v>
      </c>
    </row>
    <row r="15" spans="1:54">
      <c r="A15" s="2615"/>
      <c r="B15" s="2616" t="s">
        <v>5239</v>
      </c>
      <c r="C15" s="2616" t="s">
        <v>5234</v>
      </c>
      <c r="D15" s="2617">
        <v>0.45</v>
      </c>
      <c r="E15" s="2617">
        <v>0.432</v>
      </c>
      <c r="F15" s="2617">
        <v>0.38500000000000001</v>
      </c>
      <c r="G15" s="2617">
        <v>0.375</v>
      </c>
      <c r="H15" s="2617">
        <v>0.33</v>
      </c>
      <c r="I15" s="2617">
        <v>0.32</v>
      </c>
      <c r="J15" s="2623"/>
      <c r="K15" s="2623"/>
      <c r="L15" s="2617"/>
      <c r="M15" s="2617"/>
      <c r="N15" s="2617"/>
      <c r="O15" s="2617"/>
      <c r="P15" s="2617"/>
      <c r="Q15" s="2617"/>
      <c r="R15" s="2630"/>
    </row>
    <row r="16" spans="1:54">
      <c r="A16" s="2615">
        <v>0.5</v>
      </c>
      <c r="B16" s="2616" t="s">
        <v>5240</v>
      </c>
      <c r="C16" s="2616" t="s">
        <v>5232</v>
      </c>
      <c r="D16" s="2617">
        <v>0.5</v>
      </c>
      <c r="E16" s="2617">
        <v>0.47899999999999998</v>
      </c>
      <c r="F16" s="2617">
        <v>0.41899999999999998</v>
      </c>
      <c r="G16" s="2617">
        <v>0.40100000000000002</v>
      </c>
      <c r="H16" s="2617">
        <v>0.35</v>
      </c>
      <c r="I16" s="2617">
        <v>0.32200000000000001</v>
      </c>
      <c r="J16" s="2623"/>
      <c r="K16" s="2623" t="s">
        <v>5233</v>
      </c>
      <c r="L16" s="2617">
        <v>0.37</v>
      </c>
      <c r="M16" s="2617">
        <v>0.42199999999999999</v>
      </c>
      <c r="N16" s="2617">
        <v>0.41899999999999998</v>
      </c>
      <c r="O16" s="2617">
        <v>0.437</v>
      </c>
      <c r="P16" s="2617">
        <v>0.50900000000000001</v>
      </c>
      <c r="Q16" s="2617">
        <v>0.53800000000000003</v>
      </c>
      <c r="R16" s="2630">
        <v>0.35</v>
      </c>
    </row>
    <row r="17" spans="1:18">
      <c r="A17" s="2615"/>
      <c r="B17" s="2616" t="s">
        <v>5240</v>
      </c>
      <c r="C17" s="2616" t="s">
        <v>5234</v>
      </c>
      <c r="D17" s="2617">
        <v>0.5</v>
      </c>
      <c r="E17" s="2617">
        <v>0.47899999999999998</v>
      </c>
      <c r="F17" s="2617">
        <v>0.41899999999999998</v>
      </c>
      <c r="G17" s="2617">
        <v>0.40799999999999997</v>
      </c>
      <c r="H17" s="2617">
        <v>0.35</v>
      </c>
      <c r="I17" s="2617">
        <v>0.33900000000000002</v>
      </c>
      <c r="J17" s="2623"/>
      <c r="K17" s="2623"/>
      <c r="L17" s="2617"/>
      <c r="M17" s="2617"/>
      <c r="N17" s="2617"/>
      <c r="O17" s="2617"/>
      <c r="P17" s="2617"/>
      <c r="Q17" s="2617"/>
      <c r="R17" s="2630"/>
    </row>
    <row r="18" spans="1:18">
      <c r="A18" s="2615">
        <v>0.55000000000000004</v>
      </c>
      <c r="B18" s="2616" t="s">
        <v>5241</v>
      </c>
      <c r="C18" s="2616" t="s">
        <v>5232</v>
      </c>
      <c r="D18" s="2617">
        <v>0.55000000000000004</v>
      </c>
      <c r="E18" s="2617">
        <v>0.52900000000000003</v>
      </c>
      <c r="F18" s="2617">
        <v>0.46899999999999997</v>
      </c>
      <c r="G18" s="2617">
        <v>0.45100000000000001</v>
      </c>
      <c r="H18" s="2617">
        <v>0.4</v>
      </c>
      <c r="I18" s="2617">
        <v>0.372</v>
      </c>
      <c r="J18" s="2623"/>
      <c r="K18" s="2623" t="s">
        <v>5233</v>
      </c>
      <c r="L18" s="2617">
        <v>0.42</v>
      </c>
      <c r="M18" s="2617">
        <v>0.47199999999999998</v>
      </c>
      <c r="N18" s="2617">
        <v>0.46899999999999997</v>
      </c>
      <c r="O18" s="2617">
        <v>0.48699999999999999</v>
      </c>
      <c r="P18" s="2617">
        <v>0.55900000000000005</v>
      </c>
      <c r="Q18" s="2617">
        <v>0.58799999999999997</v>
      </c>
      <c r="R18" s="2630">
        <v>0.38</v>
      </c>
    </row>
    <row r="19" spans="1:18">
      <c r="A19" s="2615"/>
      <c r="B19" s="2616" t="s">
        <v>5241</v>
      </c>
      <c r="C19" s="2616" t="s">
        <v>5234</v>
      </c>
      <c r="D19" s="2617">
        <v>0.55000000000000004</v>
      </c>
      <c r="E19" s="2617">
        <v>0.52900000000000003</v>
      </c>
      <c r="F19" s="2617">
        <v>0.46899999999999997</v>
      </c>
      <c r="G19" s="2617">
        <v>0.45800000000000002</v>
      </c>
      <c r="H19" s="2617">
        <v>0.4</v>
      </c>
      <c r="I19" s="2617">
        <v>0.38900000000000001</v>
      </c>
      <c r="J19" s="2623"/>
      <c r="K19" s="2623"/>
      <c r="L19" s="2617"/>
      <c r="M19" s="2617"/>
      <c r="N19" s="2617"/>
      <c r="O19" s="2617"/>
      <c r="P19" s="2617"/>
      <c r="Q19" s="2617"/>
      <c r="R19" s="2630"/>
    </row>
    <row r="20" spans="1:18">
      <c r="A20" s="2615">
        <v>0.6</v>
      </c>
      <c r="B20" s="2616" t="s">
        <v>5242</v>
      </c>
      <c r="C20" s="2616" t="s">
        <v>5232</v>
      </c>
      <c r="D20" s="2617">
        <v>0.6</v>
      </c>
      <c r="E20" s="2617">
        <v>0.57599999999999996</v>
      </c>
      <c r="F20" s="2617">
        <v>0.503</v>
      </c>
      <c r="G20" s="2617">
        <v>0.48299999999999998</v>
      </c>
      <c r="H20" s="2617">
        <v>0.42</v>
      </c>
      <c r="I20" s="2617">
        <v>0.38800000000000001</v>
      </c>
      <c r="J20" s="2623"/>
      <c r="K20" s="2623" t="s">
        <v>5233</v>
      </c>
      <c r="L20" s="2617">
        <v>0.44400000000000001</v>
      </c>
      <c r="M20" s="2617">
        <v>0.504</v>
      </c>
      <c r="N20" s="2617">
        <v>0.503</v>
      </c>
      <c r="O20" s="2617">
        <v>0.52300000000000002</v>
      </c>
      <c r="P20" s="2617">
        <v>0.61099999999999999</v>
      </c>
      <c r="Q20" s="2617">
        <v>0.64400000000000002</v>
      </c>
      <c r="R20" s="2630">
        <v>0.42</v>
      </c>
    </row>
    <row r="21" spans="1:18">
      <c r="A21" s="2615"/>
      <c r="B21" s="2616" t="s">
        <v>5242</v>
      </c>
      <c r="C21" s="2616" t="s">
        <v>5234</v>
      </c>
      <c r="D21" s="2617">
        <v>0.6</v>
      </c>
      <c r="E21" s="2617">
        <v>0.57599999999999996</v>
      </c>
      <c r="F21" s="2617">
        <v>0.503</v>
      </c>
      <c r="G21" s="2617">
        <v>0.49</v>
      </c>
      <c r="H21" s="2617">
        <v>0.42</v>
      </c>
      <c r="I21" s="2617">
        <v>0.40699999999999997</v>
      </c>
      <c r="J21" s="2623"/>
      <c r="K21" s="2623"/>
      <c r="L21" s="2617"/>
      <c r="M21" s="2617"/>
      <c r="N21" s="2617"/>
      <c r="O21" s="2617"/>
      <c r="P21" s="2617"/>
      <c r="Q21" s="2617"/>
      <c r="R21" s="2630"/>
    </row>
    <row r="22" spans="1:18">
      <c r="A22" s="2615">
        <v>0.7</v>
      </c>
      <c r="B22" s="2616" t="s">
        <v>5243</v>
      </c>
      <c r="C22" s="2616" t="s">
        <v>5232</v>
      </c>
      <c r="D22" s="2617">
        <v>0.7</v>
      </c>
      <c r="E22" s="2617">
        <v>0.67300000000000004</v>
      </c>
      <c r="F22" s="2617">
        <v>0.58599999999999997</v>
      </c>
      <c r="G22" s="2617">
        <v>0.56399999999999995</v>
      </c>
      <c r="H22" s="2617">
        <v>0.49</v>
      </c>
      <c r="I22" s="2617">
        <v>0.45400000000000001</v>
      </c>
      <c r="J22" s="2623"/>
      <c r="K22" s="2623" t="s">
        <v>5233</v>
      </c>
      <c r="L22" s="2617">
        <v>0.51800000000000002</v>
      </c>
      <c r="M22" s="2617">
        <v>0.58599999999999997</v>
      </c>
      <c r="N22" s="2617">
        <v>0.58599999999999997</v>
      </c>
      <c r="O22" s="2617">
        <v>0.60799999999999998</v>
      </c>
      <c r="P22" s="2617">
        <v>0.71299999999999997</v>
      </c>
      <c r="Q22" s="2617">
        <v>0.75</v>
      </c>
      <c r="R22" s="2630">
        <v>0.5</v>
      </c>
    </row>
    <row r="23" spans="1:18">
      <c r="A23" s="2615"/>
      <c r="B23" s="2616" t="s">
        <v>5243</v>
      </c>
      <c r="C23" s="2616" t="s">
        <v>5234</v>
      </c>
      <c r="D23" s="2617">
        <v>0.7</v>
      </c>
      <c r="E23" s="2617">
        <v>0.67300000000000004</v>
      </c>
      <c r="F23" s="2617">
        <v>0.58599999999999997</v>
      </c>
      <c r="G23" s="2617">
        <v>0.57199999999999995</v>
      </c>
      <c r="H23" s="2617">
        <v>0.49</v>
      </c>
      <c r="I23" s="2617">
        <v>0.47599999999999998</v>
      </c>
      <c r="J23" s="2623"/>
      <c r="K23" s="2623"/>
      <c r="L23" s="2617"/>
      <c r="M23" s="2617"/>
      <c r="N23" s="2617"/>
      <c r="O23" s="2617"/>
      <c r="P23" s="2617"/>
      <c r="Q23" s="2617"/>
      <c r="R23" s="2630"/>
    </row>
    <row r="24" spans="1:18">
      <c r="A24" s="2615">
        <v>0.8</v>
      </c>
      <c r="B24" s="2616" t="s">
        <v>5244</v>
      </c>
      <c r="C24" s="2616" t="s">
        <v>5232</v>
      </c>
      <c r="D24" s="2617">
        <v>0.8</v>
      </c>
      <c r="E24" s="2617">
        <v>0.77</v>
      </c>
      <c r="F24" s="2617">
        <v>0.67</v>
      </c>
      <c r="G24" s="2617">
        <v>0.64600000000000002</v>
      </c>
      <c r="H24" s="2617">
        <v>0.56000000000000005</v>
      </c>
      <c r="I24" s="2617">
        <v>0.52</v>
      </c>
      <c r="J24" s="2623"/>
      <c r="K24" s="2623" t="s">
        <v>5233</v>
      </c>
      <c r="L24" s="2617">
        <v>0.59199999999999997</v>
      </c>
      <c r="M24" s="2617">
        <v>0.66800000000000004</v>
      </c>
      <c r="N24" s="2617">
        <v>0.67</v>
      </c>
      <c r="O24" s="2617">
        <v>0.69399999999999995</v>
      </c>
      <c r="P24" s="2617">
        <v>0.81399999999999995</v>
      </c>
      <c r="Q24" s="2617">
        <v>0.85599999999999998</v>
      </c>
      <c r="R24" s="2630">
        <v>0.56000000000000005</v>
      </c>
    </row>
    <row r="25" spans="1:18">
      <c r="A25" s="2615"/>
      <c r="B25" s="2616" t="s">
        <v>5244</v>
      </c>
      <c r="C25" s="2616" t="s">
        <v>5234</v>
      </c>
      <c r="D25" s="2617">
        <v>0.8</v>
      </c>
      <c r="E25" s="2617">
        <v>0.77</v>
      </c>
      <c r="F25" s="2617">
        <v>0.67</v>
      </c>
      <c r="G25" s="2617">
        <v>0.65500000000000003</v>
      </c>
      <c r="H25" s="2617">
        <v>0.56000000000000005</v>
      </c>
      <c r="I25" s="2617">
        <v>0.54500000000000004</v>
      </c>
      <c r="J25" s="2623"/>
      <c r="K25" s="2623"/>
      <c r="L25" s="2617"/>
      <c r="M25" s="2617"/>
      <c r="N25" s="2617"/>
      <c r="O25" s="2617"/>
      <c r="P25" s="2617"/>
      <c r="Q25" s="2617"/>
      <c r="R25" s="2630"/>
    </row>
    <row r="26" spans="1:18">
      <c r="A26" s="2615">
        <v>0.9</v>
      </c>
      <c r="B26" s="2616" t="s">
        <v>5245</v>
      </c>
      <c r="C26" s="2616" t="s">
        <v>5232</v>
      </c>
      <c r="D26" s="2617">
        <v>0.9</v>
      </c>
      <c r="E26" s="2617">
        <v>0.86699999999999999</v>
      </c>
      <c r="F26" s="2617">
        <v>0.754</v>
      </c>
      <c r="G26" s="2617">
        <v>0.72799999999999998</v>
      </c>
      <c r="H26" s="2617">
        <v>0.63</v>
      </c>
      <c r="I26" s="2617">
        <v>0.58599999999999997</v>
      </c>
      <c r="J26" s="2623"/>
      <c r="K26" s="2623" t="s">
        <v>5233</v>
      </c>
      <c r="L26" s="2617">
        <v>0.66600000000000004</v>
      </c>
      <c r="M26" s="2617">
        <v>0.75</v>
      </c>
      <c r="N26" s="2617">
        <v>0.754</v>
      </c>
      <c r="O26" s="2617">
        <v>0.78</v>
      </c>
      <c r="P26" s="2617">
        <v>0.91600000000000004</v>
      </c>
      <c r="Q26" s="2617">
        <v>0.96199999999999997</v>
      </c>
      <c r="R26" s="2630">
        <v>0.63</v>
      </c>
    </row>
    <row r="27" spans="1:18">
      <c r="A27" s="2615"/>
      <c r="B27" s="2616" t="s">
        <v>5245</v>
      </c>
      <c r="C27" s="2616" t="s">
        <v>5234</v>
      </c>
      <c r="D27" s="2617">
        <v>0.9</v>
      </c>
      <c r="E27" s="2617">
        <v>0.86699999999999999</v>
      </c>
      <c r="F27" s="2617">
        <v>0.754</v>
      </c>
      <c r="G27" s="2617">
        <v>0.73799999999999999</v>
      </c>
      <c r="H27" s="2617">
        <v>0.63</v>
      </c>
      <c r="I27" s="2617">
        <v>0.61399999999999999</v>
      </c>
      <c r="J27" s="2623"/>
      <c r="K27" s="2623"/>
      <c r="L27" s="2617"/>
      <c r="M27" s="2617"/>
      <c r="N27" s="2617"/>
      <c r="O27" s="2617"/>
      <c r="P27" s="2617"/>
      <c r="Q27" s="2617"/>
      <c r="R27" s="2630"/>
    </row>
    <row r="28" spans="1:18">
      <c r="A28" s="2615">
        <v>1</v>
      </c>
      <c r="B28" s="2618" t="s">
        <v>5246</v>
      </c>
      <c r="C28" s="2619" t="s">
        <v>5232</v>
      </c>
      <c r="D28" s="2620">
        <v>0.98199999999999998</v>
      </c>
      <c r="E28" s="2620">
        <v>0.91500000000000004</v>
      </c>
      <c r="F28" s="2621">
        <v>0.81962025000000005</v>
      </c>
      <c r="G28" s="2621">
        <v>0.76662025</v>
      </c>
      <c r="H28" s="2621">
        <v>0.71136699999999997</v>
      </c>
      <c r="I28" s="2620">
        <v>0.61261399999999999</v>
      </c>
      <c r="J28" s="2626"/>
      <c r="K28" s="2623" t="s">
        <v>5233</v>
      </c>
      <c r="L28" s="2617">
        <v>0.72936699999999999</v>
      </c>
      <c r="M28" s="2617">
        <v>0.80936699999999995</v>
      </c>
      <c r="N28" s="2617">
        <v>0.83762024999999996</v>
      </c>
      <c r="O28" s="2617">
        <v>0.90862025000000002</v>
      </c>
      <c r="P28" s="2617">
        <v>1</v>
      </c>
      <c r="Q28" s="2617">
        <v>1.1070845</v>
      </c>
      <c r="R28" s="2630">
        <v>0.7</v>
      </c>
    </row>
    <row r="29" spans="1:18">
      <c r="A29" s="2615"/>
      <c r="B29" s="2618" t="s">
        <v>5246</v>
      </c>
      <c r="C29" s="2619" t="s">
        <v>5234</v>
      </c>
      <c r="D29" s="2620">
        <v>0.98199999999999998</v>
      </c>
      <c r="E29" s="2620">
        <v>0.91500000000000004</v>
      </c>
      <c r="F29" s="2621">
        <v>0.81962025000000005</v>
      </c>
      <c r="G29" s="2621">
        <v>0.78662025000000002</v>
      </c>
      <c r="H29" s="2621">
        <v>0.71136699999999997</v>
      </c>
      <c r="I29" s="2620">
        <v>0.63261400000000001</v>
      </c>
      <c r="J29" s="2626"/>
      <c r="K29" s="2623"/>
      <c r="L29" s="2617"/>
      <c r="M29" s="2617"/>
      <c r="N29" s="2617"/>
      <c r="O29" s="2617"/>
      <c r="P29" s="2617"/>
      <c r="Q29" s="2617"/>
      <c r="R29" s="2630"/>
    </row>
    <row r="30" spans="1:18">
      <c r="A30" s="2615"/>
      <c r="B30" s="2618" t="s">
        <v>5247</v>
      </c>
      <c r="C30" s="2619" t="s">
        <v>5232</v>
      </c>
      <c r="D30" s="2620">
        <v>0.98299999999999998</v>
      </c>
      <c r="E30" s="2620">
        <v>0.92700000000000005</v>
      </c>
      <c r="F30" s="2621">
        <v>0.85309619999999997</v>
      </c>
      <c r="G30" s="2621">
        <v>0.80509620000000004</v>
      </c>
      <c r="H30" s="2621">
        <v>0.7664936</v>
      </c>
      <c r="I30" s="2620">
        <v>0.68189120000000003</v>
      </c>
      <c r="J30" s="2626"/>
      <c r="K30" s="2623" t="s">
        <v>5233</v>
      </c>
      <c r="L30" s="2617">
        <v>0.78349360000000001</v>
      </c>
      <c r="M30" s="2617">
        <v>0.85849359999999997</v>
      </c>
      <c r="N30" s="2617">
        <v>0.87009619999999999</v>
      </c>
      <c r="O30" s="2617">
        <v>0.93345619999999996</v>
      </c>
      <c r="P30" s="2617">
        <v>1</v>
      </c>
      <c r="Q30" s="2617">
        <v>1.0922276</v>
      </c>
      <c r="R30" s="2630">
        <v>0.7</v>
      </c>
    </row>
    <row r="31" spans="1:18">
      <c r="A31" s="2615"/>
      <c r="B31" s="2618" t="s">
        <v>5247</v>
      </c>
      <c r="C31" s="2619" t="s">
        <v>5234</v>
      </c>
      <c r="D31" s="2620">
        <v>0.98299999999999998</v>
      </c>
      <c r="E31" s="2620">
        <v>0.92700000000000005</v>
      </c>
      <c r="F31" s="2621">
        <v>0.85309619999999997</v>
      </c>
      <c r="G31" s="2621">
        <v>0.82309619999999994</v>
      </c>
      <c r="H31" s="2621">
        <v>0.7664936</v>
      </c>
      <c r="I31" s="2620">
        <v>0.69989120000000005</v>
      </c>
      <c r="J31" s="2626"/>
      <c r="K31" s="2623"/>
      <c r="L31" s="2617"/>
      <c r="M31" s="2617"/>
      <c r="N31" s="2617"/>
      <c r="O31" s="2617"/>
      <c r="P31" s="2617"/>
      <c r="Q31" s="2617"/>
      <c r="R31" s="2630"/>
    </row>
    <row r="32" spans="1:18">
      <c r="A32" s="2615">
        <v>1.1000000000000001</v>
      </c>
      <c r="B32" s="2618" t="s">
        <v>5248</v>
      </c>
      <c r="C32" s="2619" t="s">
        <v>5232</v>
      </c>
      <c r="D32" s="2620">
        <v>1.0820000000000001</v>
      </c>
      <c r="E32" s="2620">
        <v>1.0149999999999999</v>
      </c>
      <c r="F32" s="2621">
        <v>0.91962025000000003</v>
      </c>
      <c r="G32" s="2621">
        <v>0.86662024999999998</v>
      </c>
      <c r="H32" s="2621">
        <v>0.81136699999999995</v>
      </c>
      <c r="I32" s="2620">
        <v>0.71261399999999997</v>
      </c>
      <c r="J32" s="2626"/>
      <c r="K32" s="2623" t="s">
        <v>5233</v>
      </c>
      <c r="L32" s="2617">
        <v>0.82936699999999997</v>
      </c>
      <c r="M32" s="2617">
        <v>0.90936700000000004</v>
      </c>
      <c r="N32" s="2617">
        <v>0.93762025000000004</v>
      </c>
      <c r="O32" s="2617">
        <v>1.0086202500000001</v>
      </c>
      <c r="P32" s="2617">
        <v>1.1000000000000001</v>
      </c>
      <c r="Q32" s="2617">
        <v>1.2070844999999999</v>
      </c>
      <c r="R32" s="2630">
        <v>0.8</v>
      </c>
    </row>
    <row r="33" spans="1:18">
      <c r="A33" s="2615"/>
      <c r="B33" s="2618" t="s">
        <v>5248</v>
      </c>
      <c r="C33" s="2619" t="s">
        <v>5234</v>
      </c>
      <c r="D33" s="2620">
        <v>1.0820000000000001</v>
      </c>
      <c r="E33" s="2620">
        <v>1.0149999999999999</v>
      </c>
      <c r="F33" s="2621">
        <v>0.91962025000000003</v>
      </c>
      <c r="G33" s="2621">
        <v>0.88762025</v>
      </c>
      <c r="H33" s="2621">
        <v>0.81136699999999995</v>
      </c>
      <c r="I33" s="2620">
        <v>0.73361399999999999</v>
      </c>
      <c r="J33" s="2626"/>
      <c r="K33" s="2623"/>
      <c r="L33" s="2617"/>
      <c r="M33" s="2617"/>
      <c r="N33" s="2617"/>
      <c r="O33" s="2617"/>
      <c r="P33" s="2617"/>
      <c r="Q33" s="2617"/>
      <c r="R33" s="2630"/>
    </row>
    <row r="34" spans="1:18">
      <c r="A34" s="2615"/>
      <c r="B34" s="2618" t="s">
        <v>5249</v>
      </c>
      <c r="C34" s="2619" t="s">
        <v>5232</v>
      </c>
      <c r="D34" s="2620">
        <v>1.083</v>
      </c>
      <c r="E34" s="2620">
        <v>1.0269999999999999</v>
      </c>
      <c r="F34" s="2621">
        <v>0.95309619999999995</v>
      </c>
      <c r="G34" s="2621">
        <v>0.90509620000000002</v>
      </c>
      <c r="H34" s="2621">
        <v>0.86649359999999997</v>
      </c>
      <c r="I34" s="2620">
        <v>0.78189120000000001</v>
      </c>
      <c r="J34" s="2626"/>
      <c r="K34" s="2623" t="s">
        <v>5233</v>
      </c>
      <c r="L34" s="2617">
        <v>0.88349359999999999</v>
      </c>
      <c r="M34" s="2617">
        <v>0.95849359999999995</v>
      </c>
      <c r="N34" s="2617">
        <v>0.97009619999999996</v>
      </c>
      <c r="O34" s="2617">
        <v>1.0334562</v>
      </c>
      <c r="P34" s="2617">
        <v>1.1000000000000001</v>
      </c>
      <c r="Q34" s="2617">
        <v>1.1922276000000001</v>
      </c>
      <c r="R34" s="2630">
        <v>0.8</v>
      </c>
    </row>
    <row r="35" spans="1:18">
      <c r="A35" s="2615"/>
      <c r="B35" s="2618" t="s">
        <v>5249</v>
      </c>
      <c r="C35" s="2619" t="s">
        <v>5234</v>
      </c>
      <c r="D35" s="2620">
        <v>1.083</v>
      </c>
      <c r="E35" s="2620">
        <v>1.0269999999999999</v>
      </c>
      <c r="F35" s="2621">
        <v>0.95309619999999995</v>
      </c>
      <c r="G35" s="2621">
        <v>0.92309620000000003</v>
      </c>
      <c r="H35" s="2621">
        <v>0.86649359999999997</v>
      </c>
      <c r="I35" s="2620">
        <v>0.79989120000000002</v>
      </c>
      <c r="J35" s="2626"/>
      <c r="K35" s="2623"/>
      <c r="L35" s="2617"/>
      <c r="M35" s="2617"/>
      <c r="N35" s="2617"/>
      <c r="O35" s="2617"/>
      <c r="P35" s="2617"/>
      <c r="Q35" s="2617"/>
      <c r="R35" s="2630"/>
    </row>
    <row r="36" spans="1:18">
      <c r="A36" s="2615">
        <v>1.2</v>
      </c>
      <c r="B36" s="2618" t="s">
        <v>5250</v>
      </c>
      <c r="C36" s="2619" t="s">
        <v>5232</v>
      </c>
      <c r="D36" s="2620">
        <v>1.1819999999999999</v>
      </c>
      <c r="E36" s="2620">
        <v>1.115</v>
      </c>
      <c r="F36" s="2621">
        <v>1.01962025</v>
      </c>
      <c r="G36" s="2621">
        <v>0.96662024999999996</v>
      </c>
      <c r="H36" s="2621">
        <v>0.91136700000000004</v>
      </c>
      <c r="I36" s="2620">
        <v>0.81261399999999995</v>
      </c>
      <c r="J36" s="2626"/>
      <c r="K36" s="2623" t="s">
        <v>5233</v>
      </c>
      <c r="L36" s="2617">
        <v>0.92936700000000005</v>
      </c>
      <c r="M36" s="2617">
        <v>1.0093669999999999</v>
      </c>
      <c r="N36" s="2617">
        <v>1.03762025</v>
      </c>
      <c r="O36" s="2617">
        <v>1.10862025</v>
      </c>
      <c r="P36" s="2617">
        <v>1.2</v>
      </c>
      <c r="Q36" s="2617">
        <v>1.3070845</v>
      </c>
      <c r="R36" s="2630">
        <v>0.9</v>
      </c>
    </row>
    <row r="37" spans="1:18">
      <c r="A37" s="2615"/>
      <c r="B37" s="2618" t="s">
        <v>5250</v>
      </c>
      <c r="C37" s="2619" t="s">
        <v>5234</v>
      </c>
      <c r="D37" s="2620">
        <v>1.1819999999999999</v>
      </c>
      <c r="E37" s="2620">
        <v>1.115</v>
      </c>
      <c r="F37" s="2621">
        <v>1.01962025</v>
      </c>
      <c r="G37" s="2621">
        <v>0.98662024999999998</v>
      </c>
      <c r="H37" s="2621">
        <v>0.91136700000000004</v>
      </c>
      <c r="I37" s="2620">
        <v>0.83261399999999997</v>
      </c>
      <c r="J37" s="2626"/>
      <c r="K37" s="2623"/>
      <c r="L37" s="2617"/>
      <c r="M37" s="2617"/>
      <c r="N37" s="2617"/>
      <c r="O37" s="2617"/>
      <c r="P37" s="2617"/>
      <c r="Q37" s="2617"/>
      <c r="R37" s="2630"/>
    </row>
    <row r="38" spans="1:18">
      <c r="A38" s="2615"/>
      <c r="B38" s="2618" t="s">
        <v>5251</v>
      </c>
      <c r="C38" s="2619" t="s">
        <v>5232</v>
      </c>
      <c r="D38" s="2620">
        <v>1.1830000000000001</v>
      </c>
      <c r="E38" s="2620">
        <v>1.127</v>
      </c>
      <c r="F38" s="2621">
        <v>1.0530961999999999</v>
      </c>
      <c r="G38" s="2621">
        <v>1.0050962000000001</v>
      </c>
      <c r="H38" s="2621">
        <v>0.96649359999999995</v>
      </c>
      <c r="I38" s="2620">
        <v>0.88189119999999999</v>
      </c>
      <c r="J38" s="2626"/>
      <c r="K38" s="2623" t="s">
        <v>5233</v>
      </c>
      <c r="L38" s="2617">
        <v>0.98349359999999997</v>
      </c>
      <c r="M38" s="2617">
        <v>1.0584936</v>
      </c>
      <c r="N38" s="2617">
        <v>1.0700962000000001</v>
      </c>
      <c r="O38" s="2617">
        <v>1.1334561999999999</v>
      </c>
      <c r="P38" s="2617">
        <v>1.2</v>
      </c>
      <c r="Q38" s="2617">
        <v>1.2922275999999999</v>
      </c>
      <c r="R38" s="2630">
        <v>0.9</v>
      </c>
    </row>
    <row r="39" spans="1:18">
      <c r="A39" s="2615"/>
      <c r="B39" s="2618" t="s">
        <v>5251</v>
      </c>
      <c r="C39" s="2619" t="s">
        <v>5234</v>
      </c>
      <c r="D39" s="2620">
        <v>1.1830000000000001</v>
      </c>
      <c r="E39" s="2620">
        <v>1.127</v>
      </c>
      <c r="F39" s="2621">
        <v>1.0530961999999999</v>
      </c>
      <c r="G39" s="2621">
        <v>1.0230961999999999</v>
      </c>
      <c r="H39" s="2621">
        <v>0.96649359999999995</v>
      </c>
      <c r="I39" s="2620">
        <v>0.8998912</v>
      </c>
      <c r="J39" s="2626"/>
      <c r="K39" s="2623"/>
      <c r="L39" s="2617"/>
      <c r="M39" s="2617"/>
      <c r="N39" s="2617"/>
      <c r="O39" s="2617"/>
      <c r="P39" s="2617"/>
      <c r="Q39" s="2617"/>
      <c r="R39" s="2630"/>
    </row>
    <row r="40" spans="1:18">
      <c r="A40" s="2615">
        <v>1.4</v>
      </c>
      <c r="B40" s="2618" t="s">
        <v>5252</v>
      </c>
      <c r="C40" s="2619" t="s">
        <v>5232</v>
      </c>
      <c r="D40" s="2620">
        <v>1.383</v>
      </c>
      <c r="E40" s="2620">
        <v>1.3080000000000001</v>
      </c>
      <c r="F40" s="2621">
        <v>1.2530962000000001</v>
      </c>
      <c r="G40" s="2621">
        <v>1.1930962000000001</v>
      </c>
      <c r="H40" s="2621">
        <v>1.1664935999999999</v>
      </c>
      <c r="I40" s="2620">
        <v>1.0698912</v>
      </c>
      <c r="J40" s="2626"/>
      <c r="K40" s="2623" t="s">
        <v>5233</v>
      </c>
      <c r="L40" s="2617">
        <v>1.1834936</v>
      </c>
      <c r="M40" s="2617">
        <v>1.2584936</v>
      </c>
      <c r="N40" s="2617">
        <v>1.2700962</v>
      </c>
      <c r="O40" s="2617">
        <v>1.3500962000000001</v>
      </c>
      <c r="P40" s="2617">
        <v>1.4</v>
      </c>
      <c r="Q40" s="2617">
        <v>1.5088676000000001</v>
      </c>
      <c r="R40" s="2630">
        <v>1.2</v>
      </c>
    </row>
    <row r="41" spans="1:18">
      <c r="A41" s="2615"/>
      <c r="B41" s="2618" t="s">
        <v>5252</v>
      </c>
      <c r="C41" s="2619" t="s">
        <v>5234</v>
      </c>
      <c r="D41" s="2620">
        <v>1.383</v>
      </c>
      <c r="E41" s="2620">
        <v>1.3080000000000001</v>
      </c>
      <c r="F41" s="2621">
        <v>1.2530962000000001</v>
      </c>
      <c r="G41" s="2621">
        <v>1.2150962000000001</v>
      </c>
      <c r="H41" s="2621">
        <v>1.1664935999999999</v>
      </c>
      <c r="I41" s="2620">
        <v>1.0918912000000001</v>
      </c>
      <c r="J41" s="2626"/>
      <c r="K41" s="2623"/>
      <c r="L41" s="2617"/>
      <c r="M41" s="2617"/>
      <c r="N41" s="2617"/>
      <c r="O41" s="2617"/>
      <c r="P41" s="2617"/>
      <c r="Q41" s="2617"/>
      <c r="R41" s="2630"/>
    </row>
    <row r="42" spans="1:18">
      <c r="A42" s="2615"/>
      <c r="B42" s="2618" t="s">
        <v>5253</v>
      </c>
      <c r="C42" s="2619" t="s">
        <v>5232</v>
      </c>
      <c r="D42" s="2620">
        <v>1.383</v>
      </c>
      <c r="E42" s="2620">
        <v>1.327</v>
      </c>
      <c r="F42" s="2621">
        <v>1.2530962000000001</v>
      </c>
      <c r="G42" s="2621">
        <v>1.2050962000000001</v>
      </c>
      <c r="H42" s="2621">
        <v>1.1664935999999999</v>
      </c>
      <c r="I42" s="2620">
        <v>1.0818912000000001</v>
      </c>
      <c r="J42" s="2626"/>
      <c r="K42" s="2623" t="s">
        <v>5233</v>
      </c>
      <c r="L42" s="2617">
        <v>1.1834936</v>
      </c>
      <c r="M42" s="2617">
        <v>1.2584936</v>
      </c>
      <c r="N42" s="2617">
        <v>1.2700962</v>
      </c>
      <c r="O42" s="2617">
        <v>1.3334562000000001</v>
      </c>
      <c r="P42" s="2617">
        <v>1.4</v>
      </c>
      <c r="Q42" s="2617">
        <v>1.4922276000000001</v>
      </c>
      <c r="R42" s="2630">
        <v>1.2</v>
      </c>
    </row>
    <row r="43" spans="1:18">
      <c r="A43" s="2615"/>
      <c r="B43" s="2618" t="s">
        <v>5253</v>
      </c>
      <c r="C43" s="2619" t="s">
        <v>5234</v>
      </c>
      <c r="D43" s="2620">
        <v>1.383</v>
      </c>
      <c r="E43" s="2620">
        <v>1.327</v>
      </c>
      <c r="F43" s="2621">
        <v>1.2530962000000001</v>
      </c>
      <c r="G43" s="2621">
        <v>1.2230962000000001</v>
      </c>
      <c r="H43" s="2621">
        <v>1.1664935999999999</v>
      </c>
      <c r="I43" s="2620">
        <v>1.0998912000000001</v>
      </c>
      <c r="J43" s="2626"/>
      <c r="K43" s="2623"/>
      <c r="L43" s="2617"/>
      <c r="M43" s="2617"/>
      <c r="N43" s="2617"/>
      <c r="O43" s="2617"/>
      <c r="P43" s="2617"/>
      <c r="Q43" s="2617"/>
      <c r="R43" s="2630"/>
    </row>
    <row r="44" spans="1:18">
      <c r="A44" s="2615">
        <v>1.6</v>
      </c>
      <c r="B44" s="2622" t="s">
        <v>5254</v>
      </c>
      <c r="C44" s="2622" t="s">
        <v>5232</v>
      </c>
      <c r="D44" s="2623">
        <v>1.581</v>
      </c>
      <c r="E44" s="2623">
        <v>1.496</v>
      </c>
      <c r="F44" s="2623">
        <v>1.3540000000000001</v>
      </c>
      <c r="G44" s="2623">
        <v>1.2909999999999999</v>
      </c>
      <c r="H44" s="2623">
        <v>1.202</v>
      </c>
      <c r="I44" s="2623">
        <v>1.075</v>
      </c>
      <c r="J44" s="2623"/>
      <c r="K44" s="2623" t="s">
        <v>5233</v>
      </c>
      <c r="L44" s="2623">
        <v>1.2210000000000001</v>
      </c>
      <c r="M44" s="2623">
        <v>1.321</v>
      </c>
      <c r="N44" s="2623">
        <v>1.373</v>
      </c>
      <c r="O44" s="2623">
        <v>1.458</v>
      </c>
      <c r="P44" s="2623">
        <v>1.6</v>
      </c>
      <c r="Q44" s="2623">
        <v>1.736</v>
      </c>
      <c r="R44" s="2631">
        <v>1.25</v>
      </c>
    </row>
    <row r="45" spans="1:18">
      <c r="A45" s="2615"/>
      <c r="B45" s="2622" t="s">
        <v>5254</v>
      </c>
      <c r="C45" s="2622" t="s">
        <v>5234</v>
      </c>
      <c r="D45" s="2623">
        <v>1.581</v>
      </c>
      <c r="E45" s="2623">
        <v>1.496</v>
      </c>
      <c r="F45" s="2623">
        <v>1.3540000000000001</v>
      </c>
      <c r="G45" s="2623">
        <v>1.3140000000000001</v>
      </c>
      <c r="H45" s="2623">
        <v>1.202</v>
      </c>
      <c r="I45" s="2623">
        <v>1.0980000000000001</v>
      </c>
      <c r="J45" s="2623"/>
      <c r="K45" s="2623"/>
      <c r="L45" s="2623"/>
      <c r="M45" s="2623"/>
      <c r="N45" s="2623"/>
      <c r="O45" s="2623"/>
      <c r="P45" s="2623"/>
      <c r="Q45" s="2623"/>
      <c r="R45" s="2631"/>
    </row>
    <row r="46" spans="1:18">
      <c r="A46" s="2615"/>
      <c r="B46" s="2622" t="s">
        <v>5255</v>
      </c>
      <c r="C46" s="2622" t="s">
        <v>5232</v>
      </c>
      <c r="D46" s="2623">
        <v>1.5820000000000001</v>
      </c>
      <c r="E46" s="2623">
        <v>1.5069999999999999</v>
      </c>
      <c r="F46" s="2623">
        <v>1.3871443000000001</v>
      </c>
      <c r="G46" s="2623">
        <v>1.3421443</v>
      </c>
      <c r="H46" s="2623">
        <v>1.2572403999999999</v>
      </c>
      <c r="I46" s="2623">
        <v>1.1573367999999999</v>
      </c>
      <c r="J46" s="2623"/>
      <c r="K46" s="2623" t="s">
        <v>5233</v>
      </c>
      <c r="L46" s="2623">
        <v>1.2752403999999999</v>
      </c>
      <c r="M46" s="2623">
        <v>1.3602403999999999</v>
      </c>
      <c r="N46" s="2623">
        <v>1.4051442999999999</v>
      </c>
      <c r="O46" s="2623">
        <v>1.4651443</v>
      </c>
      <c r="P46" s="2623">
        <v>1.6</v>
      </c>
      <c r="Q46" s="2623">
        <v>1.7033014</v>
      </c>
      <c r="R46" s="2631">
        <v>1.25</v>
      </c>
    </row>
    <row r="47" spans="1:18">
      <c r="A47" s="2615"/>
      <c r="B47" s="2622" t="s">
        <v>5255</v>
      </c>
      <c r="C47" s="2622" t="s">
        <v>5234</v>
      </c>
      <c r="D47" s="2623">
        <v>1.5820000000000001</v>
      </c>
      <c r="E47" s="2623">
        <v>1.5069999999999999</v>
      </c>
      <c r="F47" s="2623">
        <v>1.3871443000000001</v>
      </c>
      <c r="G47" s="2623">
        <v>1.3591443000000001</v>
      </c>
      <c r="H47" s="2623">
        <v>1.2572403999999999</v>
      </c>
      <c r="I47" s="2623">
        <v>1.1743368000000001</v>
      </c>
      <c r="J47" s="2623"/>
      <c r="K47" s="2623"/>
      <c r="L47" s="2623"/>
      <c r="M47" s="2623"/>
      <c r="N47" s="2623"/>
      <c r="O47" s="2623"/>
      <c r="P47" s="2623"/>
      <c r="Q47" s="2623"/>
      <c r="R47" s="2631"/>
    </row>
    <row r="48" spans="1:18">
      <c r="A48" s="2615"/>
      <c r="B48" s="2618" t="s">
        <v>5256</v>
      </c>
      <c r="C48" s="2623" t="s">
        <v>5232</v>
      </c>
      <c r="D48" s="2617">
        <v>1.583</v>
      </c>
      <c r="E48" s="2617">
        <v>1.5269999999999999</v>
      </c>
      <c r="F48" s="2617">
        <v>1.4530962000000001</v>
      </c>
      <c r="G48" s="2617">
        <v>1.4030962</v>
      </c>
      <c r="H48" s="2617">
        <v>1.3664936000000001</v>
      </c>
      <c r="I48" s="2617">
        <v>1.2798912</v>
      </c>
      <c r="J48" s="2617"/>
      <c r="K48" s="2616" t="s">
        <v>5233</v>
      </c>
      <c r="L48" s="2616">
        <v>1.3834936</v>
      </c>
      <c r="M48" s="2616">
        <v>1.4584935999999999</v>
      </c>
      <c r="N48" s="2616">
        <v>1.4700962</v>
      </c>
      <c r="O48" s="2616">
        <v>1.5370961999999999</v>
      </c>
      <c r="P48" s="2616">
        <v>1.6</v>
      </c>
      <c r="Q48" s="2616">
        <v>1.6958675999999999</v>
      </c>
      <c r="R48" s="2632">
        <v>1.25</v>
      </c>
    </row>
    <row r="49" spans="1:18">
      <c r="A49" s="2615"/>
      <c r="B49" s="2618" t="s">
        <v>5256</v>
      </c>
      <c r="C49" s="2623" t="s">
        <v>5234</v>
      </c>
      <c r="D49" s="2617">
        <v>1.583</v>
      </c>
      <c r="E49" s="2617">
        <v>1.5269999999999999</v>
      </c>
      <c r="F49" s="2617">
        <v>1.4530962000000001</v>
      </c>
      <c r="G49" s="2617">
        <v>1.4210962</v>
      </c>
      <c r="H49" s="2617">
        <v>1.3664936000000001</v>
      </c>
      <c r="I49" s="2617">
        <v>1.2978912</v>
      </c>
      <c r="J49" s="2617"/>
      <c r="K49" s="2616"/>
      <c r="L49" s="2616"/>
      <c r="M49" s="2616"/>
      <c r="N49" s="2616"/>
      <c r="O49" s="2616"/>
      <c r="P49" s="2616"/>
      <c r="Q49" s="2616"/>
      <c r="R49" s="2632"/>
    </row>
    <row r="50" spans="1:18">
      <c r="A50" s="2615">
        <v>1.7</v>
      </c>
      <c r="B50" s="2618" t="s">
        <v>5257</v>
      </c>
      <c r="C50" s="2622" t="s">
        <v>5232</v>
      </c>
      <c r="D50" s="2623">
        <v>1.681</v>
      </c>
      <c r="E50" s="2623">
        <v>1.5960000000000001</v>
      </c>
      <c r="F50" s="2623">
        <v>1.4536683500000001</v>
      </c>
      <c r="G50" s="2623">
        <v>1.3906683500000001</v>
      </c>
      <c r="H50" s="2623">
        <v>1.3021138000000001</v>
      </c>
      <c r="I50" s="2623">
        <v>1.1750596</v>
      </c>
      <c r="J50" s="2623"/>
      <c r="K50" s="2623" t="s">
        <v>5233</v>
      </c>
      <c r="L50" s="2623">
        <v>1.3211138</v>
      </c>
      <c r="M50" s="2623">
        <v>1.4211138000000001</v>
      </c>
      <c r="N50" s="2623">
        <v>1.47266835</v>
      </c>
      <c r="O50" s="2623">
        <v>1.5576683499999999</v>
      </c>
      <c r="P50" s="2623">
        <v>1.7</v>
      </c>
      <c r="Q50" s="2623">
        <v>1.8355182999999999</v>
      </c>
      <c r="R50" s="2631">
        <v>1.3</v>
      </c>
    </row>
    <row r="51" spans="1:18">
      <c r="A51" s="2615"/>
      <c r="B51" s="2618" t="s">
        <v>5257</v>
      </c>
      <c r="C51" s="2622" t="s">
        <v>5234</v>
      </c>
      <c r="D51" s="2623">
        <v>1.681</v>
      </c>
      <c r="E51" s="2623">
        <v>1.5960000000000001</v>
      </c>
      <c r="F51" s="2623">
        <v>1.4536683500000001</v>
      </c>
      <c r="G51" s="2623">
        <v>1.41366835</v>
      </c>
      <c r="H51" s="2623">
        <v>1.3021138000000001</v>
      </c>
      <c r="I51" s="2623">
        <v>1.1980595999999999</v>
      </c>
      <c r="J51" s="2623"/>
      <c r="K51" s="2623"/>
      <c r="L51" s="2623"/>
      <c r="M51" s="2623"/>
      <c r="N51" s="2623"/>
      <c r="O51" s="2623"/>
      <c r="P51" s="2623"/>
      <c r="Q51" s="2623"/>
      <c r="R51" s="2631"/>
    </row>
    <row r="52" spans="1:18">
      <c r="A52" s="2615">
        <v>1.8</v>
      </c>
      <c r="B52" s="2618" t="s">
        <v>5258</v>
      </c>
      <c r="C52" s="2622" t="s">
        <v>5232</v>
      </c>
      <c r="D52" s="2623">
        <v>1.7809999999999999</v>
      </c>
      <c r="E52" s="2623">
        <v>1.696</v>
      </c>
      <c r="F52" s="2623">
        <v>1.5536683499999999</v>
      </c>
      <c r="G52" s="2623">
        <v>1.49066835</v>
      </c>
      <c r="H52" s="2623">
        <v>1.4021138</v>
      </c>
      <c r="I52" s="2623">
        <v>1.2750596000000001</v>
      </c>
      <c r="J52" s="2623"/>
      <c r="K52" s="2623" t="s">
        <v>5233</v>
      </c>
      <c r="L52" s="2623">
        <v>1.4211138000000001</v>
      </c>
      <c r="M52" s="2623">
        <v>1.5211138</v>
      </c>
      <c r="N52" s="2623">
        <v>1.57266835</v>
      </c>
      <c r="O52" s="2623">
        <v>1.65766835</v>
      </c>
      <c r="P52" s="2623">
        <v>1.8</v>
      </c>
      <c r="Q52" s="2623">
        <v>1.9355183</v>
      </c>
      <c r="R52" s="2631">
        <v>1.5</v>
      </c>
    </row>
    <row r="53" spans="1:18">
      <c r="A53" s="2615"/>
      <c r="B53" s="2618" t="s">
        <v>5258</v>
      </c>
      <c r="C53" s="2622" t="s">
        <v>5234</v>
      </c>
      <c r="D53" s="2623">
        <v>1.7809999999999999</v>
      </c>
      <c r="E53" s="2623">
        <v>1.696</v>
      </c>
      <c r="F53" s="2623">
        <v>1.5536683499999999</v>
      </c>
      <c r="G53" s="2623">
        <v>1.5139783499999999</v>
      </c>
      <c r="H53" s="2623">
        <v>1.4021138</v>
      </c>
      <c r="I53" s="2623">
        <v>1.2983696</v>
      </c>
      <c r="J53" s="2623"/>
      <c r="K53" s="2623"/>
      <c r="L53" s="2623"/>
      <c r="M53" s="2623"/>
      <c r="N53" s="2623"/>
      <c r="O53" s="2623"/>
      <c r="P53" s="2623"/>
      <c r="Q53" s="2623"/>
      <c r="R53" s="2631"/>
    </row>
    <row r="54" spans="1:18">
      <c r="A54" s="2615"/>
      <c r="B54" s="2618" t="s">
        <v>5259</v>
      </c>
      <c r="C54" s="2622" t="s">
        <v>5232</v>
      </c>
      <c r="D54" s="2623">
        <v>1.7829999999999999</v>
      </c>
      <c r="E54" s="2623">
        <v>1.7270000000000001</v>
      </c>
      <c r="F54" s="2623">
        <v>1.6530962</v>
      </c>
      <c r="G54" s="2623">
        <v>1.6030962</v>
      </c>
      <c r="H54" s="2623">
        <v>1.5664936</v>
      </c>
      <c r="I54" s="2623">
        <v>1.4798912</v>
      </c>
      <c r="J54" s="2623"/>
      <c r="K54" s="2623" t="s">
        <v>5233</v>
      </c>
      <c r="L54" s="2623">
        <v>1.5834935999999999</v>
      </c>
      <c r="M54" s="2623">
        <v>1.6584935999999999</v>
      </c>
      <c r="N54" s="2623">
        <v>1.6700961999999999</v>
      </c>
      <c r="O54" s="2623">
        <v>1.7370962000000001</v>
      </c>
      <c r="P54" s="2623">
        <v>1.8</v>
      </c>
      <c r="Q54" s="2623">
        <v>1.8958676000000001</v>
      </c>
      <c r="R54" s="2631">
        <v>1.5</v>
      </c>
    </row>
    <row r="55" spans="1:18">
      <c r="A55" s="2615"/>
      <c r="B55" s="2618" t="s">
        <v>5259</v>
      </c>
      <c r="C55" s="2622" t="s">
        <v>5234</v>
      </c>
      <c r="D55" s="2623">
        <v>1.7829999999999999</v>
      </c>
      <c r="E55" s="2623">
        <v>1.7270000000000001</v>
      </c>
      <c r="F55" s="2623">
        <v>1.6530962</v>
      </c>
      <c r="G55" s="2623">
        <v>1.6210962</v>
      </c>
      <c r="H55" s="2623">
        <v>1.5664936</v>
      </c>
      <c r="I55" s="2623">
        <v>1.4978912</v>
      </c>
      <c r="J55" s="2623"/>
      <c r="K55" s="2623"/>
      <c r="L55" s="2623"/>
      <c r="M55" s="2623"/>
      <c r="N55" s="2623"/>
      <c r="O55" s="2623"/>
      <c r="P55" s="2623"/>
      <c r="Q55" s="2623"/>
      <c r="R55" s="2631"/>
    </row>
    <row r="56" spans="1:18">
      <c r="A56" s="2615">
        <v>2</v>
      </c>
      <c r="B56" s="2622" t="s">
        <v>5260</v>
      </c>
      <c r="C56" s="2622" t="s">
        <v>5232</v>
      </c>
      <c r="D56" s="2623">
        <v>1.9810000000000001</v>
      </c>
      <c r="E56" s="2623">
        <v>1.8859999999999999</v>
      </c>
      <c r="F56" s="2623">
        <v>1.7210000000000001</v>
      </c>
      <c r="G56" s="2623">
        <v>1.6539999999999999</v>
      </c>
      <c r="H56" s="2623">
        <v>1.548</v>
      </c>
      <c r="I56" s="2623">
        <v>1.4079999999999999</v>
      </c>
      <c r="J56" s="2623"/>
      <c r="K56" s="2623" t="s">
        <v>5233</v>
      </c>
      <c r="L56" s="2623">
        <v>1.5669999999999999</v>
      </c>
      <c r="M56" s="2623">
        <v>1.679</v>
      </c>
      <c r="N56" s="2623">
        <v>1.74</v>
      </c>
      <c r="O56" s="2623">
        <v>1.83</v>
      </c>
      <c r="P56" s="2623">
        <v>2</v>
      </c>
      <c r="Q56" s="2623">
        <v>2.1480000000000001</v>
      </c>
      <c r="R56" s="2631">
        <v>1.6</v>
      </c>
    </row>
    <row r="57" spans="1:18">
      <c r="A57" s="2615"/>
      <c r="B57" s="2622" t="s">
        <v>5260</v>
      </c>
      <c r="C57" s="2622" t="s">
        <v>5234</v>
      </c>
      <c r="D57" s="2623">
        <v>1.9810000000000001</v>
      </c>
      <c r="E57" s="2623">
        <v>1.8859999999999999</v>
      </c>
      <c r="F57" s="2623">
        <v>1.7210000000000001</v>
      </c>
      <c r="G57" s="2623">
        <v>1.679</v>
      </c>
      <c r="H57" s="2623">
        <v>1.548</v>
      </c>
      <c r="I57" s="2623">
        <v>1.4330000000000001</v>
      </c>
      <c r="J57" s="2623"/>
      <c r="K57" s="2623"/>
      <c r="L57" s="2623"/>
      <c r="M57" s="2623"/>
      <c r="N57" s="2623"/>
      <c r="O57" s="2623"/>
      <c r="P57" s="2623"/>
      <c r="Q57" s="2623"/>
      <c r="R57" s="2631"/>
    </row>
    <row r="58" spans="1:18">
      <c r="A58" s="2615"/>
      <c r="B58" s="2618" t="s">
        <v>5261</v>
      </c>
      <c r="C58" s="2622" t="s">
        <v>5232</v>
      </c>
      <c r="D58" s="2623">
        <v>1.982</v>
      </c>
      <c r="E58" s="2623">
        <v>1.915</v>
      </c>
      <c r="F58" s="2623">
        <v>1.8196202500000001</v>
      </c>
      <c r="G58" s="2623">
        <v>1.76362025</v>
      </c>
      <c r="H58" s="2623">
        <v>1.7113670000000001</v>
      </c>
      <c r="I58" s="2623">
        <v>1.6096140000000001</v>
      </c>
      <c r="J58" s="2623"/>
      <c r="K58" s="2623" t="s">
        <v>5233</v>
      </c>
      <c r="L58" s="2623">
        <v>1.7293670000000001</v>
      </c>
      <c r="M58" s="2623">
        <v>1.8093669999999999</v>
      </c>
      <c r="N58" s="2623">
        <v>1.8376202500000001</v>
      </c>
      <c r="O58" s="2623">
        <v>1.91262025</v>
      </c>
      <c r="P58" s="2623">
        <v>2</v>
      </c>
      <c r="Q58" s="2623">
        <v>2.1110845</v>
      </c>
      <c r="R58" s="2631">
        <v>1.6</v>
      </c>
    </row>
    <row r="59" spans="1:18">
      <c r="A59" s="2615"/>
      <c r="B59" s="2618" t="s">
        <v>5261</v>
      </c>
      <c r="C59" s="2622" t="s">
        <v>5234</v>
      </c>
      <c r="D59" s="2623">
        <v>1.982</v>
      </c>
      <c r="E59" s="2623">
        <v>1.915</v>
      </c>
      <c r="F59" s="2623">
        <v>1.8196202500000001</v>
      </c>
      <c r="G59" s="2623">
        <v>1.78362025</v>
      </c>
      <c r="H59" s="2623">
        <v>1.7113670000000001</v>
      </c>
      <c r="I59" s="2623">
        <v>1.6296139999999999</v>
      </c>
      <c r="J59" s="2623"/>
      <c r="K59" s="2623"/>
      <c r="L59" s="2623"/>
      <c r="M59" s="2623"/>
      <c r="N59" s="2623"/>
      <c r="O59" s="2623"/>
      <c r="P59" s="2623"/>
      <c r="Q59" s="2623"/>
      <c r="R59" s="2631"/>
    </row>
    <row r="60" spans="1:18">
      <c r="A60" s="2615">
        <v>2.2000000000000002</v>
      </c>
      <c r="B60" s="2618" t="s">
        <v>5262</v>
      </c>
      <c r="C60" s="2622" t="s">
        <v>5232</v>
      </c>
      <c r="D60" s="2623">
        <v>2.1800000000000002</v>
      </c>
      <c r="E60" s="2623">
        <v>2.08</v>
      </c>
      <c r="F60" s="2623">
        <v>1.8877164500000001</v>
      </c>
      <c r="G60" s="2623">
        <v>1.8167164499999999</v>
      </c>
      <c r="H60" s="2623">
        <v>1.6928605999999999</v>
      </c>
      <c r="I60" s="2623">
        <v>1.5395052</v>
      </c>
      <c r="J60" s="2623"/>
      <c r="K60" s="2623" t="s">
        <v>5233</v>
      </c>
      <c r="L60" s="2623">
        <v>1.7128606</v>
      </c>
      <c r="M60" s="2623">
        <v>1.8378606</v>
      </c>
      <c r="N60" s="2623">
        <v>1.9077164499999999</v>
      </c>
      <c r="O60" s="2623">
        <v>2.0027164499999999</v>
      </c>
      <c r="P60" s="2623">
        <v>2.2000000000000002</v>
      </c>
      <c r="Q60" s="2623">
        <v>2.3599521000000001</v>
      </c>
      <c r="R60" s="2631">
        <v>1.7</v>
      </c>
    </row>
    <row r="61" spans="1:18">
      <c r="A61" s="2615"/>
      <c r="B61" s="2618" t="s">
        <v>5262</v>
      </c>
      <c r="C61" s="2622" t="s">
        <v>5234</v>
      </c>
      <c r="D61" s="2623">
        <v>2.1800000000000002</v>
      </c>
      <c r="E61" s="2623">
        <v>2.08</v>
      </c>
      <c r="F61" s="2623">
        <v>1.8877164500000001</v>
      </c>
      <c r="G61" s="2623">
        <v>1.84271645</v>
      </c>
      <c r="H61" s="2623">
        <v>1.6928605999999999</v>
      </c>
      <c r="I61" s="2623">
        <v>1.5655052</v>
      </c>
      <c r="J61" s="2623"/>
      <c r="K61" s="2623"/>
      <c r="L61" s="2623"/>
      <c r="M61" s="2623"/>
      <c r="N61" s="2623"/>
      <c r="O61" s="2623"/>
      <c r="P61" s="2623"/>
      <c r="Q61" s="2623"/>
      <c r="R61" s="2631"/>
    </row>
    <row r="62" spans="1:18">
      <c r="A62" s="2615"/>
      <c r="B62" s="2618" t="s">
        <v>5263</v>
      </c>
      <c r="C62" s="2622" t="s">
        <v>5232</v>
      </c>
      <c r="D62" s="2623">
        <v>2.1819999999999999</v>
      </c>
      <c r="E62" s="2623">
        <v>2.1150000000000002</v>
      </c>
      <c r="F62" s="2623">
        <v>2.01962025</v>
      </c>
      <c r="G62" s="2623">
        <v>1.96362025</v>
      </c>
      <c r="H62" s="2623">
        <v>1.911367</v>
      </c>
      <c r="I62" s="2623">
        <v>1.8096140000000001</v>
      </c>
      <c r="J62" s="2623"/>
      <c r="K62" s="2623" t="s">
        <v>5233</v>
      </c>
      <c r="L62" s="2623">
        <v>1.9293670000000001</v>
      </c>
      <c r="M62" s="2623">
        <v>2.0093670000000001</v>
      </c>
      <c r="N62" s="2623">
        <v>2.0376202499999998</v>
      </c>
      <c r="O62" s="2623">
        <v>2.11262025</v>
      </c>
      <c r="P62" s="2623">
        <v>2.2000000000000002</v>
      </c>
      <c r="Q62" s="2623">
        <v>2.3110845000000002</v>
      </c>
      <c r="R62" s="2631">
        <v>1.7</v>
      </c>
    </row>
    <row r="63" spans="1:18">
      <c r="A63" s="2615"/>
      <c r="B63" s="2618" t="s">
        <v>5263</v>
      </c>
      <c r="C63" s="2622" t="s">
        <v>5234</v>
      </c>
      <c r="D63" s="2623">
        <v>2.1819999999999999</v>
      </c>
      <c r="E63" s="2623">
        <v>2.1150000000000002</v>
      </c>
      <c r="F63" s="2623">
        <v>2.01962025</v>
      </c>
      <c r="G63" s="2623">
        <v>1.98362025</v>
      </c>
      <c r="H63" s="2623">
        <v>1.911367</v>
      </c>
      <c r="I63" s="2623">
        <v>1.8296140000000001</v>
      </c>
      <c r="J63" s="2623"/>
      <c r="K63" s="2623"/>
      <c r="L63" s="2623"/>
      <c r="M63" s="2623"/>
      <c r="N63" s="2623"/>
      <c r="O63" s="2623"/>
      <c r="P63" s="2623"/>
      <c r="Q63" s="2623"/>
      <c r="R63" s="2631"/>
    </row>
    <row r="64" spans="1:18">
      <c r="A64" s="2615">
        <v>2.2999999999999998</v>
      </c>
      <c r="B64" s="2618" t="s">
        <v>5264</v>
      </c>
      <c r="C64" s="2622" t="s">
        <v>5232</v>
      </c>
      <c r="D64" s="2623">
        <v>2.2799999999999998</v>
      </c>
      <c r="E64" s="2623">
        <v>2.1800000000000002</v>
      </c>
      <c r="F64" s="2623">
        <v>1.98771645</v>
      </c>
      <c r="G64" s="2623">
        <v>1.91671645</v>
      </c>
      <c r="H64" s="2623">
        <v>1.7928606</v>
      </c>
      <c r="I64" s="2623">
        <v>1.6395052000000001</v>
      </c>
      <c r="J64" s="2623"/>
      <c r="K64" s="2623" t="s">
        <v>5233</v>
      </c>
      <c r="L64" s="2623">
        <v>1.8128606</v>
      </c>
      <c r="M64" s="2623">
        <v>1.9378606</v>
      </c>
      <c r="N64" s="2623">
        <v>2.0077164500000002</v>
      </c>
      <c r="O64" s="2623">
        <v>2.10271645</v>
      </c>
      <c r="P64" s="2623">
        <v>2.2999999999999998</v>
      </c>
      <c r="Q64" s="2623">
        <v>2.4599521000000002</v>
      </c>
      <c r="R64" s="2631">
        <v>1.7</v>
      </c>
    </row>
    <row r="65" spans="1:18">
      <c r="A65" s="2615"/>
      <c r="B65" s="2618" t="s">
        <v>5264</v>
      </c>
      <c r="C65" s="2622" t="s">
        <v>5234</v>
      </c>
      <c r="D65" s="2623">
        <v>2.2799999999999998</v>
      </c>
      <c r="E65" s="2623">
        <v>2.1800000000000002</v>
      </c>
      <c r="F65" s="2623">
        <v>1.98771645</v>
      </c>
      <c r="G65" s="2623">
        <v>1.94271645</v>
      </c>
      <c r="H65" s="2623">
        <v>1.7928606</v>
      </c>
      <c r="I65" s="2623">
        <v>1.6655051999999999</v>
      </c>
      <c r="J65" s="2623"/>
      <c r="K65" s="2623"/>
      <c r="L65" s="2623"/>
      <c r="M65" s="2623"/>
      <c r="N65" s="2623"/>
      <c r="O65" s="2623"/>
      <c r="P65" s="2623"/>
      <c r="Q65" s="2623"/>
      <c r="R65" s="2631"/>
    </row>
    <row r="66" spans="1:18">
      <c r="A66" s="2615"/>
      <c r="B66" s="2618" t="s">
        <v>5265</v>
      </c>
      <c r="C66" s="2622" t="s">
        <v>5232</v>
      </c>
      <c r="D66" s="2623">
        <v>2.2810000000000001</v>
      </c>
      <c r="E66" s="2623">
        <v>2.1859999999999999</v>
      </c>
      <c r="F66" s="2623">
        <v>2.0211923999999999</v>
      </c>
      <c r="G66" s="2623">
        <v>1.9541923999999999</v>
      </c>
      <c r="H66" s="2623">
        <v>1.8479871999999999</v>
      </c>
      <c r="I66" s="2623">
        <v>1.7077823999999999</v>
      </c>
      <c r="J66" s="2623"/>
      <c r="K66" s="2623" t="s">
        <v>5233</v>
      </c>
      <c r="L66" s="2623">
        <v>1.8669872000000001</v>
      </c>
      <c r="M66" s="2623">
        <v>1.9789871999999999</v>
      </c>
      <c r="N66" s="2623">
        <v>2.0401924</v>
      </c>
      <c r="O66" s="2623">
        <v>2.1301923999999999</v>
      </c>
      <c r="P66" s="2623">
        <v>2.2999999999999998</v>
      </c>
      <c r="Q66" s="2623">
        <v>2.4477351999999999</v>
      </c>
      <c r="R66" s="2631">
        <v>1.7</v>
      </c>
    </row>
    <row r="67" spans="1:18">
      <c r="A67" s="2615"/>
      <c r="B67" s="2618" t="s">
        <v>5265</v>
      </c>
      <c r="C67" s="2622" t="s">
        <v>5234</v>
      </c>
      <c r="D67" s="2623">
        <v>2.2810000000000001</v>
      </c>
      <c r="E67" s="2623">
        <v>2.1859999999999999</v>
      </c>
      <c r="F67" s="2623">
        <v>2.0211923999999999</v>
      </c>
      <c r="G67" s="2623">
        <v>1.9791924000000001</v>
      </c>
      <c r="H67" s="2623">
        <v>1.8479871999999999</v>
      </c>
      <c r="I67" s="2623">
        <v>1.7327824000000001</v>
      </c>
      <c r="J67" s="2623"/>
      <c r="K67" s="2623"/>
      <c r="L67" s="2623"/>
      <c r="M67" s="2623"/>
      <c r="N67" s="2623"/>
      <c r="O67" s="2623"/>
      <c r="P67" s="2623"/>
      <c r="Q67" s="2623"/>
      <c r="R67" s="2631"/>
    </row>
    <row r="68" spans="1:18">
      <c r="A68" s="2615">
        <v>2.5</v>
      </c>
      <c r="B68" s="2622" t="s">
        <v>5266</v>
      </c>
      <c r="C68" s="2622" t="s">
        <v>5232</v>
      </c>
      <c r="D68" s="2623">
        <v>2.48</v>
      </c>
      <c r="E68" s="2623">
        <v>2.38</v>
      </c>
      <c r="F68" s="2623">
        <v>2.1880000000000002</v>
      </c>
      <c r="G68" s="2623">
        <v>2.117</v>
      </c>
      <c r="H68" s="2623">
        <v>1.9930000000000001</v>
      </c>
      <c r="I68" s="2623">
        <v>1.84</v>
      </c>
      <c r="J68" s="2623"/>
      <c r="K68" s="2623" t="s">
        <v>5233</v>
      </c>
      <c r="L68" s="2623">
        <v>2.0129999999999999</v>
      </c>
      <c r="M68" s="2623">
        <v>2.1379999999999999</v>
      </c>
      <c r="N68" s="2623">
        <v>2.2080000000000002</v>
      </c>
      <c r="O68" s="2623">
        <v>2.3029999999999999</v>
      </c>
      <c r="P68" s="2623">
        <v>2.5</v>
      </c>
      <c r="Q68" s="2623">
        <v>2.66</v>
      </c>
      <c r="R68" s="2631">
        <v>2.0499999999999998</v>
      </c>
    </row>
    <row r="69" spans="1:18">
      <c r="A69" s="2615"/>
      <c r="B69" s="2622" t="s">
        <v>5266</v>
      </c>
      <c r="C69" s="2622" t="s">
        <v>5234</v>
      </c>
      <c r="D69" s="2623">
        <v>2.48</v>
      </c>
      <c r="E69" s="2623">
        <v>2.38</v>
      </c>
      <c r="F69" s="2623">
        <v>2.1880000000000002</v>
      </c>
      <c r="G69" s="2623">
        <v>2.1429999999999998</v>
      </c>
      <c r="H69" s="2623">
        <v>1.9930000000000001</v>
      </c>
      <c r="I69" s="2623">
        <v>1.8660000000000001</v>
      </c>
      <c r="J69" s="2623"/>
      <c r="K69" s="2623"/>
      <c r="L69" s="2623"/>
      <c r="M69" s="2623"/>
      <c r="N69" s="2623"/>
      <c r="O69" s="2623"/>
      <c r="P69" s="2623"/>
      <c r="Q69" s="2623"/>
      <c r="R69" s="2631"/>
    </row>
    <row r="70" spans="1:18">
      <c r="A70" s="2615"/>
      <c r="B70" s="2618" t="s">
        <v>5267</v>
      </c>
      <c r="C70" s="2622" t="s">
        <v>5232</v>
      </c>
      <c r="D70" s="2623">
        <v>2.4809999999999999</v>
      </c>
      <c r="E70" s="2623">
        <v>2.3959999999999999</v>
      </c>
      <c r="F70" s="2623">
        <v>2.2536683499999999</v>
      </c>
      <c r="G70" s="2623">
        <v>2.1906683500000002</v>
      </c>
      <c r="H70" s="2623">
        <v>2.1021138000000001</v>
      </c>
      <c r="I70" s="2623">
        <v>1.9750596</v>
      </c>
      <c r="J70" s="2623"/>
      <c r="K70" s="2623" t="s">
        <v>5233</v>
      </c>
      <c r="L70" s="2623">
        <v>2.1211137999999998</v>
      </c>
      <c r="M70" s="2623">
        <v>2.2211137999999999</v>
      </c>
      <c r="N70" s="2623">
        <v>2.27266835</v>
      </c>
      <c r="O70" s="2623">
        <v>2.35766835</v>
      </c>
      <c r="P70" s="2623">
        <v>2.5</v>
      </c>
      <c r="Q70" s="2623">
        <v>2.6355183000000002</v>
      </c>
      <c r="R70" s="2631">
        <v>2.0499999999999998</v>
      </c>
    </row>
    <row r="71" spans="1:18">
      <c r="A71" s="2615"/>
      <c r="B71" s="2618" t="s">
        <v>5267</v>
      </c>
      <c r="C71" s="2622" t="s">
        <v>5234</v>
      </c>
      <c r="D71" s="2623">
        <v>2.4809999999999999</v>
      </c>
      <c r="E71" s="2623">
        <v>2.3959999999999999</v>
      </c>
      <c r="F71" s="2623">
        <v>2.2536683499999999</v>
      </c>
      <c r="G71" s="2623">
        <v>2.2136683499999998</v>
      </c>
      <c r="H71" s="2623">
        <v>2.1021138000000001</v>
      </c>
      <c r="I71" s="2623">
        <v>1.9980595999999999</v>
      </c>
      <c r="J71" s="2623"/>
      <c r="K71" s="2623"/>
      <c r="L71" s="2623"/>
      <c r="M71" s="2623"/>
      <c r="N71" s="2623"/>
      <c r="O71" s="2623"/>
      <c r="P71" s="2623"/>
      <c r="Q71" s="2623"/>
      <c r="R71" s="2631"/>
    </row>
    <row r="72" spans="1:18">
      <c r="A72" s="2615">
        <v>2.6</v>
      </c>
      <c r="B72" s="2618" t="s">
        <v>5268</v>
      </c>
      <c r="C72" s="2622" t="s">
        <v>5232</v>
      </c>
      <c r="D72" s="2623">
        <v>2.58</v>
      </c>
      <c r="E72" s="2623">
        <v>2.48</v>
      </c>
      <c r="F72" s="2623">
        <v>2.28771645</v>
      </c>
      <c r="G72" s="2623">
        <v>2.2167164499999998</v>
      </c>
      <c r="H72" s="2623">
        <v>2.0928605999999998</v>
      </c>
      <c r="I72" s="2623">
        <v>1.9395051999999999</v>
      </c>
      <c r="J72" s="2623"/>
      <c r="K72" s="2623" t="s">
        <v>5233</v>
      </c>
      <c r="L72" s="2623">
        <v>2.1128605999999999</v>
      </c>
      <c r="M72" s="2623">
        <v>2.2378605999999999</v>
      </c>
      <c r="N72" s="2623">
        <v>2.30771645</v>
      </c>
      <c r="O72" s="2623">
        <v>2.39271645</v>
      </c>
      <c r="P72" s="2623">
        <v>2.6</v>
      </c>
      <c r="Q72" s="2623">
        <v>2.7499520999999998</v>
      </c>
      <c r="R72" s="2631">
        <v>2.0499999999999998</v>
      </c>
    </row>
    <row r="73" spans="1:18">
      <c r="A73" s="2615"/>
      <c r="B73" s="2618" t="s">
        <v>5268</v>
      </c>
      <c r="C73" s="2622" t="s">
        <v>5234</v>
      </c>
      <c r="D73" s="2623">
        <v>2.58</v>
      </c>
      <c r="E73" s="2623">
        <v>2.48</v>
      </c>
      <c r="F73" s="2623">
        <v>2.28771645</v>
      </c>
      <c r="G73" s="2623">
        <v>2.2427164500000001</v>
      </c>
      <c r="H73" s="2623">
        <v>2.0928605999999998</v>
      </c>
      <c r="I73" s="2623">
        <v>1.9655052</v>
      </c>
      <c r="J73" s="2623"/>
      <c r="K73" s="2623"/>
      <c r="L73" s="2623"/>
      <c r="M73" s="2623"/>
      <c r="N73" s="2623"/>
      <c r="O73" s="2623"/>
      <c r="P73" s="2623"/>
      <c r="Q73" s="2623"/>
      <c r="R73" s="2631"/>
    </row>
    <row r="74" spans="1:18">
      <c r="A74" s="2615">
        <v>3</v>
      </c>
      <c r="B74" s="2622" t="s">
        <v>5269</v>
      </c>
      <c r="C74" s="2622" t="s">
        <v>5232</v>
      </c>
      <c r="D74" s="2623">
        <v>2.98</v>
      </c>
      <c r="E74" s="2623">
        <v>2.8740000000000001</v>
      </c>
      <c r="F74" s="2623">
        <v>2.6549999999999998</v>
      </c>
      <c r="G74" s="2623">
        <v>2.58</v>
      </c>
      <c r="H74" s="2623">
        <v>2.4390000000000001</v>
      </c>
      <c r="I74" s="2623">
        <v>2.2719999999999998</v>
      </c>
      <c r="J74" s="2623"/>
      <c r="K74" s="2623" t="s">
        <v>5233</v>
      </c>
      <c r="L74" s="2623">
        <v>2.4590000000000001</v>
      </c>
      <c r="M74" s="2623">
        <v>2.5990000000000002</v>
      </c>
      <c r="N74" s="2623">
        <v>2.6749999999999998</v>
      </c>
      <c r="O74" s="2623">
        <v>2.7749999999999999</v>
      </c>
      <c r="P74" s="2623">
        <v>3</v>
      </c>
      <c r="Q74" s="2623">
        <v>3.1720000000000002</v>
      </c>
      <c r="R74" s="2631">
        <v>2.5</v>
      </c>
    </row>
    <row r="75" spans="1:18">
      <c r="A75" s="2615"/>
      <c r="B75" s="2622" t="s">
        <v>5269</v>
      </c>
      <c r="C75" s="2622" t="s">
        <v>5234</v>
      </c>
      <c r="D75" s="2623">
        <v>2.98</v>
      </c>
      <c r="E75" s="2623">
        <v>2.8740000000000001</v>
      </c>
      <c r="F75" s="2623">
        <v>2.6549999999999998</v>
      </c>
      <c r="G75" s="2623">
        <v>2.6070000000000002</v>
      </c>
      <c r="H75" s="2623">
        <v>2.4390000000000001</v>
      </c>
      <c r="I75" s="2623">
        <v>2.2989999999999999</v>
      </c>
      <c r="J75" s="2623"/>
      <c r="K75" s="2623"/>
      <c r="L75" s="2623"/>
      <c r="M75" s="2623"/>
      <c r="N75" s="2623"/>
      <c r="O75" s="2623"/>
      <c r="P75" s="2623"/>
      <c r="Q75" s="2623"/>
      <c r="R75" s="2631"/>
    </row>
    <row r="76" spans="1:18">
      <c r="A76" s="2615"/>
      <c r="B76" s="2618" t="s">
        <v>5270</v>
      </c>
      <c r="C76" s="2622" t="s">
        <v>5232</v>
      </c>
      <c r="D76" s="2623">
        <v>2.9809999999999999</v>
      </c>
      <c r="E76" s="2623">
        <v>2.8959999999999999</v>
      </c>
      <c r="F76" s="2623">
        <v>2.7536683499999999</v>
      </c>
      <c r="G76" s="2623">
        <v>2.6866683500000001</v>
      </c>
      <c r="H76" s="2623">
        <v>2.6021138000000001</v>
      </c>
      <c r="I76" s="2623">
        <v>2.4710595999999998</v>
      </c>
      <c r="J76" s="2623"/>
      <c r="K76" s="2623" t="s">
        <v>5233</v>
      </c>
      <c r="L76" s="2623">
        <v>2.6211137999999998</v>
      </c>
      <c r="M76" s="2623">
        <v>2.7211137999999999</v>
      </c>
      <c r="N76" s="2623">
        <v>2.77266835</v>
      </c>
      <c r="O76" s="2623">
        <v>2.8626683499999999</v>
      </c>
      <c r="P76" s="2623">
        <v>3</v>
      </c>
      <c r="Q76" s="2623">
        <v>3.1405183000000001</v>
      </c>
      <c r="R76" s="2631">
        <v>2.5</v>
      </c>
    </row>
    <row r="77" spans="1:18">
      <c r="A77" s="2615"/>
      <c r="B77" s="2618" t="s">
        <v>5270</v>
      </c>
      <c r="C77" s="2622" t="s">
        <v>5234</v>
      </c>
      <c r="D77" s="2623">
        <v>2.9809999999999999</v>
      </c>
      <c r="E77" s="2623">
        <v>2.8959999999999999</v>
      </c>
      <c r="F77" s="2623">
        <v>2.7536683499999999</v>
      </c>
      <c r="G77" s="2623">
        <v>2.7116683500000001</v>
      </c>
      <c r="H77" s="2623">
        <v>2.6021138000000001</v>
      </c>
      <c r="I77" s="2623">
        <v>2.4960596000000002</v>
      </c>
      <c r="J77" s="2623"/>
      <c r="K77" s="2623"/>
      <c r="L77" s="2623"/>
      <c r="M77" s="2623"/>
      <c r="N77" s="2623"/>
      <c r="O77" s="2623"/>
      <c r="P77" s="2623"/>
      <c r="Q77" s="2623"/>
      <c r="R77" s="2631"/>
    </row>
    <row r="78" spans="1:18">
      <c r="A78" s="2615">
        <v>3.5</v>
      </c>
      <c r="B78" s="2622" t="s">
        <v>5271</v>
      </c>
      <c r="C78" s="2622" t="s">
        <v>5232</v>
      </c>
      <c r="D78" s="2623">
        <v>3.4790000000000001</v>
      </c>
      <c r="E78" s="2623">
        <v>3.3540000000000001</v>
      </c>
      <c r="F78" s="2623">
        <v>3.089</v>
      </c>
      <c r="G78" s="2623">
        <v>3.004</v>
      </c>
      <c r="H78" s="2623">
        <v>2.8290000000000002</v>
      </c>
      <c r="I78" s="2623">
        <v>2.6349999999999998</v>
      </c>
      <c r="J78" s="2623"/>
      <c r="K78" s="2623" t="s">
        <v>5233</v>
      </c>
      <c r="L78" s="2623">
        <v>2.85</v>
      </c>
      <c r="M78" s="2623">
        <v>3.01</v>
      </c>
      <c r="N78" s="2623">
        <v>3.11</v>
      </c>
      <c r="O78" s="2623">
        <v>3.222</v>
      </c>
      <c r="P78" s="2623">
        <v>3.5</v>
      </c>
      <c r="Q78" s="2623">
        <v>3.6989999999999998</v>
      </c>
      <c r="R78" s="2631">
        <v>2.9</v>
      </c>
    </row>
    <row r="79" spans="1:18">
      <c r="A79" s="2615"/>
      <c r="B79" s="2622" t="s">
        <v>5271</v>
      </c>
      <c r="C79" s="2622" t="s">
        <v>5234</v>
      </c>
      <c r="D79" s="2623">
        <v>3.4790000000000001</v>
      </c>
      <c r="E79" s="2623">
        <v>3.3540000000000001</v>
      </c>
      <c r="F79" s="2623">
        <v>3.089</v>
      </c>
      <c r="G79" s="2623">
        <v>3.036</v>
      </c>
      <c r="H79" s="2623">
        <v>2.8290000000000002</v>
      </c>
      <c r="I79" s="2623">
        <v>2.6669999999999998</v>
      </c>
      <c r="J79" s="2623"/>
      <c r="K79" s="2623"/>
      <c r="L79" s="2623"/>
      <c r="M79" s="2623"/>
      <c r="N79" s="2623"/>
      <c r="O79" s="2623"/>
      <c r="P79" s="2623"/>
      <c r="Q79" s="2623"/>
      <c r="R79" s="2631"/>
    </row>
    <row r="80" spans="1:18">
      <c r="A80" s="2615"/>
      <c r="B80" s="2618" t="s">
        <v>5272</v>
      </c>
      <c r="C80" s="2622" t="s">
        <v>5232</v>
      </c>
      <c r="D80" s="2623">
        <v>3.4809999999999999</v>
      </c>
      <c r="E80" s="2623">
        <v>3.3959999999999999</v>
      </c>
      <c r="F80" s="2623">
        <v>3.2536683499999999</v>
      </c>
      <c r="G80" s="2623">
        <v>3.1866683500000001</v>
      </c>
      <c r="H80" s="2623">
        <v>3.1021138000000001</v>
      </c>
      <c r="I80" s="2623">
        <v>2.9710595999999998</v>
      </c>
      <c r="J80" s="2623"/>
      <c r="K80" s="2623" t="s">
        <v>5233</v>
      </c>
      <c r="L80" s="2623">
        <v>3.1211137999999998</v>
      </c>
      <c r="M80" s="2623">
        <v>3.2211137999999999</v>
      </c>
      <c r="N80" s="2623">
        <v>3.27266835</v>
      </c>
      <c r="O80" s="2623">
        <v>3.3626683499999999</v>
      </c>
      <c r="P80" s="2623">
        <v>3.5</v>
      </c>
      <c r="Q80" s="2623">
        <v>3.6405183000000001</v>
      </c>
      <c r="R80" s="2631">
        <v>2.9</v>
      </c>
    </row>
    <row r="81" spans="1:18">
      <c r="A81" s="2615"/>
      <c r="B81" s="2618" t="s">
        <v>5272</v>
      </c>
      <c r="C81" s="2622" t="s">
        <v>5234</v>
      </c>
      <c r="D81" s="2623">
        <v>3.4809999999999999</v>
      </c>
      <c r="E81" s="2623">
        <v>3.3959999999999999</v>
      </c>
      <c r="F81" s="2623">
        <v>3.2536683499999999</v>
      </c>
      <c r="G81" s="2623">
        <v>3.2116683500000001</v>
      </c>
      <c r="H81" s="2623">
        <v>3.1021138000000001</v>
      </c>
      <c r="I81" s="2623">
        <v>2.9960596000000002</v>
      </c>
      <c r="J81" s="2623"/>
      <c r="K81" s="2623"/>
      <c r="L81" s="2623"/>
      <c r="M81" s="2623"/>
      <c r="N81" s="2623"/>
      <c r="O81" s="2623"/>
      <c r="P81" s="2623"/>
      <c r="Q81" s="2623"/>
      <c r="R81" s="2631"/>
    </row>
    <row r="82" spans="1:18">
      <c r="A82" s="2615">
        <v>4</v>
      </c>
      <c r="B82" s="2622" t="s">
        <v>5273</v>
      </c>
      <c r="C82" s="2622" t="s">
        <v>5232</v>
      </c>
      <c r="D82" s="2623">
        <v>3.9780000000000002</v>
      </c>
      <c r="E82" s="2623">
        <v>3.8380000000000001</v>
      </c>
      <c r="F82" s="2623">
        <v>3.5230000000000001</v>
      </c>
      <c r="G82" s="2623">
        <v>3.4329999999999998</v>
      </c>
      <c r="H82" s="2623">
        <v>3.22</v>
      </c>
      <c r="I82" s="2623">
        <v>3.0019999999999998</v>
      </c>
      <c r="J82" s="2623"/>
      <c r="K82" s="2623" t="s">
        <v>5233</v>
      </c>
      <c r="L82" s="2623">
        <v>3.242</v>
      </c>
      <c r="M82" s="2623">
        <v>3.4220000000000002</v>
      </c>
      <c r="N82" s="2623">
        <v>3.5449999999999999</v>
      </c>
      <c r="O82" s="2623">
        <v>3.6629999999999998</v>
      </c>
      <c r="P82" s="2623">
        <v>4</v>
      </c>
      <c r="Q82" s="2623">
        <v>4.2190000000000003</v>
      </c>
      <c r="R82" s="2631">
        <v>3.3</v>
      </c>
    </row>
    <row r="83" spans="1:18">
      <c r="A83" s="2615"/>
      <c r="B83" s="2622" t="s">
        <v>5273</v>
      </c>
      <c r="C83" s="2622" t="s">
        <v>5234</v>
      </c>
      <c r="D83" s="2623">
        <v>3.9780000000000002</v>
      </c>
      <c r="E83" s="2623">
        <v>3.8380000000000001</v>
      </c>
      <c r="F83" s="2623">
        <v>3.5230000000000001</v>
      </c>
      <c r="G83" s="2623">
        <v>3.4670000000000001</v>
      </c>
      <c r="H83" s="2623">
        <v>3.22</v>
      </c>
      <c r="I83" s="2623">
        <v>3.036</v>
      </c>
      <c r="J83" s="2623"/>
      <c r="K83" s="2623"/>
      <c r="L83" s="2623"/>
      <c r="M83" s="2623"/>
      <c r="N83" s="2623"/>
      <c r="O83" s="2623"/>
      <c r="P83" s="2623"/>
      <c r="Q83" s="2623"/>
      <c r="R83" s="2631"/>
    </row>
    <row r="84" spans="1:18">
      <c r="A84" s="2615"/>
      <c r="B84" s="2618" t="s">
        <v>5274</v>
      </c>
      <c r="C84" s="2622" t="s">
        <v>5232</v>
      </c>
      <c r="D84" s="2623">
        <v>3.98</v>
      </c>
      <c r="E84" s="2623">
        <v>3.8740000000000001</v>
      </c>
      <c r="F84" s="2623">
        <v>3.6552405000000001</v>
      </c>
      <c r="G84" s="2623">
        <v>3.5802404999999999</v>
      </c>
      <c r="H84" s="2623">
        <v>3.4387340000000002</v>
      </c>
      <c r="I84" s="2623">
        <v>3.2722280000000001</v>
      </c>
      <c r="J84" s="2623"/>
      <c r="K84" s="2623" t="s">
        <v>5233</v>
      </c>
      <c r="L84" s="2623">
        <v>3.4587340000000002</v>
      </c>
      <c r="M84" s="2623">
        <v>3.5987339999999999</v>
      </c>
      <c r="N84" s="2623">
        <v>3.6752405000000001</v>
      </c>
      <c r="O84" s="2623">
        <v>3.7752405000000002</v>
      </c>
      <c r="P84" s="2623">
        <v>4</v>
      </c>
      <c r="Q84" s="2623">
        <v>4.1721690000000002</v>
      </c>
      <c r="R84" s="2631">
        <v>3.3</v>
      </c>
    </row>
    <row r="85" spans="1:18">
      <c r="A85" s="2615"/>
      <c r="B85" s="2618" t="s">
        <v>5274</v>
      </c>
      <c r="C85" s="2622" t="s">
        <v>5234</v>
      </c>
      <c r="D85" s="2623">
        <v>3.98</v>
      </c>
      <c r="E85" s="2623">
        <v>3.8740000000000001</v>
      </c>
      <c r="F85" s="2623">
        <v>3.6552405000000001</v>
      </c>
      <c r="G85" s="2623">
        <v>3.6072405000000001</v>
      </c>
      <c r="H85" s="2623">
        <v>3.4387340000000002</v>
      </c>
      <c r="I85" s="2623">
        <v>3.2992279999999998</v>
      </c>
      <c r="J85" s="2623"/>
      <c r="K85" s="2623"/>
      <c r="L85" s="2623"/>
      <c r="M85" s="2623"/>
      <c r="N85" s="2623"/>
      <c r="O85" s="2623"/>
      <c r="P85" s="2623"/>
      <c r="Q85" s="2623"/>
      <c r="R85" s="2631"/>
    </row>
    <row r="86" spans="1:18">
      <c r="A86" s="2615">
        <v>4.5</v>
      </c>
      <c r="B86" s="2618" t="s">
        <v>5275</v>
      </c>
      <c r="C86" s="2622" t="s">
        <v>5232</v>
      </c>
      <c r="D86" s="2623">
        <v>4.4779999999999998</v>
      </c>
      <c r="E86" s="2623">
        <v>4.3380000000000001</v>
      </c>
      <c r="F86" s="2623">
        <v>3.99086075</v>
      </c>
      <c r="G86" s="2623">
        <v>3.9008607500000001</v>
      </c>
      <c r="H86" s="2623">
        <v>3.6661009999999998</v>
      </c>
      <c r="I86" s="2623">
        <v>3.4388420000000002</v>
      </c>
      <c r="J86" s="2623"/>
      <c r="K86" s="2623" t="s">
        <v>5233</v>
      </c>
      <c r="L86" s="2623">
        <v>3.6881010000000001</v>
      </c>
      <c r="M86" s="2623">
        <v>3.878101</v>
      </c>
      <c r="N86" s="2623">
        <v>4.0128607499999998</v>
      </c>
      <c r="O86" s="2623">
        <v>4.1308607500000001</v>
      </c>
      <c r="P86" s="2623">
        <v>4.5</v>
      </c>
      <c r="Q86" s="2623">
        <v>4.7262535000000003</v>
      </c>
      <c r="R86" s="2631">
        <v>3.5</v>
      </c>
    </row>
    <row r="87" spans="1:18">
      <c r="A87" s="2615"/>
      <c r="B87" s="2618" t="s">
        <v>5275</v>
      </c>
      <c r="C87" s="2622" t="s">
        <v>5234</v>
      </c>
      <c r="D87" s="2623">
        <v>4.4779999999999998</v>
      </c>
      <c r="E87" s="2623">
        <v>4.3380000000000001</v>
      </c>
      <c r="F87" s="2623">
        <v>3.99086075</v>
      </c>
      <c r="G87" s="2623">
        <v>3.9348607499999999</v>
      </c>
      <c r="H87" s="2623">
        <v>3.6661009999999998</v>
      </c>
      <c r="I87" s="2623">
        <v>3.472842</v>
      </c>
      <c r="J87" s="2623"/>
      <c r="K87" s="2623"/>
      <c r="L87" s="2623"/>
      <c r="M87" s="2623"/>
      <c r="N87" s="2623"/>
      <c r="O87" s="2623"/>
      <c r="P87" s="2623"/>
      <c r="Q87" s="2623"/>
      <c r="R87" s="2631"/>
    </row>
    <row r="88" spans="1:18">
      <c r="A88" s="2615"/>
      <c r="B88" s="2618" t="s">
        <v>5276</v>
      </c>
      <c r="C88" s="2622" t="s">
        <v>5232</v>
      </c>
      <c r="D88" s="2623">
        <v>4.4800000000000004</v>
      </c>
      <c r="E88" s="2623">
        <v>4.3739999999999997</v>
      </c>
      <c r="F88" s="2623">
        <v>4.1552404999999997</v>
      </c>
      <c r="G88" s="2623">
        <v>4.0802405000000004</v>
      </c>
      <c r="H88" s="2623">
        <v>3.9387340000000002</v>
      </c>
      <c r="I88" s="2623">
        <v>3.7722280000000001</v>
      </c>
      <c r="J88" s="2623"/>
      <c r="K88" s="2623" t="s">
        <v>5233</v>
      </c>
      <c r="L88" s="2623">
        <v>3.9587340000000002</v>
      </c>
      <c r="M88" s="2623">
        <v>4.0987340000000003</v>
      </c>
      <c r="N88" s="2623">
        <v>4.1752405000000001</v>
      </c>
      <c r="O88" s="2623">
        <v>4.2752404999999998</v>
      </c>
      <c r="P88" s="2623">
        <v>4.5</v>
      </c>
      <c r="Q88" s="2623">
        <v>4.6721690000000002</v>
      </c>
      <c r="R88" s="2631">
        <v>3.5</v>
      </c>
    </row>
    <row r="89" spans="1:18">
      <c r="A89" s="2615"/>
      <c r="B89" s="2618" t="s">
        <v>5276</v>
      </c>
      <c r="C89" s="2622" t="s">
        <v>5234</v>
      </c>
      <c r="D89" s="2623">
        <v>4.4800000000000004</v>
      </c>
      <c r="E89" s="2623">
        <v>4.3739999999999997</v>
      </c>
      <c r="F89" s="2623">
        <v>4.1552404999999997</v>
      </c>
      <c r="G89" s="2623">
        <v>4.1072404999999996</v>
      </c>
      <c r="H89" s="2623">
        <v>3.9387340000000002</v>
      </c>
      <c r="I89" s="2623">
        <v>3.7992279999999998</v>
      </c>
      <c r="J89" s="2623"/>
      <c r="K89" s="2623"/>
      <c r="L89" s="2623"/>
      <c r="M89" s="2623"/>
      <c r="N89" s="2623"/>
      <c r="O89" s="2623"/>
      <c r="P89" s="2623"/>
      <c r="Q89" s="2623"/>
      <c r="R89" s="2631"/>
    </row>
    <row r="90" spans="1:18">
      <c r="A90" s="2615">
        <v>5</v>
      </c>
      <c r="B90" s="2622" t="s">
        <v>5277</v>
      </c>
      <c r="C90" s="2622" t="s">
        <v>5232</v>
      </c>
      <c r="D90" s="2623">
        <v>4.976</v>
      </c>
      <c r="E90" s="2623">
        <v>4.8259999999999996</v>
      </c>
      <c r="F90" s="2623">
        <v>4.4560000000000004</v>
      </c>
      <c r="G90" s="2623">
        <v>4.3609999999999998</v>
      </c>
      <c r="H90" s="2623">
        <v>4.1100000000000003</v>
      </c>
      <c r="I90" s="2623">
        <v>3.8690000000000002</v>
      </c>
      <c r="J90" s="2623"/>
      <c r="K90" s="2623" t="s">
        <v>5233</v>
      </c>
      <c r="L90" s="2623">
        <v>4.1340000000000003</v>
      </c>
      <c r="M90" s="2623">
        <v>4.3339999999999996</v>
      </c>
      <c r="N90" s="2623">
        <v>4.4800000000000004</v>
      </c>
      <c r="O90" s="2623">
        <v>4.6050000000000004</v>
      </c>
      <c r="P90" s="2623">
        <v>5</v>
      </c>
      <c r="Q90" s="2623">
        <v>5.24</v>
      </c>
      <c r="R90" s="2631">
        <v>4.2</v>
      </c>
    </row>
    <row r="91" spans="1:18">
      <c r="A91" s="2615"/>
      <c r="B91" s="2622" t="s">
        <v>5277</v>
      </c>
      <c r="C91" s="2622" t="s">
        <v>5234</v>
      </c>
      <c r="D91" s="2623">
        <v>4.976</v>
      </c>
      <c r="E91" s="2623">
        <v>4.8259999999999996</v>
      </c>
      <c r="F91" s="2623">
        <v>4.4560000000000004</v>
      </c>
      <c r="G91" s="2623">
        <v>4.3959999999999999</v>
      </c>
      <c r="H91" s="2623">
        <v>4.1100000000000003</v>
      </c>
      <c r="I91" s="2623">
        <v>3.9039999999999999</v>
      </c>
      <c r="J91" s="2623"/>
      <c r="K91" s="2623"/>
      <c r="L91" s="2623"/>
      <c r="M91" s="2623"/>
      <c r="N91" s="2623"/>
      <c r="O91" s="2623"/>
      <c r="P91" s="2623"/>
      <c r="Q91" s="2623"/>
      <c r="R91" s="2631"/>
    </row>
    <row r="92" spans="1:18">
      <c r="A92" s="2615"/>
      <c r="B92" s="2618" t="s">
        <v>5278</v>
      </c>
      <c r="C92" s="2622" t="s">
        <v>5232</v>
      </c>
      <c r="D92" s="2623">
        <v>4.9800000000000004</v>
      </c>
      <c r="E92" s="2623">
        <v>4.8739999999999997</v>
      </c>
      <c r="F92" s="2623">
        <v>4.6552404999999997</v>
      </c>
      <c r="G92" s="2623">
        <v>4.5802405000000004</v>
      </c>
      <c r="H92" s="2623">
        <v>4.4387340000000002</v>
      </c>
      <c r="I92" s="2623">
        <v>4.2722280000000001</v>
      </c>
      <c r="J92" s="2623"/>
      <c r="K92" s="2623" t="s">
        <v>5233</v>
      </c>
      <c r="L92" s="2623">
        <v>4.4587339999999998</v>
      </c>
      <c r="M92" s="2623">
        <v>4.5987340000000003</v>
      </c>
      <c r="N92" s="2623">
        <v>4.6752405000000001</v>
      </c>
      <c r="O92" s="2623">
        <v>4.7752404999999998</v>
      </c>
      <c r="P92" s="2623">
        <v>5</v>
      </c>
      <c r="Q92" s="2623">
        <v>5.1721690000000002</v>
      </c>
      <c r="R92" s="2631">
        <v>4.2</v>
      </c>
    </row>
    <row r="93" spans="1:18">
      <c r="A93" s="2615"/>
      <c r="B93" s="2618" t="s">
        <v>5278</v>
      </c>
      <c r="C93" s="2622" t="s">
        <v>5234</v>
      </c>
      <c r="D93" s="2623">
        <v>4.9800000000000004</v>
      </c>
      <c r="E93" s="2623">
        <v>4.8739999999999997</v>
      </c>
      <c r="F93" s="2623">
        <v>4.6552404999999997</v>
      </c>
      <c r="G93" s="2623">
        <v>4.6072404999999996</v>
      </c>
      <c r="H93" s="2623">
        <v>4.4387340000000002</v>
      </c>
      <c r="I93" s="2623">
        <v>4.2992280000000003</v>
      </c>
      <c r="J93" s="2623"/>
      <c r="K93" s="2623"/>
      <c r="L93" s="2623"/>
      <c r="M93" s="2623"/>
      <c r="N93" s="2623"/>
      <c r="O93" s="2623"/>
      <c r="P93" s="2623"/>
      <c r="Q93" s="2623"/>
      <c r="R93" s="2631"/>
    </row>
    <row r="94" spans="1:18">
      <c r="A94" s="2615">
        <v>5.5</v>
      </c>
      <c r="B94" s="2618" t="s">
        <v>5279</v>
      </c>
      <c r="C94" s="2622" t="s">
        <v>5232</v>
      </c>
      <c r="D94" s="2623">
        <v>5.48</v>
      </c>
      <c r="E94" s="2623">
        <v>5.3739999999999997</v>
      </c>
      <c r="F94" s="2623">
        <v>5.1552404999999997</v>
      </c>
      <c r="G94" s="2623">
        <v>5.0652404999999998</v>
      </c>
      <c r="H94" s="2623">
        <v>4.9387340000000002</v>
      </c>
      <c r="I94" s="2623">
        <v>4.7572279999999996</v>
      </c>
      <c r="J94" s="2623"/>
      <c r="K94" s="2623" t="s">
        <v>5233</v>
      </c>
      <c r="L94" s="2623">
        <v>4.9587339999999998</v>
      </c>
      <c r="M94" s="2623">
        <v>5.0987340000000003</v>
      </c>
      <c r="N94" s="2623">
        <v>5.1752405000000001</v>
      </c>
      <c r="O94" s="2623">
        <v>5.2952405000000002</v>
      </c>
      <c r="P94" s="2623">
        <v>5.5</v>
      </c>
      <c r="Q94" s="2623">
        <v>5.6921689999999998</v>
      </c>
      <c r="R94" s="2631">
        <v>4.8</v>
      </c>
    </row>
    <row r="95" spans="1:18">
      <c r="A95" s="2615"/>
      <c r="B95" s="2618" t="s">
        <v>5279</v>
      </c>
      <c r="C95" s="2622" t="s">
        <v>5234</v>
      </c>
      <c r="D95" s="2623">
        <v>5.48</v>
      </c>
      <c r="E95" s="2623">
        <v>5.3739999999999997</v>
      </c>
      <c r="F95" s="2623">
        <v>5.1552404999999997</v>
      </c>
      <c r="G95" s="2623">
        <v>5.0992404999999996</v>
      </c>
      <c r="H95" s="2623">
        <v>4.9387340000000002</v>
      </c>
      <c r="I95" s="2623">
        <v>4.7912280000000003</v>
      </c>
      <c r="J95" s="2623"/>
      <c r="K95" s="2623"/>
      <c r="L95" s="2623"/>
      <c r="M95" s="2623"/>
      <c r="N95" s="2623"/>
      <c r="O95" s="2623"/>
      <c r="P95" s="2623"/>
      <c r="Q95" s="2623"/>
      <c r="R95" s="2631"/>
    </row>
    <row r="96" spans="1:18">
      <c r="A96" s="2615">
        <v>6</v>
      </c>
      <c r="B96" s="2622" t="s">
        <v>5280</v>
      </c>
      <c r="C96" s="2622" t="s">
        <v>5232</v>
      </c>
      <c r="D96" s="2623">
        <v>5.9740000000000002</v>
      </c>
      <c r="E96" s="2623">
        <v>5.7939999999999996</v>
      </c>
      <c r="F96" s="2623">
        <v>5.3239999999999998</v>
      </c>
      <c r="G96" s="2623">
        <v>5.2119999999999997</v>
      </c>
      <c r="H96" s="2623">
        <v>4.891</v>
      </c>
      <c r="I96" s="2623">
        <v>4.5960000000000001</v>
      </c>
      <c r="J96" s="2623"/>
      <c r="K96" s="2623" t="s">
        <v>5233</v>
      </c>
      <c r="L96" s="2623">
        <v>4.9169999999999998</v>
      </c>
      <c r="M96" s="2623">
        <v>5.1529999999999996</v>
      </c>
      <c r="N96" s="2623">
        <v>5.35</v>
      </c>
      <c r="O96" s="2623">
        <v>5.5</v>
      </c>
      <c r="P96" s="2623">
        <v>6</v>
      </c>
      <c r="Q96" s="2623">
        <v>6.2939999999999996</v>
      </c>
      <c r="R96" s="2631">
        <v>5</v>
      </c>
    </row>
    <row r="97" spans="1:18">
      <c r="A97" s="2615"/>
      <c r="B97" s="2622" t="s">
        <v>5280</v>
      </c>
      <c r="C97" s="2622" t="s">
        <v>5234</v>
      </c>
      <c r="D97" s="2623">
        <v>5.9740000000000002</v>
      </c>
      <c r="E97" s="2623">
        <v>5.7939999999999996</v>
      </c>
      <c r="F97" s="2623">
        <v>5.3239999999999998</v>
      </c>
      <c r="G97" s="2623">
        <v>5.2530000000000001</v>
      </c>
      <c r="H97" s="2623">
        <v>4.891</v>
      </c>
      <c r="I97" s="2623">
        <v>4.6369999999999996</v>
      </c>
      <c r="J97" s="2623"/>
      <c r="K97" s="2623"/>
      <c r="L97" s="2623"/>
      <c r="M97" s="2623"/>
      <c r="N97" s="2623"/>
      <c r="O97" s="2623"/>
      <c r="P97" s="2623"/>
      <c r="Q97" s="2623"/>
      <c r="R97" s="2631"/>
    </row>
    <row r="98" spans="1:18">
      <c r="A98" s="2615"/>
      <c r="B98" s="2618" t="s">
        <v>5281</v>
      </c>
      <c r="C98" s="2622" t="s">
        <v>5232</v>
      </c>
      <c r="D98" s="2623">
        <v>5.976</v>
      </c>
      <c r="E98" s="2623">
        <v>5.8259999999999996</v>
      </c>
      <c r="F98" s="2623">
        <v>5.4563848000000004</v>
      </c>
      <c r="G98" s="2623">
        <v>5.3763848000000003</v>
      </c>
      <c r="H98" s="2623">
        <v>5.1099743999999996</v>
      </c>
      <c r="I98" s="2623">
        <v>4.8835648000000003</v>
      </c>
      <c r="J98" s="2623"/>
      <c r="K98" s="2623" t="s">
        <v>5233</v>
      </c>
      <c r="L98" s="2623">
        <v>5.1339743999999996</v>
      </c>
      <c r="M98" s="2623">
        <v>5.3339743999999998</v>
      </c>
      <c r="N98" s="2623">
        <v>5.4803848000000004</v>
      </c>
      <c r="O98" s="2623">
        <v>5.5863848000000003</v>
      </c>
      <c r="P98" s="2623">
        <v>6</v>
      </c>
      <c r="Q98" s="2623">
        <v>6.2214704000000003</v>
      </c>
      <c r="R98" s="2631">
        <v>5</v>
      </c>
    </row>
    <row r="99" spans="1:18">
      <c r="A99" s="2615"/>
      <c r="B99" s="2618" t="s">
        <v>5281</v>
      </c>
      <c r="C99" s="2622" t="s">
        <v>5234</v>
      </c>
      <c r="D99" s="2623">
        <v>5.976</v>
      </c>
      <c r="E99" s="2623">
        <v>5.8259999999999996</v>
      </c>
      <c r="F99" s="2623">
        <v>5.4563848000000004</v>
      </c>
      <c r="G99" s="2623">
        <v>5.4063847999999997</v>
      </c>
      <c r="H99" s="2623">
        <v>5.1099743999999996</v>
      </c>
      <c r="I99" s="2623">
        <v>4.9135647999999996</v>
      </c>
      <c r="J99" s="2623"/>
      <c r="K99" s="2623"/>
      <c r="L99" s="2623"/>
      <c r="M99" s="2623"/>
      <c r="N99" s="2623"/>
      <c r="O99" s="2623"/>
      <c r="P99" s="2623"/>
      <c r="Q99" s="2623"/>
      <c r="R99" s="2631"/>
    </row>
    <row r="100" spans="1:18">
      <c r="A100" s="2615"/>
      <c r="B100" s="2618" t="s">
        <v>5282</v>
      </c>
      <c r="C100" s="2622" t="s">
        <v>5232</v>
      </c>
      <c r="D100" s="2623">
        <v>5.9779999999999998</v>
      </c>
      <c r="E100" s="2623">
        <v>5.8380000000000001</v>
      </c>
      <c r="F100" s="2623">
        <v>5.4908607500000004</v>
      </c>
      <c r="G100" s="2623">
        <v>5.3908607499999999</v>
      </c>
      <c r="H100" s="2623">
        <v>5.1661010000000003</v>
      </c>
      <c r="I100" s="2623">
        <v>4.9288420000000004</v>
      </c>
      <c r="J100" s="2623"/>
      <c r="K100" s="2623" t="s">
        <v>5233</v>
      </c>
      <c r="L100" s="2623">
        <v>5.1881009999999996</v>
      </c>
      <c r="M100" s="2623">
        <v>5.378101</v>
      </c>
      <c r="N100" s="2623">
        <v>5.5128607499999998</v>
      </c>
      <c r="O100" s="2623">
        <v>5.6448607500000003</v>
      </c>
      <c r="P100" s="2623">
        <v>6</v>
      </c>
      <c r="Q100" s="2623">
        <v>6.2402534999999997</v>
      </c>
      <c r="R100" s="2631">
        <v>5</v>
      </c>
    </row>
    <row r="101" spans="1:18">
      <c r="A101" s="2615"/>
      <c r="B101" s="2618" t="s">
        <v>5282</v>
      </c>
      <c r="C101" s="2622" t="s">
        <v>5234</v>
      </c>
      <c r="D101" s="2623">
        <v>5.9779999999999998</v>
      </c>
      <c r="E101" s="2623">
        <v>5.8380000000000001</v>
      </c>
      <c r="F101" s="2623">
        <v>5.4908607500000004</v>
      </c>
      <c r="G101" s="2623">
        <v>5.4278607499999998</v>
      </c>
      <c r="H101" s="2623">
        <v>5.1661010000000003</v>
      </c>
      <c r="I101" s="2623">
        <v>4.9658420000000003</v>
      </c>
      <c r="J101" s="2623"/>
      <c r="K101" s="2623"/>
      <c r="L101" s="2623"/>
      <c r="M101" s="2623"/>
      <c r="N101" s="2623"/>
      <c r="O101" s="2623"/>
      <c r="P101" s="2623"/>
      <c r="Q101" s="2623"/>
      <c r="R101" s="2631"/>
    </row>
    <row r="102" spans="1:18">
      <c r="A102" s="2615"/>
      <c r="B102" s="2618" t="s">
        <v>5283</v>
      </c>
      <c r="C102" s="2622" t="s">
        <v>5232</v>
      </c>
      <c r="D102" s="2623">
        <v>5.9779999999999998</v>
      </c>
      <c r="E102" s="2623">
        <v>5.8380000000000001</v>
      </c>
      <c r="F102" s="2623">
        <v>5.5233366999999998</v>
      </c>
      <c r="G102" s="2623">
        <v>5.4283367</v>
      </c>
      <c r="H102" s="2623">
        <v>5.2202276000000003</v>
      </c>
      <c r="I102" s="2623">
        <v>4.9971192000000002</v>
      </c>
      <c r="J102" s="2623"/>
      <c r="K102" s="2623" t="s">
        <v>5233</v>
      </c>
      <c r="L102" s="2623">
        <v>5.2422275999999997</v>
      </c>
      <c r="M102" s="2623">
        <v>5.4222276000000003</v>
      </c>
      <c r="N102" s="2623">
        <v>5.5453367</v>
      </c>
      <c r="O102" s="2623">
        <v>5.6707367</v>
      </c>
      <c r="P102" s="2623">
        <v>6</v>
      </c>
      <c r="Q102" s="2623">
        <v>6.2264366000000004</v>
      </c>
      <c r="R102" s="2631">
        <v>5</v>
      </c>
    </row>
    <row r="103" spans="1:18">
      <c r="A103" s="2615"/>
      <c r="B103" s="2618" t="s">
        <v>5283</v>
      </c>
      <c r="C103" s="2622" t="s">
        <v>5234</v>
      </c>
      <c r="D103" s="2623">
        <v>5.9779999999999998</v>
      </c>
      <c r="E103" s="2623">
        <v>5.8380000000000001</v>
      </c>
      <c r="F103" s="2623">
        <v>5.5233366999999998</v>
      </c>
      <c r="G103" s="2623">
        <v>5.4633367000000002</v>
      </c>
      <c r="H103" s="2623">
        <v>5.2202276000000003</v>
      </c>
      <c r="I103" s="2623">
        <v>5.0321192000000003</v>
      </c>
      <c r="J103" s="2623"/>
      <c r="K103" s="2623"/>
      <c r="L103" s="2623"/>
      <c r="M103" s="2623"/>
      <c r="N103" s="2623"/>
      <c r="O103" s="2623"/>
      <c r="P103" s="2623"/>
      <c r="Q103" s="2623"/>
      <c r="R103" s="2631"/>
    </row>
    <row r="104" spans="1:18">
      <c r="A104" s="2615"/>
      <c r="B104" s="2618" t="s">
        <v>5284</v>
      </c>
      <c r="C104" s="2622" t="s">
        <v>5232</v>
      </c>
      <c r="D104" s="2623">
        <v>5.98</v>
      </c>
      <c r="E104" s="2623">
        <v>5.8739999999999997</v>
      </c>
      <c r="F104" s="2623">
        <v>5.6552404999999997</v>
      </c>
      <c r="G104" s="2623">
        <v>5.5702404999999997</v>
      </c>
      <c r="H104" s="2623">
        <v>5.4387340000000002</v>
      </c>
      <c r="I104" s="2623">
        <v>5.2622280000000003</v>
      </c>
      <c r="J104" s="2623"/>
      <c r="K104" s="2623" t="s">
        <v>5233</v>
      </c>
      <c r="L104" s="2623">
        <v>5.4587339999999998</v>
      </c>
      <c r="M104" s="2623">
        <v>5.5987340000000003</v>
      </c>
      <c r="N104" s="2623">
        <v>5.6752405000000001</v>
      </c>
      <c r="O104" s="2623">
        <v>5.7874404999999998</v>
      </c>
      <c r="P104" s="2623">
        <v>6</v>
      </c>
      <c r="Q104" s="2623">
        <v>6.1843690000000002</v>
      </c>
      <c r="R104" s="2631">
        <v>5</v>
      </c>
    </row>
    <row r="105" spans="1:18">
      <c r="A105" s="2615"/>
      <c r="B105" s="2618" t="s">
        <v>5284</v>
      </c>
      <c r="C105" s="2622" t="s">
        <v>5234</v>
      </c>
      <c r="D105" s="2623">
        <v>5.98</v>
      </c>
      <c r="E105" s="2623">
        <v>5.8739999999999997</v>
      </c>
      <c r="F105" s="2623">
        <v>5.6552404999999997</v>
      </c>
      <c r="G105" s="2623">
        <v>5.6022404999999997</v>
      </c>
      <c r="H105" s="2623">
        <v>5.4387340000000002</v>
      </c>
      <c r="I105" s="2623">
        <v>5.2942280000000004</v>
      </c>
      <c r="J105" s="2623"/>
      <c r="K105" s="2623"/>
      <c r="L105" s="2623"/>
      <c r="M105" s="2623"/>
      <c r="N105" s="2623"/>
      <c r="O105" s="2623"/>
      <c r="P105" s="2623"/>
      <c r="Q105" s="2623"/>
      <c r="R105" s="2631"/>
    </row>
    <row r="106" spans="1:18">
      <c r="A106" s="2615">
        <v>7</v>
      </c>
      <c r="B106" s="2618" t="s">
        <v>5285</v>
      </c>
      <c r="C106" s="2622" t="s">
        <v>5232</v>
      </c>
      <c r="D106" s="2623">
        <v>6.9740000000000002</v>
      </c>
      <c r="E106" s="2623">
        <v>6.7939999999999996</v>
      </c>
      <c r="F106" s="2623">
        <v>6.3244809999999996</v>
      </c>
      <c r="G106" s="2623">
        <v>6.2124810000000004</v>
      </c>
      <c r="H106" s="2623">
        <v>5.8914679999999997</v>
      </c>
      <c r="I106" s="2623">
        <v>5.5964559999999999</v>
      </c>
      <c r="J106" s="2623"/>
      <c r="K106" s="2623" t="s">
        <v>5233</v>
      </c>
      <c r="L106" s="2623">
        <v>5.9174680000000004</v>
      </c>
      <c r="M106" s="2623">
        <v>6.1534680000000002</v>
      </c>
      <c r="N106" s="2623">
        <v>6.3504810000000003</v>
      </c>
      <c r="O106" s="2623">
        <v>6.5004809999999997</v>
      </c>
      <c r="P106" s="2623">
        <v>7</v>
      </c>
      <c r="Q106" s="2623">
        <v>7.2943379999999998</v>
      </c>
      <c r="R106" s="2631">
        <v>6.3</v>
      </c>
    </row>
    <row r="107" spans="1:18">
      <c r="A107" s="2615"/>
      <c r="B107" s="2618" t="s">
        <v>5285</v>
      </c>
      <c r="C107" s="2622" t="s">
        <v>5234</v>
      </c>
      <c r="D107" s="2623">
        <v>6.9740000000000002</v>
      </c>
      <c r="E107" s="2623">
        <v>6.7939999999999996</v>
      </c>
      <c r="F107" s="2623">
        <v>6.3244809999999996</v>
      </c>
      <c r="G107" s="2623">
        <v>6.2534809999999998</v>
      </c>
      <c r="H107" s="2623">
        <v>5.8914679999999997</v>
      </c>
      <c r="I107" s="2623">
        <v>5.6374560000000002</v>
      </c>
      <c r="J107" s="2623"/>
      <c r="K107" s="2623"/>
      <c r="L107" s="2623"/>
      <c r="M107" s="2623"/>
      <c r="N107" s="2623"/>
      <c r="O107" s="2623"/>
      <c r="P107" s="2623"/>
      <c r="Q107" s="2623"/>
      <c r="R107" s="2631"/>
    </row>
    <row r="108" spans="1:18">
      <c r="A108" s="2615"/>
      <c r="B108" s="2618" t="s">
        <v>5286</v>
      </c>
      <c r="C108" s="2622" t="s">
        <v>5232</v>
      </c>
      <c r="D108" s="2623">
        <v>6.9779999999999998</v>
      </c>
      <c r="E108" s="2623">
        <v>6.8380000000000001</v>
      </c>
      <c r="F108" s="2623">
        <v>6.4908607500000004</v>
      </c>
      <c r="G108" s="2623">
        <v>6.3908607499999999</v>
      </c>
      <c r="H108" s="2623">
        <v>6.1661010000000003</v>
      </c>
      <c r="I108" s="2623">
        <v>5.9288420000000004</v>
      </c>
      <c r="J108" s="2623"/>
      <c r="K108" s="2623" t="s">
        <v>5233</v>
      </c>
      <c r="L108" s="2623">
        <v>6.1881009999999996</v>
      </c>
      <c r="M108" s="2623">
        <v>6.378101</v>
      </c>
      <c r="N108" s="2623">
        <v>6.5128607499999998</v>
      </c>
      <c r="O108" s="2623">
        <v>6.6448607500000003</v>
      </c>
      <c r="P108" s="2623">
        <v>7</v>
      </c>
      <c r="Q108" s="2623">
        <v>7.2402534999999997</v>
      </c>
      <c r="R108" s="2631">
        <v>6.3</v>
      </c>
    </row>
    <row r="109" spans="1:18">
      <c r="A109" s="2615"/>
      <c r="B109" s="2618" t="s">
        <v>5286</v>
      </c>
      <c r="C109" s="2622" t="s">
        <v>5234</v>
      </c>
      <c r="D109" s="2623">
        <v>6.9779999999999998</v>
      </c>
      <c r="E109" s="2623">
        <v>6.8380000000000001</v>
      </c>
      <c r="F109" s="2623">
        <v>6.4908607500000004</v>
      </c>
      <c r="G109" s="2623">
        <v>6.4278607499999998</v>
      </c>
      <c r="H109" s="2623">
        <v>6.1661010000000003</v>
      </c>
      <c r="I109" s="2623">
        <v>5.9658420000000003</v>
      </c>
      <c r="J109" s="2623"/>
      <c r="K109" s="2623"/>
      <c r="L109" s="2623"/>
      <c r="M109" s="2623"/>
      <c r="N109" s="2623"/>
      <c r="O109" s="2623"/>
      <c r="P109" s="2623"/>
      <c r="Q109" s="2623"/>
      <c r="R109" s="2631"/>
    </row>
    <row r="110" spans="1:18">
      <c r="A110" s="2615"/>
      <c r="B110" s="2618" t="s">
        <v>5287</v>
      </c>
      <c r="C110" s="2622" t="s">
        <v>5232</v>
      </c>
      <c r="D110" s="2623">
        <v>6.98</v>
      </c>
      <c r="E110" s="2623">
        <v>6.8739999999999997</v>
      </c>
      <c r="F110" s="2623">
        <v>6.6552404999999997</v>
      </c>
      <c r="G110" s="2623">
        <v>6.5702404999999997</v>
      </c>
      <c r="H110" s="2623">
        <v>6.4387340000000002</v>
      </c>
      <c r="I110" s="2623">
        <v>6.2622280000000003</v>
      </c>
      <c r="J110" s="2623"/>
      <c r="K110" s="2623" t="s">
        <v>5233</v>
      </c>
      <c r="L110" s="2623">
        <v>6.4587339999999998</v>
      </c>
      <c r="M110" s="2623">
        <v>6.5987340000000003</v>
      </c>
      <c r="N110" s="2623">
        <v>6.6752405000000001</v>
      </c>
      <c r="O110" s="2623">
        <v>6.7874404999999998</v>
      </c>
      <c r="P110" s="2623">
        <v>7</v>
      </c>
      <c r="Q110" s="2623">
        <v>7.1843690000000002</v>
      </c>
      <c r="R110" s="2631">
        <v>6.3</v>
      </c>
    </row>
    <row r="111" spans="1:18">
      <c r="A111" s="2615"/>
      <c r="B111" s="2618" t="s">
        <v>5287</v>
      </c>
      <c r="C111" s="2622" t="s">
        <v>5234</v>
      </c>
      <c r="D111" s="2623">
        <v>6.98</v>
      </c>
      <c r="E111" s="2623">
        <v>6.8739999999999997</v>
      </c>
      <c r="F111" s="2623">
        <v>6.6552404999999997</v>
      </c>
      <c r="G111" s="2623">
        <v>6.6022404999999997</v>
      </c>
      <c r="H111" s="2623">
        <v>6.4387340000000002</v>
      </c>
      <c r="I111" s="2623">
        <v>6.2942280000000004</v>
      </c>
      <c r="J111" s="2623"/>
      <c r="K111" s="2623"/>
      <c r="L111" s="2623"/>
      <c r="M111" s="2623"/>
      <c r="N111" s="2623"/>
      <c r="O111" s="2623"/>
      <c r="P111" s="2623"/>
      <c r="Q111" s="2623"/>
      <c r="R111" s="2631"/>
    </row>
    <row r="112" spans="1:18">
      <c r="A112" s="2633">
        <v>8</v>
      </c>
      <c r="B112" s="2634" t="s">
        <v>5288</v>
      </c>
      <c r="C112" s="2634" t="s">
        <v>5232</v>
      </c>
      <c r="D112" s="2635">
        <v>7.9720000000000004</v>
      </c>
      <c r="E112" s="2635">
        <v>7.76</v>
      </c>
      <c r="F112" s="2635">
        <v>7.16</v>
      </c>
      <c r="G112" s="2635">
        <v>7.0419999999999998</v>
      </c>
      <c r="H112" s="2635">
        <v>6.6189999999999998</v>
      </c>
      <c r="I112" s="2635">
        <v>6.2720000000000002</v>
      </c>
      <c r="J112" s="2635"/>
      <c r="K112" s="2635" t="s">
        <v>5233</v>
      </c>
      <c r="L112" s="2635">
        <v>6.6470000000000002</v>
      </c>
      <c r="M112" s="2635">
        <v>6.9119999999999999</v>
      </c>
      <c r="N112" s="2635">
        <v>7.1879999999999997</v>
      </c>
      <c r="O112" s="2635">
        <v>7.3479999999999999</v>
      </c>
      <c r="P112" s="2635">
        <v>8</v>
      </c>
      <c r="Q112" s="2635">
        <v>8.34</v>
      </c>
      <c r="R112" s="2636">
        <v>6.8</v>
      </c>
    </row>
    <row r="113" spans="1:18">
      <c r="A113" s="2615"/>
      <c r="B113" s="2622" t="s">
        <v>5288</v>
      </c>
      <c r="C113" s="2622" t="s">
        <v>5234</v>
      </c>
      <c r="D113" s="2623">
        <v>7.9720000000000004</v>
      </c>
      <c r="E113" s="2623">
        <v>7.76</v>
      </c>
      <c r="F113" s="2623">
        <v>7.16</v>
      </c>
      <c r="G113" s="2623">
        <v>7.085</v>
      </c>
      <c r="H113" s="2623">
        <v>6.6189999999999998</v>
      </c>
      <c r="I113" s="2623">
        <v>6.3150000000000004</v>
      </c>
      <c r="J113" s="2623"/>
      <c r="K113" s="2623"/>
      <c r="L113" s="2623"/>
      <c r="M113" s="2623"/>
      <c r="N113" s="2623"/>
      <c r="O113" s="2623"/>
      <c r="P113" s="2623"/>
      <c r="Q113" s="2623"/>
      <c r="R113" s="2631"/>
    </row>
    <row r="114" spans="1:18">
      <c r="A114" s="2615"/>
      <c r="B114" s="2622" t="s">
        <v>5289</v>
      </c>
      <c r="C114" s="2622" t="s">
        <v>5232</v>
      </c>
      <c r="D114" s="2623">
        <v>7.9740000000000002</v>
      </c>
      <c r="E114" s="2623">
        <v>7.7939999999999996</v>
      </c>
      <c r="F114" s="2623">
        <v>7.3239999999999998</v>
      </c>
      <c r="G114" s="2623">
        <v>7.2119999999999997</v>
      </c>
      <c r="H114" s="2623">
        <v>6.891</v>
      </c>
      <c r="I114" s="2623">
        <v>6.5960000000000001</v>
      </c>
      <c r="J114" s="2623"/>
      <c r="K114" s="2623" t="s">
        <v>5233</v>
      </c>
      <c r="L114" s="2623">
        <v>6.9169999999999998</v>
      </c>
      <c r="M114" s="2623">
        <v>7.1529999999999996</v>
      </c>
      <c r="N114" s="2623">
        <v>7.35</v>
      </c>
      <c r="O114" s="2623">
        <v>7.5</v>
      </c>
      <c r="P114" s="2623">
        <v>8</v>
      </c>
      <c r="Q114" s="2623">
        <v>8.2940000000000005</v>
      </c>
      <c r="R114" s="2631">
        <v>6.8</v>
      </c>
    </row>
    <row r="115" spans="1:18">
      <c r="A115" s="2615"/>
      <c r="B115" s="2622" t="s">
        <v>5289</v>
      </c>
      <c r="C115" s="2622" t="s">
        <v>5234</v>
      </c>
      <c r="D115" s="2623">
        <v>7.9740000000000002</v>
      </c>
      <c r="E115" s="2623">
        <v>7.7939999999999996</v>
      </c>
      <c r="F115" s="2623">
        <v>7.3239999999999998</v>
      </c>
      <c r="G115" s="2623">
        <v>7.2530000000000001</v>
      </c>
      <c r="H115" s="2623">
        <v>6.891</v>
      </c>
      <c r="I115" s="2623">
        <v>6.6369999999999996</v>
      </c>
      <c r="J115" s="2623"/>
      <c r="K115" s="2623"/>
      <c r="L115" s="2623"/>
      <c r="M115" s="2623"/>
      <c r="N115" s="2623"/>
      <c r="O115" s="2623"/>
      <c r="P115" s="2623"/>
      <c r="Q115" s="2623"/>
      <c r="R115" s="2631"/>
    </row>
    <row r="116" spans="1:18">
      <c r="A116" s="2615"/>
      <c r="B116" s="2618" t="s">
        <v>5290</v>
      </c>
      <c r="C116" s="2622" t="s">
        <v>5232</v>
      </c>
      <c r="D116" s="2623">
        <v>7.976</v>
      </c>
      <c r="E116" s="2623">
        <v>7.8259999999999996</v>
      </c>
      <c r="F116" s="2623">
        <v>7.4563848000000004</v>
      </c>
      <c r="G116" s="2623">
        <v>7.3503847999999996</v>
      </c>
      <c r="H116" s="2623">
        <v>7.1099743999999996</v>
      </c>
      <c r="I116" s="2623">
        <v>6.8575647999999996</v>
      </c>
      <c r="J116" s="2623"/>
      <c r="K116" s="2623" t="s">
        <v>5233</v>
      </c>
      <c r="L116" s="2623">
        <v>7.1339743999999996</v>
      </c>
      <c r="M116" s="2623">
        <v>7.3339743999999998</v>
      </c>
      <c r="N116" s="2623">
        <v>7.4803848000000004</v>
      </c>
      <c r="O116" s="2623">
        <v>7.6203048000000004</v>
      </c>
      <c r="P116" s="2623">
        <v>8</v>
      </c>
      <c r="Q116" s="2623">
        <v>8.2553903999999996</v>
      </c>
      <c r="R116" s="2631">
        <v>6.8</v>
      </c>
    </row>
    <row r="117" spans="1:18">
      <c r="A117" s="2615"/>
      <c r="B117" s="2618" t="s">
        <v>5290</v>
      </c>
      <c r="C117" s="2622" t="s">
        <v>5234</v>
      </c>
      <c r="D117" s="2623">
        <v>7.976</v>
      </c>
      <c r="E117" s="2623">
        <v>7.8259999999999996</v>
      </c>
      <c r="F117" s="2623">
        <v>7.4563848000000004</v>
      </c>
      <c r="G117" s="2623">
        <v>7.3893848000000002</v>
      </c>
      <c r="H117" s="2623">
        <v>7.1099743999999996</v>
      </c>
      <c r="I117" s="2623">
        <v>6.8965648000000002</v>
      </c>
      <c r="J117" s="2623"/>
      <c r="K117" s="2623"/>
      <c r="L117" s="2623"/>
      <c r="M117" s="2623"/>
      <c r="N117" s="2623"/>
      <c r="O117" s="2623"/>
      <c r="P117" s="2623"/>
      <c r="Q117" s="2623"/>
      <c r="R117" s="2631"/>
    </row>
    <row r="118" spans="1:18">
      <c r="A118" s="2615"/>
      <c r="B118" s="2618" t="s">
        <v>5291</v>
      </c>
      <c r="C118" s="2622" t="s">
        <v>5232</v>
      </c>
      <c r="D118" s="2623">
        <v>7.9779999999999998</v>
      </c>
      <c r="E118" s="2623">
        <v>7.8380000000000001</v>
      </c>
      <c r="F118" s="2623">
        <v>7.4908607500000004</v>
      </c>
      <c r="G118" s="2623">
        <v>7.3908607499999999</v>
      </c>
      <c r="H118" s="2623">
        <v>7.1661010000000003</v>
      </c>
      <c r="I118" s="2623">
        <v>6.9288420000000004</v>
      </c>
      <c r="J118" s="2623"/>
      <c r="K118" s="2623" t="s">
        <v>5233</v>
      </c>
      <c r="L118" s="2623">
        <v>7.1881009999999996</v>
      </c>
      <c r="M118" s="2623">
        <v>7.378101</v>
      </c>
      <c r="N118" s="2623">
        <v>7.5128607499999998</v>
      </c>
      <c r="O118" s="2623">
        <v>7.6448607500000003</v>
      </c>
      <c r="P118" s="2623">
        <v>8</v>
      </c>
      <c r="Q118" s="2623">
        <v>8.2402534999999997</v>
      </c>
      <c r="R118" s="2631">
        <v>6.8</v>
      </c>
    </row>
    <row r="119" spans="1:18">
      <c r="A119" s="2615"/>
      <c r="B119" s="2618" t="s">
        <v>5291</v>
      </c>
      <c r="C119" s="2622" t="s">
        <v>5234</v>
      </c>
      <c r="D119" s="2623">
        <v>7.9779999999999998</v>
      </c>
      <c r="E119" s="2623">
        <v>7.8380000000000001</v>
      </c>
      <c r="F119" s="2623">
        <v>7.4908607500000004</v>
      </c>
      <c r="G119" s="2623">
        <v>7.4278607499999998</v>
      </c>
      <c r="H119" s="2623">
        <v>7.1661010000000003</v>
      </c>
      <c r="I119" s="2623">
        <v>6.9658420000000003</v>
      </c>
      <c r="J119" s="2623"/>
      <c r="K119" s="2623"/>
      <c r="L119" s="2623"/>
      <c r="M119" s="2623"/>
      <c r="N119" s="2623"/>
      <c r="O119" s="2623"/>
      <c r="P119" s="2623"/>
      <c r="Q119" s="2623"/>
      <c r="R119" s="2631"/>
    </row>
    <row r="120" spans="1:18">
      <c r="A120" s="2615"/>
      <c r="B120" s="2618" t="s">
        <v>5292</v>
      </c>
      <c r="C120" s="2622" t="s">
        <v>5232</v>
      </c>
      <c r="D120" s="2623">
        <v>7.98</v>
      </c>
      <c r="E120" s="2623">
        <v>7.8739999999999997</v>
      </c>
      <c r="F120" s="2623">
        <v>7.6552404999999997</v>
      </c>
      <c r="G120" s="2623">
        <v>7.5702404999999997</v>
      </c>
      <c r="H120" s="2623">
        <v>7.4387340000000002</v>
      </c>
      <c r="I120" s="2623">
        <v>7.2622280000000003</v>
      </c>
      <c r="J120" s="2623"/>
      <c r="K120" s="2623" t="s">
        <v>5233</v>
      </c>
      <c r="L120" s="2623">
        <v>7.4587339999999998</v>
      </c>
      <c r="M120" s="2623">
        <v>7.5987340000000003</v>
      </c>
      <c r="N120" s="2623">
        <v>7.6752405000000001</v>
      </c>
      <c r="O120" s="2623">
        <v>7.7874404999999998</v>
      </c>
      <c r="P120" s="2623">
        <v>8</v>
      </c>
      <c r="Q120" s="2623">
        <v>8.1843690000000002</v>
      </c>
      <c r="R120" s="2631">
        <v>6.8</v>
      </c>
    </row>
    <row r="121" spans="1:18">
      <c r="A121" s="2615"/>
      <c r="B121" s="2618" t="s">
        <v>5292</v>
      </c>
      <c r="C121" s="2622" t="s">
        <v>5234</v>
      </c>
      <c r="D121" s="2623">
        <v>7.98</v>
      </c>
      <c r="E121" s="2623">
        <v>7.8739999999999997</v>
      </c>
      <c r="F121" s="2623">
        <v>7.6552404999999997</v>
      </c>
      <c r="G121" s="2623">
        <v>7.6022404999999997</v>
      </c>
      <c r="H121" s="2623">
        <v>7.4387340000000002</v>
      </c>
      <c r="I121" s="2623">
        <v>7.2942280000000004</v>
      </c>
      <c r="J121" s="2623"/>
      <c r="K121" s="2623"/>
      <c r="L121" s="2623"/>
      <c r="M121" s="2623"/>
      <c r="N121" s="2623"/>
      <c r="O121" s="2623"/>
      <c r="P121" s="2623"/>
      <c r="Q121" s="2623"/>
      <c r="R121" s="2631"/>
    </row>
    <row r="122" spans="1:18">
      <c r="A122" s="2615">
        <v>9</v>
      </c>
      <c r="B122" s="2618" t="s">
        <v>5293</v>
      </c>
      <c r="C122" s="2622" t="s">
        <v>5232</v>
      </c>
      <c r="D122" s="2623">
        <v>8.9719999999999995</v>
      </c>
      <c r="E122" s="2623">
        <v>8.76</v>
      </c>
      <c r="F122" s="2623">
        <v>8.1601012500000003</v>
      </c>
      <c r="G122" s="2623">
        <v>8.04210125</v>
      </c>
      <c r="H122" s="2623">
        <v>7.6188349999999998</v>
      </c>
      <c r="I122" s="2623">
        <v>7.2720700000000003</v>
      </c>
      <c r="J122" s="2623"/>
      <c r="K122" s="2623" t="s">
        <v>5233</v>
      </c>
      <c r="L122" s="2623">
        <v>7.6468350000000003</v>
      </c>
      <c r="M122" s="2623">
        <v>7.911835</v>
      </c>
      <c r="N122" s="2623">
        <v>8.1881012500000008</v>
      </c>
      <c r="O122" s="2623">
        <v>8.3481012499999991</v>
      </c>
      <c r="P122" s="2623">
        <v>9</v>
      </c>
      <c r="Q122" s="2623">
        <v>9.3404225000000007</v>
      </c>
      <c r="R122" s="2631">
        <v>7.1</v>
      </c>
    </row>
    <row r="123" spans="1:18">
      <c r="A123" s="2615"/>
      <c r="B123" s="2618" t="s">
        <v>5293</v>
      </c>
      <c r="C123" s="2622" t="s">
        <v>5234</v>
      </c>
      <c r="D123" s="2623">
        <v>8.9719999999999995</v>
      </c>
      <c r="E123" s="2623">
        <v>8.76</v>
      </c>
      <c r="F123" s="2623">
        <v>8.1601012500000003</v>
      </c>
      <c r="G123" s="2623">
        <v>8.0851012499999992</v>
      </c>
      <c r="H123" s="2623">
        <v>7.6188349999999998</v>
      </c>
      <c r="I123" s="2623">
        <v>7.3150700000000004</v>
      </c>
      <c r="J123" s="2623"/>
      <c r="K123" s="2623"/>
      <c r="L123" s="2623"/>
      <c r="M123" s="2623"/>
      <c r="N123" s="2623"/>
      <c r="O123" s="2623"/>
      <c r="P123" s="2623"/>
      <c r="Q123" s="2623"/>
      <c r="R123" s="2631"/>
    </row>
    <row r="124" spans="1:18">
      <c r="A124" s="2615"/>
      <c r="B124" s="2618" t="s">
        <v>5294</v>
      </c>
      <c r="C124" s="2622" t="s">
        <v>5232</v>
      </c>
      <c r="D124" s="2623">
        <v>8.9740000000000002</v>
      </c>
      <c r="E124" s="2623">
        <v>8.7940000000000005</v>
      </c>
      <c r="F124" s="2623">
        <v>8.3244810000000005</v>
      </c>
      <c r="G124" s="2623">
        <v>8.2124810000000004</v>
      </c>
      <c r="H124" s="2623">
        <v>7.8914679999999997</v>
      </c>
      <c r="I124" s="2623">
        <v>7.5964559999999999</v>
      </c>
      <c r="J124" s="2623"/>
      <c r="K124" s="2623" t="s">
        <v>5233</v>
      </c>
      <c r="L124" s="2623">
        <v>7.9174680000000004</v>
      </c>
      <c r="M124" s="2623">
        <v>8.1534680000000002</v>
      </c>
      <c r="N124" s="2623">
        <v>8.3504810000000003</v>
      </c>
      <c r="O124" s="2623">
        <v>8.4983210000000007</v>
      </c>
      <c r="P124" s="2623">
        <v>9</v>
      </c>
      <c r="Q124" s="2623">
        <v>9.2921779999999998</v>
      </c>
      <c r="R124" s="2631">
        <v>7.1</v>
      </c>
    </row>
    <row r="125" spans="1:18">
      <c r="A125" s="2615"/>
      <c r="B125" s="2618" t="s">
        <v>5294</v>
      </c>
      <c r="C125" s="2622" t="s">
        <v>5234</v>
      </c>
      <c r="D125" s="2623">
        <v>8.9740000000000002</v>
      </c>
      <c r="E125" s="2623">
        <v>8.7940000000000005</v>
      </c>
      <c r="F125" s="2623">
        <v>8.3244810000000005</v>
      </c>
      <c r="G125" s="2623">
        <v>8.2534810000000007</v>
      </c>
      <c r="H125" s="2623">
        <v>7.8914679999999997</v>
      </c>
      <c r="I125" s="2623">
        <v>7.6374560000000002</v>
      </c>
      <c r="J125" s="2623"/>
      <c r="K125" s="2623"/>
      <c r="L125" s="2623"/>
      <c r="M125" s="2623"/>
      <c r="N125" s="2623"/>
      <c r="O125" s="2623"/>
      <c r="P125" s="2623"/>
      <c r="Q125" s="2623"/>
      <c r="R125" s="2631"/>
    </row>
    <row r="126" spans="1:18">
      <c r="A126" s="2615"/>
      <c r="B126" s="2618" t="s">
        <v>5295</v>
      </c>
      <c r="C126" s="2622" t="s">
        <v>5232</v>
      </c>
      <c r="D126" s="2623">
        <v>8.9779999999999998</v>
      </c>
      <c r="E126" s="2623">
        <v>8.8379999999999992</v>
      </c>
      <c r="F126" s="2623">
        <v>8.4908607499999995</v>
      </c>
      <c r="G126" s="2623">
        <v>8.3908607499999999</v>
      </c>
      <c r="H126" s="2623">
        <v>8.1661009999999994</v>
      </c>
      <c r="I126" s="2623">
        <v>7.9288420000000004</v>
      </c>
      <c r="J126" s="2623"/>
      <c r="K126" s="2623" t="s">
        <v>5233</v>
      </c>
      <c r="L126" s="2623">
        <v>8.1881009999999996</v>
      </c>
      <c r="M126" s="2623">
        <v>8.3781009999999991</v>
      </c>
      <c r="N126" s="2623">
        <v>8.5128607499999998</v>
      </c>
      <c r="O126" s="2623">
        <v>8.6448607499999994</v>
      </c>
      <c r="P126" s="2623">
        <v>9</v>
      </c>
      <c r="Q126" s="2623">
        <v>9.2402534999999997</v>
      </c>
      <c r="R126" s="2631">
        <v>7.1</v>
      </c>
    </row>
    <row r="127" spans="1:18">
      <c r="A127" s="2615"/>
      <c r="B127" s="2618" t="s">
        <v>5295</v>
      </c>
      <c r="C127" s="2622" t="s">
        <v>5234</v>
      </c>
      <c r="D127" s="2623">
        <v>8.9779999999999998</v>
      </c>
      <c r="E127" s="2623">
        <v>8.8379999999999992</v>
      </c>
      <c r="F127" s="2623">
        <v>8.4908607499999995</v>
      </c>
      <c r="G127" s="2623">
        <v>8.4278607500000007</v>
      </c>
      <c r="H127" s="2623">
        <v>8.1661009999999994</v>
      </c>
      <c r="I127" s="2623">
        <v>7.9658420000000003</v>
      </c>
      <c r="J127" s="2623"/>
      <c r="K127" s="2623"/>
      <c r="L127" s="2623"/>
      <c r="M127" s="2623"/>
      <c r="N127" s="2623"/>
      <c r="O127" s="2623"/>
      <c r="P127" s="2623"/>
      <c r="Q127" s="2623"/>
      <c r="R127" s="2631"/>
    </row>
    <row r="128" spans="1:18">
      <c r="A128" s="2615"/>
      <c r="B128" s="2618" t="s">
        <v>5296</v>
      </c>
      <c r="C128" s="2622" t="s">
        <v>5232</v>
      </c>
      <c r="D128" s="2623">
        <v>8.98</v>
      </c>
      <c r="E128" s="2623">
        <v>8.8740000000000006</v>
      </c>
      <c r="F128" s="2623">
        <v>8.6552404999999997</v>
      </c>
      <c r="G128" s="2623">
        <v>8.5702405000000006</v>
      </c>
      <c r="H128" s="2623">
        <v>8.4387340000000002</v>
      </c>
      <c r="I128" s="2623">
        <v>8.2622280000000003</v>
      </c>
      <c r="J128" s="2623"/>
      <c r="K128" s="2623" t="s">
        <v>5233</v>
      </c>
      <c r="L128" s="2623">
        <v>8.4587339999999998</v>
      </c>
      <c r="M128" s="2623">
        <v>8.5987340000000003</v>
      </c>
      <c r="N128" s="2623">
        <v>8.6752404999999992</v>
      </c>
      <c r="O128" s="2623">
        <v>8.7874405000000007</v>
      </c>
      <c r="P128" s="2623">
        <v>9</v>
      </c>
      <c r="Q128" s="2623">
        <v>9.1843690000000002</v>
      </c>
      <c r="R128" s="2631">
        <v>7.1</v>
      </c>
    </row>
    <row r="129" spans="1:18">
      <c r="A129" s="2615"/>
      <c r="B129" s="2618" t="s">
        <v>5296</v>
      </c>
      <c r="C129" s="2622" t="s">
        <v>5234</v>
      </c>
      <c r="D129" s="2623">
        <v>8.98</v>
      </c>
      <c r="E129" s="2623">
        <v>8.8740000000000006</v>
      </c>
      <c r="F129" s="2623">
        <v>8.6552404999999997</v>
      </c>
      <c r="G129" s="2623">
        <v>8.6022405000000006</v>
      </c>
      <c r="H129" s="2623">
        <v>8.4387340000000002</v>
      </c>
      <c r="I129" s="2623">
        <v>8.2942280000000004</v>
      </c>
      <c r="J129" s="2623"/>
      <c r="K129" s="2623"/>
      <c r="L129" s="2623"/>
      <c r="M129" s="2623"/>
      <c r="N129" s="2623"/>
      <c r="O129" s="2623"/>
      <c r="P129" s="2623"/>
      <c r="Q129" s="2623"/>
      <c r="R129" s="2631"/>
    </row>
    <row r="130" spans="1:18">
      <c r="A130" s="2615">
        <v>10</v>
      </c>
      <c r="B130" s="2622" t="s">
        <v>5297</v>
      </c>
      <c r="C130" s="2622" t="s">
        <v>5232</v>
      </c>
      <c r="D130" s="2623">
        <v>9.968</v>
      </c>
      <c r="E130" s="2623">
        <v>9.7319999999999993</v>
      </c>
      <c r="F130" s="2623">
        <v>8.9939999999999998</v>
      </c>
      <c r="G130" s="2623">
        <v>8.8620000000000001</v>
      </c>
      <c r="H130" s="2623">
        <v>8.3439999999999994</v>
      </c>
      <c r="I130" s="2623">
        <v>7.9379999999999997</v>
      </c>
      <c r="J130" s="2623"/>
      <c r="K130" s="2623" t="s">
        <v>5233</v>
      </c>
      <c r="L130" s="2623">
        <v>8.3759999999999994</v>
      </c>
      <c r="M130" s="2623">
        <v>8.6760000000000002</v>
      </c>
      <c r="N130" s="2623">
        <v>9.0259999999999998</v>
      </c>
      <c r="O130" s="2623">
        <v>9.2059999999999995</v>
      </c>
      <c r="P130" s="2623">
        <v>10</v>
      </c>
      <c r="Q130" s="2623">
        <v>10.396000000000001</v>
      </c>
      <c r="R130" s="2631">
        <v>8.5</v>
      </c>
    </row>
    <row r="131" spans="1:18">
      <c r="A131" s="2615"/>
      <c r="B131" s="2622" t="s">
        <v>5297</v>
      </c>
      <c r="C131" s="2622" t="s">
        <v>5234</v>
      </c>
      <c r="D131" s="2623">
        <v>9.968</v>
      </c>
      <c r="E131" s="2623">
        <v>9.7319999999999993</v>
      </c>
      <c r="F131" s="2623">
        <v>8.9939999999999998</v>
      </c>
      <c r="G131" s="2623">
        <v>8.9090000000000007</v>
      </c>
      <c r="H131" s="2623">
        <v>8.3439999999999994</v>
      </c>
      <c r="I131" s="2623">
        <v>7.9850000000000003</v>
      </c>
      <c r="J131" s="2623"/>
      <c r="K131" s="2623"/>
      <c r="L131" s="2623"/>
      <c r="M131" s="2623"/>
      <c r="N131" s="2623"/>
      <c r="O131" s="2623"/>
      <c r="P131" s="2623"/>
      <c r="Q131" s="2623"/>
      <c r="R131" s="2631"/>
    </row>
    <row r="132" spans="1:18">
      <c r="A132" s="2615"/>
      <c r="B132" s="2622" t="s">
        <v>5298</v>
      </c>
      <c r="C132" s="2616" t="s">
        <v>5232</v>
      </c>
      <c r="D132" s="2623">
        <v>9.9719999999999995</v>
      </c>
      <c r="E132" s="2623">
        <v>9.76</v>
      </c>
      <c r="F132" s="2623">
        <v>9.16</v>
      </c>
      <c r="G132" s="2623">
        <v>9.0419999999999998</v>
      </c>
      <c r="H132" s="2623">
        <v>8.6189999999999998</v>
      </c>
      <c r="I132" s="2623">
        <v>8.2720000000000002</v>
      </c>
      <c r="J132" s="2623"/>
      <c r="K132" s="2623" t="s">
        <v>5233</v>
      </c>
      <c r="L132" s="2623">
        <v>8.6470000000000002</v>
      </c>
      <c r="M132" s="2623">
        <v>8.9120000000000008</v>
      </c>
      <c r="N132" s="2623">
        <v>9.1880000000000006</v>
      </c>
      <c r="O132" s="2623">
        <v>9.3480000000000008</v>
      </c>
      <c r="P132" s="2623">
        <v>10</v>
      </c>
      <c r="Q132" s="2623">
        <v>10.34</v>
      </c>
      <c r="R132" s="2631">
        <v>8.5</v>
      </c>
    </row>
    <row r="133" spans="1:18">
      <c r="A133" s="2615"/>
      <c r="B133" s="2622" t="s">
        <v>5298</v>
      </c>
      <c r="C133" s="2622" t="s">
        <v>5234</v>
      </c>
      <c r="D133" s="2623">
        <v>9.9719999999999995</v>
      </c>
      <c r="E133" s="2623">
        <v>9.76</v>
      </c>
      <c r="F133" s="2623">
        <v>9.16</v>
      </c>
      <c r="G133" s="2623">
        <v>9.0850000000000009</v>
      </c>
      <c r="H133" s="2623">
        <v>8.6189999999999998</v>
      </c>
      <c r="I133" s="2623">
        <v>8.3149999999999995</v>
      </c>
      <c r="J133" s="2623"/>
      <c r="K133" s="2623"/>
      <c r="L133" s="2623"/>
      <c r="M133" s="2623"/>
      <c r="N133" s="2623"/>
      <c r="O133" s="2623"/>
      <c r="P133" s="2623"/>
      <c r="Q133" s="2623"/>
      <c r="R133" s="2631"/>
    </row>
    <row r="134" spans="1:18">
      <c r="A134" s="2615"/>
      <c r="B134" s="2618" t="s">
        <v>5299</v>
      </c>
      <c r="C134" s="2622" t="s">
        <v>5232</v>
      </c>
      <c r="D134" s="2623">
        <v>9.9730000000000008</v>
      </c>
      <c r="E134" s="2623">
        <v>9.7829999999999995</v>
      </c>
      <c r="F134" s="2623">
        <v>9.2455387200000008</v>
      </c>
      <c r="G134" s="2623">
        <v>9.1275387200000004</v>
      </c>
      <c r="H134" s="2623">
        <v>8.7605641599999995</v>
      </c>
      <c r="I134" s="2623">
        <v>8.4375907199999993</v>
      </c>
      <c r="J134" s="2623"/>
      <c r="K134" s="2623" t="s">
        <v>5233</v>
      </c>
      <c r="L134" s="2623">
        <v>8.7875641600000005</v>
      </c>
      <c r="M134" s="2623">
        <v>9.0375641600000005</v>
      </c>
      <c r="N134" s="2623">
        <v>9.27253872</v>
      </c>
      <c r="O134" s="2623">
        <v>9.4325387200000002</v>
      </c>
      <c r="P134" s="2623">
        <v>10</v>
      </c>
      <c r="Q134" s="2623">
        <v>10.321658559999999</v>
      </c>
      <c r="R134" s="2631">
        <v>8.5</v>
      </c>
    </row>
    <row r="135" spans="1:18">
      <c r="A135" s="2615"/>
      <c r="B135" s="2618" t="s">
        <v>5299</v>
      </c>
      <c r="C135" s="2622" t="s">
        <v>5234</v>
      </c>
      <c r="D135" s="2623">
        <v>9.9730000000000008</v>
      </c>
      <c r="E135" s="2623">
        <v>9.7829999999999995</v>
      </c>
      <c r="F135" s="2623">
        <v>9.2455387200000008</v>
      </c>
      <c r="G135" s="2623">
        <v>9.1705387199999997</v>
      </c>
      <c r="H135" s="2623">
        <v>8.7605641599999995</v>
      </c>
      <c r="I135" s="2623">
        <v>8.4805907200000004</v>
      </c>
      <c r="J135" s="2623"/>
      <c r="K135" s="2623"/>
      <c r="L135" s="2623"/>
      <c r="M135" s="2623"/>
      <c r="N135" s="2623"/>
      <c r="O135" s="2623"/>
      <c r="P135" s="2623"/>
      <c r="Q135" s="2623"/>
      <c r="R135" s="2631"/>
    </row>
    <row r="136" spans="1:18">
      <c r="A136" s="2615"/>
      <c r="B136" s="2618" t="s">
        <v>5300</v>
      </c>
      <c r="C136" s="2622" t="s">
        <v>5232</v>
      </c>
      <c r="D136" s="2623">
        <v>9.9740000000000002</v>
      </c>
      <c r="E136" s="2623">
        <v>9.7940000000000005</v>
      </c>
      <c r="F136" s="2623">
        <v>9.3244810000000005</v>
      </c>
      <c r="G136" s="2623">
        <v>9.2124810000000004</v>
      </c>
      <c r="H136" s="2623">
        <v>8.8914679999999997</v>
      </c>
      <c r="I136" s="2623">
        <v>8.5964559999999999</v>
      </c>
      <c r="J136" s="2623"/>
      <c r="K136" s="2623" t="s">
        <v>5233</v>
      </c>
      <c r="L136" s="2623">
        <v>8.9174679999999995</v>
      </c>
      <c r="M136" s="2623">
        <v>9.1534680000000002</v>
      </c>
      <c r="N136" s="2623">
        <v>9.3504810000000003</v>
      </c>
      <c r="O136" s="2623">
        <v>9.5004810000000006</v>
      </c>
      <c r="P136" s="2623">
        <v>10</v>
      </c>
      <c r="Q136" s="2623">
        <v>10.294338</v>
      </c>
      <c r="R136" s="2631">
        <v>8.5</v>
      </c>
    </row>
    <row r="137" spans="1:18">
      <c r="A137" s="2615"/>
      <c r="B137" s="2618" t="s">
        <v>5300</v>
      </c>
      <c r="C137" s="2622" t="s">
        <v>5234</v>
      </c>
      <c r="D137" s="2623">
        <v>9.9740000000000002</v>
      </c>
      <c r="E137" s="2623">
        <v>9.7940000000000005</v>
      </c>
      <c r="F137" s="2623">
        <v>9.3244810000000005</v>
      </c>
      <c r="G137" s="2623">
        <v>9.2534810000000007</v>
      </c>
      <c r="H137" s="2623">
        <v>8.8914679999999997</v>
      </c>
      <c r="I137" s="2623">
        <v>8.6374560000000002</v>
      </c>
      <c r="J137" s="2623"/>
      <c r="K137" s="2623"/>
      <c r="L137" s="2623"/>
      <c r="M137" s="2623"/>
      <c r="N137" s="2623"/>
      <c r="O137" s="2623"/>
      <c r="P137" s="2623"/>
      <c r="Q137" s="2623"/>
      <c r="R137" s="2631"/>
    </row>
    <row r="138" spans="1:18">
      <c r="A138" s="2615"/>
      <c r="B138" s="2622" t="s">
        <v>5301</v>
      </c>
      <c r="C138" s="2622" t="s">
        <v>5232</v>
      </c>
      <c r="D138" s="2623">
        <v>9.9779999999999998</v>
      </c>
      <c r="E138" s="2623">
        <v>9.8379999999999992</v>
      </c>
      <c r="F138" s="2623">
        <v>9.4909999999999997</v>
      </c>
      <c r="G138" s="2623">
        <v>9.391</v>
      </c>
      <c r="H138" s="2623">
        <v>9.1660000000000004</v>
      </c>
      <c r="I138" s="2623">
        <v>8.9290000000000003</v>
      </c>
      <c r="J138" s="2623"/>
      <c r="K138" s="2623" t="s">
        <v>5233</v>
      </c>
      <c r="L138" s="2623">
        <v>9.1880000000000006</v>
      </c>
      <c r="M138" s="2623">
        <v>9.3780000000000001</v>
      </c>
      <c r="N138" s="2623">
        <v>9.5129999999999999</v>
      </c>
      <c r="O138" s="2623">
        <v>9.6449999999999996</v>
      </c>
      <c r="P138" s="2623">
        <v>10</v>
      </c>
      <c r="Q138" s="2623">
        <v>10.24</v>
      </c>
      <c r="R138" s="2631">
        <v>8.5</v>
      </c>
    </row>
    <row r="139" spans="1:18">
      <c r="A139" s="2615"/>
      <c r="B139" s="2622" t="s">
        <v>5301</v>
      </c>
      <c r="C139" s="2622" t="s">
        <v>5234</v>
      </c>
      <c r="D139" s="2623">
        <v>9.9779999999999998</v>
      </c>
      <c r="E139" s="2623">
        <v>9.8379999999999992</v>
      </c>
      <c r="F139" s="2623">
        <v>9.4909999999999997</v>
      </c>
      <c r="G139" s="2623">
        <v>9.4280000000000008</v>
      </c>
      <c r="H139" s="2623">
        <v>9.1660000000000004</v>
      </c>
      <c r="I139" s="2623">
        <v>8.9659999999999993</v>
      </c>
      <c r="J139" s="2623"/>
      <c r="K139" s="2623"/>
      <c r="L139" s="2623"/>
      <c r="M139" s="2623"/>
      <c r="N139" s="2623"/>
      <c r="O139" s="2623"/>
      <c r="P139" s="2623"/>
      <c r="Q139" s="2623"/>
      <c r="R139" s="2631"/>
    </row>
    <row r="140" spans="1:18">
      <c r="A140" s="2615"/>
      <c r="B140" s="2618" t="s">
        <v>5302</v>
      </c>
      <c r="C140" s="2622" t="s">
        <v>5232</v>
      </c>
      <c r="D140" s="2623">
        <v>9.98</v>
      </c>
      <c r="E140" s="2623">
        <v>9.8740000000000006</v>
      </c>
      <c r="F140" s="2623">
        <v>9.6552404999999997</v>
      </c>
      <c r="G140" s="2623">
        <v>9.5702405000000006</v>
      </c>
      <c r="H140" s="2623">
        <v>9.4387340000000002</v>
      </c>
      <c r="I140" s="2623">
        <v>9.2622280000000003</v>
      </c>
      <c r="J140" s="2623"/>
      <c r="K140" s="2623" t="s">
        <v>5233</v>
      </c>
      <c r="L140" s="2623">
        <v>9.4587339999999998</v>
      </c>
      <c r="M140" s="2623">
        <v>9.5987340000000003</v>
      </c>
      <c r="N140" s="2623">
        <v>9.6752404999999992</v>
      </c>
      <c r="O140" s="2623">
        <v>9.7874405000000007</v>
      </c>
      <c r="P140" s="2623">
        <v>10</v>
      </c>
      <c r="Q140" s="2623">
        <v>10.184369</v>
      </c>
      <c r="R140" s="2631">
        <v>8.5</v>
      </c>
    </row>
    <row r="141" spans="1:18">
      <c r="A141" s="2615"/>
      <c r="B141" s="2618" t="s">
        <v>5302</v>
      </c>
      <c r="C141" s="2622" t="s">
        <v>5234</v>
      </c>
      <c r="D141" s="2623">
        <v>9.98</v>
      </c>
      <c r="E141" s="2623">
        <v>9.8740000000000006</v>
      </c>
      <c r="F141" s="2623">
        <v>9.6552404999999997</v>
      </c>
      <c r="G141" s="2623">
        <v>9.6022405000000006</v>
      </c>
      <c r="H141" s="2623">
        <v>9.4387340000000002</v>
      </c>
      <c r="I141" s="2623">
        <v>9.2942280000000004</v>
      </c>
      <c r="J141" s="2623"/>
      <c r="K141" s="2623"/>
      <c r="L141" s="2623"/>
      <c r="M141" s="2623"/>
      <c r="N141" s="2623"/>
      <c r="O141" s="2623"/>
      <c r="P141" s="2623"/>
      <c r="Q141" s="2623"/>
      <c r="R141" s="2631"/>
    </row>
    <row r="142" spans="1:18">
      <c r="A142" s="2615">
        <v>11</v>
      </c>
      <c r="B142" s="2618" t="s">
        <v>5303</v>
      </c>
      <c r="C142" s="2622" t="s">
        <v>5232</v>
      </c>
      <c r="D142" s="2623">
        <v>10.968</v>
      </c>
      <c r="E142" s="2623">
        <v>10.731999999999999</v>
      </c>
      <c r="F142" s="2623">
        <v>9.9937214999999995</v>
      </c>
      <c r="G142" s="2623">
        <v>9.8617214999999998</v>
      </c>
      <c r="H142" s="2623">
        <v>9.3442019999999992</v>
      </c>
      <c r="I142" s="2623">
        <v>8.9376840000000009</v>
      </c>
      <c r="J142" s="2623"/>
      <c r="K142" s="2623" t="s">
        <v>5233</v>
      </c>
      <c r="L142" s="2623">
        <v>9.3762019999999993</v>
      </c>
      <c r="M142" s="2623">
        <v>9.676202</v>
      </c>
      <c r="N142" s="2623">
        <v>10.0257215</v>
      </c>
      <c r="O142" s="2623">
        <v>10.195721499999999</v>
      </c>
      <c r="P142" s="2623">
        <v>11</v>
      </c>
      <c r="Q142" s="2623">
        <v>11.386507</v>
      </c>
      <c r="R142" s="2631">
        <v>9</v>
      </c>
    </row>
    <row r="143" spans="1:18">
      <c r="A143" s="2615"/>
      <c r="B143" s="2618" t="s">
        <v>5303</v>
      </c>
      <c r="C143" s="2622" t="s">
        <v>5234</v>
      </c>
      <c r="D143" s="2623">
        <v>10.968</v>
      </c>
      <c r="E143" s="2623">
        <v>10.731999999999999</v>
      </c>
      <c r="F143" s="2623">
        <v>9.9937214999999995</v>
      </c>
      <c r="G143" s="2623">
        <v>9.9107214999999993</v>
      </c>
      <c r="H143" s="2623">
        <v>9.3442019999999992</v>
      </c>
      <c r="I143" s="2623">
        <v>8.9866840000000003</v>
      </c>
      <c r="J143" s="2623"/>
      <c r="K143" s="2623"/>
      <c r="L143" s="2623"/>
      <c r="M143" s="2623"/>
      <c r="N143" s="2623"/>
      <c r="O143" s="2623"/>
      <c r="P143" s="2623"/>
      <c r="Q143" s="2623"/>
      <c r="R143" s="2631"/>
    </row>
    <row r="144" spans="1:18">
      <c r="A144" s="2615"/>
      <c r="B144" s="2618" t="s">
        <v>5304</v>
      </c>
      <c r="C144" s="2622" t="s">
        <v>5232</v>
      </c>
      <c r="D144" s="2623">
        <v>10.974</v>
      </c>
      <c r="E144" s="2623">
        <v>10.794</v>
      </c>
      <c r="F144" s="2623">
        <v>10.324481</v>
      </c>
      <c r="G144" s="2623">
        <v>10.212481</v>
      </c>
      <c r="H144" s="2623">
        <v>9.8914679999999997</v>
      </c>
      <c r="I144" s="2623">
        <v>9.5964559999999999</v>
      </c>
      <c r="J144" s="2623"/>
      <c r="K144" s="2623" t="s">
        <v>5233</v>
      </c>
      <c r="L144" s="2623">
        <v>9.9174679999999995</v>
      </c>
      <c r="M144" s="2623">
        <v>10.153468</v>
      </c>
      <c r="N144" s="2623">
        <v>10.350481</v>
      </c>
      <c r="O144" s="2623">
        <v>10.500481000000001</v>
      </c>
      <c r="P144" s="2623">
        <v>11</v>
      </c>
      <c r="Q144" s="2623">
        <v>11.294338</v>
      </c>
      <c r="R144" s="2631">
        <v>9</v>
      </c>
    </row>
    <row r="145" spans="1:18">
      <c r="A145" s="2615"/>
      <c r="B145" s="2618" t="s">
        <v>5304</v>
      </c>
      <c r="C145" s="2622" t="s">
        <v>5234</v>
      </c>
      <c r="D145" s="2623">
        <v>10.974</v>
      </c>
      <c r="E145" s="2623">
        <v>10.794</v>
      </c>
      <c r="F145" s="2623">
        <v>10.324481</v>
      </c>
      <c r="G145" s="2623">
        <v>10.253481000000001</v>
      </c>
      <c r="H145" s="2623">
        <v>9.8914679999999997</v>
      </c>
      <c r="I145" s="2623">
        <v>9.6374560000000002</v>
      </c>
      <c r="J145" s="2623"/>
      <c r="K145" s="2623"/>
      <c r="L145" s="2623"/>
      <c r="M145" s="2623"/>
      <c r="N145" s="2623"/>
      <c r="O145" s="2623"/>
      <c r="P145" s="2623"/>
      <c r="Q145" s="2623"/>
      <c r="R145" s="2631"/>
    </row>
    <row r="146" spans="1:18">
      <c r="A146" s="2615"/>
      <c r="B146" s="2618" t="s">
        <v>5305</v>
      </c>
      <c r="C146" s="2622" t="s">
        <v>5232</v>
      </c>
      <c r="D146" s="2623">
        <v>10.978</v>
      </c>
      <c r="E146" s="2623">
        <v>10.837999999999999</v>
      </c>
      <c r="F146" s="2623">
        <v>10.49086075</v>
      </c>
      <c r="G146" s="2623">
        <v>10.39086075</v>
      </c>
      <c r="H146" s="2623">
        <v>10.166100999999999</v>
      </c>
      <c r="I146" s="2623">
        <v>9.9288419999999995</v>
      </c>
      <c r="J146" s="2623"/>
      <c r="K146" s="2623" t="s">
        <v>5233</v>
      </c>
      <c r="L146" s="2623">
        <v>10.188101</v>
      </c>
      <c r="M146" s="2623">
        <v>10.378100999999999</v>
      </c>
      <c r="N146" s="2623">
        <v>10.51286075</v>
      </c>
      <c r="O146" s="2623">
        <v>10.644860749999999</v>
      </c>
      <c r="P146" s="2623">
        <v>11</v>
      </c>
      <c r="Q146" s="2623">
        <v>11.2402535</v>
      </c>
      <c r="R146" s="2631">
        <v>9</v>
      </c>
    </row>
    <row r="147" spans="1:18">
      <c r="A147" s="2615"/>
      <c r="B147" s="2618" t="s">
        <v>5305</v>
      </c>
      <c r="C147" s="2622" t="s">
        <v>5234</v>
      </c>
      <c r="D147" s="2623">
        <v>10.978</v>
      </c>
      <c r="E147" s="2623">
        <v>10.837999999999999</v>
      </c>
      <c r="F147" s="2623">
        <v>10.49086075</v>
      </c>
      <c r="G147" s="2623">
        <v>10.427860750000001</v>
      </c>
      <c r="H147" s="2623">
        <v>10.166100999999999</v>
      </c>
      <c r="I147" s="2623">
        <v>9.9658420000000003</v>
      </c>
      <c r="J147" s="2623"/>
      <c r="K147" s="2623"/>
      <c r="L147" s="2623"/>
      <c r="M147" s="2623"/>
      <c r="N147" s="2623"/>
      <c r="O147" s="2623"/>
      <c r="P147" s="2623"/>
      <c r="Q147" s="2623"/>
      <c r="R147" s="2631"/>
    </row>
    <row r="148" spans="1:18">
      <c r="A148" s="2615"/>
      <c r="B148" s="2618" t="s">
        <v>5306</v>
      </c>
      <c r="C148" s="2622" t="s">
        <v>5232</v>
      </c>
      <c r="D148" s="2623">
        <v>10.98</v>
      </c>
      <c r="E148" s="2623">
        <v>10.874000000000001</v>
      </c>
      <c r="F148" s="2623">
        <v>10.6552405</v>
      </c>
      <c r="G148" s="2623">
        <v>10.570240500000001</v>
      </c>
      <c r="H148" s="2623">
        <v>10.438734</v>
      </c>
      <c r="I148" s="2623">
        <v>10.262228</v>
      </c>
      <c r="J148" s="2623"/>
      <c r="K148" s="2623" t="s">
        <v>5233</v>
      </c>
      <c r="L148" s="2623">
        <v>10.458734</v>
      </c>
      <c r="M148" s="2623">
        <v>10.598734</v>
      </c>
      <c r="N148" s="2623">
        <v>10.675240499999999</v>
      </c>
      <c r="O148" s="2623">
        <v>10.787440500000001</v>
      </c>
      <c r="P148" s="2623">
        <v>11</v>
      </c>
      <c r="Q148" s="2623">
        <v>11.184369</v>
      </c>
      <c r="R148" s="2631">
        <v>9</v>
      </c>
    </row>
    <row r="149" spans="1:18">
      <c r="A149" s="2615"/>
      <c r="B149" s="2618" t="s">
        <v>5306</v>
      </c>
      <c r="C149" s="2622" t="s">
        <v>5234</v>
      </c>
      <c r="D149" s="2623">
        <v>10.98</v>
      </c>
      <c r="E149" s="2623">
        <v>10.874000000000001</v>
      </c>
      <c r="F149" s="2623">
        <v>10.6552405</v>
      </c>
      <c r="G149" s="2623">
        <v>10.602240500000001</v>
      </c>
      <c r="H149" s="2623">
        <v>10.438734</v>
      </c>
      <c r="I149" s="2623">
        <v>10.294228</v>
      </c>
      <c r="J149" s="2623"/>
      <c r="K149" s="2623"/>
      <c r="L149" s="2623"/>
      <c r="M149" s="2623"/>
      <c r="N149" s="2623"/>
      <c r="O149" s="2623"/>
      <c r="P149" s="2623"/>
      <c r="Q149" s="2623"/>
      <c r="R149" s="2631"/>
    </row>
    <row r="150" spans="1:18">
      <c r="A150" s="2615">
        <v>12</v>
      </c>
      <c r="B150" s="2622" t="s">
        <v>5307</v>
      </c>
      <c r="C150" s="2622" t="s">
        <v>5232</v>
      </c>
      <c r="D150" s="2623">
        <v>11.965999999999999</v>
      </c>
      <c r="E150" s="2623">
        <v>11.701000000000001</v>
      </c>
      <c r="F150" s="2623">
        <v>10.829000000000001</v>
      </c>
      <c r="G150" s="2623">
        <v>10.679</v>
      </c>
      <c r="H150" s="2623">
        <v>10.071999999999999</v>
      </c>
      <c r="I150" s="2623">
        <v>9.6010000000000009</v>
      </c>
      <c r="J150" s="2623"/>
      <c r="K150" s="2623" t="s">
        <v>5233</v>
      </c>
      <c r="L150" s="2623">
        <v>10.106</v>
      </c>
      <c r="M150" s="2623">
        <v>10.441000000000001</v>
      </c>
      <c r="N150" s="2623">
        <v>10.863</v>
      </c>
      <c r="O150" s="2623">
        <v>11.063000000000001</v>
      </c>
      <c r="P150" s="2623">
        <v>12</v>
      </c>
      <c r="Q150" s="2623">
        <v>12.452999999999999</v>
      </c>
      <c r="R150" s="2631">
        <v>10.199999999999999</v>
      </c>
    </row>
    <row r="151" spans="1:18">
      <c r="A151" s="2615"/>
      <c r="B151" s="2622" t="s">
        <v>5307</v>
      </c>
      <c r="C151" s="2622" t="s">
        <v>5234</v>
      </c>
      <c r="D151" s="2623">
        <v>11.965999999999999</v>
      </c>
      <c r="E151" s="2623">
        <v>11.701000000000001</v>
      </c>
      <c r="F151" s="2623">
        <v>10.829000000000001</v>
      </c>
      <c r="G151" s="2623">
        <v>10.734</v>
      </c>
      <c r="H151" s="2623">
        <v>10.071999999999999</v>
      </c>
      <c r="I151" s="2623">
        <v>9.6560000000000006</v>
      </c>
      <c r="J151" s="2623"/>
      <c r="K151" s="2623"/>
      <c r="L151" s="2623"/>
      <c r="M151" s="2623"/>
      <c r="N151" s="2623"/>
      <c r="O151" s="2623"/>
      <c r="P151" s="2623"/>
      <c r="Q151" s="2623"/>
      <c r="R151" s="2631"/>
    </row>
    <row r="152" spans="1:18">
      <c r="A152" s="2615"/>
      <c r="B152" s="2622" t="s">
        <v>5308</v>
      </c>
      <c r="C152" s="2622" t="s">
        <v>5232</v>
      </c>
      <c r="D152" s="2623">
        <v>11.968</v>
      </c>
      <c r="E152" s="2623">
        <v>11.731999999999999</v>
      </c>
      <c r="F152" s="2623">
        <v>10.994</v>
      </c>
      <c r="G152" s="2623">
        <v>10.853999999999999</v>
      </c>
      <c r="H152" s="2623">
        <v>10.343999999999999</v>
      </c>
      <c r="I152" s="2623">
        <v>9.93</v>
      </c>
      <c r="J152" s="2623"/>
      <c r="K152" s="2623" t="s">
        <v>5233</v>
      </c>
      <c r="L152" s="2623">
        <v>10.375999999999999</v>
      </c>
      <c r="M152" s="2623">
        <v>10.676</v>
      </c>
      <c r="N152" s="2623">
        <v>11.026</v>
      </c>
      <c r="O152" s="2623">
        <v>11.215999999999999</v>
      </c>
      <c r="P152" s="2623">
        <v>12</v>
      </c>
      <c r="Q152" s="2623">
        <v>12.406000000000001</v>
      </c>
      <c r="R152" s="2631">
        <v>10.199999999999999</v>
      </c>
    </row>
    <row r="153" spans="1:18">
      <c r="A153" s="2615"/>
      <c r="B153" s="2622" t="s">
        <v>5309</v>
      </c>
      <c r="C153" s="2622" t="s">
        <v>5232</v>
      </c>
      <c r="D153" s="2623">
        <v>11.972</v>
      </c>
      <c r="E153" s="2623">
        <v>11.76</v>
      </c>
      <c r="F153" s="2623">
        <v>11.16</v>
      </c>
      <c r="G153" s="2623">
        <v>11.028</v>
      </c>
      <c r="H153" s="2623">
        <v>10.619</v>
      </c>
      <c r="I153" s="2623">
        <v>10.257999999999999</v>
      </c>
      <c r="J153" s="2623"/>
      <c r="K153" s="2623" t="s">
        <v>5233</v>
      </c>
      <c r="L153" s="2623">
        <v>10.647</v>
      </c>
      <c r="M153" s="2623">
        <v>10.912000000000001</v>
      </c>
      <c r="N153" s="2623">
        <v>11.188000000000001</v>
      </c>
      <c r="O153" s="2623">
        <v>11.368</v>
      </c>
      <c r="P153" s="2623">
        <v>12</v>
      </c>
      <c r="Q153" s="2623">
        <v>12.36</v>
      </c>
      <c r="R153" s="2631">
        <v>10.199999999999999</v>
      </c>
    </row>
    <row r="154" spans="1:18">
      <c r="A154" s="2615"/>
      <c r="B154" s="2622" t="s">
        <v>5309</v>
      </c>
      <c r="C154" s="2622" t="s">
        <v>5234</v>
      </c>
      <c r="D154" s="2623">
        <v>11.972</v>
      </c>
      <c r="E154" s="2623">
        <v>11.76</v>
      </c>
      <c r="F154" s="2623">
        <v>11.16</v>
      </c>
      <c r="G154" s="2623">
        <v>11.074999999999999</v>
      </c>
      <c r="H154" s="2623">
        <v>10.619</v>
      </c>
      <c r="I154" s="2623">
        <v>10.305</v>
      </c>
      <c r="J154" s="2623"/>
      <c r="K154" s="2623"/>
      <c r="L154" s="2623"/>
      <c r="M154" s="2623"/>
      <c r="N154" s="2623"/>
      <c r="O154" s="2623"/>
      <c r="P154" s="2623"/>
      <c r="Q154" s="2623"/>
      <c r="R154" s="2631"/>
    </row>
    <row r="155" spans="1:18">
      <c r="A155" s="2615"/>
      <c r="B155" s="2622" t="s">
        <v>5310</v>
      </c>
      <c r="C155" s="2622" t="s">
        <v>5232</v>
      </c>
      <c r="D155" s="2623">
        <v>11.974</v>
      </c>
      <c r="E155" s="2623">
        <v>11.794</v>
      </c>
      <c r="F155" s="2623">
        <v>11.324</v>
      </c>
      <c r="G155" s="2623">
        <v>11.206</v>
      </c>
      <c r="H155" s="2623">
        <v>10.891</v>
      </c>
      <c r="I155" s="2623">
        <v>10.59</v>
      </c>
      <c r="J155" s="2623"/>
      <c r="K155" s="2623" t="s">
        <v>5233</v>
      </c>
      <c r="L155" s="2623">
        <v>10.917</v>
      </c>
      <c r="M155" s="2623">
        <v>11.153</v>
      </c>
      <c r="N155" s="2623">
        <v>11.35</v>
      </c>
      <c r="O155" s="2623">
        <v>11.51</v>
      </c>
      <c r="P155" s="2623">
        <v>12</v>
      </c>
      <c r="Q155" s="2623">
        <v>12.304</v>
      </c>
      <c r="R155" s="2631">
        <v>10.199999999999999</v>
      </c>
    </row>
    <row r="156" spans="1:18">
      <c r="A156" s="2615"/>
      <c r="B156" s="2622" t="s">
        <v>5310</v>
      </c>
      <c r="C156" s="2622" t="s">
        <v>5234</v>
      </c>
      <c r="D156" s="2623">
        <v>11.974</v>
      </c>
      <c r="E156" s="2623">
        <v>11.794</v>
      </c>
      <c r="F156" s="2623">
        <v>11.324</v>
      </c>
      <c r="G156" s="2623">
        <v>11.249000000000001</v>
      </c>
      <c r="H156" s="2623">
        <v>10.891</v>
      </c>
      <c r="I156" s="2623">
        <v>10.632999999999999</v>
      </c>
      <c r="J156" s="2623"/>
      <c r="K156" s="2623"/>
      <c r="L156" s="2623"/>
      <c r="M156" s="2623"/>
      <c r="N156" s="2623"/>
      <c r="O156" s="2623"/>
      <c r="P156" s="2623"/>
      <c r="Q156" s="2623"/>
      <c r="R156" s="2631"/>
    </row>
    <row r="157" spans="1:18">
      <c r="A157" s="2615"/>
      <c r="B157" s="2618" t="s">
        <v>5311</v>
      </c>
      <c r="C157" s="2622" t="s">
        <v>5232</v>
      </c>
      <c r="D157" s="2623">
        <v>11.978</v>
      </c>
      <c r="E157" s="2623">
        <v>11.837999999999999</v>
      </c>
      <c r="F157" s="2623">
        <v>11.49086075</v>
      </c>
      <c r="G157" s="2623">
        <v>11.38486075</v>
      </c>
      <c r="H157" s="2623">
        <v>11.166100999999999</v>
      </c>
      <c r="I157" s="2623">
        <v>10.922841999999999</v>
      </c>
      <c r="J157" s="2623"/>
      <c r="K157" s="2623" t="s">
        <v>5233</v>
      </c>
      <c r="L157" s="2623">
        <v>11.188101</v>
      </c>
      <c r="M157" s="2623">
        <v>11.378100999999999</v>
      </c>
      <c r="N157" s="2623">
        <v>11.51286075</v>
      </c>
      <c r="O157" s="2623">
        <v>11.65278075</v>
      </c>
      <c r="P157" s="2623">
        <v>12</v>
      </c>
      <c r="Q157" s="2623">
        <v>12.2481735</v>
      </c>
      <c r="R157" s="2631">
        <v>10.199999999999999</v>
      </c>
    </row>
    <row r="158" spans="1:18">
      <c r="A158" s="2615"/>
      <c r="B158" s="2618" t="s">
        <v>5311</v>
      </c>
      <c r="C158" s="2622" t="s">
        <v>5234</v>
      </c>
      <c r="D158" s="2623">
        <v>11.978</v>
      </c>
      <c r="E158" s="2623">
        <v>11.837999999999999</v>
      </c>
      <c r="F158" s="2623">
        <v>11.49086075</v>
      </c>
      <c r="G158" s="2623">
        <v>11.423860749999999</v>
      </c>
      <c r="H158" s="2623">
        <v>11.166100999999999</v>
      </c>
      <c r="I158" s="2623">
        <v>10.961842000000001</v>
      </c>
      <c r="J158" s="2623"/>
      <c r="K158" s="2623"/>
      <c r="L158" s="2623"/>
      <c r="M158" s="2623"/>
      <c r="N158" s="2623"/>
      <c r="O158" s="2623"/>
      <c r="P158" s="2623"/>
      <c r="Q158" s="2623"/>
      <c r="R158" s="2631"/>
    </row>
    <row r="159" spans="1:18">
      <c r="A159" s="2615"/>
      <c r="B159" s="2618" t="s">
        <v>5312</v>
      </c>
      <c r="C159" s="2622" t="s">
        <v>5232</v>
      </c>
      <c r="D159" s="2623">
        <v>11.98</v>
      </c>
      <c r="E159" s="2623">
        <v>11.874000000000001</v>
      </c>
      <c r="F159" s="2623">
        <v>11.6552405</v>
      </c>
      <c r="G159" s="2623">
        <v>11.5652405</v>
      </c>
      <c r="H159" s="2623">
        <v>11.438734</v>
      </c>
      <c r="I159" s="2623">
        <v>11.257228</v>
      </c>
      <c r="J159" s="2623"/>
      <c r="K159" s="2623" t="s">
        <v>5233</v>
      </c>
      <c r="L159" s="2623">
        <v>11.458734</v>
      </c>
      <c r="M159" s="2623">
        <v>11.598734</v>
      </c>
      <c r="N159" s="2623">
        <v>11.675240499999999</v>
      </c>
      <c r="O159" s="2623">
        <v>11.7952405</v>
      </c>
      <c r="P159" s="2623">
        <v>12</v>
      </c>
      <c r="Q159" s="2623">
        <v>12.192169</v>
      </c>
      <c r="R159" s="2631">
        <v>10.199999999999999</v>
      </c>
    </row>
    <row r="160" spans="1:18">
      <c r="A160" s="2615"/>
      <c r="B160" s="2618" t="s">
        <v>5312</v>
      </c>
      <c r="C160" s="2622" t="s">
        <v>5234</v>
      </c>
      <c r="D160" s="2623">
        <v>11.98</v>
      </c>
      <c r="E160" s="2623">
        <v>11.874000000000001</v>
      </c>
      <c r="F160" s="2623">
        <v>11.6552405</v>
      </c>
      <c r="G160" s="2623">
        <v>11.598240499999999</v>
      </c>
      <c r="H160" s="2623">
        <v>11.438734</v>
      </c>
      <c r="I160" s="2623">
        <v>11.290228000000001</v>
      </c>
      <c r="J160" s="2623"/>
      <c r="K160" s="2623"/>
      <c r="L160" s="2623"/>
      <c r="M160" s="2623"/>
      <c r="N160" s="2623"/>
      <c r="O160" s="2623"/>
      <c r="P160" s="2623"/>
      <c r="Q160" s="2623"/>
      <c r="R160" s="2631"/>
    </row>
    <row r="161" spans="1:18">
      <c r="A161" s="2615">
        <v>14</v>
      </c>
      <c r="B161" s="2622" t="s">
        <v>5313</v>
      </c>
      <c r="C161" s="2622" t="s">
        <v>5232</v>
      </c>
      <c r="D161" s="2623">
        <v>13.962</v>
      </c>
      <c r="E161" s="2623">
        <v>13.682</v>
      </c>
      <c r="F161" s="2623">
        <v>12.663</v>
      </c>
      <c r="G161" s="2623">
        <v>12.503</v>
      </c>
      <c r="H161" s="2623">
        <v>11.797000000000001</v>
      </c>
      <c r="I161" s="2623">
        <v>11.271000000000001</v>
      </c>
      <c r="J161" s="2623"/>
      <c r="K161" s="2623" t="s">
        <v>5233</v>
      </c>
      <c r="L161" s="2623">
        <v>11.835000000000001</v>
      </c>
      <c r="M161" s="2623">
        <v>12.21</v>
      </c>
      <c r="N161" s="2623">
        <v>12.701000000000001</v>
      </c>
      <c r="O161" s="2623">
        <v>12.913</v>
      </c>
      <c r="P161" s="2623">
        <v>14</v>
      </c>
      <c r="Q161" s="2623">
        <v>14.500999999999999</v>
      </c>
      <c r="R161" s="2631">
        <v>12</v>
      </c>
    </row>
    <row r="162" spans="1:18">
      <c r="A162" s="2615"/>
      <c r="B162" s="2622" t="s">
        <v>5313</v>
      </c>
      <c r="C162" s="2622" t="s">
        <v>5234</v>
      </c>
      <c r="D162" s="2623">
        <v>13.962</v>
      </c>
      <c r="E162" s="2623">
        <v>13.682</v>
      </c>
      <c r="F162" s="2623">
        <v>12.663</v>
      </c>
      <c r="G162" s="2623">
        <v>12.563000000000001</v>
      </c>
      <c r="H162" s="2623">
        <v>11.797000000000001</v>
      </c>
      <c r="I162" s="2623">
        <v>11.331</v>
      </c>
      <c r="J162" s="2623"/>
      <c r="K162" s="2623"/>
      <c r="L162" s="2623"/>
      <c r="M162" s="2623"/>
      <c r="N162" s="2623"/>
      <c r="O162" s="2623"/>
      <c r="P162" s="2623"/>
      <c r="Q162" s="2623"/>
      <c r="R162" s="2631"/>
    </row>
    <row r="163" spans="1:18">
      <c r="A163" s="2615"/>
      <c r="B163" s="2622" t="s">
        <v>5314</v>
      </c>
      <c r="C163" s="2622" t="s">
        <v>5232</v>
      </c>
      <c r="D163" s="2623">
        <v>13.968</v>
      </c>
      <c r="E163" s="2623">
        <v>13.731999999999999</v>
      </c>
      <c r="F163" s="2623">
        <v>12.994</v>
      </c>
      <c r="G163" s="2623">
        <v>12.853999999999999</v>
      </c>
      <c r="H163" s="2623">
        <v>12.343999999999999</v>
      </c>
      <c r="I163" s="2623">
        <v>11.93</v>
      </c>
      <c r="J163" s="2623"/>
      <c r="K163" s="2623" t="s">
        <v>5233</v>
      </c>
      <c r="L163" s="2623">
        <v>12.375999999999999</v>
      </c>
      <c r="M163" s="2623">
        <v>12.676</v>
      </c>
      <c r="N163" s="2623">
        <v>13.026</v>
      </c>
      <c r="O163" s="2623">
        <v>13.215999999999999</v>
      </c>
      <c r="P163" s="2623">
        <v>14</v>
      </c>
      <c r="Q163" s="2623">
        <v>14.406000000000001</v>
      </c>
      <c r="R163" s="2631">
        <v>12</v>
      </c>
    </row>
    <row r="164" spans="1:18">
      <c r="A164" s="2615"/>
      <c r="B164" s="2622" t="s">
        <v>5314</v>
      </c>
      <c r="C164" s="2622" t="s">
        <v>5234</v>
      </c>
      <c r="D164" s="2623">
        <v>13.968</v>
      </c>
      <c r="E164" s="2623">
        <v>13.731999999999999</v>
      </c>
      <c r="F164" s="2623">
        <v>12.994</v>
      </c>
      <c r="G164" s="2623">
        <v>12.904</v>
      </c>
      <c r="H164" s="2623">
        <v>12.343999999999999</v>
      </c>
      <c r="I164" s="2623">
        <v>11.98</v>
      </c>
      <c r="J164" s="2623"/>
      <c r="K164" s="2623"/>
      <c r="L164" s="2623"/>
      <c r="M164" s="2623"/>
      <c r="N164" s="2623"/>
      <c r="O164" s="2623"/>
      <c r="P164" s="2623"/>
      <c r="Q164" s="2623"/>
      <c r="R164" s="2631"/>
    </row>
    <row r="165" spans="1:18">
      <c r="A165" s="2615"/>
      <c r="B165" s="2618" t="s">
        <v>5315</v>
      </c>
      <c r="C165" s="2622" t="s">
        <v>5232</v>
      </c>
      <c r="D165" s="2623">
        <v>13.972</v>
      </c>
      <c r="E165" s="2623">
        <v>13.76</v>
      </c>
      <c r="F165" s="2623">
        <v>13.16010125</v>
      </c>
      <c r="G165" s="2623">
        <v>13.028101250000001</v>
      </c>
      <c r="H165" s="2623">
        <v>12.618835000000001</v>
      </c>
      <c r="I165" s="2623">
        <v>12.25807</v>
      </c>
      <c r="J165" s="2623"/>
      <c r="K165" s="2623" t="s">
        <v>5233</v>
      </c>
      <c r="L165" s="2623">
        <v>12.646834999999999</v>
      </c>
      <c r="M165" s="2623">
        <v>12.911835</v>
      </c>
      <c r="N165" s="2623">
        <v>13.188101250000001</v>
      </c>
      <c r="O165" s="2623">
        <v>13.358101250000001</v>
      </c>
      <c r="P165" s="2623">
        <v>14</v>
      </c>
      <c r="Q165" s="2623">
        <v>14.350422500000001</v>
      </c>
      <c r="R165" s="2631">
        <v>12</v>
      </c>
    </row>
    <row r="166" spans="1:18">
      <c r="A166" s="2615"/>
      <c r="B166" s="2618" t="s">
        <v>5315</v>
      </c>
      <c r="C166" s="2622" t="s">
        <v>5234</v>
      </c>
      <c r="D166" s="2623">
        <v>13.972</v>
      </c>
      <c r="E166" s="2623">
        <v>13.76</v>
      </c>
      <c r="F166" s="2623">
        <v>13.16010125</v>
      </c>
      <c r="G166" s="2623">
        <v>13.075101249999999</v>
      </c>
      <c r="H166" s="2623">
        <v>12.618835000000001</v>
      </c>
      <c r="I166" s="2623">
        <v>12.305070000000001</v>
      </c>
      <c r="J166" s="2623"/>
      <c r="K166" s="2623"/>
      <c r="L166" s="2623"/>
      <c r="M166" s="2623"/>
      <c r="N166" s="2623"/>
      <c r="O166" s="2623"/>
      <c r="P166" s="2623"/>
      <c r="Q166" s="2623"/>
      <c r="R166" s="2631"/>
    </row>
    <row r="167" spans="1:18">
      <c r="A167" s="2615"/>
      <c r="B167" s="2618" t="s">
        <v>5316</v>
      </c>
      <c r="C167" s="2622" t="s">
        <v>5232</v>
      </c>
      <c r="D167" s="2623">
        <v>13.974</v>
      </c>
      <c r="E167" s="2623">
        <v>13.794</v>
      </c>
      <c r="F167" s="2623">
        <v>13.324481</v>
      </c>
      <c r="G167" s="2623">
        <v>13.206481</v>
      </c>
      <c r="H167" s="2623">
        <v>12.891468</v>
      </c>
      <c r="I167" s="2623">
        <v>12.590456</v>
      </c>
      <c r="J167" s="2623"/>
      <c r="K167" s="2623" t="s">
        <v>5233</v>
      </c>
      <c r="L167" s="2623">
        <v>12.917468</v>
      </c>
      <c r="M167" s="2623">
        <v>13.153468</v>
      </c>
      <c r="N167" s="2623">
        <v>13.350481</v>
      </c>
      <c r="O167" s="2623">
        <v>13.510481</v>
      </c>
      <c r="P167" s="2623">
        <v>14</v>
      </c>
      <c r="Q167" s="2623">
        <v>14.304338</v>
      </c>
      <c r="R167" s="2631">
        <v>12</v>
      </c>
    </row>
    <row r="168" spans="1:18">
      <c r="A168" s="2615"/>
      <c r="B168" s="2618" t="s">
        <v>5316</v>
      </c>
      <c r="C168" s="2622" t="s">
        <v>5234</v>
      </c>
      <c r="D168" s="2623">
        <v>13.974</v>
      </c>
      <c r="E168" s="2623">
        <v>13.794</v>
      </c>
      <c r="F168" s="2623">
        <v>13.324481</v>
      </c>
      <c r="G168" s="2623">
        <v>13.250481000000001</v>
      </c>
      <c r="H168" s="2623">
        <v>12.891468</v>
      </c>
      <c r="I168" s="2623">
        <v>12.634456</v>
      </c>
      <c r="J168" s="2623"/>
      <c r="K168" s="2623"/>
      <c r="L168" s="2623"/>
      <c r="M168" s="2623"/>
      <c r="N168" s="2623"/>
      <c r="O168" s="2623"/>
      <c r="P168" s="2623"/>
      <c r="Q168" s="2623"/>
      <c r="R168" s="2631"/>
    </row>
    <row r="169" spans="1:18">
      <c r="A169" s="2615"/>
      <c r="B169" s="2618" t="s">
        <v>5317</v>
      </c>
      <c r="C169" s="2622" t="s">
        <v>5232</v>
      </c>
      <c r="D169" s="2623">
        <v>13.978</v>
      </c>
      <c r="E169" s="2623">
        <v>13.837999999999999</v>
      </c>
      <c r="F169" s="2623">
        <v>13.49086075</v>
      </c>
      <c r="G169" s="2623">
        <v>13.38486075</v>
      </c>
      <c r="H169" s="2623">
        <v>13.166100999999999</v>
      </c>
      <c r="I169" s="2623">
        <v>12.922841999999999</v>
      </c>
      <c r="J169" s="2623"/>
      <c r="K169" s="2623" t="s">
        <v>5233</v>
      </c>
      <c r="L169" s="2623">
        <v>13.188101</v>
      </c>
      <c r="M169" s="2623">
        <v>13.378100999999999</v>
      </c>
      <c r="N169" s="2623">
        <v>13.51286075</v>
      </c>
      <c r="O169" s="2623">
        <v>13.65278075</v>
      </c>
      <c r="P169" s="2623">
        <v>14</v>
      </c>
      <c r="Q169" s="2623">
        <v>14.2481735</v>
      </c>
      <c r="R169" s="2631">
        <v>12</v>
      </c>
    </row>
    <row r="170" spans="1:18">
      <c r="A170" s="2615"/>
      <c r="B170" s="2618" t="s">
        <v>5317</v>
      </c>
      <c r="C170" s="2622" t="s">
        <v>5234</v>
      </c>
      <c r="D170" s="2623">
        <v>13.978</v>
      </c>
      <c r="E170" s="2623">
        <v>13.837999999999999</v>
      </c>
      <c r="F170" s="2623">
        <v>13.49086075</v>
      </c>
      <c r="G170" s="2623">
        <v>13.423860749999999</v>
      </c>
      <c r="H170" s="2623">
        <v>13.166100999999999</v>
      </c>
      <c r="I170" s="2623">
        <v>12.961842000000001</v>
      </c>
      <c r="J170" s="2623"/>
      <c r="K170" s="2623"/>
      <c r="L170" s="2623"/>
      <c r="M170" s="2623"/>
      <c r="N170" s="2623"/>
      <c r="O170" s="2623"/>
      <c r="P170" s="2623"/>
      <c r="Q170" s="2623"/>
      <c r="R170" s="2631"/>
    </row>
    <row r="171" spans="1:18">
      <c r="A171" s="2615"/>
      <c r="B171" s="2618" t="s">
        <v>5318</v>
      </c>
      <c r="C171" s="2622" t="s">
        <v>5232</v>
      </c>
      <c r="D171" s="2623">
        <v>13.98</v>
      </c>
      <c r="E171" s="2623">
        <v>13.874000000000001</v>
      </c>
      <c r="F171" s="2623">
        <v>13.6552405</v>
      </c>
      <c r="G171" s="2623">
        <v>13.5652405</v>
      </c>
      <c r="H171" s="2623">
        <v>13.438734</v>
      </c>
      <c r="I171" s="2623">
        <v>13.257228</v>
      </c>
      <c r="J171" s="2623"/>
      <c r="K171" s="2623" t="s">
        <v>5233</v>
      </c>
      <c r="L171" s="2623">
        <v>13.458734</v>
      </c>
      <c r="M171" s="2623">
        <v>13.598734</v>
      </c>
      <c r="N171" s="2623">
        <v>13.675240499999999</v>
      </c>
      <c r="O171" s="2623">
        <v>13.7952405</v>
      </c>
      <c r="P171" s="2623">
        <v>14</v>
      </c>
      <c r="Q171" s="2623">
        <v>14.192169</v>
      </c>
      <c r="R171" s="2631">
        <v>12</v>
      </c>
    </row>
    <row r="172" spans="1:18">
      <c r="A172" s="2615"/>
      <c r="B172" s="2618" t="s">
        <v>5318</v>
      </c>
      <c r="C172" s="2622" t="s">
        <v>5234</v>
      </c>
      <c r="D172" s="2623">
        <v>13.98</v>
      </c>
      <c r="E172" s="2623">
        <v>13.874000000000001</v>
      </c>
      <c r="F172" s="2623">
        <v>13.6552405</v>
      </c>
      <c r="G172" s="2623">
        <v>13.598240499999999</v>
      </c>
      <c r="H172" s="2623">
        <v>13.438734</v>
      </c>
      <c r="I172" s="2623">
        <v>13.290228000000001</v>
      </c>
      <c r="J172" s="2623"/>
      <c r="K172" s="2623"/>
      <c r="L172" s="2623"/>
      <c r="M172" s="2623"/>
      <c r="N172" s="2623"/>
      <c r="O172" s="2623"/>
      <c r="P172" s="2623"/>
      <c r="Q172" s="2623"/>
      <c r="R172" s="2631"/>
    </row>
    <row r="173" spans="1:18">
      <c r="A173" s="2615">
        <v>15</v>
      </c>
      <c r="B173" s="2618" t="s">
        <v>5319</v>
      </c>
      <c r="C173" s="2622" t="s">
        <v>5232</v>
      </c>
      <c r="D173" s="2623">
        <v>14.968</v>
      </c>
      <c r="E173" s="2623">
        <v>14.731999999999999</v>
      </c>
      <c r="F173" s="2623">
        <v>13.993721499999999</v>
      </c>
      <c r="G173" s="2623">
        <v>13.853721500000001</v>
      </c>
      <c r="H173" s="2623">
        <v>13.344201999999999</v>
      </c>
      <c r="I173" s="2623">
        <v>12.929684</v>
      </c>
      <c r="J173" s="2623"/>
      <c r="K173" s="2623" t="s">
        <v>5233</v>
      </c>
      <c r="L173" s="2623">
        <v>13.376201999999999</v>
      </c>
      <c r="M173" s="2623">
        <v>13.676202</v>
      </c>
      <c r="N173" s="2623">
        <v>14.0257215</v>
      </c>
      <c r="O173" s="2623">
        <v>14.215721500000001</v>
      </c>
      <c r="P173" s="2623">
        <v>15</v>
      </c>
      <c r="Q173" s="2623">
        <v>15.406507</v>
      </c>
      <c r="R173" s="2631">
        <v>13</v>
      </c>
    </row>
    <row r="174" spans="1:18">
      <c r="A174" s="2615"/>
      <c r="B174" s="2618" t="s">
        <v>5319</v>
      </c>
      <c r="C174" s="2622" t="s">
        <v>5234</v>
      </c>
      <c r="D174" s="2623">
        <v>14.968</v>
      </c>
      <c r="E174" s="2623">
        <v>14.731999999999999</v>
      </c>
      <c r="F174" s="2623">
        <v>13.993721499999999</v>
      </c>
      <c r="G174" s="2623">
        <v>13.9037215</v>
      </c>
      <c r="H174" s="2623">
        <v>13.344201999999999</v>
      </c>
      <c r="I174" s="2623">
        <v>12.979684000000001</v>
      </c>
      <c r="J174" s="2623"/>
      <c r="K174" s="2623"/>
      <c r="L174" s="2623"/>
      <c r="M174" s="2623"/>
      <c r="N174" s="2623"/>
      <c r="O174" s="2623"/>
      <c r="P174" s="2623"/>
      <c r="Q174" s="2623"/>
      <c r="R174" s="2631"/>
    </row>
    <row r="175" spans="1:18">
      <c r="A175" s="2615"/>
      <c r="B175" s="2622" t="s">
        <v>5320</v>
      </c>
      <c r="C175" s="2622" t="s">
        <v>5232</v>
      </c>
      <c r="D175" s="2623">
        <v>14.974</v>
      </c>
      <c r="E175" s="2623">
        <v>14.794</v>
      </c>
      <c r="F175" s="2623">
        <v>14.324</v>
      </c>
      <c r="G175" s="2623">
        <v>14.206</v>
      </c>
      <c r="H175" s="2623">
        <v>13.891</v>
      </c>
      <c r="I175" s="2623">
        <v>13.59</v>
      </c>
      <c r="J175" s="2623"/>
      <c r="K175" s="2623" t="s">
        <v>5233</v>
      </c>
      <c r="L175" s="2623">
        <v>13.917</v>
      </c>
      <c r="M175" s="2623">
        <v>14.153</v>
      </c>
      <c r="N175" s="2623">
        <v>14.35</v>
      </c>
      <c r="O175" s="2623">
        <v>14.51</v>
      </c>
      <c r="P175" s="2623">
        <v>15</v>
      </c>
      <c r="Q175" s="2623">
        <v>15.304</v>
      </c>
      <c r="R175" s="2631">
        <v>13</v>
      </c>
    </row>
    <row r="176" spans="1:18">
      <c r="A176" s="2615"/>
      <c r="B176" s="2622" t="s">
        <v>5320</v>
      </c>
      <c r="C176" s="2622" t="s">
        <v>5234</v>
      </c>
      <c r="D176" s="2623">
        <v>14.974</v>
      </c>
      <c r="E176" s="2623">
        <v>14.794</v>
      </c>
      <c r="F176" s="2623">
        <v>14.324</v>
      </c>
      <c r="G176" s="2623">
        <v>14.249000000000001</v>
      </c>
      <c r="H176" s="2623">
        <v>13.891</v>
      </c>
      <c r="I176" s="2623">
        <v>13.632999999999999</v>
      </c>
      <c r="J176" s="2623"/>
      <c r="K176" s="2623"/>
      <c r="L176" s="2623"/>
      <c r="M176" s="2623"/>
      <c r="N176" s="2623"/>
      <c r="O176" s="2623"/>
      <c r="P176" s="2623"/>
      <c r="Q176" s="2623"/>
      <c r="R176" s="2631"/>
    </row>
    <row r="177" spans="1:18">
      <c r="A177" s="2615">
        <v>16</v>
      </c>
      <c r="B177" s="2622" t="s">
        <v>5321</v>
      </c>
      <c r="C177" s="2622" t="s">
        <v>5232</v>
      </c>
      <c r="D177" s="2623">
        <v>15.962</v>
      </c>
      <c r="E177" s="2623">
        <v>15.682</v>
      </c>
      <c r="F177" s="2623">
        <v>14.663</v>
      </c>
      <c r="G177" s="2623">
        <v>14.503</v>
      </c>
      <c r="H177" s="2623">
        <v>13.797000000000001</v>
      </c>
      <c r="I177" s="2623">
        <v>13.271000000000001</v>
      </c>
      <c r="J177" s="2623"/>
      <c r="K177" s="2623" t="s">
        <v>5233</v>
      </c>
      <c r="L177" s="2623">
        <v>13.835000000000001</v>
      </c>
      <c r="M177" s="2623">
        <v>14.21</v>
      </c>
      <c r="N177" s="2623">
        <v>14.701000000000001</v>
      </c>
      <c r="O177" s="2623">
        <v>14.913</v>
      </c>
      <c r="P177" s="2623">
        <v>16</v>
      </c>
      <c r="Q177" s="2623">
        <v>16.501000000000001</v>
      </c>
      <c r="R177" s="2631">
        <v>12</v>
      </c>
    </row>
    <row r="178" spans="1:18">
      <c r="A178" s="2615"/>
      <c r="B178" s="2622" t="s">
        <v>5321</v>
      </c>
      <c r="C178" s="2622" t="s">
        <v>5234</v>
      </c>
      <c r="D178" s="2623">
        <v>15.962</v>
      </c>
      <c r="E178" s="2623">
        <v>15.682</v>
      </c>
      <c r="F178" s="2623">
        <v>14.663</v>
      </c>
      <c r="G178" s="2623">
        <v>14.563000000000001</v>
      </c>
      <c r="H178" s="2623">
        <v>13.797000000000001</v>
      </c>
      <c r="I178" s="2623">
        <v>13.331</v>
      </c>
      <c r="J178" s="2623"/>
      <c r="K178" s="2623"/>
      <c r="L178" s="2623"/>
      <c r="M178" s="2623"/>
      <c r="N178" s="2623"/>
      <c r="O178" s="2623"/>
      <c r="P178" s="2623"/>
      <c r="Q178" s="2623"/>
      <c r="R178" s="2631"/>
    </row>
    <row r="179" spans="1:18">
      <c r="A179" s="2615"/>
      <c r="B179" s="2622" t="s">
        <v>5322</v>
      </c>
      <c r="C179" s="2622" t="s">
        <v>5232</v>
      </c>
      <c r="D179" s="2623">
        <v>15.968</v>
      </c>
      <c r="E179" s="2623">
        <v>15.756</v>
      </c>
      <c r="F179" s="2623">
        <v>14.928769600000001</v>
      </c>
      <c r="G179" s="2623">
        <v>14.8237696</v>
      </c>
      <c r="H179" s="2623">
        <v>14.235948799999999</v>
      </c>
      <c r="I179" s="2623">
        <v>13.8381296</v>
      </c>
      <c r="J179" s="2623"/>
      <c r="K179" s="2623" t="s">
        <v>5233</v>
      </c>
      <c r="L179" s="2623">
        <v>14.267948799999999</v>
      </c>
      <c r="M179" s="2623">
        <v>14.5679488</v>
      </c>
      <c r="N179" s="2623">
        <v>14.960769600000001</v>
      </c>
      <c r="O179" s="2623">
        <v>15.1007696</v>
      </c>
      <c r="P179" s="2623">
        <v>16</v>
      </c>
      <c r="Q179" s="2623">
        <v>16.3709408</v>
      </c>
      <c r="R179" s="2631">
        <v>12</v>
      </c>
    </row>
    <row r="180" spans="1:18">
      <c r="A180" s="2615"/>
      <c r="B180" s="2622" t="s">
        <v>5322</v>
      </c>
      <c r="C180" s="2622" t="s">
        <v>5234</v>
      </c>
      <c r="D180" s="2623">
        <v>15.968</v>
      </c>
      <c r="E180" s="2623">
        <v>15.756</v>
      </c>
      <c r="F180" s="2623">
        <v>14.928769600000001</v>
      </c>
      <c r="G180" s="2623">
        <v>14.8627696</v>
      </c>
      <c r="H180" s="2623">
        <v>14.235948799999999</v>
      </c>
      <c r="I180" s="2623">
        <v>13.8771296</v>
      </c>
      <c r="J180" s="2623"/>
      <c r="K180" s="2623"/>
      <c r="L180" s="2623"/>
      <c r="M180" s="2623"/>
      <c r="N180" s="2623"/>
      <c r="O180" s="2623"/>
      <c r="P180" s="2623"/>
      <c r="Q180" s="2623"/>
      <c r="R180" s="2631"/>
    </row>
    <row r="181" spans="1:18">
      <c r="A181" s="2615"/>
      <c r="B181" s="2622" t="s">
        <v>5323</v>
      </c>
      <c r="C181" s="2622" t="s">
        <v>5232</v>
      </c>
      <c r="D181" s="2623">
        <v>15.968</v>
      </c>
      <c r="E181" s="2623">
        <v>15.731999999999999</v>
      </c>
      <c r="F181" s="2623">
        <v>14.994</v>
      </c>
      <c r="G181" s="2623">
        <v>14.853999999999999</v>
      </c>
      <c r="H181" s="2623">
        <v>14.343999999999999</v>
      </c>
      <c r="I181" s="2623">
        <v>13.93</v>
      </c>
      <c r="J181" s="2623"/>
      <c r="K181" s="2623" t="s">
        <v>5233</v>
      </c>
      <c r="L181" s="2623">
        <v>14.375999999999999</v>
      </c>
      <c r="M181" s="2623">
        <v>14.676</v>
      </c>
      <c r="N181" s="2623">
        <v>15.026</v>
      </c>
      <c r="O181" s="2623">
        <v>15.215999999999999</v>
      </c>
      <c r="P181" s="2623">
        <v>16</v>
      </c>
      <c r="Q181" s="2623">
        <v>16.405999999999999</v>
      </c>
      <c r="R181" s="2631">
        <v>12</v>
      </c>
    </row>
    <row r="182" spans="1:18">
      <c r="A182" s="2615"/>
      <c r="B182" s="2622" t="s">
        <v>5323</v>
      </c>
      <c r="C182" s="2622" t="s">
        <v>5234</v>
      </c>
      <c r="D182" s="2623">
        <v>15.968</v>
      </c>
      <c r="E182" s="2623">
        <v>15.731999999999999</v>
      </c>
      <c r="F182" s="2623">
        <v>14.994</v>
      </c>
      <c r="G182" s="2623">
        <v>14.904</v>
      </c>
      <c r="H182" s="2623">
        <v>14.343999999999999</v>
      </c>
      <c r="I182" s="2623">
        <v>13.98</v>
      </c>
      <c r="J182" s="2623"/>
      <c r="K182" s="2623"/>
      <c r="L182" s="2623"/>
      <c r="M182" s="2623"/>
      <c r="N182" s="2623"/>
      <c r="O182" s="2623"/>
      <c r="P182" s="2623"/>
      <c r="Q182" s="2623"/>
      <c r="R182" s="2631"/>
    </row>
    <row r="183" spans="1:18">
      <c r="A183" s="2615"/>
      <c r="B183" s="2618" t="s">
        <v>5324</v>
      </c>
      <c r="C183" s="2622" t="s">
        <v>5232</v>
      </c>
      <c r="D183" s="2623">
        <v>15.972</v>
      </c>
      <c r="E183" s="2623">
        <v>15.76</v>
      </c>
      <c r="F183" s="2623">
        <v>15.16010125</v>
      </c>
      <c r="G183" s="2623">
        <v>15.028101250000001</v>
      </c>
      <c r="H183" s="2623">
        <v>14.618835000000001</v>
      </c>
      <c r="I183" s="2623">
        <v>14.25807</v>
      </c>
      <c r="J183" s="2623"/>
      <c r="K183" s="2623" t="s">
        <v>5233</v>
      </c>
      <c r="L183" s="2623">
        <v>14.646834999999999</v>
      </c>
      <c r="M183" s="2623">
        <v>14.911835</v>
      </c>
      <c r="N183" s="2623">
        <v>15.188101250000001</v>
      </c>
      <c r="O183" s="2623">
        <v>15.358101250000001</v>
      </c>
      <c r="P183" s="2623">
        <v>16</v>
      </c>
      <c r="Q183" s="2623">
        <v>16.350422500000001</v>
      </c>
      <c r="R183" s="2631">
        <v>12</v>
      </c>
    </row>
    <row r="184" spans="1:18">
      <c r="A184" s="2615"/>
      <c r="B184" s="2618" t="s">
        <v>5324</v>
      </c>
      <c r="C184" s="2622" t="s">
        <v>5234</v>
      </c>
      <c r="D184" s="2623">
        <v>15.972</v>
      </c>
      <c r="E184" s="2623">
        <v>15.76</v>
      </c>
      <c r="F184" s="2623">
        <v>15.16010125</v>
      </c>
      <c r="G184" s="2623">
        <v>15.075101249999999</v>
      </c>
      <c r="H184" s="2623">
        <v>14.618835000000001</v>
      </c>
      <c r="I184" s="2623">
        <v>14.305070000000001</v>
      </c>
      <c r="J184" s="2623"/>
      <c r="K184" s="2623"/>
      <c r="L184" s="2623"/>
      <c r="M184" s="2623"/>
      <c r="N184" s="2623"/>
      <c r="O184" s="2623"/>
      <c r="P184" s="2623"/>
      <c r="Q184" s="2623"/>
      <c r="R184" s="2631"/>
    </row>
    <row r="185" spans="1:18">
      <c r="A185" s="2615"/>
      <c r="B185" s="2618" t="s">
        <v>5325</v>
      </c>
      <c r="C185" s="2622" t="s">
        <v>5232</v>
      </c>
      <c r="D185" s="2623">
        <v>15.974</v>
      </c>
      <c r="E185" s="2623">
        <v>15.794</v>
      </c>
      <c r="F185" s="2623">
        <v>15.324481</v>
      </c>
      <c r="G185" s="2623">
        <v>15.206481</v>
      </c>
      <c r="H185" s="2623">
        <v>14.891468</v>
      </c>
      <c r="I185" s="2623">
        <v>14.590456</v>
      </c>
      <c r="J185" s="2623"/>
      <c r="K185" s="2623" t="s">
        <v>5233</v>
      </c>
      <c r="L185" s="2623">
        <v>14.917468</v>
      </c>
      <c r="M185" s="2623">
        <v>15.153468</v>
      </c>
      <c r="N185" s="2623">
        <v>15.350481</v>
      </c>
      <c r="O185" s="2623">
        <v>15.510481</v>
      </c>
      <c r="P185" s="2623">
        <v>16</v>
      </c>
      <c r="Q185" s="2623">
        <v>16.304338000000001</v>
      </c>
      <c r="R185" s="2631">
        <v>13</v>
      </c>
    </row>
    <row r="186" spans="1:18">
      <c r="A186" s="2615"/>
      <c r="B186" s="2618" t="s">
        <v>5325</v>
      </c>
      <c r="C186" s="2622" t="s">
        <v>5234</v>
      </c>
      <c r="D186" s="2623">
        <v>15.974</v>
      </c>
      <c r="E186" s="2623">
        <v>15.794</v>
      </c>
      <c r="F186" s="2623">
        <v>15.324481</v>
      </c>
      <c r="G186" s="2623">
        <v>15.249480999999999</v>
      </c>
      <c r="H186" s="2623">
        <v>14.891468</v>
      </c>
      <c r="I186" s="2623">
        <v>14.633456000000001</v>
      </c>
      <c r="J186" s="2623"/>
      <c r="K186" s="2623"/>
      <c r="L186" s="2623"/>
      <c r="M186" s="2623"/>
      <c r="N186" s="2623"/>
      <c r="O186" s="2623"/>
      <c r="P186" s="2623"/>
      <c r="Q186" s="2623"/>
      <c r="R186" s="2631"/>
    </row>
    <row r="187" spans="1:18">
      <c r="A187" s="2615"/>
      <c r="B187" s="2618" t="s">
        <v>5326</v>
      </c>
      <c r="C187" s="2622" t="s">
        <v>5232</v>
      </c>
      <c r="D187" s="2623">
        <v>15.978</v>
      </c>
      <c r="E187" s="2623">
        <v>15.837999999999999</v>
      </c>
      <c r="F187" s="2623">
        <v>15.49086075</v>
      </c>
      <c r="G187" s="2623">
        <v>15.38486075</v>
      </c>
      <c r="H187" s="2623">
        <v>15.166100999999999</v>
      </c>
      <c r="I187" s="2623">
        <v>14.922841999999999</v>
      </c>
      <c r="J187" s="2623"/>
      <c r="K187" s="2623" t="s">
        <v>5233</v>
      </c>
      <c r="L187" s="2623">
        <v>15.188101</v>
      </c>
      <c r="M187" s="2623">
        <v>15.378100999999999</v>
      </c>
      <c r="N187" s="2623">
        <v>15.51286075</v>
      </c>
      <c r="O187" s="2623">
        <v>15.65278075</v>
      </c>
      <c r="P187" s="2623">
        <v>16</v>
      </c>
      <c r="Q187" s="2623">
        <v>16.2481735</v>
      </c>
      <c r="R187" s="2631">
        <v>14</v>
      </c>
    </row>
    <row r="188" spans="1:18">
      <c r="A188" s="2615"/>
      <c r="B188" s="2618" t="s">
        <v>5326</v>
      </c>
      <c r="C188" s="2622" t="s">
        <v>5234</v>
      </c>
      <c r="D188" s="2623">
        <v>15.978</v>
      </c>
      <c r="E188" s="2623">
        <v>15.837999999999999</v>
      </c>
      <c r="F188" s="2623">
        <v>15.49086075</v>
      </c>
      <c r="G188" s="2623">
        <v>15.423860749999999</v>
      </c>
      <c r="H188" s="2623">
        <v>15.166100999999999</v>
      </c>
      <c r="I188" s="2623">
        <v>14.961842000000001</v>
      </c>
      <c r="J188" s="2623"/>
      <c r="K188" s="2623"/>
      <c r="L188" s="2623"/>
      <c r="M188" s="2623"/>
      <c r="N188" s="2623"/>
      <c r="O188" s="2623"/>
      <c r="P188" s="2623"/>
      <c r="Q188" s="2623"/>
      <c r="R188" s="2631"/>
    </row>
    <row r="189" spans="1:18">
      <c r="A189" s="2615"/>
      <c r="B189" s="2618" t="s">
        <v>5327</v>
      </c>
      <c r="C189" s="2622" t="s">
        <v>5232</v>
      </c>
      <c r="D189" s="2623">
        <v>15.98</v>
      </c>
      <c r="E189" s="2623">
        <v>15.874000000000001</v>
      </c>
      <c r="F189" s="2623">
        <v>15.6552405</v>
      </c>
      <c r="G189" s="2623">
        <v>15.5652405</v>
      </c>
      <c r="H189" s="2623">
        <v>15.438734</v>
      </c>
      <c r="I189" s="2623">
        <v>15.257228</v>
      </c>
      <c r="J189" s="2623"/>
      <c r="K189" s="2623" t="s">
        <v>5233</v>
      </c>
      <c r="L189" s="2623">
        <v>15.458734</v>
      </c>
      <c r="M189" s="2623">
        <v>15.598734</v>
      </c>
      <c r="N189" s="2623">
        <v>15.675240499999999</v>
      </c>
      <c r="O189" s="2623">
        <v>15.7952405</v>
      </c>
      <c r="P189" s="2623">
        <v>16</v>
      </c>
      <c r="Q189" s="2623">
        <v>16.192169</v>
      </c>
      <c r="R189" s="2631">
        <v>14</v>
      </c>
    </row>
    <row r="190" spans="1:18">
      <c r="A190" s="2615"/>
      <c r="B190" s="2618" t="s">
        <v>5327</v>
      </c>
      <c r="C190" s="2622" t="s">
        <v>5234</v>
      </c>
      <c r="D190" s="2623">
        <v>15.98</v>
      </c>
      <c r="E190" s="2623">
        <v>15.874000000000001</v>
      </c>
      <c r="F190" s="2623">
        <v>15.6552405</v>
      </c>
      <c r="G190" s="2623">
        <v>15.599240500000001</v>
      </c>
      <c r="H190" s="2623">
        <v>15.438734</v>
      </c>
      <c r="I190" s="2623">
        <v>15.291228</v>
      </c>
      <c r="J190" s="2623"/>
      <c r="K190" s="2623"/>
      <c r="L190" s="2623"/>
      <c r="M190" s="2623"/>
      <c r="N190" s="2623"/>
      <c r="O190" s="2623"/>
      <c r="P190" s="2623"/>
      <c r="Q190" s="2623"/>
      <c r="R190" s="2631"/>
    </row>
    <row r="191" spans="1:18">
      <c r="A191" s="2615">
        <v>17</v>
      </c>
      <c r="B191" s="2618" t="s">
        <v>5328</v>
      </c>
      <c r="C191" s="2622" t="s">
        <v>5232</v>
      </c>
      <c r="D191" s="2623">
        <v>16.968</v>
      </c>
      <c r="E191" s="2623">
        <v>16.731999999999999</v>
      </c>
      <c r="F191" s="2623">
        <v>15.993721499999999</v>
      </c>
      <c r="G191" s="2623">
        <v>15.853721500000001</v>
      </c>
      <c r="H191" s="2623">
        <v>15.344201999999999</v>
      </c>
      <c r="I191" s="2623">
        <v>14.929684</v>
      </c>
      <c r="J191" s="2623"/>
      <c r="K191" s="2623" t="s">
        <v>5233</v>
      </c>
      <c r="L191" s="2623">
        <v>15.376201999999999</v>
      </c>
      <c r="M191" s="2623">
        <v>15.676202</v>
      </c>
      <c r="N191" s="2623">
        <v>16.0257215</v>
      </c>
      <c r="O191" s="2623">
        <v>16.215721500000001</v>
      </c>
      <c r="P191" s="2623">
        <v>17</v>
      </c>
      <c r="Q191" s="2623">
        <v>17.406507000000001</v>
      </c>
      <c r="R191" s="2631">
        <v>15</v>
      </c>
    </row>
    <row r="192" spans="1:18">
      <c r="A192" s="2615"/>
      <c r="B192" s="2618" t="s">
        <v>5328</v>
      </c>
      <c r="C192" s="2622" t="s">
        <v>5234</v>
      </c>
      <c r="D192" s="2623">
        <v>16.968</v>
      </c>
      <c r="E192" s="2623">
        <v>16.731999999999999</v>
      </c>
      <c r="F192" s="2623">
        <v>15.993721499999999</v>
      </c>
      <c r="G192" s="2623">
        <v>15.9037215</v>
      </c>
      <c r="H192" s="2623">
        <v>15.344201999999999</v>
      </c>
      <c r="I192" s="2623">
        <v>14.979684000000001</v>
      </c>
      <c r="J192" s="2623"/>
      <c r="K192" s="2623"/>
      <c r="L192" s="2623"/>
      <c r="M192" s="2623"/>
      <c r="N192" s="2623"/>
      <c r="O192" s="2623"/>
      <c r="P192" s="2623"/>
      <c r="Q192" s="2623"/>
      <c r="R192" s="2631"/>
    </row>
    <row r="193" spans="1:18">
      <c r="A193" s="2615"/>
      <c r="B193" s="2622" t="s">
        <v>5329</v>
      </c>
      <c r="C193" s="2622" t="s">
        <v>5232</v>
      </c>
      <c r="D193" s="2623">
        <v>16.974</v>
      </c>
      <c r="E193" s="2623">
        <v>16.794</v>
      </c>
      <c r="F193" s="2623">
        <v>16.324000000000002</v>
      </c>
      <c r="G193" s="2623">
        <v>16.206</v>
      </c>
      <c r="H193" s="2623">
        <v>15.891</v>
      </c>
      <c r="I193" s="2623">
        <v>15.59</v>
      </c>
      <c r="J193" s="2623"/>
      <c r="K193" s="2623" t="s">
        <v>5233</v>
      </c>
      <c r="L193" s="2623">
        <v>15.917</v>
      </c>
      <c r="M193" s="2623">
        <v>16.152999999999999</v>
      </c>
      <c r="N193" s="2623">
        <v>16.350000000000001</v>
      </c>
      <c r="O193" s="2623">
        <v>16.510000000000002</v>
      </c>
      <c r="P193" s="2623">
        <v>17</v>
      </c>
      <c r="Q193" s="2623">
        <v>17.303999999999998</v>
      </c>
      <c r="R193" s="2631">
        <v>15</v>
      </c>
    </row>
    <row r="194" spans="1:18">
      <c r="A194" s="2615"/>
      <c r="B194" s="2622" t="s">
        <v>5329</v>
      </c>
      <c r="C194" s="2622" t="s">
        <v>5234</v>
      </c>
      <c r="D194" s="2623">
        <v>16.974</v>
      </c>
      <c r="E194" s="2623">
        <v>16.794</v>
      </c>
      <c r="F194" s="2623">
        <v>16.324000000000002</v>
      </c>
      <c r="G194" s="2623">
        <v>16.248999999999999</v>
      </c>
      <c r="H194" s="2623">
        <v>15.891</v>
      </c>
      <c r="I194" s="2623">
        <v>15.632999999999999</v>
      </c>
      <c r="J194" s="2623"/>
      <c r="K194" s="2623"/>
      <c r="L194" s="2623"/>
      <c r="M194" s="2623"/>
      <c r="N194" s="2623"/>
      <c r="O194" s="2623"/>
      <c r="P194" s="2623"/>
      <c r="Q194" s="2623"/>
      <c r="R194" s="2631"/>
    </row>
    <row r="195" spans="1:18">
      <c r="A195" s="2615">
        <v>18</v>
      </c>
      <c r="B195" s="2618" t="s">
        <v>5330</v>
      </c>
      <c r="C195" s="2622" t="s">
        <v>5232</v>
      </c>
      <c r="D195" s="2623">
        <v>17.957999999999998</v>
      </c>
      <c r="E195" s="2623">
        <v>17.623000000000001</v>
      </c>
      <c r="F195" s="2623">
        <v>16.3342025</v>
      </c>
      <c r="G195" s="2623">
        <v>16.164202499999998</v>
      </c>
      <c r="H195" s="2623">
        <v>15.251670000000001</v>
      </c>
      <c r="I195" s="2623">
        <v>14.624140000000001</v>
      </c>
      <c r="J195" s="2623"/>
      <c r="K195" s="2623" t="s">
        <v>5233</v>
      </c>
      <c r="L195" s="2623">
        <v>15.293670000000001</v>
      </c>
      <c r="M195" s="2623">
        <v>15.74367</v>
      </c>
      <c r="N195" s="2623">
        <v>16.376202500000002</v>
      </c>
      <c r="O195" s="2623">
        <v>16.600602500000001</v>
      </c>
      <c r="P195" s="2623">
        <v>18</v>
      </c>
      <c r="Q195" s="2623">
        <v>18.585245</v>
      </c>
      <c r="R195" s="2631">
        <v>14</v>
      </c>
    </row>
    <row r="196" spans="1:18">
      <c r="A196" s="2615"/>
      <c r="B196" s="2618" t="s">
        <v>5330</v>
      </c>
      <c r="C196" s="2622" t="s">
        <v>5234</v>
      </c>
      <c r="D196" s="2623">
        <v>17.957999999999998</v>
      </c>
      <c r="E196" s="2623">
        <v>17.623000000000001</v>
      </c>
      <c r="F196" s="2623">
        <v>16.3342025</v>
      </c>
      <c r="G196" s="2623">
        <v>16.228202499999998</v>
      </c>
      <c r="H196" s="2623">
        <v>15.251670000000001</v>
      </c>
      <c r="I196" s="2623">
        <v>14.688140000000001</v>
      </c>
      <c r="J196" s="2623"/>
      <c r="K196" s="2623"/>
      <c r="L196" s="2623"/>
      <c r="M196" s="2623"/>
      <c r="N196" s="2623"/>
      <c r="O196" s="2623"/>
      <c r="P196" s="2623"/>
      <c r="Q196" s="2623"/>
      <c r="R196" s="2631"/>
    </row>
    <row r="197" spans="1:18">
      <c r="A197" s="2615"/>
      <c r="B197" s="2618" t="s">
        <v>5331</v>
      </c>
      <c r="C197" s="2622" t="s">
        <v>5232</v>
      </c>
      <c r="D197" s="2623">
        <v>17.962</v>
      </c>
      <c r="E197" s="2623">
        <v>17.681999999999999</v>
      </c>
      <c r="F197" s="2623">
        <v>16.662962</v>
      </c>
      <c r="G197" s="2623">
        <v>16.502962</v>
      </c>
      <c r="H197" s="2623">
        <v>15.796936000000001</v>
      </c>
      <c r="I197" s="2623">
        <v>15.270911999999999</v>
      </c>
      <c r="J197" s="2623"/>
      <c r="K197" s="2623" t="s">
        <v>5233</v>
      </c>
      <c r="L197" s="2623">
        <v>15.834936000000001</v>
      </c>
      <c r="M197" s="2623">
        <v>16.209935999999999</v>
      </c>
      <c r="N197" s="2623">
        <v>16.700962000000001</v>
      </c>
      <c r="O197" s="2623">
        <v>16.912962</v>
      </c>
      <c r="P197" s="2623">
        <v>18</v>
      </c>
      <c r="Q197" s="2623">
        <v>18.500675999999999</v>
      </c>
      <c r="R197" s="2631">
        <v>15</v>
      </c>
    </row>
    <row r="198" spans="1:18">
      <c r="A198" s="2615"/>
      <c r="B198" s="2618" t="s">
        <v>5331</v>
      </c>
      <c r="C198" s="2622" t="s">
        <v>5234</v>
      </c>
      <c r="D198" s="2623">
        <v>17.962</v>
      </c>
      <c r="E198" s="2623">
        <v>17.681999999999999</v>
      </c>
      <c r="F198" s="2623">
        <v>16.662962</v>
      </c>
      <c r="G198" s="2623">
        <v>16.562961999999999</v>
      </c>
      <c r="H198" s="2623">
        <v>15.796936000000001</v>
      </c>
      <c r="I198" s="2623">
        <v>15.330912</v>
      </c>
      <c r="J198" s="2623"/>
      <c r="K198" s="2623"/>
      <c r="L198" s="2623"/>
      <c r="M198" s="2623"/>
      <c r="N198" s="2623"/>
      <c r="O198" s="2623"/>
      <c r="P198" s="2623"/>
      <c r="Q198" s="2623"/>
      <c r="R198" s="2631"/>
    </row>
    <row r="199" spans="1:18">
      <c r="A199" s="2615"/>
      <c r="B199" s="2622" t="s">
        <v>5332</v>
      </c>
      <c r="C199" s="2622" t="s">
        <v>5232</v>
      </c>
      <c r="D199" s="2623">
        <v>17.968</v>
      </c>
      <c r="E199" s="2623">
        <v>17.731999999999999</v>
      </c>
      <c r="F199" s="2623">
        <v>16.994</v>
      </c>
      <c r="G199" s="2623">
        <v>16.853999999999999</v>
      </c>
      <c r="H199" s="2623">
        <v>16.344000000000001</v>
      </c>
      <c r="I199" s="2623">
        <v>15.93</v>
      </c>
      <c r="J199" s="2623"/>
      <c r="K199" s="2623" t="s">
        <v>5233</v>
      </c>
      <c r="L199" s="2623">
        <v>16.376000000000001</v>
      </c>
      <c r="M199" s="2623">
        <v>16.675999999999998</v>
      </c>
      <c r="N199" s="2623">
        <v>17.026</v>
      </c>
      <c r="O199" s="2623">
        <v>17.216000000000001</v>
      </c>
      <c r="P199" s="2623">
        <v>18</v>
      </c>
      <c r="Q199" s="2623">
        <v>18.405999999999999</v>
      </c>
      <c r="R199" s="2631">
        <v>15.5</v>
      </c>
    </row>
    <row r="200" spans="1:18">
      <c r="A200" s="2615"/>
      <c r="B200" s="2622" t="s">
        <v>5332</v>
      </c>
      <c r="C200" s="2622" t="s">
        <v>5234</v>
      </c>
      <c r="D200" s="2623">
        <v>17.968</v>
      </c>
      <c r="E200" s="2623">
        <v>17.731999999999999</v>
      </c>
      <c r="F200" s="2623">
        <v>16.994</v>
      </c>
      <c r="G200" s="2623">
        <v>16.904</v>
      </c>
      <c r="H200" s="2623">
        <v>16.344000000000001</v>
      </c>
      <c r="I200" s="2623">
        <v>15.98</v>
      </c>
      <c r="J200" s="2623"/>
      <c r="K200" s="2623"/>
      <c r="L200" s="2623"/>
      <c r="M200" s="2623"/>
      <c r="N200" s="2623"/>
      <c r="O200" s="2623"/>
      <c r="P200" s="2623"/>
      <c r="Q200" s="2623"/>
      <c r="R200" s="2631"/>
    </row>
    <row r="201" spans="1:18">
      <c r="A201" s="2615"/>
      <c r="B201" s="2618" t="s">
        <v>5333</v>
      </c>
      <c r="C201" s="2622" t="s">
        <v>5232</v>
      </c>
      <c r="D201" s="2623">
        <v>17.972000000000001</v>
      </c>
      <c r="E201" s="2623">
        <v>17.760000000000002</v>
      </c>
      <c r="F201" s="2623">
        <v>17.16010125</v>
      </c>
      <c r="G201" s="2623">
        <v>17.028101249999999</v>
      </c>
      <c r="H201" s="2623">
        <v>16.618835000000001</v>
      </c>
      <c r="I201" s="2623">
        <v>16.25807</v>
      </c>
      <c r="J201" s="2623"/>
      <c r="K201" s="2623" t="s">
        <v>5233</v>
      </c>
      <c r="L201" s="2623">
        <v>16.646834999999999</v>
      </c>
      <c r="M201" s="2623">
        <v>16.911835</v>
      </c>
      <c r="N201" s="2623">
        <v>17.188101249999999</v>
      </c>
      <c r="O201" s="2623">
        <v>17.358101250000001</v>
      </c>
      <c r="P201" s="2623">
        <v>18</v>
      </c>
      <c r="Q201" s="2623">
        <v>18.350422500000001</v>
      </c>
      <c r="R201" s="2631">
        <v>16</v>
      </c>
    </row>
    <row r="202" spans="1:18">
      <c r="A202" s="2615"/>
      <c r="B202" s="2618" t="s">
        <v>5333</v>
      </c>
      <c r="C202" s="2622" t="s">
        <v>5234</v>
      </c>
      <c r="D202" s="2623">
        <v>17.972000000000001</v>
      </c>
      <c r="E202" s="2623">
        <v>17.760000000000002</v>
      </c>
      <c r="F202" s="2623">
        <v>17.16010125</v>
      </c>
      <c r="G202" s="2623">
        <v>17.075101249999999</v>
      </c>
      <c r="H202" s="2623">
        <v>16.618835000000001</v>
      </c>
      <c r="I202" s="2623">
        <v>16.305070000000001</v>
      </c>
      <c r="J202" s="2623"/>
      <c r="K202" s="2623"/>
      <c r="L202" s="2623"/>
      <c r="M202" s="2623"/>
      <c r="N202" s="2623"/>
      <c r="O202" s="2623"/>
      <c r="P202" s="2623"/>
      <c r="Q202" s="2623"/>
      <c r="R202" s="2631"/>
    </row>
    <row r="203" spans="1:18">
      <c r="A203" s="2615"/>
      <c r="B203" s="2618" t="s">
        <v>5334</v>
      </c>
      <c r="C203" s="2622" t="s">
        <v>5232</v>
      </c>
      <c r="D203" s="2623">
        <v>17.974</v>
      </c>
      <c r="E203" s="2623">
        <v>17.794</v>
      </c>
      <c r="F203" s="2623">
        <v>17.324480999999999</v>
      </c>
      <c r="G203" s="2623">
        <v>17.206481</v>
      </c>
      <c r="H203" s="2623">
        <v>16.891468</v>
      </c>
      <c r="I203" s="2623">
        <v>16.590456</v>
      </c>
      <c r="J203" s="2623"/>
      <c r="K203" s="2623" t="s">
        <v>5233</v>
      </c>
      <c r="L203" s="2623">
        <v>16.917468</v>
      </c>
      <c r="M203" s="2623">
        <v>17.153468</v>
      </c>
      <c r="N203" s="2623">
        <v>17.350480999999998</v>
      </c>
      <c r="O203" s="2623">
        <v>17.510480999999999</v>
      </c>
      <c r="P203" s="2623">
        <v>18</v>
      </c>
      <c r="Q203" s="2623">
        <v>18.304338000000001</v>
      </c>
      <c r="R203" s="2631">
        <v>16</v>
      </c>
    </row>
    <row r="204" spans="1:18">
      <c r="A204" s="2615"/>
      <c r="B204" s="2618" t="s">
        <v>5334</v>
      </c>
      <c r="C204" s="2622" t="s">
        <v>5234</v>
      </c>
      <c r="D204" s="2623">
        <v>17.974</v>
      </c>
      <c r="E204" s="2623">
        <v>17.794</v>
      </c>
      <c r="F204" s="2623">
        <v>17.324480999999999</v>
      </c>
      <c r="G204" s="2623">
        <v>17.249480999999999</v>
      </c>
      <c r="H204" s="2623">
        <v>16.891468</v>
      </c>
      <c r="I204" s="2623">
        <v>16.633455999999999</v>
      </c>
      <c r="J204" s="2623"/>
      <c r="K204" s="2623"/>
      <c r="L204" s="2623"/>
      <c r="M204" s="2623"/>
      <c r="N204" s="2623"/>
      <c r="O204" s="2623"/>
      <c r="P204" s="2623"/>
      <c r="Q204" s="2623"/>
      <c r="R204" s="2631"/>
    </row>
    <row r="205" spans="1:18">
      <c r="A205" s="2615"/>
      <c r="B205" s="2618" t="s">
        <v>5335</v>
      </c>
      <c r="C205" s="2622" t="s">
        <v>5232</v>
      </c>
      <c r="D205" s="2623">
        <v>17.978000000000002</v>
      </c>
      <c r="E205" s="2623">
        <v>17.838000000000001</v>
      </c>
      <c r="F205" s="2623">
        <v>17.49086075</v>
      </c>
      <c r="G205" s="2623">
        <v>17.384860750000001</v>
      </c>
      <c r="H205" s="2623">
        <v>17.166101000000001</v>
      </c>
      <c r="I205" s="2623">
        <v>16.922841999999999</v>
      </c>
      <c r="J205" s="2623"/>
      <c r="K205" s="2623" t="s">
        <v>5233</v>
      </c>
      <c r="L205" s="2623">
        <v>17.188101</v>
      </c>
      <c r="M205" s="2623">
        <v>17.378101000000001</v>
      </c>
      <c r="N205" s="2623">
        <v>17.512860750000002</v>
      </c>
      <c r="O205" s="2623">
        <v>17.652780750000002</v>
      </c>
      <c r="P205" s="2623">
        <v>18</v>
      </c>
      <c r="Q205" s="2623">
        <v>18.2481735</v>
      </c>
      <c r="R205" s="2631">
        <v>16</v>
      </c>
    </row>
    <row r="206" spans="1:18">
      <c r="A206" s="2615"/>
      <c r="B206" s="2618" t="s">
        <v>5335</v>
      </c>
      <c r="C206" s="2622" t="s">
        <v>5234</v>
      </c>
      <c r="D206" s="2623">
        <v>17.978000000000002</v>
      </c>
      <c r="E206" s="2623">
        <v>17.838000000000001</v>
      </c>
      <c r="F206" s="2623">
        <v>17.49086075</v>
      </c>
      <c r="G206" s="2623">
        <v>17.423860749999999</v>
      </c>
      <c r="H206" s="2623">
        <v>17.166101000000001</v>
      </c>
      <c r="I206" s="2623">
        <v>16.961842000000001</v>
      </c>
      <c r="J206" s="2623"/>
      <c r="K206" s="2623"/>
      <c r="L206" s="2623"/>
      <c r="M206" s="2623"/>
      <c r="N206" s="2623"/>
      <c r="O206" s="2623"/>
      <c r="P206" s="2623"/>
      <c r="Q206" s="2623"/>
      <c r="R206" s="2631"/>
    </row>
    <row r="207" spans="1:18">
      <c r="A207" s="2615"/>
      <c r="B207" s="2618" t="s">
        <v>5336</v>
      </c>
      <c r="C207" s="2622" t="s">
        <v>5232</v>
      </c>
      <c r="D207" s="2623">
        <v>17.98</v>
      </c>
      <c r="E207" s="2623">
        <v>17.873999999999999</v>
      </c>
      <c r="F207" s="2623">
        <v>17.655240500000001</v>
      </c>
      <c r="G207" s="2623">
        <v>17.565240500000002</v>
      </c>
      <c r="H207" s="2623">
        <v>17.438734</v>
      </c>
      <c r="I207" s="2623">
        <v>17.257228000000001</v>
      </c>
      <c r="J207" s="2623"/>
      <c r="K207" s="2623" t="s">
        <v>5233</v>
      </c>
      <c r="L207" s="2623">
        <v>17.458734</v>
      </c>
      <c r="M207" s="2623">
        <v>17.598734</v>
      </c>
      <c r="N207" s="2623">
        <v>17.675240500000001</v>
      </c>
      <c r="O207" s="2623">
        <v>17.795240499999998</v>
      </c>
      <c r="P207" s="2623">
        <v>18</v>
      </c>
      <c r="Q207" s="2623">
        <v>18.192169</v>
      </c>
      <c r="R207" s="2631">
        <v>17</v>
      </c>
    </row>
    <row r="208" spans="1:18">
      <c r="A208" s="2615"/>
      <c r="B208" s="2618" t="s">
        <v>5336</v>
      </c>
      <c r="C208" s="2622" t="s">
        <v>5234</v>
      </c>
      <c r="D208" s="2623">
        <v>17.98</v>
      </c>
      <c r="E208" s="2623">
        <v>17.873999999999999</v>
      </c>
      <c r="F208" s="2623">
        <v>17.655240500000001</v>
      </c>
      <c r="G208" s="2623">
        <v>17.599240500000001</v>
      </c>
      <c r="H208" s="2623">
        <v>17.438734</v>
      </c>
      <c r="I208" s="2623">
        <v>17.291228</v>
      </c>
      <c r="J208" s="2623"/>
      <c r="K208" s="2623"/>
      <c r="L208" s="2623"/>
      <c r="M208" s="2623"/>
      <c r="N208" s="2623"/>
      <c r="O208" s="2623"/>
      <c r="P208" s="2623"/>
      <c r="Q208" s="2623"/>
      <c r="R208" s="2631"/>
    </row>
    <row r="209" spans="1:18">
      <c r="A209" s="2615">
        <v>20</v>
      </c>
      <c r="B209" s="2622" t="s">
        <v>5337</v>
      </c>
      <c r="C209" s="2622" t="s">
        <v>5232</v>
      </c>
      <c r="D209" s="2623">
        <v>19.957999999999998</v>
      </c>
      <c r="E209" s="2623">
        <v>19.623000000000001</v>
      </c>
      <c r="F209" s="2623">
        <v>18.334</v>
      </c>
      <c r="G209" s="2623">
        <v>18.164000000000001</v>
      </c>
      <c r="H209" s="2623">
        <v>17.251999999999999</v>
      </c>
      <c r="I209" s="2623">
        <v>16.623999999999999</v>
      </c>
      <c r="J209" s="2623"/>
      <c r="K209" s="2623" t="s">
        <v>5233</v>
      </c>
      <c r="L209" s="2623">
        <v>17.294</v>
      </c>
      <c r="M209" s="2623">
        <v>17.744</v>
      </c>
      <c r="N209" s="2623">
        <v>18.376000000000001</v>
      </c>
      <c r="O209" s="2623">
        <v>18.600000000000001</v>
      </c>
      <c r="P209" s="2623">
        <v>20</v>
      </c>
      <c r="Q209" s="2623">
        <v>20.585000000000001</v>
      </c>
      <c r="R209" s="2631">
        <v>17.5</v>
      </c>
    </row>
    <row r="210" spans="1:18">
      <c r="A210" s="2615"/>
      <c r="B210" s="2622" t="s">
        <v>5337</v>
      </c>
      <c r="C210" s="2622" t="s">
        <v>5234</v>
      </c>
      <c r="D210" s="2623">
        <v>19.957999999999998</v>
      </c>
      <c r="E210" s="2623">
        <v>19.623000000000001</v>
      </c>
      <c r="F210" s="2623">
        <v>18.334</v>
      </c>
      <c r="G210" s="2623">
        <v>18.228000000000002</v>
      </c>
      <c r="H210" s="2623">
        <v>17.251999999999999</v>
      </c>
      <c r="I210" s="2623">
        <v>16.687999999999999</v>
      </c>
      <c r="J210" s="2623"/>
      <c r="K210" s="2623"/>
      <c r="L210" s="2623"/>
      <c r="M210" s="2623"/>
      <c r="N210" s="2623"/>
      <c r="O210" s="2623"/>
      <c r="P210" s="2623"/>
      <c r="Q210" s="2623"/>
      <c r="R210" s="2631"/>
    </row>
    <row r="211" spans="1:18">
      <c r="A211" s="2615"/>
      <c r="B211" s="2618" t="s">
        <v>5338</v>
      </c>
      <c r="C211" s="2622" t="s">
        <v>5232</v>
      </c>
      <c r="D211" s="2623">
        <v>19.962</v>
      </c>
      <c r="E211" s="2623">
        <v>19.681999999999999</v>
      </c>
      <c r="F211" s="2623">
        <v>18.662962</v>
      </c>
      <c r="G211" s="2623">
        <v>18.502962</v>
      </c>
      <c r="H211" s="2623">
        <v>17.796935999999999</v>
      </c>
      <c r="I211" s="2623">
        <v>17.270911999999999</v>
      </c>
      <c r="J211" s="2623"/>
      <c r="K211" s="2623" t="s">
        <v>5233</v>
      </c>
      <c r="L211" s="2623">
        <v>17.834935999999999</v>
      </c>
      <c r="M211" s="2623">
        <v>18.209935999999999</v>
      </c>
      <c r="N211" s="2623">
        <v>18.700962000000001</v>
      </c>
      <c r="O211" s="2623">
        <v>18.912962</v>
      </c>
      <c r="P211" s="2623">
        <v>20</v>
      </c>
      <c r="Q211" s="2623">
        <v>20.500675999999999</v>
      </c>
      <c r="R211" s="2631">
        <v>17.5</v>
      </c>
    </row>
    <row r="212" spans="1:18">
      <c r="A212" s="2615"/>
      <c r="B212" s="2618" t="s">
        <v>5338</v>
      </c>
      <c r="C212" s="2622" t="s">
        <v>5234</v>
      </c>
      <c r="D212" s="2623">
        <v>19.962</v>
      </c>
      <c r="E212" s="2623">
        <v>19.681999999999999</v>
      </c>
      <c r="F212" s="2623">
        <v>18.662962</v>
      </c>
      <c r="G212" s="2623">
        <v>18.561962000000001</v>
      </c>
      <c r="H212" s="2623">
        <v>17.796935999999999</v>
      </c>
      <c r="I212" s="2623">
        <v>17.329912</v>
      </c>
      <c r="J212" s="2623"/>
      <c r="K212" s="2623"/>
      <c r="L212" s="2623"/>
      <c r="M212" s="2623"/>
      <c r="N212" s="2623"/>
      <c r="O212" s="2623"/>
      <c r="P212" s="2623"/>
      <c r="Q212" s="2623"/>
      <c r="R212" s="2631"/>
    </row>
    <row r="213" spans="1:18">
      <c r="A213" s="2615"/>
      <c r="B213" s="2622" t="s">
        <v>5339</v>
      </c>
      <c r="C213" s="2622" t="s">
        <v>5232</v>
      </c>
      <c r="D213" s="2623">
        <v>19.968</v>
      </c>
      <c r="E213" s="2623">
        <v>19.731999999999999</v>
      </c>
      <c r="F213" s="2623">
        <v>18.994</v>
      </c>
      <c r="G213" s="2623">
        <v>18.853999999999999</v>
      </c>
      <c r="H213" s="2623">
        <v>18.344000000000001</v>
      </c>
      <c r="I213" s="2623">
        <v>17.93</v>
      </c>
      <c r="J213" s="2623"/>
      <c r="K213" s="2623" t="s">
        <v>5233</v>
      </c>
      <c r="L213" s="2623">
        <v>18.376000000000001</v>
      </c>
      <c r="M213" s="2623">
        <v>18.675999999999998</v>
      </c>
      <c r="N213" s="2623">
        <v>19.026</v>
      </c>
      <c r="O213" s="2623">
        <v>19.216000000000001</v>
      </c>
      <c r="P213" s="2623">
        <v>20</v>
      </c>
      <c r="Q213" s="2623">
        <v>20.405999999999999</v>
      </c>
      <c r="R213" s="2631">
        <v>17.5</v>
      </c>
    </row>
    <row r="214" spans="1:18">
      <c r="A214" s="2615"/>
      <c r="B214" s="2622" t="s">
        <v>5339</v>
      </c>
      <c r="C214" s="2622" t="s">
        <v>5234</v>
      </c>
      <c r="D214" s="2623">
        <v>19.968</v>
      </c>
      <c r="E214" s="2623">
        <v>19.731999999999999</v>
      </c>
      <c r="F214" s="2623">
        <v>18.994</v>
      </c>
      <c r="G214" s="2623">
        <v>18.904</v>
      </c>
      <c r="H214" s="2623">
        <v>18.344000000000001</v>
      </c>
      <c r="I214" s="2623">
        <v>17.98</v>
      </c>
      <c r="J214" s="2623"/>
      <c r="K214" s="2623"/>
      <c r="L214" s="2623"/>
      <c r="M214" s="2623"/>
      <c r="N214" s="2623"/>
      <c r="O214" s="2623"/>
      <c r="P214" s="2623"/>
      <c r="Q214" s="2623"/>
      <c r="R214" s="2631"/>
    </row>
    <row r="215" spans="1:18">
      <c r="A215" s="2615"/>
      <c r="B215" s="2622" t="s">
        <v>5340</v>
      </c>
      <c r="C215" s="2622" t="s">
        <v>5232</v>
      </c>
      <c r="D215" s="2623">
        <v>19.974</v>
      </c>
      <c r="E215" s="2623">
        <v>19.794</v>
      </c>
      <c r="F215" s="2623">
        <v>19.324000000000002</v>
      </c>
      <c r="G215" s="2623">
        <v>19.206</v>
      </c>
      <c r="H215" s="2623">
        <v>18.890999999999998</v>
      </c>
      <c r="I215" s="2623">
        <v>18.59</v>
      </c>
      <c r="J215" s="2623"/>
      <c r="K215" s="2623" t="s">
        <v>5233</v>
      </c>
      <c r="L215" s="2623">
        <v>18.917000000000002</v>
      </c>
      <c r="M215" s="2623">
        <v>19.152999999999999</v>
      </c>
      <c r="N215" s="2623">
        <v>19.350000000000001</v>
      </c>
      <c r="O215" s="2623">
        <v>19.510000000000002</v>
      </c>
      <c r="P215" s="2623">
        <v>20</v>
      </c>
      <c r="Q215" s="2623">
        <v>20.303999999999998</v>
      </c>
      <c r="R215" s="2631">
        <v>17.5</v>
      </c>
    </row>
    <row r="216" spans="1:18">
      <c r="A216" s="2615"/>
      <c r="B216" s="2622" t="s">
        <v>5340</v>
      </c>
      <c r="C216" s="2622" t="s">
        <v>5234</v>
      </c>
      <c r="D216" s="2623">
        <v>19.974</v>
      </c>
      <c r="E216" s="2623">
        <v>19.794</v>
      </c>
      <c r="F216" s="2623">
        <v>19.324000000000002</v>
      </c>
      <c r="G216" s="2623">
        <v>19.248999999999999</v>
      </c>
      <c r="H216" s="2623">
        <v>18.890999999999998</v>
      </c>
      <c r="I216" s="2623">
        <v>18.632999999999999</v>
      </c>
      <c r="J216" s="2623"/>
      <c r="K216" s="2623"/>
      <c r="L216" s="2623"/>
      <c r="M216" s="2623"/>
      <c r="N216" s="2623"/>
      <c r="O216" s="2623"/>
      <c r="P216" s="2623"/>
      <c r="Q216" s="2623"/>
      <c r="R216" s="2631"/>
    </row>
    <row r="217" spans="1:18">
      <c r="A217" s="2615"/>
      <c r="B217" s="2618" t="s">
        <v>5341</v>
      </c>
      <c r="C217" s="2622" t="s">
        <v>5232</v>
      </c>
      <c r="D217" s="2623">
        <v>19.978000000000002</v>
      </c>
      <c r="E217" s="2623">
        <v>19.838000000000001</v>
      </c>
      <c r="F217" s="2623">
        <v>19.49086075</v>
      </c>
      <c r="G217" s="2623">
        <v>19.384860750000001</v>
      </c>
      <c r="H217" s="2623">
        <v>19.166101000000001</v>
      </c>
      <c r="I217" s="2623">
        <v>18.922841999999999</v>
      </c>
      <c r="J217" s="2623"/>
      <c r="K217" s="2623" t="s">
        <v>5233</v>
      </c>
      <c r="L217" s="2623">
        <v>19.188101</v>
      </c>
      <c r="M217" s="2623">
        <v>19.378101000000001</v>
      </c>
      <c r="N217" s="2623">
        <v>19.512860750000002</v>
      </c>
      <c r="O217" s="2623">
        <v>19.652780750000002</v>
      </c>
      <c r="P217" s="2623">
        <v>20</v>
      </c>
      <c r="Q217" s="2623">
        <v>20.2481735</v>
      </c>
      <c r="R217" s="2631">
        <v>18</v>
      </c>
    </row>
    <row r="218" spans="1:18">
      <c r="A218" s="2615"/>
      <c r="B218" s="2618" t="s">
        <v>5341</v>
      </c>
      <c r="C218" s="2622" t="s">
        <v>5234</v>
      </c>
      <c r="D218" s="2623">
        <v>19.978000000000002</v>
      </c>
      <c r="E218" s="2623">
        <v>19.838000000000001</v>
      </c>
      <c r="F218" s="2623">
        <v>19.49086075</v>
      </c>
      <c r="G218" s="2623">
        <v>19.423860749999999</v>
      </c>
      <c r="H218" s="2623">
        <v>19.166101000000001</v>
      </c>
      <c r="I218" s="2623">
        <v>18.961842000000001</v>
      </c>
      <c r="J218" s="2623"/>
      <c r="K218" s="2623"/>
      <c r="L218" s="2623"/>
      <c r="M218" s="2623"/>
      <c r="N218" s="2623"/>
      <c r="O218" s="2623"/>
      <c r="P218" s="2623"/>
      <c r="Q218" s="2623"/>
      <c r="R218" s="2631"/>
    </row>
    <row r="219" spans="1:18">
      <c r="A219" s="2615"/>
      <c r="B219" s="2618" t="s">
        <v>5342</v>
      </c>
      <c r="C219" s="2622" t="s">
        <v>5232</v>
      </c>
      <c r="D219" s="2623">
        <v>19.98</v>
      </c>
      <c r="E219" s="2623">
        <v>19.873999999999999</v>
      </c>
      <c r="F219" s="2623">
        <v>19.655240500000001</v>
      </c>
      <c r="G219" s="2623">
        <v>19.565240500000002</v>
      </c>
      <c r="H219" s="2623">
        <v>19.438734</v>
      </c>
      <c r="I219" s="2623">
        <v>19.257228000000001</v>
      </c>
      <c r="J219" s="2623"/>
      <c r="K219" s="2623" t="s">
        <v>5233</v>
      </c>
      <c r="L219" s="2623">
        <v>19.458734</v>
      </c>
      <c r="M219" s="2623">
        <v>19.598734</v>
      </c>
      <c r="N219" s="2623">
        <v>19.675240500000001</v>
      </c>
      <c r="O219" s="2623">
        <v>19.795240499999998</v>
      </c>
      <c r="P219" s="2623">
        <v>20</v>
      </c>
      <c r="Q219" s="2623">
        <v>20.192169</v>
      </c>
      <c r="R219" s="2631">
        <v>19</v>
      </c>
    </row>
    <row r="220" spans="1:18">
      <c r="A220" s="2615"/>
      <c r="B220" s="2618" t="s">
        <v>5342</v>
      </c>
      <c r="C220" s="2622" t="s">
        <v>5234</v>
      </c>
      <c r="D220" s="2623">
        <v>19.98</v>
      </c>
      <c r="E220" s="2623">
        <v>19.873999999999999</v>
      </c>
      <c r="F220" s="2623">
        <v>19.655240500000001</v>
      </c>
      <c r="G220" s="2623">
        <v>19.599240500000001</v>
      </c>
      <c r="H220" s="2623">
        <v>19.438734</v>
      </c>
      <c r="I220" s="2623">
        <v>19.291228</v>
      </c>
      <c r="J220" s="2623"/>
      <c r="K220" s="2623"/>
      <c r="L220" s="2623"/>
      <c r="M220" s="2623"/>
      <c r="N220" s="2623"/>
      <c r="O220" s="2623"/>
      <c r="P220" s="2623"/>
      <c r="Q220" s="2623"/>
      <c r="R220" s="2631"/>
    </row>
    <row r="221" spans="1:18">
      <c r="A221" s="2615">
        <v>22</v>
      </c>
      <c r="B221" s="2618" t="s">
        <v>5343</v>
      </c>
      <c r="C221" s="2622" t="s">
        <v>5232</v>
      </c>
      <c r="D221" s="2623">
        <v>21.952000000000002</v>
      </c>
      <c r="E221" s="2623">
        <v>21.577000000000002</v>
      </c>
      <c r="F221" s="2623">
        <v>20.003443000000001</v>
      </c>
      <c r="G221" s="2623">
        <v>19.818442999999998</v>
      </c>
      <c r="H221" s="2623">
        <v>18.704404</v>
      </c>
      <c r="I221" s="2623">
        <v>17.970368000000001</v>
      </c>
      <c r="J221" s="2623"/>
      <c r="K221" s="2623" t="s">
        <v>5233</v>
      </c>
      <c r="L221" s="2623">
        <v>18.752403999999999</v>
      </c>
      <c r="M221" s="2623">
        <v>19.252403999999999</v>
      </c>
      <c r="N221" s="2623">
        <v>20.051442999999999</v>
      </c>
      <c r="O221" s="2623">
        <v>20.295642999999998</v>
      </c>
      <c r="P221" s="2623">
        <v>22</v>
      </c>
      <c r="Q221" s="2623">
        <v>22.677213999999999</v>
      </c>
      <c r="R221" s="2631">
        <v>19.5</v>
      </c>
    </row>
    <row r="222" spans="1:18">
      <c r="A222" s="2615"/>
      <c r="B222" s="2618" t="s">
        <v>5343</v>
      </c>
      <c r="C222" s="2622" t="s">
        <v>5234</v>
      </c>
      <c r="D222" s="2623">
        <v>21.952000000000002</v>
      </c>
      <c r="E222" s="2623">
        <v>21.577000000000002</v>
      </c>
      <c r="F222" s="2623">
        <v>20.003443000000001</v>
      </c>
      <c r="G222" s="2623">
        <v>19.885442999999999</v>
      </c>
      <c r="H222" s="2623">
        <v>18.704404</v>
      </c>
      <c r="I222" s="2623">
        <v>18.037368000000001</v>
      </c>
      <c r="J222" s="2623"/>
      <c r="K222" s="2623"/>
      <c r="L222" s="2623"/>
      <c r="M222" s="2623"/>
      <c r="N222" s="2623"/>
      <c r="O222" s="2623"/>
      <c r="P222" s="2623"/>
      <c r="Q222" s="2623"/>
      <c r="R222" s="2631"/>
    </row>
    <row r="223" spans="1:18">
      <c r="A223" s="2615"/>
      <c r="B223" s="2622" t="s">
        <v>5344</v>
      </c>
      <c r="C223" s="2622" t="s">
        <v>5232</v>
      </c>
      <c r="D223" s="2623">
        <v>21.957999999999998</v>
      </c>
      <c r="E223" s="2623">
        <v>21.623000000000001</v>
      </c>
      <c r="F223" s="2623">
        <v>20.334</v>
      </c>
      <c r="G223" s="2623">
        <v>20.164000000000001</v>
      </c>
      <c r="H223" s="2623">
        <v>19.251999999999999</v>
      </c>
      <c r="I223" s="2623">
        <v>18.623999999999999</v>
      </c>
      <c r="J223" s="2623"/>
      <c r="K223" s="2623" t="s">
        <v>5233</v>
      </c>
      <c r="L223" s="2623">
        <v>19.294</v>
      </c>
      <c r="M223" s="2623">
        <v>19.744</v>
      </c>
      <c r="N223" s="2623">
        <v>20.376000000000001</v>
      </c>
      <c r="O223" s="2623">
        <v>20.6</v>
      </c>
      <c r="P223" s="2623">
        <v>22</v>
      </c>
      <c r="Q223" s="2623">
        <v>22.585000000000001</v>
      </c>
      <c r="R223" s="2631">
        <v>19.5</v>
      </c>
    </row>
    <row r="224" spans="1:18">
      <c r="A224" s="2615"/>
      <c r="B224" s="2622" t="s">
        <v>5344</v>
      </c>
      <c r="C224" s="2622" t="s">
        <v>5234</v>
      </c>
      <c r="D224" s="2623">
        <v>21.957999999999998</v>
      </c>
      <c r="E224" s="2623">
        <v>21.623000000000001</v>
      </c>
      <c r="F224" s="2623">
        <v>20.3342025</v>
      </c>
      <c r="G224" s="2623">
        <v>20.234202499999999</v>
      </c>
      <c r="H224" s="2623">
        <v>19.251670000000001</v>
      </c>
      <c r="I224" s="2623">
        <v>18.694140000000001</v>
      </c>
      <c r="J224" s="2623"/>
      <c r="K224" s="2623"/>
      <c r="L224" s="2623"/>
      <c r="M224" s="2623"/>
      <c r="N224" s="2623"/>
      <c r="O224" s="2623"/>
      <c r="P224" s="2623"/>
      <c r="Q224" s="2623"/>
      <c r="R224" s="2631"/>
    </row>
    <row r="225" spans="1:18">
      <c r="A225" s="2615"/>
      <c r="B225" s="2618" t="s">
        <v>5345</v>
      </c>
      <c r="C225" s="2622" t="s">
        <v>5232</v>
      </c>
      <c r="D225" s="2623">
        <v>21.962</v>
      </c>
      <c r="E225" s="2623">
        <v>21.681999999999999</v>
      </c>
      <c r="F225" s="2623">
        <v>20.662962</v>
      </c>
      <c r="G225" s="2623">
        <v>20.502962</v>
      </c>
      <c r="H225" s="2623">
        <v>19.796935999999999</v>
      </c>
      <c r="I225" s="2623">
        <v>19.270911999999999</v>
      </c>
      <c r="J225" s="2623"/>
      <c r="K225" s="2623" t="s">
        <v>5233</v>
      </c>
      <c r="L225" s="2623">
        <v>19.834935999999999</v>
      </c>
      <c r="M225" s="2623">
        <v>20.209935999999999</v>
      </c>
      <c r="N225" s="2623">
        <v>20.700962000000001</v>
      </c>
      <c r="O225" s="2623">
        <v>20.912962</v>
      </c>
      <c r="P225" s="2623">
        <v>22</v>
      </c>
      <c r="Q225" s="2623">
        <v>22.500675999999999</v>
      </c>
      <c r="R225" s="2631">
        <v>19.5</v>
      </c>
    </row>
    <row r="226" spans="1:18">
      <c r="A226" s="2615"/>
      <c r="B226" s="2618" t="s">
        <v>5345</v>
      </c>
      <c r="C226" s="2622" t="s">
        <v>5234</v>
      </c>
      <c r="D226" s="2623">
        <v>21.962</v>
      </c>
      <c r="E226" s="2623">
        <v>21.681999999999999</v>
      </c>
      <c r="F226" s="2623">
        <v>20.662962</v>
      </c>
      <c r="G226" s="2623">
        <v>20.562961999999999</v>
      </c>
      <c r="H226" s="2623">
        <v>19.796935999999999</v>
      </c>
      <c r="I226" s="2623">
        <v>19.330912000000001</v>
      </c>
      <c r="J226" s="2623"/>
      <c r="K226" s="2623"/>
      <c r="L226" s="2623"/>
      <c r="M226" s="2623"/>
      <c r="N226" s="2623"/>
      <c r="O226" s="2623"/>
      <c r="P226" s="2623"/>
      <c r="Q226" s="2623"/>
      <c r="R226" s="2631"/>
    </row>
    <row r="227" spans="1:18">
      <c r="A227" s="2615"/>
      <c r="B227" s="2622" t="s">
        <v>5346</v>
      </c>
      <c r="C227" s="2622" t="s">
        <v>5232</v>
      </c>
      <c r="D227" s="2623">
        <v>21.968</v>
      </c>
      <c r="E227" s="2623">
        <v>21.731999999999999</v>
      </c>
      <c r="F227" s="2623">
        <v>20.994</v>
      </c>
      <c r="G227" s="2623">
        <v>20.853999999999999</v>
      </c>
      <c r="H227" s="2623">
        <v>20.344000000000001</v>
      </c>
      <c r="I227" s="2623">
        <v>19.93</v>
      </c>
      <c r="J227" s="2623"/>
      <c r="K227" s="2623" t="s">
        <v>5233</v>
      </c>
      <c r="L227" s="2623">
        <v>20.376000000000001</v>
      </c>
      <c r="M227" s="2623">
        <v>20.675999999999998</v>
      </c>
      <c r="N227" s="2623">
        <v>21.026</v>
      </c>
      <c r="O227" s="2623">
        <v>21.216000000000001</v>
      </c>
      <c r="P227" s="2623">
        <v>22</v>
      </c>
      <c r="Q227" s="2623">
        <v>22.405999999999999</v>
      </c>
      <c r="R227" s="2631">
        <v>19.5</v>
      </c>
    </row>
    <row r="228" spans="1:18">
      <c r="A228" s="2615"/>
      <c r="B228" s="2622" t="s">
        <v>5346</v>
      </c>
      <c r="C228" s="2622" t="s">
        <v>5234</v>
      </c>
      <c r="D228" s="2623">
        <v>21.968</v>
      </c>
      <c r="E228" s="2623">
        <v>21.731999999999999</v>
      </c>
      <c r="F228" s="2623">
        <v>20.994</v>
      </c>
      <c r="G228" s="2623">
        <v>20.904</v>
      </c>
      <c r="H228" s="2623">
        <v>20.344000000000001</v>
      </c>
      <c r="I228" s="2623">
        <v>19.98</v>
      </c>
      <c r="J228" s="2623"/>
      <c r="K228" s="2623"/>
      <c r="L228" s="2623"/>
      <c r="M228" s="2623"/>
      <c r="N228" s="2623"/>
      <c r="O228" s="2623"/>
      <c r="P228" s="2623"/>
      <c r="Q228" s="2623"/>
      <c r="R228" s="2631"/>
    </row>
    <row r="229" spans="1:18">
      <c r="A229" s="2615"/>
      <c r="B229" s="2618" t="s">
        <v>5347</v>
      </c>
      <c r="C229" s="2622" t="s">
        <v>5232</v>
      </c>
      <c r="D229" s="2623">
        <v>21.974</v>
      </c>
      <c r="E229" s="2623">
        <v>21.794</v>
      </c>
      <c r="F229" s="2623">
        <v>21.324480999999999</v>
      </c>
      <c r="G229" s="2623">
        <v>21.206481</v>
      </c>
      <c r="H229" s="2623">
        <v>20.891468</v>
      </c>
      <c r="I229" s="2623">
        <v>20.590456</v>
      </c>
      <c r="J229" s="2623"/>
      <c r="K229" s="2623" t="s">
        <v>5233</v>
      </c>
      <c r="L229" s="2623">
        <v>20.917468</v>
      </c>
      <c r="M229" s="2623">
        <v>21.153468</v>
      </c>
      <c r="N229" s="2623">
        <v>21.350480999999998</v>
      </c>
      <c r="O229" s="2623">
        <v>21.510480999999999</v>
      </c>
      <c r="P229" s="2623">
        <v>22</v>
      </c>
      <c r="Q229" s="2623">
        <v>22.304338000000001</v>
      </c>
      <c r="R229" s="2631">
        <v>20</v>
      </c>
    </row>
    <row r="230" spans="1:18">
      <c r="A230" s="2615"/>
      <c r="B230" s="2618" t="s">
        <v>5347</v>
      </c>
      <c r="C230" s="2622" t="s">
        <v>5234</v>
      </c>
      <c r="D230" s="2623">
        <v>21.974</v>
      </c>
      <c r="E230" s="2623">
        <v>21.794</v>
      </c>
      <c r="F230" s="2623">
        <v>21.324480999999999</v>
      </c>
      <c r="G230" s="2623">
        <v>21.249480999999999</v>
      </c>
      <c r="H230" s="2623">
        <v>20.891468</v>
      </c>
      <c r="I230" s="2623">
        <v>20.633455999999999</v>
      </c>
      <c r="J230" s="2623"/>
      <c r="K230" s="2623"/>
      <c r="L230" s="2623"/>
      <c r="M230" s="2623"/>
      <c r="N230" s="2623"/>
      <c r="O230" s="2623"/>
      <c r="P230" s="2623"/>
      <c r="Q230" s="2623"/>
      <c r="R230" s="2631"/>
    </row>
    <row r="231" spans="1:18">
      <c r="A231" s="2615"/>
      <c r="B231" s="2618" t="s">
        <v>5348</v>
      </c>
      <c r="C231" s="2622" t="s">
        <v>5232</v>
      </c>
      <c r="D231" s="2623">
        <v>21.978000000000002</v>
      </c>
      <c r="E231" s="2623">
        <v>21.838000000000001</v>
      </c>
      <c r="F231" s="2623">
        <v>21.49086075</v>
      </c>
      <c r="G231" s="2623">
        <v>21.384860750000001</v>
      </c>
      <c r="H231" s="2623">
        <v>21.166101000000001</v>
      </c>
      <c r="I231" s="2623">
        <v>20.922841999999999</v>
      </c>
      <c r="J231" s="2623"/>
      <c r="K231" s="2623" t="s">
        <v>5233</v>
      </c>
      <c r="L231" s="2623">
        <v>21.188101</v>
      </c>
      <c r="M231" s="2623">
        <v>21.378101000000001</v>
      </c>
      <c r="N231" s="2623">
        <v>21.512860750000002</v>
      </c>
      <c r="O231" s="2623">
        <v>21.652780750000002</v>
      </c>
      <c r="P231" s="2623">
        <v>22</v>
      </c>
      <c r="Q231" s="2623">
        <v>22.2481735</v>
      </c>
      <c r="R231" s="2631">
        <v>20</v>
      </c>
    </row>
    <row r="232" spans="1:18">
      <c r="A232" s="2615"/>
      <c r="B232" s="2618" t="s">
        <v>5348</v>
      </c>
      <c r="C232" s="2622" t="s">
        <v>5234</v>
      </c>
      <c r="D232" s="2623">
        <v>21.978000000000002</v>
      </c>
      <c r="E232" s="2623">
        <v>21.838000000000001</v>
      </c>
      <c r="F232" s="2623">
        <v>21.49086075</v>
      </c>
      <c r="G232" s="2623">
        <v>21.423860749999999</v>
      </c>
      <c r="H232" s="2623">
        <v>21.166101000000001</v>
      </c>
      <c r="I232" s="2623">
        <v>20.961842000000001</v>
      </c>
      <c r="J232" s="2623"/>
      <c r="K232" s="2623"/>
      <c r="L232" s="2623"/>
      <c r="M232" s="2623"/>
      <c r="N232" s="2623"/>
      <c r="O232" s="2623"/>
      <c r="P232" s="2623"/>
      <c r="Q232" s="2623"/>
      <c r="R232" s="2631"/>
    </row>
    <row r="233" spans="1:18">
      <c r="A233" s="2615"/>
      <c r="B233" s="2618" t="s">
        <v>5349</v>
      </c>
      <c r="C233" s="2622" t="s">
        <v>5232</v>
      </c>
      <c r="D233" s="2623">
        <v>21.98</v>
      </c>
      <c r="E233" s="2623">
        <v>21.873999999999999</v>
      </c>
      <c r="F233" s="2623">
        <v>21.655240500000001</v>
      </c>
      <c r="G233" s="2623">
        <v>21.565240500000002</v>
      </c>
      <c r="H233" s="2623">
        <v>21.438734</v>
      </c>
      <c r="I233" s="2623">
        <v>21.257228000000001</v>
      </c>
      <c r="J233" s="2623"/>
      <c r="K233" s="2623" t="s">
        <v>5233</v>
      </c>
      <c r="L233" s="2623">
        <v>21.458734</v>
      </c>
      <c r="M233" s="2623">
        <v>21.598734</v>
      </c>
      <c r="N233" s="2623">
        <v>21.675240500000001</v>
      </c>
      <c r="O233" s="2623">
        <v>21.795240499999998</v>
      </c>
      <c r="P233" s="2623">
        <v>22</v>
      </c>
      <c r="Q233" s="2623">
        <v>22.192169</v>
      </c>
      <c r="R233" s="2631">
        <v>20</v>
      </c>
    </row>
    <row r="234" spans="1:18">
      <c r="A234" s="2615"/>
      <c r="B234" s="2618" t="s">
        <v>5349</v>
      </c>
      <c r="C234" s="2622" t="s">
        <v>5234</v>
      </c>
      <c r="D234" s="2623">
        <v>21.98</v>
      </c>
      <c r="E234" s="2623">
        <v>21.873999999999999</v>
      </c>
      <c r="F234" s="2623">
        <v>21.655240500000001</v>
      </c>
      <c r="G234" s="2623">
        <v>21.598240499999999</v>
      </c>
      <c r="H234" s="2623">
        <v>21.438734</v>
      </c>
      <c r="I234" s="2623">
        <v>21.290227999999999</v>
      </c>
      <c r="J234" s="2623"/>
      <c r="K234" s="2623"/>
      <c r="L234" s="2623"/>
      <c r="M234" s="2623"/>
      <c r="N234" s="2623"/>
      <c r="O234" s="2623"/>
      <c r="P234" s="2623"/>
      <c r="Q234" s="2623"/>
      <c r="R234" s="2631"/>
    </row>
    <row r="235" spans="1:18">
      <c r="A235" s="2615">
        <v>24</v>
      </c>
      <c r="B235" s="2622" t="s">
        <v>5350</v>
      </c>
      <c r="C235" s="2622" t="s">
        <v>5232</v>
      </c>
      <c r="D235" s="2623">
        <v>23.952000000000002</v>
      </c>
      <c r="E235" s="2623">
        <v>23.577000000000002</v>
      </c>
      <c r="F235" s="2623">
        <v>22.003</v>
      </c>
      <c r="G235" s="2623">
        <v>21.803000000000001</v>
      </c>
      <c r="H235" s="2623">
        <v>20.704000000000001</v>
      </c>
      <c r="I235" s="2623">
        <v>19.954999999999998</v>
      </c>
      <c r="J235" s="2623"/>
      <c r="K235" s="2623" t="s">
        <v>5233</v>
      </c>
      <c r="L235" s="2623">
        <v>20.751999999999999</v>
      </c>
      <c r="M235" s="2623">
        <v>21.251999999999999</v>
      </c>
      <c r="N235" s="2623">
        <v>22.050999999999998</v>
      </c>
      <c r="O235" s="2623">
        <v>22.315999999999999</v>
      </c>
      <c r="P235" s="2623">
        <v>24</v>
      </c>
      <c r="Q235" s="2623">
        <v>24.698</v>
      </c>
      <c r="R235" s="2631">
        <v>21</v>
      </c>
    </row>
    <row r="236" spans="1:18">
      <c r="A236" s="2615"/>
      <c r="B236" s="2622" t="s">
        <v>5350</v>
      </c>
      <c r="C236" s="2622" t="s">
        <v>5234</v>
      </c>
      <c r="D236" s="2623">
        <v>23.952000000000002</v>
      </c>
      <c r="E236" s="2623">
        <v>23.556999999999999</v>
      </c>
      <c r="F236" s="2623">
        <v>22.003</v>
      </c>
      <c r="G236" s="2623">
        <v>21.878</v>
      </c>
      <c r="H236" s="2623">
        <v>20.704000000000001</v>
      </c>
      <c r="I236" s="2623">
        <v>20.03</v>
      </c>
      <c r="J236" s="2623"/>
      <c r="K236" s="2623"/>
      <c r="L236" s="2623"/>
      <c r="M236" s="2623"/>
      <c r="N236" s="2623"/>
      <c r="O236" s="2623"/>
      <c r="P236" s="2623"/>
      <c r="Q236" s="2623"/>
      <c r="R236" s="2631"/>
    </row>
    <row r="237" spans="1:18">
      <c r="A237" s="2615"/>
      <c r="B237" s="2618" t="s">
        <v>5351</v>
      </c>
      <c r="C237" s="2622" t="s">
        <v>5232</v>
      </c>
      <c r="D237" s="2623">
        <v>23.957999999999998</v>
      </c>
      <c r="E237" s="2623">
        <v>23.623000000000001</v>
      </c>
      <c r="F237" s="2623">
        <v>22.3342025</v>
      </c>
      <c r="G237" s="2623">
        <v>22.144202499999999</v>
      </c>
      <c r="H237" s="2623">
        <v>21.251670000000001</v>
      </c>
      <c r="I237" s="2623">
        <v>20.604140000000001</v>
      </c>
      <c r="J237" s="2623"/>
      <c r="K237" s="2623" t="s">
        <v>5233</v>
      </c>
      <c r="L237" s="2623">
        <v>21.293669999999999</v>
      </c>
      <c r="M237" s="2623">
        <v>21.743670000000002</v>
      </c>
      <c r="N237" s="2623">
        <v>22.376202500000002</v>
      </c>
      <c r="O237" s="2623">
        <v>22.626202500000002</v>
      </c>
      <c r="P237" s="2623">
        <v>24</v>
      </c>
      <c r="Q237" s="2623">
        <v>24.610845000000001</v>
      </c>
      <c r="R237" s="2631">
        <v>21</v>
      </c>
    </row>
    <row r="238" spans="1:18">
      <c r="A238" s="2615"/>
      <c r="B238" s="2618" t="s">
        <v>5351</v>
      </c>
      <c r="C238" s="2622" t="s">
        <v>5234</v>
      </c>
      <c r="D238" s="2623">
        <v>23.957999999999998</v>
      </c>
      <c r="E238" s="2623">
        <v>23.623000000000001</v>
      </c>
      <c r="F238" s="2623">
        <v>22.3342025</v>
      </c>
      <c r="G238" s="2623">
        <v>22.214202499999999</v>
      </c>
      <c r="H238" s="2623">
        <v>21.251670000000001</v>
      </c>
      <c r="I238" s="2623">
        <v>20.674140000000001</v>
      </c>
      <c r="J238" s="2623"/>
      <c r="K238" s="2623"/>
      <c r="L238" s="2623"/>
      <c r="M238" s="2623"/>
      <c r="N238" s="2623"/>
      <c r="O238" s="2623"/>
      <c r="P238" s="2623"/>
      <c r="Q238" s="2623"/>
      <c r="R238" s="2631"/>
    </row>
    <row r="239" spans="1:18">
      <c r="A239" s="2615"/>
      <c r="B239" s="2622" t="s">
        <v>5352</v>
      </c>
      <c r="C239" s="2622" t="s">
        <v>5232</v>
      </c>
      <c r="D239" s="2623">
        <v>23.962</v>
      </c>
      <c r="E239" s="2623">
        <v>23.681999999999999</v>
      </c>
      <c r="F239" s="2623">
        <v>22.663</v>
      </c>
      <c r="G239" s="2623">
        <v>22.492999999999999</v>
      </c>
      <c r="H239" s="2623">
        <v>21.797000000000001</v>
      </c>
      <c r="I239" s="2623">
        <v>21.260999999999999</v>
      </c>
      <c r="J239" s="2623"/>
      <c r="K239" s="2623" t="s">
        <v>5233</v>
      </c>
      <c r="L239" s="2623">
        <v>21.835000000000001</v>
      </c>
      <c r="M239" s="2623">
        <v>22.21</v>
      </c>
      <c r="N239" s="2623">
        <v>22.701000000000001</v>
      </c>
      <c r="O239" s="2623">
        <v>22.925000000000001</v>
      </c>
      <c r="P239" s="2623">
        <v>24</v>
      </c>
      <c r="Q239" s="2623">
        <v>24.513000000000002</v>
      </c>
      <c r="R239" s="2631">
        <v>21</v>
      </c>
    </row>
    <row r="240" spans="1:18">
      <c r="A240" s="2615"/>
      <c r="B240" s="2622" t="s">
        <v>5352</v>
      </c>
      <c r="C240" s="2622" t="s">
        <v>5234</v>
      </c>
      <c r="D240" s="2623">
        <v>23.962</v>
      </c>
      <c r="E240" s="2623">
        <v>23.681999999999999</v>
      </c>
      <c r="F240" s="2623">
        <v>22.663</v>
      </c>
      <c r="G240" s="2623">
        <v>22.556999999999999</v>
      </c>
      <c r="H240" s="2623">
        <v>21.797000000000001</v>
      </c>
      <c r="I240" s="2623">
        <v>21.324999999999999</v>
      </c>
      <c r="J240" s="2623"/>
      <c r="K240" s="2623"/>
      <c r="L240" s="2623"/>
      <c r="M240" s="2623"/>
      <c r="N240" s="2623"/>
      <c r="O240" s="2623"/>
      <c r="P240" s="2623"/>
      <c r="Q240" s="2623"/>
      <c r="R240" s="2631"/>
    </row>
    <row r="241" spans="1:18">
      <c r="A241" s="2615"/>
      <c r="B241" s="2618" t="s">
        <v>5353</v>
      </c>
      <c r="C241" s="2622" t="s">
        <v>5232</v>
      </c>
      <c r="D241" s="2623">
        <v>23.968</v>
      </c>
      <c r="E241" s="2623">
        <v>23.731999999999999</v>
      </c>
      <c r="F241" s="2623">
        <v>22.993721499999999</v>
      </c>
      <c r="G241" s="2623">
        <v>22.843721500000001</v>
      </c>
      <c r="H241" s="2623">
        <v>22.344201999999999</v>
      </c>
      <c r="I241" s="2623">
        <v>21.919684</v>
      </c>
      <c r="J241" s="2623"/>
      <c r="K241" s="2623" t="s">
        <v>5233</v>
      </c>
      <c r="L241" s="2623">
        <v>22.376201999999999</v>
      </c>
      <c r="M241" s="2623">
        <v>22.676202</v>
      </c>
      <c r="N241" s="2623">
        <v>23.0257215</v>
      </c>
      <c r="O241" s="2623">
        <v>23.225721499999999</v>
      </c>
      <c r="P241" s="2623">
        <v>24</v>
      </c>
      <c r="Q241" s="2623">
        <v>24.416506999999999</v>
      </c>
      <c r="R241" s="2631">
        <v>21</v>
      </c>
    </row>
    <row r="242" spans="1:18">
      <c r="A242" s="2615"/>
      <c r="B242" s="2618" t="s">
        <v>5353</v>
      </c>
      <c r="C242" s="2622" t="s">
        <v>5234</v>
      </c>
      <c r="D242" s="2623">
        <v>23.968</v>
      </c>
      <c r="E242" s="2623">
        <v>23.731999999999999</v>
      </c>
      <c r="F242" s="2623">
        <v>22.993721499999999</v>
      </c>
      <c r="G242" s="2623">
        <v>22.898721500000001</v>
      </c>
      <c r="H242" s="2623">
        <v>22.344201999999999</v>
      </c>
      <c r="I242" s="2623">
        <v>21.974684</v>
      </c>
      <c r="J242" s="2623"/>
      <c r="K242" s="2623"/>
      <c r="L242" s="2623"/>
      <c r="M242" s="2623"/>
      <c r="N242" s="2623"/>
      <c r="O242" s="2623"/>
      <c r="P242" s="2623"/>
      <c r="Q242" s="2623"/>
      <c r="R242" s="2631"/>
    </row>
    <row r="243" spans="1:18">
      <c r="A243" s="2615"/>
      <c r="B243" s="2618" t="s">
        <v>5354</v>
      </c>
      <c r="C243" s="2622" t="s">
        <v>5232</v>
      </c>
      <c r="D243" s="2623">
        <v>23.974</v>
      </c>
      <c r="E243" s="2623">
        <v>23.794</v>
      </c>
      <c r="F243" s="2623">
        <v>23.324480999999999</v>
      </c>
      <c r="G243" s="2623">
        <v>23.199480999999999</v>
      </c>
      <c r="H243" s="2623">
        <v>22.891468</v>
      </c>
      <c r="I243" s="2623">
        <v>22.583456000000002</v>
      </c>
      <c r="J243" s="2623"/>
      <c r="K243" s="2623" t="s">
        <v>5233</v>
      </c>
      <c r="L243" s="2623">
        <v>22.917468</v>
      </c>
      <c r="M243" s="2623">
        <v>23.153468</v>
      </c>
      <c r="N243" s="2623">
        <v>23.350480999999998</v>
      </c>
      <c r="O243" s="2623">
        <v>23.520481</v>
      </c>
      <c r="P243" s="2623">
        <v>24</v>
      </c>
      <c r="Q243" s="2623">
        <v>24.314337999999999</v>
      </c>
      <c r="R243" s="2631">
        <v>21</v>
      </c>
    </row>
    <row r="244" spans="1:18">
      <c r="A244" s="2615"/>
      <c r="B244" s="2618" t="s">
        <v>5354</v>
      </c>
      <c r="C244" s="2622" t="s">
        <v>5234</v>
      </c>
      <c r="D244" s="2623">
        <v>23.974</v>
      </c>
      <c r="E244" s="2623">
        <v>23.794</v>
      </c>
      <c r="F244" s="2623">
        <v>23.324480999999999</v>
      </c>
      <c r="G244" s="2623">
        <v>23.244481</v>
      </c>
      <c r="H244" s="2623">
        <v>22.891468</v>
      </c>
      <c r="I244" s="2623">
        <v>22.628456</v>
      </c>
      <c r="J244" s="2623"/>
      <c r="K244" s="2623"/>
      <c r="L244" s="2623"/>
      <c r="M244" s="2623"/>
      <c r="N244" s="2623"/>
      <c r="O244" s="2623"/>
      <c r="P244" s="2623"/>
      <c r="Q244" s="2623"/>
      <c r="R244" s="2631"/>
    </row>
    <row r="245" spans="1:18">
      <c r="A245" s="2615"/>
      <c r="B245" s="2618" t="s">
        <v>5355</v>
      </c>
      <c r="C245" s="2622" t="s">
        <v>5232</v>
      </c>
      <c r="D245" s="2623">
        <v>23.978000000000002</v>
      </c>
      <c r="E245" s="2623">
        <v>23.838000000000001</v>
      </c>
      <c r="F245" s="2623">
        <v>23.49086075</v>
      </c>
      <c r="G245" s="2623">
        <v>23.378860750000001</v>
      </c>
      <c r="H245" s="2623">
        <v>23.166101000000001</v>
      </c>
      <c r="I245" s="2623">
        <v>22.916841999999999</v>
      </c>
      <c r="J245" s="2623"/>
      <c r="K245" s="2623" t="s">
        <v>5233</v>
      </c>
      <c r="L245" s="2623">
        <v>23.188101</v>
      </c>
      <c r="M245" s="2623">
        <v>23.378101000000001</v>
      </c>
      <c r="N245" s="2623">
        <v>23.512860750000002</v>
      </c>
      <c r="O245" s="2623">
        <v>23.66286075</v>
      </c>
      <c r="P245" s="2623">
        <v>24</v>
      </c>
      <c r="Q245" s="2623">
        <v>24.258253499999999</v>
      </c>
      <c r="R245" s="2631">
        <v>21</v>
      </c>
    </row>
    <row r="246" spans="1:18">
      <c r="A246" s="2615"/>
      <c r="B246" s="2618" t="s">
        <v>5355</v>
      </c>
      <c r="C246" s="2622" t="s">
        <v>5234</v>
      </c>
      <c r="D246" s="2623">
        <v>23.978000000000002</v>
      </c>
      <c r="E246" s="2623">
        <v>23.838000000000001</v>
      </c>
      <c r="F246" s="2623">
        <v>23.49086075</v>
      </c>
      <c r="G246" s="2623">
        <v>23.419860750000002</v>
      </c>
      <c r="H246" s="2623">
        <v>23.166101000000001</v>
      </c>
      <c r="I246" s="2623">
        <v>22.957841999999999</v>
      </c>
      <c r="J246" s="2623"/>
      <c r="K246" s="2623"/>
      <c r="L246" s="2623"/>
      <c r="M246" s="2623"/>
      <c r="N246" s="2623"/>
      <c r="O246" s="2623"/>
      <c r="P246" s="2623"/>
      <c r="Q246" s="2623"/>
      <c r="R246" s="2631"/>
    </row>
    <row r="247" spans="1:18">
      <c r="A247" s="2615">
        <v>25</v>
      </c>
      <c r="B247" s="2618" t="s">
        <v>5356</v>
      </c>
      <c r="C247" s="2622" t="s">
        <v>5232</v>
      </c>
      <c r="D247" s="2623">
        <v>24.962</v>
      </c>
      <c r="E247" s="2623">
        <v>24.681999999999999</v>
      </c>
      <c r="F247" s="2623">
        <v>23.662962</v>
      </c>
      <c r="G247" s="2623">
        <v>23.492961999999999</v>
      </c>
      <c r="H247" s="2623">
        <v>22.796935999999999</v>
      </c>
      <c r="I247" s="2623">
        <v>22.260912000000001</v>
      </c>
      <c r="J247" s="2623"/>
      <c r="K247" s="2623" t="s">
        <v>5233</v>
      </c>
      <c r="L247" s="2623">
        <v>22.834935999999999</v>
      </c>
      <c r="M247" s="2623">
        <v>23.209935999999999</v>
      </c>
      <c r="N247" s="2623">
        <v>23.700962000000001</v>
      </c>
      <c r="O247" s="2623">
        <v>23.925362</v>
      </c>
      <c r="P247" s="2623">
        <v>25</v>
      </c>
      <c r="Q247" s="2623">
        <v>25.513076000000002</v>
      </c>
      <c r="R247" s="2631">
        <v>22</v>
      </c>
    </row>
    <row r="248" spans="1:18">
      <c r="A248" s="2615"/>
      <c r="B248" s="2618" t="s">
        <v>5356</v>
      </c>
      <c r="C248" s="2622" t="s">
        <v>5234</v>
      </c>
      <c r="D248" s="2623">
        <v>24.962</v>
      </c>
      <c r="E248" s="2623">
        <v>24.681999999999999</v>
      </c>
      <c r="F248" s="2623">
        <v>23.662962</v>
      </c>
      <c r="G248" s="2623">
        <v>23.556961999999999</v>
      </c>
      <c r="H248" s="2623">
        <v>22.796935999999999</v>
      </c>
      <c r="I248" s="2623">
        <v>22.324912000000001</v>
      </c>
      <c r="J248" s="2623"/>
      <c r="K248" s="2623"/>
      <c r="L248" s="2623"/>
      <c r="M248" s="2623"/>
      <c r="N248" s="2623"/>
      <c r="O248" s="2623"/>
      <c r="P248" s="2623"/>
      <c r="Q248" s="2623"/>
      <c r="R248" s="2631"/>
    </row>
    <row r="249" spans="1:18">
      <c r="A249" s="2615"/>
      <c r="B249" s="2622" t="s">
        <v>5357</v>
      </c>
      <c r="C249" s="2622" t="s">
        <v>5232</v>
      </c>
      <c r="D249" s="2623">
        <v>24.968</v>
      </c>
      <c r="E249" s="2623">
        <v>24.731999999999999</v>
      </c>
      <c r="F249" s="2623">
        <v>23.994</v>
      </c>
      <c r="G249" s="2623">
        <v>23.844000000000001</v>
      </c>
      <c r="H249" s="2623">
        <v>23.344000000000001</v>
      </c>
      <c r="I249" s="2623">
        <v>22.92</v>
      </c>
      <c r="J249" s="2623"/>
      <c r="K249" s="2623" t="s">
        <v>5233</v>
      </c>
      <c r="L249" s="2623">
        <v>23.376000000000001</v>
      </c>
      <c r="M249" s="2623">
        <v>23.675999999999998</v>
      </c>
      <c r="N249" s="2623">
        <v>24.026</v>
      </c>
      <c r="O249" s="2623">
        <v>24.225999999999999</v>
      </c>
      <c r="P249" s="2623">
        <v>25</v>
      </c>
      <c r="Q249" s="2623">
        <v>25.416</v>
      </c>
      <c r="R249" s="2631">
        <v>22</v>
      </c>
    </row>
    <row r="250" spans="1:18">
      <c r="A250" s="2615"/>
      <c r="B250" s="2622" t="s">
        <v>5357</v>
      </c>
      <c r="C250" s="2622" t="s">
        <v>5234</v>
      </c>
      <c r="D250" s="2623">
        <v>24.968</v>
      </c>
      <c r="E250" s="2623">
        <v>24.731999999999999</v>
      </c>
      <c r="F250" s="2623">
        <v>23.994</v>
      </c>
      <c r="G250" s="2623">
        <v>23.899000000000001</v>
      </c>
      <c r="H250" s="2623">
        <v>23.344000000000001</v>
      </c>
      <c r="I250" s="2623">
        <v>22.975000000000001</v>
      </c>
      <c r="J250" s="2623"/>
      <c r="K250" s="2623"/>
      <c r="L250" s="2623"/>
      <c r="M250" s="2623"/>
      <c r="N250" s="2623"/>
      <c r="O250" s="2623"/>
      <c r="P250" s="2623"/>
      <c r="Q250" s="2623"/>
      <c r="R250" s="2631"/>
    </row>
    <row r="251" spans="1:18">
      <c r="A251" s="2615"/>
      <c r="B251" s="2618" t="s">
        <v>5358</v>
      </c>
      <c r="C251" s="2622" t="s">
        <v>5232</v>
      </c>
      <c r="D251" s="2623">
        <v>24.974</v>
      </c>
      <c r="E251" s="2623">
        <v>24.794</v>
      </c>
      <c r="F251" s="2623">
        <v>24.324480999999999</v>
      </c>
      <c r="G251" s="2623">
        <v>24.199480999999999</v>
      </c>
      <c r="H251" s="2623">
        <v>23.891468</v>
      </c>
      <c r="I251" s="2623">
        <v>23.583456000000002</v>
      </c>
      <c r="J251" s="2623"/>
      <c r="K251" s="2623" t="s">
        <v>5233</v>
      </c>
      <c r="L251" s="2623">
        <v>23.917468</v>
      </c>
      <c r="M251" s="2623">
        <v>24.153468</v>
      </c>
      <c r="N251" s="2623">
        <v>24.350480999999998</v>
      </c>
      <c r="O251" s="2623">
        <v>24.520481</v>
      </c>
      <c r="P251" s="2623">
        <v>25</v>
      </c>
      <c r="Q251" s="2623">
        <v>25.314337999999999</v>
      </c>
      <c r="R251" s="2631">
        <v>22</v>
      </c>
    </row>
    <row r="252" spans="1:18">
      <c r="A252" s="2615"/>
      <c r="B252" s="2618" t="s">
        <v>5358</v>
      </c>
      <c r="C252" s="2622" t="s">
        <v>5234</v>
      </c>
      <c r="D252" s="2623">
        <v>24.974</v>
      </c>
      <c r="E252" s="2623">
        <v>24.794</v>
      </c>
      <c r="F252" s="2623">
        <v>24.324480999999999</v>
      </c>
      <c r="G252" s="2623">
        <v>24.244481</v>
      </c>
      <c r="H252" s="2623">
        <v>23.891468</v>
      </c>
      <c r="I252" s="2623">
        <v>23.628456</v>
      </c>
      <c r="J252" s="2623"/>
      <c r="K252" s="2623"/>
      <c r="L252" s="2623"/>
      <c r="M252" s="2623"/>
      <c r="N252" s="2623"/>
      <c r="O252" s="2623"/>
      <c r="P252" s="2623"/>
      <c r="Q252" s="2623"/>
      <c r="R252" s="2631"/>
    </row>
    <row r="253" spans="1:18">
      <c r="A253" s="2615">
        <v>26</v>
      </c>
      <c r="B253" s="2618" t="s">
        <v>5359</v>
      </c>
      <c r="C253" s="2622" t="s">
        <v>5232</v>
      </c>
      <c r="D253" s="2623">
        <v>25.968</v>
      </c>
      <c r="E253" s="2623">
        <v>25.731999999999999</v>
      </c>
      <c r="F253" s="2623">
        <v>24.993721499999999</v>
      </c>
      <c r="G253" s="2623">
        <v>24.843721500000001</v>
      </c>
      <c r="H253" s="2623">
        <v>24.344201999999999</v>
      </c>
      <c r="I253" s="2623">
        <v>23.919684</v>
      </c>
      <c r="J253" s="2623"/>
      <c r="K253" s="2623" t="s">
        <v>5233</v>
      </c>
      <c r="L253" s="2623">
        <v>24.376201999999999</v>
      </c>
      <c r="M253" s="2623">
        <v>24.676202</v>
      </c>
      <c r="N253" s="2623">
        <v>25.0257215</v>
      </c>
      <c r="O253" s="2623">
        <v>25.225721499999999</v>
      </c>
      <c r="P253" s="2623">
        <v>26</v>
      </c>
      <c r="Q253" s="2623">
        <v>26.416506999999999</v>
      </c>
      <c r="R253" s="2631">
        <v>24</v>
      </c>
    </row>
    <row r="254" spans="1:18">
      <c r="A254" s="2615"/>
      <c r="B254" s="2618" t="s">
        <v>5359</v>
      </c>
      <c r="C254" s="2622" t="s">
        <v>5234</v>
      </c>
      <c r="D254" s="2623">
        <v>25.968</v>
      </c>
      <c r="E254" s="2623">
        <v>25.731999999999999</v>
      </c>
      <c r="F254" s="2623">
        <v>24.993721499999999</v>
      </c>
      <c r="G254" s="2623">
        <v>24.898721500000001</v>
      </c>
      <c r="H254" s="2623">
        <v>24.344201999999999</v>
      </c>
      <c r="I254" s="2623">
        <v>23.974684</v>
      </c>
      <c r="J254" s="2623"/>
      <c r="K254" s="2623"/>
      <c r="L254" s="2623"/>
      <c r="M254" s="2623"/>
      <c r="N254" s="2623"/>
      <c r="O254" s="2623"/>
      <c r="P254" s="2623"/>
      <c r="Q254" s="2623"/>
      <c r="R254" s="2631"/>
    </row>
    <row r="255" spans="1:18">
      <c r="A255" s="2615">
        <v>27</v>
      </c>
      <c r="B255" s="2622" t="s">
        <v>5360</v>
      </c>
      <c r="C255" s="2622" t="s">
        <v>5232</v>
      </c>
      <c r="D255" s="2623">
        <v>26.952000000000002</v>
      </c>
      <c r="E255" s="2623">
        <v>26.577000000000002</v>
      </c>
      <c r="F255" s="2623">
        <v>25.003</v>
      </c>
      <c r="G255" s="2623">
        <v>24.803000000000001</v>
      </c>
      <c r="H255" s="2623">
        <v>23.704000000000001</v>
      </c>
      <c r="I255" s="2623">
        <v>22.954999999999998</v>
      </c>
      <c r="J255" s="2623"/>
      <c r="K255" s="2623" t="s">
        <v>5233</v>
      </c>
      <c r="L255" s="2623">
        <v>23.751999999999999</v>
      </c>
      <c r="M255" s="2623">
        <v>24.251999999999999</v>
      </c>
      <c r="N255" s="2623">
        <v>25.050999999999998</v>
      </c>
      <c r="O255" s="2623">
        <v>25.315999999999999</v>
      </c>
      <c r="P255" s="2623">
        <v>27</v>
      </c>
      <c r="Q255" s="2623">
        <v>27.698</v>
      </c>
      <c r="R255" s="2631">
        <v>24</v>
      </c>
    </row>
    <row r="256" spans="1:18">
      <c r="A256" s="2615"/>
      <c r="B256" s="2622" t="s">
        <v>5360</v>
      </c>
      <c r="C256" s="2622" t="s">
        <v>5234</v>
      </c>
      <c r="D256" s="2623">
        <v>26.952000000000002</v>
      </c>
      <c r="E256" s="2623">
        <v>26.577000000000002</v>
      </c>
      <c r="F256" s="2623">
        <v>25.003443000000001</v>
      </c>
      <c r="G256" s="2623">
        <v>24.878443000000001</v>
      </c>
      <c r="H256" s="2623">
        <v>23.704404</v>
      </c>
      <c r="I256" s="2623">
        <v>23.030367999999999</v>
      </c>
      <c r="J256" s="2623"/>
      <c r="K256" s="2623"/>
      <c r="L256" s="2623"/>
      <c r="M256" s="2623"/>
      <c r="N256" s="2623"/>
      <c r="O256" s="2623"/>
      <c r="P256" s="2623"/>
      <c r="Q256" s="2623"/>
      <c r="R256" s="2631"/>
    </row>
    <row r="257" spans="1:18">
      <c r="A257" s="2615"/>
      <c r="B257" s="2622" t="s">
        <v>5361</v>
      </c>
      <c r="C257" s="2622" t="s">
        <v>5232</v>
      </c>
      <c r="D257" s="2623">
        <v>26.962</v>
      </c>
      <c r="E257" s="2623">
        <v>26.681999999999999</v>
      </c>
      <c r="F257" s="2623">
        <v>25.663</v>
      </c>
      <c r="G257" s="2623">
        <v>25.492999999999999</v>
      </c>
      <c r="H257" s="2623">
        <v>24.797000000000001</v>
      </c>
      <c r="I257" s="2623">
        <v>24.260999999999999</v>
      </c>
      <c r="J257" s="2623"/>
      <c r="K257" s="2623" t="s">
        <v>5233</v>
      </c>
      <c r="L257" s="2623">
        <v>24.835000000000001</v>
      </c>
      <c r="M257" s="2623">
        <v>25.21</v>
      </c>
      <c r="N257" s="2623">
        <v>25.701000000000001</v>
      </c>
      <c r="O257" s="2623">
        <v>25.925000000000001</v>
      </c>
      <c r="P257" s="2623">
        <v>27</v>
      </c>
      <c r="Q257" s="2623">
        <v>27.513000000000002</v>
      </c>
      <c r="R257" s="2631">
        <v>24</v>
      </c>
    </row>
    <row r="258" spans="1:18">
      <c r="A258" s="2615"/>
      <c r="B258" s="2622" t="s">
        <v>5361</v>
      </c>
      <c r="C258" s="2622" t="s">
        <v>5234</v>
      </c>
      <c r="D258" s="2623">
        <v>29.962</v>
      </c>
      <c r="E258" s="2623">
        <v>26.681999999999999</v>
      </c>
      <c r="F258" s="2623">
        <v>25.663</v>
      </c>
      <c r="G258" s="2623">
        <v>25.556999999999999</v>
      </c>
      <c r="H258" s="2623">
        <v>24.797000000000001</v>
      </c>
      <c r="I258" s="2623">
        <v>24.324999999999999</v>
      </c>
      <c r="J258" s="2623"/>
      <c r="K258" s="2623"/>
      <c r="L258" s="2623"/>
      <c r="M258" s="2623"/>
      <c r="N258" s="2623"/>
      <c r="O258" s="2623"/>
      <c r="P258" s="2623"/>
      <c r="Q258" s="2623"/>
      <c r="R258" s="2631"/>
    </row>
    <row r="259" spans="1:18">
      <c r="A259" s="2615"/>
      <c r="B259" s="2618" t="s">
        <v>5362</v>
      </c>
      <c r="C259" s="2622" t="s">
        <v>5232</v>
      </c>
      <c r="D259" s="2623">
        <v>26.968</v>
      </c>
      <c r="E259" s="2623">
        <v>26.731999999999999</v>
      </c>
      <c r="F259" s="2623">
        <v>25.993721499999999</v>
      </c>
      <c r="G259" s="2623">
        <v>25.843721500000001</v>
      </c>
      <c r="H259" s="2623">
        <v>25.344201999999999</v>
      </c>
      <c r="I259" s="2623">
        <v>24.919684</v>
      </c>
      <c r="J259" s="2623"/>
      <c r="K259" s="2623" t="s">
        <v>5233</v>
      </c>
      <c r="L259" s="2623">
        <v>25.376201999999999</v>
      </c>
      <c r="M259" s="2623">
        <v>25.676202</v>
      </c>
      <c r="N259" s="2623">
        <v>26.0257215</v>
      </c>
      <c r="O259" s="2623">
        <v>26.225721499999999</v>
      </c>
      <c r="P259" s="2623">
        <v>27</v>
      </c>
      <c r="Q259" s="2623">
        <v>27.416506999999999</v>
      </c>
      <c r="R259" s="2631">
        <v>24</v>
      </c>
    </row>
    <row r="260" spans="1:18">
      <c r="A260" s="2615"/>
      <c r="B260" s="2618" t="s">
        <v>5362</v>
      </c>
      <c r="C260" s="2622" t="s">
        <v>5234</v>
      </c>
      <c r="D260" s="2623">
        <v>26.968</v>
      </c>
      <c r="E260" s="2623">
        <v>26.731999999999999</v>
      </c>
      <c r="F260" s="2623">
        <v>25.993721499999999</v>
      </c>
      <c r="G260" s="2623">
        <v>25.898721500000001</v>
      </c>
      <c r="H260" s="2623">
        <v>25.344201999999999</v>
      </c>
      <c r="I260" s="2623">
        <v>24.974684</v>
      </c>
      <c r="J260" s="2623"/>
      <c r="K260" s="2623"/>
      <c r="L260" s="2623"/>
      <c r="M260" s="2623"/>
      <c r="N260" s="2623"/>
      <c r="O260" s="2623"/>
      <c r="P260" s="2623"/>
      <c r="Q260" s="2623"/>
      <c r="R260" s="2631"/>
    </row>
    <row r="261" spans="1:18">
      <c r="A261" s="2615"/>
      <c r="B261" s="2618" t="s">
        <v>5363</v>
      </c>
      <c r="C261" s="2622" t="s">
        <v>5232</v>
      </c>
      <c r="D261" s="2623">
        <v>26.974</v>
      </c>
      <c r="E261" s="2623">
        <v>26.794</v>
      </c>
      <c r="F261" s="2623">
        <v>26.324480999999999</v>
      </c>
      <c r="G261" s="2623">
        <v>26.199480999999999</v>
      </c>
      <c r="H261" s="2623">
        <v>25.891468</v>
      </c>
      <c r="I261" s="2623">
        <v>25.583456000000002</v>
      </c>
      <c r="J261" s="2623"/>
      <c r="K261" s="2623" t="s">
        <v>5233</v>
      </c>
      <c r="L261" s="2623">
        <v>25.917468</v>
      </c>
      <c r="M261" s="2623">
        <v>26.153468</v>
      </c>
      <c r="N261" s="2623">
        <v>26.350480999999998</v>
      </c>
      <c r="O261" s="2623">
        <v>26.520481</v>
      </c>
      <c r="P261" s="2623">
        <v>27</v>
      </c>
      <c r="Q261" s="2623">
        <v>27.314337999999999</v>
      </c>
      <c r="R261" s="2631">
        <v>24</v>
      </c>
    </row>
    <row r="262" spans="1:18">
      <c r="A262" s="2615"/>
      <c r="B262" s="2618" t="s">
        <v>5363</v>
      </c>
      <c r="C262" s="2622" t="s">
        <v>5234</v>
      </c>
      <c r="D262" s="2623">
        <v>26.974</v>
      </c>
      <c r="E262" s="2623">
        <v>26.794</v>
      </c>
      <c r="F262" s="2623">
        <v>26.324480999999999</v>
      </c>
      <c r="G262" s="2623">
        <v>26.244481</v>
      </c>
      <c r="H262" s="2623">
        <v>25.891468</v>
      </c>
      <c r="I262" s="2623">
        <v>25.628456</v>
      </c>
      <c r="J262" s="2623"/>
      <c r="K262" s="2623"/>
      <c r="L262" s="2623"/>
      <c r="M262" s="2623"/>
      <c r="N262" s="2623"/>
      <c r="O262" s="2623"/>
      <c r="P262" s="2623"/>
      <c r="Q262" s="2623"/>
      <c r="R262" s="2631"/>
    </row>
    <row r="263" spans="1:18">
      <c r="A263" s="2615"/>
      <c r="B263" s="2618" t="s">
        <v>5364</v>
      </c>
      <c r="C263" s="2622" t="s">
        <v>5232</v>
      </c>
      <c r="D263" s="2623">
        <v>26.978000000000002</v>
      </c>
      <c r="E263" s="2623">
        <v>26.838000000000001</v>
      </c>
      <c r="F263" s="2623">
        <v>26.49086075</v>
      </c>
      <c r="G263" s="2623">
        <v>26.378860750000001</v>
      </c>
      <c r="H263" s="2623">
        <v>26.166101000000001</v>
      </c>
      <c r="I263" s="2623">
        <v>25.916841999999999</v>
      </c>
      <c r="J263" s="2623"/>
      <c r="K263" s="2623" t="s">
        <v>5233</v>
      </c>
      <c r="L263" s="2623">
        <v>26.188101</v>
      </c>
      <c r="M263" s="2623">
        <v>26.378101000000001</v>
      </c>
      <c r="N263" s="2623">
        <v>26.512860750000002</v>
      </c>
      <c r="O263" s="2623">
        <v>26.66286075</v>
      </c>
      <c r="P263" s="2623">
        <v>27</v>
      </c>
      <c r="Q263" s="2623">
        <v>27.258253499999999</v>
      </c>
      <c r="R263" s="2631">
        <v>24</v>
      </c>
    </row>
    <row r="264" spans="1:18">
      <c r="A264" s="2615"/>
      <c r="B264" s="2618" t="s">
        <v>5364</v>
      </c>
      <c r="C264" s="2622" t="s">
        <v>5234</v>
      </c>
      <c r="D264" s="2623">
        <v>26.978000000000002</v>
      </c>
      <c r="E264" s="2623">
        <v>26.838000000000001</v>
      </c>
      <c r="F264" s="2623">
        <v>26.49086075</v>
      </c>
      <c r="G264" s="2623">
        <v>26.419860750000002</v>
      </c>
      <c r="H264" s="2623">
        <v>26.166101000000001</v>
      </c>
      <c r="I264" s="2623">
        <v>25.957841999999999</v>
      </c>
      <c r="J264" s="2623"/>
      <c r="K264" s="2623"/>
      <c r="L264" s="2623"/>
      <c r="M264" s="2623"/>
      <c r="N264" s="2623"/>
      <c r="O264" s="2623"/>
      <c r="P264" s="2623"/>
      <c r="Q264" s="2623"/>
      <c r="R264" s="2631"/>
    </row>
    <row r="265" spans="1:18">
      <c r="A265" s="2615">
        <v>28</v>
      </c>
      <c r="B265" s="2618" t="s">
        <v>5365</v>
      </c>
      <c r="C265" s="2622" t="s">
        <v>5232</v>
      </c>
      <c r="D265" s="2623">
        <v>27.962</v>
      </c>
      <c r="E265" s="2623">
        <v>27.681999999999999</v>
      </c>
      <c r="F265" s="2623">
        <v>26.662962</v>
      </c>
      <c r="G265" s="2623">
        <v>26.492961999999999</v>
      </c>
      <c r="H265" s="2623">
        <v>25.796935999999999</v>
      </c>
      <c r="I265" s="2623">
        <v>25.260912000000001</v>
      </c>
      <c r="J265" s="2623"/>
      <c r="K265" s="2623" t="s">
        <v>5233</v>
      </c>
      <c r="L265" s="2623">
        <v>25.834935999999999</v>
      </c>
      <c r="M265" s="2623">
        <v>26.209935999999999</v>
      </c>
      <c r="N265" s="2623">
        <v>26.700962000000001</v>
      </c>
      <c r="O265" s="2623">
        <v>26.925362</v>
      </c>
      <c r="P265" s="2623">
        <v>28</v>
      </c>
      <c r="Q265" s="2623">
        <v>28.513076000000002</v>
      </c>
      <c r="R265" s="2631">
        <v>25</v>
      </c>
    </row>
    <row r="266" spans="1:18">
      <c r="A266" s="2615"/>
      <c r="B266" s="2618" t="s">
        <v>5365</v>
      </c>
      <c r="C266" s="2622" t="s">
        <v>5234</v>
      </c>
      <c r="D266" s="2623">
        <v>27.962</v>
      </c>
      <c r="E266" s="2623">
        <v>27.681999999999999</v>
      </c>
      <c r="F266" s="2623">
        <v>26.662962</v>
      </c>
      <c r="G266" s="2623">
        <v>26.556961999999999</v>
      </c>
      <c r="H266" s="2623">
        <v>25.796935999999999</v>
      </c>
      <c r="I266" s="2623">
        <v>25.324912000000001</v>
      </c>
      <c r="J266" s="2623"/>
      <c r="K266" s="2623"/>
      <c r="L266" s="2623"/>
      <c r="M266" s="2623"/>
      <c r="N266" s="2623"/>
      <c r="O266" s="2623"/>
      <c r="P266" s="2623"/>
      <c r="Q266" s="2623"/>
      <c r="R266" s="2631"/>
    </row>
    <row r="267" spans="1:18">
      <c r="A267" s="2615"/>
      <c r="B267" s="2618" t="s">
        <v>5366</v>
      </c>
      <c r="C267" s="2622" t="s">
        <v>5232</v>
      </c>
      <c r="D267" s="2623">
        <v>27.968</v>
      </c>
      <c r="E267" s="2623">
        <v>27.731999999999999</v>
      </c>
      <c r="F267" s="2623">
        <v>26.993721499999999</v>
      </c>
      <c r="G267" s="2623">
        <v>26.843721500000001</v>
      </c>
      <c r="H267" s="2623">
        <v>26.344201999999999</v>
      </c>
      <c r="I267" s="2623">
        <v>25.919684</v>
      </c>
      <c r="J267" s="2623"/>
      <c r="K267" s="2623" t="s">
        <v>5233</v>
      </c>
      <c r="L267" s="2623">
        <v>26.376201999999999</v>
      </c>
      <c r="M267" s="2623">
        <v>26.676202</v>
      </c>
      <c r="N267" s="2623">
        <v>27.0257215</v>
      </c>
      <c r="O267" s="2623">
        <v>27.225721499999999</v>
      </c>
      <c r="P267" s="2623">
        <v>28</v>
      </c>
      <c r="Q267" s="2623">
        <v>28.416506999999999</v>
      </c>
      <c r="R267" s="2631">
        <v>25</v>
      </c>
    </row>
    <row r="268" spans="1:18">
      <c r="A268" s="2615"/>
      <c r="B268" s="2618" t="s">
        <v>5366</v>
      </c>
      <c r="C268" s="2622" t="s">
        <v>5234</v>
      </c>
      <c r="D268" s="2623">
        <v>27.968</v>
      </c>
      <c r="E268" s="2623">
        <v>27.731999999999999</v>
      </c>
      <c r="F268" s="2623">
        <v>26.993721499999999</v>
      </c>
      <c r="G268" s="2623">
        <v>26.898721500000001</v>
      </c>
      <c r="H268" s="2623">
        <v>26.344201999999999</v>
      </c>
      <c r="I268" s="2623">
        <v>25.974684</v>
      </c>
      <c r="J268" s="2623"/>
      <c r="K268" s="2623"/>
      <c r="L268" s="2623"/>
      <c r="M268" s="2623"/>
      <c r="N268" s="2623"/>
      <c r="O268" s="2623"/>
      <c r="P268" s="2623"/>
      <c r="Q268" s="2623"/>
      <c r="R268" s="2631"/>
    </row>
    <row r="269" spans="1:18">
      <c r="A269" s="2615"/>
      <c r="B269" s="2618" t="s">
        <v>5367</v>
      </c>
      <c r="C269" s="2622" t="s">
        <v>5232</v>
      </c>
      <c r="D269" s="2623">
        <v>27.974</v>
      </c>
      <c r="E269" s="2623">
        <v>27.794</v>
      </c>
      <c r="F269" s="2623">
        <v>27.324480999999999</v>
      </c>
      <c r="G269" s="2623">
        <v>27.199480999999999</v>
      </c>
      <c r="H269" s="2623">
        <v>26.891468</v>
      </c>
      <c r="I269" s="2623">
        <v>26.583456000000002</v>
      </c>
      <c r="J269" s="2623"/>
      <c r="K269" s="2623" t="s">
        <v>5233</v>
      </c>
      <c r="L269" s="2623">
        <v>26.917468</v>
      </c>
      <c r="M269" s="2623">
        <v>27.153468</v>
      </c>
      <c r="N269" s="2623">
        <v>27.350480999999998</v>
      </c>
      <c r="O269" s="2623">
        <v>27.520481</v>
      </c>
      <c r="P269" s="2623">
        <v>28</v>
      </c>
      <c r="Q269" s="2623">
        <v>28.314337999999999</v>
      </c>
      <c r="R269" s="2631">
        <v>25</v>
      </c>
    </row>
    <row r="270" spans="1:18">
      <c r="A270" s="2615"/>
      <c r="B270" s="2618" t="s">
        <v>5367</v>
      </c>
      <c r="C270" s="2622" t="s">
        <v>5234</v>
      </c>
      <c r="D270" s="2623">
        <v>27.974</v>
      </c>
      <c r="E270" s="2623">
        <v>27.794</v>
      </c>
      <c r="F270" s="2623">
        <v>27.324480999999999</v>
      </c>
      <c r="G270" s="2623">
        <v>27.244481</v>
      </c>
      <c r="H270" s="2623">
        <v>26.891468</v>
      </c>
      <c r="I270" s="2623">
        <v>26.628456</v>
      </c>
      <c r="J270" s="2623"/>
      <c r="K270" s="2623"/>
      <c r="L270" s="2623"/>
      <c r="M270" s="2623"/>
      <c r="N270" s="2623"/>
      <c r="O270" s="2623"/>
      <c r="P270" s="2623"/>
      <c r="Q270" s="2623"/>
      <c r="R270" s="2631"/>
    </row>
    <row r="271" spans="1:18">
      <c r="A271" s="2615">
        <v>30</v>
      </c>
      <c r="B271" s="2622" t="s">
        <v>5368</v>
      </c>
      <c r="C271" s="2622" t="s">
        <v>5232</v>
      </c>
      <c r="D271" s="2623">
        <v>29.946999999999999</v>
      </c>
      <c r="E271" s="2623">
        <v>29.521999999999998</v>
      </c>
      <c r="F271" s="2623">
        <v>27.673999999999999</v>
      </c>
      <c r="G271" s="2623">
        <v>27.462</v>
      </c>
      <c r="H271" s="2623">
        <v>26.158000000000001</v>
      </c>
      <c r="I271" s="2623">
        <v>25.306000000000001</v>
      </c>
      <c r="J271" s="2623"/>
      <c r="K271" s="2623" t="s">
        <v>5233</v>
      </c>
      <c r="L271" s="2623">
        <v>26.210999999999999</v>
      </c>
      <c r="M271" s="2623">
        <v>26.771000000000001</v>
      </c>
      <c r="N271" s="2623">
        <v>27.727</v>
      </c>
      <c r="O271" s="2623">
        <v>28.007000000000001</v>
      </c>
      <c r="P271" s="2623">
        <v>30</v>
      </c>
      <c r="Q271" s="2623">
        <v>30.785</v>
      </c>
      <c r="R271" s="2631">
        <v>26.5</v>
      </c>
    </row>
    <row r="272" spans="1:18">
      <c r="A272" s="2615"/>
      <c r="B272" s="2622" t="s">
        <v>5368</v>
      </c>
      <c r="C272" s="2622" t="s">
        <v>5234</v>
      </c>
      <c r="D272" s="2623">
        <v>29.946999999999999</v>
      </c>
      <c r="E272" s="2623">
        <v>29.521999999999998</v>
      </c>
      <c r="F272" s="2623">
        <v>27.673999999999999</v>
      </c>
      <c r="G272" s="2623">
        <v>27.542000000000002</v>
      </c>
      <c r="H272" s="2623">
        <v>26.158000000000001</v>
      </c>
      <c r="I272" s="2623">
        <v>25.385999999999999</v>
      </c>
      <c r="J272" s="2623"/>
      <c r="K272" s="2623"/>
      <c r="L272" s="2623"/>
      <c r="M272" s="2623"/>
      <c r="N272" s="2623"/>
      <c r="O272" s="2623"/>
      <c r="P272" s="2623"/>
      <c r="Q272" s="2623"/>
      <c r="R272" s="2631"/>
    </row>
    <row r="273" spans="1:18">
      <c r="A273" s="2615"/>
      <c r="B273" s="2618" t="s">
        <v>5369</v>
      </c>
      <c r="C273" s="2622" t="s">
        <v>5232</v>
      </c>
      <c r="D273" s="2623">
        <v>29.952000000000002</v>
      </c>
      <c r="E273" s="2623">
        <v>29.577000000000002</v>
      </c>
      <c r="F273" s="2623">
        <v>28.003443000000001</v>
      </c>
      <c r="G273" s="2623">
        <v>27.803443000000001</v>
      </c>
      <c r="H273" s="2623">
        <v>26.704404</v>
      </c>
      <c r="I273" s="2623">
        <v>25.955368</v>
      </c>
      <c r="J273" s="2623"/>
      <c r="K273" s="2623" t="s">
        <v>5233</v>
      </c>
      <c r="L273" s="2623">
        <v>26.752403999999999</v>
      </c>
      <c r="M273" s="2623">
        <v>27.252403999999999</v>
      </c>
      <c r="N273" s="2623">
        <v>28.051442999999999</v>
      </c>
      <c r="O273" s="2623">
        <v>28.316443</v>
      </c>
      <c r="P273" s="2623">
        <v>30</v>
      </c>
      <c r="Q273" s="2623">
        <v>30.698014000000001</v>
      </c>
      <c r="R273" s="2631">
        <v>26.5</v>
      </c>
    </row>
    <row r="274" spans="1:18">
      <c r="A274" s="2615"/>
      <c r="B274" s="2618" t="s">
        <v>5369</v>
      </c>
      <c r="C274" s="2622" t="s">
        <v>5234</v>
      </c>
      <c r="D274" s="2623">
        <v>29.952000000000002</v>
      </c>
      <c r="E274" s="2623">
        <v>29.577000000000002</v>
      </c>
      <c r="F274" s="2623">
        <v>28.003443000000001</v>
      </c>
      <c r="G274" s="2623">
        <v>27.878443000000001</v>
      </c>
      <c r="H274" s="2623">
        <v>26.704404</v>
      </c>
      <c r="I274" s="2623">
        <v>26.030367999999999</v>
      </c>
      <c r="J274" s="2623"/>
      <c r="K274" s="2623"/>
      <c r="L274" s="2623"/>
      <c r="M274" s="2623"/>
      <c r="N274" s="2623"/>
      <c r="O274" s="2623"/>
      <c r="P274" s="2623"/>
      <c r="Q274" s="2623"/>
      <c r="R274" s="2631"/>
    </row>
    <row r="275" spans="1:18">
      <c r="A275" s="2615"/>
      <c r="B275" s="2618" t="s">
        <v>5370</v>
      </c>
      <c r="C275" s="2622" t="s">
        <v>5232</v>
      </c>
      <c r="D275" s="2623">
        <v>29.957999999999998</v>
      </c>
      <c r="E275" s="2623">
        <v>29.623000000000001</v>
      </c>
      <c r="F275" s="2623">
        <v>28.3342025</v>
      </c>
      <c r="G275" s="2623">
        <v>28.144202499999999</v>
      </c>
      <c r="H275" s="2623">
        <v>27.251670000000001</v>
      </c>
      <c r="I275" s="2623">
        <v>26.604140000000001</v>
      </c>
      <c r="J275" s="2623"/>
      <c r="K275" s="2623" t="s">
        <v>5233</v>
      </c>
      <c r="L275" s="2623">
        <v>27.293669999999999</v>
      </c>
      <c r="M275" s="2623">
        <v>27.743670000000002</v>
      </c>
      <c r="N275" s="2623">
        <v>28.376202500000002</v>
      </c>
      <c r="O275" s="2623">
        <v>28.626202500000002</v>
      </c>
      <c r="P275" s="2623">
        <v>30</v>
      </c>
      <c r="Q275" s="2623">
        <v>30.610845000000001</v>
      </c>
      <c r="R275" s="2631">
        <v>26.5</v>
      </c>
    </row>
    <row r="276" spans="1:18">
      <c r="A276" s="2615"/>
      <c r="B276" s="2618" t="s">
        <v>5370</v>
      </c>
      <c r="C276" s="2622" t="s">
        <v>5234</v>
      </c>
      <c r="D276" s="2623">
        <v>29.957999999999998</v>
      </c>
      <c r="E276" s="2623">
        <v>29.623000000000001</v>
      </c>
      <c r="F276" s="2623">
        <v>28.3342025</v>
      </c>
      <c r="G276" s="2623">
        <v>28.214202499999999</v>
      </c>
      <c r="H276" s="2623">
        <v>27.251670000000001</v>
      </c>
      <c r="I276" s="2623">
        <v>26.674140000000001</v>
      </c>
      <c r="J276" s="2623"/>
      <c r="K276" s="2623"/>
      <c r="L276" s="2623"/>
      <c r="M276" s="2623"/>
      <c r="N276" s="2623"/>
      <c r="O276" s="2623"/>
      <c r="P276" s="2623"/>
      <c r="Q276" s="2623"/>
      <c r="R276" s="2631"/>
    </row>
    <row r="277" spans="1:18">
      <c r="A277" s="2615"/>
      <c r="B277" s="2622" t="s">
        <v>5371</v>
      </c>
      <c r="C277" s="2622" t="s">
        <v>5232</v>
      </c>
      <c r="D277" s="2623">
        <v>29.962</v>
      </c>
      <c r="E277" s="2623">
        <v>29.681999999999999</v>
      </c>
      <c r="F277" s="2623">
        <v>28.663</v>
      </c>
      <c r="G277" s="2623">
        <v>28.492999999999999</v>
      </c>
      <c r="H277" s="2623">
        <v>27.797000000000001</v>
      </c>
      <c r="I277" s="2623">
        <v>27.260999999999999</v>
      </c>
      <c r="J277" s="2623"/>
      <c r="K277" s="2623" t="s">
        <v>5233</v>
      </c>
      <c r="L277" s="2623">
        <v>27.835000000000001</v>
      </c>
      <c r="M277" s="2623">
        <v>28.21</v>
      </c>
      <c r="N277" s="2623">
        <v>28.701000000000001</v>
      </c>
      <c r="O277" s="2623">
        <v>28.925000000000001</v>
      </c>
      <c r="P277" s="2623">
        <v>30</v>
      </c>
      <c r="Q277" s="2623">
        <v>30.513000000000002</v>
      </c>
      <c r="R277" s="2631">
        <v>26.5</v>
      </c>
    </row>
    <row r="278" spans="1:18">
      <c r="A278" s="2615"/>
      <c r="B278" s="2622" t="s">
        <v>5371</v>
      </c>
      <c r="C278" s="2622" t="s">
        <v>5234</v>
      </c>
      <c r="D278" s="2623">
        <v>29.962</v>
      </c>
      <c r="E278" s="2623">
        <v>29.681999999999999</v>
      </c>
      <c r="F278" s="2623">
        <v>28.663</v>
      </c>
      <c r="G278" s="2623">
        <v>28.556999999999999</v>
      </c>
      <c r="H278" s="2623">
        <v>27.797000000000001</v>
      </c>
      <c r="I278" s="2623">
        <v>27.324999999999999</v>
      </c>
      <c r="J278" s="2623"/>
      <c r="K278" s="2623"/>
      <c r="L278" s="2623"/>
      <c r="M278" s="2623"/>
      <c r="N278" s="2623"/>
      <c r="O278" s="2623"/>
      <c r="P278" s="2623"/>
      <c r="Q278" s="2623"/>
      <c r="R278" s="2631"/>
    </row>
    <row r="279" spans="1:18">
      <c r="A279" s="2615"/>
      <c r="B279" s="2622" t="s">
        <v>5372</v>
      </c>
      <c r="C279" s="2622" t="s">
        <v>5232</v>
      </c>
      <c r="D279" s="2623">
        <v>29.968</v>
      </c>
      <c r="E279" s="2623">
        <v>29.731999999999999</v>
      </c>
      <c r="F279" s="2623">
        <v>28.994</v>
      </c>
      <c r="G279" s="2623">
        <v>28.844000000000001</v>
      </c>
      <c r="H279" s="2623">
        <v>28.344000000000001</v>
      </c>
      <c r="I279" s="2623">
        <v>27.92</v>
      </c>
      <c r="J279" s="2623"/>
      <c r="K279" s="2623" t="s">
        <v>5233</v>
      </c>
      <c r="L279" s="2623">
        <v>28.376000000000001</v>
      </c>
      <c r="M279" s="2623">
        <v>28.675999999999998</v>
      </c>
      <c r="N279" s="2623">
        <v>29.026</v>
      </c>
      <c r="O279" s="2623">
        <v>29.225999999999999</v>
      </c>
      <c r="P279" s="2623">
        <v>30</v>
      </c>
      <c r="Q279" s="2623">
        <v>30.416</v>
      </c>
      <c r="R279" s="2631">
        <v>26.5</v>
      </c>
    </row>
    <row r="280" spans="1:18">
      <c r="A280" s="2615"/>
      <c r="B280" s="2622" t="s">
        <v>5372</v>
      </c>
      <c r="C280" s="2622" t="s">
        <v>5234</v>
      </c>
      <c r="D280" s="2623">
        <v>29.968</v>
      </c>
      <c r="E280" s="2623">
        <v>29.731999999999999</v>
      </c>
      <c r="F280" s="2623">
        <v>28.994</v>
      </c>
      <c r="G280" s="2623">
        <v>28.899000000000001</v>
      </c>
      <c r="H280" s="2623">
        <v>28.344000000000001</v>
      </c>
      <c r="I280" s="2623">
        <v>27.975000000000001</v>
      </c>
      <c r="J280" s="2623"/>
      <c r="K280" s="2623"/>
      <c r="L280" s="2623"/>
      <c r="M280" s="2623"/>
      <c r="N280" s="2623"/>
      <c r="O280" s="2623"/>
      <c r="P280" s="2623"/>
      <c r="Q280" s="2623"/>
      <c r="R280" s="2631"/>
    </row>
    <row r="281" spans="1:18">
      <c r="A281" s="2615"/>
      <c r="B281" s="2618" t="s">
        <v>5373</v>
      </c>
      <c r="C281" s="2622" t="s">
        <v>5232</v>
      </c>
      <c r="D281" s="2623">
        <v>29.974</v>
      </c>
      <c r="E281" s="2623">
        <v>29.794</v>
      </c>
      <c r="F281" s="2623">
        <v>29.324480999999999</v>
      </c>
      <c r="G281" s="2623">
        <v>29.199480999999999</v>
      </c>
      <c r="H281" s="2623">
        <v>28.891468</v>
      </c>
      <c r="I281" s="2623">
        <v>28.583456000000002</v>
      </c>
      <c r="J281" s="2623"/>
      <c r="K281" s="2623" t="s">
        <v>5233</v>
      </c>
      <c r="L281" s="2623">
        <v>28.917468</v>
      </c>
      <c r="M281" s="2623">
        <v>29.153468</v>
      </c>
      <c r="N281" s="2623">
        <v>29.350480999999998</v>
      </c>
      <c r="O281" s="2623">
        <v>29.520481</v>
      </c>
      <c r="P281" s="2623">
        <v>30</v>
      </c>
      <c r="Q281" s="2623">
        <v>30.314337999999999</v>
      </c>
      <c r="R281" s="2631">
        <v>26.5</v>
      </c>
    </row>
    <row r="282" spans="1:18">
      <c r="A282" s="2615"/>
      <c r="B282" s="2618" t="s">
        <v>5373</v>
      </c>
      <c r="C282" s="2622" t="s">
        <v>5234</v>
      </c>
      <c r="D282" s="2623">
        <v>29.974</v>
      </c>
      <c r="E282" s="2623">
        <v>29.794</v>
      </c>
      <c r="F282" s="2623">
        <v>29.324480999999999</v>
      </c>
      <c r="G282" s="2623">
        <v>29.244481</v>
      </c>
      <c r="H282" s="2623">
        <v>28.891468</v>
      </c>
      <c r="I282" s="2623">
        <v>28.628456</v>
      </c>
      <c r="J282" s="2623"/>
      <c r="K282" s="2623"/>
      <c r="L282" s="2623"/>
      <c r="M282" s="2623"/>
      <c r="N282" s="2623"/>
      <c r="O282" s="2623"/>
      <c r="P282" s="2623"/>
      <c r="Q282" s="2623"/>
      <c r="R282" s="2631"/>
    </row>
    <row r="283" spans="1:18">
      <c r="A283" s="2615"/>
      <c r="B283" s="2618" t="s">
        <v>5374</v>
      </c>
      <c r="C283" s="2622" t="s">
        <v>5232</v>
      </c>
      <c r="D283" s="2623">
        <v>29.978000000000002</v>
      </c>
      <c r="E283" s="2623">
        <v>29.838000000000001</v>
      </c>
      <c r="F283" s="2623">
        <v>29.49086075</v>
      </c>
      <c r="G283" s="2623">
        <v>29.378860750000001</v>
      </c>
      <c r="H283" s="2623">
        <v>29.166101000000001</v>
      </c>
      <c r="I283" s="2623">
        <v>28.916841999999999</v>
      </c>
      <c r="J283" s="2623"/>
      <c r="K283" s="2623" t="s">
        <v>5233</v>
      </c>
      <c r="L283" s="2623">
        <v>29.188101</v>
      </c>
      <c r="M283" s="2623">
        <v>29.378101000000001</v>
      </c>
      <c r="N283" s="2623">
        <v>29.512860750000002</v>
      </c>
      <c r="O283" s="2623">
        <v>29.66286075</v>
      </c>
      <c r="P283" s="2623">
        <v>30</v>
      </c>
      <c r="Q283" s="2623">
        <v>30.258253499999999</v>
      </c>
      <c r="R283" s="2631">
        <v>26.5</v>
      </c>
    </row>
    <row r="284" spans="1:18">
      <c r="A284" s="2615"/>
      <c r="B284" s="2618" t="s">
        <v>5374</v>
      </c>
      <c r="C284" s="2622" t="s">
        <v>5234</v>
      </c>
      <c r="D284" s="2623">
        <v>29.978000000000002</v>
      </c>
      <c r="E284" s="2623">
        <v>29.838000000000001</v>
      </c>
      <c r="F284" s="2623">
        <v>29.49086075</v>
      </c>
      <c r="G284" s="2623">
        <v>29.419860750000002</v>
      </c>
      <c r="H284" s="2623">
        <v>29.166101000000001</v>
      </c>
      <c r="I284" s="2623">
        <v>28.957841999999999</v>
      </c>
      <c r="J284" s="2623"/>
      <c r="K284" s="2623"/>
      <c r="L284" s="2623"/>
      <c r="M284" s="2623"/>
      <c r="N284" s="2623"/>
      <c r="O284" s="2623"/>
      <c r="P284" s="2623"/>
      <c r="Q284" s="2623"/>
      <c r="R284" s="2631"/>
    </row>
    <row r="285" spans="1:18">
      <c r="A285" s="2615">
        <v>32</v>
      </c>
      <c r="B285" s="2618" t="s">
        <v>5375</v>
      </c>
      <c r="C285" s="2622" t="s">
        <v>5232</v>
      </c>
      <c r="D285" s="2623">
        <v>31.962</v>
      </c>
      <c r="E285" s="2623">
        <v>31.681999999999999</v>
      </c>
      <c r="F285" s="2623">
        <v>30.662962</v>
      </c>
      <c r="G285" s="2623">
        <v>30.492961999999999</v>
      </c>
      <c r="H285" s="2623">
        <v>29.796935999999999</v>
      </c>
      <c r="I285" s="2623">
        <v>29.260912000000001</v>
      </c>
      <c r="J285" s="2623"/>
      <c r="K285" s="2623" t="s">
        <v>5233</v>
      </c>
      <c r="L285" s="2623">
        <v>29.834935999999999</v>
      </c>
      <c r="M285" s="2623">
        <v>30.209935999999999</v>
      </c>
      <c r="N285" s="2623">
        <v>30.700962000000001</v>
      </c>
      <c r="O285" s="2623">
        <v>30.925362</v>
      </c>
      <c r="P285" s="2623">
        <v>32</v>
      </c>
      <c r="Q285" s="2623">
        <v>32.513075999999998</v>
      </c>
      <c r="R285" s="2631">
        <v>28</v>
      </c>
    </row>
    <row r="286" spans="1:18">
      <c r="A286" s="2615"/>
      <c r="B286" s="2618" t="s">
        <v>5375</v>
      </c>
      <c r="C286" s="2622" t="s">
        <v>5234</v>
      </c>
      <c r="D286" s="2623">
        <v>31.962</v>
      </c>
      <c r="E286" s="2623">
        <v>31.681999999999999</v>
      </c>
      <c r="F286" s="2623">
        <v>30.662962</v>
      </c>
      <c r="G286" s="2623">
        <v>30.556961999999999</v>
      </c>
      <c r="H286" s="2623">
        <v>29.796935999999999</v>
      </c>
      <c r="I286" s="2623">
        <v>29.324912000000001</v>
      </c>
      <c r="J286" s="2623"/>
      <c r="K286" s="2623"/>
      <c r="L286" s="2623"/>
      <c r="M286" s="2623"/>
      <c r="N286" s="2623"/>
      <c r="O286" s="2623"/>
      <c r="P286" s="2623"/>
      <c r="Q286" s="2623"/>
      <c r="R286" s="2631"/>
    </row>
    <row r="287" spans="1:18">
      <c r="A287" s="2615"/>
      <c r="B287" s="2618" t="s">
        <v>5376</v>
      </c>
      <c r="C287" s="2622" t="s">
        <v>5232</v>
      </c>
      <c r="D287" s="2623">
        <v>31.968</v>
      </c>
      <c r="E287" s="2623">
        <v>31.731999999999999</v>
      </c>
      <c r="F287" s="2623">
        <v>30.993721499999999</v>
      </c>
      <c r="G287" s="2623">
        <v>30.843721500000001</v>
      </c>
      <c r="H287" s="2623">
        <v>30.344201999999999</v>
      </c>
      <c r="I287" s="2623">
        <v>29.919684</v>
      </c>
      <c r="J287" s="2623"/>
      <c r="K287" s="2623" t="s">
        <v>5233</v>
      </c>
      <c r="L287" s="2623">
        <v>30.376201999999999</v>
      </c>
      <c r="M287" s="2623">
        <v>30.676202</v>
      </c>
      <c r="N287" s="2623">
        <v>31.0257215</v>
      </c>
      <c r="O287" s="2623">
        <v>31.225721499999999</v>
      </c>
      <c r="P287" s="2623">
        <v>32</v>
      </c>
      <c r="Q287" s="2623">
        <v>32.416507000000003</v>
      </c>
      <c r="R287" s="2631">
        <v>28</v>
      </c>
    </row>
    <row r="288" spans="1:18">
      <c r="A288" s="2615"/>
      <c r="B288" s="2618" t="s">
        <v>5376</v>
      </c>
      <c r="C288" s="2622" t="s">
        <v>5234</v>
      </c>
      <c r="D288" s="2623">
        <v>31.968</v>
      </c>
      <c r="E288" s="2623">
        <v>31.731999999999999</v>
      </c>
      <c r="F288" s="2623">
        <v>30.993721499999999</v>
      </c>
      <c r="G288" s="2623">
        <v>30.898721500000001</v>
      </c>
      <c r="H288" s="2623">
        <v>30.344201999999999</v>
      </c>
      <c r="I288" s="2623">
        <v>29.974684</v>
      </c>
      <c r="J288" s="2623"/>
      <c r="K288" s="2623"/>
      <c r="L288" s="2623"/>
      <c r="M288" s="2623"/>
      <c r="N288" s="2623"/>
      <c r="O288" s="2623"/>
      <c r="P288" s="2623"/>
      <c r="Q288" s="2623"/>
      <c r="R288" s="2631"/>
    </row>
    <row r="289" spans="1:18">
      <c r="A289" s="2615">
        <v>33</v>
      </c>
      <c r="B289" s="2618" t="s">
        <v>5377</v>
      </c>
      <c r="C289" s="2622" t="s">
        <v>5232</v>
      </c>
      <c r="D289" s="2623">
        <v>32.968000000000004</v>
      </c>
      <c r="E289" s="2623">
        <v>32.542999999999999</v>
      </c>
      <c r="F289" s="2623">
        <v>30.6946835</v>
      </c>
      <c r="G289" s="2623">
        <v>30.4826835</v>
      </c>
      <c r="H289" s="2623">
        <v>29.179137999999998</v>
      </c>
      <c r="I289" s="2623">
        <v>28.326595999999999</v>
      </c>
      <c r="J289" s="2623"/>
      <c r="K289" s="2623" t="s">
        <v>5233</v>
      </c>
      <c r="L289" s="2623">
        <v>29.211137999999998</v>
      </c>
      <c r="M289" s="2623">
        <v>29.771138000000001</v>
      </c>
      <c r="N289" s="2623">
        <v>30.7266835</v>
      </c>
      <c r="O289" s="2623">
        <v>31.0065235</v>
      </c>
      <c r="P289" s="2623">
        <v>33</v>
      </c>
      <c r="Q289" s="2623">
        <v>33.785023000000002</v>
      </c>
      <c r="R289" s="2631">
        <v>29.5</v>
      </c>
    </row>
    <row r="290" spans="1:18">
      <c r="A290" s="2615"/>
      <c r="B290" s="2618" t="s">
        <v>5377</v>
      </c>
      <c r="C290" s="2622" t="s">
        <v>5234</v>
      </c>
      <c r="D290" s="2623">
        <v>32.968000000000004</v>
      </c>
      <c r="E290" s="2623">
        <v>32.542999999999999</v>
      </c>
      <c r="F290" s="2623">
        <v>30.6946835</v>
      </c>
      <c r="G290" s="2623">
        <v>30.562683499999999</v>
      </c>
      <c r="H290" s="2623">
        <v>29.179137999999998</v>
      </c>
      <c r="I290" s="2623">
        <v>28.406596</v>
      </c>
      <c r="J290" s="2623"/>
      <c r="K290" s="2623"/>
      <c r="L290" s="2623"/>
      <c r="M290" s="2623"/>
      <c r="N290" s="2623"/>
      <c r="O290" s="2623"/>
      <c r="P290" s="2623"/>
      <c r="Q290" s="2623"/>
      <c r="R290" s="2631"/>
    </row>
    <row r="291" spans="1:18">
      <c r="A291" s="2615"/>
      <c r="B291" s="2618" t="s">
        <v>5378</v>
      </c>
      <c r="C291" s="2622" t="s">
        <v>5232</v>
      </c>
      <c r="D291" s="2623">
        <v>32.951999999999998</v>
      </c>
      <c r="E291" s="2623">
        <v>32.576999999999998</v>
      </c>
      <c r="F291" s="2623">
        <v>31.003443000000001</v>
      </c>
      <c r="G291" s="2623">
        <v>30.803443000000001</v>
      </c>
      <c r="H291" s="2623">
        <v>29.704404</v>
      </c>
      <c r="I291" s="2623">
        <v>28.955368</v>
      </c>
      <c r="J291" s="2623"/>
      <c r="K291" s="2623" t="s">
        <v>5233</v>
      </c>
      <c r="L291" s="2623">
        <v>29.752403999999999</v>
      </c>
      <c r="M291" s="2623">
        <v>30.252403999999999</v>
      </c>
      <c r="N291" s="2623">
        <v>31.051442999999999</v>
      </c>
      <c r="O291" s="2623">
        <v>31.316443</v>
      </c>
      <c r="P291" s="2623">
        <v>33</v>
      </c>
      <c r="Q291" s="2623">
        <v>33.698014000000001</v>
      </c>
      <c r="R291" s="2631">
        <v>29.5</v>
      </c>
    </row>
    <row r="292" spans="1:18">
      <c r="A292" s="2615"/>
      <c r="B292" s="2618" t="s">
        <v>5378</v>
      </c>
      <c r="C292" s="2622" t="s">
        <v>5234</v>
      </c>
      <c r="D292" s="2623">
        <v>32.951999999999998</v>
      </c>
      <c r="E292" s="2623">
        <v>32.576999999999998</v>
      </c>
      <c r="F292" s="2623">
        <v>31.003443000000001</v>
      </c>
      <c r="G292" s="2623">
        <v>30.878443000000001</v>
      </c>
      <c r="H292" s="2623">
        <v>29.704404</v>
      </c>
      <c r="I292" s="2623">
        <v>29.030367999999999</v>
      </c>
      <c r="J292" s="2623"/>
      <c r="K292" s="2623"/>
      <c r="L292" s="2623"/>
      <c r="M292" s="2623"/>
      <c r="N292" s="2623"/>
      <c r="O292" s="2623"/>
      <c r="P292" s="2623"/>
      <c r="Q292" s="2623"/>
      <c r="R292" s="2631"/>
    </row>
    <row r="293" spans="1:18">
      <c r="A293" s="2615"/>
      <c r="B293" s="2622" t="s">
        <v>5379</v>
      </c>
      <c r="C293" s="2622" t="s">
        <v>5232</v>
      </c>
      <c r="D293" s="2623">
        <v>32.962000000000003</v>
      </c>
      <c r="E293" s="2623">
        <v>32.682000000000002</v>
      </c>
      <c r="F293" s="2623">
        <v>31.663</v>
      </c>
      <c r="G293" s="2623">
        <v>31.492999999999999</v>
      </c>
      <c r="H293" s="2623">
        <v>30.797000000000001</v>
      </c>
      <c r="I293" s="2623">
        <v>30.260999999999999</v>
      </c>
      <c r="J293" s="2623"/>
      <c r="K293" s="2623" t="s">
        <v>5233</v>
      </c>
      <c r="L293" s="2623">
        <v>30.835000000000001</v>
      </c>
      <c r="M293" s="2623">
        <v>31.21</v>
      </c>
      <c r="N293" s="2623">
        <v>31.701000000000001</v>
      </c>
      <c r="O293" s="2623">
        <v>31.925000000000001</v>
      </c>
      <c r="P293" s="2623">
        <v>33</v>
      </c>
      <c r="Q293" s="2623">
        <v>33.512999999999998</v>
      </c>
      <c r="R293" s="2631">
        <v>29.5</v>
      </c>
    </row>
    <row r="294" spans="1:18">
      <c r="A294" s="2615"/>
      <c r="B294" s="2622" t="s">
        <v>5379</v>
      </c>
      <c r="C294" s="2622" t="s">
        <v>5234</v>
      </c>
      <c r="D294" s="2623">
        <v>32.962000000000003</v>
      </c>
      <c r="E294" s="2623">
        <v>32.682000000000002</v>
      </c>
      <c r="F294" s="2623">
        <v>31.663</v>
      </c>
      <c r="G294" s="2623">
        <v>31.556999999999999</v>
      </c>
      <c r="H294" s="2623">
        <v>30.797000000000001</v>
      </c>
      <c r="I294" s="2623">
        <v>30.324999999999999</v>
      </c>
      <c r="J294" s="2623"/>
      <c r="K294" s="2623"/>
      <c r="L294" s="2623"/>
      <c r="M294" s="2623"/>
      <c r="N294" s="2623"/>
      <c r="O294" s="2623"/>
      <c r="P294" s="2623"/>
      <c r="Q294" s="2623"/>
      <c r="R294" s="2631"/>
    </row>
    <row r="295" spans="1:18">
      <c r="A295" s="2615"/>
      <c r="B295" s="2618" t="s">
        <v>5380</v>
      </c>
      <c r="C295" s="2622" t="s">
        <v>5232</v>
      </c>
      <c r="D295" s="2623">
        <v>32.968000000000004</v>
      </c>
      <c r="E295" s="2623">
        <v>32.731999999999999</v>
      </c>
      <c r="F295" s="2623">
        <v>31.993721499999999</v>
      </c>
      <c r="G295" s="2623">
        <v>31.843721500000001</v>
      </c>
      <c r="H295" s="2623">
        <v>31.344201999999999</v>
      </c>
      <c r="I295" s="2623">
        <v>30.919684</v>
      </c>
      <c r="J295" s="2623"/>
      <c r="K295" s="2623" t="s">
        <v>5233</v>
      </c>
      <c r="L295" s="2623">
        <v>31.376201999999999</v>
      </c>
      <c r="M295" s="2623">
        <v>31.676202</v>
      </c>
      <c r="N295" s="2623">
        <v>32.025721500000003</v>
      </c>
      <c r="O295" s="2623">
        <v>32.225721499999999</v>
      </c>
      <c r="P295" s="2623">
        <v>33</v>
      </c>
      <c r="Q295" s="2623">
        <v>33.416507000000003</v>
      </c>
      <c r="R295" s="2631">
        <v>29.5</v>
      </c>
    </row>
    <row r="296" spans="1:18">
      <c r="A296" s="2615"/>
      <c r="B296" s="2618" t="s">
        <v>5380</v>
      </c>
      <c r="C296" s="2622" t="s">
        <v>5234</v>
      </c>
      <c r="D296" s="2623">
        <v>32.968000000000004</v>
      </c>
      <c r="E296" s="2623">
        <v>32.731999999999999</v>
      </c>
      <c r="F296" s="2623">
        <v>31.993721499999999</v>
      </c>
      <c r="G296" s="2623">
        <v>31.899221499999999</v>
      </c>
      <c r="H296" s="2623">
        <v>31.344201999999999</v>
      </c>
      <c r="I296" s="2623">
        <v>30.975183999999999</v>
      </c>
      <c r="J296" s="2623"/>
      <c r="K296" s="2623"/>
      <c r="L296" s="2623"/>
      <c r="M296" s="2623"/>
      <c r="N296" s="2623"/>
      <c r="O296" s="2623"/>
      <c r="P296" s="2623"/>
      <c r="Q296" s="2623"/>
      <c r="R296" s="2631"/>
    </row>
    <row r="297" spans="1:18">
      <c r="A297" s="2615"/>
      <c r="B297" s="2618" t="s">
        <v>5381</v>
      </c>
      <c r="C297" s="2622" t="s">
        <v>5232</v>
      </c>
      <c r="D297" s="2623">
        <v>32.973999999999997</v>
      </c>
      <c r="E297" s="2623">
        <v>32.793999999999997</v>
      </c>
      <c r="F297" s="2623">
        <v>32.324480999999999</v>
      </c>
      <c r="G297" s="2623">
        <v>32.199480999999999</v>
      </c>
      <c r="H297" s="2623">
        <v>31.891468</v>
      </c>
      <c r="I297" s="2623">
        <v>31.583456000000002</v>
      </c>
      <c r="J297" s="2623"/>
      <c r="K297" s="2623" t="s">
        <v>5233</v>
      </c>
      <c r="L297" s="2623">
        <v>31.917468</v>
      </c>
      <c r="M297" s="2623">
        <v>32.153467999999997</v>
      </c>
      <c r="N297" s="2623">
        <v>32.350481000000002</v>
      </c>
      <c r="O297" s="2623">
        <v>32.520480999999997</v>
      </c>
      <c r="P297" s="2623">
        <v>33</v>
      </c>
      <c r="Q297" s="2623">
        <v>33.314337999999999</v>
      </c>
      <c r="R297" s="2631">
        <v>29.5</v>
      </c>
    </row>
    <row r="298" spans="1:18">
      <c r="A298" s="2615"/>
      <c r="B298" s="2618" t="s">
        <v>5381</v>
      </c>
      <c r="C298" s="2622" t="s">
        <v>5234</v>
      </c>
      <c r="D298" s="2623">
        <v>32.973999999999997</v>
      </c>
      <c r="E298" s="2623">
        <v>32.793999999999997</v>
      </c>
      <c r="F298" s="2623">
        <v>32.324480999999999</v>
      </c>
      <c r="G298" s="2623">
        <v>32.244481</v>
      </c>
      <c r="H298" s="2623">
        <v>31.891468</v>
      </c>
      <c r="I298" s="2623">
        <v>31.628456</v>
      </c>
      <c r="J298" s="2623"/>
      <c r="K298" s="2623"/>
      <c r="L298" s="2623"/>
      <c r="M298" s="2623"/>
      <c r="N298" s="2623"/>
      <c r="O298" s="2623"/>
      <c r="P298" s="2623"/>
      <c r="Q298" s="2623"/>
      <c r="R298" s="2631"/>
    </row>
    <row r="299" spans="1:18">
      <c r="A299" s="2615"/>
      <c r="B299" s="2618" t="s">
        <v>5382</v>
      </c>
      <c r="C299" s="2622" t="s">
        <v>5232</v>
      </c>
      <c r="D299" s="2623">
        <v>32.978000000000002</v>
      </c>
      <c r="E299" s="2623">
        <v>32.838000000000001</v>
      </c>
      <c r="F299" s="2623">
        <v>32.490860750000003</v>
      </c>
      <c r="G299" s="2623">
        <v>32.378860750000001</v>
      </c>
      <c r="H299" s="2623">
        <v>32.166100999999998</v>
      </c>
      <c r="I299" s="2623">
        <v>31.916841999999999</v>
      </c>
      <c r="J299" s="2623"/>
      <c r="K299" s="2623" t="s">
        <v>5233</v>
      </c>
      <c r="L299" s="2623">
        <v>32.188101000000003</v>
      </c>
      <c r="M299" s="2623">
        <v>32.378101000000001</v>
      </c>
      <c r="N299" s="2623">
        <v>32.512860750000002</v>
      </c>
      <c r="O299" s="2623">
        <v>32.66286075</v>
      </c>
      <c r="P299" s="2623">
        <v>33</v>
      </c>
      <c r="Q299" s="2623">
        <v>33.258253500000002</v>
      </c>
      <c r="R299" s="2631">
        <v>29.5</v>
      </c>
    </row>
    <row r="300" spans="1:18">
      <c r="A300" s="2615"/>
      <c r="B300" s="2618" t="s">
        <v>5382</v>
      </c>
      <c r="C300" s="2622" t="s">
        <v>5234</v>
      </c>
      <c r="D300" s="2623">
        <v>32.978000000000002</v>
      </c>
      <c r="E300" s="2623">
        <v>32.838000000000001</v>
      </c>
      <c r="F300" s="2623">
        <v>32.490860750000003</v>
      </c>
      <c r="G300" s="2623">
        <v>32.419860749999998</v>
      </c>
      <c r="H300" s="2623">
        <v>32.166100999999998</v>
      </c>
      <c r="I300" s="2623">
        <v>31.957841999999999</v>
      </c>
      <c r="J300" s="2623"/>
      <c r="K300" s="2623"/>
      <c r="L300" s="2623"/>
      <c r="M300" s="2623"/>
      <c r="N300" s="2623"/>
      <c r="O300" s="2623"/>
      <c r="P300" s="2623"/>
      <c r="Q300" s="2623"/>
      <c r="R300" s="2631"/>
    </row>
    <row r="301" spans="1:18">
      <c r="A301" s="2615">
        <v>35</v>
      </c>
      <c r="B301" s="2622" t="s">
        <v>5383</v>
      </c>
      <c r="C301" s="2622" t="s">
        <v>5232</v>
      </c>
      <c r="D301" s="2623">
        <v>34.968000000000004</v>
      </c>
      <c r="E301" s="2623">
        <v>34.731999999999999</v>
      </c>
      <c r="F301" s="2623">
        <v>33.994</v>
      </c>
      <c r="G301" s="2623">
        <v>33.844000000000001</v>
      </c>
      <c r="H301" s="2623">
        <v>33.344000000000001</v>
      </c>
      <c r="I301" s="2623">
        <v>33.92</v>
      </c>
      <c r="J301" s="2623"/>
      <c r="K301" s="2623" t="s">
        <v>5233</v>
      </c>
      <c r="L301" s="2623">
        <v>33.375999999999998</v>
      </c>
      <c r="M301" s="2623">
        <v>33.676000000000002</v>
      </c>
      <c r="N301" s="2623">
        <v>34.026000000000003</v>
      </c>
      <c r="O301" s="2623">
        <v>34.225999999999999</v>
      </c>
      <c r="P301" s="2623">
        <v>35</v>
      </c>
      <c r="Q301" s="2623">
        <v>35.415999999999997</v>
      </c>
      <c r="R301" s="2631">
        <v>31</v>
      </c>
    </row>
    <row r="302" spans="1:18">
      <c r="A302" s="2615"/>
      <c r="B302" s="2622" t="s">
        <v>5383</v>
      </c>
      <c r="C302" s="2622" t="s">
        <v>5234</v>
      </c>
      <c r="D302" s="2623">
        <v>34.968000000000004</v>
      </c>
      <c r="E302" s="2623">
        <v>34.731999999999999</v>
      </c>
      <c r="F302" s="2623">
        <v>33.993721499999999</v>
      </c>
      <c r="G302" s="2623">
        <v>33.899221500000003</v>
      </c>
      <c r="H302" s="2623">
        <v>33.344202000000003</v>
      </c>
      <c r="I302" s="2623">
        <v>32.975183999999999</v>
      </c>
      <c r="J302" s="2623"/>
      <c r="K302" s="2623"/>
      <c r="L302" s="2623"/>
      <c r="M302" s="2623"/>
      <c r="N302" s="2623"/>
      <c r="O302" s="2623"/>
      <c r="P302" s="2623"/>
      <c r="Q302" s="2623"/>
      <c r="R302" s="2631"/>
    </row>
    <row r="303" spans="1:18">
      <c r="A303" s="2615">
        <v>36</v>
      </c>
      <c r="B303" s="2622" t="s">
        <v>5384</v>
      </c>
      <c r="C303" s="2622" t="s">
        <v>5232</v>
      </c>
      <c r="D303" s="2623">
        <v>35.94</v>
      </c>
      <c r="E303" s="2623">
        <v>35.465000000000003</v>
      </c>
      <c r="F303" s="2623">
        <v>33.341999999999999</v>
      </c>
      <c r="G303" s="2623">
        <v>33.118000000000002</v>
      </c>
      <c r="H303" s="2623">
        <v>31.61</v>
      </c>
      <c r="I303" s="2623">
        <v>30.654</v>
      </c>
      <c r="J303" s="2623"/>
      <c r="K303" s="2623" t="s">
        <v>5233</v>
      </c>
      <c r="L303" s="2623">
        <v>31.67</v>
      </c>
      <c r="M303" s="2623">
        <v>32.270000000000003</v>
      </c>
      <c r="N303" s="2623">
        <v>33.402000000000001</v>
      </c>
      <c r="O303" s="2623">
        <v>33.701999999999998</v>
      </c>
      <c r="P303" s="2623">
        <v>36</v>
      </c>
      <c r="Q303" s="2623">
        <v>36.877000000000002</v>
      </c>
      <c r="R303" s="2631">
        <v>31</v>
      </c>
    </row>
    <row r="304" spans="1:18">
      <c r="A304" s="2615"/>
      <c r="B304" s="2622" t="s">
        <v>5384</v>
      </c>
      <c r="C304" s="2622" t="s">
        <v>5234</v>
      </c>
      <c r="D304" s="2623">
        <v>35.94</v>
      </c>
      <c r="E304" s="2623">
        <v>35.465000000000003</v>
      </c>
      <c r="F304" s="2623">
        <v>33.341999999999999</v>
      </c>
      <c r="G304" s="2623">
        <v>33.201999999999998</v>
      </c>
      <c r="H304" s="2623">
        <v>31.61</v>
      </c>
      <c r="I304" s="2623">
        <v>30.738</v>
      </c>
      <c r="J304" s="2623"/>
      <c r="K304" s="2623"/>
      <c r="L304" s="2623"/>
      <c r="M304" s="2623"/>
      <c r="N304" s="2623"/>
      <c r="O304" s="2623"/>
      <c r="P304" s="2623"/>
      <c r="Q304" s="2623"/>
      <c r="R304" s="2631"/>
    </row>
    <row r="305" spans="1:18">
      <c r="A305" s="2615"/>
      <c r="B305" s="2618" t="s">
        <v>5385</v>
      </c>
      <c r="C305" s="2622" t="s">
        <v>5232</v>
      </c>
      <c r="D305" s="2623">
        <v>35.951999999999998</v>
      </c>
      <c r="E305" s="2623">
        <v>35.576999999999998</v>
      </c>
      <c r="F305" s="2623">
        <v>34.003442999999997</v>
      </c>
      <c r="G305" s="2623">
        <v>33.803443000000001</v>
      </c>
      <c r="H305" s="2623">
        <v>32.704403999999997</v>
      </c>
      <c r="I305" s="2623">
        <v>31.955368</v>
      </c>
      <c r="J305" s="2623"/>
      <c r="K305" s="2623" t="s">
        <v>5233</v>
      </c>
      <c r="L305" s="2623">
        <v>32.752403999999999</v>
      </c>
      <c r="M305" s="2623">
        <v>33.252403999999999</v>
      </c>
      <c r="N305" s="2623">
        <v>34.051442999999999</v>
      </c>
      <c r="O305" s="2623">
        <v>34.316443</v>
      </c>
      <c r="P305" s="2623">
        <v>36</v>
      </c>
      <c r="Q305" s="2623">
        <v>36.698014000000001</v>
      </c>
      <c r="R305" s="2631">
        <v>31</v>
      </c>
    </row>
    <row r="306" spans="1:18">
      <c r="A306" s="2615"/>
      <c r="B306" s="2618" t="s">
        <v>5385</v>
      </c>
      <c r="C306" s="2622" t="s">
        <v>5234</v>
      </c>
      <c r="D306" s="2623">
        <v>35.951999999999998</v>
      </c>
      <c r="E306" s="2623">
        <v>35.576999999999998</v>
      </c>
      <c r="F306" s="2623">
        <v>34.003442999999997</v>
      </c>
      <c r="G306" s="2623">
        <v>33.878442999999997</v>
      </c>
      <c r="H306" s="2623">
        <v>32.704403999999997</v>
      </c>
      <c r="I306" s="2623">
        <v>32.030368000000003</v>
      </c>
      <c r="J306" s="2623"/>
      <c r="K306" s="2623"/>
      <c r="L306" s="2623"/>
      <c r="M306" s="2623"/>
      <c r="N306" s="2623"/>
      <c r="O306" s="2623"/>
      <c r="P306" s="2623"/>
      <c r="Q306" s="2623"/>
      <c r="R306" s="2631"/>
    </row>
    <row r="307" spans="1:18">
      <c r="A307" s="2615"/>
      <c r="B307" s="2622" t="s">
        <v>5386</v>
      </c>
      <c r="C307" s="2622" t="s">
        <v>5232</v>
      </c>
      <c r="D307" s="2623">
        <v>35.962000000000003</v>
      </c>
      <c r="E307" s="2623">
        <v>35.682000000000002</v>
      </c>
      <c r="F307" s="2623">
        <v>34.662999999999997</v>
      </c>
      <c r="G307" s="2623">
        <v>34.493000000000002</v>
      </c>
      <c r="H307" s="2623">
        <v>33.796999999999997</v>
      </c>
      <c r="I307" s="2623">
        <v>33.261000000000003</v>
      </c>
      <c r="J307" s="2623"/>
      <c r="K307" s="2623" t="s">
        <v>5233</v>
      </c>
      <c r="L307" s="2623">
        <v>33.835000000000001</v>
      </c>
      <c r="M307" s="2623">
        <v>34.21</v>
      </c>
      <c r="N307" s="2623">
        <v>34.701000000000001</v>
      </c>
      <c r="O307" s="2623">
        <v>34.924999999999997</v>
      </c>
      <c r="P307" s="2623">
        <v>36</v>
      </c>
      <c r="Q307" s="2623">
        <v>36.512999999999998</v>
      </c>
      <c r="R307" s="2631">
        <v>31</v>
      </c>
    </row>
    <row r="308" spans="1:18">
      <c r="A308" s="2615"/>
      <c r="B308" s="2622" t="s">
        <v>5386</v>
      </c>
      <c r="C308" s="2622" t="s">
        <v>5234</v>
      </c>
      <c r="D308" s="2623">
        <v>35.962000000000003</v>
      </c>
      <c r="E308" s="2623">
        <v>35.682000000000002</v>
      </c>
      <c r="F308" s="2623">
        <v>34.662999999999997</v>
      </c>
      <c r="G308" s="2623">
        <v>34.557000000000002</v>
      </c>
      <c r="H308" s="2623">
        <v>33.796999999999997</v>
      </c>
      <c r="I308" s="2623">
        <v>33.325000000000003</v>
      </c>
      <c r="J308" s="2623"/>
      <c r="K308" s="2623"/>
      <c r="L308" s="2623"/>
      <c r="M308" s="2623"/>
      <c r="N308" s="2623"/>
      <c r="O308" s="2623"/>
      <c r="P308" s="2623"/>
      <c r="Q308" s="2623"/>
      <c r="R308" s="2631"/>
    </row>
    <row r="309" spans="1:18">
      <c r="A309" s="2615"/>
      <c r="B309" s="2618" t="s">
        <v>5387</v>
      </c>
      <c r="C309" s="2622" t="s">
        <v>5232</v>
      </c>
      <c r="D309" s="2623">
        <v>35.968000000000004</v>
      </c>
      <c r="E309" s="2623">
        <v>35.731999999999999</v>
      </c>
      <c r="F309" s="2623">
        <v>34.993721499999999</v>
      </c>
      <c r="G309" s="2623">
        <v>34.843721500000001</v>
      </c>
      <c r="H309" s="2623">
        <v>34.344202000000003</v>
      </c>
      <c r="I309" s="2623">
        <v>33.919683999999997</v>
      </c>
      <c r="J309" s="2623"/>
      <c r="K309" s="2623" t="s">
        <v>5233</v>
      </c>
      <c r="L309" s="2623">
        <v>34.376201999999999</v>
      </c>
      <c r="M309" s="2623">
        <v>34.676202000000004</v>
      </c>
      <c r="N309" s="2623">
        <v>35.025721500000003</v>
      </c>
      <c r="O309" s="2623">
        <v>35.225721499999999</v>
      </c>
      <c r="P309" s="2623">
        <v>36</v>
      </c>
      <c r="Q309" s="2623">
        <v>36.416507000000003</v>
      </c>
      <c r="R309" s="2631">
        <v>31</v>
      </c>
    </row>
    <row r="310" spans="1:18">
      <c r="A310" s="2615"/>
      <c r="B310" s="2618" t="s">
        <v>5387</v>
      </c>
      <c r="C310" s="2622" t="s">
        <v>5234</v>
      </c>
      <c r="D310" s="2623">
        <v>35.968000000000004</v>
      </c>
      <c r="E310" s="2623">
        <v>35.731999999999999</v>
      </c>
      <c r="F310" s="2623">
        <v>34.993721499999999</v>
      </c>
      <c r="G310" s="2623">
        <v>34.899221500000003</v>
      </c>
      <c r="H310" s="2623">
        <v>34.344202000000003</v>
      </c>
      <c r="I310" s="2623">
        <v>33.975183999999999</v>
      </c>
      <c r="J310" s="2623"/>
      <c r="K310" s="2623"/>
      <c r="L310" s="2623"/>
      <c r="M310" s="2623"/>
      <c r="N310" s="2623"/>
      <c r="O310" s="2623"/>
      <c r="P310" s="2623"/>
      <c r="Q310" s="2623"/>
      <c r="R310" s="2631"/>
    </row>
    <row r="311" spans="1:18">
      <c r="A311" s="2615"/>
      <c r="B311" s="2618" t="s">
        <v>5388</v>
      </c>
      <c r="C311" s="2622" t="s">
        <v>5232</v>
      </c>
      <c r="D311" s="2623">
        <v>35.973999999999997</v>
      </c>
      <c r="E311" s="2623">
        <v>35.793999999999997</v>
      </c>
      <c r="F311" s="2623">
        <v>35.324480999999999</v>
      </c>
      <c r="G311" s="2623">
        <v>35.199480999999999</v>
      </c>
      <c r="H311" s="2623">
        <v>34.891468000000003</v>
      </c>
      <c r="I311" s="2623">
        <v>34.583455999999998</v>
      </c>
      <c r="J311" s="2623"/>
      <c r="K311" s="2623" t="s">
        <v>5233</v>
      </c>
      <c r="L311" s="2623">
        <v>34.917468</v>
      </c>
      <c r="M311" s="2623">
        <v>35.153467999999997</v>
      </c>
      <c r="N311" s="2623">
        <v>35.350481000000002</v>
      </c>
      <c r="O311" s="2623">
        <v>35.520480999999997</v>
      </c>
      <c r="P311" s="2623">
        <v>36</v>
      </c>
      <c r="Q311" s="2623">
        <v>36.314337999999999</v>
      </c>
      <c r="R311" s="2631">
        <v>31</v>
      </c>
    </row>
    <row r="312" spans="1:18">
      <c r="A312" s="2615"/>
      <c r="B312" s="2618" t="s">
        <v>5388</v>
      </c>
      <c r="C312" s="2622" t="s">
        <v>5234</v>
      </c>
      <c r="D312" s="2623">
        <v>35.973999999999997</v>
      </c>
      <c r="E312" s="2623">
        <v>35.793999999999997</v>
      </c>
      <c r="F312" s="2623">
        <v>35.324480999999999</v>
      </c>
      <c r="G312" s="2623">
        <v>35.244481</v>
      </c>
      <c r="H312" s="2623">
        <v>34.891468000000003</v>
      </c>
      <c r="I312" s="2623">
        <v>34.628456</v>
      </c>
      <c r="J312" s="2623"/>
      <c r="K312" s="2623"/>
      <c r="L312" s="2623"/>
      <c r="M312" s="2623"/>
      <c r="N312" s="2623"/>
      <c r="O312" s="2623"/>
      <c r="P312" s="2623"/>
      <c r="Q312" s="2623"/>
      <c r="R312" s="2631"/>
    </row>
    <row r="313" spans="1:18">
      <c r="A313" s="2615">
        <v>38</v>
      </c>
      <c r="B313" s="2618" t="s">
        <v>5389</v>
      </c>
      <c r="C313" s="2622" t="s">
        <v>5232</v>
      </c>
      <c r="D313" s="2623">
        <v>37.968000000000004</v>
      </c>
      <c r="E313" s="2623">
        <v>37.731999999999999</v>
      </c>
      <c r="F313" s="2623">
        <v>36.993721499999999</v>
      </c>
      <c r="G313" s="2623">
        <v>36.843721500000001</v>
      </c>
      <c r="H313" s="2623">
        <v>36.344202000000003</v>
      </c>
      <c r="I313" s="2623">
        <v>35.919683999999997</v>
      </c>
      <c r="J313" s="2623"/>
      <c r="K313" s="2623" t="s">
        <v>5233</v>
      </c>
      <c r="L313" s="2623">
        <v>36.376201999999999</v>
      </c>
      <c r="M313" s="2623">
        <v>36.676202000000004</v>
      </c>
      <c r="N313" s="2623">
        <v>37.025721500000003</v>
      </c>
      <c r="O313" s="2623">
        <v>37.225721499999999</v>
      </c>
      <c r="P313" s="2623">
        <v>38</v>
      </c>
      <c r="Q313" s="2623">
        <v>38.416507000000003</v>
      </c>
      <c r="R313" s="2631">
        <v>35</v>
      </c>
    </row>
    <row r="314" spans="1:18">
      <c r="A314" s="2615"/>
      <c r="B314" s="2618" t="s">
        <v>5389</v>
      </c>
      <c r="C314" s="2622" t="s">
        <v>5234</v>
      </c>
      <c r="D314" s="2623">
        <v>37.968000000000004</v>
      </c>
      <c r="E314" s="2623">
        <v>37.731999999999999</v>
      </c>
      <c r="F314" s="2623">
        <v>36.993721499999999</v>
      </c>
      <c r="G314" s="2623">
        <v>36.899221500000003</v>
      </c>
      <c r="H314" s="2623">
        <v>36.344202000000003</v>
      </c>
      <c r="I314" s="2623">
        <v>35.975183999999999</v>
      </c>
      <c r="J314" s="2623"/>
      <c r="K314" s="2623"/>
      <c r="L314" s="2623"/>
      <c r="M314" s="2623"/>
      <c r="N314" s="2623"/>
      <c r="O314" s="2623"/>
      <c r="P314" s="2623"/>
      <c r="Q314" s="2623"/>
      <c r="R314" s="2631"/>
    </row>
    <row r="315" spans="1:18">
      <c r="A315" s="2615">
        <v>39</v>
      </c>
      <c r="B315" s="2618" t="s">
        <v>5390</v>
      </c>
      <c r="C315" s="2622" t="s">
        <v>5232</v>
      </c>
      <c r="D315" s="2623">
        <v>38.94</v>
      </c>
      <c r="E315" s="2623">
        <v>38.465000000000003</v>
      </c>
      <c r="F315" s="2623">
        <v>36.341923999999999</v>
      </c>
      <c r="G315" s="2623">
        <v>36.117924000000002</v>
      </c>
      <c r="H315" s="2623">
        <v>34.609872000000003</v>
      </c>
      <c r="I315" s="2623">
        <v>33.653824</v>
      </c>
      <c r="J315" s="2623"/>
      <c r="K315" s="2623" t="s">
        <v>5233</v>
      </c>
      <c r="L315" s="2623">
        <v>34.669871999999998</v>
      </c>
      <c r="M315" s="2623">
        <v>35.269871999999999</v>
      </c>
      <c r="N315" s="2623">
        <v>36.401924000000001</v>
      </c>
      <c r="O315" s="2623">
        <v>36.701923999999998</v>
      </c>
      <c r="P315" s="2623">
        <v>39</v>
      </c>
      <c r="Q315" s="2623">
        <v>39.877352000000002</v>
      </c>
      <c r="R315" s="2631">
        <v>34</v>
      </c>
    </row>
    <row r="316" spans="1:18">
      <c r="A316" s="2615"/>
      <c r="B316" s="2618" t="s">
        <v>5390</v>
      </c>
      <c r="C316" s="2622" t="s">
        <v>5234</v>
      </c>
      <c r="D316" s="2623">
        <v>38.94</v>
      </c>
      <c r="E316" s="2623">
        <v>38.465000000000003</v>
      </c>
      <c r="F316" s="2623">
        <v>36.341923999999999</v>
      </c>
      <c r="G316" s="2623">
        <v>36.201923999999998</v>
      </c>
      <c r="H316" s="2623">
        <v>34.609872000000003</v>
      </c>
      <c r="I316" s="2623">
        <v>33.737824000000003</v>
      </c>
      <c r="J316" s="2623"/>
      <c r="K316" s="2623"/>
      <c r="L316" s="2623"/>
      <c r="M316" s="2623"/>
      <c r="N316" s="2623"/>
      <c r="O316" s="2623"/>
      <c r="P316" s="2623"/>
      <c r="Q316" s="2623"/>
      <c r="R316" s="2631"/>
    </row>
    <row r="317" spans="1:18">
      <c r="A317" s="2615"/>
      <c r="B317" s="2618" t="s">
        <v>5391</v>
      </c>
      <c r="C317" s="2622" t="s">
        <v>5232</v>
      </c>
      <c r="D317" s="2623">
        <v>38.951999999999998</v>
      </c>
      <c r="E317" s="2623">
        <v>38.576999999999998</v>
      </c>
      <c r="F317" s="2623">
        <v>37.003442999999997</v>
      </c>
      <c r="G317" s="2623">
        <v>36.803443000000001</v>
      </c>
      <c r="H317" s="2623">
        <v>35.704403999999997</v>
      </c>
      <c r="I317" s="2623">
        <v>34.955368</v>
      </c>
      <c r="J317" s="2623"/>
      <c r="K317" s="2623" t="s">
        <v>5233</v>
      </c>
      <c r="L317" s="2623">
        <v>35.752403999999999</v>
      </c>
      <c r="M317" s="2623">
        <v>36.252403999999999</v>
      </c>
      <c r="N317" s="2623">
        <v>37.051442999999999</v>
      </c>
      <c r="O317" s="2623">
        <v>37.316443</v>
      </c>
      <c r="P317" s="2623">
        <v>39</v>
      </c>
      <c r="Q317" s="2623">
        <v>39.698014000000001</v>
      </c>
      <c r="R317" s="2631">
        <v>34</v>
      </c>
    </row>
    <row r="318" spans="1:18">
      <c r="A318" s="2615"/>
      <c r="B318" s="2618" t="s">
        <v>5391</v>
      </c>
      <c r="C318" s="2622" t="s">
        <v>5234</v>
      </c>
      <c r="D318" s="2623">
        <v>38.951999999999998</v>
      </c>
      <c r="E318" s="2623">
        <v>38.576999999999998</v>
      </c>
      <c r="F318" s="2623">
        <v>37.003442999999997</v>
      </c>
      <c r="G318" s="2623">
        <v>36.878442999999997</v>
      </c>
      <c r="H318" s="2623">
        <v>35.704403999999997</v>
      </c>
      <c r="I318" s="2623">
        <v>35.030368000000003</v>
      </c>
      <c r="J318" s="2623"/>
      <c r="K318" s="2623"/>
      <c r="L318" s="2623"/>
      <c r="M318" s="2623"/>
      <c r="N318" s="2623"/>
      <c r="O318" s="2623"/>
      <c r="P318" s="2623"/>
      <c r="Q318" s="2623"/>
      <c r="R318" s="2631"/>
    </row>
    <row r="319" spans="1:18">
      <c r="A319" s="2615"/>
      <c r="B319" s="2622" t="s">
        <v>5392</v>
      </c>
      <c r="C319" s="2622" t="s">
        <v>5232</v>
      </c>
      <c r="D319" s="2623">
        <v>38.962000000000003</v>
      </c>
      <c r="E319" s="2623">
        <v>38.682000000000002</v>
      </c>
      <c r="F319" s="2623">
        <v>37.662999999999997</v>
      </c>
      <c r="G319" s="2623">
        <v>37.493000000000002</v>
      </c>
      <c r="H319" s="2623">
        <v>36.796999999999997</v>
      </c>
      <c r="I319" s="2623">
        <v>36.261000000000003</v>
      </c>
      <c r="J319" s="2623"/>
      <c r="K319" s="2623" t="s">
        <v>5233</v>
      </c>
      <c r="L319" s="2623">
        <v>36.835000000000001</v>
      </c>
      <c r="M319" s="2623">
        <v>37.21</v>
      </c>
      <c r="N319" s="2623">
        <v>37.701000000000001</v>
      </c>
      <c r="O319" s="2623">
        <v>37.924999999999997</v>
      </c>
      <c r="P319" s="2623">
        <v>39</v>
      </c>
      <c r="Q319" s="2623">
        <v>39.512999999999998</v>
      </c>
      <c r="R319" s="2631">
        <v>35</v>
      </c>
    </row>
    <row r="320" spans="1:18">
      <c r="A320" s="2615"/>
      <c r="B320" s="2622" t="s">
        <v>5392</v>
      </c>
      <c r="C320" s="2622" t="s">
        <v>5234</v>
      </c>
      <c r="D320" s="2623">
        <v>38.962000000000003</v>
      </c>
      <c r="E320" s="2623">
        <v>38.682000000000002</v>
      </c>
      <c r="F320" s="2623">
        <v>37.662999999999997</v>
      </c>
      <c r="G320" s="2623">
        <v>37.557000000000002</v>
      </c>
      <c r="H320" s="2623">
        <v>36.796999999999997</v>
      </c>
      <c r="I320" s="2623">
        <v>36.325000000000003</v>
      </c>
      <c r="J320" s="2623"/>
      <c r="K320" s="2623"/>
      <c r="L320" s="2623"/>
      <c r="M320" s="2623"/>
      <c r="N320" s="2623"/>
      <c r="O320" s="2623"/>
      <c r="P320" s="2623"/>
      <c r="Q320" s="2623"/>
      <c r="R320" s="2631"/>
    </row>
    <row r="321" spans="1:18">
      <c r="A321" s="2615"/>
      <c r="B321" s="2618" t="s">
        <v>5393</v>
      </c>
      <c r="C321" s="2622" t="s">
        <v>5232</v>
      </c>
      <c r="D321" s="2623">
        <v>38.968000000000004</v>
      </c>
      <c r="E321" s="2623">
        <v>38.731999999999999</v>
      </c>
      <c r="F321" s="2623">
        <v>37.993721499999999</v>
      </c>
      <c r="G321" s="2623">
        <v>37.843721500000001</v>
      </c>
      <c r="H321" s="2623">
        <v>37.344202000000003</v>
      </c>
      <c r="I321" s="2623">
        <v>36.919683999999997</v>
      </c>
      <c r="J321" s="2623"/>
      <c r="K321" s="2623" t="s">
        <v>5233</v>
      </c>
      <c r="L321" s="2623">
        <v>37.376201999999999</v>
      </c>
      <c r="M321" s="2623">
        <v>37.676202000000004</v>
      </c>
      <c r="N321" s="2623">
        <v>38.025721500000003</v>
      </c>
      <c r="O321" s="2623">
        <v>38.225721499999999</v>
      </c>
      <c r="P321" s="2623">
        <v>39</v>
      </c>
      <c r="Q321" s="2623">
        <v>39.416507000000003</v>
      </c>
      <c r="R321" s="2631">
        <v>36</v>
      </c>
    </row>
    <row r="322" spans="1:18">
      <c r="A322" s="2615"/>
      <c r="B322" s="2618" t="s">
        <v>5393</v>
      </c>
      <c r="C322" s="2622" t="s">
        <v>5234</v>
      </c>
      <c r="D322" s="2623">
        <v>38.968000000000004</v>
      </c>
      <c r="E322" s="2623">
        <v>38.731999999999999</v>
      </c>
      <c r="F322" s="2623">
        <v>37.993721499999999</v>
      </c>
      <c r="G322" s="2623">
        <v>37.899221500000003</v>
      </c>
      <c r="H322" s="2623">
        <v>37.344202000000003</v>
      </c>
      <c r="I322" s="2623">
        <v>36.975183999999999</v>
      </c>
      <c r="J322" s="2623"/>
      <c r="K322" s="2623"/>
      <c r="L322" s="2623"/>
      <c r="M322" s="2623"/>
      <c r="N322" s="2623"/>
      <c r="O322" s="2623"/>
      <c r="P322" s="2623"/>
      <c r="Q322" s="2623"/>
      <c r="R322" s="2631"/>
    </row>
    <row r="323" spans="1:18">
      <c r="A323" s="2615"/>
      <c r="B323" s="2618" t="s">
        <v>5394</v>
      </c>
      <c r="C323" s="2622" t="s">
        <v>5232</v>
      </c>
      <c r="D323" s="2623">
        <v>38.973999999999997</v>
      </c>
      <c r="E323" s="2623">
        <v>38.793999999999997</v>
      </c>
      <c r="F323" s="2623">
        <v>38.324480999999999</v>
      </c>
      <c r="G323" s="2623">
        <v>38.199480999999999</v>
      </c>
      <c r="H323" s="2623">
        <v>37.891468000000003</v>
      </c>
      <c r="I323" s="2623">
        <v>37.583455999999998</v>
      </c>
      <c r="J323" s="2623"/>
      <c r="K323" s="2623" t="s">
        <v>5233</v>
      </c>
      <c r="L323" s="2623">
        <v>37.917468</v>
      </c>
      <c r="M323" s="2623">
        <v>38.153467999999997</v>
      </c>
      <c r="N323" s="2623">
        <v>38.350481000000002</v>
      </c>
      <c r="O323" s="2623">
        <v>38.520480999999997</v>
      </c>
      <c r="P323" s="2623">
        <v>39</v>
      </c>
      <c r="Q323" s="2623">
        <v>39.314337999999999</v>
      </c>
      <c r="R323" s="2631">
        <v>36</v>
      </c>
    </row>
    <row r="324" spans="1:18">
      <c r="A324" s="2615"/>
      <c r="B324" s="2618" t="s">
        <v>5394</v>
      </c>
      <c r="C324" s="2622" t="s">
        <v>5234</v>
      </c>
      <c r="D324" s="2623">
        <v>38.973999999999997</v>
      </c>
      <c r="E324" s="2623">
        <v>38.793999999999997</v>
      </c>
      <c r="F324" s="2623">
        <v>38.324480999999999</v>
      </c>
      <c r="G324" s="2623">
        <v>38.244481</v>
      </c>
      <c r="H324" s="2623">
        <v>37.891468000000003</v>
      </c>
      <c r="I324" s="2623">
        <v>37.628456</v>
      </c>
      <c r="J324" s="2623"/>
      <c r="K324" s="2623"/>
      <c r="L324" s="2623"/>
      <c r="M324" s="2623"/>
      <c r="N324" s="2623"/>
      <c r="O324" s="2623"/>
      <c r="P324" s="2623"/>
      <c r="Q324" s="2623"/>
      <c r="R324" s="2631"/>
    </row>
    <row r="325" spans="1:18">
      <c r="A325" s="2615">
        <v>40</v>
      </c>
      <c r="B325" s="2618" t="s">
        <v>5395</v>
      </c>
      <c r="C325" s="2622" t="s">
        <v>5232</v>
      </c>
      <c r="D325" s="2623">
        <v>39.951999999999998</v>
      </c>
      <c r="E325" s="2623">
        <v>39.576999999999998</v>
      </c>
      <c r="F325" s="2623">
        <v>38.003442999999997</v>
      </c>
      <c r="G325" s="2623">
        <v>37.803443000000001</v>
      </c>
      <c r="H325" s="2623">
        <v>36.704403999999997</v>
      </c>
      <c r="I325" s="2623">
        <v>35.955368</v>
      </c>
      <c r="J325" s="2623"/>
      <c r="K325" s="2623" t="s">
        <v>5233</v>
      </c>
      <c r="L325" s="2623">
        <v>36.752403999999999</v>
      </c>
      <c r="M325" s="2623">
        <v>37.252403999999999</v>
      </c>
      <c r="N325" s="2623">
        <v>38.051442999999999</v>
      </c>
      <c r="O325" s="2623">
        <v>38.316443</v>
      </c>
      <c r="P325" s="2623">
        <v>40</v>
      </c>
      <c r="Q325" s="2623">
        <v>40.698014000000001</v>
      </c>
      <c r="R325" s="2631">
        <v>36</v>
      </c>
    </row>
    <row r="326" spans="1:18">
      <c r="A326" s="2615"/>
      <c r="B326" s="2618" t="s">
        <v>5395</v>
      </c>
      <c r="C326" s="2622" t="s">
        <v>5234</v>
      </c>
      <c r="D326" s="2623">
        <v>39.951999999999998</v>
      </c>
      <c r="E326" s="2623">
        <v>39.576999999999998</v>
      </c>
      <c r="F326" s="2623">
        <v>38.003442999999997</v>
      </c>
      <c r="G326" s="2623">
        <v>37.878442999999997</v>
      </c>
      <c r="H326" s="2623">
        <v>36.704403999999997</v>
      </c>
      <c r="I326" s="2623">
        <v>36.030368000000003</v>
      </c>
      <c r="J326" s="2623"/>
      <c r="K326" s="2623"/>
      <c r="L326" s="2623"/>
      <c r="M326" s="2623"/>
      <c r="N326" s="2623"/>
      <c r="O326" s="2623"/>
      <c r="P326" s="2623"/>
      <c r="Q326" s="2623"/>
      <c r="R326" s="2631"/>
    </row>
    <row r="327" spans="1:18">
      <c r="A327" s="2615"/>
      <c r="B327" s="2618" t="s">
        <v>5396</v>
      </c>
      <c r="C327" s="2622" t="s">
        <v>5232</v>
      </c>
      <c r="D327" s="2623">
        <v>39.957999999999998</v>
      </c>
      <c r="E327" s="2623">
        <v>39.622999999999998</v>
      </c>
      <c r="F327" s="2623">
        <v>38.334202500000004</v>
      </c>
      <c r="G327" s="2623">
        <v>38.144202499999999</v>
      </c>
      <c r="H327" s="2623">
        <v>37.251669999999997</v>
      </c>
      <c r="I327" s="2623">
        <v>36.604140000000001</v>
      </c>
      <c r="J327" s="2623"/>
      <c r="K327" s="2623" t="s">
        <v>5233</v>
      </c>
      <c r="L327" s="2623">
        <v>37.293669999999999</v>
      </c>
      <c r="M327" s="2623">
        <v>37.743670000000002</v>
      </c>
      <c r="N327" s="2623">
        <v>38.376202499999998</v>
      </c>
      <c r="O327" s="2623">
        <v>38.626202499999998</v>
      </c>
      <c r="P327" s="2623">
        <v>40</v>
      </c>
      <c r="Q327" s="2623">
        <v>40.610844999999998</v>
      </c>
      <c r="R327" s="2631">
        <v>36</v>
      </c>
    </row>
    <row r="328" spans="1:18">
      <c r="A328" s="2615"/>
      <c r="B328" s="2618" t="s">
        <v>5396</v>
      </c>
      <c r="C328" s="2622" t="s">
        <v>5234</v>
      </c>
      <c r="D328" s="2623">
        <v>39.957999999999998</v>
      </c>
      <c r="E328" s="2623">
        <v>39.622999999999998</v>
      </c>
      <c r="F328" s="2623">
        <v>38.334202500000004</v>
      </c>
      <c r="G328" s="2623">
        <v>38.214502500000002</v>
      </c>
      <c r="H328" s="2623">
        <v>37.251669999999997</v>
      </c>
      <c r="I328" s="2623">
        <v>36.674439999999997</v>
      </c>
      <c r="J328" s="2623"/>
      <c r="K328" s="2623"/>
      <c r="L328" s="2623"/>
      <c r="M328" s="2623"/>
      <c r="N328" s="2623"/>
      <c r="O328" s="2623"/>
      <c r="P328" s="2623"/>
      <c r="Q328" s="2623"/>
      <c r="R328" s="2631"/>
    </row>
    <row r="329" spans="1:18">
      <c r="A329" s="2615"/>
      <c r="B329" s="2618" t="s">
        <v>5397</v>
      </c>
      <c r="C329" s="2622" t="s">
        <v>5232</v>
      </c>
      <c r="D329" s="2623">
        <v>39.962000000000003</v>
      </c>
      <c r="E329" s="2623">
        <v>39.682000000000002</v>
      </c>
      <c r="F329" s="2623">
        <v>38.662962</v>
      </c>
      <c r="G329" s="2623">
        <v>38.492961999999999</v>
      </c>
      <c r="H329" s="2623">
        <v>37.796936000000002</v>
      </c>
      <c r="I329" s="2623">
        <v>37.260911999999998</v>
      </c>
      <c r="J329" s="2623"/>
      <c r="K329" s="2623" t="s">
        <v>5233</v>
      </c>
      <c r="L329" s="2623">
        <v>37.834935999999999</v>
      </c>
      <c r="M329" s="2623">
        <v>38.209935999999999</v>
      </c>
      <c r="N329" s="2623">
        <v>38.700961999999997</v>
      </c>
      <c r="O329" s="2623">
        <v>38.925362</v>
      </c>
      <c r="P329" s="2623">
        <v>40</v>
      </c>
      <c r="Q329" s="2623">
        <v>40.513075999999998</v>
      </c>
      <c r="R329" s="2631">
        <v>36</v>
      </c>
    </row>
    <row r="330" spans="1:18">
      <c r="A330" s="2615"/>
      <c r="B330" s="2618" t="s">
        <v>5397</v>
      </c>
      <c r="C330" s="2622" t="s">
        <v>5234</v>
      </c>
      <c r="D330" s="2623">
        <v>39.962000000000003</v>
      </c>
      <c r="E330" s="2623">
        <v>39.682000000000002</v>
      </c>
      <c r="F330" s="2623">
        <v>38.662962</v>
      </c>
      <c r="G330" s="2623">
        <v>38.556961999999999</v>
      </c>
      <c r="H330" s="2623">
        <v>37.796936000000002</v>
      </c>
      <c r="I330" s="2623">
        <v>37.324911999999998</v>
      </c>
      <c r="J330" s="2623"/>
      <c r="K330" s="2623"/>
      <c r="L330" s="2623"/>
      <c r="M330" s="2623"/>
      <c r="N330" s="2623"/>
      <c r="O330" s="2623"/>
      <c r="P330" s="2623"/>
      <c r="Q330" s="2623"/>
      <c r="R330" s="2631"/>
    </row>
    <row r="331" spans="1:18">
      <c r="A331" s="2615"/>
      <c r="B331" s="2622" t="s">
        <v>5398</v>
      </c>
      <c r="C331" s="2622" t="s">
        <v>5232</v>
      </c>
      <c r="D331" s="2623">
        <v>39.968000000000004</v>
      </c>
      <c r="E331" s="2623">
        <v>39.731999999999999</v>
      </c>
      <c r="F331" s="2623">
        <v>38.994</v>
      </c>
      <c r="G331" s="2623">
        <v>38.844000000000001</v>
      </c>
      <c r="H331" s="2623">
        <v>38.344000000000001</v>
      </c>
      <c r="I331" s="2623">
        <v>37.92</v>
      </c>
      <c r="J331" s="2623"/>
      <c r="K331" s="2623" t="s">
        <v>5233</v>
      </c>
      <c r="L331" s="2623">
        <v>38.375999999999998</v>
      </c>
      <c r="M331" s="2623">
        <v>38.676000000000002</v>
      </c>
      <c r="N331" s="2623">
        <v>39.026000000000003</v>
      </c>
      <c r="O331" s="2623">
        <v>39.225999999999999</v>
      </c>
      <c r="P331" s="2623">
        <v>40</v>
      </c>
      <c r="Q331" s="2623">
        <v>40.415999999999997</v>
      </c>
      <c r="R331" s="2631">
        <v>36</v>
      </c>
    </row>
    <row r="332" spans="1:18">
      <c r="A332" s="2615"/>
      <c r="B332" s="2622" t="s">
        <v>5398</v>
      </c>
      <c r="C332" s="2622" t="s">
        <v>5234</v>
      </c>
      <c r="D332" s="2623">
        <v>39.968000000000004</v>
      </c>
      <c r="E332" s="2623">
        <v>39.731999999999999</v>
      </c>
      <c r="F332" s="2623">
        <v>38.994</v>
      </c>
      <c r="G332" s="2623">
        <v>38.899000000000001</v>
      </c>
      <c r="H332" s="2623">
        <v>38.344000000000001</v>
      </c>
      <c r="I332" s="2623">
        <v>37.975000000000001</v>
      </c>
      <c r="J332" s="2623"/>
      <c r="K332" s="2623"/>
      <c r="L332" s="2623"/>
      <c r="M332" s="2623"/>
      <c r="N332" s="2623"/>
      <c r="O332" s="2623"/>
      <c r="P332" s="2623"/>
      <c r="Q332" s="2623"/>
      <c r="R332" s="2631"/>
    </row>
    <row r="333" spans="1:18">
      <c r="A333" s="2615">
        <v>42</v>
      </c>
      <c r="B333" s="2622" t="s">
        <v>5399</v>
      </c>
      <c r="C333" s="2622" t="s">
        <v>5232</v>
      </c>
      <c r="D333" s="2623">
        <v>41.936999999999998</v>
      </c>
      <c r="E333" s="2623">
        <v>41.436999999999998</v>
      </c>
      <c r="F333" s="2623">
        <v>39.014000000000003</v>
      </c>
      <c r="G333" s="2623">
        <v>38.777999999999999</v>
      </c>
      <c r="H333" s="2623">
        <v>37.066000000000003</v>
      </c>
      <c r="I333" s="2623">
        <v>36.006</v>
      </c>
      <c r="J333" s="2623"/>
      <c r="K333" s="2623" t="s">
        <v>5233</v>
      </c>
      <c r="L333" s="2623">
        <v>37.128999999999998</v>
      </c>
      <c r="M333" s="2623">
        <v>37.798999999999999</v>
      </c>
      <c r="N333" s="2623">
        <v>39.076999999999998</v>
      </c>
      <c r="O333" s="2623">
        <v>39.392000000000003</v>
      </c>
      <c r="P333" s="2623">
        <v>42</v>
      </c>
      <c r="Q333" s="2623">
        <v>42.965000000000003</v>
      </c>
      <c r="R333" s="2631">
        <v>37.5</v>
      </c>
    </row>
    <row r="334" spans="1:18">
      <c r="A334" s="2615"/>
      <c r="B334" s="2622" t="s">
        <v>5399</v>
      </c>
      <c r="C334" s="2622" t="s">
        <v>5234</v>
      </c>
      <c r="D334" s="2623">
        <v>41.936999999999998</v>
      </c>
      <c r="E334" s="2623">
        <v>41.436999999999998</v>
      </c>
      <c r="F334" s="2623">
        <v>39.014000000000003</v>
      </c>
      <c r="G334" s="2623">
        <v>38.863999999999997</v>
      </c>
      <c r="H334" s="2623">
        <v>37.066000000000003</v>
      </c>
      <c r="I334" s="2623">
        <v>36.091999999999999</v>
      </c>
      <c r="J334" s="2623"/>
      <c r="K334" s="2623"/>
      <c r="L334" s="2623"/>
      <c r="M334" s="2623"/>
      <c r="N334" s="2623"/>
      <c r="O334" s="2623"/>
      <c r="P334" s="2623"/>
      <c r="Q334" s="2623"/>
      <c r="R334" s="2631"/>
    </row>
    <row r="335" spans="1:18">
      <c r="A335" s="2615"/>
      <c r="B335" s="2618" t="s">
        <v>5400</v>
      </c>
      <c r="C335" s="2622" t="s">
        <v>5232</v>
      </c>
      <c r="D335" s="2623">
        <v>41.94</v>
      </c>
      <c r="E335" s="2623">
        <v>41.465000000000003</v>
      </c>
      <c r="F335" s="2623">
        <v>39.341923999999999</v>
      </c>
      <c r="G335" s="2623">
        <v>39.117924000000002</v>
      </c>
      <c r="H335" s="2623">
        <v>37.609872000000003</v>
      </c>
      <c r="I335" s="2623">
        <v>36.653824</v>
      </c>
      <c r="J335" s="2623"/>
      <c r="K335" s="2623" t="s">
        <v>5233</v>
      </c>
      <c r="L335" s="2623">
        <v>37.669871999999998</v>
      </c>
      <c r="M335" s="2623">
        <v>38.269871999999999</v>
      </c>
      <c r="N335" s="2623">
        <v>39.401924000000001</v>
      </c>
      <c r="O335" s="2623">
        <v>39.701923999999998</v>
      </c>
      <c r="P335" s="2623">
        <v>42</v>
      </c>
      <c r="Q335" s="2623">
        <v>42.877352000000002</v>
      </c>
      <c r="R335" s="2631">
        <v>36</v>
      </c>
    </row>
    <row r="336" spans="1:18">
      <c r="A336" s="2615"/>
      <c r="B336" s="2618" t="s">
        <v>5400</v>
      </c>
      <c r="C336" s="2622" t="s">
        <v>5234</v>
      </c>
      <c r="D336" s="2623">
        <v>41.94</v>
      </c>
      <c r="E336" s="2623">
        <v>41.465000000000003</v>
      </c>
      <c r="F336" s="2623">
        <v>39.341923999999999</v>
      </c>
      <c r="G336" s="2623">
        <v>39.201923999999998</v>
      </c>
      <c r="H336" s="2623">
        <v>37.609872000000003</v>
      </c>
      <c r="I336" s="2623">
        <v>36.737824000000003</v>
      </c>
      <c r="J336" s="2623"/>
      <c r="K336" s="2623"/>
      <c r="L336" s="2623"/>
      <c r="M336" s="2623"/>
      <c r="N336" s="2623"/>
      <c r="O336" s="2623"/>
      <c r="P336" s="2623"/>
      <c r="Q336" s="2623"/>
      <c r="R336" s="2631"/>
    </row>
    <row r="337" spans="1:18">
      <c r="A337" s="2615"/>
      <c r="B337" s="2618" t="s">
        <v>5401</v>
      </c>
      <c r="C337" s="2622" t="s">
        <v>5232</v>
      </c>
      <c r="D337" s="2623">
        <v>41.951999999999998</v>
      </c>
      <c r="E337" s="2623">
        <v>41.576999999999998</v>
      </c>
      <c r="F337" s="2623">
        <v>40.003442999999997</v>
      </c>
      <c r="G337" s="2623">
        <v>39.803443000000001</v>
      </c>
      <c r="H337" s="2623">
        <v>38.704403999999997</v>
      </c>
      <c r="I337" s="2623">
        <v>37.955368</v>
      </c>
      <c r="J337" s="2623"/>
      <c r="K337" s="2623" t="s">
        <v>5233</v>
      </c>
      <c r="L337" s="2623">
        <v>38.752403999999999</v>
      </c>
      <c r="M337" s="2623">
        <v>39.252403999999999</v>
      </c>
      <c r="N337" s="2623">
        <v>40.051442999999999</v>
      </c>
      <c r="O337" s="2623">
        <v>40.316443</v>
      </c>
      <c r="P337" s="2623">
        <v>42</v>
      </c>
      <c r="Q337" s="2623">
        <v>42.698014000000001</v>
      </c>
      <c r="R337" s="2631">
        <v>37.5</v>
      </c>
    </row>
    <row r="338" spans="1:18">
      <c r="A338" s="2615"/>
      <c r="B338" s="2618" t="s">
        <v>5401</v>
      </c>
      <c r="C338" s="2622" t="s">
        <v>5234</v>
      </c>
      <c r="D338" s="2623">
        <v>41.951999999999998</v>
      </c>
      <c r="E338" s="2623">
        <v>41.576999999999998</v>
      </c>
      <c r="F338" s="2623">
        <v>40.003442999999997</v>
      </c>
      <c r="G338" s="2623">
        <v>39.878442999999997</v>
      </c>
      <c r="H338" s="2623">
        <v>38.704403999999997</v>
      </c>
      <c r="I338" s="2623">
        <v>38.030368000000003</v>
      </c>
      <c r="J338" s="2623"/>
      <c r="K338" s="2623"/>
      <c r="L338" s="2623"/>
      <c r="M338" s="2623"/>
      <c r="N338" s="2623"/>
      <c r="O338" s="2623"/>
      <c r="P338" s="2623"/>
      <c r="Q338" s="2623"/>
      <c r="R338" s="2631"/>
    </row>
    <row r="339" spans="1:18">
      <c r="A339" s="2615"/>
      <c r="B339" s="2622" t="s">
        <v>5402</v>
      </c>
      <c r="C339" s="2622" t="s">
        <v>5232</v>
      </c>
      <c r="D339" s="2623">
        <v>41.962000000000003</v>
      </c>
      <c r="E339" s="2623">
        <v>41.682000000000002</v>
      </c>
      <c r="F339" s="2623">
        <v>40.662999999999997</v>
      </c>
      <c r="G339" s="2623">
        <v>40.493000000000002</v>
      </c>
      <c r="H339" s="2623">
        <v>39.796999999999997</v>
      </c>
      <c r="I339" s="2623">
        <v>39.261000000000003</v>
      </c>
      <c r="J339" s="2623"/>
      <c r="K339" s="2623" t="s">
        <v>5233</v>
      </c>
      <c r="L339" s="2623">
        <v>39.835000000000001</v>
      </c>
      <c r="M339" s="2623">
        <v>40.21</v>
      </c>
      <c r="N339" s="2623">
        <v>40.701000000000001</v>
      </c>
      <c r="O339" s="2623">
        <v>40.924999999999997</v>
      </c>
      <c r="P339" s="2623">
        <v>42</v>
      </c>
      <c r="Q339" s="2623">
        <v>42.512999999999998</v>
      </c>
      <c r="R339" s="2631">
        <v>37.5</v>
      </c>
    </row>
    <row r="340" spans="1:18">
      <c r="A340" s="2615"/>
      <c r="B340" s="2622" t="s">
        <v>5402</v>
      </c>
      <c r="C340" s="2622" t="s">
        <v>5234</v>
      </c>
      <c r="D340" s="2623">
        <v>41.962000000000003</v>
      </c>
      <c r="E340" s="2623">
        <v>41.682000000000002</v>
      </c>
      <c r="F340" s="2623">
        <v>40.662999999999997</v>
      </c>
      <c r="G340" s="2623">
        <v>40.557000000000002</v>
      </c>
      <c r="H340" s="2623">
        <v>39.796999999999997</v>
      </c>
      <c r="I340" s="2623">
        <v>39.325000000000003</v>
      </c>
      <c r="J340" s="2623"/>
      <c r="K340" s="2623"/>
      <c r="L340" s="2623"/>
      <c r="M340" s="2623"/>
      <c r="N340" s="2623"/>
      <c r="O340" s="2623"/>
      <c r="P340" s="2623"/>
      <c r="Q340" s="2623"/>
      <c r="R340" s="2631"/>
    </row>
    <row r="341" spans="1:18">
      <c r="A341" s="2615"/>
      <c r="B341" s="2618" t="s">
        <v>5403</v>
      </c>
      <c r="C341" s="2622" t="s">
        <v>5232</v>
      </c>
      <c r="D341" s="2623">
        <v>41.968000000000004</v>
      </c>
      <c r="E341" s="2623">
        <v>41.731999999999999</v>
      </c>
      <c r="F341" s="2623">
        <v>40.993721499999999</v>
      </c>
      <c r="G341" s="2623">
        <v>40.843721500000001</v>
      </c>
      <c r="H341" s="2623">
        <v>40.344202000000003</v>
      </c>
      <c r="I341" s="2623">
        <v>39.919683999999997</v>
      </c>
      <c r="J341" s="2623"/>
      <c r="K341" s="2623" t="s">
        <v>5233</v>
      </c>
      <c r="L341" s="2623">
        <v>40.376201999999999</v>
      </c>
      <c r="M341" s="2623">
        <v>40.676202000000004</v>
      </c>
      <c r="N341" s="2623">
        <v>41.025721500000003</v>
      </c>
      <c r="O341" s="2623">
        <v>41.225721499999999</v>
      </c>
      <c r="P341" s="2623">
        <v>42</v>
      </c>
      <c r="Q341" s="2623">
        <v>42.416507000000003</v>
      </c>
      <c r="R341" s="2631">
        <v>39</v>
      </c>
    </row>
    <row r="342" spans="1:18">
      <c r="A342" s="2615"/>
      <c r="B342" s="2618" t="s">
        <v>5403</v>
      </c>
      <c r="C342" s="2622" t="s">
        <v>5234</v>
      </c>
      <c r="D342" s="2623">
        <v>41.968000000000004</v>
      </c>
      <c r="E342" s="2623">
        <v>41.731999999999999</v>
      </c>
      <c r="F342" s="2623">
        <v>40.993721499999999</v>
      </c>
      <c r="G342" s="2623">
        <v>40.899221500000003</v>
      </c>
      <c r="H342" s="2623">
        <v>40.344202000000003</v>
      </c>
      <c r="I342" s="2623">
        <v>39.975183999999999</v>
      </c>
      <c r="J342" s="2623"/>
      <c r="K342" s="2623"/>
      <c r="L342" s="2623"/>
      <c r="M342" s="2623"/>
      <c r="N342" s="2623"/>
      <c r="O342" s="2623"/>
      <c r="P342" s="2623"/>
      <c r="Q342" s="2623"/>
      <c r="R342" s="2631"/>
    </row>
    <row r="343" spans="1:18">
      <c r="A343" s="2615"/>
      <c r="B343" s="2618" t="s">
        <v>5404</v>
      </c>
      <c r="C343" s="2622" t="s">
        <v>5232</v>
      </c>
      <c r="D343" s="2623">
        <v>41.973999999999997</v>
      </c>
      <c r="E343" s="2623">
        <v>41.793999999999997</v>
      </c>
      <c r="F343" s="2623">
        <v>41.324480999999999</v>
      </c>
      <c r="G343" s="2623">
        <v>41.199480999999999</v>
      </c>
      <c r="H343" s="2623">
        <v>40.891468000000003</v>
      </c>
      <c r="I343" s="2623">
        <v>40.583455999999998</v>
      </c>
      <c r="J343" s="2623"/>
      <c r="K343" s="2623" t="s">
        <v>5233</v>
      </c>
      <c r="L343" s="2623">
        <v>40.917468</v>
      </c>
      <c r="M343" s="2623">
        <v>41.153467999999997</v>
      </c>
      <c r="N343" s="2623">
        <v>41.350481000000002</v>
      </c>
      <c r="O343" s="2623">
        <v>41.520480999999997</v>
      </c>
      <c r="P343" s="2623">
        <v>42</v>
      </c>
      <c r="Q343" s="2623">
        <v>42.314337999999999</v>
      </c>
      <c r="R343" s="2631">
        <v>39</v>
      </c>
    </row>
    <row r="344" spans="1:18">
      <c r="A344" s="2615"/>
      <c r="B344" s="2618" t="s">
        <v>5404</v>
      </c>
      <c r="C344" s="2622" t="s">
        <v>5234</v>
      </c>
      <c r="D344" s="2623">
        <v>41.973999999999997</v>
      </c>
      <c r="E344" s="2623">
        <v>41.793999999999997</v>
      </c>
      <c r="F344" s="2623">
        <v>41.324480999999999</v>
      </c>
      <c r="G344" s="2623">
        <v>41.244481</v>
      </c>
      <c r="H344" s="2623">
        <v>40.891468000000003</v>
      </c>
      <c r="I344" s="2623">
        <v>40.628456</v>
      </c>
      <c r="J344" s="2623"/>
      <c r="K344" s="2623"/>
      <c r="L344" s="2623"/>
      <c r="M344" s="2623"/>
      <c r="N344" s="2623"/>
      <c r="O344" s="2623"/>
      <c r="P344" s="2623"/>
      <c r="Q344" s="2623"/>
      <c r="R344" s="2631"/>
    </row>
    <row r="345" spans="1:18">
      <c r="A345" s="2615">
        <v>45</v>
      </c>
      <c r="B345" s="2618" t="s">
        <v>5405</v>
      </c>
      <c r="C345" s="2622" t="s">
        <v>5232</v>
      </c>
      <c r="D345" s="2623">
        <v>44.936999999999998</v>
      </c>
      <c r="E345" s="2623">
        <v>44.436999999999998</v>
      </c>
      <c r="F345" s="2623">
        <v>42.0141645</v>
      </c>
      <c r="G345" s="2623">
        <v>41.778164500000003</v>
      </c>
      <c r="H345" s="2623">
        <v>40.065606000000002</v>
      </c>
      <c r="I345" s="2623">
        <v>39.006051999999997</v>
      </c>
      <c r="J345" s="2623"/>
      <c r="K345" s="2623" t="s">
        <v>5233</v>
      </c>
      <c r="L345" s="2623">
        <v>40.128605999999998</v>
      </c>
      <c r="M345" s="2623">
        <v>40.798605999999999</v>
      </c>
      <c r="N345" s="2623">
        <v>42.077164500000002</v>
      </c>
      <c r="O345" s="2623">
        <v>42.3921645</v>
      </c>
      <c r="P345" s="2623">
        <v>45</v>
      </c>
      <c r="Q345" s="2623">
        <v>45.964520999999998</v>
      </c>
      <c r="R345" s="2631">
        <v>39</v>
      </c>
    </row>
    <row r="346" spans="1:18">
      <c r="A346" s="2615"/>
      <c r="B346" s="2618" t="s">
        <v>5405</v>
      </c>
      <c r="C346" s="2622" t="s">
        <v>5234</v>
      </c>
      <c r="D346" s="2623">
        <v>44.936999999999998</v>
      </c>
      <c r="E346" s="2623">
        <v>44.436999999999998</v>
      </c>
      <c r="F346" s="2623">
        <v>42.0141645</v>
      </c>
      <c r="G346" s="2623">
        <v>41.864164500000001</v>
      </c>
      <c r="H346" s="2623">
        <v>40.065606000000002</v>
      </c>
      <c r="I346" s="2623">
        <v>39.092052000000002</v>
      </c>
      <c r="J346" s="2623"/>
      <c r="K346" s="2623"/>
      <c r="L346" s="2623"/>
      <c r="M346" s="2623"/>
      <c r="N346" s="2623"/>
      <c r="O346" s="2623"/>
      <c r="P346" s="2623"/>
      <c r="Q346" s="2623"/>
      <c r="R346" s="2631"/>
    </row>
    <row r="347" spans="1:18">
      <c r="A347" s="2615"/>
      <c r="B347" s="2618" t="s">
        <v>5406</v>
      </c>
      <c r="C347" s="2622" t="s">
        <v>5232</v>
      </c>
      <c r="D347" s="2623">
        <v>44.94</v>
      </c>
      <c r="E347" s="2623">
        <v>44.465000000000003</v>
      </c>
      <c r="F347" s="2623">
        <v>42.341923999999999</v>
      </c>
      <c r="G347" s="2623">
        <v>42.117924000000002</v>
      </c>
      <c r="H347" s="2623">
        <v>40.609872000000003</v>
      </c>
      <c r="I347" s="2623">
        <v>39.653824</v>
      </c>
      <c r="J347" s="2623"/>
      <c r="K347" s="2623" t="s">
        <v>5233</v>
      </c>
      <c r="L347" s="2623">
        <v>40.669871999999998</v>
      </c>
      <c r="M347" s="2623">
        <v>41.269871999999999</v>
      </c>
      <c r="N347" s="2623">
        <v>42.401924000000001</v>
      </c>
      <c r="O347" s="2623">
        <v>42.701923999999998</v>
      </c>
      <c r="P347" s="2623">
        <v>45</v>
      </c>
      <c r="Q347" s="2623">
        <v>45.877352000000002</v>
      </c>
      <c r="R347" s="2631">
        <v>39</v>
      </c>
    </row>
    <row r="348" spans="1:18">
      <c r="A348" s="2615"/>
      <c r="B348" s="2618" t="s">
        <v>5406</v>
      </c>
      <c r="C348" s="2622" t="s">
        <v>5234</v>
      </c>
      <c r="D348" s="2623">
        <v>44.94</v>
      </c>
      <c r="E348" s="2623">
        <v>44.465000000000003</v>
      </c>
      <c r="F348" s="2623">
        <v>42.341923999999999</v>
      </c>
      <c r="G348" s="2623">
        <v>42.201923999999998</v>
      </c>
      <c r="H348" s="2623">
        <v>40.609872000000003</v>
      </c>
      <c r="I348" s="2623">
        <v>39.737824000000003</v>
      </c>
      <c r="J348" s="2623"/>
      <c r="K348" s="2623"/>
      <c r="L348" s="2623"/>
      <c r="M348" s="2623"/>
      <c r="N348" s="2623"/>
      <c r="O348" s="2623"/>
      <c r="P348" s="2623"/>
      <c r="Q348" s="2623"/>
      <c r="R348" s="2631"/>
    </row>
    <row r="349" spans="1:18">
      <c r="A349" s="2615"/>
      <c r="B349" s="2618" t="s">
        <v>5407</v>
      </c>
      <c r="C349" s="2622" t="s">
        <v>5232</v>
      </c>
      <c r="D349" s="2623">
        <v>44.951999999999998</v>
      </c>
      <c r="E349" s="2623">
        <v>44.576999999999998</v>
      </c>
      <c r="F349" s="2623">
        <v>43.003442999999997</v>
      </c>
      <c r="G349" s="2623">
        <v>42.803443000000001</v>
      </c>
      <c r="H349" s="2623">
        <v>41.704403999999997</v>
      </c>
      <c r="I349" s="2623">
        <v>40.955368</v>
      </c>
      <c r="J349" s="2623"/>
      <c r="K349" s="2623" t="s">
        <v>5233</v>
      </c>
      <c r="L349" s="2623">
        <v>41.752403999999999</v>
      </c>
      <c r="M349" s="2623">
        <v>42.252403999999999</v>
      </c>
      <c r="N349" s="2623">
        <v>43.051442999999999</v>
      </c>
      <c r="O349" s="2623">
        <v>43.316443</v>
      </c>
      <c r="P349" s="2623">
        <v>45</v>
      </c>
      <c r="Q349" s="2623">
        <v>45.698014000000001</v>
      </c>
      <c r="R349" s="2631">
        <v>40.5</v>
      </c>
    </row>
    <row r="350" spans="1:18">
      <c r="A350" s="2615"/>
      <c r="B350" s="2618" t="s">
        <v>5407</v>
      </c>
      <c r="C350" s="2622" t="s">
        <v>5234</v>
      </c>
      <c r="D350" s="2623">
        <v>44.951999999999998</v>
      </c>
      <c r="E350" s="2623">
        <v>44.576999999999998</v>
      </c>
      <c r="F350" s="2623">
        <v>43.003442999999997</v>
      </c>
      <c r="G350" s="2623">
        <v>42.878442999999997</v>
      </c>
      <c r="H350" s="2623">
        <v>41.704403999999997</v>
      </c>
      <c r="I350" s="2623">
        <v>41.030368000000003</v>
      </c>
      <c r="J350" s="2623"/>
      <c r="K350" s="2623"/>
      <c r="L350" s="2623"/>
      <c r="M350" s="2623"/>
      <c r="N350" s="2623"/>
      <c r="O350" s="2623"/>
      <c r="P350" s="2623"/>
      <c r="Q350" s="2623"/>
      <c r="R350" s="2631"/>
    </row>
    <row r="351" spans="1:18">
      <c r="A351" s="2615"/>
      <c r="B351" s="2618" t="s">
        <v>5408</v>
      </c>
      <c r="C351" s="2622" t="s">
        <v>5232</v>
      </c>
      <c r="D351" s="2623">
        <v>44.962000000000003</v>
      </c>
      <c r="E351" s="2623">
        <v>44.682000000000002</v>
      </c>
      <c r="F351" s="2623">
        <v>43.662962</v>
      </c>
      <c r="G351" s="2623">
        <v>43.492961999999999</v>
      </c>
      <c r="H351" s="2623">
        <v>42.796936000000002</v>
      </c>
      <c r="I351" s="2623">
        <v>42.260911999999998</v>
      </c>
      <c r="J351" s="2623"/>
      <c r="K351" s="2623" t="s">
        <v>5233</v>
      </c>
      <c r="L351" s="2623">
        <v>42.834935999999999</v>
      </c>
      <c r="M351" s="2623">
        <v>43.209935999999999</v>
      </c>
      <c r="N351" s="2623">
        <v>43.700961999999997</v>
      </c>
      <c r="O351" s="2623">
        <v>43.925362</v>
      </c>
      <c r="P351" s="2623">
        <v>45</v>
      </c>
      <c r="Q351" s="2623">
        <v>45.513075999999998</v>
      </c>
      <c r="R351" s="2631">
        <v>40.5</v>
      </c>
    </row>
    <row r="352" spans="1:18">
      <c r="A352" s="2615"/>
      <c r="B352" s="2618" t="s">
        <v>5408</v>
      </c>
      <c r="C352" s="2622" t="s">
        <v>5234</v>
      </c>
      <c r="D352" s="2623">
        <v>44.962000000000003</v>
      </c>
      <c r="E352" s="2623">
        <v>44.682000000000002</v>
      </c>
      <c r="F352" s="2623">
        <v>43.662962</v>
      </c>
      <c r="G352" s="2623">
        <v>43.556961999999999</v>
      </c>
      <c r="H352" s="2623">
        <v>42.796936000000002</v>
      </c>
      <c r="I352" s="2623">
        <v>42.324911999999998</v>
      </c>
      <c r="J352" s="2623"/>
      <c r="K352" s="2623"/>
      <c r="L352" s="2623"/>
      <c r="M352" s="2623"/>
      <c r="N352" s="2623"/>
      <c r="O352" s="2623"/>
      <c r="P352" s="2623"/>
      <c r="Q352" s="2623"/>
      <c r="R352" s="2631"/>
    </row>
    <row r="353" spans="1:18">
      <c r="A353" s="2615"/>
      <c r="B353" s="2622" t="s">
        <v>5409</v>
      </c>
      <c r="C353" s="2622" t="s">
        <v>5232</v>
      </c>
      <c r="D353" s="2623">
        <v>44.968000000000004</v>
      </c>
      <c r="E353" s="2623">
        <v>44.731999999999999</v>
      </c>
      <c r="F353" s="2623">
        <v>43.994</v>
      </c>
      <c r="G353" s="2623">
        <v>43.844000000000001</v>
      </c>
      <c r="H353" s="2623">
        <v>43.344000000000001</v>
      </c>
      <c r="I353" s="2623">
        <v>42.92</v>
      </c>
      <c r="J353" s="2623"/>
      <c r="K353" s="2623" t="s">
        <v>5233</v>
      </c>
      <c r="L353" s="2623">
        <v>43.375999999999998</v>
      </c>
      <c r="M353" s="2623">
        <v>43.676000000000002</v>
      </c>
      <c r="N353" s="2623">
        <v>44.026000000000003</v>
      </c>
      <c r="O353" s="2623">
        <v>44.225999999999999</v>
      </c>
      <c r="P353" s="2623">
        <v>45</v>
      </c>
      <c r="Q353" s="2623">
        <v>45.415999999999997</v>
      </c>
      <c r="R353" s="2631">
        <v>40.5</v>
      </c>
    </row>
    <row r="354" spans="1:18">
      <c r="A354" s="2615"/>
      <c r="B354" s="2622" t="s">
        <v>5409</v>
      </c>
      <c r="C354" s="2622" t="s">
        <v>5234</v>
      </c>
      <c r="D354" s="2623">
        <v>44.968000000000004</v>
      </c>
      <c r="E354" s="2623">
        <v>44.731999999999999</v>
      </c>
      <c r="F354" s="2623">
        <v>43.994</v>
      </c>
      <c r="G354" s="2623">
        <v>43.899000000000001</v>
      </c>
      <c r="H354" s="2623">
        <v>43.344000000000001</v>
      </c>
      <c r="I354" s="2623">
        <v>42.975000000000001</v>
      </c>
      <c r="J354" s="2623"/>
      <c r="K354" s="2623"/>
      <c r="L354" s="2623"/>
      <c r="M354" s="2623"/>
      <c r="N354" s="2623"/>
      <c r="O354" s="2623"/>
      <c r="P354" s="2623"/>
      <c r="Q354" s="2623"/>
      <c r="R354" s="2631"/>
    </row>
    <row r="355" spans="1:18">
      <c r="A355" s="2615"/>
      <c r="B355" s="2618" t="s">
        <v>5410</v>
      </c>
      <c r="C355" s="2622" t="s">
        <v>5232</v>
      </c>
      <c r="D355" s="2623">
        <v>44.973999999999997</v>
      </c>
      <c r="E355" s="2623">
        <v>44.793999999999997</v>
      </c>
      <c r="F355" s="2623">
        <v>44.324480999999999</v>
      </c>
      <c r="G355" s="2623">
        <v>44.199480999999999</v>
      </c>
      <c r="H355" s="2623">
        <v>43.891468000000003</v>
      </c>
      <c r="I355" s="2623">
        <v>43.583455999999998</v>
      </c>
      <c r="J355" s="2623"/>
      <c r="K355" s="2623" t="s">
        <v>5233</v>
      </c>
      <c r="L355" s="2623">
        <v>43.917468</v>
      </c>
      <c r="M355" s="2623">
        <v>44.153467999999997</v>
      </c>
      <c r="N355" s="2623">
        <v>44.350481000000002</v>
      </c>
      <c r="O355" s="2623">
        <v>44.520480999999997</v>
      </c>
      <c r="P355" s="2623">
        <v>45</v>
      </c>
      <c r="Q355" s="2623">
        <v>45.314337999999999</v>
      </c>
      <c r="R355" s="2631">
        <v>43</v>
      </c>
    </row>
    <row r="356" spans="1:18">
      <c r="A356" s="2615"/>
      <c r="B356" s="2618" t="s">
        <v>5410</v>
      </c>
      <c r="C356" s="2622" t="s">
        <v>5234</v>
      </c>
      <c r="D356" s="2623">
        <v>44.973999999999997</v>
      </c>
      <c r="E356" s="2623">
        <v>44.793999999999997</v>
      </c>
      <c r="F356" s="2623">
        <v>44.324480999999999</v>
      </c>
      <c r="G356" s="2623">
        <v>44.244481</v>
      </c>
      <c r="H356" s="2623">
        <v>43.891468000000003</v>
      </c>
      <c r="I356" s="2623">
        <v>43.628456</v>
      </c>
      <c r="J356" s="2623"/>
      <c r="K356" s="2623"/>
      <c r="L356" s="2623"/>
      <c r="M356" s="2623"/>
      <c r="N356" s="2623"/>
      <c r="O356" s="2623"/>
      <c r="P356" s="2623"/>
      <c r="Q356" s="2623"/>
      <c r="R356" s="2631"/>
    </row>
    <row r="357" spans="1:18">
      <c r="A357" s="2615">
        <v>48</v>
      </c>
      <c r="B357" s="2622" t="s">
        <v>5411</v>
      </c>
      <c r="C357" s="2622" t="s">
        <v>5232</v>
      </c>
      <c r="D357" s="2623">
        <v>47.929000000000002</v>
      </c>
      <c r="E357" s="2623">
        <v>47.399000000000001</v>
      </c>
      <c r="F357" s="2623">
        <v>44.680999999999997</v>
      </c>
      <c r="G357" s="2623">
        <v>44.430999999999997</v>
      </c>
      <c r="H357" s="2623">
        <v>42.515999999999998</v>
      </c>
      <c r="I357" s="2623">
        <v>41.350999999999999</v>
      </c>
      <c r="J357" s="2623"/>
      <c r="K357" s="2623" t="s">
        <v>5233</v>
      </c>
      <c r="L357" s="2623">
        <v>42.587000000000003</v>
      </c>
      <c r="M357" s="2623">
        <v>43.296999999999997</v>
      </c>
      <c r="N357" s="2623">
        <v>44.752000000000002</v>
      </c>
      <c r="O357" s="2623">
        <v>45.087000000000003</v>
      </c>
      <c r="P357" s="2623">
        <v>48</v>
      </c>
      <c r="Q357" s="2623">
        <v>49.057000000000002</v>
      </c>
      <c r="R357" s="2631">
        <v>43</v>
      </c>
    </row>
    <row r="358" spans="1:18">
      <c r="A358" s="2615"/>
      <c r="B358" s="2622" t="s">
        <v>5411</v>
      </c>
      <c r="C358" s="2622" t="s">
        <v>5234</v>
      </c>
      <c r="D358" s="2623">
        <v>47.929000000000002</v>
      </c>
      <c r="E358" s="2623">
        <v>47.399000000000001</v>
      </c>
      <c r="F358" s="2623">
        <v>44.680999999999997</v>
      </c>
      <c r="G358" s="2623">
        <v>44.521000000000001</v>
      </c>
      <c r="H358" s="2623">
        <v>42.515999999999998</v>
      </c>
      <c r="I358" s="2623">
        <v>41.441000000000003</v>
      </c>
      <c r="J358" s="2623"/>
      <c r="K358" s="2623"/>
      <c r="L358" s="2623"/>
      <c r="M358" s="2623"/>
      <c r="N358" s="2623"/>
      <c r="O358" s="2623"/>
      <c r="P358" s="2623"/>
      <c r="Q358" s="2623"/>
      <c r="R358" s="2631"/>
    </row>
    <row r="359" spans="1:18">
      <c r="A359" s="2615"/>
      <c r="B359" s="2618" t="s">
        <v>5412</v>
      </c>
      <c r="C359" s="2622" t="s">
        <v>5232</v>
      </c>
      <c r="D359" s="2623">
        <v>47.94</v>
      </c>
      <c r="E359" s="2623">
        <v>47.465000000000003</v>
      </c>
      <c r="F359" s="2623">
        <v>45.341923999999999</v>
      </c>
      <c r="G359" s="2623">
        <v>45.105924000000002</v>
      </c>
      <c r="H359" s="2623">
        <v>43.609872000000003</v>
      </c>
      <c r="I359" s="2623">
        <v>42.641824</v>
      </c>
      <c r="J359" s="2623"/>
      <c r="K359" s="2623" t="s">
        <v>5233</v>
      </c>
      <c r="L359" s="2623">
        <v>43.669871999999998</v>
      </c>
      <c r="M359" s="2623">
        <v>44.269871999999999</v>
      </c>
      <c r="N359" s="2623">
        <v>45.401924000000001</v>
      </c>
      <c r="O359" s="2623">
        <v>45.716923999999999</v>
      </c>
      <c r="P359" s="2623">
        <v>48</v>
      </c>
      <c r="Q359" s="2623">
        <v>48.892352000000002</v>
      </c>
      <c r="R359" s="2631">
        <v>43</v>
      </c>
    </row>
    <row r="360" spans="1:18">
      <c r="A360" s="2615"/>
      <c r="B360" s="2618" t="s">
        <v>5412</v>
      </c>
      <c r="C360" s="2622" t="s">
        <v>5234</v>
      </c>
      <c r="D360" s="2623">
        <v>47.94</v>
      </c>
      <c r="E360" s="2623">
        <v>47.465000000000003</v>
      </c>
      <c r="F360" s="2623">
        <v>45.341923999999999</v>
      </c>
      <c r="G360" s="2623">
        <v>45.191924</v>
      </c>
      <c r="H360" s="2623">
        <v>43.609872000000003</v>
      </c>
      <c r="I360" s="2623">
        <v>42.727823999999998</v>
      </c>
      <c r="J360" s="2623"/>
      <c r="K360" s="2623"/>
      <c r="L360" s="2623"/>
      <c r="M360" s="2623"/>
      <c r="N360" s="2623"/>
      <c r="O360" s="2623"/>
      <c r="P360" s="2623"/>
      <c r="Q360" s="2623"/>
      <c r="R360" s="2631"/>
    </row>
    <row r="361" spans="1:18">
      <c r="A361" s="2615"/>
      <c r="B361" s="2618" t="s">
        <v>5413</v>
      </c>
      <c r="C361" s="2622" t="s">
        <v>5232</v>
      </c>
      <c r="D361" s="2623">
        <v>47.951999999999998</v>
      </c>
      <c r="E361" s="2623">
        <v>47.576999999999998</v>
      </c>
      <c r="F361" s="2623">
        <v>46.003442999999997</v>
      </c>
      <c r="G361" s="2623">
        <v>45.791443000000001</v>
      </c>
      <c r="H361" s="2623">
        <v>44.704403999999997</v>
      </c>
      <c r="I361" s="2623">
        <v>43.943368</v>
      </c>
      <c r="J361" s="2623"/>
      <c r="K361" s="2623" t="s">
        <v>5233</v>
      </c>
      <c r="L361" s="2623">
        <v>44.752403999999999</v>
      </c>
      <c r="M361" s="2623">
        <v>45.252403999999999</v>
      </c>
      <c r="N361" s="2623">
        <v>46.051442999999999</v>
      </c>
      <c r="O361" s="2623">
        <v>46.331282999999999</v>
      </c>
      <c r="P361" s="2623">
        <v>48</v>
      </c>
      <c r="Q361" s="2623">
        <v>48.712854</v>
      </c>
      <c r="R361" s="2631">
        <v>43</v>
      </c>
    </row>
    <row r="362" spans="1:18">
      <c r="A362" s="2615"/>
      <c r="B362" s="2618" t="s">
        <v>5413</v>
      </c>
      <c r="C362" s="2622" t="s">
        <v>5234</v>
      </c>
      <c r="D362" s="2623">
        <v>47.951999999999998</v>
      </c>
      <c r="E362" s="2623">
        <v>47.576999999999998</v>
      </c>
      <c r="F362" s="2623">
        <v>46.003442999999997</v>
      </c>
      <c r="G362" s="2623">
        <v>45.871442999999999</v>
      </c>
      <c r="H362" s="2623">
        <v>44.704403999999997</v>
      </c>
      <c r="I362" s="2623">
        <v>44.023367999999998</v>
      </c>
      <c r="J362" s="2623"/>
      <c r="K362" s="2623"/>
      <c r="L362" s="2623"/>
      <c r="M362" s="2623"/>
      <c r="N362" s="2623"/>
      <c r="O362" s="2623"/>
      <c r="P362" s="2623"/>
      <c r="Q362" s="2623"/>
      <c r="R362" s="2631"/>
    </row>
    <row r="363" spans="1:18">
      <c r="A363" s="2615"/>
      <c r="B363" s="2622" t="s">
        <v>5414</v>
      </c>
      <c r="C363" s="2622" t="s">
        <v>5232</v>
      </c>
      <c r="D363" s="2623">
        <v>47.962000000000003</v>
      </c>
      <c r="E363" s="2623">
        <v>47.682000000000002</v>
      </c>
      <c r="F363" s="2623">
        <v>46.662999999999997</v>
      </c>
      <c r="G363" s="2623">
        <v>46.482999999999997</v>
      </c>
      <c r="H363" s="2623">
        <v>45.796999999999997</v>
      </c>
      <c r="I363" s="2623">
        <v>45.250999999999998</v>
      </c>
      <c r="J363" s="2623"/>
      <c r="K363" s="2623" t="s">
        <v>5233</v>
      </c>
      <c r="L363" s="2623">
        <v>45.835000000000001</v>
      </c>
      <c r="M363" s="2623">
        <v>46.21</v>
      </c>
      <c r="N363" s="2623">
        <v>46.701000000000001</v>
      </c>
      <c r="O363" s="2623">
        <v>46.936999999999998</v>
      </c>
      <c r="P363" s="2623">
        <v>48</v>
      </c>
      <c r="Q363" s="2623">
        <v>48.524999999999999</v>
      </c>
      <c r="R363" s="2631">
        <v>43</v>
      </c>
    </row>
    <row r="364" spans="1:18">
      <c r="A364" s="2615"/>
      <c r="B364" s="2622" t="s">
        <v>5414</v>
      </c>
      <c r="C364" s="2622" t="s">
        <v>5234</v>
      </c>
      <c r="D364" s="2623">
        <v>47.962000000000003</v>
      </c>
      <c r="E364" s="2623">
        <v>47.682000000000002</v>
      </c>
      <c r="F364" s="2623">
        <v>46.662999999999997</v>
      </c>
      <c r="G364" s="2623">
        <v>46.551000000000002</v>
      </c>
      <c r="H364" s="2623">
        <v>45.796999999999997</v>
      </c>
      <c r="I364" s="2623">
        <v>45.319000000000003</v>
      </c>
      <c r="J364" s="2623"/>
      <c r="K364" s="2623"/>
      <c r="L364" s="2623"/>
      <c r="M364" s="2623"/>
      <c r="N364" s="2623"/>
      <c r="O364" s="2623"/>
      <c r="P364" s="2623"/>
      <c r="Q364" s="2623"/>
      <c r="R364" s="2631"/>
    </row>
    <row r="365" spans="1:18">
      <c r="A365" s="2615"/>
      <c r="B365" s="2618" t="s">
        <v>5415</v>
      </c>
      <c r="C365" s="2622" t="s">
        <v>5232</v>
      </c>
      <c r="D365" s="2623">
        <v>47.968000000000004</v>
      </c>
      <c r="E365" s="2623">
        <v>47.731999999999999</v>
      </c>
      <c r="F365" s="2623">
        <v>46.993721499999999</v>
      </c>
      <c r="G365" s="2623">
        <v>46.833721500000003</v>
      </c>
      <c r="H365" s="2623">
        <v>46.344202000000003</v>
      </c>
      <c r="I365" s="2623">
        <v>45.909683999999999</v>
      </c>
      <c r="J365" s="2623"/>
      <c r="K365" s="2623" t="s">
        <v>5233</v>
      </c>
      <c r="L365" s="2623">
        <v>46.376201999999999</v>
      </c>
      <c r="M365" s="2623">
        <v>46.676202000000004</v>
      </c>
      <c r="N365" s="2623">
        <v>47.025721500000003</v>
      </c>
      <c r="O365" s="2623">
        <v>47.237721499999999</v>
      </c>
      <c r="P365" s="2623">
        <v>48</v>
      </c>
      <c r="Q365" s="2623">
        <v>48.428507000000003</v>
      </c>
      <c r="R365" s="2631">
        <v>45</v>
      </c>
    </row>
    <row r="366" spans="1:18">
      <c r="A366" s="2615"/>
      <c r="B366" s="2618" t="s">
        <v>5415</v>
      </c>
      <c r="C366" s="2622" t="s">
        <v>5234</v>
      </c>
      <c r="D366" s="2623">
        <v>47.968000000000004</v>
      </c>
      <c r="E366" s="2623">
        <v>47.731999999999999</v>
      </c>
      <c r="F366" s="2623">
        <v>46.993721499999999</v>
      </c>
      <c r="G366" s="2623">
        <v>46.893721499999998</v>
      </c>
      <c r="H366" s="2623">
        <v>46.344202000000003</v>
      </c>
      <c r="I366" s="2623">
        <v>45.969684000000001</v>
      </c>
      <c r="J366" s="2623"/>
      <c r="K366" s="2623"/>
      <c r="L366" s="2623"/>
      <c r="M366" s="2623"/>
      <c r="N366" s="2623"/>
      <c r="O366" s="2623"/>
      <c r="P366" s="2623"/>
      <c r="Q366" s="2623"/>
      <c r="R366" s="2631"/>
    </row>
    <row r="367" spans="1:18">
      <c r="A367" s="2615">
        <v>50</v>
      </c>
      <c r="B367" s="2618" t="s">
        <v>5416</v>
      </c>
      <c r="C367" s="2622" t="s">
        <v>5232</v>
      </c>
      <c r="D367" s="2623">
        <v>49.94</v>
      </c>
      <c r="E367" s="2623">
        <v>49.465000000000003</v>
      </c>
      <c r="F367" s="2623">
        <v>47.341923999999999</v>
      </c>
      <c r="G367" s="2623">
        <v>47.105924000000002</v>
      </c>
      <c r="H367" s="2623">
        <v>45.609872000000003</v>
      </c>
      <c r="I367" s="2623">
        <v>44.641824</v>
      </c>
      <c r="J367" s="2623"/>
      <c r="K367" s="2623" t="s">
        <v>5233</v>
      </c>
      <c r="L367" s="2623">
        <v>45.669871999999998</v>
      </c>
      <c r="M367" s="2623">
        <v>46.269871999999999</v>
      </c>
      <c r="N367" s="2623">
        <v>47.401924000000001</v>
      </c>
      <c r="O367" s="2623">
        <v>47.716923999999999</v>
      </c>
      <c r="P367" s="2623">
        <v>50</v>
      </c>
      <c r="Q367" s="2623">
        <v>50.892352000000002</v>
      </c>
      <c r="R367" s="2631">
        <v>45</v>
      </c>
    </row>
    <row r="368" spans="1:18">
      <c r="A368" s="2615"/>
      <c r="B368" s="2618" t="s">
        <v>5416</v>
      </c>
      <c r="C368" s="2622" t="s">
        <v>5234</v>
      </c>
      <c r="D368" s="2623">
        <v>49.94</v>
      </c>
      <c r="E368" s="2623">
        <v>49.465000000000003</v>
      </c>
      <c r="F368" s="2623">
        <v>47.341923999999999</v>
      </c>
      <c r="G368" s="2623">
        <v>47.191924</v>
      </c>
      <c r="H368" s="2623">
        <v>45.609872000000003</v>
      </c>
      <c r="I368" s="2623">
        <v>44.727823999999998</v>
      </c>
      <c r="J368" s="2623"/>
      <c r="K368" s="2623"/>
      <c r="L368" s="2623"/>
      <c r="M368" s="2623"/>
      <c r="N368" s="2623"/>
      <c r="O368" s="2623"/>
      <c r="P368" s="2623"/>
      <c r="Q368" s="2623"/>
      <c r="R368" s="2631"/>
    </row>
    <row r="369" spans="1:18">
      <c r="A369" s="2615"/>
      <c r="B369" s="2618" t="s">
        <v>5417</v>
      </c>
      <c r="C369" s="2622" t="s">
        <v>5232</v>
      </c>
      <c r="D369" s="2623">
        <v>49.951999999999998</v>
      </c>
      <c r="E369" s="2623">
        <v>49.576999999999998</v>
      </c>
      <c r="F369" s="2623">
        <v>48.003442999999997</v>
      </c>
      <c r="G369" s="2623">
        <v>47.791443000000001</v>
      </c>
      <c r="H369" s="2623">
        <v>46.704403999999997</v>
      </c>
      <c r="I369" s="2623">
        <v>45.943368</v>
      </c>
      <c r="J369" s="2623"/>
      <c r="K369" s="2623" t="s">
        <v>5233</v>
      </c>
      <c r="L369" s="2623">
        <v>46.752403999999999</v>
      </c>
      <c r="M369" s="2623">
        <v>47.252403999999999</v>
      </c>
      <c r="N369" s="2623">
        <v>48.051442999999999</v>
      </c>
      <c r="O369" s="2623">
        <v>48.331282999999999</v>
      </c>
      <c r="P369" s="2623">
        <v>50</v>
      </c>
      <c r="Q369" s="2623">
        <v>50.712854</v>
      </c>
      <c r="R369" s="2631">
        <v>45</v>
      </c>
    </row>
    <row r="370" spans="1:18">
      <c r="A370" s="2615"/>
      <c r="B370" s="2618" t="s">
        <v>5417</v>
      </c>
      <c r="C370" s="2622" t="s">
        <v>5234</v>
      </c>
      <c r="D370" s="2623">
        <v>49.951999999999998</v>
      </c>
      <c r="E370" s="2623">
        <v>49.576999999999998</v>
      </c>
      <c r="F370" s="2623">
        <v>48.003442999999997</v>
      </c>
      <c r="G370" s="2623">
        <v>47.871442999999999</v>
      </c>
      <c r="H370" s="2623">
        <v>46.704403999999997</v>
      </c>
      <c r="I370" s="2623">
        <v>46.023367999999998</v>
      </c>
      <c r="J370" s="2623"/>
      <c r="K370" s="2623"/>
      <c r="L370" s="2623"/>
      <c r="M370" s="2623"/>
      <c r="N370" s="2623"/>
      <c r="O370" s="2623"/>
      <c r="P370" s="2623"/>
      <c r="Q370" s="2623"/>
      <c r="R370" s="2631"/>
    </row>
    <row r="371" spans="1:18">
      <c r="A371" s="2615"/>
      <c r="B371" s="2618" t="s">
        <v>5418</v>
      </c>
      <c r="C371" s="2622" t="s">
        <v>5232</v>
      </c>
      <c r="D371" s="2623">
        <v>49.962000000000003</v>
      </c>
      <c r="E371" s="2623">
        <v>49.682000000000002</v>
      </c>
      <c r="F371" s="2623">
        <v>48.662962</v>
      </c>
      <c r="G371" s="2623">
        <v>48.482962000000001</v>
      </c>
      <c r="H371" s="2623">
        <v>47.796936000000002</v>
      </c>
      <c r="I371" s="2623">
        <v>47.250912</v>
      </c>
      <c r="J371" s="2623"/>
      <c r="K371" s="2623" t="s">
        <v>5233</v>
      </c>
      <c r="L371" s="2623">
        <v>47.834935999999999</v>
      </c>
      <c r="M371" s="2623">
        <v>48.209935999999999</v>
      </c>
      <c r="N371" s="2623">
        <v>48.700961999999997</v>
      </c>
      <c r="O371" s="2623">
        <v>48.936962000000001</v>
      </c>
      <c r="P371" s="2623">
        <v>50</v>
      </c>
      <c r="Q371" s="2623">
        <v>50.524675999999999</v>
      </c>
      <c r="R371" s="2631">
        <v>45</v>
      </c>
    </row>
    <row r="372" spans="1:18">
      <c r="A372" s="2615"/>
      <c r="B372" s="2618" t="s">
        <v>5418</v>
      </c>
      <c r="C372" s="2622" t="s">
        <v>5234</v>
      </c>
      <c r="D372" s="2623">
        <v>49.962000000000003</v>
      </c>
      <c r="E372" s="2623">
        <v>49.682000000000002</v>
      </c>
      <c r="F372" s="2623">
        <v>48.662962</v>
      </c>
      <c r="G372" s="2623">
        <v>48.550961999999998</v>
      </c>
      <c r="H372" s="2623">
        <v>47.796936000000002</v>
      </c>
      <c r="I372" s="2623">
        <v>47.318911999999997</v>
      </c>
      <c r="J372" s="2623"/>
      <c r="K372" s="2623"/>
      <c r="L372" s="2623"/>
      <c r="M372" s="2623"/>
      <c r="N372" s="2623"/>
      <c r="O372" s="2623"/>
      <c r="P372" s="2623"/>
      <c r="Q372" s="2623"/>
      <c r="R372" s="2631"/>
    </row>
    <row r="373" spans="1:18">
      <c r="A373" s="2615"/>
      <c r="B373" s="2622" t="s">
        <v>5419</v>
      </c>
      <c r="C373" s="2622" t="s">
        <v>5232</v>
      </c>
      <c r="D373" s="2623">
        <v>49.968000000000004</v>
      </c>
      <c r="E373" s="2623">
        <v>49.731999999999999</v>
      </c>
      <c r="F373" s="2623">
        <v>48.994</v>
      </c>
      <c r="G373" s="2623">
        <v>48.834000000000003</v>
      </c>
      <c r="H373" s="2623">
        <v>48.344000000000001</v>
      </c>
      <c r="I373" s="2623">
        <v>47.91</v>
      </c>
      <c r="J373" s="2623"/>
      <c r="K373" s="2623" t="s">
        <v>5233</v>
      </c>
      <c r="L373" s="2623">
        <v>48.375999999999998</v>
      </c>
      <c r="M373" s="2623">
        <v>48.676000000000002</v>
      </c>
      <c r="N373" s="2623">
        <v>49.026000000000003</v>
      </c>
      <c r="O373" s="2623">
        <v>49.238</v>
      </c>
      <c r="P373" s="2623">
        <v>50</v>
      </c>
      <c r="Q373" s="2623">
        <v>50.427999999999997</v>
      </c>
      <c r="R373" s="2631">
        <v>45</v>
      </c>
    </row>
    <row r="374" spans="1:18">
      <c r="A374" s="2615"/>
      <c r="B374" s="2622" t="s">
        <v>5419</v>
      </c>
      <c r="C374" s="2622" t="s">
        <v>5234</v>
      </c>
      <c r="D374" s="2623">
        <v>49.968000000000004</v>
      </c>
      <c r="E374" s="2623">
        <v>49.731999999999999</v>
      </c>
      <c r="F374" s="2623">
        <v>48.994</v>
      </c>
      <c r="G374" s="2623">
        <v>48.893999999999998</v>
      </c>
      <c r="H374" s="2623">
        <v>48.344000000000001</v>
      </c>
      <c r="I374" s="2623">
        <v>47.97</v>
      </c>
      <c r="J374" s="2623"/>
      <c r="K374" s="2623"/>
      <c r="L374" s="2623"/>
      <c r="M374" s="2623"/>
      <c r="N374" s="2623"/>
      <c r="O374" s="2623"/>
      <c r="P374" s="2623"/>
      <c r="Q374" s="2623"/>
      <c r="R374" s="2631"/>
    </row>
    <row r="375" spans="1:18">
      <c r="A375" s="2615">
        <v>52</v>
      </c>
      <c r="B375" s="2618" t="s">
        <v>5420</v>
      </c>
      <c r="C375" s="2622" t="s">
        <v>5232</v>
      </c>
      <c r="D375" s="2623">
        <v>51.929000000000002</v>
      </c>
      <c r="E375" s="2623">
        <v>51.399000000000001</v>
      </c>
      <c r="F375" s="2623">
        <v>48.681404999999998</v>
      </c>
      <c r="G375" s="2623">
        <v>48.445405000000001</v>
      </c>
      <c r="H375" s="2623">
        <v>46.51634</v>
      </c>
      <c r="I375" s="2623">
        <v>45.365279999999998</v>
      </c>
      <c r="J375" s="2623"/>
      <c r="K375" s="2623" t="s">
        <v>5233</v>
      </c>
      <c r="L375" s="2623">
        <v>46.587339999999998</v>
      </c>
      <c r="M375" s="2623">
        <v>47.297339999999998</v>
      </c>
      <c r="N375" s="2623">
        <v>48.752405000000003</v>
      </c>
      <c r="O375" s="2623">
        <v>49.067405000000001</v>
      </c>
      <c r="P375" s="2623">
        <v>52</v>
      </c>
      <c r="Q375" s="2623">
        <v>53.03669</v>
      </c>
      <c r="R375" s="2631">
        <v>45</v>
      </c>
    </row>
    <row r="376" spans="1:18">
      <c r="A376" s="2615"/>
      <c r="B376" s="2618" t="s">
        <v>5420</v>
      </c>
      <c r="C376" s="2622" t="s">
        <v>5234</v>
      </c>
      <c r="D376" s="2623">
        <v>51.929000000000002</v>
      </c>
      <c r="E376" s="2623">
        <v>51.399000000000001</v>
      </c>
      <c r="F376" s="2623">
        <v>48.681404999999998</v>
      </c>
      <c r="G376" s="2623">
        <v>48.531404999999999</v>
      </c>
      <c r="H376" s="2623">
        <v>46.51634</v>
      </c>
      <c r="I376" s="2623">
        <v>45.451279999999997</v>
      </c>
      <c r="J376" s="2623"/>
      <c r="K376" s="2623"/>
      <c r="L376" s="2623"/>
      <c r="M376" s="2623"/>
      <c r="N376" s="2623"/>
      <c r="O376" s="2623"/>
      <c r="P376" s="2623"/>
      <c r="Q376" s="2623"/>
      <c r="R376" s="2631"/>
    </row>
    <row r="377" spans="1:18">
      <c r="A377" s="2615"/>
      <c r="B377" s="2618" t="s">
        <v>5421</v>
      </c>
      <c r="C377" s="2622" t="s">
        <v>5232</v>
      </c>
      <c r="D377" s="2623">
        <v>51.94</v>
      </c>
      <c r="E377" s="2623">
        <v>51.465000000000003</v>
      </c>
      <c r="F377" s="2623">
        <v>49.341923999999999</v>
      </c>
      <c r="G377" s="2623">
        <v>49.105924000000002</v>
      </c>
      <c r="H377" s="2623">
        <v>47.609872000000003</v>
      </c>
      <c r="I377" s="2623">
        <v>46.641824</v>
      </c>
      <c r="J377" s="2623"/>
      <c r="K377" s="2623" t="s">
        <v>5233</v>
      </c>
      <c r="L377" s="2623">
        <v>47.669871999999998</v>
      </c>
      <c r="M377" s="2623">
        <v>48.269871999999999</v>
      </c>
      <c r="N377" s="2623">
        <v>49.401924000000001</v>
      </c>
      <c r="O377" s="2623">
        <v>49.716923999999999</v>
      </c>
      <c r="P377" s="2623">
        <v>52</v>
      </c>
      <c r="Q377" s="2623">
        <v>52.892352000000002</v>
      </c>
      <c r="R377" s="2631">
        <v>45</v>
      </c>
    </row>
    <row r="378" spans="1:18">
      <c r="A378" s="2615"/>
      <c r="B378" s="2618" t="s">
        <v>5421</v>
      </c>
      <c r="C378" s="2622" t="s">
        <v>5234</v>
      </c>
      <c r="D378" s="2623">
        <v>51.94</v>
      </c>
      <c r="E378" s="2623">
        <v>51.465000000000003</v>
      </c>
      <c r="F378" s="2623">
        <v>49.341923999999999</v>
      </c>
      <c r="G378" s="2623">
        <v>49.191924</v>
      </c>
      <c r="H378" s="2623">
        <v>47.609872000000003</v>
      </c>
      <c r="I378" s="2623">
        <v>46.727823999999998</v>
      </c>
      <c r="J378" s="2623"/>
      <c r="K378" s="2623"/>
      <c r="L378" s="2623"/>
      <c r="M378" s="2623"/>
      <c r="N378" s="2623"/>
      <c r="O378" s="2623"/>
      <c r="P378" s="2623"/>
      <c r="Q378" s="2623"/>
      <c r="R378" s="2631"/>
    </row>
    <row r="379" spans="1:18">
      <c r="A379" s="2615"/>
      <c r="B379" s="2618" t="s">
        <v>5422</v>
      </c>
      <c r="C379" s="2622" t="s">
        <v>5232</v>
      </c>
      <c r="D379" s="2623">
        <v>51.951999999999998</v>
      </c>
      <c r="E379" s="2623">
        <v>51.576999999999998</v>
      </c>
      <c r="F379" s="2623">
        <v>50.003442999999997</v>
      </c>
      <c r="G379" s="2623">
        <v>49.791443000000001</v>
      </c>
      <c r="H379" s="2623">
        <v>48.704403999999997</v>
      </c>
      <c r="I379" s="2623">
        <v>47.943368</v>
      </c>
      <c r="J379" s="2623"/>
      <c r="K379" s="2623" t="s">
        <v>5233</v>
      </c>
      <c r="L379" s="2623">
        <v>48.752403999999999</v>
      </c>
      <c r="M379" s="2623">
        <v>49.252403999999999</v>
      </c>
      <c r="N379" s="2623">
        <v>50.051442999999999</v>
      </c>
      <c r="O379" s="2623">
        <v>50.331282999999999</v>
      </c>
      <c r="P379" s="2623">
        <v>52</v>
      </c>
      <c r="Q379" s="2623">
        <v>52.712854</v>
      </c>
      <c r="R379" s="2631">
        <v>45</v>
      </c>
    </row>
    <row r="380" spans="1:18">
      <c r="A380" s="2615"/>
      <c r="B380" s="2618" t="s">
        <v>5422</v>
      </c>
      <c r="C380" s="2622" t="s">
        <v>5234</v>
      </c>
      <c r="D380" s="2623">
        <v>51.951999999999998</v>
      </c>
      <c r="E380" s="2623">
        <v>51.576999999999998</v>
      </c>
      <c r="F380" s="2623">
        <v>50.003442999999997</v>
      </c>
      <c r="G380" s="2623">
        <v>49.871442999999999</v>
      </c>
      <c r="H380" s="2623">
        <v>48.704403999999997</v>
      </c>
      <c r="I380" s="2623">
        <v>48.023367999999998</v>
      </c>
      <c r="J380" s="2623"/>
      <c r="K380" s="2623"/>
      <c r="L380" s="2623"/>
      <c r="M380" s="2623"/>
      <c r="N380" s="2623"/>
      <c r="O380" s="2623"/>
      <c r="P380" s="2623"/>
      <c r="Q380" s="2623"/>
      <c r="R380" s="2631"/>
    </row>
    <row r="381" spans="1:18">
      <c r="A381" s="2615"/>
      <c r="B381" s="2618" t="s">
        <v>5423</v>
      </c>
      <c r="C381" s="2622" t="s">
        <v>5232</v>
      </c>
      <c r="D381" s="2623">
        <v>51.962000000000003</v>
      </c>
      <c r="E381" s="2623">
        <v>51.682000000000002</v>
      </c>
      <c r="F381" s="2623">
        <v>50.662962</v>
      </c>
      <c r="G381" s="2623">
        <v>50.482962000000001</v>
      </c>
      <c r="H381" s="2623">
        <v>49.796936000000002</v>
      </c>
      <c r="I381" s="2623">
        <v>49.250912</v>
      </c>
      <c r="J381" s="2623"/>
      <c r="K381" s="2623" t="s">
        <v>5233</v>
      </c>
      <c r="L381" s="2623">
        <v>49.834935999999999</v>
      </c>
      <c r="M381" s="2623">
        <v>50.209935999999999</v>
      </c>
      <c r="N381" s="2623">
        <v>50.700961999999997</v>
      </c>
      <c r="O381" s="2623">
        <v>50.936962000000001</v>
      </c>
      <c r="P381" s="2623">
        <v>52</v>
      </c>
      <c r="Q381" s="2623">
        <v>52.524675999999999</v>
      </c>
      <c r="R381" s="2631">
        <v>48</v>
      </c>
    </row>
    <row r="382" spans="1:18">
      <c r="A382" s="2615"/>
      <c r="B382" s="2618" t="s">
        <v>5423</v>
      </c>
      <c r="C382" s="2622" t="s">
        <v>5234</v>
      </c>
      <c r="D382" s="2623">
        <v>51.962000000000003</v>
      </c>
      <c r="E382" s="2623">
        <v>51.682000000000002</v>
      </c>
      <c r="F382" s="2623">
        <v>50.662962</v>
      </c>
      <c r="G382" s="2623">
        <v>50.550961999999998</v>
      </c>
      <c r="H382" s="2623">
        <v>49.796936000000002</v>
      </c>
      <c r="I382" s="2623">
        <v>49.318911999999997</v>
      </c>
      <c r="J382" s="2623"/>
      <c r="K382" s="2623"/>
      <c r="L382" s="2623"/>
      <c r="M382" s="2623"/>
      <c r="N382" s="2623"/>
      <c r="O382" s="2623"/>
      <c r="P382" s="2623"/>
      <c r="Q382" s="2623"/>
      <c r="R382" s="2631"/>
    </row>
    <row r="383" spans="1:18">
      <c r="A383" s="2615"/>
      <c r="B383" s="2618" t="s">
        <v>5424</v>
      </c>
      <c r="C383" s="2622" t="s">
        <v>5232</v>
      </c>
      <c r="D383" s="2623">
        <v>51.968000000000004</v>
      </c>
      <c r="E383" s="2623">
        <v>51.731999999999999</v>
      </c>
      <c r="F383" s="2623">
        <v>50.993721499999999</v>
      </c>
      <c r="G383" s="2623">
        <v>50.833721500000003</v>
      </c>
      <c r="H383" s="2623">
        <v>50.344202000000003</v>
      </c>
      <c r="I383" s="2623">
        <v>49.909683999999999</v>
      </c>
      <c r="J383" s="2623"/>
      <c r="K383" s="2623" t="s">
        <v>5233</v>
      </c>
      <c r="L383" s="2623">
        <v>50.376201999999999</v>
      </c>
      <c r="M383" s="2623">
        <v>50.676202000000004</v>
      </c>
      <c r="N383" s="2623">
        <v>51.025721500000003</v>
      </c>
      <c r="O383" s="2623">
        <v>51.237721499999999</v>
      </c>
      <c r="P383" s="2623">
        <v>52</v>
      </c>
      <c r="Q383" s="2623">
        <v>52.428507000000003</v>
      </c>
      <c r="R383" s="2631">
        <v>48</v>
      </c>
    </row>
    <row r="384" spans="1:18">
      <c r="A384" s="2615"/>
      <c r="B384" s="2618" t="s">
        <v>5424</v>
      </c>
      <c r="C384" s="2622" t="s">
        <v>5234</v>
      </c>
      <c r="D384" s="2623">
        <v>51.968000000000004</v>
      </c>
      <c r="E384" s="2623">
        <v>51.731999999999999</v>
      </c>
      <c r="F384" s="2623">
        <v>50.993721499999999</v>
      </c>
      <c r="G384" s="2623">
        <v>50.893721499999998</v>
      </c>
      <c r="H384" s="2623">
        <v>50.344202000000003</v>
      </c>
      <c r="I384" s="2623">
        <v>49.969684000000001</v>
      </c>
      <c r="J384" s="2623"/>
      <c r="K384" s="2623"/>
      <c r="L384" s="2623"/>
      <c r="M384" s="2623"/>
      <c r="N384" s="2623"/>
      <c r="O384" s="2623"/>
      <c r="P384" s="2623"/>
      <c r="Q384" s="2623"/>
      <c r="R384" s="2631"/>
    </row>
    <row r="385" spans="1:18">
      <c r="A385" s="2615">
        <v>55</v>
      </c>
      <c r="B385" s="2618" t="s">
        <v>5425</v>
      </c>
      <c r="C385" s="2622" t="s">
        <v>5232</v>
      </c>
      <c r="D385" s="2623">
        <v>54.94</v>
      </c>
      <c r="E385" s="2623">
        <v>54.465000000000003</v>
      </c>
      <c r="F385" s="2623">
        <v>52.341923999999999</v>
      </c>
      <c r="G385" s="2623">
        <v>52.105924000000002</v>
      </c>
      <c r="H385" s="2623">
        <v>50.609872000000003</v>
      </c>
      <c r="I385" s="2623">
        <v>49.641824</v>
      </c>
      <c r="J385" s="2623"/>
      <c r="K385" s="2623" t="s">
        <v>5233</v>
      </c>
      <c r="L385" s="2623">
        <v>50.669871999999998</v>
      </c>
      <c r="M385" s="2623">
        <v>51.269871999999999</v>
      </c>
      <c r="N385" s="2623">
        <v>52.401924000000001</v>
      </c>
      <c r="O385" s="2623">
        <v>52.716923999999999</v>
      </c>
      <c r="P385" s="2623">
        <v>55</v>
      </c>
      <c r="Q385" s="2623">
        <v>55.892352000000002</v>
      </c>
      <c r="R385" s="2631">
        <v>48</v>
      </c>
    </row>
    <row r="386" spans="1:18">
      <c r="A386" s="2615"/>
      <c r="B386" s="2618" t="s">
        <v>5425</v>
      </c>
      <c r="C386" s="2622" t="s">
        <v>5234</v>
      </c>
      <c r="D386" s="2623">
        <v>54.94</v>
      </c>
      <c r="E386" s="2623">
        <v>54.465000000000003</v>
      </c>
      <c r="F386" s="2623">
        <v>52.341923999999999</v>
      </c>
      <c r="G386" s="2623">
        <v>52.191924</v>
      </c>
      <c r="H386" s="2623">
        <v>50.609872000000003</v>
      </c>
      <c r="I386" s="2623">
        <v>49.727823999999998</v>
      </c>
      <c r="J386" s="2623"/>
      <c r="K386" s="2623"/>
      <c r="L386" s="2623"/>
      <c r="M386" s="2623"/>
      <c r="N386" s="2623"/>
      <c r="O386" s="2623"/>
      <c r="P386" s="2623"/>
      <c r="Q386" s="2623"/>
      <c r="R386" s="2631"/>
    </row>
    <row r="387" spans="1:18">
      <c r="A387" s="2615"/>
      <c r="B387" s="2618" t="s">
        <v>5426</v>
      </c>
      <c r="C387" s="2622" t="s">
        <v>5232</v>
      </c>
      <c r="D387" s="2623">
        <v>54.951999999999998</v>
      </c>
      <c r="E387" s="2623">
        <v>54.576999999999998</v>
      </c>
      <c r="F387" s="2623">
        <v>53.003442999999997</v>
      </c>
      <c r="G387" s="2623">
        <v>52.791443000000001</v>
      </c>
      <c r="H387" s="2623">
        <v>51.704403999999997</v>
      </c>
      <c r="I387" s="2623">
        <v>50.943368</v>
      </c>
      <c r="J387" s="2623"/>
      <c r="K387" s="2623" t="s">
        <v>5233</v>
      </c>
      <c r="L387" s="2623">
        <v>51.752403999999999</v>
      </c>
      <c r="M387" s="2623">
        <v>52.252403999999999</v>
      </c>
      <c r="N387" s="2623">
        <v>53.051442999999999</v>
      </c>
      <c r="O387" s="2623">
        <v>53.331282999999999</v>
      </c>
      <c r="P387" s="2623">
        <v>55</v>
      </c>
      <c r="Q387" s="2623">
        <v>55.712854</v>
      </c>
      <c r="R387" s="2631">
        <v>48</v>
      </c>
    </row>
    <row r="388" spans="1:18">
      <c r="A388" s="2615"/>
      <c r="B388" s="2618" t="s">
        <v>5426</v>
      </c>
      <c r="C388" s="2622" t="s">
        <v>5234</v>
      </c>
      <c r="D388" s="2623">
        <v>54.951999999999998</v>
      </c>
      <c r="E388" s="2623">
        <v>54.576999999999998</v>
      </c>
      <c r="F388" s="2623">
        <v>53.003442999999997</v>
      </c>
      <c r="G388" s="2623">
        <v>52.871442999999999</v>
      </c>
      <c r="H388" s="2623">
        <v>51.704403999999997</v>
      </c>
      <c r="I388" s="2623">
        <v>51.023367999999998</v>
      </c>
      <c r="J388" s="2623"/>
      <c r="K388" s="2623"/>
      <c r="L388" s="2623"/>
      <c r="M388" s="2623"/>
      <c r="N388" s="2623"/>
      <c r="O388" s="2623"/>
      <c r="P388" s="2623"/>
      <c r="Q388" s="2623"/>
      <c r="R388" s="2631"/>
    </row>
    <row r="389" spans="1:18">
      <c r="A389" s="2615"/>
      <c r="B389" s="2618" t="s">
        <v>5427</v>
      </c>
      <c r="C389" s="2622" t="s">
        <v>5232</v>
      </c>
      <c r="D389" s="2623">
        <v>54.962000000000003</v>
      </c>
      <c r="E389" s="2623">
        <v>54.682000000000002</v>
      </c>
      <c r="F389" s="2623">
        <v>53.662962</v>
      </c>
      <c r="G389" s="2623">
        <v>53.482962000000001</v>
      </c>
      <c r="H389" s="2623">
        <v>52.796936000000002</v>
      </c>
      <c r="I389" s="2623">
        <v>52.250912</v>
      </c>
      <c r="J389" s="2623"/>
      <c r="K389" s="2623" t="s">
        <v>5233</v>
      </c>
      <c r="L389" s="2623">
        <v>52.834935999999999</v>
      </c>
      <c r="M389" s="2623">
        <v>53.209935999999999</v>
      </c>
      <c r="N389" s="2623">
        <v>53.700961999999997</v>
      </c>
      <c r="O389" s="2623">
        <v>53.936962000000001</v>
      </c>
      <c r="P389" s="2623">
        <v>55</v>
      </c>
      <c r="Q389" s="2623">
        <v>55.524675999999999</v>
      </c>
      <c r="R389" s="2631">
        <v>50</v>
      </c>
    </row>
    <row r="390" spans="1:18">
      <c r="A390" s="2615"/>
      <c r="B390" s="2618" t="s">
        <v>5427</v>
      </c>
      <c r="C390" s="2622" t="s">
        <v>5234</v>
      </c>
      <c r="D390" s="2623">
        <v>54.962000000000003</v>
      </c>
      <c r="E390" s="2623">
        <v>54.682000000000002</v>
      </c>
      <c r="F390" s="2623">
        <v>53.662962</v>
      </c>
      <c r="G390" s="2623">
        <v>53.550961999999998</v>
      </c>
      <c r="H390" s="2623">
        <v>52.796936000000002</v>
      </c>
      <c r="I390" s="2623">
        <v>52.318911999999997</v>
      </c>
      <c r="J390" s="2623"/>
      <c r="K390" s="2623"/>
      <c r="L390" s="2623"/>
      <c r="M390" s="2623"/>
      <c r="N390" s="2623"/>
      <c r="O390" s="2623"/>
      <c r="P390" s="2623"/>
      <c r="Q390" s="2623"/>
      <c r="R390" s="2631"/>
    </row>
    <row r="391" spans="1:18">
      <c r="A391" s="2615"/>
      <c r="B391" s="2622" t="s">
        <v>5428</v>
      </c>
      <c r="C391" s="2622" t="s">
        <v>5232</v>
      </c>
      <c r="D391" s="2623">
        <v>54.968000000000004</v>
      </c>
      <c r="E391" s="2623">
        <v>54.731999999999999</v>
      </c>
      <c r="F391" s="2623">
        <v>53.994</v>
      </c>
      <c r="G391" s="2623">
        <v>53.834000000000003</v>
      </c>
      <c r="H391" s="2623">
        <v>53.344000000000001</v>
      </c>
      <c r="I391" s="2623">
        <v>52.91</v>
      </c>
      <c r="J391" s="2623"/>
      <c r="K391" s="2623" t="s">
        <v>5233</v>
      </c>
      <c r="L391" s="2623">
        <v>53.375999999999998</v>
      </c>
      <c r="M391" s="2623">
        <v>53.676000000000002</v>
      </c>
      <c r="N391" s="2623">
        <v>54.026000000000003</v>
      </c>
      <c r="O391" s="2623">
        <v>54.238</v>
      </c>
      <c r="P391" s="2623">
        <v>55</v>
      </c>
      <c r="Q391" s="2623">
        <v>55.427999999999997</v>
      </c>
      <c r="R391" s="2631">
        <v>50</v>
      </c>
    </row>
    <row r="392" spans="1:18">
      <c r="A392" s="2615"/>
      <c r="B392" s="2622" t="s">
        <v>5428</v>
      </c>
      <c r="C392" s="2622" t="s">
        <v>5234</v>
      </c>
      <c r="D392" s="2623">
        <v>54.968000000000004</v>
      </c>
      <c r="E392" s="2623">
        <v>54.731999999999999</v>
      </c>
      <c r="F392" s="2623">
        <v>53.994</v>
      </c>
      <c r="G392" s="2623">
        <v>53.893999999999998</v>
      </c>
      <c r="H392" s="2623">
        <v>53.344000000000001</v>
      </c>
      <c r="I392" s="2623">
        <v>52.97</v>
      </c>
      <c r="J392" s="2623"/>
      <c r="K392" s="2623"/>
      <c r="L392" s="2623"/>
      <c r="M392" s="2623"/>
      <c r="N392" s="2623"/>
      <c r="O392" s="2623"/>
      <c r="P392" s="2623"/>
      <c r="Q392" s="2623"/>
      <c r="R392" s="2631"/>
    </row>
    <row r="393" spans="1:18">
      <c r="A393" s="2615">
        <v>56</v>
      </c>
      <c r="B393" s="2618" t="s">
        <v>5429</v>
      </c>
      <c r="C393" s="2622" t="s">
        <v>5232</v>
      </c>
      <c r="D393" s="2623">
        <v>55.914999999999999</v>
      </c>
      <c r="E393" s="2623">
        <v>55.284999999999997</v>
      </c>
      <c r="F393" s="2623">
        <v>51.693126499999998</v>
      </c>
      <c r="G393" s="2623">
        <v>51.393126500000001</v>
      </c>
      <c r="H393" s="2623">
        <v>48.878542000000003</v>
      </c>
      <c r="I393" s="2623">
        <v>47.388964000000001</v>
      </c>
      <c r="J393" s="2623"/>
      <c r="K393" s="2623" t="s">
        <v>5233</v>
      </c>
      <c r="L393" s="2623">
        <v>48.963541999999997</v>
      </c>
      <c r="M393" s="2623">
        <v>49.813541999999998</v>
      </c>
      <c r="N393" s="2623">
        <v>51.778126499999999</v>
      </c>
      <c r="O393" s="2623">
        <v>52.178126499999998</v>
      </c>
      <c r="P393" s="2623">
        <v>56</v>
      </c>
      <c r="Q393" s="2623">
        <v>57.338197000000001</v>
      </c>
      <c r="R393" s="2631">
        <v>48</v>
      </c>
    </row>
    <row r="394" spans="1:18">
      <c r="A394" s="2615"/>
      <c r="B394" s="2618" t="s">
        <v>5429</v>
      </c>
      <c r="C394" s="2622" t="s">
        <v>5234</v>
      </c>
      <c r="D394" s="2623">
        <v>55.914999999999999</v>
      </c>
      <c r="E394" s="2623">
        <v>55.284999999999997</v>
      </c>
      <c r="F394" s="2623">
        <v>51.693126499999998</v>
      </c>
      <c r="G394" s="2623">
        <v>51.5031265</v>
      </c>
      <c r="H394" s="2623">
        <v>48.878542000000003</v>
      </c>
      <c r="I394" s="2623">
        <v>47.498964000000001</v>
      </c>
      <c r="J394" s="2623"/>
      <c r="K394" s="2623"/>
      <c r="L394" s="2623"/>
      <c r="M394" s="2623"/>
      <c r="N394" s="2623"/>
      <c r="O394" s="2623"/>
      <c r="P394" s="2623"/>
      <c r="Q394" s="2623"/>
      <c r="R394" s="2631"/>
    </row>
    <row r="395" spans="1:18">
      <c r="A395" s="2615"/>
      <c r="B395" s="2622" t="s">
        <v>5430</v>
      </c>
      <c r="C395" s="2622" t="s">
        <v>5232</v>
      </c>
      <c r="D395" s="2623">
        <v>55.924999999999997</v>
      </c>
      <c r="E395" s="2623">
        <v>55.365000000000002</v>
      </c>
      <c r="F395" s="2623">
        <v>52.353000000000002</v>
      </c>
      <c r="G395" s="2623">
        <v>52.088000000000001</v>
      </c>
      <c r="H395" s="2623">
        <v>49.970999999999997</v>
      </c>
      <c r="I395" s="2623">
        <v>48.7</v>
      </c>
      <c r="J395" s="2623"/>
      <c r="K395" s="2623" t="s">
        <v>5233</v>
      </c>
      <c r="L395" s="2623">
        <v>50.045999999999999</v>
      </c>
      <c r="M395" s="2623">
        <v>50.795999999999999</v>
      </c>
      <c r="N395" s="2623">
        <v>52.427999999999997</v>
      </c>
      <c r="O395" s="2623">
        <v>52.783000000000001</v>
      </c>
      <c r="P395" s="2623">
        <v>56</v>
      </c>
      <c r="Q395" s="2623">
        <v>57.149000000000001</v>
      </c>
      <c r="R395" s="2631">
        <v>50.5</v>
      </c>
    </row>
    <row r="396" spans="1:18">
      <c r="A396" s="2615"/>
      <c r="B396" s="2622" t="s">
        <v>5430</v>
      </c>
      <c r="C396" s="2622" t="s">
        <v>5234</v>
      </c>
      <c r="D396" s="2623">
        <v>55.924999999999997</v>
      </c>
      <c r="E396" s="2623">
        <v>55.365000000000002</v>
      </c>
      <c r="F396" s="2623">
        <v>52.353000000000002</v>
      </c>
      <c r="G396" s="2623">
        <v>52.183</v>
      </c>
      <c r="H396" s="2623">
        <v>49.970999999999997</v>
      </c>
      <c r="I396" s="2623">
        <v>48.795000000000002</v>
      </c>
      <c r="J396" s="2623"/>
      <c r="K396" s="2623"/>
      <c r="L396" s="2623"/>
      <c r="M396" s="2623"/>
      <c r="N396" s="2623"/>
      <c r="O396" s="2623"/>
      <c r="P396" s="2623"/>
      <c r="Q396" s="2623"/>
      <c r="R396" s="2631"/>
    </row>
    <row r="397" spans="1:18">
      <c r="A397" s="2615"/>
      <c r="B397" s="2618" t="s">
        <v>5431</v>
      </c>
      <c r="C397" s="2622" t="s">
        <v>5232</v>
      </c>
      <c r="D397" s="2623">
        <v>55.94</v>
      </c>
      <c r="E397" s="2623">
        <v>55.465000000000003</v>
      </c>
      <c r="F397" s="2623">
        <v>53.341923999999999</v>
      </c>
      <c r="G397" s="2623">
        <v>53.105924000000002</v>
      </c>
      <c r="H397" s="2623">
        <v>51.609872000000003</v>
      </c>
      <c r="I397" s="2623">
        <v>50.641824</v>
      </c>
      <c r="J397" s="2623"/>
      <c r="K397" s="2623" t="s">
        <v>5233</v>
      </c>
      <c r="L397" s="2623">
        <v>51.669871999999998</v>
      </c>
      <c r="M397" s="2623">
        <v>52.269871999999999</v>
      </c>
      <c r="N397" s="2623">
        <v>53.401924000000001</v>
      </c>
      <c r="O397" s="2623">
        <v>53.716923999999999</v>
      </c>
      <c r="P397" s="2623">
        <v>56</v>
      </c>
      <c r="Q397" s="2623">
        <v>56.892352000000002</v>
      </c>
      <c r="R397" s="2631">
        <v>50</v>
      </c>
    </row>
    <row r="398" spans="1:18">
      <c r="A398" s="2615"/>
      <c r="B398" s="2618" t="s">
        <v>5431</v>
      </c>
      <c r="C398" s="2622" t="s">
        <v>5234</v>
      </c>
      <c r="D398" s="2623">
        <v>55.94</v>
      </c>
      <c r="E398" s="2623">
        <v>55.465000000000003</v>
      </c>
      <c r="F398" s="2623">
        <v>53.341923999999999</v>
      </c>
      <c r="G398" s="2623">
        <v>53.191924</v>
      </c>
      <c r="H398" s="2623">
        <v>51.609872000000003</v>
      </c>
      <c r="I398" s="2623">
        <v>50.727823999999998</v>
      </c>
      <c r="J398" s="2623"/>
      <c r="K398" s="2623"/>
      <c r="L398" s="2623"/>
      <c r="M398" s="2623"/>
      <c r="N398" s="2623"/>
      <c r="O398" s="2623"/>
      <c r="P398" s="2623"/>
      <c r="Q398" s="2623"/>
      <c r="R398" s="2631"/>
    </row>
    <row r="399" spans="1:18">
      <c r="A399" s="2615"/>
      <c r="B399" s="2618" t="s">
        <v>5432</v>
      </c>
      <c r="C399" s="2622" t="s">
        <v>5232</v>
      </c>
      <c r="D399" s="2623">
        <v>55.951999999999998</v>
      </c>
      <c r="E399" s="2623">
        <v>55.576999999999998</v>
      </c>
      <c r="F399" s="2623">
        <v>54.003442999999997</v>
      </c>
      <c r="G399" s="2623">
        <v>53.791443000000001</v>
      </c>
      <c r="H399" s="2623">
        <v>52.704403999999997</v>
      </c>
      <c r="I399" s="2623">
        <v>51.943368</v>
      </c>
      <c r="J399" s="2623"/>
      <c r="K399" s="2623" t="s">
        <v>5233</v>
      </c>
      <c r="L399" s="2623">
        <v>52.752403999999999</v>
      </c>
      <c r="M399" s="2623">
        <v>53.252403999999999</v>
      </c>
      <c r="N399" s="2623">
        <v>54.051442999999999</v>
      </c>
      <c r="O399" s="2623">
        <v>54.331282999999999</v>
      </c>
      <c r="P399" s="2623">
        <v>56</v>
      </c>
      <c r="Q399" s="2623">
        <v>56.712854</v>
      </c>
      <c r="R399" s="2631">
        <v>50</v>
      </c>
    </row>
    <row r="400" spans="1:18">
      <c r="A400" s="2615"/>
      <c r="B400" s="2618" t="s">
        <v>5432</v>
      </c>
      <c r="C400" s="2622" t="s">
        <v>5234</v>
      </c>
      <c r="D400" s="2623">
        <v>55.951999999999998</v>
      </c>
      <c r="E400" s="2623">
        <v>55.576999999999998</v>
      </c>
      <c r="F400" s="2623">
        <v>54.003442999999997</v>
      </c>
      <c r="G400" s="2623">
        <v>53.871442999999999</v>
      </c>
      <c r="H400" s="2623">
        <v>52.704403999999997</v>
      </c>
      <c r="I400" s="2623">
        <v>52.023367999999998</v>
      </c>
      <c r="J400" s="2623"/>
      <c r="K400" s="2623"/>
      <c r="L400" s="2623"/>
      <c r="M400" s="2623"/>
      <c r="N400" s="2623"/>
      <c r="O400" s="2623"/>
      <c r="P400" s="2623"/>
      <c r="Q400" s="2623"/>
      <c r="R400" s="2631"/>
    </row>
    <row r="401" spans="1:18">
      <c r="A401" s="2615"/>
      <c r="B401" s="2622" t="s">
        <v>5433</v>
      </c>
      <c r="C401" s="2622" t="s">
        <v>5232</v>
      </c>
      <c r="D401" s="2623">
        <v>55.962000000000003</v>
      </c>
      <c r="E401" s="2623">
        <v>55.682000000000002</v>
      </c>
      <c r="F401" s="2623">
        <v>54.662999999999997</v>
      </c>
      <c r="G401" s="2623">
        <v>54.482999999999997</v>
      </c>
      <c r="H401" s="2623">
        <v>53.796999999999997</v>
      </c>
      <c r="I401" s="2623">
        <v>53.250999999999998</v>
      </c>
      <c r="J401" s="2623"/>
      <c r="K401" s="2623" t="s">
        <v>5233</v>
      </c>
      <c r="L401" s="2623">
        <v>53.835000000000001</v>
      </c>
      <c r="M401" s="2623">
        <v>54.21</v>
      </c>
      <c r="N401" s="2623">
        <v>54.701000000000001</v>
      </c>
      <c r="O401" s="2623">
        <v>54.936999999999998</v>
      </c>
      <c r="P401" s="2623">
        <v>56</v>
      </c>
      <c r="Q401" s="2623">
        <v>56.524999999999999</v>
      </c>
      <c r="R401" s="2631">
        <v>50.5</v>
      </c>
    </row>
    <row r="402" spans="1:18">
      <c r="A402" s="2615"/>
      <c r="B402" s="2622" t="s">
        <v>5433</v>
      </c>
      <c r="C402" s="2622" t="s">
        <v>5234</v>
      </c>
      <c r="D402" s="2623">
        <v>55.962000000000003</v>
      </c>
      <c r="E402" s="2623">
        <v>55.682000000000002</v>
      </c>
      <c r="F402" s="2623">
        <v>54.662999999999997</v>
      </c>
      <c r="G402" s="2623">
        <v>54.551000000000002</v>
      </c>
      <c r="H402" s="2623">
        <v>53.796999999999997</v>
      </c>
      <c r="I402" s="2623">
        <v>53.319000000000003</v>
      </c>
      <c r="J402" s="2623"/>
      <c r="K402" s="2623"/>
      <c r="L402" s="2623"/>
      <c r="M402" s="2623"/>
      <c r="N402" s="2623"/>
      <c r="O402" s="2623"/>
      <c r="P402" s="2623"/>
      <c r="Q402" s="2623"/>
      <c r="R402" s="2631"/>
    </row>
    <row r="403" spans="1:18">
      <c r="A403" s="2615"/>
      <c r="B403" s="2618" t="s">
        <v>5434</v>
      </c>
      <c r="C403" s="2622" t="s">
        <v>5232</v>
      </c>
      <c r="D403" s="2623">
        <v>55.968000000000004</v>
      </c>
      <c r="E403" s="2623">
        <v>55.731999999999999</v>
      </c>
      <c r="F403" s="2623">
        <v>54.993721499999999</v>
      </c>
      <c r="G403" s="2623">
        <v>54.833721500000003</v>
      </c>
      <c r="H403" s="2623">
        <v>54.344202000000003</v>
      </c>
      <c r="I403" s="2623">
        <v>53.909683999999999</v>
      </c>
      <c r="J403" s="2623"/>
      <c r="K403" s="2623" t="s">
        <v>5233</v>
      </c>
      <c r="L403" s="2623">
        <v>54.376201999999999</v>
      </c>
      <c r="M403" s="2623">
        <v>54.676202000000004</v>
      </c>
      <c r="N403" s="2623">
        <v>55.025721500000003</v>
      </c>
      <c r="O403" s="2623">
        <v>55.237721499999999</v>
      </c>
      <c r="P403" s="2623">
        <v>56</v>
      </c>
      <c r="Q403" s="2623">
        <v>56.428507000000003</v>
      </c>
      <c r="R403" s="2631">
        <v>52</v>
      </c>
    </row>
    <row r="404" spans="1:18">
      <c r="A404" s="2615"/>
      <c r="B404" s="2618" t="s">
        <v>5434</v>
      </c>
      <c r="C404" s="2622" t="s">
        <v>5234</v>
      </c>
      <c r="D404" s="2623">
        <v>55.968000000000004</v>
      </c>
      <c r="E404" s="2623">
        <v>55.731999999999999</v>
      </c>
      <c r="F404" s="2623">
        <v>54.993721499999999</v>
      </c>
      <c r="G404" s="2623">
        <v>54.893721499999998</v>
      </c>
      <c r="H404" s="2623">
        <v>54.344202000000003</v>
      </c>
      <c r="I404" s="2623">
        <v>53.969684000000001</v>
      </c>
      <c r="J404" s="2623"/>
      <c r="K404" s="2623"/>
      <c r="L404" s="2623"/>
      <c r="M404" s="2623"/>
      <c r="N404" s="2623"/>
      <c r="O404" s="2623"/>
      <c r="P404" s="2623"/>
      <c r="Q404" s="2623"/>
      <c r="R404" s="2631"/>
    </row>
    <row r="405" spans="1:18">
      <c r="A405" s="2615"/>
      <c r="B405" s="2618" t="s">
        <v>5435</v>
      </c>
      <c r="C405" s="2622" t="s">
        <v>5232</v>
      </c>
      <c r="D405" s="2623">
        <v>55.973999999999997</v>
      </c>
      <c r="E405" s="2623">
        <v>55.793999999999997</v>
      </c>
      <c r="F405" s="2623">
        <v>55.324480999999999</v>
      </c>
      <c r="G405" s="2623">
        <v>55.184480999999998</v>
      </c>
      <c r="H405" s="2623">
        <v>54.891468000000003</v>
      </c>
      <c r="I405" s="2623">
        <v>54.568455999999998</v>
      </c>
      <c r="J405" s="2623"/>
      <c r="K405" s="2623" t="s">
        <v>5233</v>
      </c>
      <c r="L405" s="2623">
        <v>54.917468</v>
      </c>
      <c r="M405" s="2623">
        <v>55.153467999999997</v>
      </c>
      <c r="N405" s="2623">
        <v>55.350481000000002</v>
      </c>
      <c r="O405" s="2623">
        <v>55.540481</v>
      </c>
      <c r="P405" s="2623">
        <v>56</v>
      </c>
      <c r="Q405" s="2623">
        <v>56.334338000000002</v>
      </c>
      <c r="R405" s="2631">
        <v>52</v>
      </c>
    </row>
    <row r="406" spans="1:18">
      <c r="A406" s="2615"/>
      <c r="B406" s="2618" t="s">
        <v>5435</v>
      </c>
      <c r="C406" s="2622" t="s">
        <v>5234</v>
      </c>
      <c r="D406" s="2623">
        <v>55.973999999999997</v>
      </c>
      <c r="E406" s="2623">
        <v>55.793999999999997</v>
      </c>
      <c r="F406" s="2623">
        <v>55.324480999999999</v>
      </c>
      <c r="G406" s="2623">
        <v>55.234481000000002</v>
      </c>
      <c r="H406" s="2623">
        <v>54.891468000000003</v>
      </c>
      <c r="I406" s="2623">
        <v>54.618456000000002</v>
      </c>
      <c r="J406" s="2623"/>
      <c r="K406" s="2623"/>
      <c r="L406" s="2623"/>
      <c r="M406" s="2623"/>
      <c r="N406" s="2623"/>
      <c r="O406" s="2623"/>
      <c r="P406" s="2623"/>
      <c r="Q406" s="2623"/>
      <c r="R406" s="2631"/>
    </row>
    <row r="407" spans="1:18">
      <c r="A407" s="2615">
        <v>58</v>
      </c>
      <c r="B407" s="2618" t="s">
        <v>5436</v>
      </c>
      <c r="C407" s="2622" t="s">
        <v>5232</v>
      </c>
      <c r="D407" s="2623">
        <v>57.94</v>
      </c>
      <c r="E407" s="2623">
        <v>57.465000000000003</v>
      </c>
      <c r="F407" s="2623">
        <v>55.341923999999999</v>
      </c>
      <c r="G407" s="2623">
        <v>55.105924000000002</v>
      </c>
      <c r="H407" s="2623">
        <v>53.609872000000003</v>
      </c>
      <c r="I407" s="2623">
        <v>52.641824</v>
      </c>
      <c r="J407" s="2623"/>
      <c r="K407" s="2623" t="s">
        <v>5233</v>
      </c>
      <c r="L407" s="2623">
        <v>53.669871999999998</v>
      </c>
      <c r="M407" s="2623">
        <v>54.269871999999999</v>
      </c>
      <c r="N407" s="2623">
        <v>55.401924000000001</v>
      </c>
      <c r="O407" s="2623">
        <v>55.716923999999999</v>
      </c>
      <c r="P407" s="2623">
        <v>58</v>
      </c>
      <c r="Q407" s="2623">
        <v>58.892352000000002</v>
      </c>
      <c r="R407" s="2631">
        <v>50.5</v>
      </c>
    </row>
    <row r="408" spans="1:18">
      <c r="A408" s="2615"/>
      <c r="B408" s="2618" t="s">
        <v>5436</v>
      </c>
      <c r="C408" s="2622" t="s">
        <v>5234</v>
      </c>
      <c r="D408" s="2623">
        <v>57.94</v>
      </c>
      <c r="E408" s="2623">
        <v>57.465000000000003</v>
      </c>
      <c r="F408" s="2623">
        <v>55.341923999999999</v>
      </c>
      <c r="G408" s="2623">
        <v>55.191924</v>
      </c>
      <c r="H408" s="2623">
        <v>53.609872000000003</v>
      </c>
      <c r="I408" s="2623">
        <v>52.727823999999998</v>
      </c>
      <c r="J408" s="2623"/>
      <c r="K408" s="2623"/>
      <c r="L408" s="2623"/>
      <c r="M408" s="2623"/>
      <c r="N408" s="2623"/>
      <c r="O408" s="2623"/>
      <c r="P408" s="2623"/>
      <c r="Q408" s="2623"/>
      <c r="R408" s="2631"/>
    </row>
    <row r="409" spans="1:18">
      <c r="A409" s="2615"/>
      <c r="B409" s="2618" t="s">
        <v>5437</v>
      </c>
      <c r="C409" s="2622" t="s">
        <v>5232</v>
      </c>
      <c r="D409" s="2623">
        <v>57.951999999999998</v>
      </c>
      <c r="E409" s="2623">
        <v>57.576999999999998</v>
      </c>
      <c r="F409" s="2623">
        <v>56.003442999999997</v>
      </c>
      <c r="G409" s="2623">
        <v>55.791443000000001</v>
      </c>
      <c r="H409" s="2623">
        <v>54.704403999999997</v>
      </c>
      <c r="I409" s="2623">
        <v>53.943368</v>
      </c>
      <c r="J409" s="2623"/>
      <c r="K409" s="2623" t="s">
        <v>5233</v>
      </c>
      <c r="L409" s="2623">
        <v>54.752403999999999</v>
      </c>
      <c r="M409" s="2623">
        <v>55.252403999999999</v>
      </c>
      <c r="N409" s="2623">
        <v>56.051442999999999</v>
      </c>
      <c r="O409" s="2623">
        <v>56.331282999999999</v>
      </c>
      <c r="P409" s="2623">
        <v>58</v>
      </c>
      <c r="Q409" s="2623">
        <v>58.712854</v>
      </c>
      <c r="R409" s="2631">
        <v>52</v>
      </c>
    </row>
    <row r="410" spans="1:18">
      <c r="A410" s="2615"/>
      <c r="B410" s="2618" t="s">
        <v>5437</v>
      </c>
      <c r="C410" s="2622" t="s">
        <v>5234</v>
      </c>
      <c r="D410" s="2623">
        <v>57.951999999999998</v>
      </c>
      <c r="E410" s="2623">
        <v>57.576999999999998</v>
      </c>
      <c r="F410" s="2623">
        <v>56.003442999999997</v>
      </c>
      <c r="G410" s="2623">
        <v>55.871442999999999</v>
      </c>
      <c r="H410" s="2623">
        <v>54.704403999999997</v>
      </c>
      <c r="I410" s="2623">
        <v>54.023367999999998</v>
      </c>
      <c r="J410" s="2623"/>
      <c r="K410" s="2623"/>
      <c r="L410" s="2623"/>
      <c r="M410" s="2623"/>
      <c r="N410" s="2623"/>
      <c r="O410" s="2623"/>
      <c r="P410" s="2623"/>
      <c r="Q410" s="2623"/>
      <c r="R410" s="2631"/>
    </row>
    <row r="411" spans="1:18">
      <c r="A411" s="2615"/>
      <c r="B411" s="2618" t="s">
        <v>5438</v>
      </c>
      <c r="C411" s="2622" t="s">
        <v>5232</v>
      </c>
      <c r="D411" s="2623">
        <v>57.962000000000003</v>
      </c>
      <c r="E411" s="2623">
        <v>57.682000000000002</v>
      </c>
      <c r="F411" s="2623">
        <v>56.662962</v>
      </c>
      <c r="G411" s="2623">
        <v>56.482962000000001</v>
      </c>
      <c r="H411" s="2623">
        <v>55.796936000000002</v>
      </c>
      <c r="I411" s="2623">
        <v>55.250912</v>
      </c>
      <c r="J411" s="2623"/>
      <c r="K411" s="2623" t="s">
        <v>5233</v>
      </c>
      <c r="L411" s="2623">
        <v>55.834935999999999</v>
      </c>
      <c r="M411" s="2623">
        <v>56.209935999999999</v>
      </c>
      <c r="N411" s="2623">
        <v>56.700961999999997</v>
      </c>
      <c r="O411" s="2623">
        <v>56.936962000000001</v>
      </c>
      <c r="P411" s="2623">
        <v>58</v>
      </c>
      <c r="Q411" s="2623">
        <v>58.524675999999999</v>
      </c>
      <c r="R411" s="2631">
        <v>52</v>
      </c>
    </row>
    <row r="412" spans="1:18">
      <c r="A412" s="2615"/>
      <c r="B412" s="2618" t="s">
        <v>5438</v>
      </c>
      <c r="C412" s="2622" t="s">
        <v>5234</v>
      </c>
      <c r="D412" s="2623">
        <v>57.962000000000003</v>
      </c>
      <c r="E412" s="2623">
        <v>57.682000000000002</v>
      </c>
      <c r="F412" s="2623">
        <v>56.662962</v>
      </c>
      <c r="G412" s="2623">
        <v>56.550961999999998</v>
      </c>
      <c r="H412" s="2623">
        <v>55.796936000000002</v>
      </c>
      <c r="I412" s="2623">
        <v>55.318911999999997</v>
      </c>
      <c r="J412" s="2623"/>
      <c r="K412" s="2623"/>
      <c r="L412" s="2623"/>
      <c r="M412" s="2623"/>
      <c r="N412" s="2623"/>
      <c r="O412" s="2623"/>
      <c r="P412" s="2623"/>
      <c r="Q412" s="2623"/>
      <c r="R412" s="2631"/>
    </row>
    <row r="413" spans="1:18">
      <c r="A413" s="2615"/>
      <c r="B413" s="2618" t="s">
        <v>5439</v>
      </c>
      <c r="C413" s="2622" t="s">
        <v>5232</v>
      </c>
      <c r="D413" s="2623">
        <v>57.968000000000004</v>
      </c>
      <c r="E413" s="2623">
        <v>57.731999999999999</v>
      </c>
      <c r="F413" s="2623">
        <v>56.993721499999999</v>
      </c>
      <c r="G413" s="2623">
        <v>56.833721500000003</v>
      </c>
      <c r="H413" s="2623">
        <v>56.344202000000003</v>
      </c>
      <c r="I413" s="2623">
        <v>55.909683999999999</v>
      </c>
      <c r="J413" s="2623"/>
      <c r="K413" s="2623" t="s">
        <v>5233</v>
      </c>
      <c r="L413" s="2623">
        <v>56.376201999999999</v>
      </c>
      <c r="M413" s="2623">
        <v>56.676202000000004</v>
      </c>
      <c r="N413" s="2623">
        <v>57.025721500000003</v>
      </c>
      <c r="O413" s="2623">
        <v>57.237721499999999</v>
      </c>
      <c r="P413" s="2623">
        <v>58</v>
      </c>
      <c r="Q413" s="2623">
        <v>58.428507000000003</v>
      </c>
      <c r="R413" s="2631">
        <v>54.5</v>
      </c>
    </row>
    <row r="414" spans="1:18">
      <c r="A414" s="2615"/>
      <c r="B414" s="2618" t="s">
        <v>5439</v>
      </c>
      <c r="C414" s="2622" t="s">
        <v>5234</v>
      </c>
      <c r="D414" s="2623">
        <v>57.968000000000004</v>
      </c>
      <c r="E414" s="2623">
        <v>57.731999999999999</v>
      </c>
      <c r="F414" s="2623">
        <v>56.993721499999999</v>
      </c>
      <c r="G414" s="2623">
        <v>56.893721499999998</v>
      </c>
      <c r="H414" s="2623">
        <v>56.344202000000003</v>
      </c>
      <c r="I414" s="2623">
        <v>55.969684000000001</v>
      </c>
      <c r="J414" s="2623"/>
      <c r="K414" s="2623"/>
      <c r="L414" s="2623"/>
      <c r="M414" s="2623"/>
      <c r="N414" s="2623"/>
      <c r="O414" s="2623"/>
      <c r="P414" s="2623"/>
      <c r="Q414" s="2623"/>
      <c r="R414" s="2631"/>
    </row>
    <row r="415" spans="1:18">
      <c r="A415" s="2615">
        <v>60</v>
      </c>
      <c r="B415" s="2618" t="s">
        <v>5440</v>
      </c>
      <c r="C415" s="2622" t="s">
        <v>5232</v>
      </c>
      <c r="D415" s="2623">
        <v>59.924999999999997</v>
      </c>
      <c r="E415" s="2623">
        <v>59.365000000000002</v>
      </c>
      <c r="F415" s="2623">
        <v>56.352645500000001</v>
      </c>
      <c r="G415" s="2623">
        <v>56.087645500000001</v>
      </c>
      <c r="H415" s="2623">
        <v>53.971074000000002</v>
      </c>
      <c r="I415" s="2623">
        <v>52.699508000000002</v>
      </c>
      <c r="J415" s="2623"/>
      <c r="K415" s="2623" t="s">
        <v>5233</v>
      </c>
      <c r="L415" s="2623">
        <v>54.046073999999997</v>
      </c>
      <c r="M415" s="2623">
        <v>54.796073999999997</v>
      </c>
      <c r="N415" s="2623">
        <v>56.427645499999997</v>
      </c>
      <c r="O415" s="2623">
        <v>56.782645500000001</v>
      </c>
      <c r="P415" s="2623">
        <v>60</v>
      </c>
      <c r="Q415" s="2623">
        <v>61.148859000000002</v>
      </c>
      <c r="R415" s="2631">
        <v>54.5</v>
      </c>
    </row>
    <row r="416" spans="1:18">
      <c r="A416" s="2615"/>
      <c r="B416" s="2618" t="s">
        <v>5440</v>
      </c>
      <c r="C416" s="2622" t="s">
        <v>5234</v>
      </c>
      <c r="D416" s="2623">
        <v>59.924999999999997</v>
      </c>
      <c r="E416" s="2623">
        <v>59.365000000000002</v>
      </c>
      <c r="F416" s="2623">
        <v>56.352645500000001</v>
      </c>
      <c r="G416" s="2623">
        <v>56.1826455</v>
      </c>
      <c r="H416" s="2623">
        <v>53.971074000000002</v>
      </c>
      <c r="I416" s="2623">
        <v>52.794508</v>
      </c>
      <c r="J416" s="2623"/>
      <c r="K416" s="2623"/>
      <c r="L416" s="2623"/>
      <c r="M416" s="2623"/>
      <c r="N416" s="2623"/>
      <c r="O416" s="2623"/>
      <c r="P416" s="2623"/>
      <c r="Q416" s="2623"/>
      <c r="R416" s="2631"/>
    </row>
    <row r="417" spans="1:18">
      <c r="A417" s="2615"/>
      <c r="B417" s="2618" t="s">
        <v>5441</v>
      </c>
      <c r="C417" s="2622" t="s">
        <v>5232</v>
      </c>
      <c r="D417" s="2623">
        <v>59.94</v>
      </c>
      <c r="E417" s="2623">
        <v>59.465000000000003</v>
      </c>
      <c r="F417" s="2623">
        <v>57.341923999999999</v>
      </c>
      <c r="G417" s="2623">
        <v>57.105924000000002</v>
      </c>
      <c r="H417" s="2623">
        <v>55.609872000000003</v>
      </c>
      <c r="I417" s="2623">
        <v>54.641824</v>
      </c>
      <c r="J417" s="2623"/>
      <c r="K417" s="2623" t="s">
        <v>5233</v>
      </c>
      <c r="L417" s="2623">
        <v>55.669871999999998</v>
      </c>
      <c r="M417" s="2623">
        <v>56.269871999999999</v>
      </c>
      <c r="N417" s="2623">
        <v>57.401924000000001</v>
      </c>
      <c r="O417" s="2623">
        <v>57.716923999999999</v>
      </c>
      <c r="P417" s="2623">
        <v>60</v>
      </c>
      <c r="Q417" s="2623">
        <v>60.892352000000002</v>
      </c>
      <c r="R417" s="2631">
        <v>52</v>
      </c>
    </row>
    <row r="418" spans="1:18">
      <c r="A418" s="2615"/>
      <c r="B418" s="2618" t="s">
        <v>5441</v>
      </c>
      <c r="C418" s="2622" t="s">
        <v>5234</v>
      </c>
      <c r="D418" s="2623">
        <v>59.94</v>
      </c>
      <c r="E418" s="2623">
        <v>59.465000000000003</v>
      </c>
      <c r="F418" s="2623">
        <v>57.341923999999999</v>
      </c>
      <c r="G418" s="2623">
        <v>57.191924</v>
      </c>
      <c r="H418" s="2623">
        <v>55.609872000000003</v>
      </c>
      <c r="I418" s="2623">
        <v>54.727823999999998</v>
      </c>
      <c r="J418" s="2623"/>
      <c r="K418" s="2623"/>
      <c r="L418" s="2623"/>
      <c r="M418" s="2623"/>
      <c r="N418" s="2623"/>
      <c r="O418" s="2623"/>
      <c r="P418" s="2623"/>
      <c r="Q418" s="2623"/>
      <c r="R418" s="2631"/>
    </row>
    <row r="419" spans="1:18">
      <c r="A419" s="2615"/>
      <c r="B419" s="2618" t="s">
        <v>5442</v>
      </c>
      <c r="C419" s="2622" t="s">
        <v>5232</v>
      </c>
      <c r="D419" s="2623">
        <v>59.951999999999998</v>
      </c>
      <c r="E419" s="2623">
        <v>59.576999999999998</v>
      </c>
      <c r="F419" s="2623">
        <v>58.003442999999997</v>
      </c>
      <c r="G419" s="2623">
        <v>57.791443000000001</v>
      </c>
      <c r="H419" s="2623">
        <v>56.704403999999997</v>
      </c>
      <c r="I419" s="2623">
        <v>55.943368</v>
      </c>
      <c r="J419" s="2623"/>
      <c r="K419" s="2623" t="s">
        <v>5233</v>
      </c>
      <c r="L419" s="2623">
        <v>56.752403999999999</v>
      </c>
      <c r="M419" s="2623">
        <v>57.252403999999999</v>
      </c>
      <c r="N419" s="2623">
        <v>58.051442999999999</v>
      </c>
      <c r="O419" s="2623">
        <v>58.331282999999999</v>
      </c>
      <c r="P419" s="2623">
        <v>60</v>
      </c>
      <c r="Q419" s="2623">
        <v>60.712854</v>
      </c>
      <c r="R419" s="2631">
        <v>54.5</v>
      </c>
    </row>
    <row r="420" spans="1:18">
      <c r="A420" s="2615"/>
      <c r="B420" s="2618" t="s">
        <v>5442</v>
      </c>
      <c r="C420" s="2622" t="s">
        <v>5234</v>
      </c>
      <c r="D420" s="2623">
        <v>59.951999999999998</v>
      </c>
      <c r="E420" s="2623">
        <v>59.576999999999998</v>
      </c>
      <c r="F420" s="2623">
        <v>58.003442999999997</v>
      </c>
      <c r="G420" s="2623">
        <v>57.871442999999999</v>
      </c>
      <c r="H420" s="2623">
        <v>56.704403999999997</v>
      </c>
      <c r="I420" s="2623">
        <v>56.023367999999998</v>
      </c>
      <c r="J420" s="2623"/>
      <c r="K420" s="2623"/>
      <c r="L420" s="2623"/>
      <c r="M420" s="2623"/>
      <c r="N420" s="2623"/>
      <c r="O420" s="2623"/>
      <c r="P420" s="2623"/>
      <c r="Q420" s="2623"/>
      <c r="R420" s="2631"/>
    </row>
    <row r="421" spans="1:18">
      <c r="A421" s="2615"/>
      <c r="B421" s="2618" t="s">
        <v>5443</v>
      </c>
      <c r="C421" s="2622" t="s">
        <v>5232</v>
      </c>
      <c r="D421" s="2623">
        <v>59.962000000000003</v>
      </c>
      <c r="E421" s="2623">
        <v>59.682000000000002</v>
      </c>
      <c r="F421" s="2623">
        <v>58.662962</v>
      </c>
      <c r="G421" s="2623">
        <v>58.482962000000001</v>
      </c>
      <c r="H421" s="2623">
        <v>57.796936000000002</v>
      </c>
      <c r="I421" s="2623">
        <v>57.250912</v>
      </c>
      <c r="J421" s="2623"/>
      <c r="K421" s="2623" t="s">
        <v>5233</v>
      </c>
      <c r="L421" s="2623">
        <v>57.834935999999999</v>
      </c>
      <c r="M421" s="2623">
        <v>58.209935999999999</v>
      </c>
      <c r="N421" s="2623">
        <v>58.700961999999997</v>
      </c>
      <c r="O421" s="2623">
        <v>58.936962000000001</v>
      </c>
      <c r="P421" s="2623">
        <v>60</v>
      </c>
      <c r="Q421" s="2623">
        <v>60.524675999999999</v>
      </c>
      <c r="R421" s="2631">
        <v>54.5</v>
      </c>
    </row>
    <row r="422" spans="1:18">
      <c r="A422" s="2615"/>
      <c r="B422" s="2618" t="s">
        <v>5443</v>
      </c>
      <c r="C422" s="2622" t="s">
        <v>5234</v>
      </c>
      <c r="D422" s="2623">
        <v>59.962000000000003</v>
      </c>
      <c r="E422" s="2623">
        <v>59.682000000000002</v>
      </c>
      <c r="F422" s="2623">
        <v>58.662962</v>
      </c>
      <c r="G422" s="2623">
        <v>58.550961999999998</v>
      </c>
      <c r="H422" s="2623">
        <v>57.796936000000002</v>
      </c>
      <c r="I422" s="2623">
        <v>57.318911999999997</v>
      </c>
      <c r="J422" s="2623"/>
      <c r="K422" s="2623"/>
      <c r="L422" s="2623"/>
      <c r="M422" s="2623"/>
      <c r="N422" s="2623"/>
      <c r="O422" s="2623"/>
      <c r="P422" s="2623"/>
      <c r="Q422" s="2623"/>
      <c r="R422" s="2631"/>
    </row>
    <row r="423" spans="1:18">
      <c r="A423" s="2615"/>
      <c r="B423" s="2622" t="s">
        <v>5444</v>
      </c>
      <c r="C423" s="2622" t="s">
        <v>5232</v>
      </c>
      <c r="D423" s="2623">
        <v>59.968000000000004</v>
      </c>
      <c r="E423" s="2623">
        <v>59.731999999999999</v>
      </c>
      <c r="F423" s="2623">
        <v>58.994</v>
      </c>
      <c r="G423" s="2623">
        <v>58.834000000000003</v>
      </c>
      <c r="H423" s="2623">
        <v>58.344000000000001</v>
      </c>
      <c r="I423" s="2623">
        <v>57.91</v>
      </c>
      <c r="J423" s="2623"/>
      <c r="K423" s="2623" t="s">
        <v>5233</v>
      </c>
      <c r="L423" s="2623">
        <v>58.375999999999998</v>
      </c>
      <c r="M423" s="2623">
        <v>58.676000000000002</v>
      </c>
      <c r="N423" s="2623">
        <v>59.026000000000003</v>
      </c>
      <c r="O423" s="2623">
        <v>59.238</v>
      </c>
      <c r="P423" s="2623">
        <v>60</v>
      </c>
      <c r="Q423" s="2623">
        <v>60.427999999999997</v>
      </c>
      <c r="R423" s="2631">
        <v>54.5</v>
      </c>
    </row>
    <row r="424" spans="1:18">
      <c r="A424" s="2615"/>
      <c r="B424" s="2622" t="s">
        <v>5444</v>
      </c>
      <c r="C424" s="2622" t="s">
        <v>5234</v>
      </c>
      <c r="D424" s="2623">
        <v>59.968000000000004</v>
      </c>
      <c r="E424" s="2623">
        <v>59.731999999999999</v>
      </c>
      <c r="F424" s="2623">
        <v>58.994</v>
      </c>
      <c r="G424" s="2623">
        <v>58.893999999999998</v>
      </c>
      <c r="H424" s="2623">
        <v>58.344000000000001</v>
      </c>
      <c r="I424" s="2623">
        <v>57.97</v>
      </c>
      <c r="J424" s="2623"/>
      <c r="K424" s="2623"/>
      <c r="L424" s="2623"/>
      <c r="M424" s="2623"/>
      <c r="N424" s="2623"/>
      <c r="O424" s="2623"/>
      <c r="P424" s="2623"/>
      <c r="Q424" s="2623"/>
      <c r="R424" s="2631"/>
    </row>
    <row r="425" spans="1:18">
      <c r="A425" s="2615"/>
      <c r="B425" s="2618" t="s">
        <v>5445</v>
      </c>
      <c r="C425" s="2622" t="s">
        <v>5232</v>
      </c>
      <c r="D425" s="2623">
        <v>59.973999999999997</v>
      </c>
      <c r="E425" s="2623">
        <v>59.793999999999997</v>
      </c>
      <c r="F425" s="2623">
        <v>59.324480999999999</v>
      </c>
      <c r="G425" s="2623">
        <v>59.184480999999998</v>
      </c>
      <c r="H425" s="2623">
        <v>58.891468000000003</v>
      </c>
      <c r="I425" s="2623">
        <v>58.568455999999998</v>
      </c>
      <c r="J425" s="2623"/>
      <c r="K425" s="2623" t="s">
        <v>5233</v>
      </c>
      <c r="L425" s="2623">
        <v>58.917468</v>
      </c>
      <c r="M425" s="2623">
        <v>59.153467999999997</v>
      </c>
      <c r="N425" s="2623">
        <v>59.350481000000002</v>
      </c>
      <c r="O425" s="2623">
        <v>59.540481</v>
      </c>
      <c r="P425" s="2623">
        <v>60</v>
      </c>
      <c r="Q425" s="2623">
        <v>60.334338000000002</v>
      </c>
      <c r="R425" s="2631">
        <v>58</v>
      </c>
    </row>
    <row r="426" spans="1:18">
      <c r="A426" s="2615"/>
      <c r="B426" s="2618" t="s">
        <v>5445</v>
      </c>
      <c r="C426" s="2622" t="s">
        <v>5234</v>
      </c>
      <c r="D426" s="2623">
        <v>59.973999999999997</v>
      </c>
      <c r="E426" s="2623">
        <v>59.793999999999997</v>
      </c>
      <c r="F426" s="2623">
        <v>59.324480999999999</v>
      </c>
      <c r="G426" s="2623">
        <v>59.234481000000002</v>
      </c>
      <c r="H426" s="2623">
        <v>58.891468000000003</v>
      </c>
      <c r="I426" s="2623">
        <v>58.618456000000002</v>
      </c>
      <c r="J426" s="2623"/>
      <c r="K426" s="2623"/>
      <c r="L426" s="2623"/>
      <c r="M426" s="2623"/>
      <c r="N426" s="2623"/>
      <c r="O426" s="2623"/>
      <c r="P426" s="2623"/>
      <c r="Q426" s="2623"/>
      <c r="R426" s="2631"/>
    </row>
    <row r="427" spans="1:18">
      <c r="A427" s="2615">
        <v>62</v>
      </c>
      <c r="B427" s="2618" t="s">
        <v>5446</v>
      </c>
      <c r="C427" s="2622" t="s">
        <v>5232</v>
      </c>
      <c r="D427" s="2623">
        <v>61.94</v>
      </c>
      <c r="E427" s="2623">
        <v>61.465000000000003</v>
      </c>
      <c r="F427" s="2623">
        <v>59.341923999999999</v>
      </c>
      <c r="G427" s="2623">
        <v>59.105924000000002</v>
      </c>
      <c r="H427" s="2623">
        <v>57.609872000000003</v>
      </c>
      <c r="I427" s="2623">
        <v>56.641824</v>
      </c>
      <c r="J427" s="2623"/>
      <c r="K427" s="2623" t="s">
        <v>5233</v>
      </c>
      <c r="L427" s="2623">
        <v>57.669871999999998</v>
      </c>
      <c r="M427" s="2623">
        <v>58.269871999999999</v>
      </c>
      <c r="N427" s="2623">
        <v>59.401924000000001</v>
      </c>
      <c r="O427" s="2623">
        <v>59.716923999999999</v>
      </c>
      <c r="P427" s="2623">
        <v>62</v>
      </c>
      <c r="Q427" s="2623">
        <v>62.892352000000002</v>
      </c>
      <c r="R427" s="2631">
        <v>56</v>
      </c>
    </row>
    <row r="428" spans="1:18">
      <c r="A428" s="2615"/>
      <c r="B428" s="2618" t="s">
        <v>5446</v>
      </c>
      <c r="C428" s="2622" t="s">
        <v>5234</v>
      </c>
      <c r="D428" s="2623">
        <v>61.94</v>
      </c>
      <c r="E428" s="2623">
        <v>61.465000000000003</v>
      </c>
      <c r="F428" s="2623">
        <v>59.341923999999999</v>
      </c>
      <c r="G428" s="2623">
        <v>59.191924</v>
      </c>
      <c r="H428" s="2623">
        <v>57.609872000000003</v>
      </c>
      <c r="I428" s="2623">
        <v>56.727823999999998</v>
      </c>
      <c r="J428" s="2623"/>
      <c r="K428" s="2623"/>
      <c r="L428" s="2623"/>
      <c r="M428" s="2623"/>
      <c r="N428" s="2623"/>
      <c r="O428" s="2623"/>
      <c r="P428" s="2623"/>
      <c r="Q428" s="2623"/>
      <c r="R428" s="2631"/>
    </row>
    <row r="429" spans="1:18">
      <c r="A429" s="2615"/>
      <c r="B429" s="2618" t="s">
        <v>5447</v>
      </c>
      <c r="C429" s="2622" t="s">
        <v>5232</v>
      </c>
      <c r="D429" s="2623">
        <v>61.951999999999998</v>
      </c>
      <c r="E429" s="2623">
        <v>61.576999999999998</v>
      </c>
      <c r="F429" s="2623">
        <v>60.003442999999997</v>
      </c>
      <c r="G429" s="2623">
        <v>59.791443000000001</v>
      </c>
      <c r="H429" s="2623">
        <v>58.704403999999997</v>
      </c>
      <c r="I429" s="2623">
        <v>57.943368</v>
      </c>
      <c r="J429" s="2623"/>
      <c r="K429" s="2623" t="s">
        <v>5233</v>
      </c>
      <c r="L429" s="2623">
        <v>58.752403999999999</v>
      </c>
      <c r="M429" s="2623">
        <v>59.252403999999999</v>
      </c>
      <c r="N429" s="2623">
        <v>60.051442999999999</v>
      </c>
      <c r="O429" s="2623">
        <v>60.331282999999999</v>
      </c>
      <c r="P429" s="2623">
        <v>62</v>
      </c>
      <c r="Q429" s="2623">
        <v>62.712854</v>
      </c>
      <c r="R429" s="2631">
        <v>56</v>
      </c>
    </row>
    <row r="430" spans="1:18">
      <c r="A430" s="2615"/>
      <c r="B430" s="2618" t="s">
        <v>5447</v>
      </c>
      <c r="C430" s="2622" t="s">
        <v>5234</v>
      </c>
      <c r="D430" s="2623">
        <v>61.951999999999998</v>
      </c>
      <c r="E430" s="2623">
        <v>61.576999999999998</v>
      </c>
      <c r="F430" s="2623">
        <v>60.003442999999997</v>
      </c>
      <c r="G430" s="2623">
        <v>59.871442999999999</v>
      </c>
      <c r="H430" s="2623">
        <v>58.704403999999997</v>
      </c>
      <c r="I430" s="2623">
        <v>58.023367999999998</v>
      </c>
      <c r="J430" s="2623"/>
      <c r="K430" s="2623"/>
      <c r="L430" s="2623"/>
      <c r="M430" s="2623"/>
      <c r="N430" s="2623"/>
      <c r="O430" s="2623"/>
      <c r="P430" s="2623"/>
      <c r="Q430" s="2623"/>
      <c r="R430" s="2631"/>
    </row>
    <row r="431" spans="1:18">
      <c r="A431" s="2615"/>
      <c r="B431" s="2618" t="s">
        <v>5448</v>
      </c>
      <c r="C431" s="2622" t="s">
        <v>5232</v>
      </c>
      <c r="D431" s="2623">
        <v>61.962000000000003</v>
      </c>
      <c r="E431" s="2623">
        <v>61.682000000000002</v>
      </c>
      <c r="F431" s="2623">
        <v>60.662962</v>
      </c>
      <c r="G431" s="2623">
        <v>60.482962000000001</v>
      </c>
      <c r="H431" s="2623">
        <v>59.796936000000002</v>
      </c>
      <c r="I431" s="2623">
        <v>59.250912</v>
      </c>
      <c r="J431" s="2623"/>
      <c r="K431" s="2623" t="s">
        <v>5233</v>
      </c>
      <c r="L431" s="2623">
        <v>59.834935999999999</v>
      </c>
      <c r="M431" s="2623">
        <v>60.209935999999999</v>
      </c>
      <c r="N431" s="2623">
        <v>60.700961999999997</v>
      </c>
      <c r="O431" s="2623">
        <v>60.936962000000001</v>
      </c>
      <c r="P431" s="2623">
        <v>62</v>
      </c>
      <c r="Q431" s="2623">
        <v>62.524675999999999</v>
      </c>
      <c r="R431" s="2631">
        <v>58</v>
      </c>
    </row>
    <row r="432" spans="1:18">
      <c r="A432" s="2615"/>
      <c r="B432" s="2618" t="s">
        <v>5448</v>
      </c>
      <c r="C432" s="2622" t="s">
        <v>5234</v>
      </c>
      <c r="D432" s="2623">
        <v>61.962000000000003</v>
      </c>
      <c r="E432" s="2623">
        <v>61.682000000000002</v>
      </c>
      <c r="F432" s="2623">
        <v>60.662962</v>
      </c>
      <c r="G432" s="2623">
        <v>60.550961999999998</v>
      </c>
      <c r="H432" s="2623">
        <v>59.796936000000002</v>
      </c>
      <c r="I432" s="2623">
        <v>59.318911999999997</v>
      </c>
      <c r="J432" s="2623"/>
      <c r="K432" s="2623"/>
      <c r="L432" s="2623"/>
      <c r="M432" s="2623"/>
      <c r="N432" s="2623"/>
      <c r="O432" s="2623"/>
      <c r="P432" s="2623"/>
      <c r="Q432" s="2623"/>
      <c r="R432" s="2631"/>
    </row>
    <row r="433" spans="1:18">
      <c r="A433" s="2615"/>
      <c r="B433" s="2618" t="s">
        <v>5449</v>
      </c>
      <c r="C433" s="2622" t="s">
        <v>5232</v>
      </c>
      <c r="D433" s="2623">
        <v>61.968000000000004</v>
      </c>
      <c r="E433" s="2623">
        <v>61.731999999999999</v>
      </c>
      <c r="F433" s="2623">
        <v>60.993721499999999</v>
      </c>
      <c r="G433" s="2623">
        <v>60.833721500000003</v>
      </c>
      <c r="H433" s="2623">
        <v>60.344202000000003</v>
      </c>
      <c r="I433" s="2623">
        <v>59.909683999999999</v>
      </c>
      <c r="J433" s="2623"/>
      <c r="K433" s="2623" t="s">
        <v>5233</v>
      </c>
      <c r="L433" s="2623">
        <v>60.376201999999999</v>
      </c>
      <c r="M433" s="2623">
        <v>60.676202000000004</v>
      </c>
      <c r="N433" s="2623">
        <v>61.025721500000003</v>
      </c>
      <c r="O433" s="2623">
        <v>61.237721499999999</v>
      </c>
      <c r="P433" s="2623">
        <v>62</v>
      </c>
      <c r="Q433" s="2623">
        <v>62.428507000000003</v>
      </c>
      <c r="R433" s="2631">
        <v>58</v>
      </c>
    </row>
    <row r="434" spans="1:18">
      <c r="A434" s="2615"/>
      <c r="B434" s="2618" t="s">
        <v>5449</v>
      </c>
      <c r="C434" s="2622" t="s">
        <v>5234</v>
      </c>
      <c r="D434" s="2623">
        <v>61.968000000000004</v>
      </c>
      <c r="E434" s="2623">
        <v>61.731999999999999</v>
      </c>
      <c r="F434" s="2623">
        <v>60.993721499999999</v>
      </c>
      <c r="G434" s="2623">
        <v>60.893721499999998</v>
      </c>
      <c r="H434" s="2623">
        <v>60.344202000000003</v>
      </c>
      <c r="I434" s="2623">
        <v>59.969684000000001</v>
      </c>
      <c r="J434" s="2623"/>
      <c r="K434" s="2623"/>
      <c r="L434" s="2623"/>
      <c r="M434" s="2623"/>
      <c r="N434" s="2623"/>
      <c r="O434" s="2623"/>
      <c r="P434" s="2623"/>
      <c r="Q434" s="2623"/>
      <c r="R434" s="2631"/>
    </row>
    <row r="435" spans="1:18">
      <c r="A435" s="2615">
        <v>63</v>
      </c>
      <c r="B435" s="2618" t="s">
        <v>5450</v>
      </c>
      <c r="C435" s="2622" t="s">
        <v>5232</v>
      </c>
      <c r="D435" s="2623">
        <v>62.968000000000004</v>
      </c>
      <c r="E435" s="2623">
        <v>62.731999999999999</v>
      </c>
      <c r="F435" s="2623">
        <v>61.993721499999999</v>
      </c>
      <c r="G435" s="2623">
        <v>61.833721500000003</v>
      </c>
      <c r="H435" s="2623">
        <v>61.344202000000003</v>
      </c>
      <c r="I435" s="2623">
        <v>60.909683999999999</v>
      </c>
      <c r="J435" s="2623"/>
      <c r="K435" s="2623" t="s">
        <v>5233</v>
      </c>
      <c r="L435" s="2623">
        <v>61.376201999999999</v>
      </c>
      <c r="M435" s="2623">
        <v>61.676202000000004</v>
      </c>
      <c r="N435" s="2623">
        <v>62.025721500000003</v>
      </c>
      <c r="O435" s="2623">
        <v>62.237721499999999</v>
      </c>
      <c r="P435" s="2623">
        <v>63</v>
      </c>
      <c r="Q435" s="2623">
        <v>63.428507000000003</v>
      </c>
      <c r="R435" s="2631">
        <v>58</v>
      </c>
    </row>
    <row r="436" spans="1:18">
      <c r="A436" s="2615"/>
      <c r="B436" s="2618" t="s">
        <v>5450</v>
      </c>
      <c r="C436" s="2622" t="s">
        <v>5234</v>
      </c>
      <c r="D436" s="2623">
        <v>62.968000000000004</v>
      </c>
      <c r="E436" s="2623">
        <v>62.731999999999999</v>
      </c>
      <c r="F436" s="2623">
        <v>61.993721499999999</v>
      </c>
      <c r="G436" s="2623">
        <v>61.893721499999998</v>
      </c>
      <c r="H436" s="2623">
        <v>61.344202000000003</v>
      </c>
      <c r="I436" s="2623">
        <v>60.969684000000001</v>
      </c>
      <c r="J436" s="2623"/>
      <c r="K436" s="2623"/>
      <c r="L436" s="2623"/>
      <c r="M436" s="2623"/>
      <c r="N436" s="2623"/>
      <c r="O436" s="2623"/>
      <c r="P436" s="2623"/>
      <c r="Q436" s="2623"/>
      <c r="R436" s="2631"/>
    </row>
    <row r="437" spans="1:18">
      <c r="A437" s="2615">
        <v>64</v>
      </c>
      <c r="B437" s="2622" t="s">
        <v>5451</v>
      </c>
      <c r="C437" s="2622" t="s">
        <v>5232</v>
      </c>
      <c r="D437" s="2623">
        <v>63.92</v>
      </c>
      <c r="E437" s="2623">
        <v>63.32</v>
      </c>
      <c r="F437" s="2623">
        <v>60.023000000000003</v>
      </c>
      <c r="G437" s="2623">
        <v>59.743000000000002</v>
      </c>
      <c r="H437" s="2623">
        <v>57.424999999999997</v>
      </c>
      <c r="I437" s="2623">
        <v>56.046999999999997</v>
      </c>
      <c r="J437" s="2623"/>
      <c r="K437" s="2623" t="s">
        <v>5233</v>
      </c>
      <c r="L437" s="2623">
        <v>57.505000000000003</v>
      </c>
      <c r="M437" s="2623">
        <v>58.305</v>
      </c>
      <c r="N437" s="2623">
        <v>60.103000000000002</v>
      </c>
      <c r="O437" s="2623">
        <v>60.478000000000002</v>
      </c>
      <c r="P437" s="2623">
        <v>64</v>
      </c>
      <c r="Q437" s="2623">
        <v>65.241</v>
      </c>
      <c r="R437" s="2631">
        <v>58</v>
      </c>
    </row>
    <row r="438" spans="1:18">
      <c r="A438" s="2615"/>
      <c r="B438" s="2622" t="s">
        <v>5451</v>
      </c>
      <c r="C438" s="2622" t="s">
        <v>5234</v>
      </c>
      <c r="D438" s="2623">
        <v>63.92</v>
      </c>
      <c r="E438" s="2623">
        <v>63.32</v>
      </c>
      <c r="F438" s="2623">
        <v>60.023000000000003</v>
      </c>
      <c r="G438" s="2623">
        <v>59.843000000000004</v>
      </c>
      <c r="H438" s="2623">
        <v>57.424999999999997</v>
      </c>
      <c r="I438" s="2623">
        <v>56.146999999999998</v>
      </c>
      <c r="J438" s="2623"/>
      <c r="K438" s="2623"/>
      <c r="L438" s="2623"/>
      <c r="M438" s="2623"/>
      <c r="N438" s="2623"/>
      <c r="O438" s="2623"/>
      <c r="P438" s="2623"/>
      <c r="Q438" s="2623"/>
      <c r="R438" s="2631"/>
    </row>
    <row r="439" spans="1:18">
      <c r="A439" s="2615"/>
      <c r="B439" s="2618" t="s">
        <v>5452</v>
      </c>
      <c r="C439" s="2622" t="s">
        <v>5232</v>
      </c>
      <c r="D439" s="2623">
        <v>63.924999999999997</v>
      </c>
      <c r="E439" s="2623">
        <v>63.365000000000002</v>
      </c>
      <c r="F439" s="2623">
        <v>60.352645500000001</v>
      </c>
      <c r="G439" s="2623">
        <v>60.087645500000001</v>
      </c>
      <c r="H439" s="2623">
        <v>57.971074000000002</v>
      </c>
      <c r="I439" s="2623">
        <v>56.699508000000002</v>
      </c>
      <c r="J439" s="2623"/>
      <c r="K439" s="2623" t="s">
        <v>5233</v>
      </c>
      <c r="L439" s="2623">
        <v>58.046073999999997</v>
      </c>
      <c r="M439" s="2623">
        <v>58.796073999999997</v>
      </c>
      <c r="N439" s="2623">
        <v>60.427645499999997</v>
      </c>
      <c r="O439" s="2623">
        <v>60.782645500000001</v>
      </c>
      <c r="P439" s="2623">
        <v>64</v>
      </c>
      <c r="Q439" s="2623">
        <v>65.148859000000002</v>
      </c>
      <c r="R439" s="2631">
        <v>54.5</v>
      </c>
    </row>
    <row r="440" spans="1:18">
      <c r="A440" s="2615"/>
      <c r="B440" s="2618" t="s">
        <v>5452</v>
      </c>
      <c r="C440" s="2622" t="s">
        <v>5234</v>
      </c>
      <c r="D440" s="2623">
        <v>63.924999999999997</v>
      </c>
      <c r="E440" s="2623">
        <v>63.365000000000002</v>
      </c>
      <c r="F440" s="2623">
        <v>60.352645500000001</v>
      </c>
      <c r="G440" s="2623">
        <v>60.1826455</v>
      </c>
      <c r="H440" s="2623">
        <v>57.971074000000002</v>
      </c>
      <c r="I440" s="2623">
        <v>56.794508</v>
      </c>
      <c r="J440" s="2623"/>
      <c r="K440" s="2623"/>
      <c r="L440" s="2623"/>
      <c r="M440" s="2623"/>
      <c r="N440" s="2623"/>
      <c r="O440" s="2623"/>
      <c r="P440" s="2623"/>
      <c r="Q440" s="2623"/>
      <c r="R440" s="2631"/>
    </row>
    <row r="441" spans="1:18">
      <c r="A441" s="2615"/>
      <c r="B441" s="2618" t="s">
        <v>5453</v>
      </c>
      <c r="C441" s="2622" t="s">
        <v>5232</v>
      </c>
      <c r="D441" s="2623">
        <v>63.94</v>
      </c>
      <c r="E441" s="2623">
        <v>63.465000000000003</v>
      </c>
      <c r="F441" s="2623">
        <v>61.341923999999999</v>
      </c>
      <c r="G441" s="2623">
        <v>61.105924000000002</v>
      </c>
      <c r="H441" s="2623">
        <v>59.609872000000003</v>
      </c>
      <c r="I441" s="2623">
        <v>58.641824</v>
      </c>
      <c r="J441" s="2623"/>
      <c r="K441" s="2623" t="s">
        <v>5233</v>
      </c>
      <c r="L441" s="2623">
        <v>59.669871999999998</v>
      </c>
      <c r="M441" s="2623">
        <v>60.269871999999999</v>
      </c>
      <c r="N441" s="2623">
        <v>61.401924000000001</v>
      </c>
      <c r="O441" s="2623">
        <v>61.716923999999999</v>
      </c>
      <c r="P441" s="2623">
        <v>64</v>
      </c>
      <c r="Q441" s="2623">
        <v>64.892352000000002</v>
      </c>
      <c r="R441" s="2631">
        <v>58</v>
      </c>
    </row>
    <row r="442" spans="1:18">
      <c r="A442" s="2615"/>
      <c r="B442" s="2618" t="s">
        <v>5453</v>
      </c>
      <c r="C442" s="2622" t="s">
        <v>5234</v>
      </c>
      <c r="D442" s="2623">
        <v>63.94</v>
      </c>
      <c r="E442" s="2623">
        <v>63.465000000000003</v>
      </c>
      <c r="F442" s="2623">
        <v>61.341923999999999</v>
      </c>
      <c r="G442" s="2623">
        <v>61.191924</v>
      </c>
      <c r="H442" s="2623">
        <v>59.609872000000003</v>
      </c>
      <c r="I442" s="2623">
        <v>58.727823999999998</v>
      </c>
      <c r="J442" s="2623"/>
      <c r="K442" s="2623"/>
      <c r="L442" s="2623"/>
      <c r="M442" s="2623"/>
      <c r="N442" s="2623"/>
      <c r="O442" s="2623"/>
      <c r="P442" s="2623"/>
      <c r="Q442" s="2623"/>
      <c r="R442" s="2631"/>
    </row>
    <row r="443" spans="1:18">
      <c r="A443" s="2615"/>
      <c r="B443" s="2618" t="s">
        <v>5454</v>
      </c>
      <c r="C443" s="2622" t="s">
        <v>5232</v>
      </c>
      <c r="D443" s="2623">
        <v>63.951999999999998</v>
      </c>
      <c r="E443" s="2623">
        <v>63.576999999999998</v>
      </c>
      <c r="F443" s="2623">
        <v>62.003442999999997</v>
      </c>
      <c r="G443" s="2623">
        <v>61.791443000000001</v>
      </c>
      <c r="H443" s="2623">
        <v>60.704403999999997</v>
      </c>
      <c r="I443" s="2623">
        <v>59.943368</v>
      </c>
      <c r="J443" s="2623"/>
      <c r="K443" s="2623" t="s">
        <v>5233</v>
      </c>
      <c r="L443" s="2623">
        <v>60.752403999999999</v>
      </c>
      <c r="M443" s="2623">
        <v>61.252403999999999</v>
      </c>
      <c r="N443" s="2623">
        <v>62.051442999999999</v>
      </c>
      <c r="O443" s="2623">
        <v>62.331282999999999</v>
      </c>
      <c r="P443" s="2623">
        <v>64</v>
      </c>
      <c r="Q443" s="2623">
        <v>64.712853999999993</v>
      </c>
      <c r="R443" s="2631">
        <v>58</v>
      </c>
    </row>
    <row r="444" spans="1:18">
      <c r="A444" s="2615"/>
      <c r="B444" s="2618" t="s">
        <v>5454</v>
      </c>
      <c r="C444" s="2622" t="s">
        <v>5234</v>
      </c>
      <c r="D444" s="2623">
        <v>63.951999999999998</v>
      </c>
      <c r="E444" s="2623">
        <v>63.576999999999998</v>
      </c>
      <c r="F444" s="2623">
        <v>62.003442999999997</v>
      </c>
      <c r="G444" s="2623">
        <v>61.871442999999999</v>
      </c>
      <c r="H444" s="2623">
        <v>60.704403999999997</v>
      </c>
      <c r="I444" s="2623">
        <v>60.023367999999998</v>
      </c>
      <c r="J444" s="2623"/>
      <c r="K444" s="2623"/>
      <c r="L444" s="2623"/>
      <c r="M444" s="2623"/>
      <c r="N444" s="2623"/>
      <c r="O444" s="2623"/>
      <c r="P444" s="2623"/>
      <c r="Q444" s="2623"/>
      <c r="R444" s="2631"/>
    </row>
    <row r="445" spans="1:18">
      <c r="A445" s="2615"/>
      <c r="B445" s="2622" t="s">
        <v>5455</v>
      </c>
      <c r="C445" s="2622" t="s">
        <v>5232</v>
      </c>
      <c r="D445" s="2623">
        <v>63.962000000000003</v>
      </c>
      <c r="E445" s="2623">
        <v>63.682000000000002</v>
      </c>
      <c r="F445" s="2623">
        <v>62.662999999999997</v>
      </c>
      <c r="G445" s="2623">
        <v>62.482999999999997</v>
      </c>
      <c r="H445" s="2623">
        <v>61.796999999999997</v>
      </c>
      <c r="I445" s="2623">
        <v>61.250999999999998</v>
      </c>
      <c r="J445" s="2623"/>
      <c r="K445" s="2623" t="s">
        <v>5233</v>
      </c>
      <c r="L445" s="2623">
        <v>61.835000000000001</v>
      </c>
      <c r="M445" s="2623">
        <v>62.21</v>
      </c>
      <c r="N445" s="2623">
        <v>62.701000000000001</v>
      </c>
      <c r="O445" s="2623">
        <v>62.936999999999998</v>
      </c>
      <c r="P445" s="2623">
        <v>64</v>
      </c>
      <c r="Q445" s="2623">
        <v>64.525000000000006</v>
      </c>
      <c r="R445" s="2631">
        <v>58</v>
      </c>
    </row>
    <row r="446" spans="1:18">
      <c r="A446" s="2615"/>
      <c r="B446" s="2622" t="s">
        <v>5455</v>
      </c>
      <c r="C446" s="2622" t="s">
        <v>5234</v>
      </c>
      <c r="D446" s="2623">
        <v>63.962000000000003</v>
      </c>
      <c r="E446" s="2623">
        <v>63.682000000000002</v>
      </c>
      <c r="F446" s="2623">
        <v>62.662999999999997</v>
      </c>
      <c r="G446" s="2623">
        <v>62.551000000000002</v>
      </c>
      <c r="H446" s="2623">
        <v>61.796999999999997</v>
      </c>
      <c r="I446" s="2623">
        <v>61.319000000000003</v>
      </c>
      <c r="J446" s="2623"/>
      <c r="K446" s="2623"/>
      <c r="L446" s="2623"/>
      <c r="M446" s="2623"/>
      <c r="N446" s="2623"/>
      <c r="O446" s="2623"/>
      <c r="P446" s="2623"/>
      <c r="Q446" s="2623"/>
      <c r="R446" s="2631"/>
    </row>
    <row r="447" spans="1:18">
      <c r="A447" s="2615"/>
      <c r="B447" s="2618" t="s">
        <v>5456</v>
      </c>
      <c r="C447" s="2622" t="s">
        <v>5232</v>
      </c>
      <c r="D447" s="2623">
        <v>63.968000000000004</v>
      </c>
      <c r="E447" s="2623">
        <v>63.731999999999999</v>
      </c>
      <c r="F447" s="2623">
        <v>62.993721499999999</v>
      </c>
      <c r="G447" s="2623">
        <v>62.833721500000003</v>
      </c>
      <c r="H447" s="2623">
        <v>62.344202000000003</v>
      </c>
      <c r="I447" s="2623">
        <v>61.909683999999999</v>
      </c>
      <c r="J447" s="2623"/>
      <c r="K447" s="2623" t="s">
        <v>5233</v>
      </c>
      <c r="L447" s="2623">
        <v>62.376201999999999</v>
      </c>
      <c r="M447" s="2623">
        <v>62.676202000000004</v>
      </c>
      <c r="N447" s="2623">
        <v>63.025721500000003</v>
      </c>
      <c r="O447" s="2623">
        <v>63.237721499999999</v>
      </c>
      <c r="P447" s="2623">
        <v>64</v>
      </c>
      <c r="Q447" s="2623">
        <v>64.428506999999996</v>
      </c>
      <c r="R447" s="2631">
        <v>60</v>
      </c>
    </row>
    <row r="448" spans="1:18">
      <c r="A448" s="2615"/>
      <c r="B448" s="2618" t="s">
        <v>5456</v>
      </c>
      <c r="C448" s="2622" t="s">
        <v>5234</v>
      </c>
      <c r="D448" s="2623">
        <v>63.968000000000004</v>
      </c>
      <c r="E448" s="2623">
        <v>63.731999999999999</v>
      </c>
      <c r="F448" s="2623">
        <v>62.993721499999999</v>
      </c>
      <c r="G448" s="2623">
        <v>62.893721499999998</v>
      </c>
      <c r="H448" s="2623">
        <v>62.344202000000003</v>
      </c>
      <c r="I448" s="2623">
        <v>61.969684000000001</v>
      </c>
      <c r="J448" s="2623"/>
      <c r="K448" s="2623"/>
      <c r="L448" s="2623"/>
      <c r="M448" s="2623"/>
      <c r="N448" s="2623"/>
      <c r="O448" s="2623"/>
      <c r="P448" s="2623"/>
      <c r="Q448" s="2623"/>
      <c r="R448" s="2631"/>
    </row>
    <row r="449" spans="1:18">
      <c r="A449" s="2615"/>
      <c r="B449" s="2618" t="s">
        <v>5457</v>
      </c>
      <c r="C449" s="2622" t="s">
        <v>5232</v>
      </c>
      <c r="D449" s="2623">
        <v>63.973999999999997</v>
      </c>
      <c r="E449" s="2623">
        <v>63.793999999999997</v>
      </c>
      <c r="F449" s="2623">
        <v>63.324480999999999</v>
      </c>
      <c r="G449" s="2623">
        <v>63.184480999999998</v>
      </c>
      <c r="H449" s="2623">
        <v>62.891468000000003</v>
      </c>
      <c r="I449" s="2623">
        <v>62.568455999999998</v>
      </c>
      <c r="J449" s="2623"/>
      <c r="K449" s="2623" t="s">
        <v>5233</v>
      </c>
      <c r="L449" s="2623">
        <v>62.917468</v>
      </c>
      <c r="M449" s="2623">
        <v>63.153467999999997</v>
      </c>
      <c r="N449" s="2623">
        <v>63.350481000000002</v>
      </c>
      <c r="O449" s="2623">
        <v>63.540481</v>
      </c>
      <c r="P449" s="2623">
        <v>64</v>
      </c>
      <c r="Q449" s="2623">
        <v>64.334338000000002</v>
      </c>
      <c r="R449" s="2631">
        <v>60</v>
      </c>
    </row>
    <row r="450" spans="1:18">
      <c r="A450" s="2615"/>
      <c r="B450" s="2618" t="s">
        <v>5457</v>
      </c>
      <c r="C450" s="2622" t="s">
        <v>5234</v>
      </c>
      <c r="D450" s="2623">
        <v>63.973999999999997</v>
      </c>
      <c r="E450" s="2623">
        <v>63.793999999999997</v>
      </c>
      <c r="F450" s="2623">
        <v>63.324480999999999</v>
      </c>
      <c r="G450" s="2623">
        <v>63.234481000000002</v>
      </c>
      <c r="H450" s="2623">
        <v>62.891468000000003</v>
      </c>
      <c r="I450" s="2623">
        <v>62.618456000000002</v>
      </c>
      <c r="J450" s="2623"/>
      <c r="K450" s="2623"/>
      <c r="L450" s="2623"/>
      <c r="M450" s="2623"/>
      <c r="N450" s="2623"/>
      <c r="O450" s="2623"/>
      <c r="P450" s="2623"/>
      <c r="Q450" s="2623"/>
      <c r="R450" s="2631"/>
    </row>
    <row r="451" spans="1:18">
      <c r="A451" s="2615">
        <v>65</v>
      </c>
      <c r="B451" s="2618" t="s">
        <v>5458</v>
      </c>
      <c r="C451" s="2622" t="s">
        <v>5232</v>
      </c>
      <c r="D451" s="2623">
        <v>64.94</v>
      </c>
      <c r="E451" s="2623">
        <v>64.465000000000003</v>
      </c>
      <c r="F451" s="2623">
        <v>62.341923999999999</v>
      </c>
      <c r="G451" s="2623">
        <v>62.105924000000002</v>
      </c>
      <c r="H451" s="2623">
        <v>60.609872000000003</v>
      </c>
      <c r="I451" s="2623">
        <v>59.641824</v>
      </c>
      <c r="J451" s="2623"/>
      <c r="K451" s="2623" t="s">
        <v>5233</v>
      </c>
      <c r="L451" s="2623">
        <v>60.669871999999998</v>
      </c>
      <c r="M451" s="2623">
        <v>61.269871999999999</v>
      </c>
      <c r="N451" s="2623">
        <v>62.401924000000001</v>
      </c>
      <c r="O451" s="2623">
        <v>62.716923999999999</v>
      </c>
      <c r="P451" s="2623">
        <v>65</v>
      </c>
      <c r="Q451" s="2623">
        <v>65.892352000000002</v>
      </c>
      <c r="R451" s="2631">
        <v>58</v>
      </c>
    </row>
    <row r="452" spans="1:18">
      <c r="A452" s="2615"/>
      <c r="B452" s="2618" t="s">
        <v>5458</v>
      </c>
      <c r="C452" s="2622" t="s">
        <v>5234</v>
      </c>
      <c r="D452" s="2623">
        <v>64.94</v>
      </c>
      <c r="E452" s="2623">
        <v>64.465000000000003</v>
      </c>
      <c r="F452" s="2623">
        <v>62.341923999999999</v>
      </c>
      <c r="G452" s="2623">
        <v>62.191924</v>
      </c>
      <c r="H452" s="2623">
        <v>60.609872000000003</v>
      </c>
      <c r="I452" s="2623">
        <v>59.727823999999998</v>
      </c>
      <c r="J452" s="2623"/>
      <c r="K452" s="2623"/>
      <c r="L452" s="2623"/>
      <c r="M452" s="2623"/>
      <c r="N452" s="2623"/>
      <c r="O452" s="2623"/>
      <c r="P452" s="2623"/>
      <c r="Q452" s="2623"/>
      <c r="R452" s="2631"/>
    </row>
    <row r="453" spans="1:18">
      <c r="A453" s="2615"/>
      <c r="B453" s="2618" t="s">
        <v>5459</v>
      </c>
      <c r="C453" s="2622" t="s">
        <v>5232</v>
      </c>
      <c r="D453" s="2623">
        <v>64.951999999999998</v>
      </c>
      <c r="E453" s="2623">
        <v>64.576999999999998</v>
      </c>
      <c r="F453" s="2623">
        <v>63.003442999999997</v>
      </c>
      <c r="G453" s="2623">
        <v>62.791443000000001</v>
      </c>
      <c r="H453" s="2623">
        <v>61.704403999999997</v>
      </c>
      <c r="I453" s="2623">
        <v>60.943368</v>
      </c>
      <c r="J453" s="2623"/>
      <c r="K453" s="2623" t="s">
        <v>5233</v>
      </c>
      <c r="L453" s="2623">
        <v>61.752403999999999</v>
      </c>
      <c r="M453" s="2623">
        <v>62.252403999999999</v>
      </c>
      <c r="N453" s="2623">
        <v>63.051442999999999</v>
      </c>
      <c r="O453" s="2623">
        <v>63.331282999999999</v>
      </c>
      <c r="P453" s="2623">
        <v>65</v>
      </c>
      <c r="Q453" s="2623">
        <v>65.712853999999993</v>
      </c>
      <c r="R453" s="2631">
        <v>60</v>
      </c>
    </row>
    <row r="454" spans="1:18">
      <c r="A454" s="2615"/>
      <c r="B454" s="2618" t="s">
        <v>5459</v>
      </c>
      <c r="C454" s="2622" t="s">
        <v>5234</v>
      </c>
      <c r="D454" s="2623">
        <v>64.951999999999998</v>
      </c>
      <c r="E454" s="2623">
        <v>64.576999999999998</v>
      </c>
      <c r="F454" s="2623">
        <v>63.003442999999997</v>
      </c>
      <c r="G454" s="2623">
        <v>62.871442999999999</v>
      </c>
      <c r="H454" s="2623">
        <v>61.704403999999997</v>
      </c>
      <c r="I454" s="2623">
        <v>61.023367999999998</v>
      </c>
      <c r="J454" s="2623"/>
      <c r="K454" s="2623"/>
      <c r="L454" s="2623"/>
      <c r="M454" s="2623"/>
      <c r="N454" s="2623"/>
      <c r="O454" s="2623"/>
      <c r="P454" s="2623"/>
      <c r="Q454" s="2623"/>
      <c r="R454" s="2631"/>
    </row>
    <row r="455" spans="1:18">
      <c r="A455" s="2615"/>
      <c r="B455" s="2618" t="s">
        <v>5460</v>
      </c>
      <c r="C455" s="2622" t="s">
        <v>5232</v>
      </c>
      <c r="D455" s="2623">
        <v>64.962000000000003</v>
      </c>
      <c r="E455" s="2623">
        <v>64.682000000000002</v>
      </c>
      <c r="F455" s="2623">
        <v>63.662962</v>
      </c>
      <c r="G455" s="2623">
        <v>63.482962000000001</v>
      </c>
      <c r="H455" s="2623">
        <v>62.796936000000002</v>
      </c>
      <c r="I455" s="2623">
        <v>62.250912</v>
      </c>
      <c r="J455" s="2623"/>
      <c r="K455" s="2623" t="s">
        <v>5233</v>
      </c>
      <c r="L455" s="2623">
        <v>62.834935999999999</v>
      </c>
      <c r="M455" s="2623">
        <v>63.209935999999999</v>
      </c>
      <c r="N455" s="2623">
        <v>63.700961999999997</v>
      </c>
      <c r="O455" s="2623">
        <v>63.936962000000001</v>
      </c>
      <c r="P455" s="2623">
        <v>65</v>
      </c>
      <c r="Q455" s="2623">
        <v>65.524675999999999</v>
      </c>
      <c r="R455" s="2631">
        <v>60</v>
      </c>
    </row>
    <row r="456" spans="1:18">
      <c r="A456" s="2615"/>
      <c r="B456" s="2618" t="s">
        <v>5460</v>
      </c>
      <c r="C456" s="2622" t="s">
        <v>5234</v>
      </c>
      <c r="D456" s="2623">
        <v>64.962000000000003</v>
      </c>
      <c r="E456" s="2623">
        <v>64.682000000000002</v>
      </c>
      <c r="F456" s="2623">
        <v>63.662962</v>
      </c>
      <c r="G456" s="2623">
        <v>63.550961999999998</v>
      </c>
      <c r="H456" s="2623">
        <v>62.796936000000002</v>
      </c>
      <c r="I456" s="2623">
        <v>62.318911999999997</v>
      </c>
      <c r="J456" s="2623"/>
      <c r="K456" s="2623"/>
      <c r="L456" s="2623"/>
      <c r="M456" s="2623"/>
      <c r="N456" s="2623"/>
      <c r="O456" s="2623"/>
      <c r="P456" s="2623"/>
      <c r="Q456" s="2623"/>
      <c r="R456" s="2631"/>
    </row>
    <row r="457" spans="1:18">
      <c r="A457" s="2615"/>
      <c r="B457" s="2622" t="s">
        <v>5461</v>
      </c>
      <c r="C457" s="2622" t="s">
        <v>5232</v>
      </c>
      <c r="D457" s="2623">
        <v>64.968000000000004</v>
      </c>
      <c r="E457" s="2623">
        <v>64.731999999999999</v>
      </c>
      <c r="F457" s="2623">
        <v>63.994</v>
      </c>
      <c r="G457" s="2623">
        <v>63.834000000000003</v>
      </c>
      <c r="H457" s="2623">
        <v>63.344000000000001</v>
      </c>
      <c r="I457" s="2623">
        <v>62.91</v>
      </c>
      <c r="J457" s="2623"/>
      <c r="K457" s="2623" t="s">
        <v>5233</v>
      </c>
      <c r="L457" s="2623">
        <v>63.375999999999998</v>
      </c>
      <c r="M457" s="2623">
        <v>63.676000000000002</v>
      </c>
      <c r="N457" s="2623">
        <v>64.025999999999996</v>
      </c>
      <c r="O457" s="2623">
        <v>64.238</v>
      </c>
      <c r="P457" s="2623">
        <v>65</v>
      </c>
      <c r="Q457" s="2623">
        <v>65.427999999999997</v>
      </c>
      <c r="R457" s="2631">
        <v>59</v>
      </c>
    </row>
    <row r="458" spans="1:18">
      <c r="A458" s="2615"/>
      <c r="B458" s="2622" t="s">
        <v>5461</v>
      </c>
      <c r="C458" s="2622" t="s">
        <v>5234</v>
      </c>
      <c r="D458" s="2623">
        <v>64.968000000000004</v>
      </c>
      <c r="E458" s="2623">
        <v>64.731999999999999</v>
      </c>
      <c r="F458" s="2623">
        <v>63.994</v>
      </c>
      <c r="G458" s="2623">
        <v>63.893999999999998</v>
      </c>
      <c r="H458" s="2623">
        <v>63.344000000000001</v>
      </c>
      <c r="I458" s="2623">
        <v>62.97</v>
      </c>
      <c r="J458" s="2623"/>
      <c r="K458" s="2623"/>
      <c r="L458" s="2623"/>
      <c r="M458" s="2623"/>
      <c r="N458" s="2623"/>
      <c r="O458" s="2623"/>
      <c r="P458" s="2623"/>
      <c r="Q458" s="2623"/>
      <c r="R458" s="2631"/>
    </row>
    <row r="459" spans="1:18">
      <c r="A459" s="2615">
        <v>68</v>
      </c>
      <c r="B459" s="2618" t="s">
        <v>5462</v>
      </c>
      <c r="C459" s="2622" t="s">
        <v>5232</v>
      </c>
      <c r="D459" s="2623">
        <v>67.92</v>
      </c>
      <c r="E459" s="2623">
        <v>67.319999999999993</v>
      </c>
      <c r="F459" s="2623">
        <v>64.022886</v>
      </c>
      <c r="G459" s="2623">
        <v>63.742885999999999</v>
      </c>
      <c r="H459" s="2623">
        <v>61.424807999999999</v>
      </c>
      <c r="I459" s="2623">
        <v>60.046736000000003</v>
      </c>
      <c r="J459" s="2623"/>
      <c r="K459" s="2623" t="s">
        <v>5233</v>
      </c>
      <c r="L459" s="2623">
        <v>61.504807999999997</v>
      </c>
      <c r="M459" s="2623">
        <v>62.304808000000001</v>
      </c>
      <c r="N459" s="2623">
        <v>64.102885999999998</v>
      </c>
      <c r="O459" s="2623">
        <v>64.477885999999998</v>
      </c>
      <c r="P459" s="2623">
        <v>68</v>
      </c>
      <c r="Q459" s="2623">
        <v>69.241028</v>
      </c>
      <c r="R459" s="2631">
        <v>60</v>
      </c>
    </row>
    <row r="460" spans="1:18">
      <c r="A460" s="2615"/>
      <c r="B460" s="2618" t="s">
        <v>5462</v>
      </c>
      <c r="C460" s="2622" t="s">
        <v>5234</v>
      </c>
      <c r="D460" s="2623">
        <v>67.92</v>
      </c>
      <c r="E460" s="2623">
        <v>67.319999999999993</v>
      </c>
      <c r="F460" s="2623">
        <v>64.022886</v>
      </c>
      <c r="G460" s="2623">
        <v>63.842886</v>
      </c>
      <c r="H460" s="2623">
        <v>61.424807999999999</v>
      </c>
      <c r="I460" s="2623">
        <v>60.146735999999997</v>
      </c>
      <c r="J460" s="2623"/>
      <c r="K460" s="2623"/>
      <c r="L460" s="2623"/>
      <c r="M460" s="2623"/>
      <c r="N460" s="2623"/>
      <c r="O460" s="2623"/>
      <c r="P460" s="2623"/>
      <c r="Q460" s="2623"/>
      <c r="R460" s="2631"/>
    </row>
    <row r="461" spans="1:18">
      <c r="A461" s="2615"/>
      <c r="B461" s="2618" t="s">
        <v>5463</v>
      </c>
      <c r="C461" s="2622" t="s">
        <v>5232</v>
      </c>
      <c r="D461" s="2623">
        <v>67.94</v>
      </c>
      <c r="E461" s="2623">
        <v>67.465000000000003</v>
      </c>
      <c r="F461" s="2623">
        <v>65.341924000000006</v>
      </c>
      <c r="G461" s="2623">
        <v>65.105924000000002</v>
      </c>
      <c r="H461" s="2623">
        <v>63.609872000000003</v>
      </c>
      <c r="I461" s="2623">
        <v>62.641824</v>
      </c>
      <c r="J461" s="2623"/>
      <c r="K461" s="2623" t="s">
        <v>5233</v>
      </c>
      <c r="L461" s="2623">
        <v>63.669871999999998</v>
      </c>
      <c r="M461" s="2623">
        <v>64.269872000000007</v>
      </c>
      <c r="N461" s="2623">
        <v>65.401923999999994</v>
      </c>
      <c r="O461" s="2623">
        <v>65.716924000000006</v>
      </c>
      <c r="P461" s="2623">
        <v>68</v>
      </c>
      <c r="Q461" s="2623">
        <v>68.892352000000002</v>
      </c>
      <c r="R461" s="2631">
        <v>60</v>
      </c>
    </row>
    <row r="462" spans="1:18">
      <c r="A462" s="2615"/>
      <c r="B462" s="2618" t="s">
        <v>5463</v>
      </c>
      <c r="C462" s="2622" t="s">
        <v>5234</v>
      </c>
      <c r="D462" s="2623">
        <v>67.94</v>
      </c>
      <c r="E462" s="2623">
        <v>67.465000000000003</v>
      </c>
      <c r="F462" s="2623">
        <v>65.341924000000006</v>
      </c>
      <c r="G462" s="2623">
        <v>65.191924</v>
      </c>
      <c r="H462" s="2623">
        <v>63.609872000000003</v>
      </c>
      <c r="I462" s="2623">
        <v>62.727823999999998</v>
      </c>
      <c r="J462" s="2623"/>
      <c r="K462" s="2623"/>
      <c r="L462" s="2623"/>
      <c r="M462" s="2623"/>
      <c r="N462" s="2623"/>
      <c r="O462" s="2623"/>
      <c r="P462" s="2623"/>
      <c r="Q462" s="2623"/>
      <c r="R462" s="2631"/>
    </row>
    <row r="463" spans="1:18">
      <c r="A463" s="2615"/>
      <c r="B463" s="2618" t="s">
        <v>5464</v>
      </c>
      <c r="C463" s="2622" t="s">
        <v>5232</v>
      </c>
      <c r="D463" s="2623">
        <v>67.951999999999998</v>
      </c>
      <c r="E463" s="2623">
        <v>67.576999999999998</v>
      </c>
      <c r="F463" s="2623">
        <v>66.003443000000004</v>
      </c>
      <c r="G463" s="2623">
        <v>65.791443000000001</v>
      </c>
      <c r="H463" s="2623">
        <v>64.704403999999997</v>
      </c>
      <c r="I463" s="2623">
        <v>63.943368</v>
      </c>
      <c r="J463" s="2623"/>
      <c r="K463" s="2623" t="s">
        <v>5233</v>
      </c>
      <c r="L463" s="2623">
        <v>64.752403999999999</v>
      </c>
      <c r="M463" s="2623">
        <v>65.252403999999999</v>
      </c>
      <c r="N463" s="2623">
        <v>66.051443000000006</v>
      </c>
      <c r="O463" s="2623">
        <v>66.331282999999999</v>
      </c>
      <c r="P463" s="2623">
        <v>68</v>
      </c>
      <c r="Q463" s="2623">
        <v>68.712853999999993</v>
      </c>
      <c r="R463" s="2631">
        <v>60</v>
      </c>
    </row>
    <row r="464" spans="1:18">
      <c r="A464" s="2615"/>
      <c r="B464" s="2618" t="s">
        <v>5464</v>
      </c>
      <c r="C464" s="2622" t="s">
        <v>5234</v>
      </c>
      <c r="D464" s="2623">
        <v>67.951999999999998</v>
      </c>
      <c r="E464" s="2623">
        <v>67.576999999999998</v>
      </c>
      <c r="F464" s="2623">
        <v>66.003443000000004</v>
      </c>
      <c r="G464" s="2623">
        <v>65.871442999999999</v>
      </c>
      <c r="H464" s="2623">
        <v>64.704403999999997</v>
      </c>
      <c r="I464" s="2623">
        <v>64.023368000000005</v>
      </c>
      <c r="J464" s="2623"/>
      <c r="K464" s="2623"/>
      <c r="L464" s="2623"/>
      <c r="M464" s="2623"/>
      <c r="N464" s="2623"/>
      <c r="O464" s="2623"/>
      <c r="P464" s="2623"/>
      <c r="Q464" s="2623"/>
      <c r="R464" s="2631"/>
    </row>
    <row r="465" spans="1:18">
      <c r="A465" s="2615"/>
      <c r="B465" s="2618" t="s">
        <v>5465</v>
      </c>
      <c r="C465" s="2622" t="s">
        <v>5232</v>
      </c>
      <c r="D465" s="2623">
        <v>67.962000000000003</v>
      </c>
      <c r="E465" s="2623">
        <v>67.682000000000002</v>
      </c>
      <c r="F465" s="2623">
        <v>66.662961999999993</v>
      </c>
      <c r="G465" s="2623">
        <v>66.482962000000001</v>
      </c>
      <c r="H465" s="2623">
        <v>65.796936000000002</v>
      </c>
      <c r="I465" s="2623">
        <v>65.250912</v>
      </c>
      <c r="J465" s="2623"/>
      <c r="K465" s="2623" t="s">
        <v>5233</v>
      </c>
      <c r="L465" s="2623">
        <v>65.834935999999999</v>
      </c>
      <c r="M465" s="2623">
        <v>66.209935999999999</v>
      </c>
      <c r="N465" s="2623">
        <v>66.700962000000004</v>
      </c>
      <c r="O465" s="2623">
        <v>66.936961999999994</v>
      </c>
      <c r="P465" s="2623">
        <v>68</v>
      </c>
      <c r="Q465" s="2623">
        <v>68.524675999999999</v>
      </c>
      <c r="R465" s="2631">
        <v>60</v>
      </c>
    </row>
    <row r="466" spans="1:18">
      <c r="A466" s="2615"/>
      <c r="B466" s="2618" t="s">
        <v>5465</v>
      </c>
      <c r="C466" s="2622" t="s">
        <v>5234</v>
      </c>
      <c r="D466" s="2623">
        <v>67.962000000000003</v>
      </c>
      <c r="E466" s="2623">
        <v>67.682000000000002</v>
      </c>
      <c r="F466" s="2623">
        <v>66.662961999999993</v>
      </c>
      <c r="G466" s="2623">
        <v>66.550961999999998</v>
      </c>
      <c r="H466" s="2623">
        <v>65.796936000000002</v>
      </c>
      <c r="I466" s="2623">
        <v>65.318911999999997</v>
      </c>
      <c r="J466" s="2623"/>
      <c r="K466" s="2623"/>
      <c r="L466" s="2623"/>
      <c r="M466" s="2623"/>
      <c r="N466" s="2623"/>
      <c r="O466" s="2623"/>
      <c r="P466" s="2623"/>
      <c r="Q466" s="2623"/>
      <c r="R466" s="2631"/>
    </row>
    <row r="467" spans="1:18">
      <c r="A467" s="2615"/>
      <c r="B467" s="2618" t="s">
        <v>5466</v>
      </c>
      <c r="C467" s="2622" t="s">
        <v>5232</v>
      </c>
      <c r="D467" s="2623">
        <v>67.968000000000004</v>
      </c>
      <c r="E467" s="2623">
        <v>67.731999999999999</v>
      </c>
      <c r="F467" s="2623">
        <v>66.993721500000007</v>
      </c>
      <c r="G467" s="2623">
        <v>66.833721499999996</v>
      </c>
      <c r="H467" s="2623">
        <v>66.344201999999996</v>
      </c>
      <c r="I467" s="2623">
        <v>65.909683999999999</v>
      </c>
      <c r="J467" s="2623"/>
      <c r="K467" s="2623" t="s">
        <v>5233</v>
      </c>
      <c r="L467" s="2623">
        <v>66.376202000000006</v>
      </c>
      <c r="M467" s="2623">
        <v>66.676202000000004</v>
      </c>
      <c r="N467" s="2623">
        <v>67.025721500000003</v>
      </c>
      <c r="O467" s="2623">
        <v>67.237721500000006</v>
      </c>
      <c r="P467" s="2623">
        <v>68</v>
      </c>
      <c r="Q467" s="2623">
        <v>68.428506999999996</v>
      </c>
      <c r="R467" s="2631">
        <v>64</v>
      </c>
    </row>
    <row r="468" spans="1:18">
      <c r="A468" s="2615"/>
      <c r="B468" s="2618" t="s">
        <v>5466</v>
      </c>
      <c r="C468" s="2622" t="s">
        <v>5234</v>
      </c>
      <c r="D468" s="2623">
        <v>67.968000000000004</v>
      </c>
      <c r="E468" s="2623">
        <v>67.731999999999999</v>
      </c>
      <c r="F468" s="2623">
        <v>66.993721500000007</v>
      </c>
      <c r="G468" s="2623">
        <v>66.893721499999998</v>
      </c>
      <c r="H468" s="2623">
        <v>66.344201999999996</v>
      </c>
      <c r="I468" s="2623">
        <v>65.969684000000001</v>
      </c>
      <c r="J468" s="2623"/>
      <c r="K468" s="2623"/>
      <c r="L468" s="2623"/>
      <c r="M468" s="2623"/>
      <c r="N468" s="2623"/>
      <c r="O468" s="2623"/>
      <c r="P468" s="2623"/>
      <c r="Q468" s="2623"/>
      <c r="R468" s="2631"/>
    </row>
    <row r="469" spans="1:18">
      <c r="A469" s="2615"/>
      <c r="B469" s="2618" t="s">
        <v>5467</v>
      </c>
      <c r="C469" s="2622" t="s">
        <v>5232</v>
      </c>
      <c r="D469" s="2623">
        <v>67.974000000000004</v>
      </c>
      <c r="E469" s="2623">
        <v>67.793999999999997</v>
      </c>
      <c r="F469" s="2623">
        <v>67.324481000000006</v>
      </c>
      <c r="G469" s="2623">
        <v>67.184481000000005</v>
      </c>
      <c r="H469" s="2623">
        <v>66.891468000000003</v>
      </c>
      <c r="I469" s="2623">
        <v>66.568455999999998</v>
      </c>
      <c r="J469" s="2623"/>
      <c r="K469" s="2623" t="s">
        <v>5233</v>
      </c>
      <c r="L469" s="2623">
        <v>66.917468</v>
      </c>
      <c r="M469" s="2623">
        <v>67.153468000000004</v>
      </c>
      <c r="N469" s="2623">
        <v>67.350481000000002</v>
      </c>
      <c r="O469" s="2623">
        <v>67.540481</v>
      </c>
      <c r="P469" s="2623">
        <v>68</v>
      </c>
      <c r="Q469" s="2623">
        <v>68.334338000000002</v>
      </c>
      <c r="R469" s="2631">
        <v>64</v>
      </c>
    </row>
    <row r="470" spans="1:18">
      <c r="A470" s="2615"/>
      <c r="B470" s="2618" t="s">
        <v>5467</v>
      </c>
      <c r="C470" s="2622" t="s">
        <v>5234</v>
      </c>
      <c r="D470" s="2623">
        <v>67.974000000000004</v>
      </c>
      <c r="E470" s="2623">
        <v>67.793999999999997</v>
      </c>
      <c r="F470" s="2623">
        <v>67.324481000000006</v>
      </c>
      <c r="G470" s="2623">
        <v>67.234481000000002</v>
      </c>
      <c r="H470" s="2623">
        <v>66.891468000000003</v>
      </c>
      <c r="I470" s="2623">
        <v>66.618455999999995</v>
      </c>
      <c r="J470" s="2623"/>
      <c r="K470" s="2623"/>
      <c r="L470" s="2623"/>
      <c r="M470" s="2623"/>
      <c r="N470" s="2623"/>
      <c r="O470" s="2623"/>
      <c r="P470" s="2623"/>
      <c r="Q470" s="2623"/>
      <c r="R470" s="2631"/>
    </row>
    <row r="471" spans="1:18">
      <c r="A471" s="2615">
        <v>70</v>
      </c>
      <c r="B471" s="2618" t="s">
        <v>5468</v>
      </c>
      <c r="C471" s="2622" t="s">
        <v>5232</v>
      </c>
      <c r="D471" s="2623">
        <v>69.92</v>
      </c>
      <c r="E471" s="2623">
        <v>69.319999999999993</v>
      </c>
      <c r="F471" s="2623">
        <v>66.022886</v>
      </c>
      <c r="G471" s="2623">
        <v>65.742885999999999</v>
      </c>
      <c r="H471" s="2623">
        <v>63.424807999999999</v>
      </c>
      <c r="I471" s="2623">
        <v>62.046736000000003</v>
      </c>
      <c r="J471" s="2623"/>
      <c r="K471" s="2623" t="s">
        <v>5233</v>
      </c>
      <c r="L471" s="2623">
        <v>63.504807999999997</v>
      </c>
      <c r="M471" s="2623">
        <v>64.304807999999994</v>
      </c>
      <c r="N471" s="2623">
        <v>66.102885999999998</v>
      </c>
      <c r="O471" s="2623">
        <v>66.477885999999998</v>
      </c>
      <c r="P471" s="2623">
        <v>70</v>
      </c>
      <c r="Q471" s="2623">
        <v>71.241028</v>
      </c>
      <c r="R471" s="2631">
        <v>60</v>
      </c>
    </row>
    <row r="472" spans="1:18">
      <c r="A472" s="2615"/>
      <c r="B472" s="2618" t="s">
        <v>5468</v>
      </c>
      <c r="C472" s="2622" t="s">
        <v>5234</v>
      </c>
      <c r="D472" s="2623">
        <v>69.92</v>
      </c>
      <c r="E472" s="2623">
        <v>69.319999999999993</v>
      </c>
      <c r="F472" s="2623">
        <v>66.022886</v>
      </c>
      <c r="G472" s="2623">
        <v>65.842885999999993</v>
      </c>
      <c r="H472" s="2623">
        <v>63.424807999999999</v>
      </c>
      <c r="I472" s="2623">
        <v>62.146735999999997</v>
      </c>
      <c r="J472" s="2623"/>
      <c r="K472" s="2623"/>
      <c r="L472" s="2623"/>
      <c r="M472" s="2623"/>
      <c r="N472" s="2623"/>
      <c r="O472" s="2623"/>
      <c r="P472" s="2623"/>
      <c r="Q472" s="2623"/>
      <c r="R472" s="2631"/>
    </row>
    <row r="473" spans="1:18">
      <c r="A473" s="2615"/>
      <c r="B473" s="2618" t="s">
        <v>5469</v>
      </c>
      <c r="C473" s="2622" t="s">
        <v>5232</v>
      </c>
      <c r="D473" s="2623">
        <v>69.94</v>
      </c>
      <c r="E473" s="2623">
        <v>69.465000000000003</v>
      </c>
      <c r="F473" s="2623">
        <v>67.341924000000006</v>
      </c>
      <c r="G473" s="2623">
        <v>67.105924000000002</v>
      </c>
      <c r="H473" s="2623">
        <v>65.609871999999996</v>
      </c>
      <c r="I473" s="2623">
        <v>64.641824</v>
      </c>
      <c r="J473" s="2623"/>
      <c r="K473" s="2623" t="s">
        <v>5233</v>
      </c>
      <c r="L473" s="2623">
        <v>65.669871999999998</v>
      </c>
      <c r="M473" s="2623">
        <v>66.269872000000007</v>
      </c>
      <c r="N473" s="2623">
        <v>67.401923999999994</v>
      </c>
      <c r="O473" s="2623">
        <v>67.716924000000006</v>
      </c>
      <c r="P473" s="2623">
        <v>70</v>
      </c>
      <c r="Q473" s="2623">
        <v>70.892352000000002</v>
      </c>
      <c r="R473" s="2631">
        <v>60</v>
      </c>
    </row>
    <row r="474" spans="1:18">
      <c r="A474" s="2615"/>
      <c r="B474" s="2618" t="s">
        <v>5469</v>
      </c>
      <c r="C474" s="2622" t="s">
        <v>5234</v>
      </c>
      <c r="D474" s="2623">
        <v>69.94</v>
      </c>
      <c r="E474" s="2623">
        <v>69.465000000000003</v>
      </c>
      <c r="F474" s="2623">
        <v>67.341924000000006</v>
      </c>
      <c r="G474" s="2623">
        <v>67.191924</v>
      </c>
      <c r="H474" s="2623">
        <v>65.609871999999996</v>
      </c>
      <c r="I474" s="2623">
        <v>64.727823999999998</v>
      </c>
      <c r="J474" s="2623"/>
      <c r="K474" s="2623"/>
      <c r="L474" s="2623"/>
      <c r="M474" s="2623"/>
      <c r="N474" s="2623"/>
      <c r="O474" s="2623"/>
      <c r="P474" s="2623"/>
      <c r="Q474" s="2623"/>
      <c r="R474" s="2631"/>
    </row>
    <row r="475" spans="1:18">
      <c r="A475" s="2615"/>
      <c r="B475" s="2618" t="s">
        <v>5470</v>
      </c>
      <c r="C475" s="2622" t="s">
        <v>5232</v>
      </c>
      <c r="D475" s="2623">
        <v>69.951999999999998</v>
      </c>
      <c r="E475" s="2623">
        <v>69.576999999999998</v>
      </c>
      <c r="F475" s="2623">
        <v>68.003443000000004</v>
      </c>
      <c r="G475" s="2623">
        <v>67.791443000000001</v>
      </c>
      <c r="H475" s="2623">
        <v>66.704403999999997</v>
      </c>
      <c r="I475" s="2623">
        <v>65.943368000000007</v>
      </c>
      <c r="J475" s="2623"/>
      <c r="K475" s="2623" t="s">
        <v>5233</v>
      </c>
      <c r="L475" s="2623">
        <v>66.752403999999999</v>
      </c>
      <c r="M475" s="2623">
        <v>67.252403999999999</v>
      </c>
      <c r="N475" s="2623">
        <v>68.051443000000006</v>
      </c>
      <c r="O475" s="2623">
        <v>68.331282999999999</v>
      </c>
      <c r="P475" s="2623">
        <v>70</v>
      </c>
      <c r="Q475" s="2623">
        <v>70.712853999999993</v>
      </c>
      <c r="R475" s="2631">
        <v>64</v>
      </c>
    </row>
    <row r="476" spans="1:18">
      <c r="A476" s="2615"/>
      <c r="B476" s="2618" t="s">
        <v>5470</v>
      </c>
      <c r="C476" s="2622" t="s">
        <v>5234</v>
      </c>
      <c r="D476" s="2623">
        <v>69.951999999999998</v>
      </c>
      <c r="E476" s="2623">
        <v>69.576999999999998</v>
      </c>
      <c r="F476" s="2623">
        <v>68.003443000000004</v>
      </c>
      <c r="G476" s="2623">
        <v>67.871442999999999</v>
      </c>
      <c r="H476" s="2623">
        <v>66.704403999999997</v>
      </c>
      <c r="I476" s="2623">
        <v>66.023368000000005</v>
      </c>
      <c r="J476" s="2623"/>
      <c r="K476" s="2623"/>
      <c r="L476" s="2623"/>
      <c r="M476" s="2623"/>
      <c r="N476" s="2623"/>
      <c r="O476" s="2623"/>
      <c r="P476" s="2623"/>
      <c r="Q476" s="2623"/>
      <c r="R476" s="2631"/>
    </row>
    <row r="477" spans="1:18">
      <c r="A477" s="2615"/>
      <c r="B477" s="2618" t="s">
        <v>5471</v>
      </c>
      <c r="C477" s="2622" t="s">
        <v>5232</v>
      </c>
      <c r="D477" s="2623">
        <v>69.962000000000003</v>
      </c>
      <c r="E477" s="2623">
        <v>69.682000000000002</v>
      </c>
      <c r="F477" s="2623">
        <v>68.662961999999993</v>
      </c>
      <c r="G477" s="2623">
        <v>68.482962000000001</v>
      </c>
      <c r="H477" s="2623">
        <v>67.796936000000002</v>
      </c>
      <c r="I477" s="2623">
        <v>67.250912</v>
      </c>
      <c r="J477" s="2623"/>
      <c r="K477" s="2623" t="s">
        <v>5233</v>
      </c>
      <c r="L477" s="2623">
        <v>67.834935999999999</v>
      </c>
      <c r="M477" s="2623">
        <v>68.209935999999999</v>
      </c>
      <c r="N477" s="2623">
        <v>68.700962000000004</v>
      </c>
      <c r="O477" s="2623">
        <v>68.936961999999994</v>
      </c>
      <c r="P477" s="2623">
        <v>70</v>
      </c>
      <c r="Q477" s="2623">
        <v>70.524675999999999</v>
      </c>
      <c r="R477" s="2631">
        <v>64</v>
      </c>
    </row>
    <row r="478" spans="1:18">
      <c r="A478" s="2615"/>
      <c r="B478" s="2618" t="s">
        <v>5471</v>
      </c>
      <c r="C478" s="2622" t="s">
        <v>5234</v>
      </c>
      <c r="D478" s="2623">
        <v>69.962000000000003</v>
      </c>
      <c r="E478" s="2623">
        <v>69.682000000000002</v>
      </c>
      <c r="F478" s="2623">
        <v>68.662961999999993</v>
      </c>
      <c r="G478" s="2623">
        <v>68.550961999999998</v>
      </c>
      <c r="H478" s="2623">
        <v>67.796936000000002</v>
      </c>
      <c r="I478" s="2623">
        <v>67.318911999999997</v>
      </c>
      <c r="J478" s="2623"/>
      <c r="K478" s="2623"/>
      <c r="L478" s="2623"/>
      <c r="M478" s="2623"/>
      <c r="N478" s="2623"/>
      <c r="O478" s="2623"/>
      <c r="P478" s="2623"/>
      <c r="Q478" s="2623"/>
      <c r="R478" s="2631"/>
    </row>
    <row r="479" spans="1:18">
      <c r="A479" s="2615"/>
      <c r="B479" s="2622" t="s">
        <v>5472</v>
      </c>
      <c r="C479" s="2622" t="s">
        <v>5232</v>
      </c>
      <c r="D479" s="2623">
        <v>69.968000000000004</v>
      </c>
      <c r="E479" s="2623">
        <v>69.731999999999999</v>
      </c>
      <c r="F479" s="2623">
        <v>68.994</v>
      </c>
      <c r="G479" s="2623">
        <v>68.834000000000003</v>
      </c>
      <c r="H479" s="2623">
        <v>68.343999999999994</v>
      </c>
      <c r="I479" s="2623">
        <v>67.91</v>
      </c>
      <c r="J479" s="2623"/>
      <c r="K479" s="2623" t="s">
        <v>5233</v>
      </c>
      <c r="L479" s="2623">
        <v>68.376000000000005</v>
      </c>
      <c r="M479" s="2623">
        <v>68.676000000000002</v>
      </c>
      <c r="N479" s="2623">
        <v>69.025999999999996</v>
      </c>
      <c r="O479" s="2623">
        <v>69.238</v>
      </c>
      <c r="P479" s="2623">
        <v>70</v>
      </c>
      <c r="Q479" s="2623">
        <v>70.427999999999997</v>
      </c>
      <c r="R479" s="2631">
        <v>64</v>
      </c>
    </row>
    <row r="480" spans="1:18">
      <c r="A480" s="2615"/>
      <c r="B480" s="2622" t="s">
        <v>5472</v>
      </c>
      <c r="C480" s="2622" t="s">
        <v>5234</v>
      </c>
      <c r="D480" s="2623">
        <v>69.968000000000004</v>
      </c>
      <c r="E480" s="2623">
        <v>69.731999999999999</v>
      </c>
      <c r="F480" s="2623">
        <v>68.994</v>
      </c>
      <c r="G480" s="2623">
        <v>68.894000000000005</v>
      </c>
      <c r="H480" s="2623">
        <v>68.343999999999994</v>
      </c>
      <c r="I480" s="2623">
        <v>67.97</v>
      </c>
      <c r="J480" s="2623"/>
      <c r="K480" s="2623"/>
      <c r="L480" s="2623"/>
      <c r="M480" s="2623"/>
      <c r="N480" s="2623"/>
      <c r="O480" s="2623"/>
      <c r="P480" s="2623"/>
      <c r="Q480" s="2623"/>
      <c r="R480" s="2631"/>
    </row>
    <row r="481" spans="1:18">
      <c r="A481" s="2615">
        <v>72</v>
      </c>
      <c r="B481" s="2622" t="s">
        <v>5473</v>
      </c>
      <c r="C481" s="2622" t="s">
        <v>5232</v>
      </c>
      <c r="D481" s="2623">
        <v>71.92</v>
      </c>
      <c r="E481" s="2623">
        <v>71.319999999999993</v>
      </c>
      <c r="F481" s="2623">
        <v>68.022999999999996</v>
      </c>
      <c r="G481" s="2623">
        <v>67.742999999999995</v>
      </c>
      <c r="H481" s="2623">
        <v>65.424999999999997</v>
      </c>
      <c r="I481" s="2623">
        <v>64.046999999999997</v>
      </c>
      <c r="J481" s="2623"/>
      <c r="K481" s="2623" t="s">
        <v>5233</v>
      </c>
      <c r="L481" s="2623">
        <v>65.504999999999995</v>
      </c>
      <c r="M481" s="2623">
        <v>66.305000000000007</v>
      </c>
      <c r="N481" s="2623">
        <v>68.102999999999994</v>
      </c>
      <c r="O481" s="2623">
        <v>68.477999999999994</v>
      </c>
      <c r="P481" s="2623">
        <v>72</v>
      </c>
      <c r="Q481" s="2623">
        <v>73.241</v>
      </c>
      <c r="R481" s="2631">
        <v>65</v>
      </c>
    </row>
    <row r="482" spans="1:18">
      <c r="A482" s="2615"/>
      <c r="B482" s="2622" t="s">
        <v>5473</v>
      </c>
      <c r="C482" s="2622" t="s">
        <v>5234</v>
      </c>
      <c r="D482" s="2623">
        <v>71.92</v>
      </c>
      <c r="E482" s="2623">
        <v>71.319999999999993</v>
      </c>
      <c r="F482" s="2623">
        <v>68.022999999999996</v>
      </c>
      <c r="G482" s="2623">
        <v>67.843000000000004</v>
      </c>
      <c r="H482" s="2623">
        <v>65.424999999999997</v>
      </c>
      <c r="I482" s="2623">
        <v>64.147000000000006</v>
      </c>
      <c r="J482" s="2623"/>
      <c r="K482" s="2623"/>
      <c r="L482" s="2623"/>
      <c r="M482" s="2623"/>
      <c r="N482" s="2623"/>
      <c r="O482" s="2623"/>
      <c r="P482" s="2623"/>
      <c r="Q482" s="2623"/>
      <c r="R482" s="2631"/>
    </row>
    <row r="483" spans="1:18">
      <c r="A483" s="2615"/>
      <c r="B483" s="2618" t="s">
        <v>5474</v>
      </c>
      <c r="C483" s="2622" t="s">
        <v>5232</v>
      </c>
      <c r="D483" s="2623">
        <v>71.94</v>
      </c>
      <c r="E483" s="2623">
        <v>71.465000000000003</v>
      </c>
      <c r="F483" s="2623">
        <v>69.341924000000006</v>
      </c>
      <c r="G483" s="2623">
        <v>69.105924000000002</v>
      </c>
      <c r="H483" s="2623">
        <v>67.609871999999996</v>
      </c>
      <c r="I483" s="2623">
        <v>66.641824</v>
      </c>
      <c r="J483" s="2623"/>
      <c r="K483" s="2623" t="s">
        <v>5233</v>
      </c>
      <c r="L483" s="2623">
        <v>67.669871999999998</v>
      </c>
      <c r="M483" s="2623">
        <v>68.269872000000007</v>
      </c>
      <c r="N483" s="2623">
        <v>69.401923999999994</v>
      </c>
      <c r="O483" s="2623">
        <v>69.716924000000006</v>
      </c>
      <c r="P483" s="2623">
        <v>72</v>
      </c>
      <c r="Q483" s="2623">
        <v>72.892352000000002</v>
      </c>
      <c r="R483" s="2631">
        <v>64</v>
      </c>
    </row>
    <row r="484" spans="1:18">
      <c r="A484" s="2615"/>
      <c r="B484" s="2618" t="s">
        <v>5474</v>
      </c>
      <c r="C484" s="2622" t="s">
        <v>5234</v>
      </c>
      <c r="D484" s="2623">
        <v>71.94</v>
      </c>
      <c r="E484" s="2623">
        <v>71.465000000000003</v>
      </c>
      <c r="F484" s="2623">
        <v>69.341924000000006</v>
      </c>
      <c r="G484" s="2623">
        <v>69.191924</v>
      </c>
      <c r="H484" s="2623">
        <v>67.609871999999996</v>
      </c>
      <c r="I484" s="2623">
        <v>66.727823999999998</v>
      </c>
      <c r="J484" s="2623"/>
      <c r="K484" s="2623"/>
      <c r="L484" s="2623"/>
      <c r="M484" s="2623"/>
      <c r="N484" s="2623"/>
      <c r="O484" s="2623"/>
      <c r="P484" s="2623"/>
      <c r="Q484" s="2623"/>
      <c r="R484" s="2631"/>
    </row>
    <row r="485" spans="1:18">
      <c r="A485" s="2615"/>
      <c r="B485" s="2618" t="s">
        <v>5475</v>
      </c>
      <c r="C485" s="2622" t="s">
        <v>5232</v>
      </c>
      <c r="D485" s="2623">
        <v>71.951999999999998</v>
      </c>
      <c r="E485" s="2623">
        <v>71.576999999999998</v>
      </c>
      <c r="F485" s="2623">
        <v>70.003443000000004</v>
      </c>
      <c r="G485" s="2623">
        <v>69.791443000000001</v>
      </c>
      <c r="H485" s="2623">
        <v>68.704403999999997</v>
      </c>
      <c r="I485" s="2623">
        <v>67.943368000000007</v>
      </c>
      <c r="J485" s="2623"/>
      <c r="K485" s="2623" t="s">
        <v>5233</v>
      </c>
      <c r="L485" s="2623">
        <v>68.752403999999999</v>
      </c>
      <c r="M485" s="2623">
        <v>69.252403999999999</v>
      </c>
      <c r="N485" s="2623">
        <v>70.051443000000006</v>
      </c>
      <c r="O485" s="2623">
        <v>70.331282999999999</v>
      </c>
      <c r="P485" s="2623">
        <v>72</v>
      </c>
      <c r="Q485" s="2623">
        <v>72.712853999999993</v>
      </c>
      <c r="R485" s="2631">
        <v>65</v>
      </c>
    </row>
    <row r="486" spans="1:18">
      <c r="A486" s="2615"/>
      <c r="B486" s="2618" t="s">
        <v>5475</v>
      </c>
      <c r="C486" s="2622" t="s">
        <v>5234</v>
      </c>
      <c r="D486" s="2623">
        <v>71.951999999999998</v>
      </c>
      <c r="E486" s="2623">
        <v>71.576999999999998</v>
      </c>
      <c r="F486" s="2623">
        <v>70.003443000000004</v>
      </c>
      <c r="G486" s="2623">
        <v>69.871442999999999</v>
      </c>
      <c r="H486" s="2623">
        <v>68.704403999999997</v>
      </c>
      <c r="I486" s="2623">
        <v>68.023368000000005</v>
      </c>
      <c r="J486" s="2623"/>
      <c r="K486" s="2623"/>
      <c r="L486" s="2623"/>
      <c r="M486" s="2623"/>
      <c r="N486" s="2623"/>
      <c r="O486" s="2623"/>
      <c r="P486" s="2623"/>
      <c r="Q486" s="2623"/>
      <c r="R486" s="2631"/>
    </row>
    <row r="487" spans="1:18">
      <c r="A487" s="2615"/>
      <c r="B487" s="2622" t="s">
        <v>5476</v>
      </c>
      <c r="C487" s="2622" t="s">
        <v>5232</v>
      </c>
      <c r="D487" s="2623">
        <v>71.962000000000003</v>
      </c>
      <c r="E487" s="2623">
        <v>71.682000000000002</v>
      </c>
      <c r="F487" s="2623">
        <v>70.662999999999997</v>
      </c>
      <c r="G487" s="2623">
        <v>70.483000000000004</v>
      </c>
      <c r="H487" s="2623">
        <v>69.796999999999997</v>
      </c>
      <c r="I487" s="2623">
        <v>69.251000000000005</v>
      </c>
      <c r="J487" s="2623"/>
      <c r="K487" s="2623" t="s">
        <v>5233</v>
      </c>
      <c r="L487" s="2623">
        <v>69.834999999999994</v>
      </c>
      <c r="M487" s="2623">
        <v>70.209999999999994</v>
      </c>
      <c r="N487" s="2623">
        <v>70.700999999999993</v>
      </c>
      <c r="O487" s="2623">
        <v>70.936999999999998</v>
      </c>
      <c r="P487" s="2623">
        <v>72</v>
      </c>
      <c r="Q487" s="2623">
        <v>72.525000000000006</v>
      </c>
      <c r="R487" s="2631">
        <v>65</v>
      </c>
    </row>
    <row r="488" spans="1:18">
      <c r="A488" s="2615"/>
      <c r="B488" s="2622" t="s">
        <v>5476</v>
      </c>
      <c r="C488" s="2622" t="s">
        <v>5234</v>
      </c>
      <c r="D488" s="2623">
        <v>71.962000000000003</v>
      </c>
      <c r="E488" s="2623">
        <v>71.682000000000002</v>
      </c>
      <c r="F488" s="2623">
        <v>70.662999999999997</v>
      </c>
      <c r="G488" s="2623">
        <v>70.551000000000002</v>
      </c>
      <c r="H488" s="2623">
        <v>69.796999999999997</v>
      </c>
      <c r="I488" s="2623">
        <v>69.319000000000003</v>
      </c>
      <c r="J488" s="2623"/>
      <c r="K488" s="2623"/>
      <c r="L488" s="2623"/>
      <c r="M488" s="2623"/>
      <c r="N488" s="2623"/>
      <c r="O488" s="2623"/>
      <c r="P488" s="2623"/>
      <c r="Q488" s="2623"/>
      <c r="R488" s="2631"/>
    </row>
    <row r="489" spans="1:18">
      <c r="A489" s="2615"/>
      <c r="B489" s="2618" t="s">
        <v>5477</v>
      </c>
      <c r="C489" s="2622" t="s">
        <v>5232</v>
      </c>
      <c r="D489" s="2623">
        <v>71.968000000000004</v>
      </c>
      <c r="E489" s="2623">
        <v>71.731999999999999</v>
      </c>
      <c r="F489" s="2623">
        <v>70.993721500000007</v>
      </c>
      <c r="G489" s="2623">
        <v>70.833721499999996</v>
      </c>
      <c r="H489" s="2623">
        <v>70.344201999999996</v>
      </c>
      <c r="I489" s="2623">
        <v>69.909683999999999</v>
      </c>
      <c r="J489" s="2623"/>
      <c r="K489" s="2623" t="s">
        <v>5233</v>
      </c>
      <c r="L489" s="2623">
        <v>70.376202000000006</v>
      </c>
      <c r="M489" s="2623">
        <v>70.676202000000004</v>
      </c>
      <c r="N489" s="2623">
        <v>71.025721500000003</v>
      </c>
      <c r="O489" s="2623">
        <v>71.237721500000006</v>
      </c>
      <c r="P489" s="2623">
        <v>72</v>
      </c>
      <c r="Q489" s="2623">
        <v>72.428506999999996</v>
      </c>
      <c r="R489" s="2631">
        <v>68</v>
      </c>
    </row>
    <row r="490" spans="1:18">
      <c r="A490" s="2615"/>
      <c r="B490" s="2618" t="s">
        <v>5477</v>
      </c>
      <c r="C490" s="2622" t="s">
        <v>5234</v>
      </c>
      <c r="D490" s="2623">
        <v>71.968000000000004</v>
      </c>
      <c r="E490" s="2623">
        <v>71.731999999999999</v>
      </c>
      <c r="F490" s="2623">
        <v>70.993721500000007</v>
      </c>
      <c r="G490" s="2623">
        <v>70.893721499999998</v>
      </c>
      <c r="H490" s="2623">
        <v>70.344201999999996</v>
      </c>
      <c r="I490" s="2623">
        <v>69.969684000000001</v>
      </c>
      <c r="J490" s="2623"/>
      <c r="K490" s="2623"/>
      <c r="L490" s="2623"/>
      <c r="M490" s="2623"/>
      <c r="N490" s="2623"/>
      <c r="O490" s="2623"/>
      <c r="P490" s="2623"/>
      <c r="Q490" s="2623"/>
      <c r="R490" s="2631"/>
    </row>
    <row r="491" spans="1:18">
      <c r="A491" s="2615"/>
      <c r="B491" s="2618" t="s">
        <v>5478</v>
      </c>
      <c r="C491" s="2622" t="s">
        <v>5232</v>
      </c>
      <c r="D491" s="2623">
        <v>71.974000000000004</v>
      </c>
      <c r="E491" s="2623">
        <v>71.793999999999997</v>
      </c>
      <c r="F491" s="2623">
        <v>71.324481000000006</v>
      </c>
      <c r="G491" s="2623">
        <v>71.184481000000005</v>
      </c>
      <c r="H491" s="2623">
        <v>70.891468000000003</v>
      </c>
      <c r="I491" s="2623">
        <v>70.568455999999998</v>
      </c>
      <c r="J491" s="2623"/>
      <c r="K491" s="2623" t="s">
        <v>5233</v>
      </c>
      <c r="L491" s="2623">
        <v>70.917468</v>
      </c>
      <c r="M491" s="2623">
        <v>71.153468000000004</v>
      </c>
      <c r="N491" s="2623">
        <v>71.350481000000002</v>
      </c>
      <c r="O491" s="2623">
        <v>71.540481</v>
      </c>
      <c r="P491" s="2623">
        <v>72</v>
      </c>
      <c r="Q491" s="2623">
        <v>72.334338000000002</v>
      </c>
      <c r="R491" s="2631">
        <v>68</v>
      </c>
    </row>
    <row r="492" spans="1:18">
      <c r="A492" s="2615"/>
      <c r="B492" s="2618" t="s">
        <v>5478</v>
      </c>
      <c r="C492" s="2622" t="s">
        <v>5234</v>
      </c>
      <c r="D492" s="2623">
        <v>71.974000000000004</v>
      </c>
      <c r="E492" s="2623">
        <v>71.793999999999997</v>
      </c>
      <c r="F492" s="2623">
        <v>71.324481000000006</v>
      </c>
      <c r="G492" s="2623">
        <v>71.234481000000002</v>
      </c>
      <c r="H492" s="2623">
        <v>70.891468000000003</v>
      </c>
      <c r="I492" s="2623">
        <v>70.618455999999995</v>
      </c>
      <c r="J492" s="2623"/>
      <c r="K492" s="2623"/>
      <c r="L492" s="2623"/>
      <c r="M492" s="2623"/>
      <c r="N492" s="2623"/>
      <c r="O492" s="2623"/>
      <c r="P492" s="2623"/>
      <c r="Q492" s="2623"/>
      <c r="R492" s="2631"/>
    </row>
    <row r="493" spans="1:18">
      <c r="A493" s="2615">
        <v>75</v>
      </c>
      <c r="B493" s="2618" t="s">
        <v>5479</v>
      </c>
      <c r="C493" s="2622" t="s">
        <v>5232</v>
      </c>
      <c r="D493" s="2623">
        <v>74.92</v>
      </c>
      <c r="E493" s="2623">
        <v>74.319999999999993</v>
      </c>
      <c r="F493" s="2623">
        <v>71.022886</v>
      </c>
      <c r="G493" s="2623">
        <v>70.742885999999999</v>
      </c>
      <c r="H493" s="2623">
        <v>68.424807999999999</v>
      </c>
      <c r="I493" s="2623">
        <v>67.046735999999996</v>
      </c>
      <c r="J493" s="2623"/>
      <c r="K493" s="2623" t="s">
        <v>5233</v>
      </c>
      <c r="L493" s="2623">
        <v>68.504807999999997</v>
      </c>
      <c r="M493" s="2623">
        <v>69.304807999999994</v>
      </c>
      <c r="N493" s="2623">
        <v>71.102885999999998</v>
      </c>
      <c r="O493" s="2623">
        <v>71.477885999999998</v>
      </c>
      <c r="P493" s="2623">
        <v>75</v>
      </c>
      <c r="Q493" s="2623">
        <v>76.241028</v>
      </c>
      <c r="R493" s="2631">
        <v>65</v>
      </c>
    </row>
    <row r="494" spans="1:18">
      <c r="A494" s="2615"/>
      <c r="B494" s="2618" t="s">
        <v>5479</v>
      </c>
      <c r="C494" s="2622" t="s">
        <v>5234</v>
      </c>
      <c r="D494" s="2623">
        <v>74.92</v>
      </c>
      <c r="E494" s="2623">
        <v>74.319999999999993</v>
      </c>
      <c r="F494" s="2623">
        <v>71.022886</v>
      </c>
      <c r="G494" s="2623">
        <v>70.842885999999993</v>
      </c>
      <c r="H494" s="2623">
        <v>68.424807999999999</v>
      </c>
      <c r="I494" s="2623">
        <v>67.146736000000004</v>
      </c>
      <c r="J494" s="2623"/>
      <c r="K494" s="2623"/>
      <c r="L494" s="2623"/>
      <c r="M494" s="2623"/>
      <c r="N494" s="2623"/>
      <c r="O494" s="2623"/>
      <c r="P494" s="2623"/>
      <c r="Q494" s="2623"/>
      <c r="R494" s="2631"/>
    </row>
    <row r="495" spans="1:18">
      <c r="A495" s="2615"/>
      <c r="B495" s="2618" t="s">
        <v>5480</v>
      </c>
      <c r="C495" s="2622" t="s">
        <v>5232</v>
      </c>
      <c r="D495" s="2623">
        <v>74.94</v>
      </c>
      <c r="E495" s="2623">
        <v>74.465000000000003</v>
      </c>
      <c r="F495" s="2623">
        <v>72.341924000000006</v>
      </c>
      <c r="G495" s="2623">
        <v>72.105924000000002</v>
      </c>
      <c r="H495" s="2623">
        <v>70.609871999999996</v>
      </c>
      <c r="I495" s="2623">
        <v>69.641824</v>
      </c>
      <c r="J495" s="2623"/>
      <c r="K495" s="2623" t="s">
        <v>5233</v>
      </c>
      <c r="L495" s="2623">
        <v>70.669871999999998</v>
      </c>
      <c r="M495" s="2623">
        <v>71.269872000000007</v>
      </c>
      <c r="N495" s="2623">
        <v>72.401923999999994</v>
      </c>
      <c r="O495" s="2623">
        <v>72.716924000000006</v>
      </c>
      <c r="P495" s="2623">
        <v>75</v>
      </c>
      <c r="Q495" s="2623">
        <v>75.892352000000002</v>
      </c>
      <c r="R495" s="2631">
        <v>65</v>
      </c>
    </row>
    <row r="496" spans="1:18">
      <c r="A496" s="2615"/>
      <c r="B496" s="2618" t="s">
        <v>5480</v>
      </c>
      <c r="C496" s="2622" t="s">
        <v>5234</v>
      </c>
      <c r="D496" s="2623">
        <v>74.94</v>
      </c>
      <c r="E496" s="2623">
        <v>74.465000000000003</v>
      </c>
      <c r="F496" s="2623">
        <v>72.341924000000006</v>
      </c>
      <c r="G496" s="2623">
        <v>72.191924</v>
      </c>
      <c r="H496" s="2623">
        <v>70.609871999999996</v>
      </c>
      <c r="I496" s="2623">
        <v>69.727823999999998</v>
      </c>
      <c r="J496" s="2623"/>
      <c r="K496" s="2623"/>
      <c r="L496" s="2623"/>
      <c r="M496" s="2623"/>
      <c r="N496" s="2623"/>
      <c r="O496" s="2623"/>
      <c r="P496" s="2623"/>
      <c r="Q496" s="2623"/>
      <c r="R496" s="2631"/>
    </row>
    <row r="497" spans="1:18">
      <c r="A497" s="2615"/>
      <c r="B497" s="2618" t="s">
        <v>5481</v>
      </c>
      <c r="C497" s="2622" t="s">
        <v>5232</v>
      </c>
      <c r="D497" s="2623">
        <v>74.951999999999998</v>
      </c>
      <c r="E497" s="2623">
        <v>74.576999999999998</v>
      </c>
      <c r="F497" s="2623">
        <v>73.003443000000004</v>
      </c>
      <c r="G497" s="2623">
        <v>72.791443000000001</v>
      </c>
      <c r="H497" s="2623">
        <v>71.704403999999997</v>
      </c>
      <c r="I497" s="2623">
        <v>70.943368000000007</v>
      </c>
      <c r="J497" s="2623"/>
      <c r="K497" s="2623" t="s">
        <v>5233</v>
      </c>
      <c r="L497" s="2623">
        <v>71.752403999999999</v>
      </c>
      <c r="M497" s="2623">
        <v>72.252403999999999</v>
      </c>
      <c r="N497" s="2623">
        <v>73.051443000000006</v>
      </c>
      <c r="O497" s="2623">
        <v>73.331282999999999</v>
      </c>
      <c r="P497" s="2623">
        <v>75</v>
      </c>
      <c r="Q497" s="2623">
        <v>75.712853999999993</v>
      </c>
      <c r="R497" s="2631">
        <v>68</v>
      </c>
    </row>
    <row r="498" spans="1:18">
      <c r="A498" s="2615"/>
      <c r="B498" s="2618" t="s">
        <v>5481</v>
      </c>
      <c r="C498" s="2622" t="s">
        <v>5234</v>
      </c>
      <c r="D498" s="2623">
        <v>74.951999999999998</v>
      </c>
      <c r="E498" s="2623">
        <v>74.576999999999998</v>
      </c>
      <c r="F498" s="2623">
        <v>73.003443000000004</v>
      </c>
      <c r="G498" s="2623">
        <v>72.871442999999999</v>
      </c>
      <c r="H498" s="2623">
        <v>71.704403999999997</v>
      </c>
      <c r="I498" s="2623">
        <v>71.023368000000005</v>
      </c>
      <c r="J498" s="2623"/>
      <c r="K498" s="2623"/>
      <c r="L498" s="2623"/>
      <c r="M498" s="2623"/>
      <c r="N498" s="2623"/>
      <c r="O498" s="2623"/>
      <c r="P498" s="2623"/>
      <c r="Q498" s="2623"/>
      <c r="R498" s="2631"/>
    </row>
    <row r="499" spans="1:18">
      <c r="A499" s="2615"/>
      <c r="B499" s="2618" t="s">
        <v>5482</v>
      </c>
      <c r="C499" s="2622" t="s">
        <v>5232</v>
      </c>
      <c r="D499" s="2623">
        <v>74.962000000000003</v>
      </c>
      <c r="E499" s="2623">
        <v>74.682000000000002</v>
      </c>
      <c r="F499" s="2623">
        <v>73.662961999999993</v>
      </c>
      <c r="G499" s="2623">
        <v>73.482962000000001</v>
      </c>
      <c r="H499" s="2623">
        <v>72.796936000000002</v>
      </c>
      <c r="I499" s="2623">
        <v>72.250912</v>
      </c>
      <c r="J499" s="2623"/>
      <c r="K499" s="2623" t="s">
        <v>5233</v>
      </c>
      <c r="L499" s="2623">
        <v>72.834935999999999</v>
      </c>
      <c r="M499" s="2623">
        <v>73.209935999999999</v>
      </c>
      <c r="N499" s="2623">
        <v>73.700962000000004</v>
      </c>
      <c r="O499" s="2623">
        <v>73.936961999999994</v>
      </c>
      <c r="P499" s="2623">
        <v>75</v>
      </c>
      <c r="Q499" s="2623">
        <v>75.524675999999999</v>
      </c>
      <c r="R499" s="2631">
        <v>68</v>
      </c>
    </row>
    <row r="500" spans="1:18">
      <c r="A500" s="2615"/>
      <c r="B500" s="2618" t="s">
        <v>5482</v>
      </c>
      <c r="C500" s="2622" t="s">
        <v>5234</v>
      </c>
      <c r="D500" s="2623">
        <v>74.962000000000003</v>
      </c>
      <c r="E500" s="2623">
        <v>74.682000000000002</v>
      </c>
      <c r="F500" s="2623">
        <v>73.662961999999993</v>
      </c>
      <c r="G500" s="2623">
        <v>73.550961999999998</v>
      </c>
      <c r="H500" s="2623">
        <v>72.796936000000002</v>
      </c>
      <c r="I500" s="2623">
        <v>72.318911999999997</v>
      </c>
      <c r="J500" s="2623"/>
      <c r="K500" s="2623"/>
      <c r="L500" s="2623"/>
      <c r="M500" s="2623"/>
      <c r="N500" s="2623"/>
      <c r="O500" s="2623"/>
      <c r="P500" s="2623"/>
      <c r="Q500" s="2623"/>
      <c r="R500" s="2631"/>
    </row>
    <row r="501" spans="1:18">
      <c r="A501" s="2615"/>
      <c r="B501" s="2622" t="s">
        <v>5483</v>
      </c>
      <c r="C501" s="2622" t="s">
        <v>5232</v>
      </c>
      <c r="D501" s="2623">
        <v>74.968000000000004</v>
      </c>
      <c r="E501" s="2623">
        <v>74.731999999999999</v>
      </c>
      <c r="F501" s="2623">
        <v>73.994</v>
      </c>
      <c r="G501" s="2623">
        <v>73.834000000000003</v>
      </c>
      <c r="H501" s="2623">
        <v>73.343999999999994</v>
      </c>
      <c r="I501" s="2623">
        <v>72.91</v>
      </c>
      <c r="J501" s="2623"/>
      <c r="K501" s="2623" t="s">
        <v>5233</v>
      </c>
      <c r="L501" s="2623">
        <v>73.376000000000005</v>
      </c>
      <c r="M501" s="2623">
        <v>73.676000000000002</v>
      </c>
      <c r="N501" s="2623">
        <v>74.025999999999996</v>
      </c>
      <c r="O501" s="2623">
        <v>74.238</v>
      </c>
      <c r="P501" s="2623">
        <v>75</v>
      </c>
      <c r="Q501" s="2623">
        <v>75.427999999999997</v>
      </c>
      <c r="R501" s="2631">
        <v>68</v>
      </c>
    </row>
    <row r="502" spans="1:18">
      <c r="A502" s="2615"/>
      <c r="B502" s="2622" t="s">
        <v>5483</v>
      </c>
      <c r="C502" s="2622" t="s">
        <v>5234</v>
      </c>
      <c r="D502" s="2623">
        <v>74.968000000000004</v>
      </c>
      <c r="E502" s="2623">
        <v>74.731999999999999</v>
      </c>
      <c r="F502" s="2623">
        <v>73.994</v>
      </c>
      <c r="G502" s="2623">
        <v>73.894000000000005</v>
      </c>
      <c r="H502" s="2623">
        <v>73.343999999999994</v>
      </c>
      <c r="I502" s="2623">
        <v>72.97</v>
      </c>
      <c r="J502" s="2623"/>
      <c r="K502" s="2623"/>
      <c r="L502" s="2623"/>
      <c r="M502" s="2623"/>
      <c r="N502" s="2623"/>
      <c r="O502" s="2623"/>
      <c r="P502" s="2623"/>
      <c r="Q502" s="2623"/>
      <c r="R502" s="2631"/>
    </row>
    <row r="503" spans="1:18">
      <c r="A503" s="2615">
        <v>76</v>
      </c>
      <c r="B503" s="2618" t="s">
        <v>5484</v>
      </c>
      <c r="C503" s="2622" t="s">
        <v>5232</v>
      </c>
      <c r="D503" s="2623">
        <v>75.92</v>
      </c>
      <c r="E503" s="2623">
        <v>75.319999999999993</v>
      </c>
      <c r="F503" s="2623">
        <v>72.022886</v>
      </c>
      <c r="G503" s="2623">
        <v>71.742885999999999</v>
      </c>
      <c r="H503" s="2623">
        <v>69.424807999999999</v>
      </c>
      <c r="I503" s="2623">
        <v>68.046735999999996</v>
      </c>
      <c r="J503" s="2623"/>
      <c r="K503" s="2623" t="s">
        <v>5233</v>
      </c>
      <c r="L503" s="2623">
        <v>69.504807999999997</v>
      </c>
      <c r="M503" s="2623">
        <v>70.304807999999994</v>
      </c>
      <c r="N503" s="2623">
        <v>72.102885999999998</v>
      </c>
      <c r="O503" s="2623">
        <v>72.477885999999998</v>
      </c>
      <c r="P503" s="2623">
        <v>76</v>
      </c>
      <c r="Q503" s="2623">
        <v>77.241028</v>
      </c>
      <c r="R503" s="2631">
        <v>65</v>
      </c>
    </row>
    <row r="504" spans="1:18">
      <c r="A504" s="2615"/>
      <c r="B504" s="2618" t="s">
        <v>5484</v>
      </c>
      <c r="C504" s="2622" t="s">
        <v>5234</v>
      </c>
      <c r="D504" s="2623">
        <v>75.92</v>
      </c>
      <c r="E504" s="2623">
        <v>75.319999999999993</v>
      </c>
      <c r="F504" s="2623">
        <v>72.022886</v>
      </c>
      <c r="G504" s="2623">
        <v>71.842885999999993</v>
      </c>
      <c r="H504" s="2623">
        <v>69.424807999999999</v>
      </c>
      <c r="I504" s="2623">
        <v>68.146736000000004</v>
      </c>
      <c r="J504" s="2623"/>
      <c r="K504" s="2623"/>
      <c r="L504" s="2623"/>
      <c r="M504" s="2623"/>
      <c r="N504" s="2623"/>
      <c r="O504" s="2623"/>
      <c r="P504" s="2623"/>
      <c r="Q504" s="2623"/>
      <c r="R504" s="2631"/>
    </row>
    <row r="505" spans="1:18">
      <c r="A505" s="2615"/>
      <c r="B505" s="2618" t="s">
        <v>5485</v>
      </c>
      <c r="C505" s="2622" t="s">
        <v>5232</v>
      </c>
      <c r="D505" s="2623">
        <v>75.94</v>
      </c>
      <c r="E505" s="2623">
        <v>75.465000000000003</v>
      </c>
      <c r="F505" s="2623">
        <v>73.341924000000006</v>
      </c>
      <c r="G505" s="2623">
        <v>73.105924000000002</v>
      </c>
      <c r="H505" s="2623">
        <v>71.609871999999996</v>
      </c>
      <c r="I505" s="2623">
        <v>70.641824</v>
      </c>
      <c r="J505" s="2623"/>
      <c r="K505" s="2623" t="s">
        <v>5233</v>
      </c>
      <c r="L505" s="2623">
        <v>71.669871999999998</v>
      </c>
      <c r="M505" s="2623">
        <v>72.269872000000007</v>
      </c>
      <c r="N505" s="2623">
        <v>73.401923999999994</v>
      </c>
      <c r="O505" s="2623">
        <v>73.716924000000006</v>
      </c>
      <c r="P505" s="2623">
        <v>76</v>
      </c>
      <c r="Q505" s="2623">
        <v>76.892352000000002</v>
      </c>
      <c r="R505" s="2631">
        <v>68</v>
      </c>
    </row>
    <row r="506" spans="1:18">
      <c r="A506" s="2615"/>
      <c r="B506" s="2618" t="s">
        <v>5485</v>
      </c>
      <c r="C506" s="2622" t="s">
        <v>5234</v>
      </c>
      <c r="D506" s="2623">
        <v>75.94</v>
      </c>
      <c r="E506" s="2623">
        <v>75.465000000000003</v>
      </c>
      <c r="F506" s="2623">
        <v>73.341924000000006</v>
      </c>
      <c r="G506" s="2623">
        <v>73.191924</v>
      </c>
      <c r="H506" s="2623">
        <v>71.609871999999996</v>
      </c>
      <c r="I506" s="2623">
        <v>70.727823999999998</v>
      </c>
      <c r="J506" s="2623"/>
      <c r="K506" s="2623"/>
      <c r="L506" s="2623"/>
      <c r="M506" s="2623"/>
      <c r="N506" s="2623"/>
      <c r="O506" s="2623"/>
      <c r="P506" s="2623"/>
      <c r="Q506" s="2623"/>
      <c r="R506" s="2631"/>
    </row>
    <row r="507" spans="1:18">
      <c r="A507" s="2615"/>
      <c r="B507" s="2618" t="s">
        <v>5486</v>
      </c>
      <c r="C507" s="2622" t="s">
        <v>5232</v>
      </c>
      <c r="D507" s="2623">
        <v>75.951999999999998</v>
      </c>
      <c r="E507" s="2623">
        <v>75.576999999999998</v>
      </c>
      <c r="F507" s="2623">
        <v>74.003443000000004</v>
      </c>
      <c r="G507" s="2623">
        <v>73.791443000000001</v>
      </c>
      <c r="H507" s="2623">
        <v>72.704403999999997</v>
      </c>
      <c r="I507" s="2623">
        <v>71.943368000000007</v>
      </c>
      <c r="J507" s="2623"/>
      <c r="K507" s="2623" t="s">
        <v>5233</v>
      </c>
      <c r="L507" s="2623">
        <v>72.752403999999999</v>
      </c>
      <c r="M507" s="2623">
        <v>73.252403999999999</v>
      </c>
      <c r="N507" s="2623">
        <v>74.051443000000006</v>
      </c>
      <c r="O507" s="2623">
        <v>74.331282999999999</v>
      </c>
      <c r="P507" s="2623">
        <v>76</v>
      </c>
      <c r="Q507" s="2623">
        <v>76.712853999999993</v>
      </c>
      <c r="R507" s="2631">
        <v>68</v>
      </c>
    </row>
    <row r="508" spans="1:18">
      <c r="A508" s="2615"/>
      <c r="B508" s="2618" t="s">
        <v>5486</v>
      </c>
      <c r="C508" s="2622" t="s">
        <v>5234</v>
      </c>
      <c r="D508" s="2623">
        <v>75.951999999999998</v>
      </c>
      <c r="E508" s="2623">
        <v>75.576999999999998</v>
      </c>
      <c r="F508" s="2623">
        <v>74.003443000000004</v>
      </c>
      <c r="G508" s="2623">
        <v>73.871442999999999</v>
      </c>
      <c r="H508" s="2623">
        <v>72.704403999999997</v>
      </c>
      <c r="I508" s="2623">
        <v>72.023368000000005</v>
      </c>
      <c r="J508" s="2623"/>
      <c r="K508" s="2623"/>
      <c r="L508" s="2623"/>
      <c r="M508" s="2623"/>
      <c r="N508" s="2623"/>
      <c r="O508" s="2623"/>
      <c r="P508" s="2623"/>
      <c r="Q508" s="2623"/>
      <c r="R508" s="2631"/>
    </row>
    <row r="509" spans="1:18">
      <c r="A509" s="2615"/>
      <c r="B509" s="2618" t="s">
        <v>5487</v>
      </c>
      <c r="C509" s="2622" t="s">
        <v>5232</v>
      </c>
      <c r="D509" s="2623">
        <v>75.962000000000003</v>
      </c>
      <c r="E509" s="2623">
        <v>75.682000000000002</v>
      </c>
      <c r="F509" s="2623">
        <v>74.662961999999993</v>
      </c>
      <c r="G509" s="2623">
        <v>74.482962000000001</v>
      </c>
      <c r="H509" s="2623">
        <v>73.796936000000002</v>
      </c>
      <c r="I509" s="2623">
        <v>73.250912</v>
      </c>
      <c r="J509" s="2623"/>
      <c r="K509" s="2623" t="s">
        <v>5233</v>
      </c>
      <c r="L509" s="2623">
        <v>73.834935999999999</v>
      </c>
      <c r="M509" s="2623">
        <v>74.209935999999999</v>
      </c>
      <c r="N509" s="2623">
        <v>74.700962000000004</v>
      </c>
      <c r="O509" s="2623">
        <v>74.936961999999994</v>
      </c>
      <c r="P509" s="2623">
        <v>76</v>
      </c>
      <c r="Q509" s="2623">
        <v>76.524675999999999</v>
      </c>
      <c r="R509" s="2631">
        <v>70</v>
      </c>
    </row>
    <row r="510" spans="1:18">
      <c r="A510" s="2615"/>
      <c r="B510" s="2618" t="s">
        <v>5487</v>
      </c>
      <c r="C510" s="2622" t="s">
        <v>5234</v>
      </c>
      <c r="D510" s="2623">
        <v>75.962000000000003</v>
      </c>
      <c r="E510" s="2623">
        <v>75.682000000000002</v>
      </c>
      <c r="F510" s="2623">
        <v>74.662961999999993</v>
      </c>
      <c r="G510" s="2623">
        <v>74.550961999999998</v>
      </c>
      <c r="H510" s="2623">
        <v>73.796936000000002</v>
      </c>
      <c r="I510" s="2623">
        <v>73.318911999999997</v>
      </c>
      <c r="J510" s="2623"/>
      <c r="K510" s="2623"/>
      <c r="L510" s="2623"/>
      <c r="M510" s="2623"/>
      <c r="N510" s="2623"/>
      <c r="O510" s="2623"/>
      <c r="P510" s="2623"/>
      <c r="Q510" s="2623"/>
      <c r="R510" s="2631"/>
    </row>
    <row r="511" spans="1:18">
      <c r="A511" s="2615"/>
      <c r="B511" s="2618" t="s">
        <v>5488</v>
      </c>
      <c r="C511" s="2622" t="s">
        <v>5232</v>
      </c>
      <c r="D511" s="2623">
        <v>75.968000000000004</v>
      </c>
      <c r="E511" s="2623">
        <v>75.731999999999999</v>
      </c>
      <c r="F511" s="2623">
        <v>74.993721500000007</v>
      </c>
      <c r="G511" s="2623">
        <v>74.833721499999996</v>
      </c>
      <c r="H511" s="2623">
        <v>74.344201999999996</v>
      </c>
      <c r="I511" s="2623">
        <v>73.909683999999999</v>
      </c>
      <c r="J511" s="2623"/>
      <c r="K511" s="2623" t="s">
        <v>5233</v>
      </c>
      <c r="L511" s="2623">
        <v>74.376202000000006</v>
      </c>
      <c r="M511" s="2623">
        <v>74.676202000000004</v>
      </c>
      <c r="N511" s="2623">
        <v>75.025721500000003</v>
      </c>
      <c r="O511" s="2623">
        <v>75.237721500000006</v>
      </c>
      <c r="P511" s="2623">
        <v>76</v>
      </c>
      <c r="Q511" s="2623">
        <v>76.428506999999996</v>
      </c>
      <c r="R511" s="2631">
        <v>70</v>
      </c>
    </row>
    <row r="512" spans="1:18">
      <c r="A512" s="2615"/>
      <c r="B512" s="2618" t="s">
        <v>5488</v>
      </c>
      <c r="C512" s="2622" t="s">
        <v>5234</v>
      </c>
      <c r="D512" s="2623">
        <v>75.968000000000004</v>
      </c>
      <c r="E512" s="2623">
        <v>75.731999999999999</v>
      </c>
      <c r="F512" s="2623">
        <v>74.993721500000007</v>
      </c>
      <c r="G512" s="2623">
        <v>74.893721499999998</v>
      </c>
      <c r="H512" s="2623">
        <v>74.344201999999996</v>
      </c>
      <c r="I512" s="2623">
        <v>73.969684000000001</v>
      </c>
      <c r="J512" s="2623"/>
      <c r="K512" s="2623"/>
      <c r="L512" s="2623"/>
      <c r="M512" s="2623"/>
      <c r="N512" s="2623"/>
      <c r="O512" s="2623"/>
      <c r="P512" s="2623"/>
      <c r="Q512" s="2623"/>
      <c r="R512" s="2631"/>
    </row>
    <row r="513" spans="1:18">
      <c r="A513" s="2615"/>
      <c r="B513" s="2618" t="s">
        <v>5489</v>
      </c>
      <c r="C513" s="2622" t="s">
        <v>5232</v>
      </c>
      <c r="D513" s="2623">
        <v>75.974000000000004</v>
      </c>
      <c r="E513" s="2623">
        <v>75.793999999999997</v>
      </c>
      <c r="F513" s="2623">
        <v>75.324481000000006</v>
      </c>
      <c r="G513" s="2623">
        <v>75.184481000000005</v>
      </c>
      <c r="H513" s="2623">
        <v>74.891468000000003</v>
      </c>
      <c r="I513" s="2623">
        <v>74.568455999999998</v>
      </c>
      <c r="J513" s="2623"/>
      <c r="K513" s="2623" t="s">
        <v>5233</v>
      </c>
      <c r="L513" s="2623">
        <v>74.917468</v>
      </c>
      <c r="M513" s="2623">
        <v>75.153468000000004</v>
      </c>
      <c r="N513" s="2623">
        <v>75.350481000000002</v>
      </c>
      <c r="O513" s="2623">
        <v>75.540481</v>
      </c>
      <c r="P513" s="2623">
        <v>76</v>
      </c>
      <c r="Q513" s="2623">
        <v>76.334338000000002</v>
      </c>
      <c r="R513" s="2631">
        <v>72</v>
      </c>
    </row>
    <row r="514" spans="1:18">
      <c r="A514" s="2615"/>
      <c r="B514" s="2618" t="s">
        <v>5489</v>
      </c>
      <c r="C514" s="2622" t="s">
        <v>5234</v>
      </c>
      <c r="D514" s="2623">
        <v>75.974000000000004</v>
      </c>
      <c r="E514" s="2623">
        <v>75.793999999999997</v>
      </c>
      <c r="F514" s="2623">
        <v>75.324481000000006</v>
      </c>
      <c r="G514" s="2623">
        <v>75.234481000000002</v>
      </c>
      <c r="H514" s="2623">
        <v>74.891468000000003</v>
      </c>
      <c r="I514" s="2623">
        <v>74.618455999999995</v>
      </c>
      <c r="J514" s="2623"/>
      <c r="K514" s="2623"/>
      <c r="L514" s="2623"/>
      <c r="M514" s="2623"/>
      <c r="N514" s="2623"/>
      <c r="O514" s="2623"/>
      <c r="P514" s="2623"/>
      <c r="Q514" s="2623"/>
      <c r="R514" s="2631"/>
    </row>
    <row r="515" spans="1:18">
      <c r="A515" s="2615">
        <v>78</v>
      </c>
      <c r="B515" s="2618" t="s">
        <v>5490</v>
      </c>
      <c r="C515" s="2622" t="s">
        <v>5232</v>
      </c>
      <c r="D515" s="2623">
        <v>77.962000000000003</v>
      </c>
      <c r="E515" s="2623">
        <v>77.682000000000002</v>
      </c>
      <c r="F515" s="2623">
        <v>76.662961999999993</v>
      </c>
      <c r="G515" s="2623">
        <v>76.482962000000001</v>
      </c>
      <c r="H515" s="2623">
        <v>75.796936000000002</v>
      </c>
      <c r="I515" s="2623">
        <v>75.250912</v>
      </c>
      <c r="J515" s="2623"/>
      <c r="K515" s="2623" t="s">
        <v>5233</v>
      </c>
      <c r="L515" s="2623">
        <v>75.834935999999999</v>
      </c>
      <c r="M515" s="2623">
        <v>76.209935999999999</v>
      </c>
      <c r="N515" s="2623">
        <v>76.700962000000004</v>
      </c>
      <c r="O515" s="2623">
        <v>76.936961999999994</v>
      </c>
      <c r="P515" s="2623">
        <v>78</v>
      </c>
      <c r="Q515" s="2623">
        <v>78.524675999999999</v>
      </c>
      <c r="R515" s="2631">
        <v>72</v>
      </c>
    </row>
    <row r="516" spans="1:18">
      <c r="A516" s="2615"/>
      <c r="B516" s="2618" t="s">
        <v>5490</v>
      </c>
      <c r="C516" s="2622" t="s">
        <v>5234</v>
      </c>
      <c r="D516" s="2623">
        <v>77.962000000000003</v>
      </c>
      <c r="E516" s="2623">
        <v>77.682000000000002</v>
      </c>
      <c r="F516" s="2623">
        <v>76.662961999999993</v>
      </c>
      <c r="G516" s="2623">
        <v>76.550961999999998</v>
      </c>
      <c r="H516" s="2623">
        <v>75.796936000000002</v>
      </c>
      <c r="I516" s="2623">
        <v>75.318911999999997</v>
      </c>
      <c r="J516" s="2623"/>
      <c r="K516" s="2623"/>
      <c r="L516" s="2623"/>
      <c r="M516" s="2623"/>
      <c r="N516" s="2623"/>
      <c r="O516" s="2623"/>
      <c r="P516" s="2623"/>
      <c r="Q516" s="2623"/>
      <c r="R516" s="2631"/>
    </row>
    <row r="517" spans="1:18">
      <c r="A517" s="2615">
        <v>80</v>
      </c>
      <c r="B517" s="2622" t="s">
        <v>5491</v>
      </c>
      <c r="C517" s="2622" t="s">
        <v>5232</v>
      </c>
      <c r="D517" s="2623">
        <v>79.92</v>
      </c>
      <c r="E517" s="2623">
        <v>79.319999999999993</v>
      </c>
      <c r="F517" s="2623">
        <v>76.022999999999996</v>
      </c>
      <c r="G517" s="2623">
        <v>75.742999999999995</v>
      </c>
      <c r="H517" s="2623">
        <v>73.424999999999997</v>
      </c>
      <c r="I517" s="2623">
        <v>72.046999999999997</v>
      </c>
      <c r="J517" s="2623"/>
      <c r="K517" s="2623" t="s">
        <v>5233</v>
      </c>
      <c r="L517" s="2623">
        <v>73.504999999999995</v>
      </c>
      <c r="M517" s="2623">
        <v>74.305000000000007</v>
      </c>
      <c r="N517" s="2623">
        <v>76.102999999999994</v>
      </c>
      <c r="O517" s="2623">
        <v>76.477999999999994</v>
      </c>
      <c r="P517" s="2623">
        <v>80</v>
      </c>
      <c r="Q517" s="2623">
        <v>81.241</v>
      </c>
      <c r="R517" s="2631">
        <v>72</v>
      </c>
    </row>
    <row r="518" spans="1:18">
      <c r="A518" s="2615"/>
      <c r="B518" s="2622" t="s">
        <v>5491</v>
      </c>
      <c r="C518" s="2622" t="s">
        <v>5234</v>
      </c>
      <c r="D518" s="2623">
        <v>79.92</v>
      </c>
      <c r="E518" s="2623">
        <v>79.319999999999993</v>
      </c>
      <c r="F518" s="2623">
        <v>76.022999999999996</v>
      </c>
      <c r="G518" s="2623">
        <v>75.843000000000004</v>
      </c>
      <c r="H518" s="2623">
        <v>73.424999999999997</v>
      </c>
      <c r="I518" s="2623">
        <v>72.147000000000006</v>
      </c>
      <c r="J518" s="2623"/>
      <c r="K518" s="2623"/>
      <c r="L518" s="2623"/>
      <c r="M518" s="2623"/>
      <c r="N518" s="2623"/>
      <c r="O518" s="2623"/>
      <c r="P518" s="2623"/>
      <c r="Q518" s="2623"/>
      <c r="R518" s="2631"/>
    </row>
    <row r="519" spans="1:18">
      <c r="A519" s="2615"/>
      <c r="B519" s="2618" t="s">
        <v>5492</v>
      </c>
      <c r="C519" s="2622" t="s">
        <v>5232</v>
      </c>
      <c r="D519" s="2623">
        <v>79.94</v>
      </c>
      <c r="E519" s="2623">
        <v>79.34</v>
      </c>
      <c r="F519" s="2623">
        <v>77.341924000000006</v>
      </c>
      <c r="G519" s="2623">
        <v>77.105924000000002</v>
      </c>
      <c r="H519" s="2623">
        <v>75.609871999999996</v>
      </c>
      <c r="I519" s="2623">
        <v>74.641824</v>
      </c>
      <c r="J519" s="2623"/>
      <c r="K519" s="2623" t="s">
        <v>5233</v>
      </c>
      <c r="L519" s="2623">
        <v>75.669871999999998</v>
      </c>
      <c r="M519" s="2623">
        <v>76.269872000000007</v>
      </c>
      <c r="N519" s="2623">
        <v>77.401923999999994</v>
      </c>
      <c r="O519" s="2623">
        <v>77.716924000000006</v>
      </c>
      <c r="P519" s="2623">
        <v>80</v>
      </c>
      <c r="Q519" s="2623">
        <v>80.892352000000002</v>
      </c>
      <c r="R519" s="2631">
        <v>72</v>
      </c>
    </row>
    <row r="520" spans="1:18">
      <c r="A520" s="2615"/>
      <c r="B520" s="2618" t="s">
        <v>5492</v>
      </c>
      <c r="C520" s="2622" t="s">
        <v>5234</v>
      </c>
      <c r="D520" s="2623">
        <v>79.94</v>
      </c>
      <c r="E520" s="2623">
        <v>79.34</v>
      </c>
      <c r="F520" s="2623">
        <v>77.341924000000006</v>
      </c>
      <c r="G520" s="2623">
        <v>77.191924</v>
      </c>
      <c r="H520" s="2623">
        <v>75.609871999999996</v>
      </c>
      <c r="I520" s="2623">
        <v>74.727823999999998</v>
      </c>
      <c r="J520" s="2623"/>
      <c r="K520" s="2623"/>
      <c r="L520" s="2623"/>
      <c r="M520" s="2623"/>
      <c r="N520" s="2623"/>
      <c r="O520" s="2623"/>
      <c r="P520" s="2623"/>
      <c r="Q520" s="2623"/>
      <c r="R520" s="2631"/>
    </row>
    <row r="521" spans="1:18">
      <c r="A521" s="2615"/>
      <c r="B521" s="2618" t="s">
        <v>5493</v>
      </c>
      <c r="C521" s="2622" t="s">
        <v>5232</v>
      </c>
      <c r="D521" s="2623">
        <v>79.951999999999998</v>
      </c>
      <c r="E521" s="2623">
        <v>79.576999999999998</v>
      </c>
      <c r="F521" s="2623">
        <v>78.003443000000004</v>
      </c>
      <c r="G521" s="2623">
        <v>77.791443000000001</v>
      </c>
      <c r="H521" s="2623">
        <v>76.704403999999997</v>
      </c>
      <c r="I521" s="2623">
        <v>75.943368000000007</v>
      </c>
      <c r="J521" s="2623"/>
      <c r="K521" s="2623" t="s">
        <v>5233</v>
      </c>
      <c r="L521" s="2623">
        <v>76.752403999999999</v>
      </c>
      <c r="M521" s="2623">
        <v>77.252403999999999</v>
      </c>
      <c r="N521" s="2623">
        <v>78.051443000000006</v>
      </c>
      <c r="O521" s="2623">
        <v>78.331282999999999</v>
      </c>
      <c r="P521" s="2623">
        <v>80</v>
      </c>
      <c r="Q521" s="2623">
        <v>80.712853999999993</v>
      </c>
      <c r="R521" s="2631">
        <v>75</v>
      </c>
    </row>
    <row r="522" spans="1:18">
      <c r="A522" s="2615"/>
      <c r="B522" s="2618" t="s">
        <v>5493</v>
      </c>
      <c r="C522" s="2622" t="s">
        <v>5234</v>
      </c>
      <c r="D522" s="2623">
        <v>79.951999999999998</v>
      </c>
      <c r="E522" s="2623">
        <v>79.576999999999998</v>
      </c>
      <c r="F522" s="2623">
        <v>78.003443000000004</v>
      </c>
      <c r="G522" s="2623">
        <v>77.871442999999999</v>
      </c>
      <c r="H522" s="2623">
        <v>76.704403999999997</v>
      </c>
      <c r="I522" s="2623">
        <v>76.023368000000005</v>
      </c>
      <c r="J522" s="2623"/>
      <c r="K522" s="2623"/>
      <c r="L522" s="2623"/>
      <c r="M522" s="2623"/>
      <c r="N522" s="2623"/>
      <c r="O522" s="2623"/>
      <c r="P522" s="2623"/>
      <c r="Q522" s="2623"/>
      <c r="R522" s="2631"/>
    </row>
    <row r="523" spans="1:18">
      <c r="A523" s="2615"/>
      <c r="B523" s="2622" t="s">
        <v>5494</v>
      </c>
      <c r="C523" s="2622" t="s">
        <v>5232</v>
      </c>
      <c r="D523" s="2623">
        <v>79.962000000000003</v>
      </c>
      <c r="E523" s="2623">
        <v>79.682000000000002</v>
      </c>
      <c r="F523" s="2623">
        <v>78.662999999999997</v>
      </c>
      <c r="G523" s="2623">
        <v>78.483000000000004</v>
      </c>
      <c r="H523" s="2623">
        <v>77.796999999999997</v>
      </c>
      <c r="I523" s="2623">
        <v>77.251000000000005</v>
      </c>
      <c r="J523" s="2623"/>
      <c r="K523" s="2623" t="s">
        <v>5233</v>
      </c>
      <c r="L523" s="2623">
        <v>77.834999999999994</v>
      </c>
      <c r="M523" s="2623">
        <v>78.209999999999994</v>
      </c>
      <c r="N523" s="2623">
        <v>78.700999999999993</v>
      </c>
      <c r="O523" s="2623">
        <v>78.936999999999998</v>
      </c>
      <c r="P523" s="2623">
        <v>80</v>
      </c>
      <c r="Q523" s="2623">
        <v>80.525000000000006</v>
      </c>
      <c r="R523" s="2631">
        <v>72</v>
      </c>
    </row>
    <row r="524" spans="1:18">
      <c r="A524" s="2615"/>
      <c r="B524" s="2622" t="s">
        <v>5494</v>
      </c>
      <c r="C524" s="2622" t="s">
        <v>5234</v>
      </c>
      <c r="D524" s="2623">
        <v>79.962000000000003</v>
      </c>
      <c r="E524" s="2623">
        <v>79.682000000000002</v>
      </c>
      <c r="F524" s="2623">
        <v>78.662999999999997</v>
      </c>
      <c r="G524" s="2623">
        <v>78.551000000000002</v>
      </c>
      <c r="H524" s="2623">
        <v>77.796999999999997</v>
      </c>
      <c r="I524" s="2623">
        <v>77.319000000000003</v>
      </c>
      <c r="J524" s="2623"/>
      <c r="K524" s="2623"/>
      <c r="L524" s="2623"/>
      <c r="M524" s="2623"/>
      <c r="N524" s="2623"/>
      <c r="O524" s="2623"/>
      <c r="P524" s="2623"/>
      <c r="Q524" s="2623"/>
      <c r="R524" s="2631"/>
    </row>
    <row r="525" spans="1:18">
      <c r="A525" s="2615"/>
      <c r="B525" s="2622" t="s">
        <v>5495</v>
      </c>
      <c r="C525" s="2622" t="s">
        <v>5232</v>
      </c>
      <c r="D525" s="2623">
        <v>79.968000000000004</v>
      </c>
      <c r="E525" s="2623">
        <v>79.731999999999999</v>
      </c>
      <c r="F525" s="2623">
        <v>78.994</v>
      </c>
      <c r="G525" s="2623">
        <v>78.834000000000003</v>
      </c>
      <c r="H525" s="2623">
        <v>78.343999999999994</v>
      </c>
      <c r="I525" s="2623">
        <v>77.91</v>
      </c>
      <c r="J525" s="2623"/>
      <c r="K525" s="2623" t="s">
        <v>5233</v>
      </c>
      <c r="L525" s="2623">
        <v>78.376000000000005</v>
      </c>
      <c r="M525" s="2623">
        <v>78.676000000000002</v>
      </c>
      <c r="N525" s="2623">
        <v>79.025999999999996</v>
      </c>
      <c r="O525" s="2623">
        <v>79.238</v>
      </c>
      <c r="P525" s="2623">
        <v>80</v>
      </c>
      <c r="Q525" s="2623">
        <v>80.427999999999997</v>
      </c>
      <c r="R525" s="2631">
        <v>72</v>
      </c>
    </row>
    <row r="526" spans="1:18">
      <c r="A526" s="2615"/>
      <c r="B526" s="2622" t="s">
        <v>5495</v>
      </c>
      <c r="C526" s="2622" t="s">
        <v>5234</v>
      </c>
      <c r="D526" s="2623">
        <v>79.968000000000004</v>
      </c>
      <c r="E526" s="2623">
        <v>79.731999999999999</v>
      </c>
      <c r="F526" s="2623">
        <v>78.994</v>
      </c>
      <c r="G526" s="2623">
        <v>78.894000000000005</v>
      </c>
      <c r="H526" s="2623">
        <v>78.334000000000003</v>
      </c>
      <c r="I526" s="2623">
        <v>77.97</v>
      </c>
      <c r="J526" s="2623"/>
      <c r="K526" s="2623"/>
      <c r="L526" s="2623"/>
      <c r="M526" s="2623"/>
      <c r="N526" s="2623"/>
      <c r="O526" s="2623"/>
      <c r="P526" s="2623"/>
      <c r="Q526" s="2623"/>
      <c r="R526" s="2631"/>
    </row>
    <row r="527" spans="1:18">
      <c r="A527" s="2615"/>
      <c r="B527" s="2618" t="s">
        <v>5496</v>
      </c>
      <c r="C527" s="2622" t="s">
        <v>5232</v>
      </c>
      <c r="D527" s="2623">
        <v>79.974000000000004</v>
      </c>
      <c r="E527" s="2623">
        <v>79.793999999999997</v>
      </c>
      <c r="F527" s="2623">
        <v>79.324481000000006</v>
      </c>
      <c r="G527" s="2623">
        <v>79.184481000000005</v>
      </c>
      <c r="H527" s="2623">
        <v>78.891468000000003</v>
      </c>
      <c r="I527" s="2623">
        <v>78.568455999999998</v>
      </c>
      <c r="J527" s="2623"/>
      <c r="K527" s="2623" t="s">
        <v>5233</v>
      </c>
      <c r="L527" s="2623">
        <v>78.917468</v>
      </c>
      <c r="M527" s="2623">
        <v>79.153468000000004</v>
      </c>
      <c r="N527" s="2623">
        <v>79.350481000000002</v>
      </c>
      <c r="O527" s="2623">
        <v>79.540481</v>
      </c>
      <c r="P527" s="2623">
        <v>80</v>
      </c>
      <c r="Q527" s="2623">
        <v>80.334338000000002</v>
      </c>
      <c r="R527" s="2631">
        <v>75</v>
      </c>
    </row>
    <row r="528" spans="1:18">
      <c r="A528" s="2615"/>
      <c r="B528" s="2618" t="s">
        <v>5496</v>
      </c>
      <c r="C528" s="2622" t="s">
        <v>5234</v>
      </c>
      <c r="D528" s="2623">
        <v>79.974000000000004</v>
      </c>
      <c r="E528" s="2623">
        <v>79.793999999999997</v>
      </c>
      <c r="F528" s="2623">
        <v>79.324481000000006</v>
      </c>
      <c r="G528" s="2623">
        <v>79.234481000000002</v>
      </c>
      <c r="H528" s="2623">
        <v>78.891468000000003</v>
      </c>
      <c r="I528" s="2623">
        <v>78.618455999999995</v>
      </c>
      <c r="J528" s="2623"/>
      <c r="K528" s="2623"/>
      <c r="L528" s="2623"/>
      <c r="M528" s="2623"/>
      <c r="N528" s="2623"/>
      <c r="O528" s="2623"/>
      <c r="P528" s="2623"/>
      <c r="Q528" s="2623"/>
      <c r="R528" s="2631"/>
    </row>
    <row r="529" spans="1:18">
      <c r="A529" s="2615">
        <v>82</v>
      </c>
      <c r="B529" s="2618" t="s">
        <v>5497</v>
      </c>
      <c r="C529" s="2622" t="s">
        <v>5232</v>
      </c>
      <c r="D529" s="2623">
        <v>81.962000000000003</v>
      </c>
      <c r="E529" s="2623">
        <v>81.682000000000002</v>
      </c>
      <c r="F529" s="2623">
        <v>80.662961999999993</v>
      </c>
      <c r="G529" s="2623">
        <v>80.482962000000001</v>
      </c>
      <c r="H529" s="2623">
        <v>79.796936000000002</v>
      </c>
      <c r="I529" s="2623">
        <v>79.250912</v>
      </c>
      <c r="J529" s="2623"/>
      <c r="K529" s="2623" t="s">
        <v>5233</v>
      </c>
      <c r="L529" s="2623">
        <v>79.834935999999999</v>
      </c>
      <c r="M529" s="2623">
        <v>80.209935999999999</v>
      </c>
      <c r="N529" s="2623">
        <v>80.700962000000004</v>
      </c>
      <c r="O529" s="2623">
        <v>80.936961999999994</v>
      </c>
      <c r="P529" s="2623">
        <v>82</v>
      </c>
      <c r="Q529" s="2623">
        <v>82.524675999999999</v>
      </c>
      <c r="R529" s="2631">
        <v>75</v>
      </c>
    </row>
    <row r="530" spans="1:18">
      <c r="A530" s="2615"/>
      <c r="B530" s="2618" t="s">
        <v>5497</v>
      </c>
      <c r="C530" s="2622" t="s">
        <v>5234</v>
      </c>
      <c r="D530" s="2623">
        <v>81.962000000000003</v>
      </c>
      <c r="E530" s="2623">
        <v>81.682000000000002</v>
      </c>
      <c r="F530" s="2623">
        <v>80.662961999999993</v>
      </c>
      <c r="G530" s="2623">
        <v>80.550961999999998</v>
      </c>
      <c r="H530" s="2623">
        <v>79.796936000000002</v>
      </c>
      <c r="I530" s="2623">
        <v>79.318911999999997</v>
      </c>
      <c r="J530" s="2623"/>
      <c r="K530" s="2623"/>
      <c r="L530" s="2623"/>
      <c r="M530" s="2623"/>
      <c r="N530" s="2623"/>
      <c r="O530" s="2623"/>
      <c r="P530" s="2623"/>
      <c r="Q530" s="2623"/>
      <c r="R530" s="2631"/>
    </row>
    <row r="531" spans="1:18">
      <c r="A531" s="2615">
        <v>85</v>
      </c>
      <c r="B531" s="2618" t="s">
        <v>5498</v>
      </c>
      <c r="C531" s="2622" t="s">
        <v>5232</v>
      </c>
      <c r="D531" s="2623">
        <v>84.92</v>
      </c>
      <c r="E531" s="2623">
        <v>84.32</v>
      </c>
      <c r="F531" s="2623">
        <v>81.022886</v>
      </c>
      <c r="G531" s="2623">
        <v>80.742885999999999</v>
      </c>
      <c r="H531" s="2623">
        <v>78.424807999999999</v>
      </c>
      <c r="I531" s="2623">
        <v>77.046735999999996</v>
      </c>
      <c r="J531" s="2623"/>
      <c r="K531" s="2623" t="s">
        <v>5233</v>
      </c>
      <c r="L531" s="2623">
        <v>78.504807999999997</v>
      </c>
      <c r="M531" s="2623">
        <v>79.304807999999994</v>
      </c>
      <c r="N531" s="2623">
        <v>81.102885999999998</v>
      </c>
      <c r="O531" s="2623">
        <v>81.477885999999998</v>
      </c>
      <c r="P531" s="2623">
        <v>85</v>
      </c>
      <c r="Q531" s="2623">
        <v>86.241028</v>
      </c>
      <c r="R531" s="2631">
        <v>75</v>
      </c>
    </row>
    <row r="532" spans="1:18">
      <c r="A532" s="2615"/>
      <c r="B532" s="2618" t="s">
        <v>5498</v>
      </c>
      <c r="C532" s="2622" t="s">
        <v>5234</v>
      </c>
      <c r="D532" s="2623">
        <v>84.92</v>
      </c>
      <c r="E532" s="2623">
        <v>84.32</v>
      </c>
      <c r="F532" s="2623">
        <v>81.022886</v>
      </c>
      <c r="G532" s="2623">
        <v>80.842885999999993</v>
      </c>
      <c r="H532" s="2623">
        <v>78.424807999999999</v>
      </c>
      <c r="I532" s="2623">
        <v>77.146736000000004</v>
      </c>
      <c r="J532" s="2623"/>
      <c r="K532" s="2623"/>
      <c r="L532" s="2623"/>
      <c r="M532" s="2623"/>
      <c r="N532" s="2623"/>
      <c r="O532" s="2623"/>
      <c r="P532" s="2623"/>
      <c r="Q532" s="2623"/>
      <c r="R532" s="2631"/>
    </row>
    <row r="533" spans="1:18">
      <c r="A533" s="2615"/>
      <c r="B533" s="2618" t="s">
        <v>5499</v>
      </c>
      <c r="C533" s="2622" t="s">
        <v>5232</v>
      </c>
      <c r="D533" s="2623">
        <v>84.94</v>
      </c>
      <c r="E533" s="2623">
        <v>84.465000000000003</v>
      </c>
      <c r="F533" s="2623">
        <v>82.341924000000006</v>
      </c>
      <c r="G533" s="2623">
        <v>82.105924000000002</v>
      </c>
      <c r="H533" s="2623">
        <v>80.609871999999996</v>
      </c>
      <c r="I533" s="2623">
        <v>79.641824</v>
      </c>
      <c r="J533" s="2623"/>
      <c r="K533" s="2623" t="s">
        <v>5233</v>
      </c>
      <c r="L533" s="2623">
        <v>80.669871999999998</v>
      </c>
      <c r="M533" s="2623">
        <v>81.269872000000007</v>
      </c>
      <c r="N533" s="2623">
        <v>82.401923999999994</v>
      </c>
      <c r="O533" s="2623">
        <v>82.716924000000006</v>
      </c>
      <c r="P533" s="2623">
        <v>85</v>
      </c>
      <c r="Q533" s="2623">
        <v>85.892352000000002</v>
      </c>
      <c r="R533" s="2631">
        <v>77</v>
      </c>
    </row>
    <row r="534" spans="1:18">
      <c r="A534" s="2615"/>
      <c r="B534" s="2618" t="s">
        <v>5499</v>
      </c>
      <c r="C534" s="2622" t="s">
        <v>5234</v>
      </c>
      <c r="D534" s="2623">
        <v>84.94</v>
      </c>
      <c r="E534" s="2623">
        <v>84.465000000000003</v>
      </c>
      <c r="F534" s="2623">
        <v>82.341924000000006</v>
      </c>
      <c r="G534" s="2623">
        <v>82.191924</v>
      </c>
      <c r="H534" s="2623">
        <v>80.609871999999996</v>
      </c>
      <c r="I534" s="2623">
        <v>79.727823999999998</v>
      </c>
      <c r="J534" s="2623"/>
      <c r="K534" s="2623"/>
      <c r="L534" s="2623"/>
      <c r="M534" s="2623"/>
      <c r="N534" s="2623"/>
      <c r="O534" s="2623"/>
      <c r="P534" s="2623"/>
      <c r="Q534" s="2623"/>
      <c r="R534" s="2631"/>
    </row>
    <row r="535" spans="1:18">
      <c r="A535" s="2615"/>
      <c r="B535" s="2618" t="s">
        <v>5500</v>
      </c>
      <c r="C535" s="2622" t="s">
        <v>5232</v>
      </c>
      <c r="D535" s="2623">
        <v>84.951999999999998</v>
      </c>
      <c r="E535" s="2623">
        <v>84.576999999999998</v>
      </c>
      <c r="F535" s="2623">
        <v>83.003443000000004</v>
      </c>
      <c r="G535" s="2623">
        <v>82.791443000000001</v>
      </c>
      <c r="H535" s="2623">
        <v>81.704403999999997</v>
      </c>
      <c r="I535" s="2623">
        <v>80.943368000000007</v>
      </c>
      <c r="J535" s="2623"/>
      <c r="K535" s="2623" t="s">
        <v>5233</v>
      </c>
      <c r="L535" s="2623">
        <v>81.752403999999999</v>
      </c>
      <c r="M535" s="2623">
        <v>82.252403999999999</v>
      </c>
      <c r="N535" s="2623">
        <v>83.051443000000006</v>
      </c>
      <c r="O535" s="2623">
        <v>83.331282999999999</v>
      </c>
      <c r="P535" s="2623">
        <v>85</v>
      </c>
      <c r="Q535" s="2623">
        <v>85.712853999999993</v>
      </c>
      <c r="R535" s="2631">
        <v>77</v>
      </c>
    </row>
    <row r="536" spans="1:18">
      <c r="A536" s="2615"/>
      <c r="B536" s="2618" t="s">
        <v>5500</v>
      </c>
      <c r="C536" s="2622" t="s">
        <v>5234</v>
      </c>
      <c r="D536" s="2623">
        <v>84.951999999999998</v>
      </c>
      <c r="E536" s="2623">
        <v>84.576999999999998</v>
      </c>
      <c r="F536" s="2623">
        <v>83.003443000000004</v>
      </c>
      <c r="G536" s="2623">
        <v>82.871442999999999</v>
      </c>
      <c r="H536" s="2623">
        <v>81.704403999999997</v>
      </c>
      <c r="I536" s="2623">
        <v>81.023368000000005</v>
      </c>
      <c r="J536" s="2623"/>
      <c r="K536" s="2623"/>
      <c r="L536" s="2623"/>
      <c r="M536" s="2623"/>
      <c r="N536" s="2623"/>
      <c r="O536" s="2623"/>
      <c r="P536" s="2623"/>
      <c r="Q536" s="2623"/>
      <c r="R536" s="2631"/>
    </row>
    <row r="537" spans="1:18">
      <c r="A537" s="2615"/>
      <c r="B537" s="2622" t="s">
        <v>5501</v>
      </c>
      <c r="C537" s="2622" t="s">
        <v>5232</v>
      </c>
      <c r="D537" s="2623">
        <v>84.962000000000003</v>
      </c>
      <c r="E537" s="2623">
        <v>84.682000000000002</v>
      </c>
      <c r="F537" s="2623">
        <v>83.662999999999997</v>
      </c>
      <c r="G537" s="2623">
        <v>83.483000000000004</v>
      </c>
      <c r="H537" s="2623">
        <v>82.796999999999997</v>
      </c>
      <c r="I537" s="2623">
        <v>82.251000000000005</v>
      </c>
      <c r="J537" s="2623"/>
      <c r="K537" s="2623" t="s">
        <v>5233</v>
      </c>
      <c r="L537" s="2623">
        <v>82.834999999999994</v>
      </c>
      <c r="M537" s="2623">
        <v>83.21</v>
      </c>
      <c r="N537" s="2623">
        <v>83.700999999999993</v>
      </c>
      <c r="O537" s="2623">
        <v>83.936999999999998</v>
      </c>
      <c r="P537" s="2623">
        <v>85</v>
      </c>
      <c r="Q537" s="2623">
        <v>85.525000000000006</v>
      </c>
      <c r="R537" s="2631">
        <v>77</v>
      </c>
    </row>
    <row r="538" spans="1:18">
      <c r="A538" s="2615"/>
      <c r="B538" s="2622" t="s">
        <v>5501</v>
      </c>
      <c r="C538" s="2622" t="s">
        <v>5234</v>
      </c>
      <c r="D538" s="2623">
        <v>84.962000000000003</v>
      </c>
      <c r="E538" s="2623">
        <v>84.682000000000002</v>
      </c>
      <c r="F538" s="2623">
        <v>83.662999999999997</v>
      </c>
      <c r="G538" s="2623">
        <v>83.551000000000002</v>
      </c>
      <c r="H538" s="2623">
        <v>82.796999999999997</v>
      </c>
      <c r="I538" s="2623">
        <v>82.319000000000003</v>
      </c>
      <c r="J538" s="2623"/>
      <c r="K538" s="2623"/>
      <c r="L538" s="2623"/>
      <c r="M538" s="2623"/>
      <c r="N538" s="2623"/>
      <c r="O538" s="2623"/>
      <c r="P538" s="2623"/>
      <c r="Q538" s="2623"/>
      <c r="R538" s="2631"/>
    </row>
    <row r="539" spans="1:18">
      <c r="A539" s="2615"/>
      <c r="B539" s="2618" t="s">
        <v>5502</v>
      </c>
      <c r="C539" s="2622" t="s">
        <v>5232</v>
      </c>
      <c r="D539" s="2623">
        <v>84.968000000000004</v>
      </c>
      <c r="E539" s="2623">
        <v>84.731999999999999</v>
      </c>
      <c r="F539" s="2623">
        <v>83.993721500000007</v>
      </c>
      <c r="G539" s="2623">
        <v>83.833721499999996</v>
      </c>
      <c r="H539" s="2623">
        <v>83.344201999999996</v>
      </c>
      <c r="I539" s="2623">
        <v>82.909683999999999</v>
      </c>
      <c r="J539" s="2623"/>
      <c r="K539" s="2623" t="s">
        <v>5233</v>
      </c>
      <c r="L539" s="2623">
        <v>83.376202000000006</v>
      </c>
      <c r="M539" s="2623">
        <v>83.676202000000004</v>
      </c>
      <c r="N539" s="2623">
        <v>84.025721500000003</v>
      </c>
      <c r="O539" s="2623">
        <v>84.237721500000006</v>
      </c>
      <c r="P539" s="2623">
        <v>85</v>
      </c>
      <c r="Q539" s="2623">
        <v>85.428506999999996</v>
      </c>
      <c r="R539" s="2631">
        <v>77</v>
      </c>
    </row>
    <row r="540" spans="1:18">
      <c r="A540" s="2615"/>
      <c r="B540" s="2618" t="s">
        <v>5502</v>
      </c>
      <c r="C540" s="2622" t="s">
        <v>5234</v>
      </c>
      <c r="D540" s="2623">
        <v>84.968000000000004</v>
      </c>
      <c r="E540" s="2623">
        <v>84.731999999999999</v>
      </c>
      <c r="F540" s="2623">
        <v>83.993721500000007</v>
      </c>
      <c r="G540" s="2623">
        <v>83.893721499999998</v>
      </c>
      <c r="H540" s="2623">
        <v>83.344201999999996</v>
      </c>
      <c r="I540" s="2623">
        <v>82.969684000000001</v>
      </c>
      <c r="J540" s="2623"/>
      <c r="K540" s="2623"/>
      <c r="L540" s="2623"/>
      <c r="M540" s="2623"/>
      <c r="N540" s="2623"/>
      <c r="O540" s="2623"/>
      <c r="P540" s="2623"/>
      <c r="Q540" s="2623"/>
      <c r="R540" s="2631"/>
    </row>
    <row r="541" spans="1:18">
      <c r="A541" s="2615">
        <v>90</v>
      </c>
      <c r="B541" s="2622" t="s">
        <v>5503</v>
      </c>
      <c r="C541" s="2622" t="s">
        <v>5232</v>
      </c>
      <c r="D541" s="2623">
        <v>89.92</v>
      </c>
      <c r="E541" s="2623">
        <v>89.32</v>
      </c>
      <c r="F541" s="2623">
        <v>86.022999999999996</v>
      </c>
      <c r="G541" s="2623">
        <v>85.742999999999995</v>
      </c>
      <c r="H541" s="2623">
        <v>83.424999999999997</v>
      </c>
      <c r="I541" s="2623">
        <v>82.046999999999997</v>
      </c>
      <c r="J541" s="2623"/>
      <c r="K541" s="2623" t="s">
        <v>5233</v>
      </c>
      <c r="L541" s="2623">
        <v>83.504999999999995</v>
      </c>
      <c r="M541" s="2623">
        <v>84.305000000000007</v>
      </c>
      <c r="N541" s="2623">
        <v>86.102999999999994</v>
      </c>
      <c r="O541" s="2623">
        <v>86.477999999999994</v>
      </c>
      <c r="P541" s="2623">
        <v>90</v>
      </c>
      <c r="Q541" s="2623">
        <v>91.241</v>
      </c>
      <c r="R541" s="2631">
        <v>81</v>
      </c>
    </row>
    <row r="542" spans="1:18">
      <c r="A542" s="2615"/>
      <c r="B542" s="2622" t="s">
        <v>5503</v>
      </c>
      <c r="C542" s="2622" t="s">
        <v>5234</v>
      </c>
      <c r="D542" s="2623">
        <v>89.92</v>
      </c>
      <c r="E542" s="2623">
        <v>89.32</v>
      </c>
      <c r="F542" s="2623">
        <v>86.022999999999996</v>
      </c>
      <c r="G542" s="2623">
        <v>85.843000000000004</v>
      </c>
      <c r="H542" s="2623">
        <v>83.424999999999997</v>
      </c>
      <c r="I542" s="2623">
        <v>82.147000000000006</v>
      </c>
      <c r="J542" s="2623"/>
      <c r="K542" s="2623"/>
      <c r="L542" s="2623"/>
      <c r="M542" s="2623"/>
      <c r="N542" s="2623"/>
      <c r="O542" s="2623"/>
      <c r="P542" s="2623"/>
      <c r="Q542" s="2623"/>
      <c r="R542" s="2631"/>
    </row>
    <row r="543" spans="1:18">
      <c r="A543" s="2615"/>
      <c r="B543" s="2618" t="s">
        <v>5504</v>
      </c>
      <c r="C543" s="2622" t="s">
        <v>5232</v>
      </c>
      <c r="D543" s="2623">
        <v>89.94</v>
      </c>
      <c r="E543" s="2623">
        <v>89.465000000000003</v>
      </c>
      <c r="F543" s="2623">
        <v>87.341924000000006</v>
      </c>
      <c r="G543" s="2623">
        <v>87.105924000000002</v>
      </c>
      <c r="H543" s="2623">
        <v>85.609871999999996</v>
      </c>
      <c r="I543" s="2623">
        <v>84.641824</v>
      </c>
      <c r="J543" s="2623"/>
      <c r="K543" s="2623" t="s">
        <v>5233</v>
      </c>
      <c r="L543" s="2623">
        <v>85.669871999999998</v>
      </c>
      <c r="M543" s="2623">
        <v>86.269872000000007</v>
      </c>
      <c r="N543" s="2623">
        <v>87.401923999999994</v>
      </c>
      <c r="O543" s="2623">
        <v>87.716924000000006</v>
      </c>
      <c r="P543" s="2623">
        <v>90</v>
      </c>
      <c r="Q543" s="2623">
        <v>90.892352000000002</v>
      </c>
      <c r="R543" s="2631">
        <v>81</v>
      </c>
    </row>
    <row r="544" spans="1:18">
      <c r="A544" s="2615"/>
      <c r="B544" s="2618" t="s">
        <v>5504</v>
      </c>
      <c r="C544" s="2622" t="s">
        <v>5234</v>
      </c>
      <c r="D544" s="2623">
        <v>89.94</v>
      </c>
      <c r="E544" s="2623">
        <v>89.465000000000003</v>
      </c>
      <c r="F544" s="2623">
        <v>87.341924000000006</v>
      </c>
      <c r="G544" s="2623">
        <v>87.191924</v>
      </c>
      <c r="H544" s="2623">
        <v>85.609871999999996</v>
      </c>
      <c r="I544" s="2623">
        <v>84.727823999999998</v>
      </c>
      <c r="J544" s="2623"/>
      <c r="K544" s="2623"/>
      <c r="L544" s="2623"/>
      <c r="M544" s="2623"/>
      <c r="N544" s="2623"/>
      <c r="O544" s="2623"/>
      <c r="P544" s="2623"/>
      <c r="Q544" s="2623"/>
      <c r="R544" s="2631"/>
    </row>
    <row r="545" spans="1:18">
      <c r="A545" s="2615"/>
      <c r="B545" s="2618" t="s">
        <v>5505</v>
      </c>
      <c r="C545" s="2622" t="s">
        <v>5232</v>
      </c>
      <c r="D545" s="2623">
        <v>89.951999999999998</v>
      </c>
      <c r="E545" s="2623">
        <v>89.576999999999998</v>
      </c>
      <c r="F545" s="2623">
        <v>88.003443000000004</v>
      </c>
      <c r="G545" s="2623">
        <v>87.791443000000001</v>
      </c>
      <c r="H545" s="2623">
        <v>86.704403999999997</v>
      </c>
      <c r="I545" s="2623">
        <v>85.943368000000007</v>
      </c>
      <c r="J545" s="2623"/>
      <c r="K545" s="2623" t="s">
        <v>5233</v>
      </c>
      <c r="L545" s="2623">
        <v>86.752403999999999</v>
      </c>
      <c r="M545" s="2623">
        <v>87.252403999999999</v>
      </c>
      <c r="N545" s="2623">
        <v>88.051443000000006</v>
      </c>
      <c r="O545" s="2623">
        <v>88.331282999999999</v>
      </c>
      <c r="P545" s="2623">
        <v>90</v>
      </c>
      <c r="Q545" s="2623">
        <v>90.712853999999993</v>
      </c>
      <c r="R545" s="2631">
        <v>81</v>
      </c>
    </row>
    <row r="546" spans="1:18">
      <c r="A546" s="2615"/>
      <c r="B546" s="2618" t="s">
        <v>5505</v>
      </c>
      <c r="C546" s="2622" t="s">
        <v>5234</v>
      </c>
      <c r="D546" s="2623">
        <v>89.951999999999998</v>
      </c>
      <c r="E546" s="2623">
        <v>89.576999999999998</v>
      </c>
      <c r="F546" s="2623">
        <v>88.003443000000004</v>
      </c>
      <c r="G546" s="2623">
        <v>87.871442999999999</v>
      </c>
      <c r="H546" s="2623">
        <v>86.704403999999997</v>
      </c>
      <c r="I546" s="2623">
        <v>86.023368000000005</v>
      </c>
      <c r="J546" s="2623"/>
      <c r="K546" s="2623"/>
      <c r="L546" s="2623"/>
      <c r="M546" s="2623"/>
      <c r="N546" s="2623"/>
      <c r="O546" s="2623"/>
      <c r="P546" s="2623"/>
      <c r="Q546" s="2623"/>
      <c r="R546" s="2631"/>
    </row>
    <row r="547" spans="1:18">
      <c r="A547" s="2615"/>
      <c r="B547" s="2622" t="s">
        <v>5506</v>
      </c>
      <c r="C547" s="2622" t="s">
        <v>5232</v>
      </c>
      <c r="D547" s="2623">
        <v>89.962000000000003</v>
      </c>
      <c r="E547" s="2623">
        <v>89.682000000000002</v>
      </c>
      <c r="F547" s="2623">
        <v>88.662999999999997</v>
      </c>
      <c r="G547" s="2623">
        <v>88.483000000000004</v>
      </c>
      <c r="H547" s="2623">
        <v>87.796999999999997</v>
      </c>
      <c r="I547" s="2623">
        <v>87.251000000000005</v>
      </c>
      <c r="J547" s="2623"/>
      <c r="K547" s="2623" t="s">
        <v>5233</v>
      </c>
      <c r="L547" s="2623">
        <v>87.834999999999994</v>
      </c>
      <c r="M547" s="2623">
        <v>88.21</v>
      </c>
      <c r="N547" s="2623">
        <v>88.700999999999993</v>
      </c>
      <c r="O547" s="2623">
        <v>88.936999999999998</v>
      </c>
      <c r="P547" s="2623">
        <v>90</v>
      </c>
      <c r="Q547" s="2623">
        <v>90.525000000000006</v>
      </c>
      <c r="R547" s="2631">
        <v>81</v>
      </c>
    </row>
    <row r="548" spans="1:18">
      <c r="A548" s="2615"/>
      <c r="B548" s="2622" t="s">
        <v>5506</v>
      </c>
      <c r="C548" s="2622" t="s">
        <v>5234</v>
      </c>
      <c r="D548" s="2623">
        <v>89.962000000000003</v>
      </c>
      <c r="E548" s="2623">
        <v>89.682000000000002</v>
      </c>
      <c r="F548" s="2623">
        <v>88.662999999999997</v>
      </c>
      <c r="G548" s="2623">
        <v>88.551000000000002</v>
      </c>
      <c r="H548" s="2623">
        <v>87.796999999999997</v>
      </c>
      <c r="I548" s="2623">
        <v>87.319000000000003</v>
      </c>
      <c r="J548" s="2623"/>
      <c r="K548" s="2623"/>
      <c r="L548" s="2623"/>
      <c r="M548" s="2623"/>
      <c r="N548" s="2623"/>
      <c r="O548" s="2623"/>
      <c r="P548" s="2623"/>
      <c r="Q548" s="2623"/>
      <c r="R548" s="2631"/>
    </row>
    <row r="549" spans="1:18">
      <c r="A549" s="2615"/>
      <c r="B549" s="2618" t="s">
        <v>5507</v>
      </c>
      <c r="C549" s="2622" t="s">
        <v>5232</v>
      </c>
      <c r="D549" s="2623">
        <v>89.968000000000004</v>
      </c>
      <c r="E549" s="2623">
        <v>89.731999999999999</v>
      </c>
      <c r="F549" s="2623">
        <v>88.993721500000007</v>
      </c>
      <c r="G549" s="2623">
        <v>88.833721499999996</v>
      </c>
      <c r="H549" s="2623">
        <v>88.344201999999996</v>
      </c>
      <c r="I549" s="2623">
        <v>87.909683999999999</v>
      </c>
      <c r="J549" s="2623"/>
      <c r="K549" s="2623" t="s">
        <v>5233</v>
      </c>
      <c r="L549" s="2623">
        <v>88.376202000000006</v>
      </c>
      <c r="M549" s="2623">
        <v>88.676202000000004</v>
      </c>
      <c r="N549" s="2623">
        <v>89.025721500000003</v>
      </c>
      <c r="O549" s="2623">
        <v>89.237721500000006</v>
      </c>
      <c r="P549" s="2623">
        <v>90</v>
      </c>
      <c r="Q549" s="2623">
        <v>90.428506999999996</v>
      </c>
      <c r="R549" s="2631">
        <v>85</v>
      </c>
    </row>
    <row r="550" spans="1:18">
      <c r="A550" s="2615"/>
      <c r="B550" s="2618" t="s">
        <v>5507</v>
      </c>
      <c r="C550" s="2622" t="s">
        <v>5234</v>
      </c>
      <c r="D550" s="2623">
        <v>89.968000000000004</v>
      </c>
      <c r="E550" s="2623">
        <v>89.731999999999999</v>
      </c>
      <c r="F550" s="2623">
        <v>88.993721500000007</v>
      </c>
      <c r="G550" s="2623">
        <v>88.893721499999998</v>
      </c>
      <c r="H550" s="2623">
        <v>88.344201999999996</v>
      </c>
      <c r="I550" s="2623">
        <v>87.969684000000001</v>
      </c>
      <c r="J550" s="2623"/>
      <c r="K550" s="2623"/>
      <c r="L550" s="2623"/>
      <c r="M550" s="2623"/>
      <c r="N550" s="2623"/>
      <c r="O550" s="2623"/>
      <c r="P550" s="2623"/>
      <c r="Q550" s="2623"/>
      <c r="R550" s="2631"/>
    </row>
    <row r="551" spans="1:18">
      <c r="A551" s="2615">
        <v>95</v>
      </c>
      <c r="B551" s="2618" t="s">
        <v>5508</v>
      </c>
      <c r="C551" s="2622" t="s">
        <v>5232</v>
      </c>
      <c r="D551" s="2623">
        <v>94.92</v>
      </c>
      <c r="E551" s="2623">
        <v>94.32</v>
      </c>
      <c r="F551" s="2623">
        <v>91.022886</v>
      </c>
      <c r="G551" s="2623">
        <v>90.722886000000003</v>
      </c>
      <c r="H551" s="2623">
        <v>88.424807999999999</v>
      </c>
      <c r="I551" s="2623">
        <v>87.026736</v>
      </c>
      <c r="J551" s="2623"/>
      <c r="K551" s="2623" t="s">
        <v>5233</v>
      </c>
      <c r="L551" s="2623">
        <v>88.504807999999997</v>
      </c>
      <c r="M551" s="2623">
        <v>89.304807999999994</v>
      </c>
      <c r="N551" s="2623">
        <v>91.102885999999998</v>
      </c>
      <c r="O551" s="2623">
        <v>91.502886000000004</v>
      </c>
      <c r="P551" s="2623">
        <v>95</v>
      </c>
      <c r="Q551" s="2623">
        <v>96.266028000000006</v>
      </c>
      <c r="R551" s="2631">
        <v>85</v>
      </c>
    </row>
    <row r="552" spans="1:18">
      <c r="A552" s="2615"/>
      <c r="B552" s="2618" t="s">
        <v>5508</v>
      </c>
      <c r="C552" s="2622" t="s">
        <v>5234</v>
      </c>
      <c r="D552" s="2623">
        <v>94.92</v>
      </c>
      <c r="E552" s="2623">
        <v>94.32</v>
      </c>
      <c r="F552" s="2623">
        <v>91.022886</v>
      </c>
      <c r="G552" s="2623">
        <v>90.832886000000002</v>
      </c>
      <c r="H552" s="2623">
        <v>88.424807999999999</v>
      </c>
      <c r="I552" s="2623">
        <v>87.136735999999999</v>
      </c>
      <c r="J552" s="2623"/>
      <c r="K552" s="2623"/>
      <c r="L552" s="2623"/>
      <c r="M552" s="2623"/>
      <c r="N552" s="2623"/>
      <c r="O552" s="2623"/>
      <c r="P552" s="2623"/>
      <c r="Q552" s="2623"/>
      <c r="R552" s="2631"/>
    </row>
    <row r="553" spans="1:18">
      <c r="A553" s="2615"/>
      <c r="B553" s="2618" t="s">
        <v>5509</v>
      </c>
      <c r="C553" s="2622" t="s">
        <v>5232</v>
      </c>
      <c r="D553" s="2623">
        <v>94.94</v>
      </c>
      <c r="E553" s="2623">
        <v>94.465000000000003</v>
      </c>
      <c r="F553" s="2623">
        <v>92.341924000000006</v>
      </c>
      <c r="G553" s="2623">
        <v>92.091924000000006</v>
      </c>
      <c r="H553" s="2623">
        <v>90.609871999999996</v>
      </c>
      <c r="I553" s="2623">
        <v>89.627824000000004</v>
      </c>
      <c r="J553" s="2623"/>
      <c r="K553" s="2623" t="s">
        <v>5233</v>
      </c>
      <c r="L553" s="2623">
        <v>90.669871999999998</v>
      </c>
      <c r="M553" s="2623">
        <v>91.269872000000007</v>
      </c>
      <c r="N553" s="2623">
        <v>92.401923999999994</v>
      </c>
      <c r="O553" s="2623">
        <v>92.736924000000002</v>
      </c>
      <c r="P553" s="2623">
        <v>95</v>
      </c>
      <c r="Q553" s="2623">
        <v>95.912351999999998</v>
      </c>
      <c r="R553" s="2631">
        <v>85</v>
      </c>
    </row>
    <row r="554" spans="1:18">
      <c r="A554" s="2615"/>
      <c r="B554" s="2618" t="s">
        <v>5509</v>
      </c>
      <c r="C554" s="2622" t="s">
        <v>5234</v>
      </c>
      <c r="D554" s="2623">
        <v>94.94</v>
      </c>
      <c r="E554" s="2623">
        <v>94.465000000000003</v>
      </c>
      <c r="F554" s="2623">
        <v>92.341924000000006</v>
      </c>
      <c r="G554" s="2623">
        <v>92.181923999999995</v>
      </c>
      <c r="H554" s="2623">
        <v>90.609871999999996</v>
      </c>
      <c r="I554" s="2623">
        <v>89.717823999999993</v>
      </c>
      <c r="J554" s="2623"/>
      <c r="K554" s="2623"/>
      <c r="L554" s="2623"/>
      <c r="M554" s="2623"/>
      <c r="N554" s="2623"/>
      <c r="O554" s="2623"/>
      <c r="P554" s="2623"/>
      <c r="Q554" s="2623"/>
      <c r="R554" s="2631"/>
    </row>
    <row r="555" spans="1:18">
      <c r="A555" s="2615"/>
      <c r="B555" s="2618" t="s">
        <v>5510</v>
      </c>
      <c r="C555" s="2622" t="s">
        <v>5232</v>
      </c>
      <c r="D555" s="2623">
        <v>94.951999999999998</v>
      </c>
      <c r="E555" s="2623">
        <v>94.576999999999998</v>
      </c>
      <c r="F555" s="2623">
        <v>93.003443000000004</v>
      </c>
      <c r="G555" s="2623">
        <v>92.779443000000001</v>
      </c>
      <c r="H555" s="2623">
        <v>91.704403999999997</v>
      </c>
      <c r="I555" s="2623">
        <v>90.931368000000006</v>
      </c>
      <c r="J555" s="2623"/>
      <c r="K555" s="2623" t="s">
        <v>5233</v>
      </c>
      <c r="L555" s="2623">
        <v>91.752403999999999</v>
      </c>
      <c r="M555" s="2623">
        <v>92.252403999999999</v>
      </c>
      <c r="N555" s="2623">
        <v>93.051443000000006</v>
      </c>
      <c r="O555" s="2623">
        <v>93.351443000000003</v>
      </c>
      <c r="P555" s="2623">
        <v>95</v>
      </c>
      <c r="Q555" s="2623">
        <v>95.733013999999997</v>
      </c>
      <c r="R555" s="2631">
        <v>86</v>
      </c>
    </row>
    <row r="556" spans="1:18">
      <c r="A556" s="2615"/>
      <c r="B556" s="2618" t="s">
        <v>5510</v>
      </c>
      <c r="C556" s="2622" t="s">
        <v>5234</v>
      </c>
      <c r="D556" s="2623">
        <v>94.951999999999998</v>
      </c>
      <c r="E556" s="2623">
        <v>94.576999999999998</v>
      </c>
      <c r="F556" s="2623">
        <v>93.003443000000004</v>
      </c>
      <c r="G556" s="2623">
        <v>92.863443000000004</v>
      </c>
      <c r="H556" s="2623">
        <v>91.704403999999997</v>
      </c>
      <c r="I556" s="2623">
        <v>91.015367999999995</v>
      </c>
      <c r="J556" s="2623"/>
      <c r="K556" s="2623"/>
      <c r="L556" s="2623"/>
      <c r="M556" s="2623"/>
      <c r="N556" s="2623"/>
      <c r="O556" s="2623"/>
      <c r="P556" s="2623"/>
      <c r="Q556" s="2623"/>
      <c r="R556" s="2631"/>
    </row>
    <row r="557" spans="1:18">
      <c r="A557" s="2615"/>
      <c r="B557" s="2622" t="s">
        <v>5511</v>
      </c>
      <c r="C557" s="2622" t="s">
        <v>5232</v>
      </c>
      <c r="D557" s="2623">
        <v>94.962000000000003</v>
      </c>
      <c r="E557" s="2623">
        <v>94.682000000000002</v>
      </c>
      <c r="F557" s="2623">
        <v>93.662999999999997</v>
      </c>
      <c r="G557" s="2623">
        <v>93.472999999999999</v>
      </c>
      <c r="H557" s="2623">
        <v>92.796999999999997</v>
      </c>
      <c r="I557" s="2623">
        <v>92.241</v>
      </c>
      <c r="J557" s="2623"/>
      <c r="K557" s="2623" t="s">
        <v>5233</v>
      </c>
      <c r="L557" s="2623">
        <v>92.834999999999994</v>
      </c>
      <c r="M557" s="2623">
        <v>93.21</v>
      </c>
      <c r="N557" s="2623">
        <v>93.700999999999993</v>
      </c>
      <c r="O557" s="2623">
        <v>93.950999999999993</v>
      </c>
      <c r="P557" s="2623">
        <v>95</v>
      </c>
      <c r="Q557" s="2623">
        <v>95.539000000000001</v>
      </c>
      <c r="R557" s="2631">
        <v>86</v>
      </c>
    </row>
    <row r="558" spans="1:18">
      <c r="A558" s="2615"/>
      <c r="B558" s="2622" t="s">
        <v>5511</v>
      </c>
      <c r="C558" s="2622" t="s">
        <v>5234</v>
      </c>
      <c r="D558" s="2623">
        <v>94.962000000000003</v>
      </c>
      <c r="E558" s="2623">
        <v>94.682000000000002</v>
      </c>
      <c r="F558" s="2623">
        <v>93.662999999999997</v>
      </c>
      <c r="G558" s="2623">
        <v>93.545000000000002</v>
      </c>
      <c r="H558" s="2623">
        <v>92.796999999999997</v>
      </c>
      <c r="I558" s="2623">
        <v>92.313000000000002</v>
      </c>
      <c r="J558" s="2623"/>
      <c r="K558" s="2623"/>
      <c r="L558" s="2623"/>
      <c r="M558" s="2623"/>
      <c r="N558" s="2623"/>
      <c r="O558" s="2623"/>
      <c r="P558" s="2623"/>
      <c r="Q558" s="2623"/>
      <c r="R558" s="2631"/>
    </row>
    <row r="559" spans="1:18">
      <c r="A559" s="2615"/>
      <c r="B559" s="2618" t="s">
        <v>5512</v>
      </c>
      <c r="C559" s="2622" t="s">
        <v>5232</v>
      </c>
      <c r="D559" s="2623">
        <v>94.968000000000004</v>
      </c>
      <c r="E559" s="2623">
        <v>94.731999999999999</v>
      </c>
      <c r="F559" s="2623">
        <v>93.993721500000007</v>
      </c>
      <c r="G559" s="2623">
        <v>93.8137215</v>
      </c>
      <c r="H559" s="2623">
        <v>93.344201999999996</v>
      </c>
      <c r="I559" s="2623">
        <v>92.889684000000003</v>
      </c>
      <c r="J559" s="2623"/>
      <c r="K559" s="2623" t="s">
        <v>5233</v>
      </c>
      <c r="L559" s="2623">
        <v>93.376202000000006</v>
      </c>
      <c r="M559" s="2623">
        <v>93.676202000000004</v>
      </c>
      <c r="N559" s="2623">
        <v>94.025721500000003</v>
      </c>
      <c r="O559" s="2623">
        <v>94.261721499999993</v>
      </c>
      <c r="P559" s="2623">
        <v>95</v>
      </c>
      <c r="Q559" s="2623">
        <v>95.452506999999997</v>
      </c>
      <c r="R559" s="2631">
        <v>86</v>
      </c>
    </row>
    <row r="560" spans="1:18">
      <c r="A560" s="2615"/>
      <c r="B560" s="2618" t="s">
        <v>5512</v>
      </c>
      <c r="C560" s="2622" t="s">
        <v>5234</v>
      </c>
      <c r="D560" s="2623">
        <v>94.968000000000004</v>
      </c>
      <c r="E560" s="2623">
        <v>94.731999999999999</v>
      </c>
      <c r="F560" s="2623">
        <v>93.993721500000007</v>
      </c>
      <c r="G560" s="2623">
        <v>93.881721499999998</v>
      </c>
      <c r="H560" s="2623">
        <v>93.344201999999996</v>
      </c>
      <c r="I560" s="2623">
        <v>92.957684</v>
      </c>
      <c r="J560" s="2623"/>
      <c r="K560" s="2623"/>
      <c r="L560" s="2623"/>
      <c r="M560" s="2623"/>
      <c r="N560" s="2623"/>
      <c r="O560" s="2623"/>
      <c r="P560" s="2623"/>
      <c r="Q560" s="2623"/>
      <c r="R560" s="2631"/>
    </row>
    <row r="561" spans="1:18">
      <c r="A561" s="2615">
        <v>100</v>
      </c>
      <c r="B561" s="2622" t="s">
        <v>5513</v>
      </c>
      <c r="C561" s="2622" t="s">
        <v>5232</v>
      </c>
      <c r="D561" s="2623">
        <v>99.92</v>
      </c>
      <c r="E561" s="2623">
        <v>99.32</v>
      </c>
      <c r="F561" s="2623">
        <v>96.022999999999996</v>
      </c>
      <c r="G561" s="2623">
        <v>95.722999999999999</v>
      </c>
      <c r="H561" s="2623">
        <v>93.424999999999997</v>
      </c>
      <c r="I561" s="2623">
        <v>92.027000000000001</v>
      </c>
      <c r="J561" s="2623"/>
      <c r="K561" s="2623" t="s">
        <v>5233</v>
      </c>
      <c r="L561" s="2623">
        <v>93.504999999999995</v>
      </c>
      <c r="M561" s="2623">
        <v>94.305000000000007</v>
      </c>
      <c r="N561" s="2623">
        <v>96.102999999999994</v>
      </c>
      <c r="O561" s="2623">
        <v>96.503</v>
      </c>
      <c r="P561" s="2623">
        <v>100</v>
      </c>
      <c r="Q561" s="2623">
        <v>101.26600000000001</v>
      </c>
      <c r="R561" s="2631">
        <v>90</v>
      </c>
    </row>
    <row r="562" spans="1:18">
      <c r="A562" s="2615"/>
      <c r="B562" s="2622" t="s">
        <v>5513</v>
      </c>
      <c r="C562" s="2622" t="s">
        <v>5234</v>
      </c>
      <c r="D562" s="2623">
        <v>99.92</v>
      </c>
      <c r="E562" s="2623">
        <v>99.32</v>
      </c>
      <c r="F562" s="2623">
        <v>96.022999999999996</v>
      </c>
      <c r="G562" s="2623">
        <v>95.832999999999998</v>
      </c>
      <c r="H562" s="2623">
        <v>93.424999999999997</v>
      </c>
      <c r="I562" s="2623">
        <v>92.137</v>
      </c>
      <c r="J562" s="2623"/>
      <c r="K562" s="2623"/>
      <c r="L562" s="2623"/>
      <c r="M562" s="2623"/>
      <c r="N562" s="2623"/>
      <c r="O562" s="2623"/>
      <c r="P562" s="2623"/>
      <c r="Q562" s="2623"/>
      <c r="R562" s="2631"/>
    </row>
    <row r="563" spans="1:18">
      <c r="A563" s="2615"/>
      <c r="B563" s="2618" t="s">
        <v>5514</v>
      </c>
      <c r="C563" s="2622" t="s">
        <v>5232</v>
      </c>
      <c r="D563" s="2623">
        <v>99.94</v>
      </c>
      <c r="E563" s="2623">
        <v>99.465000000000003</v>
      </c>
      <c r="F563" s="2623">
        <v>97.341924000000006</v>
      </c>
      <c r="G563" s="2623">
        <v>97.091924000000006</v>
      </c>
      <c r="H563" s="2623">
        <v>95.609871999999996</v>
      </c>
      <c r="I563" s="2623">
        <v>94.627824000000004</v>
      </c>
      <c r="J563" s="2623"/>
      <c r="K563" s="2623" t="s">
        <v>5233</v>
      </c>
      <c r="L563" s="2623">
        <v>95.669871999999998</v>
      </c>
      <c r="M563" s="2623">
        <v>96.269872000000007</v>
      </c>
      <c r="N563" s="2623">
        <v>97.401923999999994</v>
      </c>
      <c r="O563" s="2623">
        <v>97.736924000000002</v>
      </c>
      <c r="P563" s="2623">
        <v>100</v>
      </c>
      <c r="Q563" s="2623">
        <v>100.912352</v>
      </c>
      <c r="R563" s="2631">
        <v>90</v>
      </c>
    </row>
    <row r="564" spans="1:18">
      <c r="A564" s="2615"/>
      <c r="B564" s="2618" t="s">
        <v>5514</v>
      </c>
      <c r="C564" s="2622" t="s">
        <v>5234</v>
      </c>
      <c r="D564" s="2623">
        <v>99.94</v>
      </c>
      <c r="E564" s="2623">
        <v>99.465000000000003</v>
      </c>
      <c r="F564" s="2623">
        <v>97.341924000000006</v>
      </c>
      <c r="G564" s="2623">
        <v>97.181923999999995</v>
      </c>
      <c r="H564" s="2623">
        <v>95.609871999999996</v>
      </c>
      <c r="I564" s="2623">
        <v>94.717823999999993</v>
      </c>
      <c r="J564" s="2623"/>
      <c r="K564" s="2623"/>
      <c r="L564" s="2623"/>
      <c r="M564" s="2623"/>
      <c r="N564" s="2623"/>
      <c r="O564" s="2623"/>
      <c r="P564" s="2623"/>
      <c r="Q564" s="2623"/>
      <c r="R564" s="2631"/>
    </row>
    <row r="565" spans="1:18">
      <c r="A565" s="2615"/>
      <c r="B565" s="2618" t="s">
        <v>5515</v>
      </c>
      <c r="C565" s="2622" t="s">
        <v>5232</v>
      </c>
      <c r="D565" s="2623">
        <v>99.951999999999998</v>
      </c>
      <c r="E565" s="2623">
        <v>99.576999999999998</v>
      </c>
      <c r="F565" s="2623">
        <v>98.003443000000004</v>
      </c>
      <c r="G565" s="2623">
        <v>97.779443000000001</v>
      </c>
      <c r="H565" s="2623">
        <v>96.704403999999997</v>
      </c>
      <c r="I565" s="2623">
        <v>95.931368000000006</v>
      </c>
      <c r="J565" s="2623"/>
      <c r="K565" s="2623" t="s">
        <v>5233</v>
      </c>
      <c r="L565" s="2623">
        <v>96.752403999999999</v>
      </c>
      <c r="M565" s="2623">
        <v>97.252403999999999</v>
      </c>
      <c r="N565" s="2623">
        <v>98.051443000000006</v>
      </c>
      <c r="O565" s="2623">
        <v>98.351443000000003</v>
      </c>
      <c r="P565" s="2623">
        <v>100</v>
      </c>
      <c r="Q565" s="2623">
        <v>100.733014</v>
      </c>
      <c r="R565" s="2631">
        <v>90</v>
      </c>
    </row>
    <row r="566" spans="1:18">
      <c r="A566" s="2615"/>
      <c r="B566" s="2618" t="s">
        <v>5515</v>
      </c>
      <c r="C566" s="2622" t="s">
        <v>5234</v>
      </c>
      <c r="D566" s="2623">
        <v>99.951999999999998</v>
      </c>
      <c r="E566" s="2623">
        <v>99.576999999999998</v>
      </c>
      <c r="F566" s="2623">
        <v>98.003443000000004</v>
      </c>
      <c r="G566" s="2623">
        <v>97.863443000000004</v>
      </c>
      <c r="H566" s="2623">
        <v>96.704403999999997</v>
      </c>
      <c r="I566" s="2623">
        <v>96.015367999999995</v>
      </c>
      <c r="J566" s="2623"/>
      <c r="K566" s="2623"/>
      <c r="L566" s="2623"/>
      <c r="M566" s="2623"/>
      <c r="N566" s="2623"/>
      <c r="O566" s="2623"/>
      <c r="P566" s="2623"/>
      <c r="Q566" s="2623"/>
      <c r="R566" s="2631"/>
    </row>
    <row r="567" spans="1:18">
      <c r="A567" s="2615"/>
      <c r="B567" s="2622" t="s">
        <v>5516</v>
      </c>
      <c r="C567" s="2622" t="s">
        <v>5232</v>
      </c>
      <c r="D567" s="2623">
        <v>99.962000000000003</v>
      </c>
      <c r="E567" s="2623">
        <v>99.682000000000002</v>
      </c>
      <c r="F567" s="2623">
        <v>98.662999999999997</v>
      </c>
      <c r="G567" s="2623">
        <v>98.472999999999999</v>
      </c>
      <c r="H567" s="2623">
        <v>97.796999999999997</v>
      </c>
      <c r="I567" s="2623">
        <v>97.241</v>
      </c>
      <c r="J567" s="2623"/>
      <c r="K567" s="2623" t="s">
        <v>5233</v>
      </c>
      <c r="L567" s="2623">
        <v>97.834999999999994</v>
      </c>
      <c r="M567" s="2623">
        <v>98.21</v>
      </c>
      <c r="N567" s="2623">
        <v>98.700999999999993</v>
      </c>
      <c r="O567" s="2623">
        <v>98.950999999999993</v>
      </c>
      <c r="P567" s="2623">
        <v>100</v>
      </c>
      <c r="Q567" s="2623">
        <v>100.539</v>
      </c>
      <c r="R567" s="2631">
        <v>90</v>
      </c>
    </row>
    <row r="568" spans="1:18">
      <c r="A568" s="2615"/>
      <c r="B568" s="2622" t="s">
        <v>5516</v>
      </c>
      <c r="C568" s="2622" t="s">
        <v>5234</v>
      </c>
      <c r="D568" s="2623">
        <v>99.962000000000003</v>
      </c>
      <c r="E568" s="2623">
        <v>99.682000000000002</v>
      </c>
      <c r="F568" s="2623">
        <v>98.662999999999997</v>
      </c>
      <c r="G568" s="2623">
        <v>98.545000000000002</v>
      </c>
      <c r="H568" s="2623">
        <v>97.796999999999997</v>
      </c>
      <c r="I568" s="2623">
        <v>97.313000000000002</v>
      </c>
      <c r="J568" s="2623"/>
      <c r="K568" s="2623"/>
      <c r="L568" s="2623"/>
      <c r="M568" s="2623"/>
      <c r="N568" s="2623"/>
      <c r="O568" s="2623"/>
      <c r="P568" s="2623"/>
      <c r="Q568" s="2623"/>
      <c r="R568" s="2631"/>
    </row>
    <row r="569" spans="1:18">
      <c r="A569" s="2615"/>
      <c r="B569" s="2618" t="s">
        <v>5517</v>
      </c>
      <c r="C569" s="2622" t="s">
        <v>5232</v>
      </c>
      <c r="D569" s="2623">
        <v>99.968000000000004</v>
      </c>
      <c r="E569" s="2623">
        <v>99.731999999999999</v>
      </c>
      <c r="F569" s="2623">
        <v>98.993721500000007</v>
      </c>
      <c r="G569" s="2623">
        <v>98.8137215</v>
      </c>
      <c r="H569" s="2623">
        <v>98.344201999999996</v>
      </c>
      <c r="I569" s="2623">
        <v>97.889684000000003</v>
      </c>
      <c r="J569" s="2623"/>
      <c r="K569" s="2623" t="s">
        <v>5233</v>
      </c>
      <c r="L569" s="2623">
        <v>98.376202000000006</v>
      </c>
      <c r="M569" s="2623">
        <v>98.676202000000004</v>
      </c>
      <c r="N569" s="2623">
        <v>99.025721500000003</v>
      </c>
      <c r="O569" s="2623">
        <v>99.261721499999993</v>
      </c>
      <c r="P569" s="2623">
        <v>100</v>
      </c>
      <c r="Q569" s="2623">
        <v>100.452507</v>
      </c>
      <c r="R569" s="2631">
        <v>95</v>
      </c>
    </row>
    <row r="570" spans="1:18">
      <c r="A570" s="2615"/>
      <c r="B570" s="2618" t="s">
        <v>5517</v>
      </c>
      <c r="C570" s="2622" t="s">
        <v>5234</v>
      </c>
      <c r="D570" s="2623">
        <v>99.968000000000004</v>
      </c>
      <c r="E570" s="2623">
        <v>99.731999999999999</v>
      </c>
      <c r="F570" s="2623">
        <v>98.993721500000007</v>
      </c>
      <c r="G570" s="2623">
        <v>98.881721499999998</v>
      </c>
      <c r="H570" s="2623">
        <v>98.344201999999996</v>
      </c>
      <c r="I570" s="2623">
        <v>97.957684</v>
      </c>
      <c r="J570" s="2623"/>
      <c r="K570" s="2623"/>
      <c r="L570" s="2623"/>
      <c r="M570" s="2623"/>
      <c r="N570" s="2623"/>
      <c r="O570" s="2623"/>
      <c r="P570" s="2623"/>
      <c r="Q570" s="2623"/>
      <c r="R570" s="2631"/>
    </row>
    <row r="571" spans="1:18">
      <c r="A571" s="2615">
        <v>105</v>
      </c>
      <c r="B571" s="2618" t="s">
        <v>5518</v>
      </c>
      <c r="C571" s="2622" t="s">
        <v>5232</v>
      </c>
      <c r="D571" s="2623">
        <v>104.92</v>
      </c>
      <c r="E571" s="2623">
        <v>104.32</v>
      </c>
      <c r="F571" s="2623">
        <v>101.022886</v>
      </c>
      <c r="G571" s="2623">
        <v>100.722886</v>
      </c>
      <c r="H571" s="2623">
        <v>98.424807999999999</v>
      </c>
      <c r="I571" s="2623">
        <v>97.026736</v>
      </c>
      <c r="J571" s="2623"/>
      <c r="K571" s="2623" t="s">
        <v>5233</v>
      </c>
      <c r="L571" s="2623">
        <v>98.504807999999997</v>
      </c>
      <c r="M571" s="2623">
        <v>99.304807999999994</v>
      </c>
      <c r="N571" s="2623">
        <v>101.102886</v>
      </c>
      <c r="O571" s="2623">
        <v>101.502886</v>
      </c>
      <c r="P571" s="2623">
        <v>105</v>
      </c>
      <c r="Q571" s="2623">
        <v>106.26602800000001</v>
      </c>
      <c r="R571" s="2631">
        <v>95</v>
      </c>
    </row>
    <row r="572" spans="1:18">
      <c r="A572" s="2615"/>
      <c r="B572" s="2618" t="s">
        <v>5518</v>
      </c>
      <c r="C572" s="2622" t="s">
        <v>5234</v>
      </c>
      <c r="D572" s="2623">
        <v>104.92</v>
      </c>
      <c r="E572" s="2623">
        <v>104.32</v>
      </c>
      <c r="F572" s="2623">
        <v>101.022886</v>
      </c>
      <c r="G572" s="2623">
        <v>100.832886</v>
      </c>
      <c r="H572" s="2623">
        <v>98.424807999999999</v>
      </c>
      <c r="I572" s="2623">
        <v>97.136735999999999</v>
      </c>
      <c r="J572" s="2623"/>
      <c r="K572" s="2623"/>
      <c r="L572" s="2623"/>
      <c r="M572" s="2623"/>
      <c r="N572" s="2623"/>
      <c r="O572" s="2623"/>
      <c r="P572" s="2623"/>
      <c r="Q572" s="2623"/>
      <c r="R572" s="2631"/>
    </row>
    <row r="573" spans="1:18">
      <c r="A573" s="2615"/>
      <c r="B573" s="2618" t="s">
        <v>5519</v>
      </c>
      <c r="C573" s="2622" t="s">
        <v>5232</v>
      </c>
      <c r="D573" s="2623">
        <v>104.94</v>
      </c>
      <c r="E573" s="2623">
        <v>104.465</v>
      </c>
      <c r="F573" s="2623">
        <v>102.34192400000001</v>
      </c>
      <c r="G573" s="2623">
        <v>102.09192400000001</v>
      </c>
      <c r="H573" s="2623">
        <v>100.609872</v>
      </c>
      <c r="I573" s="2623">
        <v>99.627824000000004</v>
      </c>
      <c r="J573" s="2623"/>
      <c r="K573" s="2623" t="s">
        <v>5233</v>
      </c>
      <c r="L573" s="2623">
        <v>100.669872</v>
      </c>
      <c r="M573" s="2623">
        <v>101.26987200000001</v>
      </c>
      <c r="N573" s="2623">
        <v>102.40192399999999</v>
      </c>
      <c r="O573" s="2623">
        <v>102.736924</v>
      </c>
      <c r="P573" s="2623">
        <v>105</v>
      </c>
      <c r="Q573" s="2623">
        <v>105.912352</v>
      </c>
      <c r="R573" s="2631">
        <v>95</v>
      </c>
    </row>
    <row r="574" spans="1:18">
      <c r="A574" s="2615"/>
      <c r="B574" s="2618" t="s">
        <v>5519</v>
      </c>
      <c r="C574" s="2622" t="s">
        <v>5234</v>
      </c>
      <c r="D574" s="2623">
        <v>104.94</v>
      </c>
      <c r="E574" s="2623">
        <v>104.465</v>
      </c>
      <c r="F574" s="2623">
        <v>102.34192400000001</v>
      </c>
      <c r="G574" s="2623">
        <v>102.181924</v>
      </c>
      <c r="H574" s="2623">
        <v>100.609872</v>
      </c>
      <c r="I574" s="2623">
        <v>99.717823999999993</v>
      </c>
      <c r="J574" s="2623"/>
      <c r="K574" s="2623"/>
      <c r="L574" s="2623"/>
      <c r="M574" s="2623"/>
      <c r="N574" s="2623"/>
      <c r="O574" s="2623"/>
      <c r="P574" s="2623"/>
      <c r="Q574" s="2623"/>
      <c r="R574" s="2631"/>
    </row>
    <row r="575" spans="1:18">
      <c r="A575" s="2615"/>
      <c r="B575" s="2618" t="s">
        <v>5520</v>
      </c>
      <c r="C575" s="2622" t="s">
        <v>5232</v>
      </c>
      <c r="D575" s="2623">
        <v>104.952</v>
      </c>
      <c r="E575" s="2623">
        <v>104.577</v>
      </c>
      <c r="F575" s="2623">
        <v>103.003443</v>
      </c>
      <c r="G575" s="2623">
        <v>102.779443</v>
      </c>
      <c r="H575" s="2623">
        <v>101.704404</v>
      </c>
      <c r="I575" s="2623">
        <v>100.93136800000001</v>
      </c>
      <c r="J575" s="2623"/>
      <c r="K575" s="2623" t="s">
        <v>5233</v>
      </c>
      <c r="L575" s="2623">
        <v>101.752404</v>
      </c>
      <c r="M575" s="2623">
        <v>102.252404</v>
      </c>
      <c r="N575" s="2623">
        <v>103.05144300000001</v>
      </c>
      <c r="O575" s="2623">
        <v>103.351443</v>
      </c>
      <c r="P575" s="2623">
        <v>105</v>
      </c>
      <c r="Q575" s="2623">
        <v>105.733014</v>
      </c>
      <c r="R575" s="2631">
        <v>99</v>
      </c>
    </row>
    <row r="576" spans="1:18">
      <c r="A576" s="2615"/>
      <c r="B576" s="2618" t="s">
        <v>5520</v>
      </c>
      <c r="C576" s="2622" t="s">
        <v>5234</v>
      </c>
      <c r="D576" s="2623">
        <v>104.952</v>
      </c>
      <c r="E576" s="2623">
        <v>104.577</v>
      </c>
      <c r="F576" s="2623">
        <v>103.003443</v>
      </c>
      <c r="G576" s="2623">
        <v>102.863443</v>
      </c>
      <c r="H576" s="2623">
        <v>101.704404</v>
      </c>
      <c r="I576" s="2623">
        <v>101.015368</v>
      </c>
      <c r="J576" s="2623"/>
      <c r="K576" s="2623"/>
      <c r="L576" s="2623"/>
      <c r="M576" s="2623"/>
      <c r="N576" s="2623"/>
      <c r="O576" s="2623"/>
      <c r="P576" s="2623"/>
      <c r="Q576" s="2623"/>
      <c r="R576" s="2631"/>
    </row>
    <row r="577" spans="1:18">
      <c r="A577" s="2615"/>
      <c r="B577" s="2622" t="s">
        <v>5521</v>
      </c>
      <c r="C577" s="2622" t="s">
        <v>5232</v>
      </c>
      <c r="D577" s="2623">
        <v>104.962</v>
      </c>
      <c r="E577" s="2623">
        <v>104.682</v>
      </c>
      <c r="F577" s="2623">
        <v>103.663</v>
      </c>
      <c r="G577" s="2623">
        <v>103.473</v>
      </c>
      <c r="H577" s="2623">
        <v>102.797</v>
      </c>
      <c r="I577" s="2623">
        <v>102.241</v>
      </c>
      <c r="J577" s="2623"/>
      <c r="K577" s="2623" t="s">
        <v>5233</v>
      </c>
      <c r="L577" s="2623">
        <v>102.83499999999999</v>
      </c>
      <c r="M577" s="2623">
        <v>103.21</v>
      </c>
      <c r="N577" s="2623">
        <v>103.70099999999999</v>
      </c>
      <c r="O577" s="2623">
        <v>103.95099999999999</v>
      </c>
      <c r="P577" s="2623">
        <v>105</v>
      </c>
      <c r="Q577" s="2623">
        <v>105.539</v>
      </c>
      <c r="R577" s="2631">
        <v>95</v>
      </c>
    </row>
    <row r="578" spans="1:18">
      <c r="A578" s="2615"/>
      <c r="B578" s="2622" t="s">
        <v>5521</v>
      </c>
      <c r="C578" s="2622" t="s">
        <v>5234</v>
      </c>
      <c r="D578" s="2623">
        <v>104.962</v>
      </c>
      <c r="E578" s="2623">
        <v>104.682</v>
      </c>
      <c r="F578" s="2623">
        <v>103.663</v>
      </c>
      <c r="G578" s="2623">
        <v>103.545</v>
      </c>
      <c r="H578" s="2623">
        <v>102.797</v>
      </c>
      <c r="I578" s="2623">
        <v>102.313</v>
      </c>
      <c r="J578" s="2623"/>
      <c r="K578" s="2623"/>
      <c r="L578" s="2623"/>
      <c r="M578" s="2623"/>
      <c r="N578" s="2623"/>
      <c r="O578" s="2623"/>
      <c r="P578" s="2623"/>
      <c r="Q578" s="2623"/>
      <c r="R578" s="2631"/>
    </row>
    <row r="579" spans="1:18">
      <c r="A579" s="2615"/>
      <c r="B579" s="2618" t="s">
        <v>5522</v>
      </c>
      <c r="C579" s="2622" t="s">
        <v>5232</v>
      </c>
      <c r="D579" s="2623">
        <v>104.968</v>
      </c>
      <c r="E579" s="2623">
        <v>104.732</v>
      </c>
      <c r="F579" s="2623">
        <v>103.99372150000001</v>
      </c>
      <c r="G579" s="2623">
        <v>103.8137215</v>
      </c>
      <c r="H579" s="2623">
        <v>103.344202</v>
      </c>
      <c r="I579" s="2623">
        <v>102.889684</v>
      </c>
      <c r="J579" s="2623"/>
      <c r="K579" s="2623" t="s">
        <v>5233</v>
      </c>
      <c r="L579" s="2623">
        <v>103.37620200000001</v>
      </c>
      <c r="M579" s="2623">
        <v>103.676202</v>
      </c>
      <c r="N579" s="2623">
        <v>104.0257215</v>
      </c>
      <c r="O579" s="2623">
        <v>104.26172149999999</v>
      </c>
      <c r="P579" s="2623">
        <v>105</v>
      </c>
      <c r="Q579" s="2623">
        <v>105.452507</v>
      </c>
      <c r="R579" s="2631">
        <v>99</v>
      </c>
    </row>
    <row r="580" spans="1:18">
      <c r="A580" s="2615"/>
      <c r="B580" s="2618" t="s">
        <v>5522</v>
      </c>
      <c r="C580" s="2622" t="s">
        <v>5234</v>
      </c>
      <c r="D580" s="2623">
        <v>104.968</v>
      </c>
      <c r="E580" s="2623">
        <v>104.732</v>
      </c>
      <c r="F580" s="2623">
        <v>103.99372150000001</v>
      </c>
      <c r="G580" s="2623">
        <v>103.8817215</v>
      </c>
      <c r="H580" s="2623">
        <v>103.344202</v>
      </c>
      <c r="I580" s="2623">
        <v>102.957684</v>
      </c>
      <c r="J580" s="2623"/>
      <c r="K580" s="2623"/>
      <c r="L580" s="2623"/>
      <c r="M580" s="2623"/>
      <c r="N580" s="2623"/>
      <c r="O580" s="2623"/>
      <c r="P580" s="2623"/>
      <c r="Q580" s="2623"/>
      <c r="R580" s="2631"/>
    </row>
    <row r="581" spans="1:18">
      <c r="A581" s="2615">
        <v>110</v>
      </c>
      <c r="B581" s="2618" t="s">
        <v>5523</v>
      </c>
      <c r="C581" s="2622" t="s">
        <v>5232</v>
      </c>
      <c r="D581" s="2623">
        <v>109.92</v>
      </c>
      <c r="E581" s="2623">
        <v>109.32</v>
      </c>
      <c r="F581" s="2623">
        <v>106.022886</v>
      </c>
      <c r="G581" s="2623">
        <v>105.722886</v>
      </c>
      <c r="H581" s="2623">
        <v>103.424808</v>
      </c>
      <c r="I581" s="2623">
        <v>102.026736</v>
      </c>
      <c r="J581" s="2623"/>
      <c r="K581" s="2623" t="s">
        <v>5233</v>
      </c>
      <c r="L581" s="2623">
        <v>103.504808</v>
      </c>
      <c r="M581" s="2623">
        <v>104.30480799999999</v>
      </c>
      <c r="N581" s="2623">
        <v>106.102886</v>
      </c>
      <c r="O581" s="2623">
        <v>106.502886</v>
      </c>
      <c r="P581" s="2623">
        <v>110</v>
      </c>
      <c r="Q581" s="2623">
        <v>111.26602800000001</v>
      </c>
      <c r="R581" s="2631">
        <v>99</v>
      </c>
    </row>
    <row r="582" spans="1:18">
      <c r="A582" s="2615"/>
      <c r="B582" s="2618" t="s">
        <v>5523</v>
      </c>
      <c r="C582" s="2622" t="s">
        <v>5234</v>
      </c>
      <c r="D582" s="2623">
        <v>109.92</v>
      </c>
      <c r="E582" s="2623">
        <v>109.32</v>
      </c>
      <c r="F582" s="2623">
        <v>106.022886</v>
      </c>
      <c r="G582" s="2623">
        <v>105.832886</v>
      </c>
      <c r="H582" s="2623">
        <v>103.424808</v>
      </c>
      <c r="I582" s="2623">
        <v>102.136736</v>
      </c>
      <c r="J582" s="2623"/>
      <c r="K582" s="2623"/>
      <c r="L582" s="2623"/>
      <c r="M582" s="2623"/>
      <c r="N582" s="2623"/>
      <c r="O582" s="2623"/>
      <c r="P582" s="2623"/>
      <c r="Q582" s="2623"/>
      <c r="R582" s="2631"/>
    </row>
    <row r="583" spans="1:18">
      <c r="A583" s="2615"/>
      <c r="B583" s="2618" t="s">
        <v>5524</v>
      </c>
      <c r="C583" s="2622" t="s">
        <v>5232</v>
      </c>
      <c r="D583" s="2623">
        <v>109.94</v>
      </c>
      <c r="E583" s="2623">
        <v>109.465</v>
      </c>
      <c r="F583" s="2623">
        <v>107.34192400000001</v>
      </c>
      <c r="G583" s="2623">
        <v>107.09192400000001</v>
      </c>
      <c r="H583" s="2623">
        <v>105.609872</v>
      </c>
      <c r="I583" s="2623">
        <v>104.627824</v>
      </c>
      <c r="J583" s="2623"/>
      <c r="K583" s="2623" t="s">
        <v>5233</v>
      </c>
      <c r="L583" s="2623">
        <v>105.669872</v>
      </c>
      <c r="M583" s="2623">
        <v>106.26987200000001</v>
      </c>
      <c r="N583" s="2623">
        <v>107.40192399999999</v>
      </c>
      <c r="O583" s="2623">
        <v>107.736924</v>
      </c>
      <c r="P583" s="2623">
        <v>110</v>
      </c>
      <c r="Q583" s="2623">
        <v>110.912352</v>
      </c>
      <c r="R583" s="2631">
        <v>99</v>
      </c>
    </row>
    <row r="584" spans="1:18">
      <c r="A584" s="2615"/>
      <c r="B584" s="2618" t="s">
        <v>5524</v>
      </c>
      <c r="C584" s="2622" t="s">
        <v>5234</v>
      </c>
      <c r="D584" s="2623">
        <v>109.94</v>
      </c>
      <c r="E584" s="2623">
        <v>109.465</v>
      </c>
      <c r="F584" s="2623">
        <v>107.34192400000001</v>
      </c>
      <c r="G584" s="2623">
        <v>107.181924</v>
      </c>
      <c r="H584" s="2623">
        <v>105.609872</v>
      </c>
      <c r="I584" s="2623">
        <v>104.71782399999999</v>
      </c>
      <c r="J584" s="2623"/>
      <c r="K584" s="2623"/>
      <c r="L584" s="2623"/>
      <c r="M584" s="2623"/>
      <c r="N584" s="2623"/>
      <c r="O584" s="2623"/>
      <c r="P584" s="2623"/>
      <c r="Q584" s="2623"/>
      <c r="R584" s="2631"/>
    </row>
    <row r="585" spans="1:18">
      <c r="A585" s="2615"/>
      <c r="B585" s="2618" t="s">
        <v>5525</v>
      </c>
      <c r="C585" s="2622" t="s">
        <v>5232</v>
      </c>
      <c r="D585" s="2623">
        <v>109.952</v>
      </c>
      <c r="E585" s="2623">
        <v>109.577</v>
      </c>
      <c r="F585" s="2623">
        <v>108.003443</v>
      </c>
      <c r="G585" s="2623">
        <v>107.779443</v>
      </c>
      <c r="H585" s="2623">
        <v>106.704404</v>
      </c>
      <c r="I585" s="2623">
        <v>105.93136800000001</v>
      </c>
      <c r="J585" s="2623"/>
      <c r="K585" s="2623" t="s">
        <v>5233</v>
      </c>
      <c r="L585" s="2623">
        <v>106.752404</v>
      </c>
      <c r="M585" s="2623">
        <v>107.252404</v>
      </c>
      <c r="N585" s="2623">
        <v>108.05144300000001</v>
      </c>
      <c r="O585" s="2623">
        <v>108.351443</v>
      </c>
      <c r="P585" s="2623">
        <v>110</v>
      </c>
      <c r="Q585" s="2623">
        <v>110.733014</v>
      </c>
      <c r="R585" s="2631">
        <v>99</v>
      </c>
    </row>
    <row r="586" spans="1:18">
      <c r="A586" s="2615"/>
      <c r="B586" s="2618" t="s">
        <v>5525</v>
      </c>
      <c r="C586" s="2622" t="s">
        <v>5234</v>
      </c>
      <c r="D586" s="2623">
        <v>109.952</v>
      </c>
      <c r="E586" s="2623">
        <v>109.577</v>
      </c>
      <c r="F586" s="2623">
        <v>108.003443</v>
      </c>
      <c r="G586" s="2623">
        <v>107.863443</v>
      </c>
      <c r="H586" s="2623">
        <v>106.704404</v>
      </c>
      <c r="I586" s="2623">
        <v>106.015368</v>
      </c>
      <c r="J586" s="2623"/>
      <c r="K586" s="2623"/>
      <c r="L586" s="2623"/>
      <c r="M586" s="2623"/>
      <c r="N586" s="2623"/>
      <c r="O586" s="2623"/>
      <c r="P586" s="2623"/>
      <c r="Q586" s="2623"/>
      <c r="R586" s="2631"/>
    </row>
    <row r="587" spans="1:18">
      <c r="A587" s="2615"/>
      <c r="B587" s="2622" t="s">
        <v>5526</v>
      </c>
      <c r="C587" s="2622" t="s">
        <v>5232</v>
      </c>
      <c r="D587" s="2623">
        <v>109.962</v>
      </c>
      <c r="E587" s="2623">
        <v>109.682</v>
      </c>
      <c r="F587" s="2623">
        <v>108.663</v>
      </c>
      <c r="G587" s="2623">
        <v>108.473</v>
      </c>
      <c r="H587" s="2623">
        <v>107.797</v>
      </c>
      <c r="I587" s="2623">
        <v>107.241</v>
      </c>
      <c r="J587" s="2623"/>
      <c r="K587" s="2623" t="s">
        <v>5233</v>
      </c>
      <c r="L587" s="2623">
        <v>107.83499999999999</v>
      </c>
      <c r="M587" s="2623">
        <v>108.21</v>
      </c>
      <c r="N587" s="2623">
        <v>108.70099999999999</v>
      </c>
      <c r="O587" s="2623">
        <v>108.95099999999999</v>
      </c>
      <c r="P587" s="2623">
        <v>110</v>
      </c>
      <c r="Q587" s="2623">
        <v>110.539</v>
      </c>
      <c r="R587" s="2631">
        <v>99</v>
      </c>
    </row>
    <row r="588" spans="1:18">
      <c r="A588" s="2615"/>
      <c r="B588" s="2622" t="s">
        <v>5526</v>
      </c>
      <c r="C588" s="2622" t="s">
        <v>5234</v>
      </c>
      <c r="D588" s="2623">
        <v>109.962</v>
      </c>
      <c r="E588" s="2623">
        <v>109.682</v>
      </c>
      <c r="F588" s="2623">
        <v>108.663</v>
      </c>
      <c r="G588" s="2623">
        <v>108.545</v>
      </c>
      <c r="H588" s="2623">
        <v>107.797</v>
      </c>
      <c r="I588" s="2623">
        <v>107.313</v>
      </c>
      <c r="J588" s="2623"/>
      <c r="K588" s="2623"/>
      <c r="L588" s="2623"/>
      <c r="M588" s="2623"/>
      <c r="N588" s="2623"/>
      <c r="O588" s="2623"/>
      <c r="P588" s="2623"/>
      <c r="Q588" s="2623"/>
      <c r="R588" s="2631"/>
    </row>
    <row r="589" spans="1:18">
      <c r="A589" s="2615"/>
      <c r="B589" s="2618" t="s">
        <v>5527</v>
      </c>
      <c r="C589" s="2622" t="s">
        <v>5232</v>
      </c>
      <c r="D589" s="2623">
        <v>109.968</v>
      </c>
      <c r="E589" s="2623">
        <v>109.732</v>
      </c>
      <c r="F589" s="2623">
        <v>108.99372150000001</v>
      </c>
      <c r="G589" s="2623">
        <v>108.8137215</v>
      </c>
      <c r="H589" s="2623">
        <v>108.344202</v>
      </c>
      <c r="I589" s="2623">
        <v>107.889684</v>
      </c>
      <c r="J589" s="2623"/>
      <c r="K589" s="2623" t="s">
        <v>5233</v>
      </c>
      <c r="L589" s="2623">
        <v>108.37620200000001</v>
      </c>
      <c r="M589" s="2623">
        <v>108.676202</v>
      </c>
      <c r="N589" s="2623">
        <v>109.0257215</v>
      </c>
      <c r="O589" s="2623">
        <v>109.26172149999999</v>
      </c>
      <c r="P589" s="2623">
        <v>110</v>
      </c>
      <c r="Q589" s="2623">
        <v>110.452507</v>
      </c>
      <c r="R589" s="2631">
        <v>99</v>
      </c>
    </row>
    <row r="590" spans="1:18">
      <c r="A590" s="2615"/>
      <c r="B590" s="2618" t="s">
        <v>5527</v>
      </c>
      <c r="C590" s="2622" t="s">
        <v>5234</v>
      </c>
      <c r="D590" s="2623">
        <v>109.968</v>
      </c>
      <c r="E590" s="2623">
        <v>109.732</v>
      </c>
      <c r="F590" s="2623">
        <v>108.99372150000001</v>
      </c>
      <c r="G590" s="2623">
        <v>108.8817215</v>
      </c>
      <c r="H590" s="2623">
        <v>108.344202</v>
      </c>
      <c r="I590" s="2623">
        <v>107.957684</v>
      </c>
      <c r="J590" s="2623"/>
      <c r="K590" s="2623"/>
      <c r="L590" s="2623"/>
      <c r="M590" s="2623"/>
      <c r="N590" s="2623"/>
      <c r="O590" s="2623"/>
      <c r="P590" s="2623"/>
      <c r="Q590" s="2623"/>
      <c r="R590" s="2631"/>
    </row>
    <row r="591" spans="1:18">
      <c r="A591" s="2615">
        <v>115</v>
      </c>
      <c r="B591" s="2618" t="s">
        <v>5528</v>
      </c>
      <c r="C591" s="2622" t="s">
        <v>5232</v>
      </c>
      <c r="D591" s="2623">
        <v>114.92</v>
      </c>
      <c r="E591" s="2623">
        <v>114.32</v>
      </c>
      <c r="F591" s="2623">
        <v>111.022886</v>
      </c>
      <c r="G591" s="2623">
        <v>110.722886</v>
      </c>
      <c r="H591" s="2623">
        <v>108.424808</v>
      </c>
      <c r="I591" s="2623">
        <v>107.026736</v>
      </c>
      <c r="J591" s="2623"/>
      <c r="K591" s="2623" t="s">
        <v>5233</v>
      </c>
      <c r="L591" s="2623">
        <v>108.504808</v>
      </c>
      <c r="M591" s="2623">
        <v>109.30480799999999</v>
      </c>
      <c r="N591" s="2623">
        <v>111.102886</v>
      </c>
      <c r="O591" s="2623">
        <v>111.502886</v>
      </c>
      <c r="P591" s="2623">
        <v>115</v>
      </c>
      <c r="Q591" s="2623">
        <v>116.26602800000001</v>
      </c>
      <c r="R591" s="2631">
        <v>99</v>
      </c>
    </row>
    <row r="592" spans="1:18">
      <c r="A592" s="2615"/>
      <c r="B592" s="2618" t="s">
        <v>5528</v>
      </c>
      <c r="C592" s="2622" t="s">
        <v>5234</v>
      </c>
      <c r="D592" s="2623">
        <v>114.92</v>
      </c>
      <c r="E592" s="2623">
        <v>114.32</v>
      </c>
      <c r="F592" s="2623">
        <v>111.022886</v>
      </c>
      <c r="G592" s="2623">
        <v>110.832886</v>
      </c>
      <c r="H592" s="2623">
        <v>108.424808</v>
      </c>
      <c r="I592" s="2623">
        <v>107.136736</v>
      </c>
      <c r="J592" s="2623"/>
      <c r="K592" s="2623"/>
      <c r="L592" s="2623"/>
      <c r="M592" s="2623"/>
      <c r="N592" s="2623"/>
      <c r="O592" s="2623"/>
      <c r="P592" s="2623"/>
      <c r="Q592" s="2623"/>
      <c r="R592" s="2631"/>
    </row>
    <row r="593" spans="1:18">
      <c r="A593" s="2615"/>
      <c r="B593" s="2618" t="s">
        <v>5529</v>
      </c>
      <c r="C593" s="2622" t="s">
        <v>5232</v>
      </c>
      <c r="D593" s="2623">
        <v>114.94</v>
      </c>
      <c r="E593" s="2623">
        <v>114.465</v>
      </c>
      <c r="F593" s="2623">
        <v>112.34192400000001</v>
      </c>
      <c r="G593" s="2623">
        <v>112.09192400000001</v>
      </c>
      <c r="H593" s="2623">
        <v>110.609872</v>
      </c>
      <c r="I593" s="2623">
        <v>109.627824</v>
      </c>
      <c r="J593" s="2623"/>
      <c r="K593" s="2623" t="s">
        <v>5233</v>
      </c>
      <c r="L593" s="2623">
        <v>110.669872</v>
      </c>
      <c r="M593" s="2623">
        <v>111.26987200000001</v>
      </c>
      <c r="N593" s="2623">
        <v>112.40192399999999</v>
      </c>
      <c r="O593" s="2623">
        <v>112.736924</v>
      </c>
      <c r="P593" s="2623">
        <v>115</v>
      </c>
      <c r="Q593" s="2623">
        <v>115.912352</v>
      </c>
      <c r="R593" s="2631">
        <v>108</v>
      </c>
    </row>
    <row r="594" spans="1:18">
      <c r="A594" s="2615"/>
      <c r="B594" s="2618" t="s">
        <v>5529</v>
      </c>
      <c r="C594" s="2622" t="s">
        <v>5234</v>
      </c>
      <c r="D594" s="2623">
        <v>114.94</v>
      </c>
      <c r="E594" s="2623">
        <v>114.465</v>
      </c>
      <c r="F594" s="2623">
        <v>112.34192400000001</v>
      </c>
      <c r="G594" s="2623">
        <v>112.181924</v>
      </c>
      <c r="H594" s="2623">
        <v>110.609872</v>
      </c>
      <c r="I594" s="2623">
        <v>109.71782399999999</v>
      </c>
      <c r="J594" s="2623"/>
      <c r="K594" s="2623"/>
      <c r="L594" s="2623"/>
      <c r="M594" s="2623"/>
      <c r="N594" s="2623"/>
      <c r="O594" s="2623"/>
      <c r="P594" s="2623"/>
      <c r="Q594" s="2623"/>
      <c r="R594" s="2631"/>
    </row>
    <row r="595" spans="1:18">
      <c r="A595" s="2615"/>
      <c r="B595" s="2618" t="s">
        <v>5530</v>
      </c>
      <c r="C595" s="2622" t="s">
        <v>5232</v>
      </c>
      <c r="D595" s="2623">
        <v>114.952</v>
      </c>
      <c r="E595" s="2623">
        <v>114.577</v>
      </c>
      <c r="F595" s="2623">
        <v>113.003443</v>
      </c>
      <c r="G595" s="2623">
        <v>112.779443</v>
      </c>
      <c r="H595" s="2623">
        <v>111.704404</v>
      </c>
      <c r="I595" s="2623">
        <v>110.93136800000001</v>
      </c>
      <c r="J595" s="2623"/>
      <c r="K595" s="2623" t="s">
        <v>5233</v>
      </c>
      <c r="L595" s="2623">
        <v>111.752404</v>
      </c>
      <c r="M595" s="2623">
        <v>112.252404</v>
      </c>
      <c r="N595" s="2623">
        <v>113.05144300000001</v>
      </c>
      <c r="O595" s="2623">
        <v>113.351443</v>
      </c>
      <c r="P595" s="2623">
        <v>115</v>
      </c>
      <c r="Q595" s="2623">
        <v>115.733014</v>
      </c>
      <c r="R595" s="2631">
        <v>108</v>
      </c>
    </row>
    <row r="596" spans="1:18">
      <c r="A596" s="2615"/>
      <c r="B596" s="2618" t="s">
        <v>5530</v>
      </c>
      <c r="C596" s="2622" t="s">
        <v>5234</v>
      </c>
      <c r="D596" s="2623">
        <v>114.952</v>
      </c>
      <c r="E596" s="2623">
        <v>114.577</v>
      </c>
      <c r="F596" s="2623">
        <v>113.003443</v>
      </c>
      <c r="G596" s="2623">
        <v>112.863443</v>
      </c>
      <c r="H596" s="2623">
        <v>111.704404</v>
      </c>
      <c r="I596" s="2623">
        <v>111.015368</v>
      </c>
      <c r="J596" s="2623"/>
      <c r="K596" s="2623"/>
      <c r="L596" s="2623"/>
      <c r="M596" s="2623"/>
      <c r="N596" s="2623"/>
      <c r="O596" s="2623"/>
      <c r="P596" s="2623"/>
      <c r="Q596" s="2623"/>
      <c r="R596" s="2631"/>
    </row>
    <row r="597" spans="1:18">
      <c r="A597" s="2615"/>
      <c r="B597" s="2618" t="s">
        <v>5531</v>
      </c>
      <c r="C597" s="2622" t="s">
        <v>5232</v>
      </c>
      <c r="D597" s="2623">
        <v>114.962</v>
      </c>
      <c r="E597" s="2623">
        <v>114.682</v>
      </c>
      <c r="F597" s="2623">
        <v>113.66296199999999</v>
      </c>
      <c r="G597" s="2623">
        <v>113.472962</v>
      </c>
      <c r="H597" s="2623">
        <v>112.796936</v>
      </c>
      <c r="I597" s="2623">
        <v>112.24091199999999</v>
      </c>
      <c r="J597" s="2623"/>
      <c r="K597" s="2623" t="s">
        <v>5233</v>
      </c>
      <c r="L597" s="2623">
        <v>112.834936</v>
      </c>
      <c r="M597" s="2623">
        <v>113.209936</v>
      </c>
      <c r="N597" s="2623">
        <v>113.700962</v>
      </c>
      <c r="O597" s="2623">
        <v>113.950962</v>
      </c>
      <c r="P597" s="2623">
        <v>115</v>
      </c>
      <c r="Q597" s="2623">
        <v>115.538676</v>
      </c>
      <c r="R597" s="2631">
        <v>108</v>
      </c>
    </row>
    <row r="598" spans="1:18">
      <c r="A598" s="2615"/>
      <c r="B598" s="2618" t="s">
        <v>5531</v>
      </c>
      <c r="C598" s="2622" t="s">
        <v>5234</v>
      </c>
      <c r="D598" s="2623">
        <v>114.962</v>
      </c>
      <c r="E598" s="2623">
        <v>114.682</v>
      </c>
      <c r="F598" s="2623">
        <v>113.66296199999999</v>
      </c>
      <c r="G598" s="2623">
        <v>113.542962</v>
      </c>
      <c r="H598" s="2623">
        <v>112.796936</v>
      </c>
      <c r="I598" s="2623">
        <v>112.310912</v>
      </c>
      <c r="J598" s="2623"/>
      <c r="K598" s="2623"/>
      <c r="L598" s="2623"/>
      <c r="M598" s="2623"/>
      <c r="N598" s="2623"/>
      <c r="O598" s="2623"/>
      <c r="P598" s="2623"/>
      <c r="Q598" s="2623"/>
      <c r="R598" s="2631"/>
    </row>
    <row r="599" spans="1:18">
      <c r="A599" s="2615"/>
      <c r="B599" s="2618" t="s">
        <v>5532</v>
      </c>
      <c r="C599" s="2622" t="s">
        <v>5232</v>
      </c>
      <c r="D599" s="2623">
        <v>114.968</v>
      </c>
      <c r="E599" s="2623">
        <v>114.732</v>
      </c>
      <c r="F599" s="2623">
        <v>113.99372150000001</v>
      </c>
      <c r="G599" s="2623">
        <v>113.8137215</v>
      </c>
      <c r="H599" s="2623">
        <v>113.344202</v>
      </c>
      <c r="I599" s="2623">
        <v>112.889684</v>
      </c>
      <c r="J599" s="2623"/>
      <c r="K599" s="2623" t="s">
        <v>5233</v>
      </c>
      <c r="L599" s="2623">
        <v>113.37620200000001</v>
      </c>
      <c r="M599" s="2623">
        <v>113.676202</v>
      </c>
      <c r="N599" s="2623">
        <v>114.0257215</v>
      </c>
      <c r="O599" s="2623">
        <v>114.26172149999999</v>
      </c>
      <c r="P599" s="2623">
        <v>115</v>
      </c>
      <c r="Q599" s="2623">
        <v>115.452507</v>
      </c>
      <c r="R599" s="2631">
        <v>108</v>
      </c>
    </row>
    <row r="600" spans="1:18">
      <c r="A600" s="2615"/>
      <c r="B600" s="2618" t="s">
        <v>5532</v>
      </c>
      <c r="C600" s="2622" t="s">
        <v>5234</v>
      </c>
      <c r="D600" s="2623">
        <v>114.968</v>
      </c>
      <c r="E600" s="2623">
        <v>114.732</v>
      </c>
      <c r="F600" s="2623">
        <v>113.99372150000001</v>
      </c>
      <c r="G600" s="2623">
        <v>113.8817215</v>
      </c>
      <c r="H600" s="2623">
        <v>113.344202</v>
      </c>
      <c r="I600" s="2623">
        <v>112.957684</v>
      </c>
      <c r="J600" s="2623"/>
      <c r="K600" s="2623"/>
      <c r="L600" s="2623"/>
      <c r="M600" s="2623"/>
      <c r="N600" s="2623"/>
      <c r="O600" s="2623"/>
      <c r="P600" s="2623"/>
      <c r="Q600" s="2623"/>
      <c r="R600" s="2631"/>
    </row>
    <row r="601" spans="1:18">
      <c r="A601" s="2615">
        <v>120</v>
      </c>
      <c r="B601" s="2618" t="s">
        <v>5533</v>
      </c>
      <c r="C601" s="2622" t="s">
        <v>5232</v>
      </c>
      <c r="D601" s="2623">
        <v>119.92</v>
      </c>
      <c r="E601" s="2623">
        <v>119.32</v>
      </c>
      <c r="F601" s="2623">
        <v>116.022886</v>
      </c>
      <c r="G601" s="2623">
        <v>115.722886</v>
      </c>
      <c r="H601" s="2623">
        <v>113.424808</v>
      </c>
      <c r="I601" s="2623">
        <v>112.026736</v>
      </c>
      <c r="J601" s="2623"/>
      <c r="K601" s="2623" t="s">
        <v>5233</v>
      </c>
      <c r="L601" s="2623">
        <v>113.504808</v>
      </c>
      <c r="M601" s="2623">
        <v>114.30480799999999</v>
      </c>
      <c r="N601" s="2623">
        <v>116.102886</v>
      </c>
      <c r="O601" s="2623">
        <v>116.502886</v>
      </c>
      <c r="P601" s="2623">
        <v>120</v>
      </c>
      <c r="Q601" s="2623">
        <v>121.26602800000001</v>
      </c>
      <c r="R601" s="2631">
        <v>108</v>
      </c>
    </row>
    <row r="602" spans="1:18">
      <c r="A602" s="2615"/>
      <c r="B602" s="2618" t="s">
        <v>5533</v>
      </c>
      <c r="C602" s="2622" t="s">
        <v>5234</v>
      </c>
      <c r="D602" s="2623">
        <v>119.92</v>
      </c>
      <c r="E602" s="2623">
        <v>119.32</v>
      </c>
      <c r="F602" s="2623">
        <v>116.022886</v>
      </c>
      <c r="G602" s="2623">
        <v>115.832886</v>
      </c>
      <c r="H602" s="2623">
        <v>113.424808</v>
      </c>
      <c r="I602" s="2623">
        <v>112.136736</v>
      </c>
      <c r="J602" s="2623"/>
      <c r="K602" s="2623"/>
      <c r="L602" s="2623"/>
      <c r="M602" s="2623"/>
      <c r="N602" s="2623"/>
      <c r="O602" s="2623"/>
      <c r="P602" s="2623"/>
      <c r="Q602" s="2623"/>
      <c r="R602" s="2631"/>
    </row>
    <row r="603" spans="1:18">
      <c r="A603" s="2615"/>
      <c r="B603" s="2618" t="s">
        <v>5534</v>
      </c>
      <c r="C603" s="2622" t="s">
        <v>5232</v>
      </c>
      <c r="D603" s="2623">
        <v>119.94</v>
      </c>
      <c r="E603" s="2623">
        <v>119.465</v>
      </c>
      <c r="F603" s="2623">
        <v>117.34192400000001</v>
      </c>
      <c r="G603" s="2623">
        <v>117.09192400000001</v>
      </c>
      <c r="H603" s="2623">
        <v>115.609872</v>
      </c>
      <c r="I603" s="2623">
        <v>114.627824</v>
      </c>
      <c r="J603" s="2623"/>
      <c r="K603" s="2623" t="s">
        <v>5233</v>
      </c>
      <c r="L603" s="2623">
        <v>115.669872</v>
      </c>
      <c r="M603" s="2623">
        <v>116.26987200000001</v>
      </c>
      <c r="N603" s="2623">
        <v>117.40192399999999</v>
      </c>
      <c r="O603" s="2623">
        <v>117.736924</v>
      </c>
      <c r="P603" s="2623">
        <v>120</v>
      </c>
      <c r="Q603" s="2623">
        <v>120.912352</v>
      </c>
      <c r="R603" s="2631">
        <v>108</v>
      </c>
    </row>
    <row r="604" spans="1:18">
      <c r="A604" s="2615"/>
      <c r="B604" s="2618" t="s">
        <v>5534</v>
      </c>
      <c r="C604" s="2622" t="s">
        <v>5234</v>
      </c>
      <c r="D604" s="2623">
        <v>119.94</v>
      </c>
      <c r="E604" s="2623">
        <v>119.465</v>
      </c>
      <c r="F604" s="2623">
        <v>117.34192400000001</v>
      </c>
      <c r="G604" s="2623">
        <v>117.181924</v>
      </c>
      <c r="H604" s="2623">
        <v>115.609872</v>
      </c>
      <c r="I604" s="2623">
        <v>114.71782399999999</v>
      </c>
      <c r="J604" s="2623"/>
      <c r="K604" s="2623"/>
      <c r="L604" s="2623"/>
      <c r="M604" s="2623"/>
      <c r="N604" s="2623"/>
      <c r="O604" s="2623"/>
      <c r="P604" s="2623"/>
      <c r="Q604" s="2623"/>
      <c r="R604" s="2631"/>
    </row>
    <row r="605" spans="1:18">
      <c r="A605" s="2615"/>
      <c r="B605" s="2618" t="s">
        <v>5535</v>
      </c>
      <c r="C605" s="2622" t="s">
        <v>5232</v>
      </c>
      <c r="D605" s="2623">
        <v>119.952</v>
      </c>
      <c r="E605" s="2623">
        <v>119.577</v>
      </c>
      <c r="F605" s="2623">
        <v>118.003443</v>
      </c>
      <c r="G605" s="2623">
        <v>117.779443</v>
      </c>
      <c r="H605" s="2623">
        <v>116.704404</v>
      </c>
      <c r="I605" s="2623">
        <v>115.93136800000001</v>
      </c>
      <c r="J605" s="2623"/>
      <c r="K605" s="2623" t="s">
        <v>5233</v>
      </c>
      <c r="L605" s="2623">
        <v>116.752404</v>
      </c>
      <c r="M605" s="2623">
        <v>117.252404</v>
      </c>
      <c r="N605" s="2623">
        <v>118.05144300000001</v>
      </c>
      <c r="O605" s="2623">
        <v>118.351443</v>
      </c>
      <c r="P605" s="2623">
        <v>120</v>
      </c>
      <c r="Q605" s="2623">
        <v>120.733014</v>
      </c>
      <c r="R605" s="2631">
        <v>108</v>
      </c>
    </row>
    <row r="606" spans="1:18">
      <c r="A606" s="2615"/>
      <c r="B606" s="2618" t="s">
        <v>5535</v>
      </c>
      <c r="C606" s="2622" t="s">
        <v>5234</v>
      </c>
      <c r="D606" s="2623">
        <v>119.952</v>
      </c>
      <c r="E606" s="2623">
        <v>119.577</v>
      </c>
      <c r="F606" s="2623">
        <v>118.003443</v>
      </c>
      <c r="G606" s="2623">
        <v>117.863443</v>
      </c>
      <c r="H606" s="2623">
        <v>116.704404</v>
      </c>
      <c r="I606" s="2623">
        <v>116.015368</v>
      </c>
      <c r="J606" s="2623"/>
      <c r="K606" s="2623"/>
      <c r="L606" s="2623"/>
      <c r="M606" s="2623"/>
      <c r="N606" s="2623"/>
      <c r="O606" s="2623"/>
      <c r="P606" s="2623"/>
      <c r="Q606" s="2623"/>
      <c r="R606" s="2631"/>
    </row>
    <row r="607" spans="1:18">
      <c r="A607" s="2615"/>
      <c r="B607" s="2622" t="s">
        <v>5536</v>
      </c>
      <c r="C607" s="2622" t="s">
        <v>5232</v>
      </c>
      <c r="D607" s="2623">
        <v>119.962</v>
      </c>
      <c r="E607" s="2623">
        <v>119.682</v>
      </c>
      <c r="F607" s="2623">
        <v>118.663</v>
      </c>
      <c r="G607" s="2623">
        <v>118.473</v>
      </c>
      <c r="H607" s="2623">
        <v>117.797</v>
      </c>
      <c r="I607" s="2623">
        <v>117.241</v>
      </c>
      <c r="J607" s="2623"/>
      <c r="K607" s="2623" t="s">
        <v>5233</v>
      </c>
      <c r="L607" s="2623">
        <v>117.83499999999999</v>
      </c>
      <c r="M607" s="2623">
        <v>118.21</v>
      </c>
      <c r="N607" s="2623">
        <v>118.70099999999999</v>
      </c>
      <c r="O607" s="2623">
        <v>118.95099999999999</v>
      </c>
      <c r="P607" s="2623">
        <v>120</v>
      </c>
      <c r="Q607" s="2623">
        <v>120.539</v>
      </c>
      <c r="R607" s="2631">
        <v>108</v>
      </c>
    </row>
    <row r="608" spans="1:18">
      <c r="A608" s="2615"/>
      <c r="B608" s="2622" t="s">
        <v>5536</v>
      </c>
      <c r="C608" s="2622" t="s">
        <v>5234</v>
      </c>
      <c r="D608" s="2623">
        <v>119.962</v>
      </c>
      <c r="E608" s="2623">
        <v>119.682</v>
      </c>
      <c r="F608" s="2623">
        <v>118.663</v>
      </c>
      <c r="G608" s="2623">
        <v>118.545</v>
      </c>
      <c r="H608" s="2623">
        <v>117.797</v>
      </c>
      <c r="I608" s="2623">
        <v>117.313</v>
      </c>
      <c r="J608" s="2623"/>
      <c r="K608" s="2623"/>
      <c r="L608" s="2623"/>
      <c r="M608" s="2623"/>
      <c r="N608" s="2623"/>
      <c r="O608" s="2623"/>
      <c r="P608" s="2623"/>
      <c r="Q608" s="2623"/>
      <c r="R608" s="2631"/>
    </row>
    <row r="609" spans="1:18">
      <c r="A609" s="2615"/>
      <c r="B609" s="2618" t="s">
        <v>5537</v>
      </c>
      <c r="C609" s="2622" t="s">
        <v>5232</v>
      </c>
      <c r="D609" s="2623">
        <v>119.968</v>
      </c>
      <c r="E609" s="2623">
        <v>119.732</v>
      </c>
      <c r="F609" s="2623">
        <v>118.99372150000001</v>
      </c>
      <c r="G609" s="2623">
        <v>118.8137215</v>
      </c>
      <c r="H609" s="2623">
        <v>118.344202</v>
      </c>
      <c r="I609" s="2623">
        <v>117.889684</v>
      </c>
      <c r="J609" s="2623"/>
      <c r="K609" s="2623" t="s">
        <v>5233</v>
      </c>
      <c r="L609" s="2623">
        <v>118.37620200000001</v>
      </c>
      <c r="M609" s="2623">
        <v>118.676202</v>
      </c>
      <c r="N609" s="2623">
        <v>119.0257215</v>
      </c>
      <c r="O609" s="2623">
        <v>119.26172149999999</v>
      </c>
      <c r="P609" s="2623">
        <v>120</v>
      </c>
      <c r="Q609" s="2623">
        <v>120.452507</v>
      </c>
      <c r="R609" s="2631">
        <v>110</v>
      </c>
    </row>
    <row r="610" spans="1:18">
      <c r="A610" s="2615"/>
      <c r="B610" s="2618" t="s">
        <v>5537</v>
      </c>
      <c r="C610" s="2622" t="s">
        <v>5234</v>
      </c>
      <c r="D610" s="2623">
        <v>119.968</v>
      </c>
      <c r="E610" s="2623">
        <v>119.732</v>
      </c>
      <c r="F610" s="2623">
        <v>118.99372150000001</v>
      </c>
      <c r="G610" s="2623">
        <v>118.8817215</v>
      </c>
      <c r="H610" s="2623">
        <v>118.344202</v>
      </c>
      <c r="I610" s="2623">
        <v>117.957684</v>
      </c>
      <c r="J610" s="2623"/>
      <c r="K610" s="2623"/>
      <c r="L610" s="2623"/>
      <c r="M610" s="2623"/>
      <c r="N610" s="2623"/>
      <c r="O610" s="2623"/>
      <c r="P610" s="2623"/>
      <c r="Q610" s="2623"/>
      <c r="R610" s="2631"/>
    </row>
    <row r="611" spans="1:18">
      <c r="A611" s="2615">
        <v>125</v>
      </c>
      <c r="B611" s="2618" t="s">
        <v>5538</v>
      </c>
      <c r="C611" s="2622" t="s">
        <v>5232</v>
      </c>
      <c r="D611" s="2623">
        <v>124.9</v>
      </c>
      <c r="E611" s="2623">
        <v>124.19</v>
      </c>
      <c r="F611" s="2623">
        <v>119.70384799999999</v>
      </c>
      <c r="G611" s="2623">
        <v>119.368848</v>
      </c>
      <c r="H611" s="2623">
        <v>116.239744</v>
      </c>
      <c r="I611" s="2623">
        <v>114.440648</v>
      </c>
      <c r="J611" s="2623"/>
      <c r="K611" s="2623" t="s">
        <v>5233</v>
      </c>
      <c r="L611" s="2623">
        <v>116.339744</v>
      </c>
      <c r="M611" s="2623">
        <v>117.339744</v>
      </c>
      <c r="N611" s="2623">
        <v>119.803848</v>
      </c>
      <c r="O611" s="2623">
        <v>120.253848</v>
      </c>
      <c r="P611" s="2623">
        <v>125</v>
      </c>
      <c r="Q611" s="2623">
        <v>126.604704</v>
      </c>
      <c r="R611" s="2631">
        <v>110</v>
      </c>
    </row>
    <row r="612" spans="1:18">
      <c r="A612" s="2615"/>
      <c r="B612" s="2618" t="s">
        <v>5538</v>
      </c>
      <c r="C612" s="2622" t="s">
        <v>5234</v>
      </c>
      <c r="D612" s="2623">
        <v>124.9</v>
      </c>
      <c r="E612" s="2623">
        <v>124.19</v>
      </c>
      <c r="F612" s="2623">
        <v>119.70384799999999</v>
      </c>
      <c r="G612" s="2623">
        <v>119.491848</v>
      </c>
      <c r="H612" s="2623">
        <v>116.239744</v>
      </c>
      <c r="I612" s="2623">
        <v>114.563648</v>
      </c>
      <c r="J612" s="2623"/>
      <c r="K612" s="2623"/>
      <c r="L612" s="2623"/>
      <c r="M612" s="2623"/>
      <c r="N612" s="2623"/>
      <c r="O612" s="2623"/>
      <c r="P612" s="2623"/>
      <c r="Q612" s="2623"/>
      <c r="R612" s="2631"/>
    </row>
    <row r="613" spans="1:18">
      <c r="A613" s="2615"/>
      <c r="B613" s="2618" t="s">
        <v>5539</v>
      </c>
      <c r="C613" s="2622" t="s">
        <v>5232</v>
      </c>
      <c r="D613" s="2623">
        <v>124.92</v>
      </c>
      <c r="E613" s="2623">
        <v>124.32</v>
      </c>
      <c r="F613" s="2623">
        <v>121.022886</v>
      </c>
      <c r="G613" s="2623">
        <v>120.722886</v>
      </c>
      <c r="H613" s="2623">
        <v>118.424808</v>
      </c>
      <c r="I613" s="2623">
        <v>117.026736</v>
      </c>
      <c r="J613" s="2623"/>
      <c r="K613" s="2623" t="s">
        <v>5233</v>
      </c>
      <c r="L613" s="2623">
        <v>118.504808</v>
      </c>
      <c r="M613" s="2623">
        <v>119.30480799999999</v>
      </c>
      <c r="N613" s="2623">
        <v>121.102886</v>
      </c>
      <c r="O613" s="2623">
        <v>121.502886</v>
      </c>
      <c r="P613" s="2623">
        <v>125</v>
      </c>
      <c r="Q613" s="2623">
        <v>126.26602800000001</v>
      </c>
      <c r="R613" s="2631">
        <v>110</v>
      </c>
    </row>
    <row r="614" spans="1:18">
      <c r="A614" s="2615"/>
      <c r="B614" s="2618" t="s">
        <v>5539</v>
      </c>
      <c r="C614" s="2622" t="s">
        <v>5234</v>
      </c>
      <c r="D614" s="2623">
        <v>124.92</v>
      </c>
      <c r="E614" s="2623">
        <v>124.32</v>
      </c>
      <c r="F614" s="2623">
        <v>121.022886</v>
      </c>
      <c r="G614" s="2623">
        <v>120.832886</v>
      </c>
      <c r="H614" s="2623">
        <v>118.424808</v>
      </c>
      <c r="I614" s="2623">
        <v>117.136736</v>
      </c>
      <c r="J614" s="2623"/>
      <c r="K614" s="2623"/>
      <c r="L614" s="2623"/>
      <c r="M614" s="2623"/>
      <c r="N614" s="2623"/>
      <c r="O614" s="2623"/>
      <c r="P614" s="2623"/>
      <c r="Q614" s="2623"/>
      <c r="R614" s="2631"/>
    </row>
    <row r="615" spans="1:18">
      <c r="A615" s="2615"/>
      <c r="B615" s="2618" t="s">
        <v>5540</v>
      </c>
      <c r="C615" s="2622" t="s">
        <v>5232</v>
      </c>
      <c r="D615" s="2623">
        <v>124.94</v>
      </c>
      <c r="E615" s="2623">
        <v>124.465</v>
      </c>
      <c r="F615" s="2623">
        <v>122.34192400000001</v>
      </c>
      <c r="G615" s="2623">
        <v>122.09192400000001</v>
      </c>
      <c r="H615" s="2623">
        <v>120.609872</v>
      </c>
      <c r="I615" s="2623">
        <v>119.627824</v>
      </c>
      <c r="J615" s="2623"/>
      <c r="K615" s="2623" t="s">
        <v>5233</v>
      </c>
      <c r="L615" s="2623">
        <v>120.669872</v>
      </c>
      <c r="M615" s="2623">
        <v>121.26987200000001</v>
      </c>
      <c r="N615" s="2623">
        <v>122.40192399999999</v>
      </c>
      <c r="O615" s="2623">
        <v>122.736924</v>
      </c>
      <c r="P615" s="2623">
        <v>125</v>
      </c>
      <c r="Q615" s="2623">
        <v>125.912352</v>
      </c>
      <c r="R615" s="2631">
        <v>110</v>
      </c>
    </row>
    <row r="616" spans="1:18">
      <c r="A616" s="2615"/>
      <c r="B616" s="2618" t="s">
        <v>5540</v>
      </c>
      <c r="C616" s="2622" t="s">
        <v>5234</v>
      </c>
      <c r="D616" s="2623">
        <v>124.94</v>
      </c>
      <c r="E616" s="2623">
        <v>124.465</v>
      </c>
      <c r="F616" s="2623">
        <v>122.34192400000001</v>
      </c>
      <c r="G616" s="2623">
        <v>122.181924</v>
      </c>
      <c r="H616" s="2623">
        <v>120.609872</v>
      </c>
      <c r="I616" s="2623">
        <v>119.71782399999999</v>
      </c>
      <c r="J616" s="2623"/>
      <c r="K616" s="2623"/>
      <c r="L616" s="2623"/>
      <c r="M616" s="2623"/>
      <c r="N616" s="2623"/>
      <c r="O616" s="2623"/>
      <c r="P616" s="2623"/>
      <c r="Q616" s="2623"/>
      <c r="R616" s="2631"/>
    </row>
    <row r="617" spans="1:18">
      <c r="A617" s="2615"/>
      <c r="B617" s="2618" t="s">
        <v>5541</v>
      </c>
      <c r="C617" s="2622" t="s">
        <v>5232</v>
      </c>
      <c r="D617" s="2623">
        <v>124.952</v>
      </c>
      <c r="E617" s="2623">
        <v>124.577</v>
      </c>
      <c r="F617" s="2623">
        <v>123.003443</v>
      </c>
      <c r="G617" s="2623">
        <v>122.779443</v>
      </c>
      <c r="H617" s="2623">
        <v>121.704404</v>
      </c>
      <c r="I617" s="2623">
        <v>120.93136800000001</v>
      </c>
      <c r="J617" s="2623"/>
      <c r="K617" s="2623" t="s">
        <v>5233</v>
      </c>
      <c r="L617" s="2623">
        <v>121.752404</v>
      </c>
      <c r="M617" s="2623">
        <v>122.252404</v>
      </c>
      <c r="N617" s="2623">
        <v>123.05144300000001</v>
      </c>
      <c r="O617" s="2623">
        <v>123.351443</v>
      </c>
      <c r="P617" s="2623">
        <v>125</v>
      </c>
      <c r="Q617" s="2623">
        <v>125.733014</v>
      </c>
      <c r="R617" s="2631">
        <v>110</v>
      </c>
    </row>
    <row r="618" spans="1:18">
      <c r="A618" s="2615"/>
      <c r="B618" s="2618" t="s">
        <v>5541</v>
      </c>
      <c r="C618" s="2622" t="s">
        <v>5234</v>
      </c>
      <c r="D618" s="2623">
        <v>124.952</v>
      </c>
      <c r="E618" s="2623">
        <v>124.577</v>
      </c>
      <c r="F618" s="2623">
        <v>123.003443</v>
      </c>
      <c r="G618" s="2623">
        <v>122.863443</v>
      </c>
      <c r="H618" s="2623">
        <v>121.704404</v>
      </c>
      <c r="I618" s="2623">
        <v>121.015368</v>
      </c>
      <c r="J618" s="2623"/>
      <c r="K618" s="2623"/>
      <c r="L618" s="2623"/>
      <c r="M618" s="2623"/>
      <c r="N618" s="2623"/>
      <c r="O618" s="2623"/>
      <c r="P618" s="2623"/>
      <c r="Q618" s="2623"/>
      <c r="R618" s="2631"/>
    </row>
    <row r="619" spans="1:18">
      <c r="A619" s="2615"/>
      <c r="B619" s="2618" t="s">
        <v>5542</v>
      </c>
      <c r="C619" s="2622" t="s">
        <v>5232</v>
      </c>
      <c r="D619" s="2623">
        <v>124.962</v>
      </c>
      <c r="E619" s="2623">
        <v>124.682</v>
      </c>
      <c r="F619" s="2623">
        <v>123.66296199999999</v>
      </c>
      <c r="G619" s="2623">
        <v>123.472962</v>
      </c>
      <c r="H619" s="2623">
        <v>122.796936</v>
      </c>
      <c r="I619" s="2623">
        <v>122.24091199999999</v>
      </c>
      <c r="J619" s="2623"/>
      <c r="K619" s="2623" t="s">
        <v>5233</v>
      </c>
      <c r="L619" s="2623">
        <v>122.834936</v>
      </c>
      <c r="M619" s="2623">
        <v>123.209936</v>
      </c>
      <c r="N619" s="2623">
        <v>123.700962</v>
      </c>
      <c r="O619" s="2623">
        <v>123.950962</v>
      </c>
      <c r="P619" s="2623">
        <v>125</v>
      </c>
      <c r="Q619" s="2623">
        <v>125.538676</v>
      </c>
      <c r="R619" s="2631">
        <v>117</v>
      </c>
    </row>
    <row r="620" spans="1:18">
      <c r="A620" s="2615"/>
      <c r="B620" s="2618" t="s">
        <v>5542</v>
      </c>
      <c r="C620" s="2622" t="s">
        <v>5234</v>
      </c>
      <c r="D620" s="2623">
        <v>124.962</v>
      </c>
      <c r="E620" s="2623">
        <v>124.682</v>
      </c>
      <c r="F620" s="2623">
        <v>123.66296199999999</v>
      </c>
      <c r="G620" s="2623">
        <v>123.542962</v>
      </c>
      <c r="H620" s="2623">
        <v>122.796936</v>
      </c>
      <c r="I620" s="2623">
        <v>122.310912</v>
      </c>
      <c r="J620" s="2623"/>
      <c r="K620" s="2623"/>
      <c r="L620" s="2623"/>
      <c r="M620" s="2623"/>
      <c r="N620" s="2623"/>
      <c r="O620" s="2623"/>
      <c r="P620" s="2623"/>
      <c r="Q620" s="2623"/>
      <c r="R620" s="2631"/>
    </row>
    <row r="621" spans="1:18">
      <c r="A621" s="2615"/>
      <c r="B621" s="2618" t="s">
        <v>5543</v>
      </c>
      <c r="C621" s="2622" t="s">
        <v>5232</v>
      </c>
      <c r="D621" s="2623">
        <v>124.968</v>
      </c>
      <c r="E621" s="2623">
        <v>124.732</v>
      </c>
      <c r="F621" s="2623">
        <v>123.99372150000001</v>
      </c>
      <c r="G621" s="2623">
        <v>123.8137215</v>
      </c>
      <c r="H621" s="2623">
        <v>123.344202</v>
      </c>
      <c r="I621" s="2623">
        <v>122.889684</v>
      </c>
      <c r="J621" s="2623"/>
      <c r="K621" s="2623" t="s">
        <v>5233</v>
      </c>
      <c r="L621" s="2623">
        <v>123.37620200000001</v>
      </c>
      <c r="M621" s="2623">
        <v>123.676202</v>
      </c>
      <c r="N621" s="2623">
        <v>124.0257215</v>
      </c>
      <c r="O621" s="2623">
        <v>124.26172149999999</v>
      </c>
      <c r="P621" s="2623">
        <v>125</v>
      </c>
      <c r="Q621" s="2623">
        <v>125.452507</v>
      </c>
      <c r="R621" s="2631">
        <v>117</v>
      </c>
    </row>
    <row r="622" spans="1:18">
      <c r="A622" s="2615"/>
      <c r="B622" s="2618" t="s">
        <v>5543</v>
      </c>
      <c r="C622" s="2622" t="s">
        <v>5234</v>
      </c>
      <c r="D622" s="2623">
        <v>124.968</v>
      </c>
      <c r="E622" s="2623">
        <v>124.732</v>
      </c>
      <c r="F622" s="2623">
        <v>123.99372150000001</v>
      </c>
      <c r="G622" s="2623">
        <v>123.8817215</v>
      </c>
      <c r="H622" s="2623">
        <v>123.344202</v>
      </c>
      <c r="I622" s="2623">
        <v>122.957684</v>
      </c>
      <c r="J622" s="2623"/>
      <c r="K622" s="2623"/>
      <c r="L622" s="2623"/>
      <c r="M622" s="2623"/>
      <c r="N622" s="2623"/>
      <c r="O622" s="2623"/>
      <c r="P622" s="2623"/>
      <c r="Q622" s="2623"/>
      <c r="R622" s="2631"/>
    </row>
    <row r="623" spans="1:18">
      <c r="A623" s="2615">
        <v>130</v>
      </c>
      <c r="B623" s="2618" t="s">
        <v>5544</v>
      </c>
      <c r="C623" s="2622" t="s">
        <v>5232</v>
      </c>
      <c r="D623" s="2623">
        <v>129.9</v>
      </c>
      <c r="E623" s="2623">
        <v>129.19</v>
      </c>
      <c r="F623" s="2623">
        <v>124.70384799999999</v>
      </c>
      <c r="G623" s="2623">
        <v>124.368848</v>
      </c>
      <c r="H623" s="2623">
        <v>121.239744</v>
      </c>
      <c r="I623" s="2623">
        <v>119.440648</v>
      </c>
      <c r="J623" s="2623"/>
      <c r="K623" s="2623" t="s">
        <v>5233</v>
      </c>
      <c r="L623" s="2623">
        <v>121.339744</v>
      </c>
      <c r="M623" s="2623">
        <v>122.339744</v>
      </c>
      <c r="N623" s="2623">
        <v>124.803848</v>
      </c>
      <c r="O623" s="2623">
        <v>125.253848</v>
      </c>
      <c r="P623" s="2623">
        <v>130</v>
      </c>
      <c r="Q623" s="2623">
        <v>131.604704</v>
      </c>
      <c r="R623" s="2631">
        <v>117</v>
      </c>
    </row>
    <row r="624" spans="1:18">
      <c r="A624" s="2615"/>
      <c r="B624" s="2618" t="s">
        <v>5544</v>
      </c>
      <c r="C624" s="2622" t="s">
        <v>5234</v>
      </c>
      <c r="D624" s="2623">
        <v>129.9</v>
      </c>
      <c r="E624" s="2623">
        <v>129.19</v>
      </c>
      <c r="F624" s="2623">
        <v>124.70384799999999</v>
      </c>
      <c r="G624" s="2623">
        <v>124.491848</v>
      </c>
      <c r="H624" s="2623">
        <v>121.239744</v>
      </c>
      <c r="I624" s="2623">
        <v>119.563648</v>
      </c>
      <c r="J624" s="2623"/>
      <c r="K624" s="2623"/>
      <c r="L624" s="2623"/>
      <c r="M624" s="2623"/>
      <c r="N624" s="2623"/>
      <c r="O624" s="2623"/>
      <c r="P624" s="2623"/>
      <c r="Q624" s="2623"/>
      <c r="R624" s="2631"/>
    </row>
    <row r="625" spans="1:18">
      <c r="A625" s="2615"/>
      <c r="B625" s="2618" t="s">
        <v>5545</v>
      </c>
      <c r="C625" s="2622" t="s">
        <v>5232</v>
      </c>
      <c r="D625" s="2623">
        <v>129.91999999999999</v>
      </c>
      <c r="E625" s="2623">
        <v>129.32</v>
      </c>
      <c r="F625" s="2623">
        <v>126.022886</v>
      </c>
      <c r="G625" s="2623">
        <v>125.722886</v>
      </c>
      <c r="H625" s="2623">
        <v>123.424808</v>
      </c>
      <c r="I625" s="2623">
        <v>122.026736</v>
      </c>
      <c r="J625" s="2623"/>
      <c r="K625" s="2623" t="s">
        <v>5233</v>
      </c>
      <c r="L625" s="2623">
        <v>123.504808</v>
      </c>
      <c r="M625" s="2623">
        <v>124.30480799999999</v>
      </c>
      <c r="N625" s="2623">
        <v>126.102886</v>
      </c>
      <c r="O625" s="2623">
        <v>126.502886</v>
      </c>
      <c r="P625" s="2623">
        <v>130</v>
      </c>
      <c r="Q625" s="2623">
        <v>131.26602800000001</v>
      </c>
      <c r="R625" s="2631">
        <v>117</v>
      </c>
    </row>
    <row r="626" spans="1:18">
      <c r="A626" s="2615"/>
      <c r="B626" s="2618" t="s">
        <v>5545</v>
      </c>
      <c r="C626" s="2622" t="s">
        <v>5234</v>
      </c>
      <c r="D626" s="2623">
        <v>129.91999999999999</v>
      </c>
      <c r="E626" s="2623">
        <v>129.32</v>
      </c>
      <c r="F626" s="2623">
        <v>126.022886</v>
      </c>
      <c r="G626" s="2623">
        <v>125.832886</v>
      </c>
      <c r="H626" s="2623">
        <v>123.424808</v>
      </c>
      <c r="I626" s="2623">
        <v>122.136736</v>
      </c>
      <c r="J626" s="2623"/>
      <c r="K626" s="2623"/>
      <c r="L626" s="2623"/>
      <c r="M626" s="2623"/>
      <c r="N626" s="2623"/>
      <c r="O626" s="2623"/>
      <c r="P626" s="2623"/>
      <c r="Q626" s="2623"/>
      <c r="R626" s="2631"/>
    </row>
    <row r="627" spans="1:18">
      <c r="A627" s="2615"/>
      <c r="B627" s="2618" t="s">
        <v>5546</v>
      </c>
      <c r="C627" s="2622" t="s">
        <v>5232</v>
      </c>
      <c r="D627" s="2623">
        <v>129.94</v>
      </c>
      <c r="E627" s="2623">
        <v>129.465</v>
      </c>
      <c r="F627" s="2623">
        <v>127.34192400000001</v>
      </c>
      <c r="G627" s="2623">
        <v>127.09192400000001</v>
      </c>
      <c r="H627" s="2623">
        <v>125.609872</v>
      </c>
      <c r="I627" s="2623">
        <v>124.627824</v>
      </c>
      <c r="J627" s="2623"/>
      <c r="K627" s="2623" t="s">
        <v>5233</v>
      </c>
      <c r="L627" s="2623">
        <v>125.669872</v>
      </c>
      <c r="M627" s="2623">
        <v>126.26987200000001</v>
      </c>
      <c r="N627" s="2623">
        <v>127.40192399999999</v>
      </c>
      <c r="O627" s="2623">
        <v>127.736924</v>
      </c>
      <c r="P627" s="2623">
        <v>130</v>
      </c>
      <c r="Q627" s="2623">
        <v>130.912352</v>
      </c>
      <c r="R627" s="2631">
        <v>117</v>
      </c>
    </row>
    <row r="628" spans="1:18">
      <c r="A628" s="2615"/>
      <c r="B628" s="2618" t="s">
        <v>5546</v>
      </c>
      <c r="C628" s="2622" t="s">
        <v>5234</v>
      </c>
      <c r="D628" s="2623">
        <v>129.94</v>
      </c>
      <c r="E628" s="2623">
        <v>129.465</v>
      </c>
      <c r="F628" s="2623">
        <v>127.34192400000001</v>
      </c>
      <c r="G628" s="2623">
        <v>127.181924</v>
      </c>
      <c r="H628" s="2623">
        <v>125.609872</v>
      </c>
      <c r="I628" s="2623">
        <v>124.71782399999999</v>
      </c>
      <c r="J628" s="2623"/>
      <c r="K628" s="2623"/>
      <c r="L628" s="2623"/>
      <c r="M628" s="2623"/>
      <c r="N628" s="2623"/>
      <c r="O628" s="2623"/>
      <c r="P628" s="2623"/>
      <c r="Q628" s="2623"/>
      <c r="R628" s="2631"/>
    </row>
    <row r="629" spans="1:18">
      <c r="A629" s="2615"/>
      <c r="B629" s="2618" t="s">
        <v>5547</v>
      </c>
      <c r="C629" s="2622" t="s">
        <v>5232</v>
      </c>
      <c r="D629" s="2623">
        <v>129.952</v>
      </c>
      <c r="E629" s="2623">
        <v>129.577</v>
      </c>
      <c r="F629" s="2623">
        <v>128.003443</v>
      </c>
      <c r="G629" s="2623">
        <v>127.779443</v>
      </c>
      <c r="H629" s="2623">
        <v>126.704404</v>
      </c>
      <c r="I629" s="2623">
        <v>125.93136800000001</v>
      </c>
      <c r="J629" s="2623"/>
      <c r="K629" s="2623" t="s">
        <v>5233</v>
      </c>
      <c r="L629" s="2623">
        <v>126.752404</v>
      </c>
      <c r="M629" s="2623">
        <v>127.252404</v>
      </c>
      <c r="N629" s="2623">
        <v>128.05144300000001</v>
      </c>
      <c r="O629" s="2623">
        <v>128.35144299999999</v>
      </c>
      <c r="P629" s="2623">
        <v>130</v>
      </c>
      <c r="Q629" s="2623">
        <v>130.733014</v>
      </c>
      <c r="R629" s="2631">
        <v>117</v>
      </c>
    </row>
    <row r="630" spans="1:18">
      <c r="A630" s="2615"/>
      <c r="B630" s="2618" t="s">
        <v>5547</v>
      </c>
      <c r="C630" s="2622" t="s">
        <v>5234</v>
      </c>
      <c r="D630" s="2623">
        <v>129.952</v>
      </c>
      <c r="E630" s="2623">
        <v>129.577</v>
      </c>
      <c r="F630" s="2623">
        <v>128.003443</v>
      </c>
      <c r="G630" s="2623">
        <v>127.863443</v>
      </c>
      <c r="H630" s="2623">
        <v>126.704404</v>
      </c>
      <c r="I630" s="2623">
        <v>126.015368</v>
      </c>
      <c r="J630" s="2623"/>
      <c r="K630" s="2623"/>
      <c r="L630" s="2623"/>
      <c r="M630" s="2623"/>
      <c r="N630" s="2623"/>
      <c r="O630" s="2623"/>
      <c r="P630" s="2623"/>
      <c r="Q630" s="2623"/>
      <c r="R630" s="2631"/>
    </row>
    <row r="631" spans="1:18">
      <c r="A631" s="2615"/>
      <c r="B631" s="2622" t="s">
        <v>5548</v>
      </c>
      <c r="C631" s="2622" t="s">
        <v>5232</v>
      </c>
      <c r="D631" s="2623">
        <v>129.96199999999999</v>
      </c>
      <c r="E631" s="2623">
        <v>129.68199999999999</v>
      </c>
      <c r="F631" s="2623">
        <v>128.66300000000001</v>
      </c>
      <c r="G631" s="2623">
        <v>128.47300000000001</v>
      </c>
      <c r="H631" s="2623">
        <v>127.797</v>
      </c>
      <c r="I631" s="2623">
        <v>127.241</v>
      </c>
      <c r="J631" s="2623"/>
      <c r="K631" s="2623" t="s">
        <v>5233</v>
      </c>
      <c r="L631" s="2623">
        <v>127.83499999999999</v>
      </c>
      <c r="M631" s="2623">
        <v>128.21</v>
      </c>
      <c r="N631" s="2623">
        <v>128.70099999999999</v>
      </c>
      <c r="O631" s="2623">
        <v>128.95099999999999</v>
      </c>
      <c r="P631" s="2623">
        <v>130</v>
      </c>
      <c r="Q631" s="2623">
        <v>130.53899999999999</v>
      </c>
      <c r="R631" s="2631">
        <v>117</v>
      </c>
    </row>
    <row r="632" spans="1:18">
      <c r="A632" s="2615"/>
      <c r="B632" s="2622" t="s">
        <v>5548</v>
      </c>
      <c r="C632" s="2622" t="s">
        <v>5234</v>
      </c>
      <c r="D632" s="2623">
        <v>139.96199999999999</v>
      </c>
      <c r="E632" s="2623">
        <v>139.68199999999999</v>
      </c>
      <c r="F632" s="2623">
        <v>138.66300000000001</v>
      </c>
      <c r="G632" s="2623">
        <v>138.54499999999999</v>
      </c>
      <c r="H632" s="2623">
        <v>137.797</v>
      </c>
      <c r="I632" s="2623">
        <v>137.31299999999999</v>
      </c>
      <c r="J632" s="2623"/>
      <c r="K632" s="2623"/>
      <c r="L632" s="2623"/>
      <c r="M632" s="2623"/>
      <c r="N632" s="2623"/>
      <c r="O632" s="2623"/>
      <c r="P632" s="2623"/>
      <c r="Q632" s="2623"/>
      <c r="R632" s="2631"/>
    </row>
    <row r="633" spans="1:18">
      <c r="A633" s="2615"/>
      <c r="B633" s="2618" t="s">
        <v>5549</v>
      </c>
      <c r="C633" s="2622" t="s">
        <v>5232</v>
      </c>
      <c r="D633" s="2623">
        <v>129.96799999999999</v>
      </c>
      <c r="E633" s="2623">
        <v>129.732</v>
      </c>
      <c r="F633" s="2623">
        <v>128.99372149999999</v>
      </c>
      <c r="G633" s="2623">
        <v>128.81372150000001</v>
      </c>
      <c r="H633" s="2623">
        <v>128.344202</v>
      </c>
      <c r="I633" s="2623">
        <v>127.889684</v>
      </c>
      <c r="J633" s="2623"/>
      <c r="K633" s="2623" t="s">
        <v>5233</v>
      </c>
      <c r="L633" s="2623">
        <v>128.37620200000001</v>
      </c>
      <c r="M633" s="2623">
        <v>128.67620199999999</v>
      </c>
      <c r="N633" s="2623">
        <v>129.0257215</v>
      </c>
      <c r="O633" s="2623">
        <v>129.26172149999999</v>
      </c>
      <c r="P633" s="2623">
        <v>130</v>
      </c>
      <c r="Q633" s="2623">
        <v>130.452507</v>
      </c>
      <c r="R633" s="2631">
        <v>117</v>
      </c>
    </row>
    <row r="634" spans="1:18">
      <c r="A634" s="2615"/>
      <c r="B634" s="2618" t="s">
        <v>5549</v>
      </c>
      <c r="C634" s="2622" t="s">
        <v>5234</v>
      </c>
      <c r="D634" s="2623">
        <v>129.96799999999999</v>
      </c>
      <c r="E634" s="2623">
        <v>129.732</v>
      </c>
      <c r="F634" s="2623">
        <v>128.99372149999999</v>
      </c>
      <c r="G634" s="2623">
        <v>128.8817215</v>
      </c>
      <c r="H634" s="2623">
        <v>128.344202</v>
      </c>
      <c r="I634" s="2623">
        <v>127.957684</v>
      </c>
      <c r="J634" s="2623"/>
      <c r="K634" s="2623"/>
      <c r="L634" s="2623"/>
      <c r="M634" s="2623"/>
      <c r="N634" s="2623"/>
      <c r="O634" s="2623"/>
      <c r="P634" s="2623"/>
      <c r="Q634" s="2623"/>
      <c r="R634" s="2631"/>
    </row>
    <row r="635" spans="1:18">
      <c r="A635" s="2615">
        <v>135</v>
      </c>
      <c r="B635" s="2618" t="s">
        <v>5550</v>
      </c>
      <c r="C635" s="2622" t="s">
        <v>5232</v>
      </c>
      <c r="D635" s="2623">
        <v>134.91999999999999</v>
      </c>
      <c r="E635" s="2623">
        <v>134.32</v>
      </c>
      <c r="F635" s="2623">
        <v>131.022886</v>
      </c>
      <c r="G635" s="2623">
        <v>130.72288599999999</v>
      </c>
      <c r="H635" s="2623">
        <v>128.42480800000001</v>
      </c>
      <c r="I635" s="2623">
        <v>127.026736</v>
      </c>
      <c r="J635" s="2623"/>
      <c r="K635" s="2623" t="s">
        <v>5233</v>
      </c>
      <c r="L635" s="2623">
        <v>128.504808</v>
      </c>
      <c r="M635" s="2623">
        <v>129.30480800000001</v>
      </c>
      <c r="N635" s="2623">
        <v>131.10288600000001</v>
      </c>
      <c r="O635" s="2623">
        <v>131.50288599999999</v>
      </c>
      <c r="P635" s="2623">
        <v>135</v>
      </c>
      <c r="Q635" s="2623">
        <v>136.26602800000001</v>
      </c>
      <c r="R635" s="2631">
        <v>117</v>
      </c>
    </row>
    <row r="636" spans="1:18">
      <c r="A636" s="2615"/>
      <c r="B636" s="2618" t="s">
        <v>5550</v>
      </c>
      <c r="C636" s="2622" t="s">
        <v>5234</v>
      </c>
      <c r="D636" s="2623">
        <v>134.91999999999999</v>
      </c>
      <c r="E636" s="2623">
        <v>134.32</v>
      </c>
      <c r="F636" s="2623">
        <v>131.022886</v>
      </c>
      <c r="G636" s="2623">
        <v>130.832886</v>
      </c>
      <c r="H636" s="2623">
        <v>128.42480800000001</v>
      </c>
      <c r="I636" s="2623">
        <v>127.136736</v>
      </c>
      <c r="J636" s="2623"/>
      <c r="K636" s="2623"/>
      <c r="L636" s="2623"/>
      <c r="M636" s="2623"/>
      <c r="N636" s="2623"/>
      <c r="O636" s="2623"/>
      <c r="P636" s="2623"/>
      <c r="Q636" s="2623"/>
      <c r="R636" s="2631"/>
    </row>
    <row r="637" spans="1:18">
      <c r="A637" s="2615"/>
      <c r="B637" s="2618" t="s">
        <v>5551</v>
      </c>
      <c r="C637" s="2622" t="s">
        <v>5232</v>
      </c>
      <c r="D637" s="2623">
        <v>134.94</v>
      </c>
      <c r="E637" s="2623">
        <v>134.465</v>
      </c>
      <c r="F637" s="2623">
        <v>132.34192400000001</v>
      </c>
      <c r="G637" s="2623">
        <v>132.09192400000001</v>
      </c>
      <c r="H637" s="2623">
        <v>130.609872</v>
      </c>
      <c r="I637" s="2623">
        <v>129.627824</v>
      </c>
      <c r="J637" s="2623"/>
      <c r="K637" s="2623" t="s">
        <v>5233</v>
      </c>
      <c r="L637" s="2623">
        <v>130.669872</v>
      </c>
      <c r="M637" s="2623">
        <v>131.26987199999999</v>
      </c>
      <c r="N637" s="2623">
        <v>132.40192400000001</v>
      </c>
      <c r="O637" s="2623">
        <v>132.73692399999999</v>
      </c>
      <c r="P637" s="2623">
        <v>135</v>
      </c>
      <c r="Q637" s="2623">
        <v>135.912352</v>
      </c>
      <c r="R637" s="2631">
        <v>117</v>
      </c>
    </row>
    <row r="638" spans="1:18">
      <c r="A638" s="2615"/>
      <c r="B638" s="2618" t="s">
        <v>5551</v>
      </c>
      <c r="C638" s="2622" t="s">
        <v>5234</v>
      </c>
      <c r="D638" s="2623">
        <v>134.94</v>
      </c>
      <c r="E638" s="2623">
        <v>134.465</v>
      </c>
      <c r="F638" s="2623">
        <v>132.34192400000001</v>
      </c>
      <c r="G638" s="2623">
        <v>132.18192400000001</v>
      </c>
      <c r="H638" s="2623">
        <v>130.609872</v>
      </c>
      <c r="I638" s="2623">
        <v>129.71782400000001</v>
      </c>
      <c r="J638" s="2623"/>
      <c r="K638" s="2623"/>
      <c r="L638" s="2623"/>
      <c r="M638" s="2623"/>
      <c r="N638" s="2623"/>
      <c r="O638" s="2623"/>
      <c r="P638" s="2623"/>
      <c r="Q638" s="2623"/>
      <c r="R638" s="2631"/>
    </row>
    <row r="639" spans="1:18">
      <c r="A639" s="2615"/>
      <c r="B639" s="2618" t="s">
        <v>5552</v>
      </c>
      <c r="C639" s="2622" t="s">
        <v>5232</v>
      </c>
      <c r="D639" s="2623">
        <v>134.952</v>
      </c>
      <c r="E639" s="2623">
        <v>134.577</v>
      </c>
      <c r="F639" s="2623">
        <v>133.003443</v>
      </c>
      <c r="G639" s="2623">
        <v>132.77944299999999</v>
      </c>
      <c r="H639" s="2623">
        <v>131.70440400000001</v>
      </c>
      <c r="I639" s="2623">
        <v>130.93136799999999</v>
      </c>
      <c r="J639" s="2623"/>
      <c r="K639" s="2623" t="s">
        <v>5233</v>
      </c>
      <c r="L639" s="2623">
        <v>131.75240400000001</v>
      </c>
      <c r="M639" s="2623">
        <v>132.25240400000001</v>
      </c>
      <c r="N639" s="2623">
        <v>133.05144300000001</v>
      </c>
      <c r="O639" s="2623">
        <v>133.35144299999999</v>
      </c>
      <c r="P639" s="2623">
        <v>135</v>
      </c>
      <c r="Q639" s="2623">
        <v>135.733014</v>
      </c>
      <c r="R639" s="2631">
        <v>126</v>
      </c>
    </row>
    <row r="640" spans="1:18">
      <c r="A640" s="2615"/>
      <c r="B640" s="2618" t="s">
        <v>5552</v>
      </c>
      <c r="C640" s="2622" t="s">
        <v>5234</v>
      </c>
      <c r="D640" s="2623">
        <v>134.952</v>
      </c>
      <c r="E640" s="2623">
        <v>134.577</v>
      </c>
      <c r="F640" s="2623">
        <v>133.003443</v>
      </c>
      <c r="G640" s="2623">
        <v>132.86344299999999</v>
      </c>
      <c r="H640" s="2623">
        <v>131.70440400000001</v>
      </c>
      <c r="I640" s="2623">
        <v>131.015368</v>
      </c>
      <c r="J640" s="2623"/>
      <c r="K640" s="2623"/>
      <c r="L640" s="2623"/>
      <c r="M640" s="2623"/>
      <c r="N640" s="2623"/>
      <c r="O640" s="2623"/>
      <c r="P640" s="2623"/>
      <c r="Q640" s="2623"/>
      <c r="R640" s="2631"/>
    </row>
    <row r="641" spans="1:18">
      <c r="A641" s="2615"/>
      <c r="B641" s="2618" t="s">
        <v>5553</v>
      </c>
      <c r="C641" s="2622" t="s">
        <v>5232</v>
      </c>
      <c r="D641" s="2623">
        <v>134.96199999999999</v>
      </c>
      <c r="E641" s="2623">
        <v>134.68199999999999</v>
      </c>
      <c r="F641" s="2623">
        <v>133.66296199999999</v>
      </c>
      <c r="G641" s="2623">
        <v>133.472962</v>
      </c>
      <c r="H641" s="2623">
        <v>132.79693599999999</v>
      </c>
      <c r="I641" s="2623">
        <v>132.24091200000001</v>
      </c>
      <c r="J641" s="2623"/>
      <c r="K641" s="2623" t="s">
        <v>5233</v>
      </c>
      <c r="L641" s="2623">
        <v>132.834936</v>
      </c>
      <c r="M641" s="2623">
        <v>133.209936</v>
      </c>
      <c r="N641" s="2623">
        <v>133.700962</v>
      </c>
      <c r="O641" s="2623">
        <v>133.950962</v>
      </c>
      <c r="P641" s="2623">
        <v>135</v>
      </c>
      <c r="Q641" s="2623">
        <v>135.53867600000001</v>
      </c>
      <c r="R641" s="2631">
        <v>126</v>
      </c>
    </row>
    <row r="642" spans="1:18">
      <c r="A642" s="2615"/>
      <c r="B642" s="2618" t="s">
        <v>5553</v>
      </c>
      <c r="C642" s="2622" t="s">
        <v>5234</v>
      </c>
      <c r="D642" s="2623">
        <v>134.96199999999999</v>
      </c>
      <c r="E642" s="2623">
        <v>134.68199999999999</v>
      </c>
      <c r="F642" s="2623">
        <v>133.66296199999999</v>
      </c>
      <c r="G642" s="2623">
        <v>133.54296199999999</v>
      </c>
      <c r="H642" s="2623">
        <v>132.79693599999999</v>
      </c>
      <c r="I642" s="2623">
        <v>132.310912</v>
      </c>
      <c r="J642" s="2623"/>
      <c r="K642" s="2623"/>
      <c r="L642" s="2623"/>
      <c r="M642" s="2623"/>
      <c r="N642" s="2623"/>
      <c r="O642" s="2623"/>
      <c r="P642" s="2623"/>
      <c r="Q642" s="2623"/>
      <c r="R642" s="2631"/>
    </row>
    <row r="643" spans="1:18">
      <c r="A643" s="2615"/>
      <c r="B643" s="2618" t="s">
        <v>5554</v>
      </c>
      <c r="C643" s="2622" t="s">
        <v>5232</v>
      </c>
      <c r="D643" s="2623">
        <v>134.96799999999999</v>
      </c>
      <c r="E643" s="2623">
        <v>134.732</v>
      </c>
      <c r="F643" s="2623">
        <v>133.99372149999999</v>
      </c>
      <c r="G643" s="2623">
        <v>133.81372150000001</v>
      </c>
      <c r="H643" s="2623">
        <v>133.344202</v>
      </c>
      <c r="I643" s="2623">
        <v>132.88968399999999</v>
      </c>
      <c r="J643" s="2623"/>
      <c r="K643" s="2623" t="s">
        <v>5233</v>
      </c>
      <c r="L643" s="2623">
        <v>133.37620200000001</v>
      </c>
      <c r="M643" s="2623">
        <v>133.67620199999999</v>
      </c>
      <c r="N643" s="2623">
        <v>134.0257215</v>
      </c>
      <c r="O643" s="2623">
        <v>134.26172149999999</v>
      </c>
      <c r="P643" s="2623">
        <v>135</v>
      </c>
      <c r="Q643" s="2623">
        <v>135.452507</v>
      </c>
      <c r="R643" s="2631">
        <v>126</v>
      </c>
    </row>
    <row r="644" spans="1:18">
      <c r="A644" s="2615"/>
      <c r="B644" s="2618" t="s">
        <v>5554</v>
      </c>
      <c r="C644" s="2622" t="s">
        <v>5234</v>
      </c>
      <c r="D644" s="2623">
        <v>134.96799999999999</v>
      </c>
      <c r="E644" s="2623">
        <v>134.732</v>
      </c>
      <c r="F644" s="2623">
        <v>133.99372149999999</v>
      </c>
      <c r="G644" s="2623">
        <v>133.8817215</v>
      </c>
      <c r="H644" s="2623">
        <v>133.344202</v>
      </c>
      <c r="I644" s="2623">
        <v>132.957684</v>
      </c>
      <c r="J644" s="2623"/>
      <c r="K644" s="2623"/>
      <c r="L644" s="2623"/>
      <c r="M644" s="2623"/>
      <c r="N644" s="2623"/>
      <c r="O644" s="2623"/>
      <c r="P644" s="2623"/>
      <c r="Q644" s="2623"/>
      <c r="R644" s="2631"/>
    </row>
    <row r="645" spans="1:18">
      <c r="A645" s="2615">
        <v>140</v>
      </c>
      <c r="B645" s="2618" t="s">
        <v>5555</v>
      </c>
      <c r="C645" s="2622" t="s">
        <v>5232</v>
      </c>
      <c r="D645" s="2623">
        <v>139.9</v>
      </c>
      <c r="E645" s="2623">
        <v>139.19</v>
      </c>
      <c r="F645" s="2623">
        <v>134.70384799999999</v>
      </c>
      <c r="G645" s="2623">
        <v>134.36884800000001</v>
      </c>
      <c r="H645" s="2623">
        <v>131.239744</v>
      </c>
      <c r="I645" s="2623">
        <v>129.44064800000001</v>
      </c>
      <c r="J645" s="2623"/>
      <c r="K645" s="2623" t="s">
        <v>5233</v>
      </c>
      <c r="L645" s="2623">
        <v>131.339744</v>
      </c>
      <c r="M645" s="2623">
        <v>132.339744</v>
      </c>
      <c r="N645" s="2623">
        <v>134.80384799999999</v>
      </c>
      <c r="O645" s="2623">
        <v>135.253848</v>
      </c>
      <c r="P645" s="2623">
        <v>140</v>
      </c>
      <c r="Q645" s="2623">
        <v>141.604704</v>
      </c>
      <c r="R645" s="2631">
        <v>126</v>
      </c>
    </row>
    <row r="646" spans="1:18">
      <c r="A646" s="2615"/>
      <c r="B646" s="2618" t="s">
        <v>5555</v>
      </c>
      <c r="C646" s="2622" t="s">
        <v>5234</v>
      </c>
      <c r="D646" s="2623">
        <v>139.9</v>
      </c>
      <c r="E646" s="2623">
        <v>139.19</v>
      </c>
      <c r="F646" s="2623">
        <v>134.70384799999999</v>
      </c>
      <c r="G646" s="2623">
        <v>134.491848</v>
      </c>
      <c r="H646" s="2623">
        <v>131.239744</v>
      </c>
      <c r="I646" s="2623">
        <v>129.563648</v>
      </c>
      <c r="J646" s="2623"/>
      <c r="K646" s="2623"/>
      <c r="L646" s="2623"/>
      <c r="M646" s="2623"/>
      <c r="N646" s="2623"/>
      <c r="O646" s="2623"/>
      <c r="P646" s="2623"/>
      <c r="Q646" s="2623"/>
      <c r="R646" s="2631"/>
    </row>
    <row r="647" spans="1:18">
      <c r="A647" s="2615"/>
      <c r="B647" s="2618" t="s">
        <v>5556</v>
      </c>
      <c r="C647" s="2622" t="s">
        <v>5232</v>
      </c>
      <c r="D647" s="2623">
        <v>139.91999999999999</v>
      </c>
      <c r="E647" s="2623">
        <v>139.32</v>
      </c>
      <c r="F647" s="2623">
        <v>136.022886</v>
      </c>
      <c r="G647" s="2623">
        <v>135.72288599999999</v>
      </c>
      <c r="H647" s="2623">
        <v>133.42480800000001</v>
      </c>
      <c r="I647" s="2623">
        <v>132.026736</v>
      </c>
      <c r="J647" s="2623"/>
      <c r="K647" s="2623" t="s">
        <v>5233</v>
      </c>
      <c r="L647" s="2623">
        <v>133.504808</v>
      </c>
      <c r="M647" s="2623">
        <v>134.30480800000001</v>
      </c>
      <c r="N647" s="2623">
        <v>136.10288600000001</v>
      </c>
      <c r="O647" s="2623">
        <v>136.50288599999999</v>
      </c>
      <c r="P647" s="2623">
        <v>140</v>
      </c>
      <c r="Q647" s="2623">
        <v>141.26602800000001</v>
      </c>
      <c r="R647" s="2631">
        <v>126</v>
      </c>
    </row>
    <row r="648" spans="1:18">
      <c r="A648" s="2615"/>
      <c r="B648" s="2618" t="s">
        <v>5556</v>
      </c>
      <c r="C648" s="2622" t="s">
        <v>5234</v>
      </c>
      <c r="D648" s="2623">
        <v>139.91999999999999</v>
      </c>
      <c r="E648" s="2623">
        <v>139.32</v>
      </c>
      <c r="F648" s="2623">
        <v>136.022886</v>
      </c>
      <c r="G648" s="2623">
        <v>135.832886</v>
      </c>
      <c r="H648" s="2623">
        <v>133.42480800000001</v>
      </c>
      <c r="I648" s="2623">
        <v>132.13673600000001</v>
      </c>
      <c r="J648" s="2623"/>
      <c r="K648" s="2623"/>
      <c r="L648" s="2623"/>
      <c r="M648" s="2623"/>
      <c r="N648" s="2623"/>
      <c r="O648" s="2623"/>
      <c r="P648" s="2623"/>
      <c r="Q648" s="2623"/>
      <c r="R648" s="2631"/>
    </row>
    <row r="649" spans="1:18">
      <c r="A649" s="2615"/>
      <c r="B649" s="2618" t="s">
        <v>5557</v>
      </c>
      <c r="C649" s="2622" t="s">
        <v>5232</v>
      </c>
      <c r="D649" s="2623">
        <v>139.94</v>
      </c>
      <c r="E649" s="2623">
        <v>139.465</v>
      </c>
      <c r="F649" s="2623">
        <v>137.34192400000001</v>
      </c>
      <c r="G649" s="2623">
        <v>137.09192400000001</v>
      </c>
      <c r="H649" s="2623">
        <v>135.609872</v>
      </c>
      <c r="I649" s="2623">
        <v>134.627824</v>
      </c>
      <c r="J649" s="2623"/>
      <c r="K649" s="2623" t="s">
        <v>5233</v>
      </c>
      <c r="L649" s="2623">
        <v>135.669872</v>
      </c>
      <c r="M649" s="2623">
        <v>136.26987199999999</v>
      </c>
      <c r="N649" s="2623">
        <v>137.40192400000001</v>
      </c>
      <c r="O649" s="2623">
        <v>137.73692399999999</v>
      </c>
      <c r="P649" s="2623">
        <v>140</v>
      </c>
      <c r="Q649" s="2623">
        <v>140.912352</v>
      </c>
      <c r="R649" s="2631">
        <v>126</v>
      </c>
    </row>
    <row r="650" spans="1:18">
      <c r="A650" s="2615"/>
      <c r="B650" s="2618" t="s">
        <v>5557</v>
      </c>
      <c r="C650" s="2622" t="s">
        <v>5234</v>
      </c>
      <c r="D650" s="2623">
        <v>139.94</v>
      </c>
      <c r="E650" s="2623">
        <v>139.465</v>
      </c>
      <c r="F650" s="2623">
        <v>137.34192400000001</v>
      </c>
      <c r="G650" s="2623">
        <v>137.18192400000001</v>
      </c>
      <c r="H650" s="2623">
        <v>135.609872</v>
      </c>
      <c r="I650" s="2623">
        <v>134.71782400000001</v>
      </c>
      <c r="J650" s="2623"/>
      <c r="K650" s="2623"/>
      <c r="L650" s="2623"/>
      <c r="M650" s="2623"/>
      <c r="N650" s="2623"/>
      <c r="O650" s="2623"/>
      <c r="P650" s="2623"/>
      <c r="Q650" s="2623"/>
      <c r="R650" s="2631"/>
    </row>
    <row r="651" spans="1:18">
      <c r="A651" s="2615"/>
      <c r="B651" s="2618" t="s">
        <v>5558</v>
      </c>
      <c r="C651" s="2622" t="s">
        <v>5232</v>
      </c>
      <c r="D651" s="2623">
        <v>139.952</v>
      </c>
      <c r="E651" s="2623">
        <v>139.577</v>
      </c>
      <c r="F651" s="2623">
        <v>138.003443</v>
      </c>
      <c r="G651" s="2623">
        <v>137.77944299999999</v>
      </c>
      <c r="H651" s="2623">
        <v>136.70440400000001</v>
      </c>
      <c r="I651" s="2623">
        <v>135.93136799999999</v>
      </c>
      <c r="J651" s="2623"/>
      <c r="K651" s="2623" t="s">
        <v>5233</v>
      </c>
      <c r="L651" s="2623">
        <v>136.75240400000001</v>
      </c>
      <c r="M651" s="2623">
        <v>137.25240400000001</v>
      </c>
      <c r="N651" s="2623">
        <v>138.05144300000001</v>
      </c>
      <c r="O651" s="2623">
        <v>138.35144299999999</v>
      </c>
      <c r="P651" s="2623">
        <v>140</v>
      </c>
      <c r="Q651" s="2623">
        <v>140.733014</v>
      </c>
      <c r="R651" s="2631">
        <v>126</v>
      </c>
    </row>
    <row r="652" spans="1:18">
      <c r="A652" s="2615"/>
      <c r="B652" s="2618" t="s">
        <v>5558</v>
      </c>
      <c r="C652" s="2622" t="s">
        <v>5234</v>
      </c>
      <c r="D652" s="2623">
        <v>139.952</v>
      </c>
      <c r="E652" s="2623">
        <v>139.577</v>
      </c>
      <c r="F652" s="2623">
        <v>138.003443</v>
      </c>
      <c r="G652" s="2623">
        <v>137.86344299999999</v>
      </c>
      <c r="H652" s="2623">
        <v>136.70440400000001</v>
      </c>
      <c r="I652" s="2623">
        <v>136.015368</v>
      </c>
      <c r="J652" s="2623"/>
      <c r="K652" s="2623"/>
      <c r="L652" s="2623"/>
      <c r="M652" s="2623"/>
      <c r="N652" s="2623"/>
      <c r="O652" s="2623"/>
      <c r="P652" s="2623"/>
      <c r="Q652" s="2623"/>
      <c r="R652" s="2631"/>
    </row>
    <row r="653" spans="1:18">
      <c r="A653" s="2615"/>
      <c r="B653" s="2622" t="s">
        <v>5559</v>
      </c>
      <c r="C653" s="2622" t="s">
        <v>5232</v>
      </c>
      <c r="D653" s="2623">
        <v>139.96199999999999</v>
      </c>
      <c r="E653" s="2623">
        <v>139.68199999999999</v>
      </c>
      <c r="F653" s="2623">
        <v>138.66300000000001</v>
      </c>
      <c r="G653" s="2623">
        <v>138.47300000000001</v>
      </c>
      <c r="H653" s="2623">
        <v>137.797</v>
      </c>
      <c r="I653" s="2623">
        <v>137.24100000000001</v>
      </c>
      <c r="J653" s="2623"/>
      <c r="K653" s="2623" t="s">
        <v>5233</v>
      </c>
      <c r="L653" s="2623">
        <v>137.83500000000001</v>
      </c>
      <c r="M653" s="2623">
        <v>138.21</v>
      </c>
      <c r="N653" s="2623">
        <v>138.70099999999999</v>
      </c>
      <c r="O653" s="2623">
        <v>138.95099999999999</v>
      </c>
      <c r="P653" s="2623">
        <v>140</v>
      </c>
      <c r="Q653" s="2623">
        <v>140.53899999999999</v>
      </c>
      <c r="R653" s="2631">
        <v>126</v>
      </c>
    </row>
    <row r="654" spans="1:18">
      <c r="A654" s="2615"/>
      <c r="B654" s="2622" t="s">
        <v>5559</v>
      </c>
      <c r="C654" s="2622" t="s">
        <v>5234</v>
      </c>
      <c r="D654" s="2623">
        <v>139.96199999999999</v>
      </c>
      <c r="E654" s="2623">
        <v>139.68199999999999</v>
      </c>
      <c r="F654" s="2623">
        <v>138.66300000000001</v>
      </c>
      <c r="G654" s="2623">
        <v>138.54499999999999</v>
      </c>
      <c r="H654" s="2623">
        <v>137.797</v>
      </c>
      <c r="I654" s="2623">
        <v>137.31299999999999</v>
      </c>
      <c r="J654" s="2623"/>
      <c r="K654" s="2623"/>
      <c r="L654" s="2623"/>
      <c r="M654" s="2623"/>
      <c r="N654" s="2623"/>
      <c r="O654" s="2623"/>
      <c r="P654" s="2623"/>
      <c r="Q654" s="2623"/>
      <c r="R654" s="2631"/>
    </row>
    <row r="655" spans="1:18">
      <c r="A655" s="2615"/>
      <c r="B655" s="2618" t="s">
        <v>5560</v>
      </c>
      <c r="C655" s="2622" t="s">
        <v>5232</v>
      </c>
      <c r="D655" s="2623">
        <v>139.96799999999999</v>
      </c>
      <c r="E655" s="2623">
        <v>139.732</v>
      </c>
      <c r="F655" s="2623">
        <v>138.99372149999999</v>
      </c>
      <c r="G655" s="2623">
        <v>138.81372150000001</v>
      </c>
      <c r="H655" s="2623">
        <v>138.344202</v>
      </c>
      <c r="I655" s="2623">
        <v>137.88968399999999</v>
      </c>
      <c r="J655" s="2623"/>
      <c r="K655" s="2623" t="s">
        <v>5233</v>
      </c>
      <c r="L655" s="2623">
        <v>138.37620200000001</v>
      </c>
      <c r="M655" s="2623">
        <v>138.67620199999999</v>
      </c>
      <c r="N655" s="2623">
        <v>139.0257215</v>
      </c>
      <c r="O655" s="2623">
        <v>139.26172149999999</v>
      </c>
      <c r="P655" s="2623">
        <v>140</v>
      </c>
      <c r="Q655" s="2623">
        <v>140.452507</v>
      </c>
      <c r="R655" s="2631">
        <v>126</v>
      </c>
    </row>
    <row r="656" spans="1:18">
      <c r="A656" s="2615"/>
      <c r="B656" s="2618" t="s">
        <v>5560</v>
      </c>
      <c r="C656" s="2622" t="s">
        <v>5234</v>
      </c>
      <c r="D656" s="2623">
        <v>139.96799999999999</v>
      </c>
      <c r="E656" s="2623">
        <v>139.732</v>
      </c>
      <c r="F656" s="2623">
        <v>138.99372149999999</v>
      </c>
      <c r="G656" s="2623">
        <v>138.8817215</v>
      </c>
      <c r="H656" s="2623">
        <v>138.344202</v>
      </c>
      <c r="I656" s="2623">
        <v>137.957684</v>
      </c>
      <c r="J656" s="2623"/>
      <c r="K656" s="2623"/>
      <c r="L656" s="2623"/>
      <c r="M656" s="2623"/>
      <c r="N656" s="2623"/>
      <c r="O656" s="2623"/>
      <c r="P656" s="2623"/>
      <c r="Q656" s="2623"/>
      <c r="R656" s="2631"/>
    </row>
    <row r="657" spans="1:18">
      <c r="A657" s="2615">
        <v>145</v>
      </c>
      <c r="B657" s="2618" t="s">
        <v>5561</v>
      </c>
      <c r="C657" s="2622" t="s">
        <v>5232</v>
      </c>
      <c r="D657" s="2623">
        <v>144.91999999999999</v>
      </c>
      <c r="E657" s="2623">
        <v>144.32</v>
      </c>
      <c r="F657" s="2623">
        <v>141.022886</v>
      </c>
      <c r="G657" s="2623">
        <v>140.72288599999999</v>
      </c>
      <c r="H657" s="2623">
        <v>138.42480800000001</v>
      </c>
      <c r="I657" s="2623">
        <v>137.026736</v>
      </c>
      <c r="J657" s="2623"/>
      <c r="K657" s="2623" t="s">
        <v>5233</v>
      </c>
      <c r="L657" s="2623">
        <v>138.504808</v>
      </c>
      <c r="M657" s="2623">
        <v>139.30480800000001</v>
      </c>
      <c r="N657" s="2623">
        <v>141.10288600000001</v>
      </c>
      <c r="O657" s="2623">
        <v>141.50288599999999</v>
      </c>
      <c r="P657" s="2623">
        <v>145</v>
      </c>
      <c r="Q657" s="2623">
        <v>146.26602800000001</v>
      </c>
      <c r="R657" s="2631">
        <v>130</v>
      </c>
    </row>
    <row r="658" spans="1:18">
      <c r="A658" s="2615"/>
      <c r="B658" s="2618" t="s">
        <v>5561</v>
      </c>
      <c r="C658" s="2622" t="s">
        <v>5234</v>
      </c>
      <c r="D658" s="2623">
        <v>144.91999999999999</v>
      </c>
      <c r="E658" s="2623">
        <v>144.32</v>
      </c>
      <c r="F658" s="2623">
        <v>141.022886</v>
      </c>
      <c r="G658" s="2623">
        <v>140.832886</v>
      </c>
      <c r="H658" s="2623">
        <v>138.42480800000001</v>
      </c>
      <c r="I658" s="2623">
        <v>137.13673600000001</v>
      </c>
      <c r="J658" s="2623"/>
      <c r="K658" s="2623"/>
      <c r="L658" s="2623"/>
      <c r="M658" s="2623"/>
      <c r="N658" s="2623"/>
      <c r="O658" s="2623"/>
      <c r="P658" s="2623"/>
      <c r="Q658" s="2623"/>
      <c r="R658" s="2631"/>
    </row>
    <row r="659" spans="1:18">
      <c r="A659" s="2615"/>
      <c r="B659" s="2618" t="s">
        <v>5562</v>
      </c>
      <c r="C659" s="2622" t="s">
        <v>5232</v>
      </c>
      <c r="D659" s="2623">
        <v>144.94</v>
      </c>
      <c r="E659" s="2623">
        <v>144.465</v>
      </c>
      <c r="F659" s="2623">
        <v>142.34192400000001</v>
      </c>
      <c r="G659" s="2623">
        <v>142.09192400000001</v>
      </c>
      <c r="H659" s="2623">
        <v>140.609872</v>
      </c>
      <c r="I659" s="2623">
        <v>139.627824</v>
      </c>
      <c r="J659" s="2623"/>
      <c r="K659" s="2623" t="s">
        <v>5233</v>
      </c>
      <c r="L659" s="2623">
        <v>140.669872</v>
      </c>
      <c r="M659" s="2623">
        <v>141.26987199999999</v>
      </c>
      <c r="N659" s="2623">
        <v>142.40192400000001</v>
      </c>
      <c r="O659" s="2623">
        <v>142.73692399999999</v>
      </c>
      <c r="P659" s="2623">
        <v>145</v>
      </c>
      <c r="Q659" s="2623">
        <v>145.912352</v>
      </c>
      <c r="R659" s="2631">
        <v>130</v>
      </c>
    </row>
    <row r="660" spans="1:18">
      <c r="A660" s="2615"/>
      <c r="B660" s="2618" t="s">
        <v>5562</v>
      </c>
      <c r="C660" s="2622" t="s">
        <v>5234</v>
      </c>
      <c r="D660" s="2623">
        <v>144.94</v>
      </c>
      <c r="E660" s="2623">
        <v>144.465</v>
      </c>
      <c r="F660" s="2623">
        <v>142.34192400000001</v>
      </c>
      <c r="G660" s="2623">
        <v>142.18192400000001</v>
      </c>
      <c r="H660" s="2623">
        <v>140.609872</v>
      </c>
      <c r="I660" s="2623">
        <v>139.71782400000001</v>
      </c>
      <c r="J660" s="2623"/>
      <c r="K660" s="2623"/>
      <c r="L660" s="2623"/>
      <c r="M660" s="2623"/>
      <c r="N660" s="2623"/>
      <c r="O660" s="2623"/>
      <c r="P660" s="2623"/>
      <c r="Q660" s="2623"/>
      <c r="R660" s="2631"/>
    </row>
    <row r="661" spans="1:18">
      <c r="A661" s="2615"/>
      <c r="B661" s="2618" t="s">
        <v>5563</v>
      </c>
      <c r="C661" s="2622" t="s">
        <v>5232</v>
      </c>
      <c r="D661" s="2623">
        <v>144.952</v>
      </c>
      <c r="E661" s="2623">
        <v>144.577</v>
      </c>
      <c r="F661" s="2623">
        <v>143.003443</v>
      </c>
      <c r="G661" s="2623">
        <v>142.77944299999999</v>
      </c>
      <c r="H661" s="2623">
        <v>141.70440400000001</v>
      </c>
      <c r="I661" s="2623">
        <v>140.93136799999999</v>
      </c>
      <c r="J661" s="2623"/>
      <c r="K661" s="2623" t="s">
        <v>5233</v>
      </c>
      <c r="L661" s="2623">
        <v>141.75240400000001</v>
      </c>
      <c r="M661" s="2623">
        <v>142.25240400000001</v>
      </c>
      <c r="N661" s="2623">
        <v>143.05144300000001</v>
      </c>
      <c r="O661" s="2623">
        <v>143.35144299999999</v>
      </c>
      <c r="P661" s="2623">
        <v>145</v>
      </c>
      <c r="Q661" s="2623">
        <v>145.733014</v>
      </c>
      <c r="R661" s="2631">
        <v>130</v>
      </c>
    </row>
    <row r="662" spans="1:18">
      <c r="A662" s="2615"/>
      <c r="B662" s="2618" t="s">
        <v>5563</v>
      </c>
      <c r="C662" s="2622" t="s">
        <v>5234</v>
      </c>
      <c r="D662" s="2623">
        <v>144.952</v>
      </c>
      <c r="E662" s="2623">
        <v>144.577</v>
      </c>
      <c r="F662" s="2623">
        <v>143.003443</v>
      </c>
      <c r="G662" s="2623">
        <v>142.86344299999999</v>
      </c>
      <c r="H662" s="2623">
        <v>141.70440400000001</v>
      </c>
      <c r="I662" s="2623">
        <v>141.015368</v>
      </c>
      <c r="J662" s="2623"/>
      <c r="K662" s="2623"/>
      <c r="L662" s="2623"/>
      <c r="M662" s="2623"/>
      <c r="N662" s="2623"/>
      <c r="O662" s="2623"/>
      <c r="P662" s="2623"/>
      <c r="Q662" s="2623"/>
      <c r="R662" s="2631"/>
    </row>
    <row r="663" spans="1:18">
      <c r="A663" s="2615"/>
      <c r="B663" s="2618" t="s">
        <v>5564</v>
      </c>
      <c r="C663" s="2622" t="s">
        <v>5232</v>
      </c>
      <c r="D663" s="2623">
        <v>144.96199999999999</v>
      </c>
      <c r="E663" s="2623">
        <v>144.68199999999999</v>
      </c>
      <c r="F663" s="2623">
        <v>143.66296199999999</v>
      </c>
      <c r="G663" s="2623">
        <v>143.472962</v>
      </c>
      <c r="H663" s="2623">
        <v>142.79693599999999</v>
      </c>
      <c r="I663" s="2623">
        <v>142.24091200000001</v>
      </c>
      <c r="J663" s="2623"/>
      <c r="K663" s="2623" t="s">
        <v>5233</v>
      </c>
      <c r="L663" s="2623">
        <v>142.834936</v>
      </c>
      <c r="M663" s="2623">
        <v>143.209936</v>
      </c>
      <c r="N663" s="2623">
        <v>143.700962</v>
      </c>
      <c r="O663" s="2623">
        <v>143.950962</v>
      </c>
      <c r="P663" s="2623">
        <v>145</v>
      </c>
      <c r="Q663" s="2623">
        <v>145.53867600000001</v>
      </c>
      <c r="R663" s="2631">
        <v>130</v>
      </c>
    </row>
    <row r="664" spans="1:18">
      <c r="A664" s="2615"/>
      <c r="B664" s="2618" t="s">
        <v>5564</v>
      </c>
      <c r="C664" s="2622" t="s">
        <v>5234</v>
      </c>
      <c r="D664" s="2623">
        <v>144.96199999999999</v>
      </c>
      <c r="E664" s="2623">
        <v>144.68199999999999</v>
      </c>
      <c r="F664" s="2623">
        <v>143.66296199999999</v>
      </c>
      <c r="G664" s="2623">
        <v>143.54296199999999</v>
      </c>
      <c r="H664" s="2623">
        <v>142.79693599999999</v>
      </c>
      <c r="I664" s="2623">
        <v>142.310912</v>
      </c>
      <c r="J664" s="2623"/>
      <c r="K664" s="2623"/>
      <c r="L664" s="2623"/>
      <c r="M664" s="2623"/>
      <c r="N664" s="2623"/>
      <c r="O664" s="2623"/>
      <c r="P664" s="2623"/>
      <c r="Q664" s="2623"/>
      <c r="R664" s="2631"/>
    </row>
    <row r="665" spans="1:18">
      <c r="A665" s="2615"/>
      <c r="B665" s="2618" t="s">
        <v>5565</v>
      </c>
      <c r="C665" s="2622" t="s">
        <v>5232</v>
      </c>
      <c r="D665" s="2623">
        <v>144.96799999999999</v>
      </c>
      <c r="E665" s="2623">
        <v>144.732</v>
      </c>
      <c r="F665" s="2623">
        <v>143.99372149999999</v>
      </c>
      <c r="G665" s="2623">
        <v>143.81372150000001</v>
      </c>
      <c r="H665" s="2623">
        <v>143.344202</v>
      </c>
      <c r="I665" s="2623">
        <v>142.88968399999999</v>
      </c>
      <c r="J665" s="2623"/>
      <c r="K665" s="2623" t="s">
        <v>5233</v>
      </c>
      <c r="L665" s="2623">
        <v>143.37620200000001</v>
      </c>
      <c r="M665" s="2623">
        <v>143.67620199999999</v>
      </c>
      <c r="N665" s="2623">
        <v>144.0257215</v>
      </c>
      <c r="O665" s="2623">
        <v>144.26172149999999</v>
      </c>
      <c r="P665" s="2623">
        <v>145</v>
      </c>
      <c r="Q665" s="2623">
        <v>145.452507</v>
      </c>
      <c r="R665" s="2631">
        <v>130</v>
      </c>
    </row>
    <row r="666" spans="1:18">
      <c r="A666" s="2615"/>
      <c r="B666" s="2618" t="s">
        <v>5565</v>
      </c>
      <c r="C666" s="2622" t="s">
        <v>5234</v>
      </c>
      <c r="D666" s="2623">
        <v>144.96799999999999</v>
      </c>
      <c r="E666" s="2623">
        <v>144.732</v>
      </c>
      <c r="F666" s="2623">
        <v>143.99372149999999</v>
      </c>
      <c r="G666" s="2623">
        <v>143.8817215</v>
      </c>
      <c r="H666" s="2623">
        <v>143.344202</v>
      </c>
      <c r="I666" s="2623">
        <v>142.957684</v>
      </c>
      <c r="J666" s="2623"/>
      <c r="K666" s="2623"/>
      <c r="L666" s="2623"/>
      <c r="M666" s="2623"/>
      <c r="N666" s="2623"/>
      <c r="O666" s="2623"/>
      <c r="P666" s="2623"/>
      <c r="Q666" s="2623"/>
      <c r="R666" s="2631"/>
    </row>
    <row r="667" spans="1:18">
      <c r="A667" s="2615">
        <v>150</v>
      </c>
      <c r="B667" s="2618" t="s">
        <v>5566</v>
      </c>
      <c r="C667" s="2622" t="s">
        <v>5232</v>
      </c>
      <c r="D667" s="2623">
        <v>149.9</v>
      </c>
      <c r="E667" s="2623">
        <v>149.19</v>
      </c>
      <c r="F667" s="2623">
        <v>144.70384799999999</v>
      </c>
      <c r="G667" s="2623">
        <v>144.36884800000001</v>
      </c>
      <c r="H667" s="2623">
        <v>141.239744</v>
      </c>
      <c r="I667" s="2623">
        <v>139.44064800000001</v>
      </c>
      <c r="J667" s="2623"/>
      <c r="K667" s="2623" t="s">
        <v>5233</v>
      </c>
      <c r="L667" s="2623">
        <v>141.339744</v>
      </c>
      <c r="M667" s="2623">
        <v>142.339744</v>
      </c>
      <c r="N667" s="2623">
        <v>144.80384799999999</v>
      </c>
      <c r="O667" s="2623">
        <v>145.253848</v>
      </c>
      <c r="P667" s="2623">
        <v>150</v>
      </c>
      <c r="Q667" s="2623">
        <v>151.604704</v>
      </c>
      <c r="R667" s="2631">
        <v>135</v>
      </c>
    </row>
    <row r="668" spans="1:18">
      <c r="A668" s="2615"/>
      <c r="B668" s="2618" t="s">
        <v>5566</v>
      </c>
      <c r="C668" s="2622" t="s">
        <v>5234</v>
      </c>
      <c r="D668" s="2623">
        <v>149.9</v>
      </c>
      <c r="E668" s="2623">
        <v>149.19</v>
      </c>
      <c r="F668" s="2623">
        <v>144.70384799999999</v>
      </c>
      <c r="G668" s="2623">
        <v>144.491848</v>
      </c>
      <c r="H668" s="2623">
        <v>141.239744</v>
      </c>
      <c r="I668" s="2623">
        <v>139.563648</v>
      </c>
      <c r="J668" s="2623"/>
      <c r="K668" s="2623"/>
      <c r="L668" s="2623"/>
      <c r="M668" s="2623"/>
      <c r="N668" s="2623"/>
      <c r="O668" s="2623"/>
      <c r="P668" s="2623"/>
      <c r="Q668" s="2623"/>
      <c r="R668" s="2631"/>
    </row>
    <row r="669" spans="1:18">
      <c r="A669" s="2615"/>
      <c r="B669" s="2618" t="s">
        <v>5567</v>
      </c>
      <c r="C669" s="2622" t="s">
        <v>5232</v>
      </c>
      <c r="D669" s="2623">
        <v>149.91999999999999</v>
      </c>
      <c r="E669" s="2623">
        <v>149.32</v>
      </c>
      <c r="F669" s="2623">
        <v>146.022886</v>
      </c>
      <c r="G669" s="2623">
        <v>145.72288599999999</v>
      </c>
      <c r="H669" s="2623">
        <v>143.42480800000001</v>
      </c>
      <c r="I669" s="2623">
        <v>142.026736</v>
      </c>
      <c r="J669" s="2623"/>
      <c r="K669" s="2623" t="s">
        <v>5233</v>
      </c>
      <c r="L669" s="2623">
        <v>143.504808</v>
      </c>
      <c r="M669" s="2623">
        <v>144.30480800000001</v>
      </c>
      <c r="N669" s="2623">
        <v>146.10288600000001</v>
      </c>
      <c r="O669" s="2623">
        <v>146.50288599999999</v>
      </c>
      <c r="P669" s="2623">
        <v>150</v>
      </c>
      <c r="Q669" s="2623">
        <v>151.26602800000001</v>
      </c>
      <c r="R669" s="2631">
        <v>135</v>
      </c>
    </row>
    <row r="670" spans="1:18">
      <c r="A670" s="2615"/>
      <c r="B670" s="2618" t="s">
        <v>5567</v>
      </c>
      <c r="C670" s="2622" t="s">
        <v>5234</v>
      </c>
      <c r="D670" s="2623">
        <v>149.91999999999999</v>
      </c>
      <c r="E670" s="2623">
        <v>149.32</v>
      </c>
      <c r="F670" s="2623">
        <v>146.022886</v>
      </c>
      <c r="G670" s="2623">
        <v>145.832886</v>
      </c>
      <c r="H670" s="2623">
        <v>143.42480800000001</v>
      </c>
      <c r="I670" s="2623">
        <v>142.13673600000001</v>
      </c>
      <c r="J670" s="2623"/>
      <c r="K670" s="2623"/>
      <c r="L670" s="2623"/>
      <c r="M670" s="2623"/>
      <c r="N670" s="2623"/>
      <c r="O670" s="2623"/>
      <c r="P670" s="2623"/>
      <c r="Q670" s="2623"/>
      <c r="R670" s="2631"/>
    </row>
    <row r="671" spans="1:18">
      <c r="A671" s="2615"/>
      <c r="B671" s="2618" t="s">
        <v>5568</v>
      </c>
      <c r="C671" s="2622" t="s">
        <v>5232</v>
      </c>
      <c r="D671" s="2623">
        <v>149.94</v>
      </c>
      <c r="E671" s="2623">
        <v>149.465</v>
      </c>
      <c r="F671" s="2623">
        <v>147.34192400000001</v>
      </c>
      <c r="G671" s="2623">
        <v>147.09192400000001</v>
      </c>
      <c r="H671" s="2623">
        <v>145.609872</v>
      </c>
      <c r="I671" s="2623">
        <v>144.627824</v>
      </c>
      <c r="J671" s="2623"/>
      <c r="K671" s="2623" t="s">
        <v>5233</v>
      </c>
      <c r="L671" s="2623">
        <v>145.669872</v>
      </c>
      <c r="M671" s="2623">
        <v>146.26987199999999</v>
      </c>
      <c r="N671" s="2623">
        <v>147.40192400000001</v>
      </c>
      <c r="O671" s="2623">
        <v>147.73692399999999</v>
      </c>
      <c r="P671" s="2623">
        <v>150</v>
      </c>
      <c r="Q671" s="2623">
        <v>150.912352</v>
      </c>
      <c r="R671" s="2631">
        <v>135</v>
      </c>
    </row>
    <row r="672" spans="1:18">
      <c r="A672" s="2615"/>
      <c r="B672" s="2618" t="s">
        <v>5568</v>
      </c>
      <c r="C672" s="2622" t="s">
        <v>5234</v>
      </c>
      <c r="D672" s="2623">
        <v>149.94</v>
      </c>
      <c r="E672" s="2623">
        <v>149.465</v>
      </c>
      <c r="F672" s="2623">
        <v>147.34192400000001</v>
      </c>
      <c r="G672" s="2623">
        <v>147.18192400000001</v>
      </c>
      <c r="H672" s="2623">
        <v>145.609872</v>
      </c>
      <c r="I672" s="2623">
        <v>144.71782400000001</v>
      </c>
      <c r="J672" s="2623"/>
      <c r="K672" s="2623"/>
      <c r="L672" s="2623"/>
      <c r="M672" s="2623"/>
      <c r="N672" s="2623"/>
      <c r="O672" s="2623"/>
      <c r="P672" s="2623"/>
      <c r="Q672" s="2623"/>
      <c r="R672" s="2631"/>
    </row>
    <row r="673" spans="1:18">
      <c r="A673" s="2615"/>
      <c r="B673" s="2618" t="s">
        <v>5569</v>
      </c>
      <c r="C673" s="2622" t="s">
        <v>5232</v>
      </c>
      <c r="D673" s="2623">
        <v>149.952</v>
      </c>
      <c r="E673" s="2623">
        <v>149.577</v>
      </c>
      <c r="F673" s="2623">
        <v>148.003443</v>
      </c>
      <c r="G673" s="2623">
        <v>147.77944299999999</v>
      </c>
      <c r="H673" s="2623">
        <v>146.70440400000001</v>
      </c>
      <c r="I673" s="2623">
        <v>145.93136799999999</v>
      </c>
      <c r="J673" s="2623"/>
      <c r="K673" s="2623" t="s">
        <v>5233</v>
      </c>
      <c r="L673" s="2623">
        <v>146.75240400000001</v>
      </c>
      <c r="M673" s="2623">
        <v>147.25240400000001</v>
      </c>
      <c r="N673" s="2623">
        <v>148.05144300000001</v>
      </c>
      <c r="O673" s="2623">
        <v>148.35144299999999</v>
      </c>
      <c r="P673" s="2623">
        <v>150</v>
      </c>
      <c r="Q673" s="2623">
        <v>150.733014</v>
      </c>
      <c r="R673" s="2631">
        <v>135</v>
      </c>
    </row>
    <row r="674" spans="1:18">
      <c r="A674" s="2615"/>
      <c r="B674" s="2618" t="s">
        <v>5569</v>
      </c>
      <c r="C674" s="2622" t="s">
        <v>5234</v>
      </c>
      <c r="D674" s="2623">
        <v>149.952</v>
      </c>
      <c r="E674" s="2623">
        <v>149.577</v>
      </c>
      <c r="F674" s="2623">
        <v>148.003443</v>
      </c>
      <c r="G674" s="2623">
        <v>147.86344299999999</v>
      </c>
      <c r="H674" s="2623">
        <v>146.70440400000001</v>
      </c>
      <c r="I674" s="2623">
        <v>146.015368</v>
      </c>
      <c r="J674" s="2623"/>
      <c r="K674" s="2623"/>
      <c r="L674" s="2623"/>
      <c r="M674" s="2623"/>
      <c r="N674" s="2623"/>
      <c r="O674" s="2623"/>
      <c r="P674" s="2623"/>
      <c r="Q674" s="2623"/>
      <c r="R674" s="2631"/>
    </row>
    <row r="675" spans="1:18">
      <c r="A675" s="2615"/>
      <c r="B675" s="2622" t="s">
        <v>5570</v>
      </c>
      <c r="C675" s="2622" t="s">
        <v>5232</v>
      </c>
      <c r="D675" s="2623">
        <v>149.96199999999999</v>
      </c>
      <c r="E675" s="2623">
        <v>149.68199999999999</v>
      </c>
      <c r="F675" s="2623">
        <v>148.66300000000001</v>
      </c>
      <c r="G675" s="2623">
        <v>148.47300000000001</v>
      </c>
      <c r="H675" s="2623">
        <v>147.797</v>
      </c>
      <c r="I675" s="2623">
        <v>147.24100000000001</v>
      </c>
      <c r="J675" s="2623"/>
      <c r="K675" s="2623" t="s">
        <v>5233</v>
      </c>
      <c r="L675" s="2623">
        <v>147.83500000000001</v>
      </c>
      <c r="M675" s="2623">
        <v>148.21</v>
      </c>
      <c r="N675" s="2623">
        <v>148.70099999999999</v>
      </c>
      <c r="O675" s="2623">
        <v>148.95099999999999</v>
      </c>
      <c r="P675" s="2623">
        <v>150</v>
      </c>
      <c r="Q675" s="2623">
        <v>150.53899999999999</v>
      </c>
      <c r="R675" s="2631">
        <v>135</v>
      </c>
    </row>
    <row r="676" spans="1:18">
      <c r="A676" s="2615"/>
      <c r="B676" s="2622" t="s">
        <v>5570</v>
      </c>
      <c r="C676" s="2622" t="s">
        <v>5234</v>
      </c>
      <c r="D676" s="2623">
        <v>149.96199999999999</v>
      </c>
      <c r="E676" s="2623">
        <v>149.68199999999999</v>
      </c>
      <c r="F676" s="2623">
        <v>148.66300000000001</v>
      </c>
      <c r="G676" s="2623">
        <v>148.54499999999999</v>
      </c>
      <c r="H676" s="2623">
        <v>147.797</v>
      </c>
      <c r="I676" s="2623">
        <v>147.31299999999999</v>
      </c>
      <c r="J676" s="2623"/>
      <c r="K676" s="2623"/>
      <c r="L676" s="2623"/>
      <c r="M676" s="2623"/>
      <c r="N676" s="2623"/>
      <c r="O676" s="2623"/>
      <c r="P676" s="2623"/>
      <c r="Q676" s="2623"/>
      <c r="R676" s="2631"/>
    </row>
    <row r="677" spans="1:18">
      <c r="A677" s="2615"/>
      <c r="B677" s="2618" t="s">
        <v>5571</v>
      </c>
      <c r="C677" s="2622" t="s">
        <v>5232</v>
      </c>
      <c r="D677" s="2623">
        <v>149.96799999999999</v>
      </c>
      <c r="E677" s="2623">
        <v>149.732</v>
      </c>
      <c r="F677" s="2623">
        <v>148.99372149999999</v>
      </c>
      <c r="G677" s="2623">
        <v>148.81372150000001</v>
      </c>
      <c r="H677" s="2623">
        <v>148.344202</v>
      </c>
      <c r="I677" s="2623">
        <v>147.88968399999999</v>
      </c>
      <c r="J677" s="2623"/>
      <c r="K677" s="2623" t="s">
        <v>5233</v>
      </c>
      <c r="L677" s="2623">
        <v>148.37620200000001</v>
      </c>
      <c r="M677" s="2623">
        <v>148.67620199999999</v>
      </c>
      <c r="N677" s="2623">
        <v>149.0257215</v>
      </c>
      <c r="O677" s="2623">
        <v>149.26172149999999</v>
      </c>
      <c r="P677" s="2623">
        <v>150</v>
      </c>
      <c r="Q677" s="2623">
        <v>150.452507</v>
      </c>
      <c r="R677" s="2631">
        <v>135</v>
      </c>
    </row>
    <row r="678" spans="1:18">
      <c r="A678" s="2615"/>
      <c r="B678" s="2618" t="s">
        <v>5571</v>
      </c>
      <c r="C678" s="2622" t="s">
        <v>5234</v>
      </c>
      <c r="D678" s="2623">
        <v>149.96799999999999</v>
      </c>
      <c r="E678" s="2623">
        <v>149.732</v>
      </c>
      <c r="F678" s="2623">
        <v>148.99372149999999</v>
      </c>
      <c r="G678" s="2623">
        <v>148.8817215</v>
      </c>
      <c r="H678" s="2623">
        <v>148.344202</v>
      </c>
      <c r="I678" s="2623">
        <v>147.957684</v>
      </c>
      <c r="J678" s="2623"/>
      <c r="K678" s="2623"/>
      <c r="L678" s="2623"/>
      <c r="M678" s="2623"/>
      <c r="N678" s="2623"/>
      <c r="O678" s="2623"/>
      <c r="P678" s="2623"/>
      <c r="Q678" s="2623"/>
      <c r="R678" s="2631"/>
    </row>
    <row r="679" spans="1:18">
      <c r="A679" s="2615">
        <v>155</v>
      </c>
      <c r="B679" s="2618" t="s">
        <v>5572</v>
      </c>
      <c r="C679" s="2622" t="s">
        <v>5232</v>
      </c>
      <c r="D679" s="2623">
        <v>154.91999999999999</v>
      </c>
      <c r="E679" s="2623">
        <v>154.32</v>
      </c>
      <c r="F679" s="2623">
        <v>151.022886</v>
      </c>
      <c r="G679" s="2623">
        <v>150.72288599999999</v>
      </c>
      <c r="H679" s="2623">
        <v>148.42480800000001</v>
      </c>
      <c r="I679" s="2623">
        <v>147.026736</v>
      </c>
      <c r="J679" s="2623"/>
      <c r="K679" s="2623" t="s">
        <v>5233</v>
      </c>
      <c r="L679" s="2623">
        <v>148.504808</v>
      </c>
      <c r="M679" s="2623">
        <v>149.30480800000001</v>
      </c>
      <c r="N679" s="2623">
        <v>151.10288600000001</v>
      </c>
      <c r="O679" s="2623">
        <v>151.50288599999999</v>
      </c>
      <c r="P679" s="2623">
        <v>155</v>
      </c>
      <c r="Q679" s="2623">
        <v>156.26602800000001</v>
      </c>
      <c r="R679" s="2631">
        <v>140</v>
      </c>
    </row>
    <row r="680" spans="1:18">
      <c r="A680" s="2615"/>
      <c r="B680" s="2618" t="s">
        <v>5572</v>
      </c>
      <c r="C680" s="2622" t="s">
        <v>5234</v>
      </c>
      <c r="D680" s="2623">
        <v>154.91999999999999</v>
      </c>
      <c r="E680" s="2623">
        <v>154.32</v>
      </c>
      <c r="F680" s="2623">
        <v>151.022886</v>
      </c>
      <c r="G680" s="2623">
        <v>150.832886</v>
      </c>
      <c r="H680" s="2623">
        <v>148.42480800000001</v>
      </c>
      <c r="I680" s="2623">
        <v>147.13673600000001</v>
      </c>
      <c r="J680" s="2623"/>
      <c r="K680" s="2623"/>
      <c r="L680" s="2623"/>
      <c r="M680" s="2623"/>
      <c r="N680" s="2623"/>
      <c r="O680" s="2623"/>
      <c r="P680" s="2623"/>
      <c r="Q680" s="2623"/>
      <c r="R680" s="2631"/>
    </row>
    <row r="681" spans="1:18">
      <c r="A681" s="2615"/>
      <c r="B681" s="2618" t="s">
        <v>5573</v>
      </c>
      <c r="C681" s="2622" t="s">
        <v>5232</v>
      </c>
      <c r="D681" s="2623">
        <v>154.94</v>
      </c>
      <c r="E681" s="2623">
        <v>154.465</v>
      </c>
      <c r="F681" s="2623">
        <v>152.34192400000001</v>
      </c>
      <c r="G681" s="2623">
        <v>152.09192400000001</v>
      </c>
      <c r="H681" s="2623">
        <v>150.609872</v>
      </c>
      <c r="I681" s="2623">
        <v>149.627824</v>
      </c>
      <c r="J681" s="2623"/>
      <c r="K681" s="2623" t="s">
        <v>5233</v>
      </c>
      <c r="L681" s="2623">
        <v>150.669872</v>
      </c>
      <c r="M681" s="2623">
        <v>151.26987199999999</v>
      </c>
      <c r="N681" s="2623">
        <v>152.40192400000001</v>
      </c>
      <c r="O681" s="2623">
        <v>152.73692399999999</v>
      </c>
      <c r="P681" s="2623">
        <v>155</v>
      </c>
      <c r="Q681" s="2623">
        <v>155.912352</v>
      </c>
      <c r="R681" s="2631">
        <v>140</v>
      </c>
    </row>
    <row r="682" spans="1:18">
      <c r="A682" s="2615"/>
      <c r="B682" s="2618" t="s">
        <v>5573</v>
      </c>
      <c r="C682" s="2622" t="s">
        <v>5234</v>
      </c>
      <c r="D682" s="2623">
        <v>154.94</v>
      </c>
      <c r="E682" s="2623">
        <v>154.465</v>
      </c>
      <c r="F682" s="2623">
        <v>152.34192400000001</v>
      </c>
      <c r="G682" s="2623">
        <v>152.18192400000001</v>
      </c>
      <c r="H682" s="2623">
        <v>150.609872</v>
      </c>
      <c r="I682" s="2623">
        <v>149.71782400000001</v>
      </c>
      <c r="J682" s="2623"/>
      <c r="K682" s="2623"/>
      <c r="L682" s="2623"/>
      <c r="M682" s="2623"/>
      <c r="N682" s="2623"/>
      <c r="O682" s="2623"/>
      <c r="P682" s="2623"/>
      <c r="Q682" s="2623"/>
      <c r="R682" s="2631"/>
    </row>
    <row r="683" spans="1:18">
      <c r="A683" s="2615"/>
      <c r="B683" s="2618" t="s">
        <v>5574</v>
      </c>
      <c r="C683" s="2622" t="s">
        <v>5232</v>
      </c>
      <c r="D683" s="2623">
        <v>154.952</v>
      </c>
      <c r="E683" s="2623">
        <v>154.577</v>
      </c>
      <c r="F683" s="2623">
        <v>153.003443</v>
      </c>
      <c r="G683" s="2623">
        <v>152.77944299999999</v>
      </c>
      <c r="H683" s="2623">
        <v>151.70440400000001</v>
      </c>
      <c r="I683" s="2623">
        <v>150.93136799999999</v>
      </c>
      <c r="J683" s="2623"/>
      <c r="K683" s="2623" t="s">
        <v>5233</v>
      </c>
      <c r="L683" s="2623">
        <v>151.75240400000001</v>
      </c>
      <c r="M683" s="2623">
        <v>152.25240400000001</v>
      </c>
      <c r="N683" s="2623">
        <v>153.05144300000001</v>
      </c>
      <c r="O683" s="2623">
        <v>153.35144299999999</v>
      </c>
      <c r="P683" s="2623">
        <v>155</v>
      </c>
      <c r="Q683" s="2623">
        <v>155.733014</v>
      </c>
      <c r="R683" s="2631">
        <v>140</v>
      </c>
    </row>
    <row r="684" spans="1:18">
      <c r="A684" s="2615"/>
      <c r="B684" s="2618" t="s">
        <v>5574</v>
      </c>
      <c r="C684" s="2622" t="s">
        <v>5234</v>
      </c>
      <c r="D684" s="2623">
        <v>154.952</v>
      </c>
      <c r="E684" s="2623">
        <v>154.577</v>
      </c>
      <c r="F684" s="2623">
        <v>153.003443</v>
      </c>
      <c r="G684" s="2623">
        <v>152.86344299999999</v>
      </c>
      <c r="H684" s="2623">
        <v>151.70440400000001</v>
      </c>
      <c r="I684" s="2623">
        <v>151.015368</v>
      </c>
      <c r="J684" s="2623"/>
      <c r="K684" s="2623"/>
      <c r="L684" s="2623"/>
      <c r="M684" s="2623"/>
      <c r="N684" s="2623"/>
      <c r="O684" s="2623"/>
      <c r="P684" s="2623"/>
      <c r="Q684" s="2623"/>
      <c r="R684" s="2631"/>
    </row>
    <row r="685" spans="1:18">
      <c r="A685" s="2615"/>
      <c r="B685" s="2618" t="s">
        <v>5575</v>
      </c>
      <c r="C685" s="2622" t="s">
        <v>5232</v>
      </c>
      <c r="D685" s="2623">
        <v>154.96199999999999</v>
      </c>
      <c r="E685" s="2623">
        <v>154.68199999999999</v>
      </c>
      <c r="F685" s="2623">
        <v>153.66296199999999</v>
      </c>
      <c r="G685" s="2623">
        <v>153.472962</v>
      </c>
      <c r="H685" s="2623">
        <v>152.79693599999999</v>
      </c>
      <c r="I685" s="2623">
        <v>152.24091200000001</v>
      </c>
      <c r="J685" s="2623"/>
      <c r="K685" s="2623" t="s">
        <v>5233</v>
      </c>
      <c r="L685" s="2623">
        <v>152.834936</v>
      </c>
      <c r="M685" s="2623">
        <v>153.209936</v>
      </c>
      <c r="N685" s="2623">
        <v>153.700962</v>
      </c>
      <c r="O685" s="2623">
        <v>153.950962</v>
      </c>
      <c r="P685" s="2623">
        <v>155</v>
      </c>
      <c r="Q685" s="2623">
        <v>155.53867600000001</v>
      </c>
      <c r="R685" s="2631">
        <v>140</v>
      </c>
    </row>
    <row r="686" spans="1:18">
      <c r="A686" s="2615"/>
      <c r="B686" s="2618" t="s">
        <v>5575</v>
      </c>
      <c r="C686" s="2622" t="s">
        <v>5234</v>
      </c>
      <c r="D686" s="2623">
        <v>154.96199999999999</v>
      </c>
      <c r="E686" s="2623">
        <v>154.68199999999999</v>
      </c>
      <c r="F686" s="2623">
        <v>153.66296199999999</v>
      </c>
      <c r="G686" s="2623">
        <v>153.54296199999999</v>
      </c>
      <c r="H686" s="2623">
        <v>152.79693599999999</v>
      </c>
      <c r="I686" s="2623">
        <v>152.310912</v>
      </c>
      <c r="J686" s="2623"/>
      <c r="K686" s="2623"/>
      <c r="L686" s="2623"/>
      <c r="M686" s="2623"/>
      <c r="N686" s="2623"/>
      <c r="O686" s="2623"/>
      <c r="P686" s="2623"/>
      <c r="Q686" s="2623"/>
      <c r="R686" s="2631"/>
    </row>
    <row r="687" spans="1:18">
      <c r="A687" s="2615">
        <v>160</v>
      </c>
      <c r="B687" s="2618" t="s">
        <v>5576</v>
      </c>
      <c r="C687" s="2622" t="s">
        <v>5232</v>
      </c>
      <c r="D687" s="2623">
        <v>159.9</v>
      </c>
      <c r="E687" s="2623">
        <v>159.19</v>
      </c>
      <c r="F687" s="2623">
        <v>154.70384799999999</v>
      </c>
      <c r="G687" s="2623">
        <v>154.36884800000001</v>
      </c>
      <c r="H687" s="2623">
        <v>151.239744</v>
      </c>
      <c r="I687" s="2623">
        <v>149.44064800000001</v>
      </c>
      <c r="J687" s="2623"/>
      <c r="K687" s="2623" t="s">
        <v>5233</v>
      </c>
      <c r="L687" s="2623">
        <v>151.339744</v>
      </c>
      <c r="M687" s="2623">
        <v>152.339744</v>
      </c>
      <c r="N687" s="2623">
        <v>154.80384799999999</v>
      </c>
      <c r="O687" s="2623">
        <v>155.253848</v>
      </c>
      <c r="P687" s="2623">
        <v>160</v>
      </c>
      <c r="Q687" s="2623">
        <v>161.604704</v>
      </c>
      <c r="R687" s="2631">
        <v>144</v>
      </c>
    </row>
    <row r="688" spans="1:18">
      <c r="A688" s="2615"/>
      <c r="B688" s="2618" t="s">
        <v>5576</v>
      </c>
      <c r="C688" s="2622" t="s">
        <v>5234</v>
      </c>
      <c r="D688" s="2623">
        <v>159.9</v>
      </c>
      <c r="E688" s="2623">
        <v>159.19</v>
      </c>
      <c r="F688" s="2623">
        <v>154.70384799999999</v>
      </c>
      <c r="G688" s="2623">
        <v>154.491848</v>
      </c>
      <c r="H688" s="2623">
        <v>151.239744</v>
      </c>
      <c r="I688" s="2623">
        <v>149.563648</v>
      </c>
      <c r="J688" s="2623"/>
      <c r="K688" s="2623"/>
      <c r="L688" s="2623"/>
      <c r="M688" s="2623"/>
      <c r="N688" s="2623"/>
      <c r="O688" s="2623"/>
      <c r="P688" s="2623"/>
      <c r="Q688" s="2623"/>
      <c r="R688" s="2631"/>
    </row>
    <row r="689" spans="1:18">
      <c r="A689" s="2615"/>
      <c r="B689" s="2618" t="s">
        <v>5577</v>
      </c>
      <c r="C689" s="2622" t="s">
        <v>5232</v>
      </c>
      <c r="D689" s="2623">
        <v>159.91999999999999</v>
      </c>
      <c r="E689" s="2623">
        <v>159.32</v>
      </c>
      <c r="F689" s="2623">
        <v>156.022886</v>
      </c>
      <c r="G689" s="2623">
        <v>155.72288599999999</v>
      </c>
      <c r="H689" s="2623">
        <v>153.42480800000001</v>
      </c>
      <c r="I689" s="2623">
        <v>152.026736</v>
      </c>
      <c r="J689" s="2623"/>
      <c r="K689" s="2623" t="s">
        <v>5233</v>
      </c>
      <c r="L689" s="2623">
        <v>153.504808</v>
      </c>
      <c r="M689" s="2623">
        <v>154.30480800000001</v>
      </c>
      <c r="N689" s="2623">
        <v>156.10288600000001</v>
      </c>
      <c r="O689" s="2623">
        <v>156.50288599999999</v>
      </c>
      <c r="P689" s="2623">
        <v>160</v>
      </c>
      <c r="Q689" s="2623">
        <v>161.26602800000001</v>
      </c>
      <c r="R689" s="2631">
        <v>144</v>
      </c>
    </row>
    <row r="690" spans="1:18">
      <c r="A690" s="2615"/>
      <c r="B690" s="2618" t="s">
        <v>5577</v>
      </c>
      <c r="C690" s="2622" t="s">
        <v>5234</v>
      </c>
      <c r="D690" s="2623">
        <v>159.91999999999999</v>
      </c>
      <c r="E690" s="2623">
        <v>159.32</v>
      </c>
      <c r="F690" s="2623">
        <v>156.022886</v>
      </c>
      <c r="G690" s="2623">
        <v>155.832886</v>
      </c>
      <c r="H690" s="2623">
        <v>153.42480800000001</v>
      </c>
      <c r="I690" s="2623">
        <v>152.13673600000001</v>
      </c>
      <c r="J690" s="2623"/>
      <c r="K690" s="2623"/>
      <c r="L690" s="2623"/>
      <c r="M690" s="2623"/>
      <c r="N690" s="2623"/>
      <c r="O690" s="2623"/>
      <c r="P690" s="2623"/>
      <c r="Q690" s="2623"/>
      <c r="R690" s="2631"/>
    </row>
    <row r="691" spans="1:18">
      <c r="A691" s="2615"/>
      <c r="B691" s="2618" t="s">
        <v>5578</v>
      </c>
      <c r="C691" s="2622" t="s">
        <v>5232</v>
      </c>
      <c r="D691" s="2623">
        <v>159.94</v>
      </c>
      <c r="E691" s="2623">
        <v>159.465</v>
      </c>
      <c r="F691" s="2623">
        <v>157.34192400000001</v>
      </c>
      <c r="G691" s="2623">
        <v>157.09192400000001</v>
      </c>
      <c r="H691" s="2623">
        <v>155.609872</v>
      </c>
      <c r="I691" s="2623">
        <v>154.627824</v>
      </c>
      <c r="J691" s="2623"/>
      <c r="K691" s="2623" t="s">
        <v>5233</v>
      </c>
      <c r="L691" s="2623">
        <v>155.669872</v>
      </c>
      <c r="M691" s="2623">
        <v>156.26987199999999</v>
      </c>
      <c r="N691" s="2623">
        <v>157.40192400000001</v>
      </c>
      <c r="O691" s="2623">
        <v>157.73692399999999</v>
      </c>
      <c r="P691" s="2623">
        <v>160</v>
      </c>
      <c r="Q691" s="2623">
        <v>160.912352</v>
      </c>
      <c r="R691" s="2631">
        <v>144</v>
      </c>
    </row>
    <row r="692" spans="1:18">
      <c r="A692" s="2615"/>
      <c r="B692" s="2618" t="s">
        <v>5578</v>
      </c>
      <c r="C692" s="2622" t="s">
        <v>5234</v>
      </c>
      <c r="D692" s="2623">
        <v>159.94</v>
      </c>
      <c r="E692" s="2623">
        <v>159.465</v>
      </c>
      <c r="F692" s="2623">
        <v>157.34192400000001</v>
      </c>
      <c r="G692" s="2623">
        <v>157.18192400000001</v>
      </c>
      <c r="H692" s="2623">
        <v>155.609872</v>
      </c>
      <c r="I692" s="2623">
        <v>154.71782400000001</v>
      </c>
      <c r="J692" s="2623"/>
      <c r="K692" s="2623"/>
      <c r="L692" s="2623"/>
      <c r="M692" s="2623"/>
      <c r="N692" s="2623"/>
      <c r="O692" s="2623"/>
      <c r="P692" s="2623"/>
      <c r="Q692" s="2623"/>
      <c r="R692" s="2631"/>
    </row>
    <row r="693" spans="1:18">
      <c r="A693" s="2615"/>
      <c r="B693" s="2622" t="s">
        <v>5579</v>
      </c>
      <c r="C693" s="2622" t="s">
        <v>5232</v>
      </c>
      <c r="D693" s="2623">
        <v>159.952</v>
      </c>
      <c r="E693" s="2623">
        <v>159.577</v>
      </c>
      <c r="F693" s="2623">
        <v>158.00299999999999</v>
      </c>
      <c r="G693" s="2623">
        <v>157.779</v>
      </c>
      <c r="H693" s="2623">
        <v>156.70400000000001</v>
      </c>
      <c r="I693" s="2623">
        <v>155.93100000000001</v>
      </c>
      <c r="J693" s="2623"/>
      <c r="K693" s="2623" t="s">
        <v>5233</v>
      </c>
      <c r="L693" s="2623">
        <v>156.75200000000001</v>
      </c>
      <c r="M693" s="2623">
        <v>157.25200000000001</v>
      </c>
      <c r="N693" s="2623">
        <v>158.05099999999999</v>
      </c>
      <c r="O693" s="2623">
        <v>158.351</v>
      </c>
      <c r="P693" s="2623">
        <v>160</v>
      </c>
      <c r="Q693" s="2623">
        <v>160.733</v>
      </c>
      <c r="R693" s="2631">
        <v>144</v>
      </c>
    </row>
    <row r="694" spans="1:18">
      <c r="A694" s="2615"/>
      <c r="B694" s="2622" t="s">
        <v>5579</v>
      </c>
      <c r="C694" s="2622" t="s">
        <v>5234</v>
      </c>
      <c r="D694" s="2623">
        <v>159.952</v>
      </c>
      <c r="E694" s="2623">
        <v>159.577</v>
      </c>
      <c r="F694" s="2623">
        <v>158.00299999999999</v>
      </c>
      <c r="G694" s="2623">
        <v>157.863</v>
      </c>
      <c r="H694" s="2623">
        <v>156.70400000000001</v>
      </c>
      <c r="I694" s="2623">
        <v>156.01499999999999</v>
      </c>
      <c r="J694" s="2623"/>
      <c r="K694" s="2623"/>
      <c r="L694" s="2623"/>
      <c r="M694" s="2623"/>
      <c r="N694" s="2623"/>
      <c r="O694" s="2623"/>
      <c r="P694" s="2623"/>
      <c r="Q694" s="2623"/>
      <c r="R694" s="2631"/>
    </row>
    <row r="695" spans="1:18">
      <c r="A695" s="2615"/>
      <c r="B695" s="2618" t="s">
        <v>5580</v>
      </c>
      <c r="C695" s="2622" t="s">
        <v>5232</v>
      </c>
      <c r="D695" s="2623">
        <v>159.96199999999999</v>
      </c>
      <c r="E695" s="2623">
        <v>159.68199999999999</v>
      </c>
      <c r="F695" s="2623">
        <v>158.66296199999999</v>
      </c>
      <c r="G695" s="2623">
        <v>158.472962</v>
      </c>
      <c r="H695" s="2623">
        <v>157.79693599999999</v>
      </c>
      <c r="I695" s="2623">
        <v>157.24091200000001</v>
      </c>
      <c r="J695" s="2623"/>
      <c r="K695" s="2623" t="s">
        <v>5233</v>
      </c>
      <c r="L695" s="2623">
        <v>157.834936</v>
      </c>
      <c r="M695" s="2623">
        <v>158.209936</v>
      </c>
      <c r="N695" s="2623">
        <v>158.700962</v>
      </c>
      <c r="O695" s="2623">
        <v>158.950962</v>
      </c>
      <c r="P695" s="2623">
        <v>160</v>
      </c>
      <c r="Q695" s="2623">
        <v>160.53867600000001</v>
      </c>
      <c r="R695" s="2631">
        <v>144</v>
      </c>
    </row>
    <row r="696" spans="1:18">
      <c r="A696" s="2615"/>
      <c r="B696" s="2618" t="s">
        <v>5580</v>
      </c>
      <c r="C696" s="2622" t="s">
        <v>5234</v>
      </c>
      <c r="D696" s="2623">
        <v>159.96199999999999</v>
      </c>
      <c r="E696" s="2623">
        <v>159.68199999999999</v>
      </c>
      <c r="F696" s="2623">
        <v>158.66296199999999</v>
      </c>
      <c r="G696" s="2623">
        <v>158.54296199999999</v>
      </c>
      <c r="H696" s="2623">
        <v>157.79693599999999</v>
      </c>
      <c r="I696" s="2623">
        <v>157.310912</v>
      </c>
      <c r="J696" s="2623"/>
      <c r="K696" s="2623"/>
      <c r="L696" s="2623"/>
      <c r="M696" s="2623"/>
      <c r="N696" s="2623"/>
      <c r="O696" s="2623"/>
      <c r="P696" s="2623"/>
      <c r="Q696" s="2623"/>
      <c r="R696" s="2631"/>
    </row>
    <row r="697" spans="1:18">
      <c r="A697" s="2615">
        <v>165</v>
      </c>
      <c r="B697" s="2618" t="s">
        <v>5581</v>
      </c>
      <c r="C697" s="2622" t="s">
        <v>5232</v>
      </c>
      <c r="D697" s="2623">
        <v>164.92</v>
      </c>
      <c r="E697" s="2623">
        <v>164.32</v>
      </c>
      <c r="F697" s="2623">
        <v>161.022886</v>
      </c>
      <c r="G697" s="2623">
        <v>160.72288599999999</v>
      </c>
      <c r="H697" s="2623">
        <v>158.42480800000001</v>
      </c>
      <c r="I697" s="2623">
        <v>157.026736</v>
      </c>
      <c r="J697" s="2623"/>
      <c r="K697" s="2623" t="s">
        <v>5233</v>
      </c>
      <c r="L697" s="2623">
        <v>158.504808</v>
      </c>
      <c r="M697" s="2623">
        <v>159.30480800000001</v>
      </c>
      <c r="N697" s="2623">
        <v>161.10288600000001</v>
      </c>
      <c r="O697" s="2623">
        <v>161.50288599999999</v>
      </c>
      <c r="P697" s="2623">
        <v>165</v>
      </c>
      <c r="Q697" s="2623">
        <v>166.26602800000001</v>
      </c>
      <c r="R697" s="2631">
        <v>148</v>
      </c>
    </row>
    <row r="698" spans="1:18">
      <c r="A698" s="2615"/>
      <c r="B698" s="2618" t="s">
        <v>5581</v>
      </c>
      <c r="C698" s="2622" t="s">
        <v>5234</v>
      </c>
      <c r="D698" s="2623">
        <v>164.92</v>
      </c>
      <c r="E698" s="2623">
        <v>164.32</v>
      </c>
      <c r="F698" s="2623">
        <v>161.022886</v>
      </c>
      <c r="G698" s="2623">
        <v>160.832886</v>
      </c>
      <c r="H698" s="2623">
        <v>158.42480800000001</v>
      </c>
      <c r="I698" s="2623">
        <v>157.13673600000001</v>
      </c>
      <c r="J698" s="2623"/>
      <c r="K698" s="2623"/>
      <c r="L698" s="2623"/>
      <c r="M698" s="2623"/>
      <c r="N698" s="2623"/>
      <c r="O698" s="2623"/>
      <c r="P698" s="2623"/>
      <c r="Q698" s="2623"/>
      <c r="R698" s="2631"/>
    </row>
    <row r="699" spans="1:18">
      <c r="A699" s="2615"/>
      <c r="B699" s="2618" t="s">
        <v>5582</v>
      </c>
      <c r="C699" s="2622" t="s">
        <v>5232</v>
      </c>
      <c r="D699" s="2623">
        <v>164.94</v>
      </c>
      <c r="E699" s="2623">
        <v>164.465</v>
      </c>
      <c r="F699" s="2623">
        <v>162.34192400000001</v>
      </c>
      <c r="G699" s="2623">
        <v>162.09192400000001</v>
      </c>
      <c r="H699" s="2623">
        <v>160.609872</v>
      </c>
      <c r="I699" s="2623">
        <v>159.627824</v>
      </c>
      <c r="J699" s="2623"/>
      <c r="K699" s="2623" t="s">
        <v>5233</v>
      </c>
      <c r="L699" s="2623">
        <v>160.669872</v>
      </c>
      <c r="M699" s="2623">
        <v>161.26987199999999</v>
      </c>
      <c r="N699" s="2623">
        <v>162.40192400000001</v>
      </c>
      <c r="O699" s="2623">
        <v>162.73692399999999</v>
      </c>
      <c r="P699" s="2623">
        <v>165</v>
      </c>
      <c r="Q699" s="2623">
        <v>165.912352</v>
      </c>
      <c r="R699" s="2631">
        <v>148</v>
      </c>
    </row>
    <row r="700" spans="1:18">
      <c r="A700" s="2615"/>
      <c r="B700" s="2618" t="s">
        <v>5582</v>
      </c>
      <c r="C700" s="2622" t="s">
        <v>5234</v>
      </c>
      <c r="D700" s="2623">
        <v>164.94</v>
      </c>
      <c r="E700" s="2623">
        <v>164.465</v>
      </c>
      <c r="F700" s="2623">
        <v>162.34192400000001</v>
      </c>
      <c r="G700" s="2623">
        <v>162.18192400000001</v>
      </c>
      <c r="H700" s="2623">
        <v>160.609872</v>
      </c>
      <c r="I700" s="2623">
        <v>159.71782400000001</v>
      </c>
      <c r="J700" s="2623"/>
      <c r="K700" s="2623"/>
      <c r="L700" s="2623"/>
      <c r="M700" s="2623"/>
      <c r="N700" s="2623"/>
      <c r="O700" s="2623"/>
      <c r="P700" s="2623"/>
      <c r="Q700" s="2623"/>
      <c r="R700" s="2631"/>
    </row>
    <row r="701" spans="1:18">
      <c r="A701" s="2615"/>
      <c r="B701" s="2618" t="s">
        <v>5583</v>
      </c>
      <c r="C701" s="2622" t="s">
        <v>5232</v>
      </c>
      <c r="D701" s="2623">
        <v>164.952</v>
      </c>
      <c r="E701" s="2623">
        <v>164.577</v>
      </c>
      <c r="F701" s="2623">
        <v>163.003443</v>
      </c>
      <c r="G701" s="2623">
        <v>162.77944299999999</v>
      </c>
      <c r="H701" s="2623">
        <v>161.70440400000001</v>
      </c>
      <c r="I701" s="2623">
        <v>160.93136799999999</v>
      </c>
      <c r="J701" s="2623"/>
      <c r="K701" s="2623" t="s">
        <v>5233</v>
      </c>
      <c r="L701" s="2623">
        <v>161.75240400000001</v>
      </c>
      <c r="M701" s="2623">
        <v>162.25240400000001</v>
      </c>
      <c r="N701" s="2623">
        <v>163.05144300000001</v>
      </c>
      <c r="O701" s="2623">
        <v>163.35144299999999</v>
      </c>
      <c r="P701" s="2623">
        <v>165</v>
      </c>
      <c r="Q701" s="2623">
        <v>165.733014</v>
      </c>
      <c r="R701" s="2631">
        <v>148</v>
      </c>
    </row>
    <row r="702" spans="1:18">
      <c r="A702" s="2615"/>
      <c r="B702" s="2618" t="s">
        <v>5583</v>
      </c>
      <c r="C702" s="2622" t="s">
        <v>5234</v>
      </c>
      <c r="D702" s="2623">
        <v>164.952</v>
      </c>
      <c r="E702" s="2623">
        <v>164.577</v>
      </c>
      <c r="F702" s="2623">
        <v>163.003443</v>
      </c>
      <c r="G702" s="2623">
        <v>162.86344299999999</v>
      </c>
      <c r="H702" s="2623">
        <v>161.70440400000001</v>
      </c>
      <c r="I702" s="2623">
        <v>161.015368</v>
      </c>
      <c r="J702" s="2623"/>
      <c r="K702" s="2623"/>
      <c r="L702" s="2623"/>
      <c r="M702" s="2623"/>
      <c r="N702" s="2623"/>
      <c r="O702" s="2623"/>
      <c r="P702" s="2623"/>
      <c r="Q702" s="2623"/>
      <c r="R702" s="2631"/>
    </row>
    <row r="703" spans="1:18">
      <c r="A703" s="2615"/>
      <c r="B703" s="2618" t="s">
        <v>5584</v>
      </c>
      <c r="C703" s="2622" t="s">
        <v>5232</v>
      </c>
      <c r="D703" s="2623">
        <v>164.96199999999999</v>
      </c>
      <c r="E703" s="2623">
        <v>164.68199999999999</v>
      </c>
      <c r="F703" s="2623">
        <v>163.66296199999999</v>
      </c>
      <c r="G703" s="2623">
        <v>163.472962</v>
      </c>
      <c r="H703" s="2623">
        <v>162.79693599999999</v>
      </c>
      <c r="I703" s="2623">
        <v>162.24091200000001</v>
      </c>
      <c r="J703" s="2623"/>
      <c r="K703" s="2623" t="s">
        <v>5233</v>
      </c>
      <c r="L703" s="2623">
        <v>162.834936</v>
      </c>
      <c r="M703" s="2623">
        <v>163.209936</v>
      </c>
      <c r="N703" s="2623">
        <v>163.700962</v>
      </c>
      <c r="O703" s="2623">
        <v>163.950962</v>
      </c>
      <c r="P703" s="2623">
        <v>165</v>
      </c>
      <c r="Q703" s="2623">
        <v>165.53867600000001</v>
      </c>
      <c r="R703" s="2631">
        <v>148</v>
      </c>
    </row>
    <row r="704" spans="1:18">
      <c r="A704" s="2615"/>
      <c r="B704" s="2618" t="s">
        <v>5584</v>
      </c>
      <c r="C704" s="2622" t="s">
        <v>5234</v>
      </c>
      <c r="D704" s="2623">
        <v>164.96199999999999</v>
      </c>
      <c r="E704" s="2623">
        <v>164.68199999999999</v>
      </c>
      <c r="F704" s="2623">
        <v>163.66296199999999</v>
      </c>
      <c r="G704" s="2623">
        <v>163.54296199999999</v>
      </c>
      <c r="H704" s="2623">
        <v>162.79693599999999</v>
      </c>
      <c r="I704" s="2623">
        <v>162.310912</v>
      </c>
      <c r="J704" s="2623"/>
      <c r="K704" s="2623"/>
      <c r="L704" s="2623"/>
      <c r="M704" s="2623"/>
      <c r="N704" s="2623"/>
      <c r="O704" s="2623"/>
      <c r="P704" s="2623"/>
      <c r="Q704" s="2623"/>
      <c r="R704" s="2631"/>
    </row>
    <row r="705" spans="1:18">
      <c r="A705" s="2615">
        <v>170</v>
      </c>
      <c r="B705" s="2618" t="s">
        <v>5585</v>
      </c>
      <c r="C705" s="2622" t="s">
        <v>5232</v>
      </c>
      <c r="D705" s="2623">
        <v>169.9</v>
      </c>
      <c r="E705" s="2623">
        <v>169.19</v>
      </c>
      <c r="F705" s="2623">
        <v>164.70384799999999</v>
      </c>
      <c r="G705" s="2623">
        <v>164.36884800000001</v>
      </c>
      <c r="H705" s="2623">
        <v>161.239744</v>
      </c>
      <c r="I705" s="2623">
        <v>159.44064800000001</v>
      </c>
      <c r="J705" s="2623"/>
      <c r="K705" s="2623" t="s">
        <v>5233</v>
      </c>
      <c r="L705" s="2623">
        <v>161.339744</v>
      </c>
      <c r="M705" s="2623">
        <v>162.339744</v>
      </c>
      <c r="N705" s="2623">
        <v>164.80384799999999</v>
      </c>
      <c r="O705" s="2623">
        <v>165.253848</v>
      </c>
      <c r="P705" s="2623">
        <v>170</v>
      </c>
      <c r="Q705" s="2623">
        <v>171.604704</v>
      </c>
      <c r="R705" s="2631">
        <v>153</v>
      </c>
    </row>
    <row r="706" spans="1:18">
      <c r="A706" s="2615"/>
      <c r="B706" s="2618" t="s">
        <v>5585</v>
      </c>
      <c r="C706" s="2622" t="s">
        <v>5234</v>
      </c>
      <c r="D706" s="2623">
        <v>169.9</v>
      </c>
      <c r="E706" s="2623">
        <v>169.19</v>
      </c>
      <c r="F706" s="2623">
        <v>164.70384799999999</v>
      </c>
      <c r="G706" s="2623">
        <v>164.491848</v>
      </c>
      <c r="H706" s="2623">
        <v>161.239744</v>
      </c>
      <c r="I706" s="2623">
        <v>159.563648</v>
      </c>
      <c r="J706" s="2623"/>
      <c r="K706" s="2623"/>
      <c r="L706" s="2623"/>
      <c r="M706" s="2623"/>
      <c r="N706" s="2623"/>
      <c r="O706" s="2623"/>
      <c r="P706" s="2623"/>
      <c r="Q706" s="2623"/>
      <c r="R706" s="2631"/>
    </row>
    <row r="707" spans="1:18">
      <c r="A707" s="2615"/>
      <c r="B707" s="2618" t="s">
        <v>5586</v>
      </c>
      <c r="C707" s="2622" t="s">
        <v>5232</v>
      </c>
      <c r="D707" s="2623">
        <v>169.92</v>
      </c>
      <c r="E707" s="2623">
        <v>169.32</v>
      </c>
      <c r="F707" s="2623">
        <v>166.022886</v>
      </c>
      <c r="G707" s="2623">
        <v>165.72288599999999</v>
      </c>
      <c r="H707" s="2623">
        <v>163.42480800000001</v>
      </c>
      <c r="I707" s="2623">
        <v>162.026736</v>
      </c>
      <c r="J707" s="2623"/>
      <c r="K707" s="2623" t="s">
        <v>5233</v>
      </c>
      <c r="L707" s="2623">
        <v>163.504808</v>
      </c>
      <c r="M707" s="2623">
        <v>164.30480800000001</v>
      </c>
      <c r="N707" s="2623">
        <v>166.10288600000001</v>
      </c>
      <c r="O707" s="2623">
        <v>166.50288599999999</v>
      </c>
      <c r="P707" s="2623">
        <v>170</v>
      </c>
      <c r="Q707" s="2623">
        <v>171.26602800000001</v>
      </c>
      <c r="R707" s="2631">
        <v>153</v>
      </c>
    </row>
    <row r="708" spans="1:18">
      <c r="A708" s="2615"/>
      <c r="B708" s="2618" t="s">
        <v>5586</v>
      </c>
      <c r="C708" s="2622" t="s">
        <v>5234</v>
      </c>
      <c r="D708" s="2623">
        <v>169.92</v>
      </c>
      <c r="E708" s="2623">
        <v>169.32</v>
      </c>
      <c r="F708" s="2623">
        <v>166.022886</v>
      </c>
      <c r="G708" s="2623">
        <v>165.832886</v>
      </c>
      <c r="H708" s="2623">
        <v>163.42480800000001</v>
      </c>
      <c r="I708" s="2623">
        <v>162.13673600000001</v>
      </c>
      <c r="J708" s="2623"/>
      <c r="K708" s="2623"/>
      <c r="L708" s="2623"/>
      <c r="M708" s="2623"/>
      <c r="N708" s="2623"/>
      <c r="O708" s="2623"/>
      <c r="P708" s="2623"/>
      <c r="Q708" s="2623"/>
      <c r="R708" s="2631"/>
    </row>
    <row r="709" spans="1:18">
      <c r="A709" s="2615"/>
      <c r="B709" s="2618" t="s">
        <v>5587</v>
      </c>
      <c r="C709" s="2622" t="s">
        <v>5232</v>
      </c>
      <c r="D709" s="2623">
        <v>169.94</v>
      </c>
      <c r="E709" s="2623">
        <v>169.465</v>
      </c>
      <c r="F709" s="2623">
        <v>167.34192400000001</v>
      </c>
      <c r="G709" s="2623">
        <v>167.09192400000001</v>
      </c>
      <c r="H709" s="2623">
        <v>165.609872</v>
      </c>
      <c r="I709" s="2623">
        <v>164.627824</v>
      </c>
      <c r="J709" s="2623"/>
      <c r="K709" s="2623" t="s">
        <v>5233</v>
      </c>
      <c r="L709" s="2623">
        <v>165.669872</v>
      </c>
      <c r="M709" s="2623">
        <v>166.26987199999999</v>
      </c>
      <c r="N709" s="2623">
        <v>167.40192400000001</v>
      </c>
      <c r="O709" s="2623">
        <v>167.73692399999999</v>
      </c>
      <c r="P709" s="2623">
        <v>170</v>
      </c>
      <c r="Q709" s="2623">
        <v>170.912352</v>
      </c>
      <c r="R709" s="2631">
        <v>153</v>
      </c>
    </row>
    <row r="710" spans="1:18">
      <c r="A710" s="2615"/>
      <c r="B710" s="2618" t="s">
        <v>5587</v>
      </c>
      <c r="C710" s="2622" t="s">
        <v>5234</v>
      </c>
      <c r="D710" s="2623">
        <v>169.94</v>
      </c>
      <c r="E710" s="2623">
        <v>169.465</v>
      </c>
      <c r="F710" s="2623">
        <v>167.34192400000001</v>
      </c>
      <c r="G710" s="2623">
        <v>167.18192400000001</v>
      </c>
      <c r="H710" s="2623">
        <v>165.609872</v>
      </c>
      <c r="I710" s="2623">
        <v>164.71782400000001</v>
      </c>
      <c r="J710" s="2623"/>
      <c r="K710" s="2623"/>
      <c r="L710" s="2623"/>
      <c r="M710" s="2623"/>
      <c r="N710" s="2623"/>
      <c r="O710" s="2623"/>
      <c r="P710" s="2623"/>
      <c r="Q710" s="2623"/>
      <c r="R710" s="2631"/>
    </row>
    <row r="711" spans="1:18">
      <c r="A711" s="2615"/>
      <c r="B711" s="2622" t="s">
        <v>5588</v>
      </c>
      <c r="C711" s="2622" t="s">
        <v>5232</v>
      </c>
      <c r="D711" s="2623">
        <v>169.952</v>
      </c>
      <c r="E711" s="2623">
        <v>169.577</v>
      </c>
      <c r="F711" s="2623">
        <v>168.00299999999999</v>
      </c>
      <c r="G711" s="2623">
        <v>167.779</v>
      </c>
      <c r="H711" s="2623">
        <v>166.70400000000001</v>
      </c>
      <c r="I711" s="2623">
        <v>165.93100000000001</v>
      </c>
      <c r="J711" s="2623"/>
      <c r="K711" s="2623" t="s">
        <v>5233</v>
      </c>
      <c r="L711" s="2623">
        <v>166.75200000000001</v>
      </c>
      <c r="M711" s="2623">
        <v>167.25200000000001</v>
      </c>
      <c r="N711" s="2623">
        <v>168.05099999999999</v>
      </c>
      <c r="O711" s="2623">
        <v>168.351</v>
      </c>
      <c r="P711" s="2623">
        <v>170</v>
      </c>
      <c r="Q711" s="2623">
        <v>170.733</v>
      </c>
      <c r="R711" s="2631">
        <v>153</v>
      </c>
    </row>
    <row r="712" spans="1:18">
      <c r="A712" s="2615"/>
      <c r="B712" s="2622" t="s">
        <v>5588</v>
      </c>
      <c r="C712" s="2622" t="s">
        <v>5234</v>
      </c>
      <c r="D712" s="2623">
        <v>169.952</v>
      </c>
      <c r="E712" s="2623">
        <v>169.577</v>
      </c>
      <c r="F712" s="2623">
        <v>168.00299999999999</v>
      </c>
      <c r="G712" s="2623">
        <v>167.863</v>
      </c>
      <c r="H712" s="2623">
        <v>166.70400000000001</v>
      </c>
      <c r="I712" s="2623">
        <v>166.01499999999999</v>
      </c>
      <c r="J712" s="2623"/>
      <c r="K712" s="2623"/>
      <c r="L712" s="2623"/>
      <c r="M712" s="2623"/>
      <c r="N712" s="2623"/>
      <c r="O712" s="2623"/>
      <c r="P712" s="2623"/>
      <c r="Q712" s="2623"/>
      <c r="R712" s="2631"/>
    </row>
    <row r="713" spans="1:18">
      <c r="A713" s="2615"/>
      <c r="B713" s="2618" t="s">
        <v>5589</v>
      </c>
      <c r="C713" s="2622" t="s">
        <v>5232</v>
      </c>
      <c r="D713" s="2623">
        <v>169.96199999999999</v>
      </c>
      <c r="E713" s="2623">
        <v>169.68199999999999</v>
      </c>
      <c r="F713" s="2623">
        <v>168.66296199999999</v>
      </c>
      <c r="G713" s="2623">
        <v>168.472962</v>
      </c>
      <c r="H713" s="2623">
        <v>167.79693599999999</v>
      </c>
      <c r="I713" s="2623">
        <v>167.24091200000001</v>
      </c>
      <c r="J713" s="2623"/>
      <c r="K713" s="2623" t="s">
        <v>5233</v>
      </c>
      <c r="L713" s="2623">
        <v>167.834936</v>
      </c>
      <c r="M713" s="2623">
        <v>168.209936</v>
      </c>
      <c r="N713" s="2623">
        <v>168.700962</v>
      </c>
      <c r="O713" s="2623">
        <v>168.950962</v>
      </c>
      <c r="P713" s="2623">
        <v>170</v>
      </c>
      <c r="Q713" s="2623">
        <v>170.53867600000001</v>
      </c>
      <c r="R713" s="2631">
        <v>153</v>
      </c>
    </row>
    <row r="714" spans="1:18">
      <c r="A714" s="2615"/>
      <c r="B714" s="2618" t="s">
        <v>5589</v>
      </c>
      <c r="C714" s="2622" t="s">
        <v>5234</v>
      </c>
      <c r="D714" s="2623">
        <v>169.96199999999999</v>
      </c>
      <c r="E714" s="2623">
        <v>169.68199999999999</v>
      </c>
      <c r="F714" s="2623">
        <v>168.66296199999999</v>
      </c>
      <c r="G714" s="2623">
        <v>168.54296199999999</v>
      </c>
      <c r="H714" s="2623">
        <v>167.79693599999999</v>
      </c>
      <c r="I714" s="2623">
        <v>167.310912</v>
      </c>
      <c r="J714" s="2623"/>
      <c r="K714" s="2623"/>
      <c r="L714" s="2623"/>
      <c r="M714" s="2623"/>
      <c r="N714" s="2623"/>
      <c r="O714" s="2623"/>
      <c r="P714" s="2623"/>
      <c r="Q714" s="2623"/>
      <c r="R714" s="2631"/>
    </row>
    <row r="715" spans="1:18">
      <c r="A715" s="2615">
        <v>175</v>
      </c>
      <c r="B715" s="2618" t="s">
        <v>5590</v>
      </c>
      <c r="C715" s="2622" t="s">
        <v>5232</v>
      </c>
      <c r="D715" s="2623">
        <v>174.92</v>
      </c>
      <c r="E715" s="2623">
        <v>174.32</v>
      </c>
      <c r="F715" s="2623">
        <v>171.022886</v>
      </c>
      <c r="G715" s="2623">
        <v>170.72288599999999</v>
      </c>
      <c r="H715" s="2623">
        <v>168.42480800000001</v>
      </c>
      <c r="I715" s="2623">
        <v>167.026736</v>
      </c>
      <c r="J715" s="2623"/>
      <c r="K715" s="2623" t="s">
        <v>5233</v>
      </c>
      <c r="L715" s="2623">
        <v>168.504808</v>
      </c>
      <c r="M715" s="2623">
        <v>169.30480800000001</v>
      </c>
      <c r="N715" s="2623">
        <v>171.10288600000001</v>
      </c>
      <c r="O715" s="2623">
        <v>171.50288599999999</v>
      </c>
      <c r="P715" s="2623">
        <v>175</v>
      </c>
      <c r="Q715" s="2623">
        <v>176.26602800000001</v>
      </c>
      <c r="R715" s="2631">
        <v>158</v>
      </c>
    </row>
    <row r="716" spans="1:18">
      <c r="A716" s="2615"/>
      <c r="B716" s="2618" t="s">
        <v>5590</v>
      </c>
      <c r="C716" s="2622" t="s">
        <v>5234</v>
      </c>
      <c r="D716" s="2623">
        <v>174.92</v>
      </c>
      <c r="E716" s="2623">
        <v>174.32</v>
      </c>
      <c r="F716" s="2623">
        <v>171.022886</v>
      </c>
      <c r="G716" s="2623">
        <v>170.832886</v>
      </c>
      <c r="H716" s="2623">
        <v>168.42480800000001</v>
      </c>
      <c r="I716" s="2623">
        <v>167.13673600000001</v>
      </c>
      <c r="J716" s="2623"/>
      <c r="K716" s="2623"/>
      <c r="L716" s="2623"/>
      <c r="M716" s="2623"/>
      <c r="N716" s="2623"/>
      <c r="O716" s="2623"/>
      <c r="P716" s="2623"/>
      <c r="Q716" s="2623"/>
      <c r="R716" s="2631"/>
    </row>
    <row r="717" spans="1:18">
      <c r="A717" s="2615"/>
      <c r="B717" s="2618" t="s">
        <v>5591</v>
      </c>
      <c r="C717" s="2622" t="s">
        <v>5232</v>
      </c>
      <c r="D717" s="2623">
        <v>174.94</v>
      </c>
      <c r="E717" s="2623">
        <v>174.465</v>
      </c>
      <c r="F717" s="2623">
        <v>172.34192400000001</v>
      </c>
      <c r="G717" s="2623">
        <v>172.09192400000001</v>
      </c>
      <c r="H717" s="2623">
        <v>170.609872</v>
      </c>
      <c r="I717" s="2623">
        <v>169.627824</v>
      </c>
      <c r="J717" s="2623"/>
      <c r="K717" s="2623" t="s">
        <v>5233</v>
      </c>
      <c r="L717" s="2623">
        <v>170.669872</v>
      </c>
      <c r="M717" s="2623">
        <v>171.26987199999999</v>
      </c>
      <c r="N717" s="2623">
        <v>172.40192400000001</v>
      </c>
      <c r="O717" s="2623">
        <v>172.73692399999999</v>
      </c>
      <c r="P717" s="2623">
        <v>175</v>
      </c>
      <c r="Q717" s="2623">
        <v>175.912352</v>
      </c>
      <c r="R717" s="2631">
        <v>158</v>
      </c>
    </row>
    <row r="718" spans="1:18">
      <c r="A718" s="2615"/>
      <c r="B718" s="2618" t="s">
        <v>5591</v>
      </c>
      <c r="C718" s="2622" t="s">
        <v>5234</v>
      </c>
      <c r="D718" s="2623">
        <v>174.94</v>
      </c>
      <c r="E718" s="2623">
        <v>174.465</v>
      </c>
      <c r="F718" s="2623">
        <v>172.34192400000001</v>
      </c>
      <c r="G718" s="2623">
        <v>172.18192400000001</v>
      </c>
      <c r="H718" s="2623">
        <v>170.609872</v>
      </c>
      <c r="I718" s="2623">
        <v>169.71782400000001</v>
      </c>
      <c r="J718" s="2623"/>
      <c r="K718" s="2623"/>
      <c r="L718" s="2623"/>
      <c r="M718" s="2623"/>
      <c r="N718" s="2623"/>
      <c r="O718" s="2623"/>
      <c r="P718" s="2623"/>
      <c r="Q718" s="2623"/>
      <c r="R718" s="2631"/>
    </row>
    <row r="719" spans="1:18">
      <c r="A719" s="2615"/>
      <c r="B719" s="2618" t="s">
        <v>5592</v>
      </c>
      <c r="C719" s="2622" t="s">
        <v>5232</v>
      </c>
      <c r="D719" s="2623">
        <v>174.952</v>
      </c>
      <c r="E719" s="2623">
        <v>174.577</v>
      </c>
      <c r="F719" s="2623">
        <v>173.003443</v>
      </c>
      <c r="G719" s="2623">
        <v>172.77944299999999</v>
      </c>
      <c r="H719" s="2623">
        <v>171.70440400000001</v>
      </c>
      <c r="I719" s="2623">
        <v>170.93136799999999</v>
      </c>
      <c r="J719" s="2623"/>
      <c r="K719" s="2623" t="s">
        <v>5233</v>
      </c>
      <c r="L719" s="2623">
        <v>171.75240400000001</v>
      </c>
      <c r="M719" s="2623">
        <v>172.25240400000001</v>
      </c>
      <c r="N719" s="2623">
        <v>173.05144300000001</v>
      </c>
      <c r="O719" s="2623">
        <v>173.35144299999999</v>
      </c>
      <c r="P719" s="2623">
        <v>175</v>
      </c>
      <c r="Q719" s="2623">
        <v>175.733014</v>
      </c>
      <c r="R719" s="2631">
        <v>158</v>
      </c>
    </row>
    <row r="720" spans="1:18">
      <c r="A720" s="2615"/>
      <c r="B720" s="2618" t="s">
        <v>5592</v>
      </c>
      <c r="C720" s="2622" t="s">
        <v>5234</v>
      </c>
      <c r="D720" s="2623">
        <v>174.952</v>
      </c>
      <c r="E720" s="2623">
        <v>174.577</v>
      </c>
      <c r="F720" s="2623">
        <v>173.003443</v>
      </c>
      <c r="G720" s="2623">
        <v>172.86244300000001</v>
      </c>
      <c r="H720" s="2623">
        <v>171.70440400000001</v>
      </c>
      <c r="I720" s="2623">
        <v>171.01436799999999</v>
      </c>
      <c r="J720" s="2623"/>
      <c r="K720" s="2623"/>
      <c r="L720" s="2623"/>
      <c r="M720" s="2623"/>
      <c r="N720" s="2623"/>
      <c r="O720" s="2623"/>
      <c r="P720" s="2623"/>
      <c r="Q720" s="2623"/>
      <c r="R720" s="2631"/>
    </row>
    <row r="721" spans="1:18">
      <c r="A721" s="2615"/>
      <c r="B721" s="2618" t="s">
        <v>5593</v>
      </c>
      <c r="C721" s="2622" t="s">
        <v>5232</v>
      </c>
      <c r="D721" s="2623">
        <v>174.96199999999999</v>
      </c>
      <c r="E721" s="2623">
        <v>174.68199999999999</v>
      </c>
      <c r="F721" s="2623">
        <v>173.66296199999999</v>
      </c>
      <c r="G721" s="2623">
        <v>173.472962</v>
      </c>
      <c r="H721" s="2623">
        <v>172.79693599999999</v>
      </c>
      <c r="I721" s="2623">
        <v>172.24091200000001</v>
      </c>
      <c r="J721" s="2623"/>
      <c r="K721" s="2623" t="s">
        <v>5233</v>
      </c>
      <c r="L721" s="2623">
        <v>172.834936</v>
      </c>
      <c r="M721" s="2623">
        <v>173.209936</v>
      </c>
      <c r="N721" s="2623">
        <v>173.700962</v>
      </c>
      <c r="O721" s="2623">
        <v>173.950962</v>
      </c>
      <c r="P721" s="2623">
        <v>175</v>
      </c>
      <c r="Q721" s="2623">
        <v>175.53867600000001</v>
      </c>
      <c r="R721" s="2631">
        <v>158</v>
      </c>
    </row>
    <row r="722" spans="1:18">
      <c r="A722" s="2615"/>
      <c r="B722" s="2618" t="s">
        <v>5593</v>
      </c>
      <c r="C722" s="2622" t="s">
        <v>5234</v>
      </c>
      <c r="D722" s="2623">
        <v>174.96199999999999</v>
      </c>
      <c r="E722" s="2623">
        <v>174.68199999999999</v>
      </c>
      <c r="F722" s="2623">
        <v>173.66296199999999</v>
      </c>
      <c r="G722" s="2623">
        <v>173.54296199999999</v>
      </c>
      <c r="H722" s="2623">
        <v>172.79693599999999</v>
      </c>
      <c r="I722" s="2623">
        <v>172.310912</v>
      </c>
      <c r="J722" s="2623"/>
      <c r="K722" s="2623"/>
      <c r="L722" s="2623"/>
      <c r="M722" s="2623"/>
      <c r="N722" s="2623"/>
      <c r="O722" s="2623"/>
      <c r="P722" s="2623"/>
      <c r="Q722" s="2623"/>
      <c r="R722" s="2631"/>
    </row>
    <row r="723" spans="1:18">
      <c r="A723" s="2615">
        <v>180</v>
      </c>
      <c r="B723" s="2618" t="s">
        <v>5594</v>
      </c>
      <c r="C723" s="2622" t="s">
        <v>5232</v>
      </c>
      <c r="D723" s="2623">
        <v>179.9</v>
      </c>
      <c r="E723" s="2623">
        <v>179.19</v>
      </c>
      <c r="F723" s="2623">
        <v>174.70384799999999</v>
      </c>
      <c r="G723" s="2623">
        <v>174.36884800000001</v>
      </c>
      <c r="H723" s="2623">
        <v>171.239744</v>
      </c>
      <c r="I723" s="2623">
        <v>169.44064800000001</v>
      </c>
      <c r="J723" s="2623"/>
      <c r="K723" s="2623" t="s">
        <v>5233</v>
      </c>
      <c r="L723" s="2623">
        <v>171.339744</v>
      </c>
      <c r="M723" s="2623">
        <v>172.339744</v>
      </c>
      <c r="N723" s="2623">
        <v>174.80384799999999</v>
      </c>
      <c r="O723" s="2623">
        <v>175.253848</v>
      </c>
      <c r="P723" s="2623">
        <v>180</v>
      </c>
      <c r="Q723" s="2623">
        <v>181.604704</v>
      </c>
      <c r="R723" s="2631">
        <v>162</v>
      </c>
    </row>
    <row r="724" spans="1:18">
      <c r="A724" s="2615"/>
      <c r="B724" s="2618" t="s">
        <v>5594</v>
      </c>
      <c r="C724" s="2622" t="s">
        <v>5234</v>
      </c>
      <c r="D724" s="2623">
        <v>179.9</v>
      </c>
      <c r="E724" s="2623">
        <v>179.19</v>
      </c>
      <c r="F724" s="2623">
        <v>174.70384799999999</v>
      </c>
      <c r="G724" s="2623">
        <v>174.491848</v>
      </c>
      <c r="H724" s="2623">
        <v>171.239744</v>
      </c>
      <c r="I724" s="2623">
        <v>169.563648</v>
      </c>
      <c r="J724" s="2623"/>
      <c r="K724" s="2623"/>
      <c r="L724" s="2623"/>
      <c r="M724" s="2623"/>
      <c r="N724" s="2623"/>
      <c r="O724" s="2623"/>
      <c r="P724" s="2623"/>
      <c r="Q724" s="2623"/>
      <c r="R724" s="2631"/>
    </row>
    <row r="725" spans="1:18">
      <c r="A725" s="2615"/>
      <c r="B725" s="2618" t="s">
        <v>5595</v>
      </c>
      <c r="C725" s="2622" t="s">
        <v>5232</v>
      </c>
      <c r="D725" s="2623">
        <v>179.92</v>
      </c>
      <c r="E725" s="2623">
        <v>179.32</v>
      </c>
      <c r="F725" s="2623">
        <v>176.022886</v>
      </c>
      <c r="G725" s="2623">
        <v>175.72288599999999</v>
      </c>
      <c r="H725" s="2623">
        <v>173.42480800000001</v>
      </c>
      <c r="I725" s="2623">
        <v>172.026736</v>
      </c>
      <c r="J725" s="2623"/>
      <c r="K725" s="2623" t="s">
        <v>5233</v>
      </c>
      <c r="L725" s="2623">
        <v>173.504808</v>
      </c>
      <c r="M725" s="2623">
        <v>174.30480800000001</v>
      </c>
      <c r="N725" s="2623">
        <v>176.10288600000001</v>
      </c>
      <c r="O725" s="2623">
        <v>176.50288599999999</v>
      </c>
      <c r="P725" s="2623">
        <v>180</v>
      </c>
      <c r="Q725" s="2623">
        <v>181.26602800000001</v>
      </c>
      <c r="R725" s="2631">
        <v>162</v>
      </c>
    </row>
    <row r="726" spans="1:18">
      <c r="A726" s="2615"/>
      <c r="B726" s="2618" t="s">
        <v>5595</v>
      </c>
      <c r="C726" s="2622" t="s">
        <v>5234</v>
      </c>
      <c r="D726" s="2623">
        <v>179.92</v>
      </c>
      <c r="E726" s="2623">
        <v>179.32</v>
      </c>
      <c r="F726" s="2623">
        <v>176.022886</v>
      </c>
      <c r="G726" s="2623">
        <v>175.832886</v>
      </c>
      <c r="H726" s="2623">
        <v>173.42480800000001</v>
      </c>
      <c r="I726" s="2623">
        <v>172.13673600000001</v>
      </c>
      <c r="J726" s="2623"/>
      <c r="K726" s="2623"/>
      <c r="L726" s="2623"/>
      <c r="M726" s="2623"/>
      <c r="N726" s="2623"/>
      <c r="O726" s="2623"/>
      <c r="P726" s="2623"/>
      <c r="Q726" s="2623"/>
      <c r="R726" s="2631"/>
    </row>
    <row r="727" spans="1:18">
      <c r="A727" s="2615"/>
      <c r="B727" s="2618" t="s">
        <v>5596</v>
      </c>
      <c r="C727" s="2622" t="s">
        <v>5232</v>
      </c>
      <c r="D727" s="2623">
        <v>179.94</v>
      </c>
      <c r="E727" s="2623">
        <v>179.465</v>
      </c>
      <c r="F727" s="2623">
        <v>177.34192400000001</v>
      </c>
      <c r="G727" s="2623">
        <v>177.09192400000001</v>
      </c>
      <c r="H727" s="2623">
        <v>175.609872</v>
      </c>
      <c r="I727" s="2623">
        <v>174.627824</v>
      </c>
      <c r="J727" s="2623"/>
      <c r="K727" s="2623" t="s">
        <v>5233</v>
      </c>
      <c r="L727" s="2623">
        <v>175.669872</v>
      </c>
      <c r="M727" s="2623">
        <v>176.26987199999999</v>
      </c>
      <c r="N727" s="2623">
        <v>177.40192400000001</v>
      </c>
      <c r="O727" s="2623">
        <v>177.73692399999999</v>
      </c>
      <c r="P727" s="2623">
        <v>180</v>
      </c>
      <c r="Q727" s="2623">
        <v>180.912352</v>
      </c>
      <c r="R727" s="2631">
        <v>162</v>
      </c>
    </row>
    <row r="728" spans="1:18">
      <c r="A728" s="2615"/>
      <c r="B728" s="2618" t="s">
        <v>5596</v>
      </c>
      <c r="C728" s="2622" t="s">
        <v>5234</v>
      </c>
      <c r="D728" s="2623">
        <v>179.94</v>
      </c>
      <c r="E728" s="2623">
        <v>179.465</v>
      </c>
      <c r="F728" s="2623">
        <v>177.34192400000001</v>
      </c>
      <c r="G728" s="2623">
        <v>177.18192400000001</v>
      </c>
      <c r="H728" s="2623">
        <v>175.609872</v>
      </c>
      <c r="I728" s="2623">
        <v>174.71782400000001</v>
      </c>
      <c r="J728" s="2623"/>
      <c r="K728" s="2623"/>
      <c r="L728" s="2623"/>
      <c r="M728" s="2623"/>
      <c r="N728" s="2623"/>
      <c r="O728" s="2623"/>
      <c r="P728" s="2623"/>
      <c r="Q728" s="2623"/>
      <c r="R728" s="2631"/>
    </row>
    <row r="729" spans="1:18">
      <c r="A729" s="2615"/>
      <c r="B729" s="2622" t="s">
        <v>5597</v>
      </c>
      <c r="C729" s="2622" t="s">
        <v>5232</v>
      </c>
      <c r="D729" s="2623">
        <v>179.952</v>
      </c>
      <c r="E729" s="2623">
        <v>179.577</v>
      </c>
      <c r="F729" s="2623">
        <v>178.00299999999999</v>
      </c>
      <c r="G729" s="2623">
        <v>177.779</v>
      </c>
      <c r="H729" s="2623">
        <v>176.70400000000001</v>
      </c>
      <c r="I729" s="2623">
        <v>175.93100000000001</v>
      </c>
      <c r="J729" s="2623"/>
      <c r="K729" s="2623" t="s">
        <v>5233</v>
      </c>
      <c r="L729" s="2623">
        <v>176.75200000000001</v>
      </c>
      <c r="M729" s="2623">
        <v>177.25200000000001</v>
      </c>
      <c r="N729" s="2623">
        <v>178.05099999999999</v>
      </c>
      <c r="O729" s="2623">
        <v>178.351</v>
      </c>
      <c r="P729" s="2623">
        <v>180</v>
      </c>
      <c r="Q729" s="2623">
        <v>180.733</v>
      </c>
      <c r="R729" s="2631">
        <v>162</v>
      </c>
    </row>
    <row r="730" spans="1:18">
      <c r="A730" s="2615"/>
      <c r="B730" s="2622" t="s">
        <v>5597</v>
      </c>
      <c r="C730" s="2622" t="s">
        <v>5234</v>
      </c>
      <c r="D730" s="2623">
        <v>179.952</v>
      </c>
      <c r="E730" s="2623">
        <v>179.577</v>
      </c>
      <c r="F730" s="2623">
        <v>178.00299999999999</v>
      </c>
      <c r="G730" s="2623">
        <v>177.863</v>
      </c>
      <c r="H730" s="2623">
        <v>176.70400000000001</v>
      </c>
      <c r="I730" s="2623">
        <v>176.01499999999999</v>
      </c>
      <c r="J730" s="2623"/>
      <c r="K730" s="2623"/>
      <c r="L730" s="2623"/>
      <c r="M730" s="2623"/>
      <c r="N730" s="2623"/>
      <c r="O730" s="2623"/>
      <c r="P730" s="2623"/>
      <c r="Q730" s="2623"/>
      <c r="R730" s="2631"/>
    </row>
    <row r="731" spans="1:18">
      <c r="A731" s="2615"/>
      <c r="B731" s="2618" t="s">
        <v>5598</v>
      </c>
      <c r="C731" s="2622" t="s">
        <v>5232</v>
      </c>
      <c r="D731" s="2623">
        <v>179.96199999999999</v>
      </c>
      <c r="E731" s="2623">
        <v>179.68199999999999</v>
      </c>
      <c r="F731" s="2623">
        <v>178.66296199999999</v>
      </c>
      <c r="G731" s="2623">
        <v>178.472962</v>
      </c>
      <c r="H731" s="2623">
        <v>177.79693599999999</v>
      </c>
      <c r="I731" s="2623">
        <v>177.24091200000001</v>
      </c>
      <c r="J731" s="2623"/>
      <c r="K731" s="2623" t="s">
        <v>5233</v>
      </c>
      <c r="L731" s="2623">
        <v>177.834936</v>
      </c>
      <c r="M731" s="2623">
        <v>178.209936</v>
      </c>
      <c r="N731" s="2623">
        <v>178.700962</v>
      </c>
      <c r="O731" s="2623">
        <v>178.950962</v>
      </c>
      <c r="P731" s="2623">
        <v>180</v>
      </c>
      <c r="Q731" s="2623">
        <v>180.53867600000001</v>
      </c>
      <c r="R731" s="2631">
        <v>162</v>
      </c>
    </row>
    <row r="732" spans="1:18">
      <c r="A732" s="2615"/>
      <c r="B732" s="2618" t="s">
        <v>5598</v>
      </c>
      <c r="C732" s="2622" t="s">
        <v>5234</v>
      </c>
      <c r="D732" s="2623">
        <v>179.96199999999999</v>
      </c>
      <c r="E732" s="2623">
        <v>179.68199999999999</v>
      </c>
      <c r="F732" s="2623">
        <v>178.66296199999999</v>
      </c>
      <c r="G732" s="2623">
        <v>178.54296199999999</v>
      </c>
      <c r="H732" s="2623">
        <v>177.79693599999999</v>
      </c>
      <c r="I732" s="2623">
        <v>177.310912</v>
      </c>
      <c r="J732" s="2623"/>
      <c r="K732" s="2623"/>
      <c r="L732" s="2623"/>
      <c r="M732" s="2623"/>
      <c r="N732" s="2623"/>
      <c r="O732" s="2623"/>
      <c r="P732" s="2623"/>
      <c r="Q732" s="2623"/>
      <c r="R732" s="2631"/>
    </row>
    <row r="733" spans="1:18">
      <c r="A733" s="2615">
        <v>185</v>
      </c>
      <c r="B733" s="2618" t="s">
        <v>5599</v>
      </c>
      <c r="C733" s="2622" t="s">
        <v>5232</v>
      </c>
      <c r="D733" s="2623">
        <v>184.92</v>
      </c>
      <c r="E733" s="2623">
        <v>184.32</v>
      </c>
      <c r="F733" s="2623">
        <v>181.022886</v>
      </c>
      <c r="G733" s="2623">
        <v>180.707886</v>
      </c>
      <c r="H733" s="2623">
        <v>178.42480800000001</v>
      </c>
      <c r="I733" s="2623">
        <v>177.01173600000001</v>
      </c>
      <c r="J733" s="2623"/>
      <c r="K733" s="2623" t="s">
        <v>5233</v>
      </c>
      <c r="L733" s="2623">
        <v>178.504808</v>
      </c>
      <c r="M733" s="2623">
        <v>179.30480800000001</v>
      </c>
      <c r="N733" s="2623">
        <v>181.10288600000001</v>
      </c>
      <c r="O733" s="2623">
        <v>181.527886</v>
      </c>
      <c r="P733" s="2623">
        <v>185</v>
      </c>
      <c r="Q733" s="2623">
        <v>186.29102800000001</v>
      </c>
      <c r="R733" s="2631">
        <v>165</v>
      </c>
    </row>
    <row r="734" spans="1:18">
      <c r="A734" s="2615"/>
      <c r="B734" s="2618" t="s">
        <v>5599</v>
      </c>
      <c r="C734" s="2622" t="s">
        <v>5234</v>
      </c>
      <c r="D734" s="2623">
        <v>184.92</v>
      </c>
      <c r="E734" s="2623">
        <v>184.32</v>
      </c>
      <c r="F734" s="2623">
        <v>181.022886</v>
      </c>
      <c r="G734" s="2623">
        <v>180.82288600000001</v>
      </c>
      <c r="H734" s="2623">
        <v>178.42480800000001</v>
      </c>
      <c r="I734" s="2623">
        <v>177.12673599999999</v>
      </c>
      <c r="J734" s="2623"/>
      <c r="K734" s="2623"/>
      <c r="L734" s="2623"/>
      <c r="M734" s="2623"/>
      <c r="N734" s="2623"/>
      <c r="O734" s="2623"/>
      <c r="P734" s="2623"/>
      <c r="Q734" s="2623"/>
      <c r="R734" s="2631"/>
    </row>
    <row r="735" spans="1:18">
      <c r="A735" s="2615"/>
      <c r="B735" s="2618" t="s">
        <v>5600</v>
      </c>
      <c r="C735" s="2622" t="s">
        <v>5232</v>
      </c>
      <c r="D735" s="2623">
        <v>184.94</v>
      </c>
      <c r="E735" s="2623">
        <v>184.465</v>
      </c>
      <c r="F735" s="2623">
        <v>182.34192400000001</v>
      </c>
      <c r="G735" s="2623">
        <v>182.061924</v>
      </c>
      <c r="H735" s="2623">
        <v>180.609872</v>
      </c>
      <c r="I735" s="2623">
        <v>179.597824</v>
      </c>
      <c r="J735" s="2623"/>
      <c r="K735" s="2623" t="s">
        <v>5233</v>
      </c>
      <c r="L735" s="2623">
        <v>180.669872</v>
      </c>
      <c r="M735" s="2623">
        <v>181.26987199999999</v>
      </c>
      <c r="N735" s="2623">
        <v>182.40192400000001</v>
      </c>
      <c r="O735" s="2623">
        <v>182.77692400000001</v>
      </c>
      <c r="P735" s="2623">
        <v>185</v>
      </c>
      <c r="Q735" s="2623">
        <v>185.95235199999999</v>
      </c>
      <c r="R735" s="2631">
        <v>165</v>
      </c>
    </row>
    <row r="736" spans="1:18">
      <c r="A736" s="2615"/>
      <c r="B736" s="2618" t="s">
        <v>5600</v>
      </c>
      <c r="C736" s="2622" t="s">
        <v>5234</v>
      </c>
      <c r="D736" s="2623">
        <v>184.94</v>
      </c>
      <c r="E736" s="2623">
        <v>184.465</v>
      </c>
      <c r="F736" s="2623">
        <v>182.34192400000001</v>
      </c>
      <c r="G736" s="2623">
        <v>182.161924</v>
      </c>
      <c r="H736" s="2623">
        <v>180.609872</v>
      </c>
      <c r="I736" s="2623">
        <v>179.697824</v>
      </c>
      <c r="J736" s="2623"/>
      <c r="K736" s="2623"/>
      <c r="L736" s="2623"/>
      <c r="M736" s="2623"/>
      <c r="N736" s="2623"/>
      <c r="O736" s="2623"/>
      <c r="P736" s="2623"/>
      <c r="Q736" s="2623"/>
      <c r="R736" s="2631"/>
    </row>
    <row r="737" spans="1:18">
      <c r="A737" s="2615"/>
      <c r="B737" s="2618" t="s">
        <v>5601</v>
      </c>
      <c r="C737" s="2622" t="s">
        <v>5232</v>
      </c>
      <c r="D737" s="2623">
        <v>184.952</v>
      </c>
      <c r="E737" s="2623">
        <v>184.577</v>
      </c>
      <c r="F737" s="2623">
        <v>183.003443</v>
      </c>
      <c r="G737" s="2623">
        <v>182.753443</v>
      </c>
      <c r="H737" s="2623">
        <v>181.70440400000001</v>
      </c>
      <c r="I737" s="2623">
        <v>180.90536800000001</v>
      </c>
      <c r="J737" s="2623"/>
      <c r="K737" s="2623" t="s">
        <v>5233</v>
      </c>
      <c r="L737" s="2623">
        <v>181.75240400000001</v>
      </c>
      <c r="M737" s="2623">
        <v>182.25240400000001</v>
      </c>
      <c r="N737" s="2623">
        <v>183.05144300000001</v>
      </c>
      <c r="O737" s="2623">
        <v>183.38644300000001</v>
      </c>
      <c r="P737" s="2623">
        <v>185</v>
      </c>
      <c r="Q737" s="2623">
        <v>185.76801399999999</v>
      </c>
      <c r="R737" s="2631">
        <v>165</v>
      </c>
    </row>
    <row r="738" spans="1:18">
      <c r="A738" s="2615"/>
      <c r="B738" s="2618" t="s">
        <v>5601</v>
      </c>
      <c r="C738" s="2622" t="s">
        <v>5234</v>
      </c>
      <c r="D738" s="2623">
        <v>184.952</v>
      </c>
      <c r="E738" s="2623">
        <v>184.577</v>
      </c>
      <c r="F738" s="2623">
        <v>183.003443</v>
      </c>
      <c r="G738" s="2623">
        <v>182.84344300000001</v>
      </c>
      <c r="H738" s="2623">
        <v>181.70440400000001</v>
      </c>
      <c r="I738" s="2623">
        <v>180.99536800000001</v>
      </c>
      <c r="J738" s="2623"/>
      <c r="K738" s="2623"/>
      <c r="L738" s="2623"/>
      <c r="M738" s="2623"/>
      <c r="N738" s="2623"/>
      <c r="O738" s="2623"/>
      <c r="P738" s="2623"/>
      <c r="Q738" s="2623"/>
      <c r="R738" s="2631"/>
    </row>
    <row r="739" spans="1:18">
      <c r="A739" s="2615"/>
      <c r="B739" s="2618" t="s">
        <v>5602</v>
      </c>
      <c r="C739" s="2622" t="s">
        <v>5232</v>
      </c>
      <c r="D739" s="2623">
        <v>184.96199999999999</v>
      </c>
      <c r="E739" s="2623">
        <v>184.68199999999999</v>
      </c>
      <c r="F739" s="2623">
        <v>183.66296199999999</v>
      </c>
      <c r="G739" s="2623">
        <v>183.450962</v>
      </c>
      <c r="H739" s="2623">
        <v>182.79693599999999</v>
      </c>
      <c r="I739" s="2623">
        <v>182.21891199999999</v>
      </c>
      <c r="J739" s="2623"/>
      <c r="K739" s="2623" t="s">
        <v>5233</v>
      </c>
      <c r="L739" s="2623">
        <v>182.834936</v>
      </c>
      <c r="M739" s="2623">
        <v>183.209936</v>
      </c>
      <c r="N739" s="2623">
        <v>183.700962</v>
      </c>
      <c r="O739" s="2623">
        <v>183.98080200000001</v>
      </c>
      <c r="P739" s="2623">
        <v>185</v>
      </c>
      <c r="Q739" s="2623">
        <v>185.56851599999999</v>
      </c>
      <c r="R739" s="2631">
        <v>165</v>
      </c>
    </row>
    <row r="740" spans="1:18">
      <c r="A740" s="2615"/>
      <c r="B740" s="2618" t="s">
        <v>5602</v>
      </c>
      <c r="C740" s="2622" t="s">
        <v>5234</v>
      </c>
      <c r="D740" s="2623">
        <v>184.96199999999999</v>
      </c>
      <c r="E740" s="2623">
        <v>184.68199999999999</v>
      </c>
      <c r="F740" s="2623">
        <v>183.66296199999999</v>
      </c>
      <c r="G740" s="2623">
        <v>183.53096199999999</v>
      </c>
      <c r="H740" s="2623">
        <v>182.79693599999999</v>
      </c>
      <c r="I740" s="2623">
        <v>182.298912</v>
      </c>
      <c r="J740" s="2623"/>
      <c r="K740" s="2623"/>
      <c r="L740" s="2623"/>
      <c r="M740" s="2623"/>
      <c r="N740" s="2623"/>
      <c r="O740" s="2623"/>
      <c r="P740" s="2623"/>
      <c r="Q740" s="2623"/>
      <c r="R740" s="2631"/>
    </row>
    <row r="741" spans="1:18">
      <c r="A741" s="2615">
        <v>190</v>
      </c>
      <c r="B741" s="2618" t="s">
        <v>5603</v>
      </c>
      <c r="C741" s="2622" t="s">
        <v>5232</v>
      </c>
      <c r="D741" s="2623">
        <v>189.9</v>
      </c>
      <c r="E741" s="2623">
        <v>189.19</v>
      </c>
      <c r="F741" s="2623">
        <v>184.70384799999999</v>
      </c>
      <c r="G741" s="2623">
        <v>184.348848</v>
      </c>
      <c r="H741" s="2623">
        <v>181.239744</v>
      </c>
      <c r="I741" s="2623">
        <v>179.420648</v>
      </c>
      <c r="J741" s="2623"/>
      <c r="K741" s="2623" t="s">
        <v>5233</v>
      </c>
      <c r="L741" s="2623">
        <v>181.339744</v>
      </c>
      <c r="M741" s="2623">
        <v>182.339744</v>
      </c>
      <c r="N741" s="2623">
        <v>184.80384799999999</v>
      </c>
      <c r="O741" s="2623">
        <v>185.27884800000001</v>
      </c>
      <c r="P741" s="2623">
        <v>190</v>
      </c>
      <c r="Q741" s="2623">
        <v>191.629704</v>
      </c>
      <c r="R741" s="2631">
        <v>171</v>
      </c>
    </row>
    <row r="742" spans="1:18">
      <c r="A742" s="2615"/>
      <c r="B742" s="2618" t="s">
        <v>5603</v>
      </c>
      <c r="C742" s="2622" t="s">
        <v>5234</v>
      </c>
      <c r="D742" s="2623">
        <v>189.9</v>
      </c>
      <c r="E742" s="2623">
        <v>189.19</v>
      </c>
      <c r="F742" s="2623">
        <v>184.70384799999999</v>
      </c>
      <c r="G742" s="2623">
        <v>184.479848</v>
      </c>
      <c r="H742" s="2623">
        <v>181.239744</v>
      </c>
      <c r="I742" s="2623">
        <v>179.551648</v>
      </c>
      <c r="J742" s="2623"/>
      <c r="K742" s="2623"/>
      <c r="L742" s="2623"/>
      <c r="M742" s="2623"/>
      <c r="N742" s="2623"/>
      <c r="O742" s="2623"/>
      <c r="P742" s="2623"/>
      <c r="Q742" s="2623"/>
      <c r="R742" s="2631"/>
    </row>
    <row r="743" spans="1:18">
      <c r="A743" s="2615"/>
      <c r="B743" s="2618" t="s">
        <v>5604</v>
      </c>
      <c r="C743" s="2622" t="s">
        <v>5232</v>
      </c>
      <c r="D743" s="2623">
        <v>189.92</v>
      </c>
      <c r="E743" s="2623">
        <v>189.32</v>
      </c>
      <c r="F743" s="2623">
        <v>186.022886</v>
      </c>
      <c r="G743" s="2623">
        <v>185.707886</v>
      </c>
      <c r="H743" s="2623">
        <v>183.42480800000001</v>
      </c>
      <c r="I743" s="2623">
        <v>182.01173600000001</v>
      </c>
      <c r="J743" s="2623"/>
      <c r="K743" s="2623" t="s">
        <v>5233</v>
      </c>
      <c r="L743" s="2623">
        <v>183.504808</v>
      </c>
      <c r="M743" s="2623">
        <v>184.30480800000001</v>
      </c>
      <c r="N743" s="2623">
        <v>186.10288600000001</v>
      </c>
      <c r="O743" s="2623">
        <v>186.527886</v>
      </c>
      <c r="P743" s="2623">
        <v>190</v>
      </c>
      <c r="Q743" s="2623">
        <v>191.29102800000001</v>
      </c>
      <c r="R743" s="2631">
        <v>171</v>
      </c>
    </row>
    <row r="744" spans="1:18">
      <c r="A744" s="2615"/>
      <c r="B744" s="2618" t="s">
        <v>5604</v>
      </c>
      <c r="C744" s="2622" t="s">
        <v>5234</v>
      </c>
      <c r="D744" s="2623">
        <v>189.92</v>
      </c>
      <c r="E744" s="2623">
        <v>189.32</v>
      </c>
      <c r="F744" s="2623">
        <v>186.022886</v>
      </c>
      <c r="G744" s="2623">
        <v>185.82288600000001</v>
      </c>
      <c r="H744" s="2623">
        <v>183.42480800000001</v>
      </c>
      <c r="I744" s="2623">
        <v>182.12673599999999</v>
      </c>
      <c r="J744" s="2623"/>
      <c r="K744" s="2623"/>
      <c r="L744" s="2623"/>
      <c r="M744" s="2623"/>
      <c r="N744" s="2623"/>
      <c r="O744" s="2623"/>
      <c r="P744" s="2623"/>
      <c r="Q744" s="2623"/>
      <c r="R744" s="2631"/>
    </row>
    <row r="745" spans="1:18">
      <c r="A745" s="2615"/>
      <c r="B745" s="2618" t="s">
        <v>5605</v>
      </c>
      <c r="C745" s="2622" t="s">
        <v>5232</v>
      </c>
      <c r="D745" s="2623">
        <v>189.94</v>
      </c>
      <c r="E745" s="2623">
        <v>189.465</v>
      </c>
      <c r="F745" s="2623">
        <v>187.34192400000001</v>
      </c>
      <c r="G745" s="2623">
        <v>187.061924</v>
      </c>
      <c r="H745" s="2623">
        <v>185.609872</v>
      </c>
      <c r="I745" s="2623">
        <v>184.597824</v>
      </c>
      <c r="J745" s="2623"/>
      <c r="K745" s="2623" t="s">
        <v>5233</v>
      </c>
      <c r="L745" s="2623">
        <v>185.669872</v>
      </c>
      <c r="M745" s="2623">
        <v>186.26987199999999</v>
      </c>
      <c r="N745" s="2623">
        <v>187.40192400000001</v>
      </c>
      <c r="O745" s="2623">
        <v>187.77692400000001</v>
      </c>
      <c r="P745" s="2623">
        <v>190</v>
      </c>
      <c r="Q745" s="2623">
        <v>190.95235199999999</v>
      </c>
      <c r="R745" s="2631">
        <v>171</v>
      </c>
    </row>
    <row r="746" spans="1:18">
      <c r="A746" s="2615"/>
      <c r="B746" s="2618" t="s">
        <v>5605</v>
      </c>
      <c r="C746" s="2622" t="s">
        <v>5234</v>
      </c>
      <c r="D746" s="2623">
        <v>189.94</v>
      </c>
      <c r="E746" s="2623">
        <v>189.465</v>
      </c>
      <c r="F746" s="2623">
        <v>187.34192400000001</v>
      </c>
      <c r="G746" s="2623">
        <v>187.161924</v>
      </c>
      <c r="H746" s="2623">
        <v>185.609872</v>
      </c>
      <c r="I746" s="2623">
        <v>184.697824</v>
      </c>
      <c r="J746" s="2623"/>
      <c r="K746" s="2623"/>
      <c r="L746" s="2623"/>
      <c r="M746" s="2623"/>
      <c r="N746" s="2623"/>
      <c r="O746" s="2623"/>
      <c r="P746" s="2623"/>
      <c r="Q746" s="2623"/>
      <c r="R746" s="2631"/>
    </row>
    <row r="747" spans="1:18">
      <c r="A747" s="2615"/>
      <c r="B747" s="2622" t="s">
        <v>5606</v>
      </c>
      <c r="C747" s="2622" t="s">
        <v>5232</v>
      </c>
      <c r="D747" s="2623">
        <v>189.952</v>
      </c>
      <c r="E747" s="2623">
        <v>189.577</v>
      </c>
      <c r="F747" s="2623">
        <v>188.00299999999999</v>
      </c>
      <c r="G747" s="2623">
        <v>187.75299999999999</v>
      </c>
      <c r="H747" s="2623">
        <v>186.70400000000001</v>
      </c>
      <c r="I747" s="2623">
        <v>185.905</v>
      </c>
      <c r="J747" s="2623"/>
      <c r="K747" s="2623" t="s">
        <v>5233</v>
      </c>
      <c r="L747" s="2623">
        <v>186.75200000000001</v>
      </c>
      <c r="M747" s="2623">
        <v>187.25200000000001</v>
      </c>
      <c r="N747" s="2623">
        <v>188.05099999999999</v>
      </c>
      <c r="O747" s="2623">
        <v>188.386</v>
      </c>
      <c r="P747" s="2623">
        <v>190</v>
      </c>
      <c r="Q747" s="2623">
        <v>190.768</v>
      </c>
      <c r="R747" s="2631">
        <v>171</v>
      </c>
    </row>
    <row r="748" spans="1:18">
      <c r="A748" s="2615"/>
      <c r="B748" s="2622" t="s">
        <v>5606</v>
      </c>
      <c r="C748" s="2622" t="s">
        <v>5234</v>
      </c>
      <c r="D748" s="2623">
        <v>189.952</v>
      </c>
      <c r="E748" s="2623">
        <v>189.577</v>
      </c>
      <c r="F748" s="2623">
        <v>188.00299999999999</v>
      </c>
      <c r="G748" s="2623">
        <v>187.84299999999999</v>
      </c>
      <c r="H748" s="2623">
        <v>186.70400000000001</v>
      </c>
      <c r="I748" s="2623">
        <v>185.995</v>
      </c>
      <c r="J748" s="2623"/>
      <c r="K748" s="2623"/>
      <c r="L748" s="2623"/>
      <c r="M748" s="2623"/>
      <c r="N748" s="2623"/>
      <c r="O748" s="2623"/>
      <c r="P748" s="2623"/>
      <c r="Q748" s="2623"/>
      <c r="R748" s="2631"/>
    </row>
    <row r="749" spans="1:18">
      <c r="A749" s="2615"/>
      <c r="B749" s="2618" t="s">
        <v>5607</v>
      </c>
      <c r="C749" s="2622" t="s">
        <v>5232</v>
      </c>
      <c r="D749" s="2623">
        <v>189.96199999999999</v>
      </c>
      <c r="E749" s="2623">
        <v>189.68199999999999</v>
      </c>
      <c r="F749" s="2623">
        <v>188.66296199999999</v>
      </c>
      <c r="G749" s="2623">
        <v>188.450962</v>
      </c>
      <c r="H749" s="2623">
        <v>187.79693599999999</v>
      </c>
      <c r="I749" s="2623">
        <v>187.21891199999999</v>
      </c>
      <c r="J749" s="2623"/>
      <c r="K749" s="2623" t="s">
        <v>5233</v>
      </c>
      <c r="L749" s="2623">
        <v>187.834936</v>
      </c>
      <c r="M749" s="2623">
        <v>188.209936</v>
      </c>
      <c r="N749" s="2623">
        <v>188.700962</v>
      </c>
      <c r="O749" s="2623">
        <v>188.98080200000001</v>
      </c>
      <c r="P749" s="2623">
        <v>190</v>
      </c>
      <c r="Q749" s="2623">
        <v>190.56851599999999</v>
      </c>
      <c r="R749" s="2631">
        <v>171</v>
      </c>
    </row>
    <row r="750" spans="1:18">
      <c r="A750" s="2615"/>
      <c r="B750" s="2618" t="s">
        <v>5607</v>
      </c>
      <c r="C750" s="2622" t="s">
        <v>5234</v>
      </c>
      <c r="D750" s="2623">
        <v>189.96199999999999</v>
      </c>
      <c r="E750" s="2623">
        <v>189.68199999999999</v>
      </c>
      <c r="F750" s="2623">
        <v>188.66296199999999</v>
      </c>
      <c r="G750" s="2623">
        <v>188.53096199999999</v>
      </c>
      <c r="H750" s="2623">
        <v>187.79693599999999</v>
      </c>
      <c r="I750" s="2623">
        <v>187.298912</v>
      </c>
      <c r="J750" s="2623"/>
      <c r="K750" s="2623"/>
      <c r="L750" s="2623"/>
      <c r="M750" s="2623"/>
      <c r="N750" s="2623"/>
      <c r="O750" s="2623"/>
      <c r="P750" s="2623"/>
      <c r="Q750" s="2623"/>
      <c r="R750" s="2631"/>
    </row>
    <row r="751" spans="1:18">
      <c r="A751" s="2615">
        <v>195</v>
      </c>
      <c r="B751" s="2618" t="s">
        <v>5608</v>
      </c>
      <c r="C751" s="2622" t="s">
        <v>5232</v>
      </c>
      <c r="D751" s="2623">
        <v>194.92</v>
      </c>
      <c r="E751" s="2623">
        <v>194.32</v>
      </c>
      <c r="F751" s="2623">
        <v>191.022886</v>
      </c>
      <c r="G751" s="2623">
        <v>190.707886</v>
      </c>
      <c r="H751" s="2623">
        <v>188.42480800000001</v>
      </c>
      <c r="I751" s="2623">
        <v>187.01173600000001</v>
      </c>
      <c r="J751" s="2623"/>
      <c r="K751" s="2623" t="s">
        <v>5233</v>
      </c>
      <c r="L751" s="2623">
        <v>188.504808</v>
      </c>
      <c r="M751" s="2623">
        <v>189.30480800000001</v>
      </c>
      <c r="N751" s="2623">
        <v>191.10288600000001</v>
      </c>
      <c r="O751" s="2623">
        <v>191.527886</v>
      </c>
      <c r="P751" s="2623">
        <v>195</v>
      </c>
      <c r="Q751" s="2623">
        <v>196.29102800000001</v>
      </c>
      <c r="R751" s="2631">
        <v>175</v>
      </c>
    </row>
    <row r="752" spans="1:18">
      <c r="A752" s="2615"/>
      <c r="B752" s="2618" t="s">
        <v>5608</v>
      </c>
      <c r="C752" s="2622" t="s">
        <v>5234</v>
      </c>
      <c r="D752" s="2623">
        <v>194.92</v>
      </c>
      <c r="E752" s="2623">
        <v>194.32</v>
      </c>
      <c r="F752" s="2623">
        <v>191.022886</v>
      </c>
      <c r="G752" s="2623">
        <v>190.82288600000001</v>
      </c>
      <c r="H752" s="2623">
        <v>188.42480800000001</v>
      </c>
      <c r="I752" s="2623">
        <v>187.12673599999999</v>
      </c>
      <c r="J752" s="2623"/>
      <c r="K752" s="2623"/>
      <c r="L752" s="2623"/>
      <c r="M752" s="2623"/>
      <c r="N752" s="2623"/>
      <c r="O752" s="2623"/>
      <c r="P752" s="2623"/>
      <c r="Q752" s="2623"/>
      <c r="R752" s="2631"/>
    </row>
    <row r="753" spans="1:18">
      <c r="A753" s="2615"/>
      <c r="B753" s="2618" t="s">
        <v>5609</v>
      </c>
      <c r="C753" s="2622" t="s">
        <v>5232</v>
      </c>
      <c r="D753" s="2623">
        <v>194.94</v>
      </c>
      <c r="E753" s="2623">
        <v>194.465</v>
      </c>
      <c r="F753" s="2623">
        <v>192.34192400000001</v>
      </c>
      <c r="G753" s="2623">
        <v>192.061924</v>
      </c>
      <c r="H753" s="2623">
        <v>190.609872</v>
      </c>
      <c r="I753" s="2623">
        <v>189.597824</v>
      </c>
      <c r="J753" s="2623"/>
      <c r="K753" s="2623" t="s">
        <v>5233</v>
      </c>
      <c r="L753" s="2623">
        <v>190.669872</v>
      </c>
      <c r="M753" s="2623">
        <v>191.26987199999999</v>
      </c>
      <c r="N753" s="2623">
        <v>192.40192400000001</v>
      </c>
      <c r="O753" s="2623">
        <v>192.77692400000001</v>
      </c>
      <c r="P753" s="2623">
        <v>195</v>
      </c>
      <c r="Q753" s="2623">
        <v>195.95235199999999</v>
      </c>
      <c r="R753" s="2631">
        <v>175</v>
      </c>
    </row>
    <row r="754" spans="1:18">
      <c r="A754" s="2615"/>
      <c r="B754" s="2618" t="s">
        <v>5609</v>
      </c>
      <c r="C754" s="2622" t="s">
        <v>5234</v>
      </c>
      <c r="D754" s="2623">
        <v>194.94</v>
      </c>
      <c r="E754" s="2623">
        <v>194.465</v>
      </c>
      <c r="F754" s="2623">
        <v>192.34192400000001</v>
      </c>
      <c r="G754" s="2623">
        <v>192.161924</v>
      </c>
      <c r="H754" s="2623">
        <v>190.609872</v>
      </c>
      <c r="I754" s="2623">
        <v>189.697824</v>
      </c>
      <c r="J754" s="2623"/>
      <c r="K754" s="2623"/>
      <c r="L754" s="2623"/>
      <c r="M754" s="2623"/>
      <c r="N754" s="2623"/>
      <c r="O754" s="2623"/>
      <c r="P754" s="2623"/>
      <c r="Q754" s="2623"/>
      <c r="R754" s="2631"/>
    </row>
    <row r="755" spans="1:18">
      <c r="A755" s="2615"/>
      <c r="B755" s="2618" t="s">
        <v>5610</v>
      </c>
      <c r="C755" s="2622" t="s">
        <v>5232</v>
      </c>
      <c r="D755" s="2623">
        <v>194.952</v>
      </c>
      <c r="E755" s="2623">
        <v>194.577</v>
      </c>
      <c r="F755" s="2623">
        <v>193.003443</v>
      </c>
      <c r="G755" s="2623">
        <v>192.753443</v>
      </c>
      <c r="H755" s="2623">
        <v>191.70440400000001</v>
      </c>
      <c r="I755" s="2623">
        <v>190.90536800000001</v>
      </c>
      <c r="J755" s="2623"/>
      <c r="K755" s="2623" t="s">
        <v>5233</v>
      </c>
      <c r="L755" s="2623">
        <v>191.75240400000001</v>
      </c>
      <c r="M755" s="2623">
        <v>192.25240400000001</v>
      </c>
      <c r="N755" s="2623">
        <v>193.05144300000001</v>
      </c>
      <c r="O755" s="2623">
        <v>193.38644300000001</v>
      </c>
      <c r="P755" s="2623">
        <v>195</v>
      </c>
      <c r="Q755" s="2623">
        <v>195.76801399999999</v>
      </c>
      <c r="R755" s="2631">
        <v>175</v>
      </c>
    </row>
    <row r="756" spans="1:18">
      <c r="A756" s="2615"/>
      <c r="B756" s="2618" t="s">
        <v>5610</v>
      </c>
      <c r="C756" s="2622" t="s">
        <v>5234</v>
      </c>
      <c r="D756" s="2623">
        <v>194.952</v>
      </c>
      <c r="E756" s="2623">
        <v>194.577</v>
      </c>
      <c r="F756" s="2623">
        <v>193.003443</v>
      </c>
      <c r="G756" s="2623">
        <v>192.84344300000001</v>
      </c>
      <c r="H756" s="2623">
        <v>191.70440400000001</v>
      </c>
      <c r="I756" s="2623">
        <v>190.99536800000001</v>
      </c>
      <c r="J756" s="2623"/>
      <c r="K756" s="2623"/>
      <c r="L756" s="2623"/>
      <c r="M756" s="2623"/>
      <c r="N756" s="2623"/>
      <c r="O756" s="2623"/>
      <c r="P756" s="2623"/>
      <c r="Q756" s="2623"/>
      <c r="R756" s="2631"/>
    </row>
    <row r="757" spans="1:18">
      <c r="A757" s="2615"/>
      <c r="B757" s="2618" t="s">
        <v>5611</v>
      </c>
      <c r="C757" s="2622" t="s">
        <v>5232</v>
      </c>
      <c r="D757" s="2623">
        <v>194.96199999999999</v>
      </c>
      <c r="E757" s="2623">
        <v>194.68199999999999</v>
      </c>
      <c r="F757" s="2623">
        <v>193.66296199999999</v>
      </c>
      <c r="G757" s="2623">
        <v>193.450962</v>
      </c>
      <c r="H757" s="2623">
        <v>192.79693599999999</v>
      </c>
      <c r="I757" s="2623">
        <v>192.21891199999999</v>
      </c>
      <c r="J757" s="2623"/>
      <c r="K757" s="2623" t="s">
        <v>5233</v>
      </c>
      <c r="L757" s="2623">
        <v>192.834936</v>
      </c>
      <c r="M757" s="2623">
        <v>193.209936</v>
      </c>
      <c r="N757" s="2623">
        <v>193.700962</v>
      </c>
      <c r="O757" s="2623">
        <v>193.98080200000001</v>
      </c>
      <c r="P757" s="2623">
        <v>195</v>
      </c>
      <c r="Q757" s="2623">
        <v>195.56851599999999</v>
      </c>
      <c r="R757" s="2631">
        <v>175</v>
      </c>
    </row>
    <row r="758" spans="1:18">
      <c r="A758" s="2615"/>
      <c r="B758" s="2618" t="s">
        <v>5611</v>
      </c>
      <c r="C758" s="2622" t="s">
        <v>5234</v>
      </c>
      <c r="D758" s="2623">
        <v>194.96199999999999</v>
      </c>
      <c r="E758" s="2623">
        <v>194.68199999999999</v>
      </c>
      <c r="F758" s="2623">
        <v>193.66296199999999</v>
      </c>
      <c r="G758" s="2623">
        <v>193.53096199999999</v>
      </c>
      <c r="H758" s="2623">
        <v>192.79693599999999</v>
      </c>
      <c r="I758" s="2623">
        <v>192.298912</v>
      </c>
      <c r="J758" s="2623"/>
      <c r="K758" s="2623"/>
      <c r="L758" s="2623"/>
      <c r="M758" s="2623"/>
      <c r="N758" s="2623"/>
      <c r="O758" s="2623"/>
      <c r="P758" s="2623"/>
      <c r="Q758" s="2623"/>
      <c r="R758" s="2631"/>
    </row>
    <row r="759" spans="1:18">
      <c r="A759" s="2615">
        <v>200</v>
      </c>
      <c r="B759" s="2618" t="s">
        <v>5612</v>
      </c>
      <c r="C759" s="2622" t="s">
        <v>5232</v>
      </c>
      <c r="D759" s="2623">
        <v>199.9</v>
      </c>
      <c r="E759" s="2623">
        <v>199.19</v>
      </c>
      <c r="F759" s="2623">
        <v>194.70384799999999</v>
      </c>
      <c r="G759" s="2623">
        <v>194.348848</v>
      </c>
      <c r="H759" s="2623">
        <v>191.239744</v>
      </c>
      <c r="I759" s="2623">
        <v>189.420648</v>
      </c>
      <c r="J759" s="2623"/>
      <c r="K759" s="2623" t="s">
        <v>5233</v>
      </c>
      <c r="L759" s="2623">
        <v>191.339744</v>
      </c>
      <c r="M759" s="2623">
        <v>192.339744</v>
      </c>
      <c r="N759" s="2623">
        <v>194.80384799999999</v>
      </c>
      <c r="O759" s="2623">
        <v>195.27884800000001</v>
      </c>
      <c r="P759" s="2623">
        <v>200</v>
      </c>
      <c r="Q759" s="2623">
        <v>201.629704</v>
      </c>
      <c r="R759" s="2631">
        <v>180</v>
      </c>
    </row>
    <row r="760" spans="1:18">
      <c r="A760" s="2615"/>
      <c r="B760" s="2618" t="s">
        <v>5612</v>
      </c>
      <c r="C760" s="2622" t="s">
        <v>5234</v>
      </c>
      <c r="D760" s="2623">
        <v>199.9</v>
      </c>
      <c r="E760" s="2623">
        <v>199.19</v>
      </c>
      <c r="F760" s="2623">
        <v>194.70384799999999</v>
      </c>
      <c r="G760" s="2623">
        <v>194.479848</v>
      </c>
      <c r="H760" s="2623">
        <v>191.239744</v>
      </c>
      <c r="I760" s="2623">
        <v>189.551648</v>
      </c>
      <c r="J760" s="2623"/>
      <c r="K760" s="2623"/>
      <c r="L760" s="2623"/>
      <c r="M760" s="2623"/>
      <c r="N760" s="2623"/>
      <c r="O760" s="2623"/>
      <c r="P760" s="2623"/>
      <c r="Q760" s="2623"/>
      <c r="R760" s="2631"/>
    </row>
    <row r="761" spans="1:18">
      <c r="A761" s="2615"/>
      <c r="B761" s="2618" t="s">
        <v>5613</v>
      </c>
      <c r="C761" s="2622" t="s">
        <v>5232</v>
      </c>
      <c r="D761" s="2623">
        <v>199.92</v>
      </c>
      <c r="E761" s="2623">
        <v>199.32</v>
      </c>
      <c r="F761" s="2623">
        <v>196.022886</v>
      </c>
      <c r="G761" s="2623">
        <v>195.707886</v>
      </c>
      <c r="H761" s="2623">
        <v>193.42480800000001</v>
      </c>
      <c r="I761" s="2623">
        <v>192.01173600000001</v>
      </c>
      <c r="J761" s="2623"/>
      <c r="K761" s="2623" t="s">
        <v>5233</v>
      </c>
      <c r="L761" s="2623">
        <v>193.504808</v>
      </c>
      <c r="M761" s="2623">
        <v>194.30480800000001</v>
      </c>
      <c r="N761" s="2623">
        <v>196.10288600000001</v>
      </c>
      <c r="O761" s="2623">
        <v>196.527886</v>
      </c>
      <c r="P761" s="2623">
        <v>200</v>
      </c>
      <c r="Q761" s="2623">
        <v>201.29102800000001</v>
      </c>
      <c r="R761" s="2631">
        <v>180</v>
      </c>
    </row>
    <row r="762" spans="1:18">
      <c r="A762" s="2615"/>
      <c r="B762" s="2618" t="s">
        <v>5613</v>
      </c>
      <c r="C762" s="2622" t="s">
        <v>5234</v>
      </c>
      <c r="D762" s="2623">
        <v>199.92</v>
      </c>
      <c r="E762" s="2623">
        <v>199.32</v>
      </c>
      <c r="F762" s="2623">
        <v>196.022886</v>
      </c>
      <c r="G762" s="2623">
        <v>195.82288600000001</v>
      </c>
      <c r="H762" s="2623">
        <v>193.42480800000001</v>
      </c>
      <c r="I762" s="2623">
        <v>192.12673599999999</v>
      </c>
      <c r="J762" s="2623"/>
      <c r="K762" s="2623"/>
      <c r="L762" s="2623"/>
      <c r="M762" s="2623"/>
      <c r="N762" s="2623"/>
      <c r="O762" s="2623"/>
      <c r="P762" s="2623"/>
      <c r="Q762" s="2623"/>
      <c r="R762" s="2631"/>
    </row>
    <row r="763" spans="1:18">
      <c r="A763" s="2615"/>
      <c r="B763" s="2618" t="s">
        <v>5614</v>
      </c>
      <c r="C763" s="2622" t="s">
        <v>5232</v>
      </c>
      <c r="D763" s="2623">
        <v>199.94</v>
      </c>
      <c r="E763" s="2623">
        <v>199.465</v>
      </c>
      <c r="F763" s="2623">
        <v>197.34192400000001</v>
      </c>
      <c r="G763" s="2623">
        <v>197.061924</v>
      </c>
      <c r="H763" s="2623">
        <v>195.609872</v>
      </c>
      <c r="I763" s="2623">
        <v>194.597824</v>
      </c>
      <c r="J763" s="2623"/>
      <c r="K763" s="2623" t="s">
        <v>5233</v>
      </c>
      <c r="L763" s="2623">
        <v>195.669872</v>
      </c>
      <c r="M763" s="2623">
        <v>196.26987199999999</v>
      </c>
      <c r="N763" s="2623">
        <v>197.40192400000001</v>
      </c>
      <c r="O763" s="2623">
        <v>197.77692400000001</v>
      </c>
      <c r="P763" s="2623">
        <v>200</v>
      </c>
      <c r="Q763" s="2623">
        <v>200.95235199999999</v>
      </c>
      <c r="R763" s="2631">
        <v>180</v>
      </c>
    </row>
    <row r="764" spans="1:18">
      <c r="A764" s="2615"/>
      <c r="B764" s="2618" t="s">
        <v>5614</v>
      </c>
      <c r="C764" s="2622" t="s">
        <v>5234</v>
      </c>
      <c r="D764" s="2623">
        <v>199.94</v>
      </c>
      <c r="E764" s="2623">
        <v>199.465</v>
      </c>
      <c r="F764" s="2623">
        <v>197.34192400000001</v>
      </c>
      <c r="G764" s="2623">
        <v>197.161924</v>
      </c>
      <c r="H764" s="2623">
        <v>195.609872</v>
      </c>
      <c r="I764" s="2623">
        <v>194.697824</v>
      </c>
      <c r="J764" s="2623"/>
      <c r="K764" s="2623"/>
      <c r="L764" s="2623"/>
      <c r="M764" s="2623"/>
      <c r="N764" s="2623"/>
      <c r="O764" s="2623"/>
      <c r="P764" s="2623"/>
      <c r="Q764" s="2623"/>
      <c r="R764" s="2631"/>
    </row>
    <row r="765" spans="1:18">
      <c r="A765" s="2615"/>
      <c r="B765" s="2622" t="s">
        <v>5615</v>
      </c>
      <c r="C765" s="2622" t="s">
        <v>5232</v>
      </c>
      <c r="D765" s="2623">
        <v>199.952</v>
      </c>
      <c r="E765" s="2623">
        <v>199.577</v>
      </c>
      <c r="F765" s="2623">
        <v>198.00299999999999</v>
      </c>
      <c r="G765" s="2623">
        <v>197.75299999999999</v>
      </c>
      <c r="H765" s="2623">
        <v>196.70400000000001</v>
      </c>
      <c r="I765" s="2623">
        <v>195.905</v>
      </c>
      <c r="J765" s="2623"/>
      <c r="K765" s="2623" t="s">
        <v>5233</v>
      </c>
      <c r="L765" s="2623">
        <v>196.75200000000001</v>
      </c>
      <c r="M765" s="2623">
        <v>197.25200000000001</v>
      </c>
      <c r="N765" s="2623">
        <v>198.05099999999999</v>
      </c>
      <c r="O765" s="2623">
        <v>198.386</v>
      </c>
      <c r="P765" s="2623">
        <v>200</v>
      </c>
      <c r="Q765" s="2623">
        <v>200.768</v>
      </c>
      <c r="R765" s="2631">
        <v>180</v>
      </c>
    </row>
    <row r="766" spans="1:18">
      <c r="A766" s="2615"/>
      <c r="B766" s="2622" t="s">
        <v>5615</v>
      </c>
      <c r="C766" s="2622" t="s">
        <v>5234</v>
      </c>
      <c r="D766" s="2623">
        <v>199.952</v>
      </c>
      <c r="E766" s="2623">
        <v>199.577</v>
      </c>
      <c r="F766" s="2623">
        <v>198.00299999999999</v>
      </c>
      <c r="G766" s="2623">
        <v>197.84299999999999</v>
      </c>
      <c r="H766" s="2623">
        <v>196.70400000000001</v>
      </c>
      <c r="I766" s="2623">
        <v>195.995</v>
      </c>
      <c r="J766" s="2623"/>
      <c r="K766" s="2623"/>
      <c r="L766" s="2623"/>
      <c r="M766" s="2623"/>
      <c r="N766" s="2623"/>
      <c r="O766" s="2623"/>
      <c r="P766" s="2623"/>
      <c r="Q766" s="2623"/>
      <c r="R766" s="2631"/>
    </row>
    <row r="767" spans="1:18">
      <c r="A767" s="2615"/>
      <c r="B767" s="2618" t="s">
        <v>5616</v>
      </c>
      <c r="C767" s="2616" t="s">
        <v>5232</v>
      </c>
      <c r="D767" s="2623">
        <v>199.96199999999999</v>
      </c>
      <c r="E767" s="2623">
        <v>199.68199999999999</v>
      </c>
      <c r="F767" s="2623">
        <v>198.66296199999999</v>
      </c>
      <c r="G767" s="2623">
        <v>198.450962</v>
      </c>
      <c r="H767" s="2623">
        <v>197.79693599999999</v>
      </c>
      <c r="I767" s="2623">
        <v>197.21891199999999</v>
      </c>
      <c r="J767" s="2623"/>
      <c r="K767" s="2623" t="s">
        <v>5233</v>
      </c>
      <c r="L767" s="2623">
        <v>197.834936</v>
      </c>
      <c r="M767" s="2623">
        <v>198.209936</v>
      </c>
      <c r="N767" s="2623">
        <v>198.700962</v>
      </c>
      <c r="O767" s="2623">
        <v>198.98080200000001</v>
      </c>
      <c r="P767" s="2623">
        <v>200</v>
      </c>
      <c r="Q767" s="2623">
        <v>200.56851599999999</v>
      </c>
      <c r="R767" s="2631">
        <v>180</v>
      </c>
    </row>
    <row r="768" spans="1:18">
      <c r="A768" s="2615"/>
      <c r="B768" s="2618" t="s">
        <v>5616</v>
      </c>
      <c r="C768" s="2616" t="s">
        <v>5234</v>
      </c>
      <c r="D768" s="2623">
        <v>199.96199999999999</v>
      </c>
      <c r="E768" s="2623">
        <v>199.68199999999999</v>
      </c>
      <c r="F768" s="2623">
        <v>198.66296199999999</v>
      </c>
      <c r="G768" s="2623">
        <v>198.53096199999999</v>
      </c>
      <c r="H768" s="2623">
        <v>197.79693599999999</v>
      </c>
      <c r="I768" s="2623">
        <v>197.298912</v>
      </c>
      <c r="J768" s="2623"/>
      <c r="K768" s="2623"/>
      <c r="L768" s="2623"/>
      <c r="M768" s="2623"/>
      <c r="N768" s="2623"/>
      <c r="O768" s="2623"/>
      <c r="P768" s="2623"/>
      <c r="Q768" s="2623"/>
      <c r="R768" s="2631"/>
    </row>
    <row r="769" spans="1:18">
      <c r="A769" s="2615">
        <v>205</v>
      </c>
      <c r="B769" s="2618" t="s">
        <v>5617</v>
      </c>
      <c r="C769" s="2616" t="s">
        <v>5232</v>
      </c>
      <c r="D769" s="2623">
        <v>204.92</v>
      </c>
      <c r="E769" s="2623">
        <v>204.32</v>
      </c>
      <c r="F769" s="2623">
        <v>201.022886</v>
      </c>
      <c r="G769" s="2623">
        <v>200.707886</v>
      </c>
      <c r="H769" s="2623">
        <v>198.42480800000001</v>
      </c>
      <c r="I769" s="2623">
        <v>197.01173600000001</v>
      </c>
      <c r="J769" s="2623"/>
      <c r="K769" s="2623" t="s">
        <v>5233</v>
      </c>
      <c r="L769" s="2623">
        <v>198.504808</v>
      </c>
      <c r="M769" s="2623">
        <v>199.30480800000001</v>
      </c>
      <c r="N769" s="2623">
        <v>201.10288600000001</v>
      </c>
      <c r="O769" s="2623">
        <v>201.527886</v>
      </c>
      <c r="P769" s="2623">
        <v>205</v>
      </c>
      <c r="Q769" s="2623">
        <v>206.29102800000001</v>
      </c>
      <c r="R769" s="2631">
        <v>185</v>
      </c>
    </row>
    <row r="770" spans="1:18">
      <c r="A770" s="2615"/>
      <c r="B770" s="2618" t="s">
        <v>5617</v>
      </c>
      <c r="C770" s="2616" t="s">
        <v>5234</v>
      </c>
      <c r="D770" s="2623">
        <v>204.92</v>
      </c>
      <c r="E770" s="2623">
        <v>204.32</v>
      </c>
      <c r="F770" s="2623">
        <v>201.022886</v>
      </c>
      <c r="G770" s="2623">
        <v>200.82288600000001</v>
      </c>
      <c r="H770" s="2623">
        <v>198.42480800000001</v>
      </c>
      <c r="I770" s="2623">
        <v>197.12673599999999</v>
      </c>
      <c r="J770" s="2623"/>
      <c r="K770" s="2623"/>
      <c r="L770" s="2623"/>
      <c r="M770" s="2623"/>
      <c r="N770" s="2623"/>
      <c r="O770" s="2623"/>
      <c r="P770" s="2623"/>
      <c r="Q770" s="2623"/>
      <c r="R770" s="2631"/>
    </row>
    <row r="771" spans="1:18">
      <c r="A771" s="2615"/>
      <c r="B771" s="2618" t="s">
        <v>5618</v>
      </c>
      <c r="C771" s="2616" t="s">
        <v>5232</v>
      </c>
      <c r="D771" s="2623">
        <v>204.94</v>
      </c>
      <c r="E771" s="2623">
        <v>204.465</v>
      </c>
      <c r="F771" s="2623">
        <v>202.34192400000001</v>
      </c>
      <c r="G771" s="2623">
        <v>202.061924</v>
      </c>
      <c r="H771" s="2623">
        <v>200.609872</v>
      </c>
      <c r="I771" s="2623">
        <v>199.597824</v>
      </c>
      <c r="J771" s="2623"/>
      <c r="K771" s="2623" t="s">
        <v>5233</v>
      </c>
      <c r="L771" s="2623">
        <v>200.669872</v>
      </c>
      <c r="M771" s="2623">
        <v>201.26987199999999</v>
      </c>
      <c r="N771" s="2623">
        <v>202.40192400000001</v>
      </c>
      <c r="O771" s="2623">
        <v>202.77692400000001</v>
      </c>
      <c r="P771" s="2623">
        <v>205</v>
      </c>
      <c r="Q771" s="2623">
        <v>205.95235199999999</v>
      </c>
      <c r="R771" s="2631">
        <v>185</v>
      </c>
    </row>
    <row r="772" spans="1:18">
      <c r="A772" s="2615"/>
      <c r="B772" s="2618" t="s">
        <v>5618</v>
      </c>
      <c r="C772" s="2616" t="s">
        <v>5234</v>
      </c>
      <c r="D772" s="2623">
        <v>204.94</v>
      </c>
      <c r="E772" s="2623">
        <v>204.465</v>
      </c>
      <c r="F772" s="2623">
        <v>202.34192400000001</v>
      </c>
      <c r="G772" s="2623">
        <v>202.161924</v>
      </c>
      <c r="H772" s="2623">
        <v>200.609872</v>
      </c>
      <c r="I772" s="2623">
        <v>199.697824</v>
      </c>
      <c r="J772" s="2623"/>
      <c r="K772" s="2623"/>
      <c r="L772" s="2623"/>
      <c r="M772" s="2623"/>
      <c r="N772" s="2623"/>
      <c r="O772" s="2623"/>
      <c r="P772" s="2623"/>
      <c r="Q772" s="2623"/>
      <c r="R772" s="2631"/>
    </row>
    <row r="773" spans="1:18">
      <c r="A773" s="2615"/>
      <c r="B773" s="2618" t="s">
        <v>5619</v>
      </c>
      <c r="C773" s="2616" t="s">
        <v>5232</v>
      </c>
      <c r="D773" s="2623">
        <v>204.952</v>
      </c>
      <c r="E773" s="2623">
        <v>204.577</v>
      </c>
      <c r="F773" s="2623">
        <v>203.003443</v>
      </c>
      <c r="G773" s="2623">
        <v>202.753443</v>
      </c>
      <c r="H773" s="2623">
        <v>201.70440400000001</v>
      </c>
      <c r="I773" s="2623">
        <v>200.90536800000001</v>
      </c>
      <c r="J773" s="2623"/>
      <c r="K773" s="2623" t="s">
        <v>5233</v>
      </c>
      <c r="L773" s="2623">
        <v>201.75240400000001</v>
      </c>
      <c r="M773" s="2623">
        <v>202.25240400000001</v>
      </c>
      <c r="N773" s="2623">
        <v>203.05144300000001</v>
      </c>
      <c r="O773" s="2623">
        <v>203.38644300000001</v>
      </c>
      <c r="P773" s="2623">
        <v>205</v>
      </c>
      <c r="Q773" s="2623">
        <v>205.76801399999999</v>
      </c>
      <c r="R773" s="2631">
        <v>185</v>
      </c>
    </row>
    <row r="774" spans="1:18">
      <c r="A774" s="2615"/>
      <c r="B774" s="2618" t="s">
        <v>5619</v>
      </c>
      <c r="C774" s="2616" t="s">
        <v>5234</v>
      </c>
      <c r="D774" s="2623">
        <v>204.952</v>
      </c>
      <c r="E774" s="2623">
        <v>204.577</v>
      </c>
      <c r="F774" s="2623">
        <v>203.003443</v>
      </c>
      <c r="G774" s="2623">
        <v>202.84344300000001</v>
      </c>
      <c r="H774" s="2623">
        <v>201.70440400000001</v>
      </c>
      <c r="I774" s="2623">
        <v>200.99536800000001</v>
      </c>
      <c r="J774" s="2623"/>
      <c r="K774" s="2623"/>
      <c r="L774" s="2623"/>
      <c r="M774" s="2623"/>
      <c r="N774" s="2623"/>
      <c r="O774" s="2623"/>
      <c r="P774" s="2623"/>
      <c r="Q774" s="2623"/>
      <c r="R774" s="2631"/>
    </row>
    <row r="775" spans="1:18">
      <c r="A775" s="2615"/>
      <c r="B775" s="2618" t="s">
        <v>5620</v>
      </c>
      <c r="C775" s="2616" t="s">
        <v>5232</v>
      </c>
      <c r="D775" s="2623">
        <v>204.96199999999999</v>
      </c>
      <c r="E775" s="2623">
        <v>204.68199999999999</v>
      </c>
      <c r="F775" s="2623">
        <v>203.66296199999999</v>
      </c>
      <c r="G775" s="2623">
        <v>203.450962</v>
      </c>
      <c r="H775" s="2623">
        <v>202.79693599999999</v>
      </c>
      <c r="I775" s="2623">
        <v>202.21891199999999</v>
      </c>
      <c r="J775" s="2623"/>
      <c r="K775" s="2623" t="s">
        <v>5233</v>
      </c>
      <c r="L775" s="2623">
        <v>202.834936</v>
      </c>
      <c r="M775" s="2623">
        <v>203.209936</v>
      </c>
      <c r="N775" s="2623">
        <v>203.700962</v>
      </c>
      <c r="O775" s="2623">
        <v>203.98080200000001</v>
      </c>
      <c r="P775" s="2623">
        <v>205</v>
      </c>
      <c r="Q775" s="2623">
        <v>205.56851599999999</v>
      </c>
      <c r="R775" s="2631">
        <v>185</v>
      </c>
    </row>
    <row r="776" spans="1:18">
      <c r="A776" s="2615"/>
      <c r="B776" s="2618" t="s">
        <v>5620</v>
      </c>
      <c r="C776" s="2616" t="s">
        <v>5234</v>
      </c>
      <c r="D776" s="2623">
        <v>204.96199999999999</v>
      </c>
      <c r="E776" s="2623">
        <v>204.68199999999999</v>
      </c>
      <c r="F776" s="2623">
        <v>203.66296199999999</v>
      </c>
      <c r="G776" s="2623">
        <v>203.53096199999999</v>
      </c>
      <c r="H776" s="2623">
        <v>202.79693599999999</v>
      </c>
      <c r="I776" s="2623">
        <v>202.298912</v>
      </c>
      <c r="J776" s="2623"/>
      <c r="K776" s="2623"/>
      <c r="L776" s="2623"/>
      <c r="M776" s="2623"/>
      <c r="N776" s="2623"/>
      <c r="O776" s="2623"/>
      <c r="P776" s="2623"/>
      <c r="Q776" s="2623"/>
      <c r="R776" s="2631"/>
    </row>
    <row r="777" spans="1:18">
      <c r="A777" s="2615">
        <v>210</v>
      </c>
      <c r="B777" s="2618" t="s">
        <v>5621</v>
      </c>
      <c r="C777" s="2616" t="s">
        <v>5232</v>
      </c>
      <c r="D777" s="2623">
        <v>209.9</v>
      </c>
      <c r="E777" s="2623">
        <v>209.19</v>
      </c>
      <c r="F777" s="2623">
        <v>204.70384799999999</v>
      </c>
      <c r="G777" s="2623">
        <v>204.348848</v>
      </c>
      <c r="H777" s="2623">
        <v>201.239744</v>
      </c>
      <c r="I777" s="2623">
        <v>199.420648</v>
      </c>
      <c r="J777" s="2623"/>
      <c r="K777" s="2623" t="s">
        <v>5233</v>
      </c>
      <c r="L777" s="2623">
        <v>201.339744</v>
      </c>
      <c r="M777" s="2623">
        <v>202.339744</v>
      </c>
      <c r="N777" s="2623">
        <v>204.80384799999999</v>
      </c>
      <c r="O777" s="2623">
        <v>205.27884800000001</v>
      </c>
      <c r="P777" s="2623">
        <v>210</v>
      </c>
      <c r="Q777" s="2623">
        <v>211.629704</v>
      </c>
      <c r="R777" s="2631">
        <v>190</v>
      </c>
    </row>
    <row r="778" spans="1:18">
      <c r="A778" s="2615"/>
      <c r="B778" s="2618" t="s">
        <v>5621</v>
      </c>
      <c r="C778" s="2616" t="s">
        <v>5234</v>
      </c>
      <c r="D778" s="2623">
        <v>209.9</v>
      </c>
      <c r="E778" s="2623">
        <v>209.19</v>
      </c>
      <c r="F778" s="2623">
        <v>204.70384799999999</v>
      </c>
      <c r="G778" s="2623">
        <v>204.479848</v>
      </c>
      <c r="H778" s="2623">
        <v>201.239744</v>
      </c>
      <c r="I778" s="2623">
        <v>199.551648</v>
      </c>
      <c r="J778" s="2623"/>
      <c r="K778" s="2623"/>
      <c r="L778" s="2623"/>
      <c r="M778" s="2623"/>
      <c r="N778" s="2623"/>
      <c r="O778" s="2623"/>
      <c r="P778" s="2623"/>
      <c r="Q778" s="2623"/>
      <c r="R778" s="2631"/>
    </row>
    <row r="779" spans="1:18">
      <c r="A779" s="2615"/>
      <c r="B779" s="2618" t="s">
        <v>5622</v>
      </c>
      <c r="C779" s="2616" t="s">
        <v>5232</v>
      </c>
      <c r="D779" s="2623">
        <v>209.92</v>
      </c>
      <c r="E779" s="2623">
        <v>209.32</v>
      </c>
      <c r="F779" s="2623">
        <v>206.022886</v>
      </c>
      <c r="G779" s="2623">
        <v>205.707886</v>
      </c>
      <c r="H779" s="2623">
        <v>203.42480800000001</v>
      </c>
      <c r="I779" s="2623">
        <v>202.01173600000001</v>
      </c>
      <c r="J779" s="2623"/>
      <c r="K779" s="2623" t="s">
        <v>5233</v>
      </c>
      <c r="L779" s="2623">
        <v>203.504808</v>
      </c>
      <c r="M779" s="2623">
        <v>204.30480800000001</v>
      </c>
      <c r="N779" s="2623">
        <v>206.10288600000001</v>
      </c>
      <c r="O779" s="2623">
        <v>206.527886</v>
      </c>
      <c r="P779" s="2623">
        <v>210</v>
      </c>
      <c r="Q779" s="2623">
        <v>211.29102800000001</v>
      </c>
      <c r="R779" s="2631">
        <v>190</v>
      </c>
    </row>
    <row r="780" spans="1:18">
      <c r="A780" s="2615"/>
      <c r="B780" s="2618" t="s">
        <v>5622</v>
      </c>
      <c r="C780" s="2616" t="s">
        <v>5234</v>
      </c>
      <c r="D780" s="2623">
        <v>209.92</v>
      </c>
      <c r="E780" s="2623">
        <v>209.32</v>
      </c>
      <c r="F780" s="2623">
        <v>206.022886</v>
      </c>
      <c r="G780" s="2623">
        <v>205.82288600000001</v>
      </c>
      <c r="H780" s="2623">
        <v>203.42480800000001</v>
      </c>
      <c r="I780" s="2623">
        <v>202.12673599999999</v>
      </c>
      <c r="J780" s="2623"/>
      <c r="K780" s="2623"/>
      <c r="L780" s="2623"/>
      <c r="M780" s="2623"/>
      <c r="N780" s="2623"/>
      <c r="O780" s="2623"/>
      <c r="P780" s="2623"/>
      <c r="Q780" s="2623"/>
      <c r="R780" s="2631"/>
    </row>
    <row r="781" spans="1:18">
      <c r="A781" s="2615"/>
      <c r="B781" s="2618" t="s">
        <v>5623</v>
      </c>
      <c r="C781" s="2616" t="s">
        <v>5232</v>
      </c>
      <c r="D781" s="2623">
        <v>209.94</v>
      </c>
      <c r="E781" s="2623">
        <v>209.465</v>
      </c>
      <c r="F781" s="2623">
        <v>207.34192400000001</v>
      </c>
      <c r="G781" s="2623">
        <v>207.061924</v>
      </c>
      <c r="H781" s="2623">
        <v>205.609872</v>
      </c>
      <c r="I781" s="2623">
        <v>204.597824</v>
      </c>
      <c r="J781" s="2623"/>
      <c r="K781" s="2623" t="s">
        <v>5233</v>
      </c>
      <c r="L781" s="2623">
        <v>205.669872</v>
      </c>
      <c r="M781" s="2623">
        <v>206.26987199999999</v>
      </c>
      <c r="N781" s="2623">
        <v>207.40192400000001</v>
      </c>
      <c r="O781" s="2623">
        <v>207.77692400000001</v>
      </c>
      <c r="P781" s="2623">
        <v>210</v>
      </c>
      <c r="Q781" s="2623">
        <v>210.95235199999999</v>
      </c>
      <c r="R781" s="2631">
        <v>190</v>
      </c>
    </row>
    <row r="782" spans="1:18">
      <c r="A782" s="2615"/>
      <c r="B782" s="2618" t="s">
        <v>5623</v>
      </c>
      <c r="C782" s="2616" t="s">
        <v>5234</v>
      </c>
      <c r="D782" s="2623">
        <v>209.94</v>
      </c>
      <c r="E782" s="2623">
        <v>209.465</v>
      </c>
      <c r="F782" s="2623">
        <v>207.34192400000001</v>
      </c>
      <c r="G782" s="2623">
        <v>207.161924</v>
      </c>
      <c r="H782" s="2623">
        <v>205.609872</v>
      </c>
      <c r="I782" s="2623">
        <v>204.697824</v>
      </c>
      <c r="J782" s="2623"/>
      <c r="K782" s="2623"/>
      <c r="L782" s="2623"/>
      <c r="M782" s="2623"/>
      <c r="N782" s="2623"/>
      <c r="O782" s="2623"/>
      <c r="P782" s="2623"/>
      <c r="Q782" s="2623"/>
      <c r="R782" s="2631"/>
    </row>
    <row r="783" spans="1:18">
      <c r="A783" s="2615"/>
      <c r="B783" s="2622" t="s">
        <v>5624</v>
      </c>
      <c r="C783" s="2616" t="s">
        <v>5232</v>
      </c>
      <c r="D783" s="2623">
        <v>209.952</v>
      </c>
      <c r="E783" s="2623">
        <v>209.577</v>
      </c>
      <c r="F783" s="2623">
        <v>208.003443</v>
      </c>
      <c r="G783" s="2623">
        <v>207.753443</v>
      </c>
      <c r="H783" s="2623">
        <v>206.70440400000001</v>
      </c>
      <c r="I783" s="2623">
        <v>205.90536800000001</v>
      </c>
      <c r="J783" s="2623"/>
      <c r="K783" s="2623" t="s">
        <v>5233</v>
      </c>
      <c r="L783" s="2623">
        <v>206.75240400000001</v>
      </c>
      <c r="M783" s="2623">
        <v>207.25240400000001</v>
      </c>
      <c r="N783" s="2623">
        <v>208.05144300000001</v>
      </c>
      <c r="O783" s="2623">
        <v>208.38644300000001</v>
      </c>
      <c r="P783" s="2623">
        <v>210</v>
      </c>
      <c r="Q783" s="2623">
        <v>210.76801399999999</v>
      </c>
      <c r="R783" s="2631">
        <v>190</v>
      </c>
    </row>
    <row r="784" spans="1:18">
      <c r="A784" s="2615"/>
      <c r="B784" s="2622" t="s">
        <v>5624</v>
      </c>
      <c r="C784" s="2616" t="s">
        <v>5234</v>
      </c>
      <c r="D784" s="2623">
        <v>209.952</v>
      </c>
      <c r="E784" s="2623">
        <v>209.577</v>
      </c>
      <c r="F784" s="2623">
        <v>208.003443</v>
      </c>
      <c r="G784" s="2623">
        <v>207.84344300000001</v>
      </c>
      <c r="H784" s="2623">
        <v>206.70440400000001</v>
      </c>
      <c r="I784" s="2623">
        <v>205.99536800000001</v>
      </c>
      <c r="J784" s="2623"/>
      <c r="K784" s="2623"/>
      <c r="L784" s="2623"/>
      <c r="M784" s="2623"/>
      <c r="N784" s="2623"/>
      <c r="O784" s="2623"/>
      <c r="P784" s="2623"/>
      <c r="Q784" s="2623"/>
      <c r="R784" s="2631"/>
    </row>
    <row r="785" spans="1:18">
      <c r="A785" s="2615"/>
      <c r="B785" s="2618" t="s">
        <v>5625</v>
      </c>
      <c r="C785" s="2616" t="s">
        <v>5232</v>
      </c>
      <c r="D785" s="2623">
        <v>209.96199999999999</v>
      </c>
      <c r="E785" s="2623">
        <v>209.68199999999999</v>
      </c>
      <c r="F785" s="2623">
        <v>208.66296199999999</v>
      </c>
      <c r="G785" s="2623">
        <v>208.450962</v>
      </c>
      <c r="H785" s="2623">
        <v>207.79693599999999</v>
      </c>
      <c r="I785" s="2623">
        <v>207.21891199999999</v>
      </c>
      <c r="J785" s="2623"/>
      <c r="K785" s="2623" t="s">
        <v>5233</v>
      </c>
      <c r="L785" s="2623">
        <v>207.834936</v>
      </c>
      <c r="M785" s="2623">
        <v>208.209936</v>
      </c>
      <c r="N785" s="2623">
        <v>208.700962</v>
      </c>
      <c r="O785" s="2623">
        <v>208.98080200000001</v>
      </c>
      <c r="P785" s="2623">
        <v>210</v>
      </c>
      <c r="Q785" s="2623">
        <v>210.56851599999999</v>
      </c>
      <c r="R785" s="2631">
        <v>190</v>
      </c>
    </row>
    <row r="786" spans="1:18">
      <c r="A786" s="2615"/>
      <c r="B786" s="2618" t="s">
        <v>5625</v>
      </c>
      <c r="C786" s="2616" t="s">
        <v>5234</v>
      </c>
      <c r="D786" s="2623">
        <v>209.96199999999999</v>
      </c>
      <c r="E786" s="2623">
        <v>209.68199999999999</v>
      </c>
      <c r="F786" s="2623">
        <v>208.66296199999999</v>
      </c>
      <c r="G786" s="2623">
        <v>208.53096199999999</v>
      </c>
      <c r="H786" s="2623">
        <v>207.79693599999999</v>
      </c>
      <c r="I786" s="2623">
        <v>207.298912</v>
      </c>
      <c r="J786" s="2623"/>
      <c r="K786" s="2623"/>
      <c r="L786" s="2623"/>
      <c r="M786" s="2623"/>
      <c r="N786" s="2623"/>
      <c r="O786" s="2623"/>
      <c r="P786" s="2623"/>
      <c r="Q786" s="2623"/>
      <c r="R786" s="2631"/>
    </row>
    <row r="787" spans="1:18">
      <c r="A787" s="2615">
        <v>215</v>
      </c>
      <c r="B787" s="2618" t="s">
        <v>5626</v>
      </c>
      <c r="C787" s="2616" t="s">
        <v>5232</v>
      </c>
      <c r="D787" s="2623">
        <v>214.92</v>
      </c>
      <c r="E787" s="2623">
        <v>214.32</v>
      </c>
      <c r="F787" s="2623">
        <v>211.022886</v>
      </c>
      <c r="G787" s="2623">
        <v>210.707886</v>
      </c>
      <c r="H787" s="2623">
        <v>208.42480800000001</v>
      </c>
      <c r="I787" s="2623">
        <v>207.01173600000001</v>
      </c>
      <c r="J787" s="2623"/>
      <c r="K787" s="2623" t="s">
        <v>5233</v>
      </c>
      <c r="L787" s="2623">
        <v>208.504808</v>
      </c>
      <c r="M787" s="2623">
        <v>209.30480800000001</v>
      </c>
      <c r="N787" s="2623">
        <v>211.10288600000001</v>
      </c>
      <c r="O787" s="2623">
        <v>211.527886</v>
      </c>
      <c r="P787" s="2623">
        <v>215</v>
      </c>
      <c r="Q787" s="2623">
        <v>216.29102800000001</v>
      </c>
      <c r="R787" s="2631">
        <v>193.5</v>
      </c>
    </row>
    <row r="788" spans="1:18">
      <c r="A788" s="2615"/>
      <c r="B788" s="2618" t="s">
        <v>5626</v>
      </c>
      <c r="C788" s="2616" t="s">
        <v>5234</v>
      </c>
      <c r="D788" s="2623">
        <v>214.92</v>
      </c>
      <c r="E788" s="2623">
        <v>214.32</v>
      </c>
      <c r="F788" s="2623">
        <v>211.022886</v>
      </c>
      <c r="G788" s="2623">
        <v>210.82288600000001</v>
      </c>
      <c r="H788" s="2623">
        <v>208.42480800000001</v>
      </c>
      <c r="I788" s="2623">
        <v>207.12673599999999</v>
      </c>
      <c r="J788" s="2623"/>
      <c r="K788" s="2623"/>
      <c r="L788" s="2623"/>
      <c r="M788" s="2623"/>
      <c r="N788" s="2623"/>
      <c r="O788" s="2623"/>
      <c r="P788" s="2623"/>
      <c r="Q788" s="2623"/>
      <c r="R788" s="2631"/>
    </row>
    <row r="789" spans="1:18">
      <c r="A789" s="2615"/>
      <c r="B789" s="2618" t="s">
        <v>5627</v>
      </c>
      <c r="C789" s="2616" t="s">
        <v>5232</v>
      </c>
      <c r="D789" s="2623">
        <v>214.94</v>
      </c>
      <c r="E789" s="2623">
        <v>214.465</v>
      </c>
      <c r="F789" s="2623">
        <v>212.34192400000001</v>
      </c>
      <c r="G789" s="2623">
        <v>212.061924</v>
      </c>
      <c r="H789" s="2623">
        <v>210.609872</v>
      </c>
      <c r="I789" s="2623">
        <v>209.597824</v>
      </c>
      <c r="J789" s="2623"/>
      <c r="K789" s="2623" t="s">
        <v>5233</v>
      </c>
      <c r="L789" s="2623">
        <v>210.669872</v>
      </c>
      <c r="M789" s="2623">
        <v>211.26987199999999</v>
      </c>
      <c r="N789" s="2623">
        <v>212.40192400000001</v>
      </c>
      <c r="O789" s="2623">
        <v>212.77692400000001</v>
      </c>
      <c r="P789" s="2623">
        <v>215</v>
      </c>
      <c r="Q789" s="2623">
        <v>215.95235199999999</v>
      </c>
      <c r="R789" s="2631">
        <v>193.5</v>
      </c>
    </row>
    <row r="790" spans="1:18">
      <c r="A790" s="2615"/>
      <c r="B790" s="2618" t="s">
        <v>5627</v>
      </c>
      <c r="C790" s="2616" t="s">
        <v>5234</v>
      </c>
      <c r="D790" s="2623">
        <v>214.94</v>
      </c>
      <c r="E790" s="2623">
        <v>214.465</v>
      </c>
      <c r="F790" s="2623">
        <v>212.34192400000001</v>
      </c>
      <c r="G790" s="2623">
        <v>212.161924</v>
      </c>
      <c r="H790" s="2623">
        <v>210.609872</v>
      </c>
      <c r="I790" s="2623">
        <v>209.697824</v>
      </c>
      <c r="J790" s="2623"/>
      <c r="K790" s="2623"/>
      <c r="L790" s="2623"/>
      <c r="M790" s="2623"/>
      <c r="N790" s="2623"/>
      <c r="O790" s="2623"/>
      <c r="P790" s="2623"/>
      <c r="Q790" s="2623"/>
      <c r="R790" s="2631"/>
    </row>
    <row r="791" spans="1:18">
      <c r="A791" s="2615"/>
      <c r="B791" s="2618" t="s">
        <v>5628</v>
      </c>
      <c r="C791" s="2616" t="s">
        <v>5232</v>
      </c>
      <c r="D791" s="2623">
        <v>214.952</v>
      </c>
      <c r="E791" s="2623">
        <v>214.577</v>
      </c>
      <c r="F791" s="2623">
        <v>213.003443</v>
      </c>
      <c r="G791" s="2623">
        <v>212.753443</v>
      </c>
      <c r="H791" s="2623">
        <v>211.70440400000001</v>
      </c>
      <c r="I791" s="2623">
        <v>210.90536800000001</v>
      </c>
      <c r="J791" s="2623"/>
      <c r="K791" s="2623" t="s">
        <v>5233</v>
      </c>
      <c r="L791" s="2623">
        <v>211.75240400000001</v>
      </c>
      <c r="M791" s="2623">
        <v>212.25240400000001</v>
      </c>
      <c r="N791" s="2623">
        <v>213.05144300000001</v>
      </c>
      <c r="O791" s="2623">
        <v>213.38644300000001</v>
      </c>
      <c r="P791" s="2623">
        <v>215</v>
      </c>
      <c r="Q791" s="2623">
        <v>215.76801399999999</v>
      </c>
      <c r="R791" s="2631">
        <v>193.5</v>
      </c>
    </row>
    <row r="792" spans="1:18">
      <c r="A792" s="2615"/>
      <c r="B792" s="2618" t="s">
        <v>5628</v>
      </c>
      <c r="C792" s="2616" t="s">
        <v>5234</v>
      </c>
      <c r="D792" s="2623">
        <v>214.952</v>
      </c>
      <c r="E792" s="2623">
        <v>214.577</v>
      </c>
      <c r="F792" s="2623">
        <v>213.003443</v>
      </c>
      <c r="G792" s="2623">
        <v>212.84344300000001</v>
      </c>
      <c r="H792" s="2623">
        <v>211.70440400000001</v>
      </c>
      <c r="I792" s="2623">
        <v>210.99536800000001</v>
      </c>
      <c r="J792" s="2623"/>
      <c r="K792" s="2623"/>
      <c r="L792" s="2623"/>
      <c r="M792" s="2623"/>
      <c r="N792" s="2623"/>
      <c r="O792" s="2623"/>
      <c r="P792" s="2623"/>
      <c r="Q792" s="2623"/>
      <c r="R792" s="2631"/>
    </row>
    <row r="793" spans="1:18">
      <c r="A793" s="2615">
        <v>220</v>
      </c>
      <c r="B793" s="2618" t="s">
        <v>5629</v>
      </c>
      <c r="C793" s="2616" t="s">
        <v>5232</v>
      </c>
      <c r="D793" s="2623">
        <v>219.9</v>
      </c>
      <c r="E793" s="2623">
        <v>219.19</v>
      </c>
      <c r="F793" s="2623">
        <v>214.70384799999999</v>
      </c>
      <c r="G793" s="2623">
        <v>214.348848</v>
      </c>
      <c r="H793" s="2623">
        <v>211.239744</v>
      </c>
      <c r="I793" s="2623">
        <v>209.420648</v>
      </c>
      <c r="J793" s="2623"/>
      <c r="K793" s="2623" t="s">
        <v>5233</v>
      </c>
      <c r="L793" s="2623">
        <v>211.339744</v>
      </c>
      <c r="M793" s="2623">
        <v>212.339744</v>
      </c>
      <c r="N793" s="2623">
        <v>214.80384799999999</v>
      </c>
      <c r="O793" s="2623">
        <v>215.27884800000001</v>
      </c>
      <c r="P793" s="2623">
        <v>220</v>
      </c>
      <c r="Q793" s="2623">
        <v>221.629704</v>
      </c>
      <c r="R793" s="2631">
        <v>198</v>
      </c>
    </row>
    <row r="794" spans="1:18">
      <c r="A794" s="2615"/>
      <c r="B794" s="2618" t="s">
        <v>5629</v>
      </c>
      <c r="C794" s="2616" t="s">
        <v>5234</v>
      </c>
      <c r="D794" s="2623">
        <v>219.9</v>
      </c>
      <c r="E794" s="2623">
        <v>219.19</v>
      </c>
      <c r="F794" s="2623">
        <v>214.70384799999999</v>
      </c>
      <c r="G794" s="2623">
        <v>214.479848</v>
      </c>
      <c r="H794" s="2623">
        <v>211.239744</v>
      </c>
      <c r="I794" s="2623">
        <v>209.551648</v>
      </c>
      <c r="J794" s="2623"/>
      <c r="K794" s="2623"/>
      <c r="L794" s="2623"/>
      <c r="M794" s="2623"/>
      <c r="N794" s="2623"/>
      <c r="O794" s="2623"/>
      <c r="P794" s="2623"/>
      <c r="Q794" s="2623"/>
      <c r="R794" s="2631"/>
    </row>
    <row r="795" spans="1:18">
      <c r="A795" s="2615"/>
      <c r="B795" s="2618" t="s">
        <v>5630</v>
      </c>
      <c r="C795" s="2616" t="s">
        <v>5232</v>
      </c>
      <c r="D795" s="2623">
        <v>219.92</v>
      </c>
      <c r="E795" s="2623">
        <v>219.32</v>
      </c>
      <c r="F795" s="2623">
        <v>216.022886</v>
      </c>
      <c r="G795" s="2623">
        <v>215.707886</v>
      </c>
      <c r="H795" s="2623">
        <v>213.42480800000001</v>
      </c>
      <c r="I795" s="2623">
        <v>212.01173600000001</v>
      </c>
      <c r="J795" s="2623"/>
      <c r="K795" s="2623" t="s">
        <v>5233</v>
      </c>
      <c r="L795" s="2623">
        <v>213.504808</v>
      </c>
      <c r="M795" s="2623">
        <v>214.30480800000001</v>
      </c>
      <c r="N795" s="2623">
        <v>216.10288600000001</v>
      </c>
      <c r="O795" s="2623">
        <v>216.527886</v>
      </c>
      <c r="P795" s="2623">
        <v>220</v>
      </c>
      <c r="Q795" s="2623">
        <v>221.29102800000001</v>
      </c>
      <c r="R795" s="2631">
        <v>198</v>
      </c>
    </row>
    <row r="796" spans="1:18">
      <c r="A796" s="2615"/>
      <c r="B796" s="2618" t="s">
        <v>5630</v>
      </c>
      <c r="C796" s="2616" t="s">
        <v>5234</v>
      </c>
      <c r="D796" s="2623">
        <v>219.92</v>
      </c>
      <c r="E796" s="2623">
        <v>219.32</v>
      </c>
      <c r="F796" s="2623">
        <v>216.022886</v>
      </c>
      <c r="G796" s="2623">
        <v>215.82288600000001</v>
      </c>
      <c r="H796" s="2623">
        <v>213.42480800000001</v>
      </c>
      <c r="I796" s="2623">
        <v>212.12673599999999</v>
      </c>
      <c r="J796" s="2623"/>
      <c r="K796" s="2623"/>
      <c r="L796" s="2623"/>
      <c r="M796" s="2623"/>
      <c r="N796" s="2623"/>
      <c r="O796" s="2623"/>
      <c r="P796" s="2623"/>
      <c r="Q796" s="2623"/>
      <c r="R796" s="2631"/>
    </row>
    <row r="797" spans="1:18">
      <c r="A797" s="2615"/>
      <c r="B797" s="2618" t="s">
        <v>5631</v>
      </c>
      <c r="C797" s="2616" t="s">
        <v>5232</v>
      </c>
      <c r="D797" s="2623">
        <v>219.94</v>
      </c>
      <c r="E797" s="2623">
        <v>219.465</v>
      </c>
      <c r="F797" s="2623">
        <v>217.34192400000001</v>
      </c>
      <c r="G797" s="2623">
        <v>217.061924</v>
      </c>
      <c r="H797" s="2623">
        <v>215.609872</v>
      </c>
      <c r="I797" s="2623">
        <v>214.597824</v>
      </c>
      <c r="J797" s="2623"/>
      <c r="K797" s="2623" t="s">
        <v>5233</v>
      </c>
      <c r="L797" s="2623">
        <v>215.669872</v>
      </c>
      <c r="M797" s="2623">
        <v>216.26987199999999</v>
      </c>
      <c r="N797" s="2623">
        <v>217.40192400000001</v>
      </c>
      <c r="O797" s="2623">
        <v>217.77692400000001</v>
      </c>
      <c r="P797" s="2623">
        <v>220</v>
      </c>
      <c r="Q797" s="2623">
        <v>220.95235199999999</v>
      </c>
      <c r="R797" s="2631">
        <v>198</v>
      </c>
    </row>
    <row r="798" spans="1:18">
      <c r="A798" s="2615"/>
      <c r="B798" s="2618" t="s">
        <v>5631</v>
      </c>
      <c r="C798" s="2616" t="s">
        <v>5234</v>
      </c>
      <c r="D798" s="2623">
        <v>219.94</v>
      </c>
      <c r="E798" s="2623">
        <v>219.465</v>
      </c>
      <c r="F798" s="2623">
        <v>217.34192400000001</v>
      </c>
      <c r="G798" s="2623">
        <v>217.161924</v>
      </c>
      <c r="H798" s="2623">
        <v>215.609872</v>
      </c>
      <c r="I798" s="2623">
        <v>214.697824</v>
      </c>
      <c r="J798" s="2623"/>
      <c r="K798" s="2623"/>
      <c r="L798" s="2623"/>
      <c r="M798" s="2623"/>
      <c r="N798" s="2623"/>
      <c r="O798" s="2623"/>
      <c r="P798" s="2623"/>
      <c r="Q798" s="2623"/>
      <c r="R798" s="2631"/>
    </row>
    <row r="799" spans="1:18">
      <c r="A799" s="2615"/>
      <c r="B799" s="2622" t="s">
        <v>5632</v>
      </c>
      <c r="C799" s="2616" t="s">
        <v>5232</v>
      </c>
      <c r="D799" s="2623">
        <v>219.952</v>
      </c>
      <c r="E799" s="2623">
        <v>219.577</v>
      </c>
      <c r="F799" s="2623">
        <v>218.003443</v>
      </c>
      <c r="G799" s="2623">
        <v>217.753443</v>
      </c>
      <c r="H799" s="2623">
        <v>216.70440400000001</v>
      </c>
      <c r="I799" s="2623">
        <v>215.90536800000001</v>
      </c>
      <c r="J799" s="2623"/>
      <c r="K799" s="2623" t="s">
        <v>5233</v>
      </c>
      <c r="L799" s="2623">
        <v>216.75240400000001</v>
      </c>
      <c r="M799" s="2623">
        <v>217.25240400000001</v>
      </c>
      <c r="N799" s="2623">
        <v>218.05144300000001</v>
      </c>
      <c r="O799" s="2623">
        <v>218.38644300000001</v>
      </c>
      <c r="P799" s="2623">
        <v>220</v>
      </c>
      <c r="Q799" s="2623">
        <v>220.76801399999999</v>
      </c>
      <c r="R799" s="2631">
        <v>198</v>
      </c>
    </row>
    <row r="800" spans="1:18">
      <c r="A800" s="2615"/>
      <c r="B800" s="2622" t="s">
        <v>5632</v>
      </c>
      <c r="C800" s="2616" t="s">
        <v>5234</v>
      </c>
      <c r="D800" s="2623">
        <v>219.952</v>
      </c>
      <c r="E800" s="2623">
        <v>219.577</v>
      </c>
      <c r="F800" s="2623">
        <v>218.003443</v>
      </c>
      <c r="G800" s="2623">
        <v>217.84344300000001</v>
      </c>
      <c r="H800" s="2623">
        <v>216.70440400000001</v>
      </c>
      <c r="I800" s="2623">
        <v>215.99536800000001</v>
      </c>
      <c r="J800" s="2623"/>
      <c r="K800" s="2623"/>
      <c r="L800" s="2623"/>
      <c r="M800" s="2623"/>
      <c r="N800" s="2623"/>
      <c r="O800" s="2623"/>
      <c r="P800" s="2623"/>
      <c r="Q800" s="2623"/>
      <c r="R800" s="2631"/>
    </row>
    <row r="801" spans="1:18">
      <c r="A801" s="2615"/>
      <c r="B801" s="2618" t="s">
        <v>5633</v>
      </c>
      <c r="C801" s="2616" t="s">
        <v>5232</v>
      </c>
      <c r="D801" s="2623">
        <v>219.96199999999999</v>
      </c>
      <c r="E801" s="2623">
        <v>219.68199999999999</v>
      </c>
      <c r="F801" s="2623">
        <v>218.66296199999999</v>
      </c>
      <c r="G801" s="2623">
        <v>218.450962</v>
      </c>
      <c r="H801" s="2623">
        <v>217.79693599999999</v>
      </c>
      <c r="I801" s="2623">
        <v>217.21891199999999</v>
      </c>
      <c r="J801" s="2623"/>
      <c r="K801" s="2623" t="s">
        <v>5233</v>
      </c>
      <c r="L801" s="2623">
        <v>217.834936</v>
      </c>
      <c r="M801" s="2623">
        <v>218.209936</v>
      </c>
      <c r="N801" s="2623">
        <v>218.700962</v>
      </c>
      <c r="O801" s="2623">
        <v>218.98080200000001</v>
      </c>
      <c r="P801" s="2623">
        <v>220</v>
      </c>
      <c r="Q801" s="2623">
        <v>220.56851599999999</v>
      </c>
      <c r="R801" s="2631">
        <v>198</v>
      </c>
    </row>
    <row r="802" spans="1:18">
      <c r="A802" s="2615"/>
      <c r="B802" s="2618" t="s">
        <v>5633</v>
      </c>
      <c r="C802" s="2616" t="s">
        <v>5234</v>
      </c>
      <c r="D802" s="2623">
        <v>219.96199999999999</v>
      </c>
      <c r="E802" s="2623">
        <v>219.68199999999999</v>
      </c>
      <c r="F802" s="2623">
        <v>218.66296199999999</v>
      </c>
      <c r="G802" s="2623">
        <v>218.53096199999999</v>
      </c>
      <c r="H802" s="2623">
        <v>217.79693599999999</v>
      </c>
      <c r="I802" s="2623">
        <v>217.298912</v>
      </c>
      <c r="J802" s="2623"/>
      <c r="K802" s="2623"/>
      <c r="L802" s="2623"/>
      <c r="M802" s="2623"/>
      <c r="N802" s="2623"/>
      <c r="O802" s="2623"/>
      <c r="P802" s="2623"/>
      <c r="Q802" s="2623"/>
      <c r="R802" s="2631"/>
    </row>
    <row r="803" spans="1:18">
      <c r="A803" s="2615">
        <v>225</v>
      </c>
      <c r="B803" s="2618" t="s">
        <v>5634</v>
      </c>
      <c r="C803" s="2616" t="s">
        <v>5232</v>
      </c>
      <c r="D803" s="2623">
        <v>224.92</v>
      </c>
      <c r="E803" s="2623">
        <v>224.54499999999999</v>
      </c>
      <c r="F803" s="2623">
        <v>221.022886</v>
      </c>
      <c r="G803" s="2623">
        <v>220.707886</v>
      </c>
      <c r="H803" s="2623">
        <v>218.42480800000001</v>
      </c>
      <c r="I803" s="2623">
        <v>217.01173600000001</v>
      </c>
      <c r="J803" s="2623"/>
      <c r="K803" s="2623" t="s">
        <v>5233</v>
      </c>
      <c r="L803" s="2623">
        <v>218.504808</v>
      </c>
      <c r="M803" s="2623">
        <v>219.30480800000001</v>
      </c>
      <c r="N803" s="2623">
        <v>221.10288600000001</v>
      </c>
      <c r="O803" s="2623">
        <v>221.527886</v>
      </c>
      <c r="P803" s="2623">
        <v>225</v>
      </c>
      <c r="Q803" s="2623">
        <v>226.29102800000001</v>
      </c>
      <c r="R803" s="2631">
        <v>202</v>
      </c>
    </row>
    <row r="804" spans="1:18">
      <c r="A804" s="2615"/>
      <c r="B804" s="2618" t="s">
        <v>5634</v>
      </c>
      <c r="C804" s="2616" t="s">
        <v>5234</v>
      </c>
      <c r="D804" s="2623">
        <v>224.92</v>
      </c>
      <c r="E804" s="2623">
        <v>224.54499999999999</v>
      </c>
      <c r="F804" s="2623">
        <v>221.022886</v>
      </c>
      <c r="G804" s="2623">
        <v>220.82288600000001</v>
      </c>
      <c r="H804" s="2623">
        <v>218.42480800000001</v>
      </c>
      <c r="I804" s="2623">
        <v>217.12673599999999</v>
      </c>
      <c r="J804" s="2623"/>
      <c r="K804" s="2623"/>
      <c r="L804" s="2623"/>
      <c r="M804" s="2623"/>
      <c r="N804" s="2623"/>
      <c r="O804" s="2623"/>
      <c r="P804" s="2623"/>
      <c r="Q804" s="2623"/>
      <c r="R804" s="2631"/>
    </row>
    <row r="805" spans="1:18">
      <c r="A805" s="2615"/>
      <c r="B805" s="2618" t="s">
        <v>5635</v>
      </c>
      <c r="C805" s="2616" t="s">
        <v>5232</v>
      </c>
      <c r="D805" s="2623">
        <v>224.94</v>
      </c>
      <c r="E805" s="2623">
        <v>224.465</v>
      </c>
      <c r="F805" s="2623">
        <v>222.34192400000001</v>
      </c>
      <c r="G805" s="2623">
        <v>222.061924</v>
      </c>
      <c r="H805" s="2623">
        <v>220.609872</v>
      </c>
      <c r="I805" s="2623">
        <v>219.597824</v>
      </c>
      <c r="J805" s="2623"/>
      <c r="K805" s="2623" t="s">
        <v>5233</v>
      </c>
      <c r="L805" s="2623">
        <v>220.669872</v>
      </c>
      <c r="M805" s="2623">
        <v>221.26987199999999</v>
      </c>
      <c r="N805" s="2623">
        <v>222.40192400000001</v>
      </c>
      <c r="O805" s="2623">
        <v>222.77692400000001</v>
      </c>
      <c r="P805" s="2623">
        <v>225</v>
      </c>
      <c r="Q805" s="2623">
        <v>225.95235199999999</v>
      </c>
      <c r="R805" s="2631">
        <v>202</v>
      </c>
    </row>
    <row r="806" spans="1:18">
      <c r="A806" s="2615"/>
      <c r="B806" s="2618" t="s">
        <v>5635</v>
      </c>
      <c r="C806" s="2616" t="s">
        <v>5234</v>
      </c>
      <c r="D806" s="2623">
        <v>224.94</v>
      </c>
      <c r="E806" s="2623">
        <v>224.465</v>
      </c>
      <c r="F806" s="2623">
        <v>222.34192400000001</v>
      </c>
      <c r="G806" s="2623">
        <v>222.161924</v>
      </c>
      <c r="H806" s="2623">
        <v>220.609872</v>
      </c>
      <c r="I806" s="2623">
        <v>219.697824</v>
      </c>
      <c r="J806" s="2623"/>
      <c r="K806" s="2623"/>
      <c r="L806" s="2623"/>
      <c r="M806" s="2623"/>
      <c r="N806" s="2623"/>
      <c r="O806" s="2623"/>
      <c r="P806" s="2623"/>
      <c r="Q806" s="2623"/>
      <c r="R806" s="2631"/>
    </row>
    <row r="807" spans="1:18">
      <c r="A807" s="2615"/>
      <c r="B807" s="2618" t="s">
        <v>5636</v>
      </c>
      <c r="C807" s="2616" t="s">
        <v>5232</v>
      </c>
      <c r="D807" s="2623">
        <v>224.952</v>
      </c>
      <c r="E807" s="2623">
        <v>224.577</v>
      </c>
      <c r="F807" s="2623">
        <v>223.003443</v>
      </c>
      <c r="G807" s="2623">
        <v>222.753443</v>
      </c>
      <c r="H807" s="2623">
        <v>221.70440400000001</v>
      </c>
      <c r="I807" s="2623">
        <v>220.90536800000001</v>
      </c>
      <c r="J807" s="2623"/>
      <c r="K807" s="2623" t="s">
        <v>5233</v>
      </c>
      <c r="L807" s="2623">
        <v>221.75240400000001</v>
      </c>
      <c r="M807" s="2623">
        <v>222.25240400000001</v>
      </c>
      <c r="N807" s="2623">
        <v>223.05144300000001</v>
      </c>
      <c r="O807" s="2623">
        <v>223.38644300000001</v>
      </c>
      <c r="P807" s="2623">
        <v>225</v>
      </c>
      <c r="Q807" s="2623">
        <v>225.76801399999999</v>
      </c>
      <c r="R807" s="2631">
        <v>202</v>
      </c>
    </row>
    <row r="808" spans="1:18">
      <c r="A808" s="2615"/>
      <c r="B808" s="2618" t="s">
        <v>5636</v>
      </c>
      <c r="C808" s="2616" t="s">
        <v>5234</v>
      </c>
      <c r="D808" s="2623">
        <v>224.952</v>
      </c>
      <c r="E808" s="2623">
        <v>224.577</v>
      </c>
      <c r="F808" s="2623">
        <v>223.003443</v>
      </c>
      <c r="G808" s="2623">
        <v>222.84344300000001</v>
      </c>
      <c r="H808" s="2623">
        <v>221.70440400000001</v>
      </c>
      <c r="I808" s="2623">
        <v>220.99536800000001</v>
      </c>
      <c r="J808" s="2623"/>
      <c r="K808" s="2623"/>
      <c r="L808" s="2623"/>
      <c r="M808" s="2623"/>
      <c r="N808" s="2623"/>
      <c r="O808" s="2623"/>
      <c r="P808" s="2623"/>
      <c r="Q808" s="2623"/>
      <c r="R808" s="2631"/>
    </row>
    <row r="809" spans="1:18">
      <c r="A809" s="2615"/>
      <c r="B809" s="2618" t="s">
        <v>5637</v>
      </c>
      <c r="C809" s="2616" t="s">
        <v>5232</v>
      </c>
      <c r="D809" s="2623">
        <v>224.96199999999999</v>
      </c>
      <c r="E809" s="2623">
        <v>224.68199999999999</v>
      </c>
      <c r="F809" s="2623">
        <v>223.66296199999999</v>
      </c>
      <c r="G809" s="2623">
        <v>223.450962</v>
      </c>
      <c r="H809" s="2623">
        <v>222.79693599999999</v>
      </c>
      <c r="I809" s="2623">
        <v>222.21891199999999</v>
      </c>
      <c r="J809" s="2623"/>
      <c r="K809" s="2623" t="s">
        <v>5233</v>
      </c>
      <c r="L809" s="2623">
        <v>222.834936</v>
      </c>
      <c r="M809" s="2623">
        <v>223.209936</v>
      </c>
      <c r="N809" s="2623">
        <v>223.700962</v>
      </c>
      <c r="O809" s="2623">
        <v>223.98080200000001</v>
      </c>
      <c r="P809" s="2623">
        <v>225</v>
      </c>
      <c r="Q809" s="2623">
        <v>225.56851599999999</v>
      </c>
      <c r="R809" s="2631">
        <v>202</v>
      </c>
    </row>
    <row r="810" spans="1:18">
      <c r="A810" s="2615"/>
      <c r="B810" s="2618" t="s">
        <v>5637</v>
      </c>
      <c r="C810" s="2616" t="s">
        <v>5234</v>
      </c>
      <c r="D810" s="2623">
        <v>224.96199999999999</v>
      </c>
      <c r="E810" s="2623">
        <v>224.68199999999999</v>
      </c>
      <c r="F810" s="2623">
        <v>223.66296199999999</v>
      </c>
      <c r="G810" s="2623">
        <v>223.53096199999999</v>
      </c>
      <c r="H810" s="2623">
        <v>222.79693599999999</v>
      </c>
      <c r="I810" s="2623">
        <v>222.298912</v>
      </c>
      <c r="J810" s="2623"/>
      <c r="K810" s="2623"/>
      <c r="L810" s="2623"/>
      <c r="M810" s="2623"/>
      <c r="N810" s="2623"/>
      <c r="O810" s="2623"/>
      <c r="P810" s="2623"/>
      <c r="Q810" s="2623"/>
      <c r="R810" s="2631"/>
    </row>
    <row r="811" spans="1:18">
      <c r="A811" s="2615">
        <v>230</v>
      </c>
      <c r="B811" s="2618" t="s">
        <v>5638</v>
      </c>
      <c r="C811" s="2616" t="s">
        <v>5232</v>
      </c>
      <c r="D811" s="2623">
        <v>229.92</v>
      </c>
      <c r="E811" s="2623">
        <v>229.32</v>
      </c>
      <c r="F811" s="2623">
        <v>226.022886</v>
      </c>
      <c r="G811" s="2623">
        <v>225.707886</v>
      </c>
      <c r="H811" s="2623">
        <v>223.42480800000001</v>
      </c>
      <c r="I811" s="2623">
        <v>222.01173600000001</v>
      </c>
      <c r="J811" s="2623"/>
      <c r="K811" s="2623" t="s">
        <v>5233</v>
      </c>
      <c r="L811" s="2623">
        <v>223.504808</v>
      </c>
      <c r="M811" s="2623">
        <v>224.30480800000001</v>
      </c>
      <c r="N811" s="2623">
        <v>226.10288600000001</v>
      </c>
      <c r="O811" s="2623">
        <v>226.527886</v>
      </c>
      <c r="P811" s="2623">
        <v>230</v>
      </c>
      <c r="Q811" s="2623">
        <v>231.29102800000001</v>
      </c>
      <c r="R811" s="2631">
        <v>210</v>
      </c>
    </row>
    <row r="812" spans="1:18">
      <c r="A812" s="2615"/>
      <c r="B812" s="2618" t="s">
        <v>5638</v>
      </c>
      <c r="C812" s="2616" t="s">
        <v>5234</v>
      </c>
      <c r="D812" s="2623">
        <v>229.92</v>
      </c>
      <c r="E812" s="2623">
        <v>229.32</v>
      </c>
      <c r="F812" s="2623">
        <v>226.022886</v>
      </c>
      <c r="G812" s="2623">
        <v>225.82288600000001</v>
      </c>
      <c r="H812" s="2623">
        <v>223.42480800000001</v>
      </c>
      <c r="I812" s="2623">
        <v>222.12673599999999</v>
      </c>
      <c r="J812" s="2623"/>
      <c r="K812" s="2623"/>
      <c r="L812" s="2623"/>
      <c r="M812" s="2623"/>
      <c r="N812" s="2623"/>
      <c r="O812" s="2623"/>
      <c r="P812" s="2623"/>
      <c r="Q812" s="2623"/>
      <c r="R812" s="2631"/>
    </row>
    <row r="813" spans="1:18">
      <c r="A813" s="2615"/>
      <c r="B813" s="2618" t="s">
        <v>5639</v>
      </c>
      <c r="C813" s="2616" t="s">
        <v>5232</v>
      </c>
      <c r="D813" s="2623">
        <v>229.94</v>
      </c>
      <c r="E813" s="2623">
        <v>229.465</v>
      </c>
      <c r="F813" s="2623">
        <v>227.34192400000001</v>
      </c>
      <c r="G813" s="2623">
        <v>227.061924</v>
      </c>
      <c r="H813" s="2623">
        <v>225.609872</v>
      </c>
      <c r="I813" s="2623">
        <v>224.597824</v>
      </c>
      <c r="J813" s="2623"/>
      <c r="K813" s="2623" t="s">
        <v>5233</v>
      </c>
      <c r="L813" s="2623">
        <v>225.669872</v>
      </c>
      <c r="M813" s="2623">
        <v>226.26987199999999</v>
      </c>
      <c r="N813" s="2623">
        <v>227.40192400000001</v>
      </c>
      <c r="O813" s="2623">
        <v>227.77692400000001</v>
      </c>
      <c r="P813" s="2623">
        <v>230</v>
      </c>
      <c r="Q813" s="2623">
        <v>230.95235199999999</v>
      </c>
      <c r="R813" s="2631">
        <v>210</v>
      </c>
    </row>
    <row r="814" spans="1:18">
      <c r="A814" s="2615"/>
      <c r="B814" s="2618" t="s">
        <v>5639</v>
      </c>
      <c r="C814" s="2616" t="s">
        <v>5234</v>
      </c>
      <c r="D814" s="2623">
        <v>229.94</v>
      </c>
      <c r="E814" s="2623">
        <v>229.465</v>
      </c>
      <c r="F814" s="2623">
        <v>227.34192400000001</v>
      </c>
      <c r="G814" s="2623">
        <v>227.161924</v>
      </c>
      <c r="H814" s="2623">
        <v>225.609872</v>
      </c>
      <c r="I814" s="2623">
        <v>224.697824</v>
      </c>
      <c r="J814" s="2623"/>
      <c r="K814" s="2623"/>
      <c r="L814" s="2623"/>
      <c r="M814" s="2623"/>
      <c r="N814" s="2623"/>
      <c r="O814" s="2623"/>
      <c r="P814" s="2623"/>
      <c r="Q814" s="2623"/>
      <c r="R814" s="2631"/>
    </row>
    <row r="815" spans="1:18">
      <c r="A815" s="2615"/>
      <c r="B815" s="2618" t="s">
        <v>5640</v>
      </c>
      <c r="C815" s="2616" t="s">
        <v>5232</v>
      </c>
      <c r="D815" s="2623">
        <v>229.952</v>
      </c>
      <c r="E815" s="2623">
        <v>229.577</v>
      </c>
      <c r="F815" s="2623">
        <v>228.003443</v>
      </c>
      <c r="G815" s="2623">
        <v>227.753443</v>
      </c>
      <c r="H815" s="2623">
        <v>226.70440400000001</v>
      </c>
      <c r="I815" s="2623">
        <v>225.90536800000001</v>
      </c>
      <c r="J815" s="2623"/>
      <c r="K815" s="2623" t="s">
        <v>5233</v>
      </c>
      <c r="L815" s="2623">
        <v>226.75240400000001</v>
      </c>
      <c r="M815" s="2623">
        <v>227.25240400000001</v>
      </c>
      <c r="N815" s="2623">
        <v>228.05144300000001</v>
      </c>
      <c r="O815" s="2623">
        <v>228.38644300000001</v>
      </c>
      <c r="P815" s="2623">
        <v>230</v>
      </c>
      <c r="Q815" s="2623">
        <v>230.76801399999999</v>
      </c>
      <c r="R815" s="2631">
        <v>210</v>
      </c>
    </row>
    <row r="816" spans="1:18">
      <c r="A816" s="2615"/>
      <c r="B816" s="2618" t="s">
        <v>5640</v>
      </c>
      <c r="C816" s="2616" t="s">
        <v>5234</v>
      </c>
      <c r="D816" s="2623">
        <v>229.952</v>
      </c>
      <c r="E816" s="2623">
        <v>229.577</v>
      </c>
      <c r="F816" s="2623">
        <v>228.003443</v>
      </c>
      <c r="G816" s="2623">
        <v>227.84344300000001</v>
      </c>
      <c r="H816" s="2623">
        <v>226.70440400000001</v>
      </c>
      <c r="I816" s="2623">
        <v>225.99536800000001</v>
      </c>
      <c r="J816" s="2623"/>
      <c r="K816" s="2623"/>
      <c r="L816" s="2623"/>
      <c r="M816" s="2623"/>
      <c r="N816" s="2623"/>
      <c r="O816" s="2623"/>
      <c r="P816" s="2623"/>
      <c r="Q816" s="2623"/>
      <c r="R816" s="2631"/>
    </row>
    <row r="817" spans="1:18">
      <c r="A817" s="2615"/>
      <c r="B817" s="2618" t="s">
        <v>5641</v>
      </c>
      <c r="C817" s="2616" t="s">
        <v>5232</v>
      </c>
      <c r="D817" s="2623">
        <v>229.96199999999999</v>
      </c>
      <c r="E817" s="2623">
        <v>229.68199999999999</v>
      </c>
      <c r="F817" s="2623">
        <v>228.66296199999999</v>
      </c>
      <c r="G817" s="2623">
        <v>228.450962</v>
      </c>
      <c r="H817" s="2623">
        <v>227.79693599999999</v>
      </c>
      <c r="I817" s="2623">
        <v>227.21891199999999</v>
      </c>
      <c r="J817" s="2623"/>
      <c r="K817" s="2623" t="s">
        <v>5233</v>
      </c>
      <c r="L817" s="2623">
        <v>227.834936</v>
      </c>
      <c r="M817" s="2623">
        <v>228.209936</v>
      </c>
      <c r="N817" s="2623">
        <v>228.700962</v>
      </c>
      <c r="O817" s="2623">
        <v>228.98080200000001</v>
      </c>
      <c r="P817" s="2623">
        <v>230</v>
      </c>
      <c r="Q817" s="2623">
        <v>230.56851599999999</v>
      </c>
      <c r="R817" s="2631">
        <v>210</v>
      </c>
    </row>
    <row r="818" spans="1:18">
      <c r="A818" s="2615"/>
      <c r="B818" s="2618" t="s">
        <v>5641</v>
      </c>
      <c r="C818" s="2616" t="s">
        <v>5234</v>
      </c>
      <c r="D818" s="2623">
        <v>229.96199999999999</v>
      </c>
      <c r="E818" s="2623">
        <v>229.68199999999999</v>
      </c>
      <c r="F818" s="2623">
        <v>228.66296199999999</v>
      </c>
      <c r="G818" s="2623">
        <v>228.53096199999999</v>
      </c>
      <c r="H818" s="2623">
        <v>227.79693599999999</v>
      </c>
      <c r="I818" s="2623">
        <v>227.298912</v>
      </c>
      <c r="J818" s="2623"/>
      <c r="K818" s="2623"/>
      <c r="L818" s="2623"/>
      <c r="M818" s="2623"/>
      <c r="N818" s="2623"/>
      <c r="O818" s="2623"/>
      <c r="P818" s="2623"/>
      <c r="Q818" s="2623"/>
      <c r="R818" s="2631"/>
    </row>
    <row r="819" spans="1:18">
      <c r="A819" s="2615">
        <v>235</v>
      </c>
      <c r="B819" s="2618" t="s">
        <v>5642</v>
      </c>
      <c r="C819" s="2616" t="s">
        <v>5232</v>
      </c>
      <c r="D819" s="2623">
        <v>234.92</v>
      </c>
      <c r="E819" s="2623">
        <v>234.32</v>
      </c>
      <c r="F819" s="2623">
        <v>231.022886</v>
      </c>
      <c r="G819" s="2623">
        <v>230.66788600000001</v>
      </c>
      <c r="H819" s="2623">
        <v>228.42480800000001</v>
      </c>
      <c r="I819" s="2623">
        <v>226.97173599999999</v>
      </c>
      <c r="J819" s="2623"/>
      <c r="K819" s="2623" t="s">
        <v>5233</v>
      </c>
      <c r="L819" s="2623">
        <v>228.504808</v>
      </c>
      <c r="M819" s="2623">
        <v>229.30480800000001</v>
      </c>
      <c r="N819" s="2623">
        <v>231.10288600000001</v>
      </c>
      <c r="O819" s="2623">
        <v>231.57788600000001</v>
      </c>
      <c r="P819" s="2623">
        <v>235</v>
      </c>
      <c r="Q819" s="2623">
        <v>236.34102799999999</v>
      </c>
      <c r="R819" s="2631">
        <v>210</v>
      </c>
    </row>
    <row r="820" spans="1:18">
      <c r="A820" s="2615"/>
      <c r="B820" s="2618" t="s">
        <v>5642</v>
      </c>
      <c r="C820" s="2616" t="s">
        <v>5234</v>
      </c>
      <c r="D820" s="2623">
        <v>234.92</v>
      </c>
      <c r="E820" s="2623">
        <v>234.32</v>
      </c>
      <c r="F820" s="2623">
        <v>231.022886</v>
      </c>
      <c r="G820" s="2623">
        <v>230.79888600000001</v>
      </c>
      <c r="H820" s="2623">
        <v>228.42480800000001</v>
      </c>
      <c r="I820" s="2623">
        <v>227.10273599999999</v>
      </c>
      <c r="J820" s="2623"/>
      <c r="K820" s="2623"/>
      <c r="L820" s="2623"/>
      <c r="M820" s="2623"/>
      <c r="N820" s="2623"/>
      <c r="O820" s="2623"/>
      <c r="P820" s="2623"/>
      <c r="Q820" s="2623"/>
      <c r="R820" s="2631"/>
    </row>
    <row r="821" spans="1:18">
      <c r="A821" s="2615"/>
      <c r="B821" s="2618" t="s">
        <v>5643</v>
      </c>
      <c r="C821" s="2616" t="s">
        <v>5232</v>
      </c>
      <c r="D821" s="2623">
        <v>234.94</v>
      </c>
      <c r="E821" s="2623">
        <v>234.465</v>
      </c>
      <c r="F821" s="2623">
        <v>232.34192400000001</v>
      </c>
      <c r="G821" s="2623">
        <v>232.061924</v>
      </c>
      <c r="H821" s="2623">
        <v>230.609872</v>
      </c>
      <c r="I821" s="2623">
        <v>229.597824</v>
      </c>
      <c r="J821" s="2623"/>
      <c r="K821" s="2623" t="s">
        <v>5233</v>
      </c>
      <c r="L821" s="2623">
        <v>230.669872</v>
      </c>
      <c r="M821" s="2623">
        <v>231.26987199999999</v>
      </c>
      <c r="N821" s="2623">
        <v>232.40192400000001</v>
      </c>
      <c r="O821" s="2623">
        <v>232.77692400000001</v>
      </c>
      <c r="P821" s="2623">
        <v>235</v>
      </c>
      <c r="Q821" s="2623">
        <v>235.95235199999999</v>
      </c>
      <c r="R821" s="2631">
        <v>210</v>
      </c>
    </row>
    <row r="822" spans="1:18">
      <c r="A822" s="2615"/>
      <c r="B822" s="2618" t="s">
        <v>5643</v>
      </c>
      <c r="C822" s="2616" t="s">
        <v>5234</v>
      </c>
      <c r="D822" s="2623">
        <v>234.94</v>
      </c>
      <c r="E822" s="2623">
        <v>234.465</v>
      </c>
      <c r="F822" s="2623">
        <v>232.34192400000001</v>
      </c>
      <c r="G822" s="2623">
        <v>232.161924</v>
      </c>
      <c r="H822" s="2623">
        <v>230.609872</v>
      </c>
      <c r="I822" s="2623">
        <v>229.697824</v>
      </c>
      <c r="J822" s="2623"/>
      <c r="K822" s="2623"/>
      <c r="L822" s="2623"/>
      <c r="M822" s="2623"/>
      <c r="N822" s="2623"/>
      <c r="O822" s="2623"/>
      <c r="P822" s="2623"/>
      <c r="Q822" s="2623"/>
      <c r="R822" s="2631"/>
    </row>
    <row r="823" spans="1:18">
      <c r="A823" s="2615"/>
      <c r="B823" s="2618" t="s">
        <v>5644</v>
      </c>
      <c r="C823" s="2616" t="s">
        <v>5232</v>
      </c>
      <c r="D823" s="2623">
        <v>234.952</v>
      </c>
      <c r="E823" s="2623">
        <v>234.577</v>
      </c>
      <c r="F823" s="2623">
        <v>233.003443</v>
      </c>
      <c r="G823" s="2623">
        <v>232.753443</v>
      </c>
      <c r="H823" s="2623">
        <v>231.70440400000001</v>
      </c>
      <c r="I823" s="2623">
        <v>230.90536800000001</v>
      </c>
      <c r="J823" s="2623"/>
      <c r="K823" s="2623" t="s">
        <v>5233</v>
      </c>
      <c r="L823" s="2623">
        <v>231.75240400000001</v>
      </c>
      <c r="M823" s="2623">
        <v>232.25240400000001</v>
      </c>
      <c r="N823" s="2623">
        <v>233.05144300000001</v>
      </c>
      <c r="O823" s="2623">
        <v>233.38644300000001</v>
      </c>
      <c r="P823" s="2623">
        <v>235</v>
      </c>
      <c r="Q823" s="2623">
        <v>235.76801399999999</v>
      </c>
      <c r="R823" s="2631">
        <v>210</v>
      </c>
    </row>
    <row r="824" spans="1:18">
      <c r="A824" s="2615"/>
      <c r="B824" s="2618" t="s">
        <v>5644</v>
      </c>
      <c r="C824" s="2616" t="s">
        <v>5234</v>
      </c>
      <c r="D824" s="2623">
        <v>234.952</v>
      </c>
      <c r="E824" s="2623">
        <v>234.577</v>
      </c>
      <c r="F824" s="2623">
        <v>233.003443</v>
      </c>
      <c r="G824" s="2623">
        <v>232.84344300000001</v>
      </c>
      <c r="H824" s="2623">
        <v>231.70440400000001</v>
      </c>
      <c r="I824" s="2623">
        <v>230.99536800000001</v>
      </c>
      <c r="J824" s="2623"/>
      <c r="K824" s="2623"/>
      <c r="L824" s="2623"/>
      <c r="M824" s="2623"/>
      <c r="N824" s="2623"/>
      <c r="O824" s="2623"/>
      <c r="P824" s="2623"/>
      <c r="Q824" s="2623"/>
      <c r="R824" s="2631"/>
    </row>
    <row r="825" spans="1:18">
      <c r="A825" s="2615">
        <v>240</v>
      </c>
      <c r="B825" s="2618" t="s">
        <v>5645</v>
      </c>
      <c r="C825" s="2616" t="s">
        <v>5232</v>
      </c>
      <c r="D825" s="2623">
        <v>239.9</v>
      </c>
      <c r="E825" s="2623">
        <v>239.19</v>
      </c>
      <c r="F825" s="2623">
        <v>234.70384799999999</v>
      </c>
      <c r="G825" s="2623">
        <v>234.348848</v>
      </c>
      <c r="H825" s="2623">
        <v>231.239744</v>
      </c>
      <c r="I825" s="2623">
        <v>229.420648</v>
      </c>
      <c r="J825" s="2623"/>
      <c r="K825" s="2623" t="s">
        <v>5233</v>
      </c>
      <c r="L825" s="2623">
        <v>231.339744</v>
      </c>
      <c r="M825" s="2623">
        <v>232.339744</v>
      </c>
      <c r="N825" s="2623">
        <v>234.80384799999999</v>
      </c>
      <c r="O825" s="2623">
        <v>235.27884800000001</v>
      </c>
      <c r="P825" s="2623">
        <v>240</v>
      </c>
      <c r="Q825" s="2623">
        <v>241.629704</v>
      </c>
      <c r="R825" s="2631">
        <v>216</v>
      </c>
    </row>
    <row r="826" spans="1:18">
      <c r="A826" s="2615"/>
      <c r="B826" s="2618" t="s">
        <v>5645</v>
      </c>
      <c r="C826" s="2616" t="s">
        <v>5234</v>
      </c>
      <c r="D826" s="2623">
        <v>239.9</v>
      </c>
      <c r="E826" s="2623">
        <v>239.19</v>
      </c>
      <c r="F826" s="2623">
        <v>234.70384799999999</v>
      </c>
      <c r="G826" s="2623">
        <v>234.479848</v>
      </c>
      <c r="H826" s="2623">
        <v>231.239744</v>
      </c>
      <c r="I826" s="2623">
        <v>229.551648</v>
      </c>
      <c r="J826" s="2623"/>
      <c r="K826" s="2623"/>
      <c r="L826" s="2623"/>
      <c r="M826" s="2623"/>
      <c r="N826" s="2623"/>
      <c r="O826" s="2623"/>
      <c r="P826" s="2623"/>
      <c r="Q826" s="2623"/>
      <c r="R826" s="2631"/>
    </row>
    <row r="827" spans="1:18">
      <c r="A827" s="2615"/>
      <c r="B827" s="2618" t="s">
        <v>5646</v>
      </c>
      <c r="C827" s="2616" t="s">
        <v>5232</v>
      </c>
      <c r="D827" s="2623">
        <v>239.92</v>
      </c>
      <c r="E827" s="2623">
        <v>239.32</v>
      </c>
      <c r="F827" s="2623">
        <v>236.022886</v>
      </c>
      <c r="G827" s="2623">
        <v>235.707886</v>
      </c>
      <c r="H827" s="2623">
        <v>233.42480800000001</v>
      </c>
      <c r="I827" s="2623">
        <v>232.01173600000001</v>
      </c>
      <c r="J827" s="2623"/>
      <c r="K827" s="2623" t="s">
        <v>5233</v>
      </c>
      <c r="L827" s="2623">
        <v>233.504808</v>
      </c>
      <c r="M827" s="2623">
        <v>234.30480800000001</v>
      </c>
      <c r="N827" s="2623">
        <v>236.10288600000001</v>
      </c>
      <c r="O827" s="2623">
        <v>236.527886</v>
      </c>
      <c r="P827" s="2623">
        <v>240</v>
      </c>
      <c r="Q827" s="2623">
        <v>241.29102800000001</v>
      </c>
      <c r="R827" s="2631">
        <v>216</v>
      </c>
    </row>
    <row r="828" spans="1:18">
      <c r="A828" s="2615"/>
      <c r="B828" s="2618" t="s">
        <v>5646</v>
      </c>
      <c r="C828" s="2616" t="s">
        <v>5234</v>
      </c>
      <c r="D828" s="2623">
        <v>239.92</v>
      </c>
      <c r="E828" s="2623">
        <v>239.32</v>
      </c>
      <c r="F828" s="2623">
        <v>236.022886</v>
      </c>
      <c r="G828" s="2623">
        <v>235.82288600000001</v>
      </c>
      <c r="H828" s="2623">
        <v>233.42480800000001</v>
      </c>
      <c r="I828" s="2623">
        <v>232.12673599999999</v>
      </c>
      <c r="J828" s="2623"/>
      <c r="K828" s="2623"/>
      <c r="L828" s="2623"/>
      <c r="M828" s="2623"/>
      <c r="N828" s="2623"/>
      <c r="O828" s="2623"/>
      <c r="P828" s="2623"/>
      <c r="Q828" s="2623"/>
      <c r="R828" s="2631"/>
    </row>
    <row r="829" spans="1:18">
      <c r="A829" s="2615"/>
      <c r="B829" s="2618" t="s">
        <v>5647</v>
      </c>
      <c r="C829" s="2616" t="s">
        <v>5232</v>
      </c>
      <c r="D829" s="2623">
        <v>239.94</v>
      </c>
      <c r="E829" s="2623">
        <v>239.465</v>
      </c>
      <c r="F829" s="2623">
        <v>237.34192400000001</v>
      </c>
      <c r="G829" s="2623">
        <v>237.061924</v>
      </c>
      <c r="H829" s="2623">
        <v>235.609872</v>
      </c>
      <c r="I829" s="2623">
        <v>234.597824</v>
      </c>
      <c r="J829" s="2623"/>
      <c r="K829" s="2623" t="s">
        <v>5233</v>
      </c>
      <c r="L829" s="2623">
        <v>235.669872</v>
      </c>
      <c r="M829" s="2623">
        <v>236.26987199999999</v>
      </c>
      <c r="N829" s="2623">
        <v>237.40192400000001</v>
      </c>
      <c r="O829" s="2623">
        <v>237.77692400000001</v>
      </c>
      <c r="P829" s="2623">
        <v>240</v>
      </c>
      <c r="Q829" s="2623">
        <v>240.95235199999999</v>
      </c>
      <c r="R829" s="2631">
        <v>216</v>
      </c>
    </row>
    <row r="830" spans="1:18">
      <c r="A830" s="2615"/>
      <c r="B830" s="2618" t="s">
        <v>5647</v>
      </c>
      <c r="C830" s="2616" t="s">
        <v>5234</v>
      </c>
      <c r="D830" s="2623">
        <v>239.94</v>
      </c>
      <c r="E830" s="2623">
        <v>239.465</v>
      </c>
      <c r="F830" s="2623">
        <v>237.34192400000001</v>
      </c>
      <c r="G830" s="2623">
        <v>237.161924</v>
      </c>
      <c r="H830" s="2623">
        <v>235.609872</v>
      </c>
      <c r="I830" s="2623">
        <v>234.697824</v>
      </c>
      <c r="J830" s="2623"/>
      <c r="K830" s="2623"/>
      <c r="L830" s="2623"/>
      <c r="M830" s="2623"/>
      <c r="N830" s="2623"/>
      <c r="O830" s="2623"/>
      <c r="P830" s="2623"/>
      <c r="Q830" s="2623"/>
      <c r="R830" s="2631"/>
    </row>
    <row r="831" spans="1:18">
      <c r="A831" s="2615"/>
      <c r="B831" s="2622" t="s">
        <v>5648</v>
      </c>
      <c r="C831" s="2616" t="s">
        <v>5232</v>
      </c>
      <c r="D831" s="2623">
        <v>239.952</v>
      </c>
      <c r="E831" s="2623">
        <v>239.577</v>
      </c>
      <c r="F831" s="2623">
        <v>238.003443</v>
      </c>
      <c r="G831" s="2623">
        <v>237.753443</v>
      </c>
      <c r="H831" s="2623">
        <v>236.70440400000001</v>
      </c>
      <c r="I831" s="2623">
        <v>235.90536800000001</v>
      </c>
      <c r="J831" s="2623"/>
      <c r="K831" s="2623" t="s">
        <v>5233</v>
      </c>
      <c r="L831" s="2623">
        <v>236.75240400000001</v>
      </c>
      <c r="M831" s="2623">
        <v>237.25240400000001</v>
      </c>
      <c r="N831" s="2623">
        <v>238.05144300000001</v>
      </c>
      <c r="O831" s="2623">
        <v>238.38644300000001</v>
      </c>
      <c r="P831" s="2623">
        <v>240</v>
      </c>
      <c r="Q831" s="2623">
        <v>240.76801399999999</v>
      </c>
      <c r="R831" s="2631">
        <v>216</v>
      </c>
    </row>
    <row r="832" spans="1:18">
      <c r="A832" s="2615"/>
      <c r="B832" s="2622" t="s">
        <v>5648</v>
      </c>
      <c r="C832" s="2616" t="s">
        <v>5234</v>
      </c>
      <c r="D832" s="2623">
        <v>239.952</v>
      </c>
      <c r="E832" s="2623">
        <v>239.577</v>
      </c>
      <c r="F832" s="2623">
        <v>238.003443</v>
      </c>
      <c r="G832" s="2623">
        <v>237.84344300000001</v>
      </c>
      <c r="H832" s="2623">
        <v>236.70440400000001</v>
      </c>
      <c r="I832" s="2623">
        <v>235.99536800000001</v>
      </c>
      <c r="J832" s="2623"/>
      <c r="K832" s="2623"/>
      <c r="L832" s="2623"/>
      <c r="M832" s="2623"/>
      <c r="N832" s="2623"/>
      <c r="O832" s="2623"/>
      <c r="P832" s="2623"/>
      <c r="Q832" s="2623"/>
      <c r="R832" s="2631"/>
    </row>
    <row r="833" spans="1:18">
      <c r="A833" s="2615"/>
      <c r="B833" s="2618" t="s">
        <v>5649</v>
      </c>
      <c r="C833" s="2616" t="s">
        <v>5232</v>
      </c>
      <c r="D833" s="2623">
        <v>239.96199999999999</v>
      </c>
      <c r="E833" s="2623">
        <v>239.68199999999999</v>
      </c>
      <c r="F833" s="2623">
        <v>238.66296199999999</v>
      </c>
      <c r="G833" s="2623">
        <v>238.450962</v>
      </c>
      <c r="H833" s="2623">
        <v>237.79693599999999</v>
      </c>
      <c r="I833" s="2623">
        <v>237.21891199999999</v>
      </c>
      <c r="J833" s="2623"/>
      <c r="K833" s="2623" t="s">
        <v>5233</v>
      </c>
      <c r="L833" s="2623">
        <v>237.834936</v>
      </c>
      <c r="M833" s="2623">
        <v>238.209936</v>
      </c>
      <c r="N833" s="2623">
        <v>238.700962</v>
      </c>
      <c r="O833" s="2623">
        <v>238.98080200000001</v>
      </c>
      <c r="P833" s="2623">
        <v>240</v>
      </c>
      <c r="Q833" s="2623">
        <v>240.56851599999999</v>
      </c>
      <c r="R833" s="2631">
        <v>216</v>
      </c>
    </row>
    <row r="834" spans="1:18">
      <c r="A834" s="2615"/>
      <c r="B834" s="2618" t="s">
        <v>5649</v>
      </c>
      <c r="C834" s="2616" t="s">
        <v>5234</v>
      </c>
      <c r="D834" s="2623">
        <v>239.96199999999999</v>
      </c>
      <c r="E834" s="2623">
        <v>239.68199999999999</v>
      </c>
      <c r="F834" s="2623">
        <v>238.66296199999999</v>
      </c>
      <c r="G834" s="2623">
        <v>238.53096199999999</v>
      </c>
      <c r="H834" s="2623">
        <v>237.79693599999999</v>
      </c>
      <c r="I834" s="2623">
        <v>237.298912</v>
      </c>
      <c r="J834" s="2623"/>
      <c r="K834" s="2623"/>
      <c r="L834" s="2623"/>
      <c r="M834" s="2623"/>
      <c r="N834" s="2623"/>
      <c r="O834" s="2623"/>
      <c r="P834" s="2623"/>
      <c r="Q834" s="2623"/>
      <c r="R834" s="2631"/>
    </row>
    <row r="835" spans="1:18">
      <c r="A835" s="2615">
        <v>245</v>
      </c>
      <c r="B835" s="2618" t="s">
        <v>5650</v>
      </c>
      <c r="C835" s="2616" t="s">
        <v>5232</v>
      </c>
      <c r="D835" s="2623">
        <v>244.92</v>
      </c>
      <c r="E835" s="2623">
        <v>244.32</v>
      </c>
      <c r="F835" s="2623">
        <v>241.022886</v>
      </c>
      <c r="G835" s="2623">
        <v>240.707886</v>
      </c>
      <c r="H835" s="2623">
        <v>238.42480800000001</v>
      </c>
      <c r="I835" s="2623">
        <v>237.01173600000001</v>
      </c>
      <c r="J835" s="2623"/>
      <c r="K835" s="2623" t="s">
        <v>5233</v>
      </c>
      <c r="L835" s="2623">
        <v>238.504808</v>
      </c>
      <c r="M835" s="2623">
        <v>239.30480800000001</v>
      </c>
      <c r="N835" s="2623">
        <v>241.10288600000001</v>
      </c>
      <c r="O835" s="2623">
        <v>241.527886</v>
      </c>
      <c r="P835" s="2623">
        <v>245</v>
      </c>
      <c r="Q835" s="2623">
        <v>246.29102800000001</v>
      </c>
      <c r="R835" s="2631">
        <v>220</v>
      </c>
    </row>
    <row r="836" spans="1:18">
      <c r="A836" s="2615"/>
      <c r="B836" s="2618" t="s">
        <v>5650</v>
      </c>
      <c r="C836" s="2616" t="s">
        <v>5234</v>
      </c>
      <c r="D836" s="2623">
        <v>244.92</v>
      </c>
      <c r="E836" s="2623">
        <v>244.32</v>
      </c>
      <c r="F836" s="2623">
        <v>241.022886</v>
      </c>
      <c r="G836" s="2623">
        <v>240.82288600000001</v>
      </c>
      <c r="H836" s="2623">
        <v>238.42480800000001</v>
      </c>
      <c r="I836" s="2623">
        <v>237.12673599999999</v>
      </c>
      <c r="J836" s="2623"/>
      <c r="K836" s="2623"/>
      <c r="L836" s="2623"/>
      <c r="M836" s="2623"/>
      <c r="N836" s="2623"/>
      <c r="O836" s="2623"/>
      <c r="P836" s="2623"/>
      <c r="Q836" s="2623"/>
      <c r="R836" s="2631"/>
    </row>
    <row r="837" spans="1:18">
      <c r="A837" s="2615"/>
      <c r="B837" s="2618" t="s">
        <v>5651</v>
      </c>
      <c r="C837" s="2616" t="s">
        <v>5232</v>
      </c>
      <c r="D837" s="2623">
        <v>244.94</v>
      </c>
      <c r="E837" s="2623">
        <v>244.465</v>
      </c>
      <c r="F837" s="2623">
        <v>242.34192400000001</v>
      </c>
      <c r="G837" s="2623">
        <v>242.061924</v>
      </c>
      <c r="H837" s="2623">
        <v>240.609872</v>
      </c>
      <c r="I837" s="2623">
        <v>239.597824</v>
      </c>
      <c r="J837" s="2623"/>
      <c r="K837" s="2623" t="s">
        <v>5233</v>
      </c>
      <c r="L837" s="2623">
        <v>240.669872</v>
      </c>
      <c r="M837" s="2623">
        <v>241.26987199999999</v>
      </c>
      <c r="N837" s="2623">
        <v>242.40192400000001</v>
      </c>
      <c r="O837" s="2623">
        <v>242.77692400000001</v>
      </c>
      <c r="P837" s="2623">
        <v>245</v>
      </c>
      <c r="Q837" s="2623">
        <v>245.95235199999999</v>
      </c>
      <c r="R837" s="2631">
        <v>220</v>
      </c>
    </row>
    <row r="838" spans="1:18">
      <c r="A838" s="2615"/>
      <c r="B838" s="2618" t="s">
        <v>5651</v>
      </c>
      <c r="C838" s="2616" t="s">
        <v>5234</v>
      </c>
      <c r="D838" s="2623">
        <v>244.94</v>
      </c>
      <c r="E838" s="2623">
        <v>244.465</v>
      </c>
      <c r="F838" s="2623">
        <v>242.34192400000001</v>
      </c>
      <c r="G838" s="2623">
        <v>242.161924</v>
      </c>
      <c r="H838" s="2623">
        <v>240.609872</v>
      </c>
      <c r="I838" s="2623">
        <v>239.697824</v>
      </c>
      <c r="J838" s="2623"/>
      <c r="K838" s="2623"/>
      <c r="L838" s="2623"/>
      <c r="M838" s="2623"/>
      <c r="N838" s="2623"/>
      <c r="O838" s="2623"/>
      <c r="P838" s="2623"/>
      <c r="Q838" s="2623"/>
      <c r="R838" s="2631"/>
    </row>
    <row r="839" spans="1:18">
      <c r="A839" s="2615"/>
      <c r="B839" s="2618" t="s">
        <v>5652</v>
      </c>
      <c r="C839" s="2616" t="s">
        <v>5232</v>
      </c>
      <c r="D839" s="2623">
        <v>244.952</v>
      </c>
      <c r="E839" s="2623">
        <v>244.577</v>
      </c>
      <c r="F839" s="2623">
        <v>243.003443</v>
      </c>
      <c r="G839" s="2623">
        <v>242.753443</v>
      </c>
      <c r="H839" s="2623">
        <v>241.70440400000001</v>
      </c>
      <c r="I839" s="2623">
        <v>240.90536800000001</v>
      </c>
      <c r="J839" s="2623"/>
      <c r="K839" s="2623" t="s">
        <v>5233</v>
      </c>
      <c r="L839" s="2623">
        <v>241.75240400000001</v>
      </c>
      <c r="M839" s="2623">
        <v>242.25240400000001</v>
      </c>
      <c r="N839" s="2623">
        <v>243.05144300000001</v>
      </c>
      <c r="O839" s="2623">
        <v>243.38644300000001</v>
      </c>
      <c r="P839" s="2623">
        <v>245</v>
      </c>
      <c r="Q839" s="2623">
        <v>245.76801399999999</v>
      </c>
      <c r="R839" s="2631">
        <v>220</v>
      </c>
    </row>
    <row r="840" spans="1:18">
      <c r="A840" s="2615"/>
      <c r="B840" s="2618" t="s">
        <v>5652</v>
      </c>
      <c r="C840" s="2616" t="s">
        <v>5234</v>
      </c>
      <c r="D840" s="2623">
        <v>244.952</v>
      </c>
      <c r="E840" s="2623">
        <v>244.577</v>
      </c>
      <c r="F840" s="2623">
        <v>243.003443</v>
      </c>
      <c r="G840" s="2623">
        <v>242.84344300000001</v>
      </c>
      <c r="H840" s="2623">
        <v>241.70440400000001</v>
      </c>
      <c r="I840" s="2623">
        <v>240.99536800000001</v>
      </c>
      <c r="J840" s="2623"/>
      <c r="K840" s="2623"/>
      <c r="L840" s="2623"/>
      <c r="M840" s="2623"/>
      <c r="N840" s="2623"/>
      <c r="O840" s="2623"/>
      <c r="P840" s="2623"/>
      <c r="Q840" s="2623"/>
      <c r="R840" s="2631"/>
    </row>
    <row r="841" spans="1:18">
      <c r="A841" s="2615"/>
      <c r="B841" s="2618" t="s">
        <v>5653</v>
      </c>
      <c r="C841" s="2616" t="s">
        <v>5232</v>
      </c>
      <c r="D841" s="2623">
        <v>244.96199999999999</v>
      </c>
      <c r="E841" s="2623">
        <v>244.68199999999999</v>
      </c>
      <c r="F841" s="2623">
        <v>243.66296199999999</v>
      </c>
      <c r="G841" s="2623">
        <v>243.450962</v>
      </c>
      <c r="H841" s="2623">
        <v>242.79693599999999</v>
      </c>
      <c r="I841" s="2623">
        <v>242.21891199999999</v>
      </c>
      <c r="J841" s="2623"/>
      <c r="K841" s="2623" t="s">
        <v>5233</v>
      </c>
      <c r="L841" s="2623">
        <v>242.834936</v>
      </c>
      <c r="M841" s="2623">
        <v>243.209936</v>
      </c>
      <c r="N841" s="2623">
        <v>243.700962</v>
      </c>
      <c r="O841" s="2623">
        <v>243.98080200000001</v>
      </c>
      <c r="P841" s="2623">
        <v>245</v>
      </c>
      <c r="Q841" s="2623">
        <v>245.56851599999999</v>
      </c>
      <c r="R841" s="2631">
        <v>220</v>
      </c>
    </row>
    <row r="842" spans="1:18">
      <c r="A842" s="2615"/>
      <c r="B842" s="2618" t="s">
        <v>5653</v>
      </c>
      <c r="C842" s="2616" t="s">
        <v>5234</v>
      </c>
      <c r="D842" s="2623">
        <v>244.96199999999999</v>
      </c>
      <c r="E842" s="2623">
        <v>244.68199999999999</v>
      </c>
      <c r="F842" s="2623">
        <v>243.66296199999999</v>
      </c>
      <c r="G842" s="2623">
        <v>243.53096199999999</v>
      </c>
      <c r="H842" s="2623">
        <v>242.79693599999999</v>
      </c>
      <c r="I842" s="2623">
        <v>242.298912</v>
      </c>
      <c r="J842" s="2623"/>
      <c r="K842" s="2623"/>
      <c r="L842" s="2623"/>
      <c r="M842" s="2623"/>
      <c r="N842" s="2623"/>
      <c r="O842" s="2623"/>
      <c r="P842" s="2623"/>
      <c r="Q842" s="2623"/>
      <c r="R842" s="2631"/>
    </row>
    <row r="843" spans="1:18">
      <c r="A843" s="2615">
        <v>250</v>
      </c>
      <c r="B843" s="2618" t="s">
        <v>5654</v>
      </c>
      <c r="C843" s="2616" t="s">
        <v>5232</v>
      </c>
      <c r="D843" s="2623">
        <v>249.9</v>
      </c>
      <c r="E843" s="2623">
        <v>249.19</v>
      </c>
      <c r="F843" s="2623">
        <v>244.70384799999999</v>
      </c>
      <c r="G843" s="2623">
        <v>244.348848</v>
      </c>
      <c r="H843" s="2623">
        <v>241.239744</v>
      </c>
      <c r="I843" s="2623">
        <v>239.420648</v>
      </c>
      <c r="J843" s="2623"/>
      <c r="K843" s="2623" t="s">
        <v>5233</v>
      </c>
      <c r="L843" s="2623">
        <v>241.339744</v>
      </c>
      <c r="M843" s="2623">
        <v>242.339744</v>
      </c>
      <c r="N843" s="2623">
        <v>244.80384799999999</v>
      </c>
      <c r="O843" s="2623">
        <v>245.27884800000001</v>
      </c>
      <c r="P843" s="2623">
        <v>250</v>
      </c>
      <c r="Q843" s="2623">
        <v>251.629704</v>
      </c>
      <c r="R843" s="2631">
        <v>225</v>
      </c>
    </row>
    <row r="844" spans="1:18">
      <c r="A844" s="2615"/>
      <c r="B844" s="2618" t="s">
        <v>5654</v>
      </c>
      <c r="C844" s="2616" t="s">
        <v>5234</v>
      </c>
      <c r="D844" s="2623">
        <v>249.9</v>
      </c>
      <c r="E844" s="2623">
        <v>249.19</v>
      </c>
      <c r="F844" s="2623">
        <v>244.70384799999999</v>
      </c>
      <c r="G844" s="2623">
        <v>244.479848</v>
      </c>
      <c r="H844" s="2623">
        <v>241.239744</v>
      </c>
      <c r="I844" s="2623">
        <v>239.551648</v>
      </c>
      <c r="J844" s="2623"/>
      <c r="K844" s="2623"/>
      <c r="L844" s="2623"/>
      <c r="M844" s="2623"/>
      <c r="N844" s="2623"/>
      <c r="O844" s="2623"/>
      <c r="P844" s="2623"/>
      <c r="Q844" s="2623"/>
      <c r="R844" s="2631"/>
    </row>
    <row r="845" spans="1:18">
      <c r="A845" s="2615"/>
      <c r="B845" s="2618" t="s">
        <v>5655</v>
      </c>
      <c r="C845" s="2616" t="s">
        <v>5232</v>
      </c>
      <c r="D845" s="2623">
        <v>249.92</v>
      </c>
      <c r="E845" s="2623">
        <v>249.32</v>
      </c>
      <c r="F845" s="2623">
        <v>246.022886</v>
      </c>
      <c r="G845" s="2623">
        <v>245.707886</v>
      </c>
      <c r="H845" s="2623">
        <v>243.42480800000001</v>
      </c>
      <c r="I845" s="2623">
        <v>242.01173600000001</v>
      </c>
      <c r="J845" s="2623"/>
      <c r="K845" s="2623" t="s">
        <v>5233</v>
      </c>
      <c r="L845" s="2623">
        <v>243.504808</v>
      </c>
      <c r="M845" s="2623">
        <v>244.30480800000001</v>
      </c>
      <c r="N845" s="2623">
        <v>246.10288600000001</v>
      </c>
      <c r="O845" s="2623">
        <v>246.527886</v>
      </c>
      <c r="P845" s="2623">
        <v>250</v>
      </c>
      <c r="Q845" s="2623">
        <v>251.29102800000001</v>
      </c>
      <c r="R845" s="2631">
        <v>225</v>
      </c>
    </row>
    <row r="846" spans="1:18">
      <c r="A846" s="2615"/>
      <c r="B846" s="2618" t="s">
        <v>5655</v>
      </c>
      <c r="C846" s="2616" t="s">
        <v>5234</v>
      </c>
      <c r="D846" s="2623">
        <v>249.92</v>
      </c>
      <c r="E846" s="2623">
        <v>249.32</v>
      </c>
      <c r="F846" s="2623">
        <v>246.022886</v>
      </c>
      <c r="G846" s="2623">
        <v>245.82288600000001</v>
      </c>
      <c r="H846" s="2623">
        <v>243.42480800000001</v>
      </c>
      <c r="I846" s="2623">
        <v>242.12673599999999</v>
      </c>
      <c r="J846" s="2623"/>
      <c r="K846" s="2623"/>
      <c r="L846" s="2623"/>
      <c r="M846" s="2623"/>
      <c r="N846" s="2623"/>
      <c r="O846" s="2623"/>
      <c r="P846" s="2623"/>
      <c r="Q846" s="2623"/>
      <c r="R846" s="2631"/>
    </row>
    <row r="847" spans="1:18">
      <c r="A847" s="2615"/>
      <c r="B847" s="2618" t="s">
        <v>5656</v>
      </c>
      <c r="C847" s="2616" t="s">
        <v>5232</v>
      </c>
      <c r="D847" s="2623">
        <v>249.94</v>
      </c>
      <c r="E847" s="2623">
        <v>249.465</v>
      </c>
      <c r="F847" s="2623">
        <v>247.34192400000001</v>
      </c>
      <c r="G847" s="2623">
        <v>247.061924</v>
      </c>
      <c r="H847" s="2623">
        <v>245.609872</v>
      </c>
      <c r="I847" s="2623">
        <v>244.597824</v>
      </c>
      <c r="J847" s="2623"/>
      <c r="K847" s="2623" t="s">
        <v>5233</v>
      </c>
      <c r="L847" s="2623">
        <v>245.669872</v>
      </c>
      <c r="M847" s="2623">
        <v>246.26987199999999</v>
      </c>
      <c r="N847" s="2623">
        <v>247.40192400000001</v>
      </c>
      <c r="O847" s="2623">
        <v>247.77692400000001</v>
      </c>
      <c r="P847" s="2623">
        <v>250</v>
      </c>
      <c r="Q847" s="2623">
        <v>250.95235199999999</v>
      </c>
      <c r="R847" s="2631">
        <v>225</v>
      </c>
    </row>
    <row r="848" spans="1:18">
      <c r="A848" s="2615"/>
      <c r="B848" s="2618" t="s">
        <v>5656</v>
      </c>
      <c r="C848" s="2616" t="s">
        <v>5234</v>
      </c>
      <c r="D848" s="2623">
        <v>249.94</v>
      </c>
      <c r="E848" s="2623">
        <v>249.465</v>
      </c>
      <c r="F848" s="2623">
        <v>247.34192400000001</v>
      </c>
      <c r="G848" s="2623">
        <v>247.161924</v>
      </c>
      <c r="H848" s="2623">
        <v>245.609872</v>
      </c>
      <c r="I848" s="2623">
        <v>244.697824</v>
      </c>
      <c r="J848" s="2623"/>
      <c r="K848" s="2623"/>
      <c r="L848" s="2623"/>
      <c r="M848" s="2623"/>
      <c r="N848" s="2623"/>
      <c r="O848" s="2623"/>
      <c r="P848" s="2623"/>
      <c r="Q848" s="2623"/>
      <c r="R848" s="2631"/>
    </row>
    <row r="849" spans="1:18">
      <c r="A849" s="2615"/>
      <c r="B849" s="2622" t="s">
        <v>5657</v>
      </c>
      <c r="C849" s="2616" t="s">
        <v>5232</v>
      </c>
      <c r="D849" s="2623">
        <v>249.952</v>
      </c>
      <c r="E849" s="2623">
        <v>249.577</v>
      </c>
      <c r="F849" s="2623">
        <v>248.003443</v>
      </c>
      <c r="G849" s="2623">
        <v>247.753443</v>
      </c>
      <c r="H849" s="2623">
        <v>246.70440400000001</v>
      </c>
      <c r="I849" s="2623">
        <v>245.90536800000001</v>
      </c>
      <c r="J849" s="2623"/>
      <c r="K849" s="2623" t="s">
        <v>5233</v>
      </c>
      <c r="L849" s="2623">
        <v>246.75240400000001</v>
      </c>
      <c r="M849" s="2623">
        <v>247.25240400000001</v>
      </c>
      <c r="N849" s="2623">
        <v>248.05144300000001</v>
      </c>
      <c r="O849" s="2623">
        <v>248.38644300000001</v>
      </c>
      <c r="P849" s="2623">
        <v>250</v>
      </c>
      <c r="Q849" s="2623">
        <v>250.76801399999999</v>
      </c>
      <c r="R849" s="2631">
        <v>225</v>
      </c>
    </row>
    <row r="850" spans="1:18">
      <c r="A850" s="2615"/>
      <c r="B850" s="2622" t="s">
        <v>5657</v>
      </c>
      <c r="C850" s="2616" t="s">
        <v>5234</v>
      </c>
      <c r="D850" s="2623">
        <v>249.952</v>
      </c>
      <c r="E850" s="2623">
        <v>249.577</v>
      </c>
      <c r="F850" s="2623">
        <v>248.003443</v>
      </c>
      <c r="G850" s="2623">
        <v>247.84344300000001</v>
      </c>
      <c r="H850" s="2623">
        <v>246.70440400000001</v>
      </c>
      <c r="I850" s="2623">
        <v>245.99536800000001</v>
      </c>
      <c r="J850" s="2623"/>
      <c r="K850" s="2623"/>
      <c r="L850" s="2623"/>
      <c r="M850" s="2623"/>
      <c r="N850" s="2623"/>
      <c r="O850" s="2623"/>
      <c r="P850" s="2623"/>
      <c r="Q850" s="2623"/>
      <c r="R850" s="2631"/>
    </row>
    <row r="851" spans="1:18">
      <c r="A851" s="2615"/>
      <c r="B851" s="2618" t="s">
        <v>5658</v>
      </c>
      <c r="C851" s="2616" t="s">
        <v>5232</v>
      </c>
      <c r="D851" s="2623">
        <v>249.96199999999999</v>
      </c>
      <c r="E851" s="2623">
        <v>249.68199999999999</v>
      </c>
      <c r="F851" s="2623">
        <v>248.66296199999999</v>
      </c>
      <c r="G851" s="2623">
        <v>248.450962</v>
      </c>
      <c r="H851" s="2623">
        <v>247.79693599999999</v>
      </c>
      <c r="I851" s="2623">
        <v>247.21891199999999</v>
      </c>
      <c r="J851" s="2623"/>
      <c r="K851" s="2623" t="s">
        <v>5233</v>
      </c>
      <c r="L851" s="2623">
        <v>247.834936</v>
      </c>
      <c r="M851" s="2623">
        <v>248.209936</v>
      </c>
      <c r="N851" s="2623">
        <v>248.700962</v>
      </c>
      <c r="O851" s="2623">
        <v>248.98080200000001</v>
      </c>
      <c r="P851" s="2623">
        <v>250</v>
      </c>
      <c r="Q851" s="2623">
        <v>250.56851599999999</v>
      </c>
      <c r="R851" s="2631">
        <v>225</v>
      </c>
    </row>
    <row r="852" spans="1:18">
      <c r="A852" s="2615"/>
      <c r="B852" s="2618" t="s">
        <v>5658</v>
      </c>
      <c r="C852" s="2616" t="s">
        <v>5234</v>
      </c>
      <c r="D852" s="2623">
        <v>249.96199999999999</v>
      </c>
      <c r="E852" s="2623">
        <v>249.68199999999999</v>
      </c>
      <c r="F852" s="2623">
        <v>248.66296199999999</v>
      </c>
      <c r="G852" s="2623">
        <v>248.53096199999999</v>
      </c>
      <c r="H852" s="2623">
        <v>247.79693599999999</v>
      </c>
      <c r="I852" s="2623">
        <v>247.298912</v>
      </c>
      <c r="J852" s="2623"/>
      <c r="K852" s="2623"/>
      <c r="L852" s="2623"/>
      <c r="M852" s="2623"/>
      <c r="N852" s="2623"/>
      <c r="O852" s="2623"/>
      <c r="P852" s="2623"/>
      <c r="Q852" s="2623"/>
      <c r="R852" s="2631"/>
    </row>
    <row r="853" spans="1:18">
      <c r="A853" s="2615">
        <v>255</v>
      </c>
      <c r="B853" s="2618" t="s">
        <v>5659</v>
      </c>
      <c r="C853" s="2616" t="s">
        <v>5232</v>
      </c>
      <c r="D853" s="2623">
        <v>254.92</v>
      </c>
      <c r="E853" s="2623">
        <v>254.32</v>
      </c>
      <c r="F853" s="2623">
        <v>251.022886</v>
      </c>
      <c r="G853" s="2623">
        <v>250.66788600000001</v>
      </c>
      <c r="H853" s="2623">
        <v>248.42480800000001</v>
      </c>
      <c r="I853" s="2623">
        <v>246.97173599999999</v>
      </c>
      <c r="J853" s="2623"/>
      <c r="K853" s="2623" t="s">
        <v>5233</v>
      </c>
      <c r="L853" s="2623">
        <v>248.504808</v>
      </c>
      <c r="M853" s="2623">
        <v>249.30480800000001</v>
      </c>
      <c r="N853" s="2623">
        <v>251.10288600000001</v>
      </c>
      <c r="O853" s="2623">
        <v>251.57788600000001</v>
      </c>
      <c r="P853" s="2623">
        <v>255</v>
      </c>
      <c r="Q853" s="2623">
        <v>256.34102799999999</v>
      </c>
      <c r="R853" s="2631">
        <v>230</v>
      </c>
    </row>
    <row r="854" spans="1:18">
      <c r="A854" s="2615"/>
      <c r="B854" s="2618" t="s">
        <v>5659</v>
      </c>
      <c r="C854" s="2616" t="s">
        <v>5234</v>
      </c>
      <c r="D854" s="2623">
        <v>254.92</v>
      </c>
      <c r="E854" s="2623">
        <v>254.32</v>
      </c>
      <c r="F854" s="2623">
        <v>251.022886</v>
      </c>
      <c r="G854" s="2623">
        <v>250.79888600000001</v>
      </c>
      <c r="H854" s="2623">
        <v>248.42480800000001</v>
      </c>
      <c r="I854" s="2623">
        <v>247.10273599999999</v>
      </c>
      <c r="J854" s="2623"/>
      <c r="K854" s="2623"/>
      <c r="L854" s="2623"/>
      <c r="M854" s="2623"/>
      <c r="N854" s="2623"/>
      <c r="O854" s="2623"/>
      <c r="P854" s="2623"/>
      <c r="Q854" s="2623"/>
      <c r="R854" s="2631"/>
    </row>
    <row r="855" spans="1:18">
      <c r="A855" s="2615"/>
      <c r="B855" s="2618" t="s">
        <v>5660</v>
      </c>
      <c r="C855" s="2616" t="s">
        <v>5232</v>
      </c>
      <c r="D855" s="2623">
        <v>254.94</v>
      </c>
      <c r="E855" s="2623">
        <v>254.465</v>
      </c>
      <c r="F855" s="2623">
        <v>252.34192400000001</v>
      </c>
      <c r="G855" s="2623">
        <v>252.061924</v>
      </c>
      <c r="H855" s="2623">
        <v>250.609872</v>
      </c>
      <c r="I855" s="2623">
        <v>249.597824</v>
      </c>
      <c r="J855" s="2623"/>
      <c r="K855" s="2623" t="s">
        <v>5233</v>
      </c>
      <c r="L855" s="2623">
        <v>250.669872</v>
      </c>
      <c r="M855" s="2623">
        <v>251.26987199999999</v>
      </c>
      <c r="N855" s="2623">
        <v>252.40192400000001</v>
      </c>
      <c r="O855" s="2623">
        <v>252.77692400000001</v>
      </c>
      <c r="P855" s="2623">
        <v>255</v>
      </c>
      <c r="Q855" s="2623">
        <v>255.95235199999999</v>
      </c>
      <c r="R855" s="2631">
        <v>230</v>
      </c>
    </row>
    <row r="856" spans="1:18">
      <c r="A856" s="2615"/>
      <c r="B856" s="2618" t="s">
        <v>5660</v>
      </c>
      <c r="C856" s="2616" t="s">
        <v>5234</v>
      </c>
      <c r="D856" s="2623">
        <v>254.94</v>
      </c>
      <c r="E856" s="2623">
        <v>254.465</v>
      </c>
      <c r="F856" s="2623">
        <v>252.34192400000001</v>
      </c>
      <c r="G856" s="2623">
        <v>252.161924</v>
      </c>
      <c r="H856" s="2623">
        <v>250.609872</v>
      </c>
      <c r="I856" s="2623">
        <v>249.697824</v>
      </c>
      <c r="J856" s="2623"/>
      <c r="K856" s="2623"/>
      <c r="L856" s="2623"/>
      <c r="M856" s="2623"/>
      <c r="N856" s="2623"/>
      <c r="O856" s="2623"/>
      <c r="P856" s="2623"/>
      <c r="Q856" s="2623"/>
      <c r="R856" s="2631"/>
    </row>
    <row r="857" spans="1:18">
      <c r="A857" s="2615"/>
      <c r="B857" s="2618" t="s">
        <v>5661</v>
      </c>
      <c r="C857" s="2616" t="s">
        <v>5232</v>
      </c>
      <c r="D857" s="2623">
        <v>254.952</v>
      </c>
      <c r="E857" s="2623">
        <v>254.577</v>
      </c>
      <c r="F857" s="2623">
        <v>253.003443</v>
      </c>
      <c r="G857" s="2623">
        <v>252.753443</v>
      </c>
      <c r="H857" s="2623">
        <v>251.70440400000001</v>
      </c>
      <c r="I857" s="2623">
        <v>250.90536800000001</v>
      </c>
      <c r="J857" s="2623"/>
      <c r="K857" s="2623" t="s">
        <v>5233</v>
      </c>
      <c r="L857" s="2623">
        <v>251.75240400000001</v>
      </c>
      <c r="M857" s="2623">
        <v>252.25240400000001</v>
      </c>
      <c r="N857" s="2623">
        <v>253.05144300000001</v>
      </c>
      <c r="O857" s="2623">
        <v>253.38644300000001</v>
      </c>
      <c r="P857" s="2623">
        <v>255</v>
      </c>
      <c r="Q857" s="2623">
        <v>255.76801399999999</v>
      </c>
      <c r="R857" s="2631">
        <v>230</v>
      </c>
    </row>
    <row r="858" spans="1:18">
      <c r="A858" s="2615"/>
      <c r="B858" s="2618" t="s">
        <v>5661</v>
      </c>
      <c r="C858" s="2616" t="s">
        <v>5234</v>
      </c>
      <c r="D858" s="2623">
        <v>254.952</v>
      </c>
      <c r="E858" s="2623">
        <v>254.577</v>
      </c>
      <c r="F858" s="2623">
        <v>253.003443</v>
      </c>
      <c r="G858" s="2623">
        <v>252.84344300000001</v>
      </c>
      <c r="H858" s="2623">
        <v>251.70440400000001</v>
      </c>
      <c r="I858" s="2623">
        <v>250.99536800000001</v>
      </c>
      <c r="J858" s="2623"/>
      <c r="K858" s="2623"/>
      <c r="L858" s="2623"/>
      <c r="M858" s="2623"/>
      <c r="N858" s="2623"/>
      <c r="O858" s="2623"/>
      <c r="P858" s="2623"/>
      <c r="Q858" s="2623"/>
      <c r="R858" s="2631"/>
    </row>
    <row r="859" spans="1:18">
      <c r="A859" s="2615">
        <v>260</v>
      </c>
      <c r="B859" s="2618" t="s">
        <v>5662</v>
      </c>
      <c r="C859" s="2616" t="s">
        <v>5232</v>
      </c>
      <c r="D859" s="2623">
        <v>259.89999999999998</v>
      </c>
      <c r="E859" s="2623">
        <v>259.19</v>
      </c>
      <c r="F859" s="2623">
        <v>254.70384799999999</v>
      </c>
      <c r="G859" s="2623">
        <v>254.348848</v>
      </c>
      <c r="H859" s="2623">
        <v>251.239744</v>
      </c>
      <c r="I859" s="2623">
        <v>249.420648</v>
      </c>
      <c r="J859" s="2623"/>
      <c r="K859" s="2623" t="s">
        <v>5233</v>
      </c>
      <c r="L859" s="2623">
        <v>251.339744</v>
      </c>
      <c r="M859" s="2623">
        <v>252.339744</v>
      </c>
      <c r="N859" s="2623">
        <v>254.80384799999999</v>
      </c>
      <c r="O859" s="2623">
        <v>255.27884800000001</v>
      </c>
      <c r="P859" s="2623">
        <v>260</v>
      </c>
      <c r="Q859" s="2623">
        <v>261.629704</v>
      </c>
      <c r="R859" s="2631">
        <v>234</v>
      </c>
    </row>
    <row r="860" spans="1:18">
      <c r="A860" s="2615"/>
      <c r="B860" s="2618" t="s">
        <v>5662</v>
      </c>
      <c r="C860" s="2616" t="s">
        <v>5234</v>
      </c>
      <c r="D860" s="2623">
        <v>259.89999999999998</v>
      </c>
      <c r="E860" s="2623">
        <v>259.19</v>
      </c>
      <c r="F860" s="2623">
        <v>254.70384799999999</v>
      </c>
      <c r="G860" s="2623">
        <v>254.479848</v>
      </c>
      <c r="H860" s="2623">
        <v>251.239744</v>
      </c>
      <c r="I860" s="2623">
        <v>249.551648</v>
      </c>
      <c r="J860" s="2623"/>
      <c r="K860" s="2623"/>
      <c r="L860" s="2623"/>
      <c r="M860" s="2623"/>
      <c r="N860" s="2623"/>
      <c r="O860" s="2623"/>
      <c r="P860" s="2623"/>
      <c r="Q860" s="2623"/>
      <c r="R860" s="2631"/>
    </row>
    <row r="861" spans="1:18">
      <c r="A861" s="2615"/>
      <c r="B861" s="2618" t="s">
        <v>5663</v>
      </c>
      <c r="C861" s="2616" t="s">
        <v>5232</v>
      </c>
      <c r="D861" s="2623">
        <v>259.92</v>
      </c>
      <c r="E861" s="2623">
        <v>259.32</v>
      </c>
      <c r="F861" s="2623">
        <v>256.02288600000003</v>
      </c>
      <c r="G861" s="2623">
        <v>255.707886</v>
      </c>
      <c r="H861" s="2623">
        <v>253.42480800000001</v>
      </c>
      <c r="I861" s="2623">
        <v>252.01173600000001</v>
      </c>
      <c r="J861" s="2623"/>
      <c r="K861" s="2623" t="s">
        <v>5233</v>
      </c>
      <c r="L861" s="2623">
        <v>253.504808</v>
      </c>
      <c r="M861" s="2623">
        <v>254.30480800000001</v>
      </c>
      <c r="N861" s="2623">
        <v>256.10288600000001</v>
      </c>
      <c r="O861" s="2623">
        <v>256.52788600000002</v>
      </c>
      <c r="P861" s="2623">
        <v>260</v>
      </c>
      <c r="Q861" s="2623">
        <v>261.29102799999998</v>
      </c>
      <c r="R861" s="2631">
        <v>234</v>
      </c>
    </row>
    <row r="862" spans="1:18">
      <c r="A862" s="2615"/>
      <c r="B862" s="2618" t="s">
        <v>5663</v>
      </c>
      <c r="C862" s="2616" t="s">
        <v>5234</v>
      </c>
      <c r="D862" s="2623">
        <v>259.92</v>
      </c>
      <c r="E862" s="2623">
        <v>259.32</v>
      </c>
      <c r="F862" s="2623">
        <v>256.02288600000003</v>
      </c>
      <c r="G862" s="2623">
        <v>255.82288600000001</v>
      </c>
      <c r="H862" s="2623">
        <v>253.42480800000001</v>
      </c>
      <c r="I862" s="2623">
        <v>252.12673599999999</v>
      </c>
      <c r="J862" s="2623"/>
      <c r="K862" s="2623"/>
      <c r="L862" s="2623"/>
      <c r="M862" s="2623"/>
      <c r="N862" s="2623"/>
      <c r="O862" s="2623"/>
      <c r="P862" s="2623"/>
      <c r="Q862" s="2623"/>
      <c r="R862" s="2631"/>
    </row>
    <row r="863" spans="1:18">
      <c r="A863" s="2615"/>
      <c r="B863" s="2618" t="s">
        <v>5664</v>
      </c>
      <c r="C863" s="2616" t="s">
        <v>5232</v>
      </c>
      <c r="D863" s="2623">
        <v>259.94</v>
      </c>
      <c r="E863" s="2623">
        <v>259.46499999999997</v>
      </c>
      <c r="F863" s="2623">
        <v>257.34192400000001</v>
      </c>
      <c r="G863" s="2623">
        <v>257.06192399999998</v>
      </c>
      <c r="H863" s="2623">
        <v>255.609872</v>
      </c>
      <c r="I863" s="2623">
        <v>254.597824</v>
      </c>
      <c r="J863" s="2623"/>
      <c r="K863" s="2623" t="s">
        <v>5233</v>
      </c>
      <c r="L863" s="2623">
        <v>255.669872</v>
      </c>
      <c r="M863" s="2623">
        <v>256.26987200000002</v>
      </c>
      <c r="N863" s="2623">
        <v>257.40192400000001</v>
      </c>
      <c r="O863" s="2623">
        <v>257.77692400000001</v>
      </c>
      <c r="P863" s="2623">
        <v>260</v>
      </c>
      <c r="Q863" s="2623">
        <v>260.95235200000002</v>
      </c>
      <c r="R863" s="2631">
        <v>234</v>
      </c>
    </row>
    <row r="864" spans="1:18">
      <c r="A864" s="2615"/>
      <c r="B864" s="2618" t="s">
        <v>5664</v>
      </c>
      <c r="C864" s="2616" t="s">
        <v>5234</v>
      </c>
      <c r="D864" s="2623">
        <v>259.94</v>
      </c>
      <c r="E864" s="2623">
        <v>259.46499999999997</v>
      </c>
      <c r="F864" s="2623">
        <v>257.34192400000001</v>
      </c>
      <c r="G864" s="2623">
        <v>257.161924</v>
      </c>
      <c r="H864" s="2623">
        <v>255.609872</v>
      </c>
      <c r="I864" s="2623">
        <v>254.697824</v>
      </c>
      <c r="J864" s="2623"/>
      <c r="K864" s="2623"/>
      <c r="L864" s="2623"/>
      <c r="M864" s="2623"/>
      <c r="N864" s="2623"/>
      <c r="O864" s="2623"/>
      <c r="P864" s="2623"/>
      <c r="Q864" s="2623"/>
      <c r="R864" s="2631"/>
    </row>
    <row r="865" spans="1:18">
      <c r="A865" s="2615"/>
      <c r="B865" s="2622" t="s">
        <v>5665</v>
      </c>
      <c r="C865" s="2616" t="s">
        <v>5232</v>
      </c>
      <c r="D865" s="2623">
        <v>259.952</v>
      </c>
      <c r="E865" s="2623">
        <v>259.577</v>
      </c>
      <c r="F865" s="2623">
        <v>258.003443</v>
      </c>
      <c r="G865" s="2623">
        <v>257.753443</v>
      </c>
      <c r="H865" s="2623">
        <v>256.70440400000001</v>
      </c>
      <c r="I865" s="2623">
        <v>255.90536800000001</v>
      </c>
      <c r="J865" s="2623"/>
      <c r="K865" s="2623" t="s">
        <v>5233</v>
      </c>
      <c r="L865" s="2623">
        <v>256.75240400000001</v>
      </c>
      <c r="M865" s="2623">
        <v>257.25240400000001</v>
      </c>
      <c r="N865" s="2623">
        <v>258.05144300000001</v>
      </c>
      <c r="O865" s="2623">
        <v>258.38644299999999</v>
      </c>
      <c r="P865" s="2623">
        <v>260</v>
      </c>
      <c r="Q865" s="2623">
        <v>260.76801399999999</v>
      </c>
      <c r="R865" s="2631">
        <v>234</v>
      </c>
    </row>
    <row r="866" spans="1:18">
      <c r="A866" s="2615"/>
      <c r="B866" s="2622" t="s">
        <v>5665</v>
      </c>
      <c r="C866" s="2616" t="s">
        <v>5234</v>
      </c>
      <c r="D866" s="2623">
        <v>259.952</v>
      </c>
      <c r="E866" s="2623">
        <v>259.577</v>
      </c>
      <c r="F866" s="2623">
        <v>258.003443</v>
      </c>
      <c r="G866" s="2623">
        <v>257.84344299999998</v>
      </c>
      <c r="H866" s="2623">
        <v>256.70440400000001</v>
      </c>
      <c r="I866" s="2623">
        <v>255.99536800000001</v>
      </c>
      <c r="J866" s="2623"/>
      <c r="K866" s="2623"/>
      <c r="L866" s="2623"/>
      <c r="M866" s="2623"/>
      <c r="N866" s="2623"/>
      <c r="O866" s="2623"/>
      <c r="P866" s="2623"/>
      <c r="Q866" s="2623"/>
      <c r="R866" s="2631"/>
    </row>
    <row r="867" spans="1:18">
      <c r="A867" s="2615">
        <v>265</v>
      </c>
      <c r="B867" s="2618" t="s">
        <v>5666</v>
      </c>
      <c r="C867" s="2616" t="s">
        <v>5232</v>
      </c>
      <c r="D867" s="2623">
        <v>264.92</v>
      </c>
      <c r="E867" s="2623">
        <v>264.32</v>
      </c>
      <c r="F867" s="2623">
        <v>261.02288600000003</v>
      </c>
      <c r="G867" s="2623">
        <v>260.70788599999997</v>
      </c>
      <c r="H867" s="2623">
        <v>258.42480799999998</v>
      </c>
      <c r="I867" s="2623">
        <v>257.01173599999998</v>
      </c>
      <c r="J867" s="2623"/>
      <c r="K867" s="2623" t="s">
        <v>5233</v>
      </c>
      <c r="L867" s="2623">
        <v>258.50480800000003</v>
      </c>
      <c r="M867" s="2623">
        <v>259.30480799999998</v>
      </c>
      <c r="N867" s="2623">
        <v>261.10288600000001</v>
      </c>
      <c r="O867" s="2623">
        <v>261.52788600000002</v>
      </c>
      <c r="P867" s="2623">
        <v>265</v>
      </c>
      <c r="Q867" s="2623">
        <v>266.29102799999998</v>
      </c>
      <c r="R867" s="2631">
        <v>238</v>
      </c>
    </row>
    <row r="868" spans="1:18">
      <c r="A868" s="2615"/>
      <c r="B868" s="2618" t="s">
        <v>5666</v>
      </c>
      <c r="C868" s="2616" t="s">
        <v>5234</v>
      </c>
      <c r="D868" s="2623">
        <v>264.92</v>
      </c>
      <c r="E868" s="2623">
        <v>264.32</v>
      </c>
      <c r="F868" s="2623">
        <v>261.02288600000003</v>
      </c>
      <c r="G868" s="2623">
        <v>260.82288599999998</v>
      </c>
      <c r="H868" s="2623">
        <v>258.42480799999998</v>
      </c>
      <c r="I868" s="2623">
        <v>257.12673599999999</v>
      </c>
      <c r="J868" s="2623"/>
      <c r="K868" s="2623"/>
      <c r="L868" s="2623"/>
      <c r="M868" s="2623"/>
      <c r="N868" s="2623"/>
      <c r="O868" s="2623"/>
      <c r="P868" s="2623"/>
      <c r="Q868" s="2623"/>
      <c r="R868" s="2631"/>
    </row>
    <row r="869" spans="1:18">
      <c r="A869" s="2615"/>
      <c r="B869" s="2618" t="s">
        <v>5667</v>
      </c>
      <c r="C869" s="2616" t="s">
        <v>5232</v>
      </c>
      <c r="D869" s="2623">
        <v>264.94</v>
      </c>
      <c r="E869" s="2623">
        <v>264.46499999999997</v>
      </c>
      <c r="F869" s="2623">
        <v>262.34192400000001</v>
      </c>
      <c r="G869" s="2623">
        <v>262.06192399999998</v>
      </c>
      <c r="H869" s="2623">
        <v>260.609872</v>
      </c>
      <c r="I869" s="2623">
        <v>259.597824</v>
      </c>
      <c r="J869" s="2623"/>
      <c r="K869" s="2623" t="s">
        <v>5233</v>
      </c>
      <c r="L869" s="2623">
        <v>260.669872</v>
      </c>
      <c r="M869" s="2623">
        <v>261.26987200000002</v>
      </c>
      <c r="N869" s="2623">
        <v>262.40192400000001</v>
      </c>
      <c r="O869" s="2623">
        <v>262.77692400000001</v>
      </c>
      <c r="P869" s="2623">
        <v>265</v>
      </c>
      <c r="Q869" s="2623">
        <v>265.95235200000002</v>
      </c>
      <c r="R869" s="2631">
        <v>238</v>
      </c>
    </row>
    <row r="870" spans="1:18">
      <c r="A870" s="2615"/>
      <c r="B870" s="2618" t="s">
        <v>5667</v>
      </c>
      <c r="C870" s="2616" t="s">
        <v>5234</v>
      </c>
      <c r="D870" s="2623">
        <v>264.94</v>
      </c>
      <c r="E870" s="2623">
        <v>264.46499999999997</v>
      </c>
      <c r="F870" s="2623">
        <v>262.34192400000001</v>
      </c>
      <c r="G870" s="2623">
        <v>262.161924</v>
      </c>
      <c r="H870" s="2623">
        <v>260.609872</v>
      </c>
      <c r="I870" s="2623">
        <v>259.69782400000003</v>
      </c>
      <c r="J870" s="2623"/>
      <c r="K870" s="2623"/>
      <c r="L870" s="2623"/>
      <c r="M870" s="2623"/>
      <c r="N870" s="2623"/>
      <c r="O870" s="2623"/>
      <c r="P870" s="2623"/>
      <c r="Q870" s="2623"/>
      <c r="R870" s="2631"/>
    </row>
    <row r="871" spans="1:18">
      <c r="A871" s="2615"/>
      <c r="B871" s="2618" t="s">
        <v>5668</v>
      </c>
      <c r="C871" s="2616" t="s">
        <v>5232</v>
      </c>
      <c r="D871" s="2623">
        <v>264.952</v>
      </c>
      <c r="E871" s="2623">
        <v>264.577</v>
      </c>
      <c r="F871" s="2623">
        <v>263.003443</v>
      </c>
      <c r="G871" s="2623">
        <v>262.753443</v>
      </c>
      <c r="H871" s="2623">
        <v>261.70440400000001</v>
      </c>
      <c r="I871" s="2623">
        <v>260.90536800000001</v>
      </c>
      <c r="J871" s="2623"/>
      <c r="K871" s="2623" t="s">
        <v>5233</v>
      </c>
      <c r="L871" s="2623">
        <v>261.75240400000001</v>
      </c>
      <c r="M871" s="2623">
        <v>262.25240400000001</v>
      </c>
      <c r="N871" s="2623">
        <v>263.05144300000001</v>
      </c>
      <c r="O871" s="2623">
        <v>263.38644299999999</v>
      </c>
      <c r="P871" s="2623">
        <v>265</v>
      </c>
      <c r="Q871" s="2623">
        <v>265.76801399999999</v>
      </c>
      <c r="R871" s="2631">
        <v>238</v>
      </c>
    </row>
    <row r="872" spans="1:18">
      <c r="A872" s="2615"/>
      <c r="B872" s="2618" t="s">
        <v>5668</v>
      </c>
      <c r="C872" s="2616" t="s">
        <v>5234</v>
      </c>
      <c r="D872" s="2623">
        <v>264.952</v>
      </c>
      <c r="E872" s="2623">
        <v>264.577</v>
      </c>
      <c r="F872" s="2623">
        <v>263.003443</v>
      </c>
      <c r="G872" s="2623">
        <v>262.84344299999998</v>
      </c>
      <c r="H872" s="2623">
        <v>261.70440400000001</v>
      </c>
      <c r="I872" s="2623">
        <v>260.99536799999998</v>
      </c>
      <c r="J872" s="2623"/>
      <c r="K872" s="2623"/>
      <c r="L872" s="2623"/>
      <c r="M872" s="2623"/>
      <c r="N872" s="2623"/>
      <c r="O872" s="2623"/>
      <c r="P872" s="2623"/>
      <c r="Q872" s="2623"/>
      <c r="R872" s="2631"/>
    </row>
    <row r="873" spans="1:18">
      <c r="A873" s="2615">
        <v>270</v>
      </c>
      <c r="B873" s="2618" t="s">
        <v>5669</v>
      </c>
      <c r="C873" s="2616" t="s">
        <v>5232</v>
      </c>
      <c r="D873" s="2623">
        <v>269.92</v>
      </c>
      <c r="E873" s="2623">
        <v>269.32</v>
      </c>
      <c r="F873" s="2623">
        <v>266.02288600000003</v>
      </c>
      <c r="G873" s="2623">
        <v>265.70788599999997</v>
      </c>
      <c r="H873" s="2623">
        <v>263.42480799999998</v>
      </c>
      <c r="I873" s="2623">
        <v>262.01173599999998</v>
      </c>
      <c r="J873" s="2623"/>
      <c r="K873" s="2623" t="s">
        <v>5233</v>
      </c>
      <c r="L873" s="2623">
        <v>263.50480800000003</v>
      </c>
      <c r="M873" s="2623">
        <v>264.30480799999998</v>
      </c>
      <c r="N873" s="2623">
        <v>266.10288600000001</v>
      </c>
      <c r="O873" s="2623">
        <v>266.52788600000002</v>
      </c>
      <c r="P873" s="2623">
        <v>270</v>
      </c>
      <c r="Q873" s="2623">
        <v>271.29102799999998</v>
      </c>
      <c r="R873" s="2631">
        <v>243</v>
      </c>
    </row>
    <row r="874" spans="1:18">
      <c r="A874" s="2615"/>
      <c r="B874" s="2618" t="s">
        <v>5669</v>
      </c>
      <c r="C874" s="2616" t="s">
        <v>5234</v>
      </c>
      <c r="D874" s="2623">
        <v>269.92</v>
      </c>
      <c r="E874" s="2623">
        <v>269.32</v>
      </c>
      <c r="F874" s="2623">
        <v>266.02288600000003</v>
      </c>
      <c r="G874" s="2623">
        <v>265.82288599999998</v>
      </c>
      <c r="H874" s="2623">
        <v>263.42480799999998</v>
      </c>
      <c r="I874" s="2623">
        <v>262.12673599999999</v>
      </c>
      <c r="J874" s="2623"/>
      <c r="K874" s="2623"/>
      <c r="L874" s="2623"/>
      <c r="M874" s="2623"/>
      <c r="N874" s="2623"/>
      <c r="O874" s="2623"/>
      <c r="P874" s="2623"/>
      <c r="Q874" s="2623"/>
      <c r="R874" s="2631"/>
    </row>
    <row r="875" spans="1:18">
      <c r="A875" s="2615"/>
      <c r="B875" s="2618" t="s">
        <v>5670</v>
      </c>
      <c r="C875" s="2616" t="s">
        <v>5232</v>
      </c>
      <c r="D875" s="2623">
        <v>269.94</v>
      </c>
      <c r="E875" s="2623">
        <v>269.46499999999997</v>
      </c>
      <c r="F875" s="2623">
        <v>267.34192400000001</v>
      </c>
      <c r="G875" s="2623">
        <v>267.06192399999998</v>
      </c>
      <c r="H875" s="2623">
        <v>265.609872</v>
      </c>
      <c r="I875" s="2623">
        <v>264.597824</v>
      </c>
      <c r="J875" s="2623"/>
      <c r="K875" s="2623" t="s">
        <v>5233</v>
      </c>
      <c r="L875" s="2623">
        <v>265.669872</v>
      </c>
      <c r="M875" s="2623">
        <v>266.26987200000002</v>
      </c>
      <c r="N875" s="2623">
        <v>267.40192400000001</v>
      </c>
      <c r="O875" s="2623">
        <v>267.77692400000001</v>
      </c>
      <c r="P875" s="2623">
        <v>270</v>
      </c>
      <c r="Q875" s="2623">
        <v>270.95235200000002</v>
      </c>
      <c r="R875" s="2631">
        <v>243</v>
      </c>
    </row>
    <row r="876" spans="1:18">
      <c r="A876" s="2615"/>
      <c r="B876" s="2618" t="s">
        <v>5670</v>
      </c>
      <c r="C876" s="2616" t="s">
        <v>5234</v>
      </c>
      <c r="D876" s="2623">
        <v>269.94</v>
      </c>
      <c r="E876" s="2623">
        <v>269.46499999999997</v>
      </c>
      <c r="F876" s="2623">
        <v>267.34192400000001</v>
      </c>
      <c r="G876" s="2623">
        <v>267.161924</v>
      </c>
      <c r="H876" s="2623">
        <v>265.609872</v>
      </c>
      <c r="I876" s="2623">
        <v>264.69782400000003</v>
      </c>
      <c r="J876" s="2623"/>
      <c r="K876" s="2623"/>
      <c r="L876" s="2623"/>
      <c r="M876" s="2623"/>
      <c r="N876" s="2623"/>
      <c r="O876" s="2623"/>
      <c r="P876" s="2623"/>
      <c r="Q876" s="2623"/>
      <c r="R876" s="2631"/>
    </row>
    <row r="877" spans="1:18">
      <c r="A877" s="2615"/>
      <c r="B877" s="2618" t="s">
        <v>5671</v>
      </c>
      <c r="C877" s="2616" t="s">
        <v>5232</v>
      </c>
      <c r="D877" s="2623">
        <v>269.952</v>
      </c>
      <c r="E877" s="2623">
        <v>269.577</v>
      </c>
      <c r="F877" s="2623">
        <v>268.003443</v>
      </c>
      <c r="G877" s="2623">
        <v>267.753443</v>
      </c>
      <c r="H877" s="2623">
        <v>266.70440400000001</v>
      </c>
      <c r="I877" s="2623">
        <v>265.90536800000001</v>
      </c>
      <c r="J877" s="2623"/>
      <c r="K877" s="2623" t="s">
        <v>5233</v>
      </c>
      <c r="L877" s="2623">
        <v>266.75240400000001</v>
      </c>
      <c r="M877" s="2623">
        <v>267.25240400000001</v>
      </c>
      <c r="N877" s="2623">
        <v>268.05144300000001</v>
      </c>
      <c r="O877" s="2623">
        <v>268.38644299999999</v>
      </c>
      <c r="P877" s="2623">
        <v>270</v>
      </c>
      <c r="Q877" s="2623">
        <v>270.76801399999999</v>
      </c>
      <c r="R877" s="2631">
        <v>243</v>
      </c>
    </row>
    <row r="878" spans="1:18">
      <c r="A878" s="2615"/>
      <c r="B878" s="2618" t="s">
        <v>5671</v>
      </c>
      <c r="C878" s="2616" t="s">
        <v>5234</v>
      </c>
      <c r="D878" s="2623">
        <v>269.952</v>
      </c>
      <c r="E878" s="2623">
        <v>269.577</v>
      </c>
      <c r="F878" s="2623">
        <v>268.003443</v>
      </c>
      <c r="G878" s="2623">
        <v>267.84344299999998</v>
      </c>
      <c r="H878" s="2623">
        <v>266.70440400000001</v>
      </c>
      <c r="I878" s="2623">
        <v>265.99536799999998</v>
      </c>
      <c r="J878" s="2623"/>
      <c r="K878" s="2623"/>
      <c r="L878" s="2623"/>
      <c r="M878" s="2623"/>
      <c r="N878" s="2623"/>
      <c r="O878" s="2623"/>
      <c r="P878" s="2623"/>
      <c r="Q878" s="2623"/>
      <c r="R878" s="2631"/>
    </row>
    <row r="879" spans="1:18">
      <c r="A879" s="2615">
        <v>275</v>
      </c>
      <c r="B879" s="2618" t="s">
        <v>5672</v>
      </c>
      <c r="C879" s="2616" t="s">
        <v>5232</v>
      </c>
      <c r="D879" s="2623">
        <v>274.92</v>
      </c>
      <c r="E879" s="2623">
        <v>274.32</v>
      </c>
      <c r="F879" s="2623">
        <v>271.02288600000003</v>
      </c>
      <c r="G879" s="2623">
        <v>270.70788599999997</v>
      </c>
      <c r="H879" s="2623">
        <v>268.42480799999998</v>
      </c>
      <c r="I879" s="2623">
        <v>267.01173599999998</v>
      </c>
      <c r="J879" s="2623"/>
      <c r="K879" s="2623" t="s">
        <v>5233</v>
      </c>
      <c r="L879" s="2623">
        <v>268.50480800000003</v>
      </c>
      <c r="M879" s="2623">
        <v>269.30480799999998</v>
      </c>
      <c r="N879" s="2623">
        <v>271.10288600000001</v>
      </c>
      <c r="O879" s="2623">
        <v>271.52788600000002</v>
      </c>
      <c r="P879" s="2623">
        <v>275</v>
      </c>
      <c r="Q879" s="2623">
        <v>276.29102799999998</v>
      </c>
      <c r="R879" s="2631">
        <v>248</v>
      </c>
    </row>
    <row r="880" spans="1:18">
      <c r="A880" s="2615"/>
      <c r="B880" s="2618" t="s">
        <v>5672</v>
      </c>
      <c r="C880" s="2616" t="s">
        <v>5234</v>
      </c>
      <c r="D880" s="2623">
        <v>274.92</v>
      </c>
      <c r="E880" s="2623">
        <v>274.32</v>
      </c>
      <c r="F880" s="2623">
        <v>271.02288600000003</v>
      </c>
      <c r="G880" s="2623">
        <v>270.82288599999998</v>
      </c>
      <c r="H880" s="2623">
        <v>268.42480799999998</v>
      </c>
      <c r="I880" s="2623">
        <v>267.12673599999999</v>
      </c>
      <c r="J880" s="2623"/>
      <c r="K880" s="2623"/>
      <c r="L880" s="2623"/>
      <c r="M880" s="2623"/>
      <c r="N880" s="2623"/>
      <c r="O880" s="2623"/>
      <c r="P880" s="2623"/>
      <c r="Q880" s="2623"/>
      <c r="R880" s="2631"/>
    </row>
    <row r="881" spans="1:18">
      <c r="A881" s="2615"/>
      <c r="B881" s="2618" t="s">
        <v>5673</v>
      </c>
      <c r="C881" s="2616" t="s">
        <v>5232</v>
      </c>
      <c r="D881" s="2623">
        <v>274.94</v>
      </c>
      <c r="E881" s="2623">
        <v>274.46499999999997</v>
      </c>
      <c r="F881" s="2623">
        <v>272.34192400000001</v>
      </c>
      <c r="G881" s="2623">
        <v>272.06192399999998</v>
      </c>
      <c r="H881" s="2623">
        <v>270.609872</v>
      </c>
      <c r="I881" s="2623">
        <v>269.597824</v>
      </c>
      <c r="J881" s="2623"/>
      <c r="K881" s="2623" t="s">
        <v>5233</v>
      </c>
      <c r="L881" s="2623">
        <v>270.669872</v>
      </c>
      <c r="M881" s="2623">
        <v>271.26987200000002</v>
      </c>
      <c r="N881" s="2623">
        <v>272.40192400000001</v>
      </c>
      <c r="O881" s="2623">
        <v>272.77692400000001</v>
      </c>
      <c r="P881" s="2623">
        <v>275</v>
      </c>
      <c r="Q881" s="2623">
        <v>275.95235200000002</v>
      </c>
      <c r="R881" s="2631">
        <v>248</v>
      </c>
    </row>
    <row r="882" spans="1:18">
      <c r="A882" s="2615"/>
      <c r="B882" s="2618" t="s">
        <v>5673</v>
      </c>
      <c r="C882" s="2616" t="s">
        <v>5234</v>
      </c>
      <c r="D882" s="2623">
        <v>274.94</v>
      </c>
      <c r="E882" s="2623">
        <v>274.46499999999997</v>
      </c>
      <c r="F882" s="2623">
        <v>272.34192400000001</v>
      </c>
      <c r="G882" s="2623">
        <v>272.161924</v>
      </c>
      <c r="H882" s="2623">
        <v>270.609872</v>
      </c>
      <c r="I882" s="2623">
        <v>269.69782400000003</v>
      </c>
      <c r="J882" s="2623"/>
      <c r="K882" s="2623"/>
      <c r="L882" s="2623"/>
      <c r="M882" s="2623"/>
      <c r="N882" s="2623"/>
      <c r="O882" s="2623"/>
      <c r="P882" s="2623"/>
      <c r="Q882" s="2623"/>
      <c r="R882" s="2631"/>
    </row>
    <row r="883" spans="1:18">
      <c r="A883" s="2615"/>
      <c r="B883" s="2618" t="s">
        <v>5674</v>
      </c>
      <c r="C883" s="2616" t="s">
        <v>5232</v>
      </c>
      <c r="D883" s="2623">
        <v>274.952</v>
      </c>
      <c r="E883" s="2623">
        <v>274.577</v>
      </c>
      <c r="F883" s="2623">
        <v>273.003443</v>
      </c>
      <c r="G883" s="2623">
        <v>272.753443</v>
      </c>
      <c r="H883" s="2623">
        <v>271.70440400000001</v>
      </c>
      <c r="I883" s="2623">
        <v>270.90536800000001</v>
      </c>
      <c r="J883" s="2623"/>
      <c r="K883" s="2623" t="s">
        <v>5233</v>
      </c>
      <c r="L883" s="2623">
        <v>271.75240400000001</v>
      </c>
      <c r="M883" s="2623">
        <v>272.25240400000001</v>
      </c>
      <c r="N883" s="2623">
        <v>273.05144300000001</v>
      </c>
      <c r="O883" s="2623">
        <v>273.38644299999999</v>
      </c>
      <c r="P883" s="2623">
        <v>275</v>
      </c>
      <c r="Q883" s="2623">
        <v>275.76801399999999</v>
      </c>
      <c r="R883" s="2631">
        <v>248</v>
      </c>
    </row>
    <row r="884" spans="1:18">
      <c r="A884" s="2615"/>
      <c r="B884" s="2618" t="s">
        <v>5674</v>
      </c>
      <c r="C884" s="2616" t="s">
        <v>5234</v>
      </c>
      <c r="D884" s="2623">
        <v>274.952</v>
      </c>
      <c r="E884" s="2623">
        <v>274.577</v>
      </c>
      <c r="F884" s="2623">
        <v>273.003443</v>
      </c>
      <c r="G884" s="2623">
        <v>272.84344299999998</v>
      </c>
      <c r="H884" s="2623">
        <v>271.70440400000001</v>
      </c>
      <c r="I884" s="2623">
        <v>270.99536799999998</v>
      </c>
      <c r="J884" s="2623"/>
      <c r="K884" s="2623"/>
      <c r="L884" s="2623"/>
      <c r="M884" s="2623"/>
      <c r="N884" s="2623"/>
      <c r="O884" s="2623"/>
      <c r="P884" s="2623"/>
      <c r="Q884" s="2623"/>
      <c r="R884" s="2631"/>
    </row>
    <row r="885" spans="1:18">
      <c r="A885" s="2615">
        <v>280</v>
      </c>
      <c r="B885" s="2618" t="s">
        <v>5675</v>
      </c>
      <c r="C885" s="2616" t="s">
        <v>5232</v>
      </c>
      <c r="D885" s="2623">
        <v>279.89999999999998</v>
      </c>
      <c r="E885" s="2623">
        <v>279.19</v>
      </c>
      <c r="F885" s="2623">
        <v>274.70384799999999</v>
      </c>
      <c r="G885" s="2623">
        <v>274.34884799999998</v>
      </c>
      <c r="H885" s="2623">
        <v>271.23974399999997</v>
      </c>
      <c r="I885" s="2623">
        <v>269.42064800000003</v>
      </c>
      <c r="J885" s="2623"/>
      <c r="K885" s="2623" t="s">
        <v>5233</v>
      </c>
      <c r="L885" s="2623">
        <v>271.339744</v>
      </c>
      <c r="M885" s="2623">
        <v>272.339744</v>
      </c>
      <c r="N885" s="2623">
        <v>274.80384800000002</v>
      </c>
      <c r="O885" s="2623">
        <v>275.27884799999998</v>
      </c>
      <c r="P885" s="2623">
        <v>280</v>
      </c>
      <c r="Q885" s="2623">
        <v>281.629704</v>
      </c>
      <c r="R885" s="2631">
        <v>252</v>
      </c>
    </row>
    <row r="886" spans="1:18">
      <c r="A886" s="2615"/>
      <c r="B886" s="2618" t="s">
        <v>5675</v>
      </c>
      <c r="C886" s="2616" t="s">
        <v>5234</v>
      </c>
      <c r="D886" s="2623">
        <v>279.89999999999998</v>
      </c>
      <c r="E886" s="2623">
        <v>279.19</v>
      </c>
      <c r="F886" s="2623">
        <v>274.70384799999999</v>
      </c>
      <c r="G886" s="2623">
        <v>274.479848</v>
      </c>
      <c r="H886" s="2623">
        <v>271.23974399999997</v>
      </c>
      <c r="I886" s="2623">
        <v>269.551648</v>
      </c>
      <c r="J886" s="2623"/>
      <c r="K886" s="2623"/>
      <c r="L886" s="2623"/>
      <c r="M886" s="2623"/>
      <c r="N886" s="2623"/>
      <c r="O886" s="2623"/>
      <c r="P886" s="2623"/>
      <c r="Q886" s="2623"/>
      <c r="R886" s="2631"/>
    </row>
    <row r="887" spans="1:18">
      <c r="A887" s="2615"/>
      <c r="B887" s="2618" t="s">
        <v>5676</v>
      </c>
      <c r="C887" s="2616" t="s">
        <v>5232</v>
      </c>
      <c r="D887" s="2623">
        <v>279.92</v>
      </c>
      <c r="E887" s="2623">
        <v>279.32</v>
      </c>
      <c r="F887" s="2623">
        <v>276.02288600000003</v>
      </c>
      <c r="G887" s="2623">
        <v>275.70788599999997</v>
      </c>
      <c r="H887" s="2623">
        <v>273.42480799999998</v>
      </c>
      <c r="I887" s="2623">
        <v>272.01173599999998</v>
      </c>
      <c r="J887" s="2623"/>
      <c r="K887" s="2623" t="s">
        <v>5233</v>
      </c>
      <c r="L887" s="2623">
        <v>273.50480800000003</v>
      </c>
      <c r="M887" s="2623">
        <v>274.30480799999998</v>
      </c>
      <c r="N887" s="2623">
        <v>276.10288600000001</v>
      </c>
      <c r="O887" s="2623">
        <v>276.52788600000002</v>
      </c>
      <c r="P887" s="2623">
        <v>280</v>
      </c>
      <c r="Q887" s="2623">
        <v>281.29102799999998</v>
      </c>
      <c r="R887" s="2631">
        <v>252</v>
      </c>
    </row>
    <row r="888" spans="1:18">
      <c r="A888" s="2615"/>
      <c r="B888" s="2618" t="s">
        <v>5676</v>
      </c>
      <c r="C888" s="2616" t="s">
        <v>5234</v>
      </c>
      <c r="D888" s="2623">
        <v>279.92</v>
      </c>
      <c r="E888" s="2623">
        <v>279.32</v>
      </c>
      <c r="F888" s="2623">
        <v>276.02288600000003</v>
      </c>
      <c r="G888" s="2623">
        <v>275.82288599999998</v>
      </c>
      <c r="H888" s="2623">
        <v>273.42480799999998</v>
      </c>
      <c r="I888" s="2623">
        <v>272.12673599999999</v>
      </c>
      <c r="J888" s="2623"/>
      <c r="K888" s="2623"/>
      <c r="L888" s="2623"/>
      <c r="M888" s="2623"/>
      <c r="N888" s="2623"/>
      <c r="O888" s="2623"/>
      <c r="P888" s="2623"/>
      <c r="Q888" s="2623"/>
      <c r="R888" s="2631"/>
    </row>
    <row r="889" spans="1:18">
      <c r="A889" s="2615"/>
      <c r="B889" s="2618" t="s">
        <v>5677</v>
      </c>
      <c r="C889" s="2616" t="s">
        <v>5232</v>
      </c>
      <c r="D889" s="2623">
        <v>279.94</v>
      </c>
      <c r="E889" s="2623">
        <v>279.46499999999997</v>
      </c>
      <c r="F889" s="2623">
        <v>277.34192400000001</v>
      </c>
      <c r="G889" s="2623">
        <v>277.06192399999998</v>
      </c>
      <c r="H889" s="2623">
        <v>275.609872</v>
      </c>
      <c r="I889" s="2623">
        <v>274.597824</v>
      </c>
      <c r="J889" s="2623"/>
      <c r="K889" s="2623" t="s">
        <v>5233</v>
      </c>
      <c r="L889" s="2623">
        <v>275.669872</v>
      </c>
      <c r="M889" s="2623">
        <v>276.26987200000002</v>
      </c>
      <c r="N889" s="2623">
        <v>277.40192400000001</v>
      </c>
      <c r="O889" s="2623">
        <v>277.77692400000001</v>
      </c>
      <c r="P889" s="2623">
        <v>280</v>
      </c>
      <c r="Q889" s="2623">
        <v>280.95235200000002</v>
      </c>
      <c r="R889" s="2631">
        <v>252</v>
      </c>
    </row>
    <row r="890" spans="1:18">
      <c r="A890" s="2615"/>
      <c r="B890" s="2618" t="s">
        <v>5677</v>
      </c>
      <c r="C890" s="2616" t="s">
        <v>5234</v>
      </c>
      <c r="D890" s="2623">
        <v>279.94</v>
      </c>
      <c r="E890" s="2623">
        <v>279.46499999999997</v>
      </c>
      <c r="F890" s="2623">
        <v>277.34192400000001</v>
      </c>
      <c r="G890" s="2623">
        <v>277.161924</v>
      </c>
      <c r="H890" s="2623">
        <v>275.609872</v>
      </c>
      <c r="I890" s="2623">
        <v>274.69782400000003</v>
      </c>
      <c r="J890" s="2623"/>
      <c r="K890" s="2623"/>
      <c r="L890" s="2623"/>
      <c r="M890" s="2623"/>
      <c r="N890" s="2623"/>
      <c r="O890" s="2623"/>
      <c r="P890" s="2623"/>
      <c r="Q890" s="2623"/>
      <c r="R890" s="2631"/>
    </row>
    <row r="891" spans="1:18">
      <c r="A891" s="2615"/>
      <c r="B891" s="2622" t="s">
        <v>5678</v>
      </c>
      <c r="C891" s="2616" t="s">
        <v>5232</v>
      </c>
      <c r="D891" s="2623">
        <v>279.952</v>
      </c>
      <c r="E891" s="2623">
        <v>279.577</v>
      </c>
      <c r="F891" s="2623">
        <v>278.003443</v>
      </c>
      <c r="G891" s="2623">
        <v>277.753443</v>
      </c>
      <c r="H891" s="2623">
        <v>276.70440400000001</v>
      </c>
      <c r="I891" s="2623">
        <v>275.90536800000001</v>
      </c>
      <c r="J891" s="2623"/>
      <c r="K891" s="2623" t="s">
        <v>5233</v>
      </c>
      <c r="L891" s="2623">
        <v>276.75240400000001</v>
      </c>
      <c r="M891" s="2623">
        <v>277.25240400000001</v>
      </c>
      <c r="N891" s="2623">
        <v>278.05144300000001</v>
      </c>
      <c r="O891" s="2623">
        <v>278.38644299999999</v>
      </c>
      <c r="P891" s="2623">
        <v>280</v>
      </c>
      <c r="Q891" s="2623">
        <v>280.76801399999999</v>
      </c>
      <c r="R891" s="2631">
        <v>252</v>
      </c>
    </row>
    <row r="892" spans="1:18">
      <c r="A892" s="2615"/>
      <c r="B892" s="2622" t="s">
        <v>5678</v>
      </c>
      <c r="C892" s="2616" t="s">
        <v>5234</v>
      </c>
      <c r="D892" s="2623">
        <v>279.952</v>
      </c>
      <c r="E892" s="2623">
        <v>279.577</v>
      </c>
      <c r="F892" s="2623">
        <v>278.003443</v>
      </c>
      <c r="G892" s="2623">
        <v>277.84344299999998</v>
      </c>
      <c r="H892" s="2623">
        <v>276.70440400000001</v>
      </c>
      <c r="I892" s="2623">
        <v>275.99536799999998</v>
      </c>
      <c r="J892" s="2623"/>
      <c r="K892" s="2623"/>
      <c r="L892" s="2623"/>
      <c r="M892" s="2623"/>
      <c r="N892" s="2623"/>
      <c r="O892" s="2623"/>
      <c r="P892" s="2623"/>
      <c r="Q892" s="2623"/>
      <c r="R892" s="2631"/>
    </row>
    <row r="893" spans="1:18">
      <c r="A893" s="2615">
        <v>285</v>
      </c>
      <c r="B893" s="2618" t="s">
        <v>5679</v>
      </c>
      <c r="C893" s="2616" t="s">
        <v>5232</v>
      </c>
      <c r="D893" s="2623">
        <v>284.92</v>
      </c>
      <c r="E893" s="2623">
        <v>284.32</v>
      </c>
      <c r="F893" s="2623">
        <v>281.02288600000003</v>
      </c>
      <c r="G893" s="2623">
        <v>280.70788599999997</v>
      </c>
      <c r="H893" s="2623">
        <v>278.42480799999998</v>
      </c>
      <c r="I893" s="2623">
        <v>277.01173599999998</v>
      </c>
      <c r="J893" s="2623"/>
      <c r="K893" s="2623" t="s">
        <v>5233</v>
      </c>
      <c r="L893" s="2623">
        <v>278.50480800000003</v>
      </c>
      <c r="M893" s="2623">
        <v>279.30480799999998</v>
      </c>
      <c r="N893" s="2623">
        <v>281.10288600000001</v>
      </c>
      <c r="O893" s="2623">
        <v>281.52788600000002</v>
      </c>
      <c r="P893" s="2623">
        <v>285</v>
      </c>
      <c r="Q893" s="2623">
        <v>286.29102799999998</v>
      </c>
      <c r="R893" s="2631">
        <v>256</v>
      </c>
    </row>
    <row r="894" spans="1:18">
      <c r="A894" s="2615"/>
      <c r="B894" s="2618" t="s">
        <v>5679</v>
      </c>
      <c r="C894" s="2616" t="s">
        <v>5234</v>
      </c>
      <c r="D894" s="2623">
        <v>284.92</v>
      </c>
      <c r="E894" s="2623">
        <v>284.32</v>
      </c>
      <c r="F894" s="2623">
        <v>281.02288600000003</v>
      </c>
      <c r="G894" s="2623">
        <v>280.82288599999998</v>
      </c>
      <c r="H894" s="2623">
        <v>278.42480799999998</v>
      </c>
      <c r="I894" s="2623">
        <v>277.12673599999999</v>
      </c>
      <c r="J894" s="2623"/>
      <c r="K894" s="2623"/>
      <c r="L894" s="2623"/>
      <c r="M894" s="2623"/>
      <c r="N894" s="2623"/>
      <c r="O894" s="2623"/>
      <c r="P894" s="2623"/>
      <c r="Q894" s="2623"/>
      <c r="R894" s="2631"/>
    </row>
    <row r="895" spans="1:18">
      <c r="A895" s="2615"/>
      <c r="B895" s="2618" t="s">
        <v>5680</v>
      </c>
      <c r="C895" s="2616" t="s">
        <v>5232</v>
      </c>
      <c r="D895" s="2623">
        <v>284.94</v>
      </c>
      <c r="E895" s="2623">
        <v>284.46499999999997</v>
      </c>
      <c r="F895" s="2623">
        <v>282.34192400000001</v>
      </c>
      <c r="G895" s="2623">
        <v>282.06192399999998</v>
      </c>
      <c r="H895" s="2623">
        <v>280.609872</v>
      </c>
      <c r="I895" s="2623">
        <v>279.597824</v>
      </c>
      <c r="J895" s="2623"/>
      <c r="K895" s="2623" t="s">
        <v>5233</v>
      </c>
      <c r="L895" s="2623">
        <v>280.669872</v>
      </c>
      <c r="M895" s="2623">
        <v>281.26987200000002</v>
      </c>
      <c r="N895" s="2623">
        <v>282.40192400000001</v>
      </c>
      <c r="O895" s="2623">
        <v>282.77692400000001</v>
      </c>
      <c r="P895" s="2623">
        <v>285</v>
      </c>
      <c r="Q895" s="2623">
        <v>285.95235200000002</v>
      </c>
      <c r="R895" s="2631">
        <v>256</v>
      </c>
    </row>
    <row r="896" spans="1:18">
      <c r="A896" s="2615"/>
      <c r="B896" s="2618" t="s">
        <v>5680</v>
      </c>
      <c r="C896" s="2616" t="s">
        <v>5234</v>
      </c>
      <c r="D896" s="2623">
        <v>284.94</v>
      </c>
      <c r="E896" s="2623">
        <v>284.46499999999997</v>
      </c>
      <c r="F896" s="2623">
        <v>282.34192400000001</v>
      </c>
      <c r="G896" s="2623">
        <v>282.161924</v>
      </c>
      <c r="H896" s="2623">
        <v>280.609872</v>
      </c>
      <c r="I896" s="2623">
        <v>279.69782400000003</v>
      </c>
      <c r="J896" s="2623"/>
      <c r="K896" s="2623"/>
      <c r="L896" s="2623"/>
      <c r="M896" s="2623"/>
      <c r="N896" s="2623"/>
      <c r="O896" s="2623"/>
      <c r="P896" s="2623"/>
      <c r="Q896" s="2623"/>
      <c r="R896" s="2631"/>
    </row>
    <row r="897" spans="1:18">
      <c r="A897" s="2615"/>
      <c r="B897" s="2618" t="s">
        <v>5681</v>
      </c>
      <c r="C897" s="2616" t="s">
        <v>5232</v>
      </c>
      <c r="D897" s="2623">
        <v>284.952</v>
      </c>
      <c r="E897" s="2623">
        <v>284.577</v>
      </c>
      <c r="F897" s="2623">
        <v>283.003443</v>
      </c>
      <c r="G897" s="2623">
        <v>282.753443</v>
      </c>
      <c r="H897" s="2623">
        <v>281.70440400000001</v>
      </c>
      <c r="I897" s="2623">
        <v>280.90536800000001</v>
      </c>
      <c r="J897" s="2623"/>
      <c r="K897" s="2623" t="s">
        <v>5233</v>
      </c>
      <c r="L897" s="2623">
        <v>281.75240400000001</v>
      </c>
      <c r="M897" s="2623">
        <v>282.25240400000001</v>
      </c>
      <c r="N897" s="2623">
        <v>283.05144300000001</v>
      </c>
      <c r="O897" s="2623">
        <v>283.38644299999999</v>
      </c>
      <c r="P897" s="2623">
        <v>285</v>
      </c>
      <c r="Q897" s="2623">
        <v>285.76801399999999</v>
      </c>
      <c r="R897" s="2631">
        <v>256</v>
      </c>
    </row>
    <row r="898" spans="1:18">
      <c r="A898" s="2615"/>
      <c r="B898" s="2618" t="s">
        <v>5681</v>
      </c>
      <c r="C898" s="2616" t="s">
        <v>5234</v>
      </c>
      <c r="D898" s="2623">
        <v>284.952</v>
      </c>
      <c r="E898" s="2623">
        <v>284.577</v>
      </c>
      <c r="F898" s="2623">
        <v>283.003443</v>
      </c>
      <c r="G898" s="2623">
        <v>282.84344299999998</v>
      </c>
      <c r="H898" s="2623">
        <v>281.70440400000001</v>
      </c>
      <c r="I898" s="2623">
        <v>280.99536799999998</v>
      </c>
      <c r="J898" s="2623"/>
      <c r="K898" s="2623"/>
      <c r="L898" s="2623"/>
      <c r="M898" s="2623"/>
      <c r="N898" s="2623"/>
      <c r="O898" s="2623"/>
      <c r="P898" s="2623"/>
      <c r="Q898" s="2623"/>
      <c r="R898" s="2631"/>
    </row>
    <row r="899" spans="1:18">
      <c r="A899" s="2615">
        <v>290</v>
      </c>
      <c r="B899" s="2618" t="s">
        <v>5682</v>
      </c>
      <c r="C899" s="2616" t="s">
        <v>5232</v>
      </c>
      <c r="D899" s="2623">
        <v>289.92</v>
      </c>
      <c r="E899" s="2623">
        <v>289.32</v>
      </c>
      <c r="F899" s="2623">
        <v>286.02288600000003</v>
      </c>
      <c r="G899" s="2623">
        <v>285.70788599999997</v>
      </c>
      <c r="H899" s="2623">
        <v>283.42480799999998</v>
      </c>
      <c r="I899" s="2623">
        <v>282.01173599999998</v>
      </c>
      <c r="J899" s="2623"/>
      <c r="K899" s="2623" t="s">
        <v>5233</v>
      </c>
      <c r="L899" s="2623">
        <v>283.50480800000003</v>
      </c>
      <c r="M899" s="2623">
        <v>284.30480799999998</v>
      </c>
      <c r="N899" s="2623">
        <v>286.10288600000001</v>
      </c>
      <c r="O899" s="2623">
        <v>286.52788600000002</v>
      </c>
      <c r="P899" s="2623">
        <v>290</v>
      </c>
      <c r="Q899" s="2623">
        <v>291.29102799999998</v>
      </c>
      <c r="R899" s="2631">
        <v>261</v>
      </c>
    </row>
    <row r="900" spans="1:18">
      <c r="A900" s="2615"/>
      <c r="B900" s="2618" t="s">
        <v>5682</v>
      </c>
      <c r="C900" s="2616" t="s">
        <v>5234</v>
      </c>
      <c r="D900" s="2623">
        <v>289.92</v>
      </c>
      <c r="E900" s="2623">
        <v>289.32</v>
      </c>
      <c r="F900" s="2623">
        <v>286.02288600000003</v>
      </c>
      <c r="G900" s="2623">
        <v>285.82288599999998</v>
      </c>
      <c r="H900" s="2623">
        <v>283.42480799999998</v>
      </c>
      <c r="I900" s="2623">
        <v>282.12673599999999</v>
      </c>
      <c r="J900" s="2623"/>
      <c r="K900" s="2623"/>
      <c r="L900" s="2623"/>
      <c r="M900" s="2623"/>
      <c r="N900" s="2623"/>
      <c r="O900" s="2623"/>
      <c r="P900" s="2623"/>
      <c r="Q900" s="2623"/>
      <c r="R900" s="2631"/>
    </row>
    <row r="901" spans="1:18">
      <c r="A901" s="2615"/>
      <c r="B901" s="2618" t="s">
        <v>5683</v>
      </c>
      <c r="C901" s="2616" t="s">
        <v>5232</v>
      </c>
      <c r="D901" s="2623">
        <v>289.94</v>
      </c>
      <c r="E901" s="2623">
        <v>289.46499999999997</v>
      </c>
      <c r="F901" s="2623">
        <v>287.34192400000001</v>
      </c>
      <c r="G901" s="2623">
        <v>287.06192399999998</v>
      </c>
      <c r="H901" s="2623">
        <v>285.609872</v>
      </c>
      <c r="I901" s="2623">
        <v>284.597824</v>
      </c>
      <c r="J901" s="2623"/>
      <c r="K901" s="2623" t="s">
        <v>5233</v>
      </c>
      <c r="L901" s="2623">
        <v>285.669872</v>
      </c>
      <c r="M901" s="2623">
        <v>286.26987200000002</v>
      </c>
      <c r="N901" s="2623">
        <v>287.40192400000001</v>
      </c>
      <c r="O901" s="2623">
        <v>287.77692400000001</v>
      </c>
      <c r="P901" s="2623">
        <v>290</v>
      </c>
      <c r="Q901" s="2623">
        <v>290.95235200000002</v>
      </c>
      <c r="R901" s="2631">
        <v>261</v>
      </c>
    </row>
    <row r="902" spans="1:18">
      <c r="A902" s="2615"/>
      <c r="B902" s="2618" t="s">
        <v>5683</v>
      </c>
      <c r="C902" s="2616" t="s">
        <v>5234</v>
      </c>
      <c r="D902" s="2623">
        <v>289.94</v>
      </c>
      <c r="E902" s="2623">
        <v>289.46499999999997</v>
      </c>
      <c r="F902" s="2623">
        <v>287.34192400000001</v>
      </c>
      <c r="G902" s="2623">
        <v>287.161924</v>
      </c>
      <c r="H902" s="2623">
        <v>285.609872</v>
      </c>
      <c r="I902" s="2623">
        <v>284.69782400000003</v>
      </c>
      <c r="J902" s="2623"/>
      <c r="K902" s="2623"/>
      <c r="L902" s="2623"/>
      <c r="M902" s="2623"/>
      <c r="N902" s="2623"/>
      <c r="O902" s="2623"/>
      <c r="P902" s="2623"/>
      <c r="Q902" s="2623"/>
      <c r="R902" s="2631"/>
    </row>
    <row r="903" spans="1:18">
      <c r="A903" s="2615"/>
      <c r="B903" s="2618" t="s">
        <v>5684</v>
      </c>
      <c r="C903" s="2616" t="s">
        <v>5232</v>
      </c>
      <c r="D903" s="2623">
        <v>289.952</v>
      </c>
      <c r="E903" s="2623">
        <v>289.577</v>
      </c>
      <c r="F903" s="2623">
        <v>288.003443</v>
      </c>
      <c r="G903" s="2623">
        <v>287.753443</v>
      </c>
      <c r="H903" s="2623">
        <v>286.70440400000001</v>
      </c>
      <c r="I903" s="2623">
        <v>285.90536800000001</v>
      </c>
      <c r="J903" s="2623"/>
      <c r="K903" s="2623" t="s">
        <v>5233</v>
      </c>
      <c r="L903" s="2623">
        <v>286.75240400000001</v>
      </c>
      <c r="M903" s="2623">
        <v>287.25240400000001</v>
      </c>
      <c r="N903" s="2623">
        <v>288.05144300000001</v>
      </c>
      <c r="O903" s="2623">
        <v>288.38644299999999</v>
      </c>
      <c r="P903" s="2623">
        <v>290</v>
      </c>
      <c r="Q903" s="2623">
        <v>290.76801399999999</v>
      </c>
      <c r="R903" s="2631">
        <v>261</v>
      </c>
    </row>
    <row r="904" spans="1:18">
      <c r="A904" s="2615"/>
      <c r="B904" s="2618" t="s">
        <v>5684</v>
      </c>
      <c r="C904" s="2616" t="s">
        <v>5234</v>
      </c>
      <c r="D904" s="2623">
        <v>289.952</v>
      </c>
      <c r="E904" s="2623">
        <v>289.577</v>
      </c>
      <c r="F904" s="2623">
        <v>288.003443</v>
      </c>
      <c r="G904" s="2623">
        <v>287.84344299999998</v>
      </c>
      <c r="H904" s="2623">
        <v>286.70440400000001</v>
      </c>
      <c r="I904" s="2623">
        <v>285.99536799999998</v>
      </c>
      <c r="J904" s="2623"/>
      <c r="K904" s="2623"/>
      <c r="L904" s="2623"/>
      <c r="M904" s="2623"/>
      <c r="N904" s="2623"/>
      <c r="O904" s="2623"/>
      <c r="P904" s="2623"/>
      <c r="Q904" s="2623"/>
      <c r="R904" s="2631"/>
    </row>
    <row r="905" spans="1:18">
      <c r="A905" s="2615">
        <v>295</v>
      </c>
      <c r="B905" s="2618" t="s">
        <v>5685</v>
      </c>
      <c r="C905" s="2616" t="s">
        <v>5232</v>
      </c>
      <c r="D905" s="2623">
        <v>294.92</v>
      </c>
      <c r="E905" s="2623">
        <v>294.32</v>
      </c>
      <c r="F905" s="2623">
        <v>291.02288600000003</v>
      </c>
      <c r="G905" s="2623">
        <v>290.70788599999997</v>
      </c>
      <c r="H905" s="2623">
        <v>288.42480799999998</v>
      </c>
      <c r="I905" s="2623">
        <v>287.01173599999998</v>
      </c>
      <c r="J905" s="2623"/>
      <c r="K905" s="2623" t="s">
        <v>5233</v>
      </c>
      <c r="L905" s="2623">
        <v>288.50480800000003</v>
      </c>
      <c r="M905" s="2623">
        <v>289.30480799999998</v>
      </c>
      <c r="N905" s="2623">
        <v>291.10288600000001</v>
      </c>
      <c r="O905" s="2623">
        <v>291.52788600000002</v>
      </c>
      <c r="P905" s="2623">
        <v>295</v>
      </c>
      <c r="Q905" s="2623">
        <v>296.29102799999998</v>
      </c>
      <c r="R905" s="2631">
        <v>265</v>
      </c>
    </row>
    <row r="906" spans="1:18">
      <c r="A906" s="2615"/>
      <c r="B906" s="2618" t="s">
        <v>5685</v>
      </c>
      <c r="C906" s="2616" t="s">
        <v>5234</v>
      </c>
      <c r="D906" s="2623">
        <v>294.92</v>
      </c>
      <c r="E906" s="2623">
        <v>294.32</v>
      </c>
      <c r="F906" s="2623">
        <v>291.02288600000003</v>
      </c>
      <c r="G906" s="2623">
        <v>290.82288599999998</v>
      </c>
      <c r="H906" s="2623">
        <v>288.42480799999998</v>
      </c>
      <c r="I906" s="2623">
        <v>287.12673599999999</v>
      </c>
      <c r="J906" s="2623"/>
      <c r="K906" s="2623"/>
      <c r="L906" s="2623"/>
      <c r="M906" s="2623"/>
      <c r="N906" s="2623"/>
      <c r="O906" s="2623"/>
      <c r="P906" s="2623"/>
      <c r="Q906" s="2623"/>
      <c r="R906" s="2631"/>
    </row>
    <row r="907" spans="1:18">
      <c r="A907" s="2615"/>
      <c r="B907" s="2618" t="s">
        <v>5686</v>
      </c>
      <c r="C907" s="2616" t="s">
        <v>5232</v>
      </c>
      <c r="D907" s="2623">
        <v>294.94</v>
      </c>
      <c r="E907" s="2623">
        <v>294.46499999999997</v>
      </c>
      <c r="F907" s="2623">
        <v>292.34192400000001</v>
      </c>
      <c r="G907" s="2623">
        <v>292.06192399999998</v>
      </c>
      <c r="H907" s="2623">
        <v>290.609872</v>
      </c>
      <c r="I907" s="2623">
        <v>289.597824</v>
      </c>
      <c r="J907" s="2623"/>
      <c r="K907" s="2623" t="s">
        <v>5233</v>
      </c>
      <c r="L907" s="2623">
        <v>290.669872</v>
      </c>
      <c r="M907" s="2623">
        <v>291.26987200000002</v>
      </c>
      <c r="N907" s="2623">
        <v>292.40192400000001</v>
      </c>
      <c r="O907" s="2623">
        <v>292.77692400000001</v>
      </c>
      <c r="P907" s="2623">
        <v>295</v>
      </c>
      <c r="Q907" s="2623">
        <v>295.95235200000002</v>
      </c>
      <c r="R907" s="2631">
        <v>265</v>
      </c>
    </row>
    <row r="908" spans="1:18">
      <c r="A908" s="2615"/>
      <c r="B908" s="2618" t="s">
        <v>5686</v>
      </c>
      <c r="C908" s="2616" t="s">
        <v>5234</v>
      </c>
      <c r="D908" s="2623">
        <v>294.94</v>
      </c>
      <c r="E908" s="2623">
        <v>294.46499999999997</v>
      </c>
      <c r="F908" s="2623">
        <v>292.34192400000001</v>
      </c>
      <c r="G908" s="2623">
        <v>292.161924</v>
      </c>
      <c r="H908" s="2623">
        <v>290.609872</v>
      </c>
      <c r="I908" s="2623">
        <v>289.69782400000003</v>
      </c>
      <c r="J908" s="2623"/>
      <c r="K908" s="2623"/>
      <c r="L908" s="2623"/>
      <c r="M908" s="2623"/>
      <c r="N908" s="2623"/>
      <c r="O908" s="2623"/>
      <c r="P908" s="2623"/>
      <c r="Q908" s="2623"/>
      <c r="R908" s="2631"/>
    </row>
    <row r="909" spans="1:18">
      <c r="A909" s="2615"/>
      <c r="B909" s="2618" t="s">
        <v>5687</v>
      </c>
      <c r="C909" s="2616" t="s">
        <v>5232</v>
      </c>
      <c r="D909" s="2623">
        <v>294.952</v>
      </c>
      <c r="E909" s="2623">
        <v>294.577</v>
      </c>
      <c r="F909" s="2623">
        <v>293.003443</v>
      </c>
      <c r="G909" s="2623">
        <v>292.753443</v>
      </c>
      <c r="H909" s="2623">
        <v>291.70440400000001</v>
      </c>
      <c r="I909" s="2623">
        <v>290.90536800000001</v>
      </c>
      <c r="J909" s="2623"/>
      <c r="K909" s="2623" t="s">
        <v>5233</v>
      </c>
      <c r="L909" s="2623">
        <v>291.75240400000001</v>
      </c>
      <c r="M909" s="2623">
        <v>292.25240400000001</v>
      </c>
      <c r="N909" s="2623">
        <v>293.05144300000001</v>
      </c>
      <c r="O909" s="2623">
        <v>293.38644299999999</v>
      </c>
      <c r="P909" s="2623">
        <v>295</v>
      </c>
      <c r="Q909" s="2623">
        <v>295.76801399999999</v>
      </c>
      <c r="R909" s="2631">
        <v>265</v>
      </c>
    </row>
    <row r="910" spans="1:18">
      <c r="A910" s="2615"/>
      <c r="B910" s="2618" t="s">
        <v>5687</v>
      </c>
      <c r="C910" s="2616" t="s">
        <v>5234</v>
      </c>
      <c r="D910" s="2623">
        <v>294.952</v>
      </c>
      <c r="E910" s="2623">
        <v>294.577</v>
      </c>
      <c r="F910" s="2623">
        <v>293.003443</v>
      </c>
      <c r="G910" s="2623">
        <v>292.84344299999998</v>
      </c>
      <c r="H910" s="2623">
        <v>291.70440400000001</v>
      </c>
      <c r="I910" s="2623">
        <v>290.99536799999998</v>
      </c>
      <c r="J910" s="2623"/>
      <c r="K910" s="2623"/>
      <c r="L910" s="2623"/>
      <c r="M910" s="2623"/>
      <c r="N910" s="2623"/>
      <c r="O910" s="2623"/>
      <c r="P910" s="2623"/>
      <c r="Q910" s="2623"/>
      <c r="R910" s="2631"/>
    </row>
    <row r="911" spans="1:18">
      <c r="A911" s="2615">
        <v>300</v>
      </c>
      <c r="B911" s="2618" t="s">
        <v>5688</v>
      </c>
      <c r="C911" s="2616" t="s">
        <v>5232</v>
      </c>
      <c r="D911" s="2623">
        <v>299.89999999999998</v>
      </c>
      <c r="E911" s="2623">
        <v>299.19</v>
      </c>
      <c r="F911" s="2623">
        <v>294.70384799999999</v>
      </c>
      <c r="G911" s="2623">
        <v>294.34884799999998</v>
      </c>
      <c r="H911" s="2623">
        <v>291.23974399999997</v>
      </c>
      <c r="I911" s="2623">
        <v>289.42064800000003</v>
      </c>
      <c r="J911" s="2623"/>
      <c r="K911" s="2623" t="s">
        <v>5233</v>
      </c>
      <c r="L911" s="2623">
        <v>291.339744</v>
      </c>
      <c r="M911" s="2623">
        <v>292.339744</v>
      </c>
      <c r="N911" s="2623">
        <v>294.80384800000002</v>
      </c>
      <c r="O911" s="2623">
        <v>295.27884799999998</v>
      </c>
      <c r="P911" s="2623">
        <v>300</v>
      </c>
      <c r="Q911" s="2623">
        <v>301.629704</v>
      </c>
      <c r="R911" s="2631">
        <v>270</v>
      </c>
    </row>
    <row r="912" spans="1:18">
      <c r="A912" s="2615"/>
      <c r="B912" s="2618" t="s">
        <v>5688</v>
      </c>
      <c r="C912" s="2616" t="s">
        <v>5234</v>
      </c>
      <c r="D912" s="2623">
        <v>299.89999999999998</v>
      </c>
      <c r="E912" s="2623">
        <v>299.19</v>
      </c>
      <c r="F912" s="2623">
        <v>294.70384799999999</v>
      </c>
      <c r="G912" s="2623">
        <v>294.479848</v>
      </c>
      <c r="H912" s="2623">
        <v>291.23974399999997</v>
      </c>
      <c r="I912" s="2623">
        <v>289.551648</v>
      </c>
      <c r="J912" s="2623"/>
      <c r="K912" s="2623"/>
      <c r="L912" s="2623"/>
      <c r="M912" s="2623"/>
      <c r="N912" s="2623"/>
      <c r="O912" s="2623"/>
      <c r="P912" s="2623"/>
      <c r="Q912" s="2623"/>
      <c r="R912" s="2631"/>
    </row>
    <row r="913" spans="1:18">
      <c r="A913" s="2615"/>
      <c r="B913" s="2618" t="s">
        <v>5689</v>
      </c>
      <c r="C913" s="2616" t="s">
        <v>5232</v>
      </c>
      <c r="D913" s="2623">
        <v>299.92</v>
      </c>
      <c r="E913" s="2623">
        <v>299.32</v>
      </c>
      <c r="F913" s="2623">
        <v>296.02288600000003</v>
      </c>
      <c r="G913" s="2623">
        <v>295.70788599999997</v>
      </c>
      <c r="H913" s="2623">
        <v>293.42480799999998</v>
      </c>
      <c r="I913" s="2623">
        <v>292.01173599999998</v>
      </c>
      <c r="J913" s="2623"/>
      <c r="K913" s="2623" t="s">
        <v>5233</v>
      </c>
      <c r="L913" s="2623">
        <v>293.50480800000003</v>
      </c>
      <c r="M913" s="2623">
        <v>294.30480799999998</v>
      </c>
      <c r="N913" s="2623">
        <v>296.10288600000001</v>
      </c>
      <c r="O913" s="2623">
        <v>296.52788600000002</v>
      </c>
      <c r="P913" s="2623">
        <v>300</v>
      </c>
      <c r="Q913" s="2623">
        <v>301.29102799999998</v>
      </c>
      <c r="R913" s="2631">
        <v>270</v>
      </c>
    </row>
    <row r="914" spans="1:18">
      <c r="A914" s="2615"/>
      <c r="B914" s="2618" t="s">
        <v>5689</v>
      </c>
      <c r="C914" s="2616" t="s">
        <v>5234</v>
      </c>
      <c r="D914" s="2623">
        <v>299.92</v>
      </c>
      <c r="E914" s="2623">
        <v>299.32</v>
      </c>
      <c r="F914" s="2623">
        <v>296.02288600000003</v>
      </c>
      <c r="G914" s="2623">
        <v>295.82288599999998</v>
      </c>
      <c r="H914" s="2623">
        <v>293.42480799999998</v>
      </c>
      <c r="I914" s="2623">
        <v>292.12673599999999</v>
      </c>
      <c r="J914" s="2623"/>
      <c r="K914" s="2623"/>
      <c r="L914" s="2623"/>
      <c r="M914" s="2623"/>
      <c r="N914" s="2623"/>
      <c r="O914" s="2623"/>
      <c r="P914" s="2623"/>
      <c r="Q914" s="2623"/>
      <c r="R914" s="2631"/>
    </row>
    <row r="915" spans="1:18">
      <c r="A915" s="2615"/>
      <c r="B915" s="2618" t="s">
        <v>5690</v>
      </c>
      <c r="C915" s="2616" t="s">
        <v>5232</v>
      </c>
      <c r="D915" s="2623">
        <v>299.94</v>
      </c>
      <c r="E915" s="2623">
        <v>299.46499999999997</v>
      </c>
      <c r="F915" s="2623">
        <v>297.34192400000001</v>
      </c>
      <c r="G915" s="2623">
        <v>297.06192399999998</v>
      </c>
      <c r="H915" s="2623">
        <v>295.609872</v>
      </c>
      <c r="I915" s="2623">
        <v>294.597824</v>
      </c>
      <c r="J915" s="2623"/>
      <c r="K915" s="2623" t="s">
        <v>5233</v>
      </c>
      <c r="L915" s="2623">
        <v>295.669872</v>
      </c>
      <c r="M915" s="2623">
        <v>296.26987200000002</v>
      </c>
      <c r="N915" s="2623">
        <v>297.40192400000001</v>
      </c>
      <c r="O915" s="2623">
        <v>297.77692400000001</v>
      </c>
      <c r="P915" s="2623">
        <v>300</v>
      </c>
      <c r="Q915" s="2623">
        <v>300.95235200000002</v>
      </c>
      <c r="R915" s="2631">
        <v>270</v>
      </c>
    </row>
    <row r="916" spans="1:18">
      <c r="A916" s="2615"/>
      <c r="B916" s="2618" t="s">
        <v>5690</v>
      </c>
      <c r="C916" s="2616" t="s">
        <v>5234</v>
      </c>
      <c r="D916" s="2623">
        <v>299.94</v>
      </c>
      <c r="E916" s="2623">
        <v>299.46499999999997</v>
      </c>
      <c r="F916" s="2623">
        <v>297.34192400000001</v>
      </c>
      <c r="G916" s="2623">
        <v>297.161924</v>
      </c>
      <c r="H916" s="2623">
        <v>295.609872</v>
      </c>
      <c r="I916" s="2623">
        <v>294.69782400000003</v>
      </c>
      <c r="J916" s="2623"/>
      <c r="K916" s="2623"/>
      <c r="L916" s="2623"/>
      <c r="M916" s="2623"/>
      <c r="N916" s="2623"/>
      <c r="O916" s="2623"/>
      <c r="P916" s="2623"/>
      <c r="Q916" s="2623"/>
      <c r="R916" s="2631"/>
    </row>
    <row r="917" spans="1:18">
      <c r="A917" s="2615"/>
      <c r="B917" s="2622" t="s">
        <v>5691</v>
      </c>
      <c r="C917" s="2616" t="s">
        <v>5232</v>
      </c>
      <c r="D917" s="2623">
        <v>299.952</v>
      </c>
      <c r="E917" s="2623">
        <v>299.577</v>
      </c>
      <c r="F917" s="2623">
        <v>298.003443</v>
      </c>
      <c r="G917" s="2623">
        <v>297.753443</v>
      </c>
      <c r="H917" s="2623">
        <v>296.70440400000001</v>
      </c>
      <c r="I917" s="2623">
        <v>295.90536800000001</v>
      </c>
      <c r="J917" s="2623"/>
      <c r="K917" s="2623" t="s">
        <v>5233</v>
      </c>
      <c r="L917" s="2623">
        <v>296.75240400000001</v>
      </c>
      <c r="M917" s="2623">
        <v>297.25240400000001</v>
      </c>
      <c r="N917" s="2623">
        <v>298.05144300000001</v>
      </c>
      <c r="O917" s="2623">
        <v>298.38644299999999</v>
      </c>
      <c r="P917" s="2623">
        <v>300</v>
      </c>
      <c r="Q917" s="2623">
        <v>300.76801399999999</v>
      </c>
      <c r="R917" s="2631">
        <v>270</v>
      </c>
    </row>
    <row r="918" spans="1:18">
      <c r="A918" s="2615"/>
      <c r="B918" s="2622" t="s">
        <v>5691</v>
      </c>
      <c r="C918" s="2616" t="s">
        <v>5234</v>
      </c>
      <c r="D918" s="2623">
        <v>299.952</v>
      </c>
      <c r="E918" s="2623">
        <v>299.577</v>
      </c>
      <c r="F918" s="2623">
        <v>298.003443</v>
      </c>
      <c r="G918" s="2623">
        <v>297.84344299999998</v>
      </c>
      <c r="H918" s="2623">
        <v>296.70440400000001</v>
      </c>
      <c r="I918" s="2623">
        <v>295.99536799999998</v>
      </c>
      <c r="J918" s="2623"/>
      <c r="K918" s="2623"/>
      <c r="L918" s="2623"/>
      <c r="M918" s="2623"/>
      <c r="N918" s="2623"/>
      <c r="O918" s="2623"/>
      <c r="P918" s="2623"/>
      <c r="Q918" s="2623"/>
      <c r="R918" s="2631"/>
    </row>
    <row r="919" spans="1:18">
      <c r="A919" s="2615">
        <v>310</v>
      </c>
      <c r="B919" s="2618" t="s">
        <v>5692</v>
      </c>
      <c r="C919" s="2616" t="s">
        <v>5232</v>
      </c>
      <c r="D919" s="2623">
        <v>309.92</v>
      </c>
      <c r="E919" s="2623">
        <v>309.32</v>
      </c>
      <c r="F919" s="2623">
        <v>306.02288600000003</v>
      </c>
      <c r="G919" s="2623">
        <v>305.70788599999997</v>
      </c>
      <c r="H919" s="2623">
        <v>303.42480799999998</v>
      </c>
      <c r="I919" s="2623">
        <v>302.01173599999998</v>
      </c>
      <c r="J919" s="2623"/>
      <c r="K919" s="2623" t="s">
        <v>5233</v>
      </c>
      <c r="L919" s="2623">
        <v>303.50480800000003</v>
      </c>
      <c r="M919" s="2623">
        <v>304.30480799999998</v>
      </c>
      <c r="N919" s="2623">
        <v>306.10288600000001</v>
      </c>
      <c r="O919" s="2623">
        <v>306.52788600000002</v>
      </c>
      <c r="P919" s="2623">
        <v>310</v>
      </c>
      <c r="Q919" s="2623">
        <v>311.29102799999998</v>
      </c>
      <c r="R919" s="2631">
        <v>280</v>
      </c>
    </row>
    <row r="920" spans="1:18">
      <c r="A920" s="2615"/>
      <c r="B920" s="2618" t="s">
        <v>5692</v>
      </c>
      <c r="C920" s="2616" t="s">
        <v>5234</v>
      </c>
      <c r="D920" s="2623">
        <v>309.92</v>
      </c>
      <c r="E920" s="2623">
        <v>309.32</v>
      </c>
      <c r="F920" s="2623">
        <v>306.02288600000003</v>
      </c>
      <c r="G920" s="2623">
        <v>305.82288599999998</v>
      </c>
      <c r="H920" s="2623">
        <v>303.42480799999998</v>
      </c>
      <c r="I920" s="2623">
        <v>302.12673599999999</v>
      </c>
      <c r="J920" s="2623"/>
      <c r="K920" s="2623"/>
      <c r="L920" s="2623"/>
      <c r="M920" s="2623"/>
      <c r="N920" s="2623"/>
      <c r="O920" s="2623"/>
      <c r="P920" s="2623"/>
      <c r="Q920" s="2623"/>
      <c r="R920" s="2631"/>
    </row>
    <row r="921" spans="1:18">
      <c r="A921" s="2615"/>
      <c r="B921" s="2618" t="s">
        <v>5693</v>
      </c>
      <c r="C921" s="2616" t="s">
        <v>5232</v>
      </c>
      <c r="D921" s="2623">
        <v>309.94</v>
      </c>
      <c r="E921" s="2623">
        <v>309.46499999999997</v>
      </c>
      <c r="F921" s="2623">
        <v>307.34192400000001</v>
      </c>
      <c r="G921" s="2623">
        <v>307.06192399999998</v>
      </c>
      <c r="H921" s="2623">
        <v>305.609872</v>
      </c>
      <c r="I921" s="2623">
        <v>304.597824</v>
      </c>
      <c r="J921" s="2623"/>
      <c r="K921" s="2623" t="s">
        <v>5233</v>
      </c>
      <c r="L921" s="2623">
        <v>305.669872</v>
      </c>
      <c r="M921" s="2623">
        <v>306.26987200000002</v>
      </c>
      <c r="N921" s="2623">
        <v>307.40192400000001</v>
      </c>
      <c r="O921" s="2623">
        <v>307.77692400000001</v>
      </c>
      <c r="P921" s="2623">
        <v>310</v>
      </c>
      <c r="Q921" s="2623">
        <v>310.95235200000002</v>
      </c>
      <c r="R921" s="2631">
        <v>280</v>
      </c>
    </row>
    <row r="922" spans="1:18">
      <c r="A922" s="2615"/>
      <c r="B922" s="2618" t="s">
        <v>5693</v>
      </c>
      <c r="C922" s="2616" t="s">
        <v>5234</v>
      </c>
      <c r="D922" s="2623">
        <v>309.94</v>
      </c>
      <c r="E922" s="2623">
        <v>309.46499999999997</v>
      </c>
      <c r="F922" s="2623">
        <v>307.34192400000001</v>
      </c>
      <c r="G922" s="2623">
        <v>307.161924</v>
      </c>
      <c r="H922" s="2623">
        <v>305.609872</v>
      </c>
      <c r="I922" s="2623">
        <v>304.69782400000003</v>
      </c>
      <c r="J922" s="2623"/>
      <c r="K922" s="2623"/>
      <c r="L922" s="2623"/>
      <c r="M922" s="2623"/>
      <c r="N922" s="2623"/>
      <c r="O922" s="2623"/>
      <c r="P922" s="2623"/>
      <c r="Q922" s="2623"/>
      <c r="R922" s="2631"/>
    </row>
    <row r="923" spans="1:18">
      <c r="A923" s="2615">
        <v>320</v>
      </c>
      <c r="B923" s="2618" t="s">
        <v>5694</v>
      </c>
      <c r="C923" s="2616" t="s">
        <v>5232</v>
      </c>
      <c r="D923" s="2623">
        <v>319.92</v>
      </c>
      <c r="E923" s="2623">
        <v>319.32</v>
      </c>
      <c r="F923" s="2623">
        <v>316.02288600000003</v>
      </c>
      <c r="G923" s="2623">
        <v>315.70788599999997</v>
      </c>
      <c r="H923" s="2623">
        <v>313.42480799999998</v>
      </c>
      <c r="I923" s="2623">
        <v>312.01173599999998</v>
      </c>
      <c r="J923" s="2623"/>
      <c r="K923" s="2623" t="s">
        <v>5233</v>
      </c>
      <c r="L923" s="2623">
        <v>313.50480800000003</v>
      </c>
      <c r="M923" s="2623">
        <v>314.30480799999998</v>
      </c>
      <c r="N923" s="2623">
        <v>316.10288600000001</v>
      </c>
      <c r="O923" s="2623">
        <v>316.52788600000002</v>
      </c>
      <c r="P923" s="2623">
        <v>320</v>
      </c>
      <c r="Q923" s="2623">
        <v>321.29102799999998</v>
      </c>
      <c r="R923" s="2631">
        <v>288</v>
      </c>
    </row>
    <row r="924" spans="1:18">
      <c r="A924" s="2615"/>
      <c r="B924" s="2618" t="s">
        <v>5694</v>
      </c>
      <c r="C924" s="2616" t="s">
        <v>5234</v>
      </c>
      <c r="D924" s="2623">
        <v>319.92</v>
      </c>
      <c r="E924" s="2623">
        <v>319.32</v>
      </c>
      <c r="F924" s="2623">
        <v>316.02288600000003</v>
      </c>
      <c r="G924" s="2623">
        <v>315.82288599999998</v>
      </c>
      <c r="H924" s="2623">
        <v>313.42480799999998</v>
      </c>
      <c r="I924" s="2623">
        <v>312.12673599999999</v>
      </c>
      <c r="J924" s="2623"/>
      <c r="K924" s="2623"/>
      <c r="L924" s="2623"/>
      <c r="M924" s="2623"/>
      <c r="N924" s="2623"/>
      <c r="O924" s="2623"/>
      <c r="P924" s="2623"/>
      <c r="Q924" s="2623"/>
      <c r="R924" s="2631"/>
    </row>
    <row r="925" spans="1:18">
      <c r="A925" s="2615"/>
      <c r="B925" s="2618" t="s">
        <v>5695</v>
      </c>
      <c r="C925" s="2616" t="s">
        <v>5232</v>
      </c>
      <c r="D925" s="2623">
        <v>319.94</v>
      </c>
      <c r="E925" s="2623">
        <v>319.46499999999997</v>
      </c>
      <c r="F925" s="2623">
        <v>317.34192400000001</v>
      </c>
      <c r="G925" s="2623">
        <v>317.06192399999998</v>
      </c>
      <c r="H925" s="2623">
        <v>315.609872</v>
      </c>
      <c r="I925" s="2623">
        <v>314.597824</v>
      </c>
      <c r="J925" s="2623"/>
      <c r="K925" s="2623" t="s">
        <v>5233</v>
      </c>
      <c r="L925" s="2623">
        <v>315.669872</v>
      </c>
      <c r="M925" s="2623">
        <v>316.26987200000002</v>
      </c>
      <c r="N925" s="2623">
        <v>317.40192400000001</v>
      </c>
      <c r="O925" s="2623">
        <v>317.77692400000001</v>
      </c>
      <c r="P925" s="2623">
        <v>320</v>
      </c>
      <c r="Q925" s="2623">
        <v>320.95235200000002</v>
      </c>
      <c r="R925" s="2631">
        <v>288</v>
      </c>
    </row>
    <row r="926" spans="1:18">
      <c r="A926" s="2615"/>
      <c r="B926" s="2618" t="s">
        <v>5695</v>
      </c>
      <c r="C926" s="2616" t="s">
        <v>5234</v>
      </c>
      <c r="D926" s="2623">
        <v>319.94</v>
      </c>
      <c r="E926" s="2623">
        <v>319.46499999999997</v>
      </c>
      <c r="F926" s="2623">
        <v>317.34192400000001</v>
      </c>
      <c r="G926" s="2623">
        <v>317.161924</v>
      </c>
      <c r="H926" s="2623">
        <v>315.609872</v>
      </c>
      <c r="I926" s="2623">
        <v>314.69782400000003</v>
      </c>
      <c r="J926" s="2623"/>
      <c r="K926" s="2623"/>
      <c r="L926" s="2623"/>
      <c r="M926" s="2623"/>
      <c r="N926" s="2623"/>
      <c r="O926" s="2623"/>
      <c r="P926" s="2623"/>
      <c r="Q926" s="2623"/>
      <c r="R926" s="2631"/>
    </row>
    <row r="927" spans="1:18">
      <c r="A927" s="2615">
        <v>330</v>
      </c>
      <c r="B927" s="2618" t="s">
        <v>5696</v>
      </c>
      <c r="C927" s="2616" t="s">
        <v>5232</v>
      </c>
      <c r="D927" s="2623">
        <v>329.92</v>
      </c>
      <c r="E927" s="2623">
        <v>329.32</v>
      </c>
      <c r="F927" s="2623">
        <v>326.02288600000003</v>
      </c>
      <c r="G927" s="2623">
        <v>325.70788599999997</v>
      </c>
      <c r="H927" s="2623">
        <v>323.42480799999998</v>
      </c>
      <c r="I927" s="2623">
        <v>322.01173599999998</v>
      </c>
      <c r="J927" s="2623"/>
      <c r="K927" s="2623" t="s">
        <v>5233</v>
      </c>
      <c r="L927" s="2623">
        <v>323.50480800000003</v>
      </c>
      <c r="M927" s="2623">
        <v>324.30480799999998</v>
      </c>
      <c r="N927" s="2623">
        <v>326.10288600000001</v>
      </c>
      <c r="O927" s="2623">
        <v>326.52788600000002</v>
      </c>
      <c r="P927" s="2623">
        <v>330</v>
      </c>
      <c r="Q927" s="2623">
        <v>331.29102799999998</v>
      </c>
      <c r="R927" s="2631">
        <v>297</v>
      </c>
    </row>
    <row r="928" spans="1:18">
      <c r="A928" s="2615"/>
      <c r="B928" s="2618" t="s">
        <v>5696</v>
      </c>
      <c r="C928" s="2616" t="s">
        <v>5234</v>
      </c>
      <c r="D928" s="2623">
        <v>329.92</v>
      </c>
      <c r="E928" s="2623">
        <v>329.32</v>
      </c>
      <c r="F928" s="2623">
        <v>326.02288600000003</v>
      </c>
      <c r="G928" s="2623">
        <v>325.82288599999998</v>
      </c>
      <c r="H928" s="2623">
        <v>323.42480799999998</v>
      </c>
      <c r="I928" s="2623">
        <v>322.12673599999999</v>
      </c>
      <c r="J928" s="2623"/>
      <c r="K928" s="2623"/>
      <c r="L928" s="2623"/>
      <c r="M928" s="2623"/>
      <c r="N928" s="2623"/>
      <c r="O928" s="2623"/>
      <c r="P928" s="2623"/>
      <c r="Q928" s="2623"/>
      <c r="R928" s="2631"/>
    </row>
    <row r="929" spans="1:18">
      <c r="A929" s="2615"/>
      <c r="B929" s="2618" t="s">
        <v>5697</v>
      </c>
      <c r="C929" s="2616" t="s">
        <v>5232</v>
      </c>
      <c r="D929" s="2623">
        <v>329.94</v>
      </c>
      <c r="E929" s="2623">
        <v>329.46499999999997</v>
      </c>
      <c r="F929" s="2623">
        <v>327.34192400000001</v>
      </c>
      <c r="G929" s="2623">
        <v>327.06192399999998</v>
      </c>
      <c r="H929" s="2623">
        <v>325.609872</v>
      </c>
      <c r="I929" s="2623">
        <v>324.597824</v>
      </c>
      <c r="J929" s="2623"/>
      <c r="K929" s="2623" t="s">
        <v>5233</v>
      </c>
      <c r="L929" s="2623">
        <v>325.669872</v>
      </c>
      <c r="M929" s="2623">
        <v>326.26987200000002</v>
      </c>
      <c r="N929" s="2623">
        <v>327.40192400000001</v>
      </c>
      <c r="O929" s="2623">
        <v>327.77692400000001</v>
      </c>
      <c r="P929" s="2623">
        <v>330</v>
      </c>
      <c r="Q929" s="2623">
        <v>330.95235200000002</v>
      </c>
      <c r="R929" s="2631">
        <v>297</v>
      </c>
    </row>
    <row r="930" spans="1:18">
      <c r="A930" s="2615"/>
      <c r="B930" s="2618" t="s">
        <v>5697</v>
      </c>
      <c r="C930" s="2616" t="s">
        <v>5234</v>
      </c>
      <c r="D930" s="2623">
        <v>329.94</v>
      </c>
      <c r="E930" s="2623">
        <v>329.46499999999997</v>
      </c>
      <c r="F930" s="2623">
        <v>327.34192400000001</v>
      </c>
      <c r="G930" s="2623">
        <v>327.161924</v>
      </c>
      <c r="H930" s="2623">
        <v>325.609872</v>
      </c>
      <c r="I930" s="2623">
        <v>324.69782400000003</v>
      </c>
      <c r="J930" s="2623"/>
      <c r="K930" s="2623"/>
      <c r="L930" s="2623"/>
      <c r="M930" s="2623"/>
      <c r="N930" s="2623"/>
      <c r="O930" s="2623"/>
      <c r="P930" s="2623"/>
      <c r="Q930" s="2623"/>
      <c r="R930" s="2631"/>
    </row>
    <row r="931" spans="1:18">
      <c r="A931" s="2615">
        <v>340</v>
      </c>
      <c r="B931" s="2618" t="s">
        <v>5696</v>
      </c>
      <c r="C931" s="2616" t="s">
        <v>5232</v>
      </c>
      <c r="D931" s="2623">
        <v>339.92</v>
      </c>
      <c r="E931" s="2623">
        <v>339.32</v>
      </c>
      <c r="F931" s="2623">
        <v>336.02288600000003</v>
      </c>
      <c r="G931" s="2623">
        <v>335.70788599999997</v>
      </c>
      <c r="H931" s="2623">
        <v>333.42480799999998</v>
      </c>
      <c r="I931" s="2623">
        <v>332.01173599999998</v>
      </c>
      <c r="J931" s="2623"/>
      <c r="K931" s="2623" t="s">
        <v>5233</v>
      </c>
      <c r="L931" s="2623">
        <v>333.50480800000003</v>
      </c>
      <c r="M931" s="2623">
        <v>334.30480799999998</v>
      </c>
      <c r="N931" s="2623">
        <v>336.10288600000001</v>
      </c>
      <c r="O931" s="2623">
        <v>336.52788600000002</v>
      </c>
      <c r="P931" s="2623">
        <v>340</v>
      </c>
      <c r="Q931" s="2623">
        <v>341.29102799999998</v>
      </c>
      <c r="R931" s="2631">
        <v>306</v>
      </c>
    </row>
    <row r="932" spans="1:18">
      <c r="A932" s="2615"/>
      <c r="B932" s="2618" t="s">
        <v>5698</v>
      </c>
      <c r="C932" s="2616" t="s">
        <v>5234</v>
      </c>
      <c r="D932" s="2623">
        <v>339.92</v>
      </c>
      <c r="E932" s="2623">
        <v>339.32</v>
      </c>
      <c r="F932" s="2623">
        <v>336.02288600000003</v>
      </c>
      <c r="G932" s="2623">
        <v>335.82288599999998</v>
      </c>
      <c r="H932" s="2623">
        <v>333.42480799999998</v>
      </c>
      <c r="I932" s="2623">
        <v>332.12673599999999</v>
      </c>
      <c r="J932" s="2623"/>
      <c r="K932" s="2623"/>
      <c r="L932" s="2623"/>
      <c r="M932" s="2623"/>
      <c r="N932" s="2623"/>
      <c r="O932" s="2623"/>
      <c r="P932" s="2623"/>
      <c r="Q932" s="2623"/>
      <c r="R932" s="2631"/>
    </row>
    <row r="933" spans="1:18">
      <c r="A933" s="2615"/>
      <c r="B933" s="2618" t="s">
        <v>5699</v>
      </c>
      <c r="C933" s="2616" t="s">
        <v>5232</v>
      </c>
      <c r="D933" s="2623">
        <v>339.94</v>
      </c>
      <c r="E933" s="2623">
        <v>339.46499999999997</v>
      </c>
      <c r="F933" s="2623">
        <v>337.34192400000001</v>
      </c>
      <c r="G933" s="2623">
        <v>337.06192399999998</v>
      </c>
      <c r="H933" s="2623">
        <v>335.609872</v>
      </c>
      <c r="I933" s="2623">
        <v>334.597824</v>
      </c>
      <c r="J933" s="2623"/>
      <c r="K933" s="2623" t="s">
        <v>5233</v>
      </c>
      <c r="L933" s="2623">
        <v>335.669872</v>
      </c>
      <c r="M933" s="2623">
        <v>336.26987200000002</v>
      </c>
      <c r="N933" s="2623">
        <v>337.40192400000001</v>
      </c>
      <c r="O933" s="2623">
        <v>337.77692400000001</v>
      </c>
      <c r="P933" s="2623">
        <v>340</v>
      </c>
      <c r="Q933" s="2623">
        <v>340.95235200000002</v>
      </c>
      <c r="R933" s="2631">
        <v>306</v>
      </c>
    </row>
    <row r="934" spans="1:18">
      <c r="A934" s="2615"/>
      <c r="B934" s="2618" t="s">
        <v>5699</v>
      </c>
      <c r="C934" s="2616" t="s">
        <v>5234</v>
      </c>
      <c r="D934" s="2623">
        <v>339.94</v>
      </c>
      <c r="E934" s="2623">
        <v>339.46499999999997</v>
      </c>
      <c r="F934" s="2623">
        <v>337.34192400000001</v>
      </c>
      <c r="G934" s="2623">
        <v>337.161924</v>
      </c>
      <c r="H934" s="2623">
        <v>335.609872</v>
      </c>
      <c r="I934" s="2623">
        <v>334.69782400000003</v>
      </c>
      <c r="J934" s="2623"/>
      <c r="K934" s="2623"/>
      <c r="L934" s="2623"/>
      <c r="M934" s="2623"/>
      <c r="N934" s="2623"/>
      <c r="O934" s="2623"/>
      <c r="P934" s="2623"/>
      <c r="Q934" s="2623"/>
      <c r="R934" s="2631"/>
    </row>
    <row r="935" spans="1:18">
      <c r="A935" s="2615">
        <v>350</v>
      </c>
      <c r="B935" s="2618" t="s">
        <v>5700</v>
      </c>
      <c r="C935" s="2616" t="s">
        <v>5232</v>
      </c>
      <c r="D935" s="2623">
        <v>349.92</v>
      </c>
      <c r="E935" s="2623">
        <v>349.32</v>
      </c>
      <c r="F935" s="2623">
        <v>346.02288600000003</v>
      </c>
      <c r="G935" s="2623">
        <v>345.70788599999997</v>
      </c>
      <c r="H935" s="2623">
        <v>343.42480799999998</v>
      </c>
      <c r="I935" s="2623">
        <v>342.01173599999998</v>
      </c>
      <c r="J935" s="2623"/>
      <c r="K935" s="2623" t="s">
        <v>5233</v>
      </c>
      <c r="L935" s="2623">
        <v>343.50480800000003</v>
      </c>
      <c r="M935" s="2623">
        <v>344.30480799999998</v>
      </c>
      <c r="N935" s="2623">
        <v>346.10288600000001</v>
      </c>
      <c r="O935" s="2623">
        <v>346.52788600000002</v>
      </c>
      <c r="P935" s="2623">
        <v>350</v>
      </c>
      <c r="Q935" s="2623">
        <v>351.29102799999998</v>
      </c>
      <c r="R935" s="2631">
        <v>315</v>
      </c>
    </row>
    <row r="936" spans="1:18">
      <c r="A936" s="2615"/>
      <c r="B936" s="2618" t="s">
        <v>5700</v>
      </c>
      <c r="C936" s="2616" t="s">
        <v>5234</v>
      </c>
      <c r="D936" s="2623">
        <v>349.92</v>
      </c>
      <c r="E936" s="2623">
        <v>349.32</v>
      </c>
      <c r="F936" s="2623">
        <v>346.02288600000003</v>
      </c>
      <c r="G936" s="2623">
        <v>345.82288599999998</v>
      </c>
      <c r="H936" s="2623">
        <v>343.42480799999998</v>
      </c>
      <c r="I936" s="2623">
        <v>342.12673599999999</v>
      </c>
      <c r="J936" s="2623"/>
      <c r="K936" s="2623"/>
      <c r="L936" s="2623"/>
      <c r="M936" s="2623"/>
      <c r="N936" s="2623"/>
      <c r="O936" s="2623"/>
      <c r="P936" s="2623"/>
      <c r="Q936" s="2623"/>
      <c r="R936" s="2631"/>
    </row>
    <row r="937" spans="1:18">
      <c r="A937" s="2615"/>
      <c r="B937" s="2618" t="s">
        <v>5701</v>
      </c>
      <c r="C937" s="2616" t="s">
        <v>5232</v>
      </c>
      <c r="D937" s="2623">
        <v>349.94</v>
      </c>
      <c r="E937" s="2623">
        <v>349.46499999999997</v>
      </c>
      <c r="F937" s="2623">
        <v>347.34192400000001</v>
      </c>
      <c r="G937" s="2623">
        <v>347.06192399999998</v>
      </c>
      <c r="H937" s="2623">
        <v>345.609872</v>
      </c>
      <c r="I937" s="2623">
        <v>344.597824</v>
      </c>
      <c r="J937" s="2623"/>
      <c r="K937" s="2623" t="s">
        <v>5233</v>
      </c>
      <c r="L937" s="2623">
        <v>345.669872</v>
      </c>
      <c r="M937" s="2623">
        <v>346.26987200000002</v>
      </c>
      <c r="N937" s="2623">
        <v>347.40192400000001</v>
      </c>
      <c r="O937" s="2623">
        <v>347.77692400000001</v>
      </c>
      <c r="P937" s="2623">
        <v>350</v>
      </c>
      <c r="Q937" s="2623">
        <v>350.95235200000002</v>
      </c>
      <c r="R937" s="2631">
        <v>315</v>
      </c>
    </row>
    <row r="938" spans="1:18">
      <c r="A938" s="2615"/>
      <c r="B938" s="2618" t="s">
        <v>5701</v>
      </c>
      <c r="C938" s="2616" t="s">
        <v>5234</v>
      </c>
      <c r="D938" s="2623">
        <v>349.94</v>
      </c>
      <c r="E938" s="2623">
        <v>349.46499999999997</v>
      </c>
      <c r="F938" s="2623">
        <v>347.34192400000001</v>
      </c>
      <c r="G938" s="2623">
        <v>347.161924</v>
      </c>
      <c r="H938" s="2623">
        <v>345.609872</v>
      </c>
      <c r="I938" s="2623">
        <v>344.69782400000003</v>
      </c>
      <c r="J938" s="2623"/>
      <c r="K938" s="2623"/>
      <c r="L938" s="2623"/>
      <c r="M938" s="2623"/>
      <c r="N938" s="2623"/>
      <c r="O938" s="2623"/>
      <c r="P938" s="2623"/>
      <c r="Q938" s="2623"/>
      <c r="R938" s="2631"/>
    </row>
    <row r="939" spans="1:18">
      <c r="A939" s="2615">
        <v>360</v>
      </c>
      <c r="B939" s="2618" t="s">
        <v>5702</v>
      </c>
      <c r="C939" s="2616" t="s">
        <v>5232</v>
      </c>
      <c r="D939" s="2623">
        <v>359.92</v>
      </c>
      <c r="E939" s="2623">
        <v>359.32</v>
      </c>
      <c r="F939" s="2623">
        <v>356.02288600000003</v>
      </c>
      <c r="G939" s="2623">
        <v>355.66788600000001</v>
      </c>
      <c r="H939" s="2623">
        <v>353.42480799999998</v>
      </c>
      <c r="I939" s="2623">
        <v>351.97173600000002</v>
      </c>
      <c r="J939" s="2623"/>
      <c r="K939" s="2623" t="s">
        <v>5233</v>
      </c>
      <c r="L939" s="2623">
        <v>353.50480800000003</v>
      </c>
      <c r="M939" s="2623">
        <v>354.30480799999998</v>
      </c>
      <c r="N939" s="2623">
        <v>356.10288600000001</v>
      </c>
      <c r="O939" s="2623">
        <v>356.57788599999998</v>
      </c>
      <c r="P939" s="2623">
        <v>360</v>
      </c>
      <c r="Q939" s="2623">
        <v>361.34102799999999</v>
      </c>
      <c r="R939" s="2631">
        <v>324</v>
      </c>
    </row>
    <row r="940" spans="1:18">
      <c r="A940" s="2615"/>
      <c r="B940" s="2618" t="s">
        <v>5702</v>
      </c>
      <c r="C940" s="2616" t="s">
        <v>5234</v>
      </c>
      <c r="D940" s="2623">
        <v>359.92</v>
      </c>
      <c r="E940" s="2623">
        <v>359.32</v>
      </c>
      <c r="F940" s="2623">
        <v>356.02288600000003</v>
      </c>
      <c r="G940" s="2623">
        <v>355.79888599999998</v>
      </c>
      <c r="H940" s="2623">
        <v>353.42480799999998</v>
      </c>
      <c r="I940" s="2623">
        <v>352.10273599999999</v>
      </c>
      <c r="J940" s="2623"/>
      <c r="K940" s="2623"/>
      <c r="L940" s="2623"/>
      <c r="M940" s="2623"/>
      <c r="N940" s="2623"/>
      <c r="O940" s="2623"/>
      <c r="P940" s="2623"/>
      <c r="Q940" s="2623"/>
      <c r="R940" s="2631"/>
    </row>
    <row r="941" spans="1:18">
      <c r="A941" s="2615"/>
      <c r="B941" s="2618" t="s">
        <v>5703</v>
      </c>
      <c r="C941" s="2616" t="s">
        <v>5232</v>
      </c>
      <c r="D941" s="2623">
        <v>359.94</v>
      </c>
      <c r="E941" s="2623">
        <v>359.46499999999997</v>
      </c>
      <c r="F941" s="2623">
        <v>357.34192400000001</v>
      </c>
      <c r="G941" s="2623">
        <v>357.04192399999999</v>
      </c>
      <c r="H941" s="2623">
        <v>355.609872</v>
      </c>
      <c r="I941" s="2623">
        <v>354.57782400000002</v>
      </c>
      <c r="J941" s="2623"/>
      <c r="K941" s="2623" t="s">
        <v>5233</v>
      </c>
      <c r="L941" s="2623">
        <v>355.669872</v>
      </c>
      <c r="M941" s="2623">
        <v>356.26987200000002</v>
      </c>
      <c r="N941" s="2623">
        <v>357.40192400000001</v>
      </c>
      <c r="O941" s="2623">
        <v>357.80192399999999</v>
      </c>
      <c r="P941" s="2623">
        <v>360</v>
      </c>
      <c r="Q941" s="2623">
        <v>360.977352</v>
      </c>
      <c r="R941" s="2631">
        <v>324</v>
      </c>
    </row>
    <row r="942" spans="1:18">
      <c r="A942" s="2615"/>
      <c r="B942" s="2618" t="s">
        <v>5703</v>
      </c>
      <c r="C942" s="2616" t="s">
        <v>5234</v>
      </c>
      <c r="D942" s="2623">
        <v>359.94</v>
      </c>
      <c r="E942" s="2623">
        <v>359.46499999999997</v>
      </c>
      <c r="F942" s="2623">
        <v>357.34192400000001</v>
      </c>
      <c r="G942" s="2623">
        <v>357.15192400000001</v>
      </c>
      <c r="H942" s="2623">
        <v>355.609872</v>
      </c>
      <c r="I942" s="2623">
        <v>354.68782399999998</v>
      </c>
      <c r="J942" s="2623"/>
      <c r="K942" s="2623"/>
      <c r="L942" s="2623"/>
      <c r="M942" s="2623"/>
      <c r="N942" s="2623"/>
      <c r="O942" s="2623"/>
      <c r="P942" s="2623"/>
      <c r="Q942" s="2623"/>
      <c r="R942" s="2631"/>
    </row>
    <row r="943" spans="1:18">
      <c r="A943" s="2615">
        <v>370</v>
      </c>
      <c r="B943" s="2618" t="s">
        <v>5704</v>
      </c>
      <c r="C943" s="2616" t="s">
        <v>5232</v>
      </c>
      <c r="D943" s="2623">
        <v>369.92</v>
      </c>
      <c r="E943" s="2623">
        <v>369.32</v>
      </c>
      <c r="F943" s="2623">
        <v>366.02288600000003</v>
      </c>
      <c r="G943" s="2623">
        <v>365.66788600000001</v>
      </c>
      <c r="H943" s="2623">
        <v>363.42480799999998</v>
      </c>
      <c r="I943" s="2623">
        <v>361.97173600000002</v>
      </c>
      <c r="J943" s="2623"/>
      <c r="K943" s="2623" t="s">
        <v>5233</v>
      </c>
      <c r="L943" s="2623">
        <v>363.50480800000003</v>
      </c>
      <c r="M943" s="2623">
        <v>364.30480799999998</v>
      </c>
      <c r="N943" s="2623">
        <v>366.10288600000001</v>
      </c>
      <c r="O943" s="2623">
        <v>366.57788599999998</v>
      </c>
      <c r="P943" s="2623">
        <v>370</v>
      </c>
      <c r="Q943" s="2623">
        <v>371.34102799999999</v>
      </c>
      <c r="R943" s="2631">
        <v>333</v>
      </c>
    </row>
    <row r="944" spans="1:18">
      <c r="A944" s="2615"/>
      <c r="B944" s="2618" t="s">
        <v>5704</v>
      </c>
      <c r="C944" s="2616" t="s">
        <v>5234</v>
      </c>
      <c r="D944" s="2623">
        <v>369.92</v>
      </c>
      <c r="E944" s="2623">
        <v>369.32</v>
      </c>
      <c r="F944" s="2623">
        <v>366.02288600000003</v>
      </c>
      <c r="G944" s="2623">
        <v>365.79888599999998</v>
      </c>
      <c r="H944" s="2623">
        <v>363.42480799999998</v>
      </c>
      <c r="I944" s="2623">
        <v>362.10273599999999</v>
      </c>
      <c r="J944" s="2623"/>
      <c r="K944" s="2623"/>
      <c r="L944" s="2623"/>
      <c r="M944" s="2623"/>
      <c r="N944" s="2623"/>
      <c r="O944" s="2623"/>
      <c r="P944" s="2623"/>
      <c r="Q944" s="2623"/>
      <c r="R944" s="2631"/>
    </row>
    <row r="945" spans="1:18">
      <c r="A945" s="2615"/>
      <c r="B945" s="2618" t="s">
        <v>5705</v>
      </c>
      <c r="C945" s="2616" t="s">
        <v>5232</v>
      </c>
      <c r="D945" s="2623">
        <v>369.94</v>
      </c>
      <c r="E945" s="2623">
        <v>369.46499999999997</v>
      </c>
      <c r="F945" s="2623">
        <v>367.34192400000001</v>
      </c>
      <c r="G945" s="2623">
        <v>367.04192399999999</v>
      </c>
      <c r="H945" s="2623">
        <v>365.609872</v>
      </c>
      <c r="I945" s="2623">
        <v>364.57782400000002</v>
      </c>
      <c r="J945" s="2623"/>
      <c r="K945" s="2623" t="s">
        <v>5233</v>
      </c>
      <c r="L945" s="2623">
        <v>365.669872</v>
      </c>
      <c r="M945" s="2623">
        <v>366.26987200000002</v>
      </c>
      <c r="N945" s="2623">
        <v>367.40192400000001</v>
      </c>
      <c r="O945" s="2623">
        <v>367.80192399999999</v>
      </c>
      <c r="P945" s="2623">
        <v>370</v>
      </c>
      <c r="Q945" s="2623">
        <v>370.977352</v>
      </c>
      <c r="R945" s="2631">
        <v>333</v>
      </c>
    </row>
    <row r="946" spans="1:18">
      <c r="A946" s="2615"/>
      <c r="B946" s="2618" t="s">
        <v>5705</v>
      </c>
      <c r="C946" s="2616" t="s">
        <v>5234</v>
      </c>
      <c r="D946" s="2623">
        <v>369.94</v>
      </c>
      <c r="E946" s="2623">
        <v>369.46499999999997</v>
      </c>
      <c r="F946" s="2623">
        <v>367.34192400000001</v>
      </c>
      <c r="G946" s="2623">
        <v>367.15192400000001</v>
      </c>
      <c r="H946" s="2623">
        <v>365.609872</v>
      </c>
      <c r="I946" s="2623">
        <v>364.68782399999998</v>
      </c>
      <c r="J946" s="2623"/>
      <c r="K946" s="2623"/>
      <c r="L946" s="2623"/>
      <c r="M946" s="2623"/>
      <c r="N946" s="2623"/>
      <c r="O946" s="2623"/>
      <c r="P946" s="2623"/>
      <c r="Q946" s="2623"/>
      <c r="R946" s="2631"/>
    </row>
    <row r="947" spans="1:18">
      <c r="A947" s="2615">
        <v>380</v>
      </c>
      <c r="B947" s="2618" t="s">
        <v>5706</v>
      </c>
      <c r="C947" s="2616" t="s">
        <v>5232</v>
      </c>
      <c r="D947" s="2623">
        <v>379.92</v>
      </c>
      <c r="E947" s="2623">
        <v>379.32</v>
      </c>
      <c r="F947" s="2623">
        <v>376.02288600000003</v>
      </c>
      <c r="G947" s="2623">
        <v>375.66788600000001</v>
      </c>
      <c r="H947" s="2623">
        <v>373.42480799999998</v>
      </c>
      <c r="I947" s="2623">
        <v>371.97173600000002</v>
      </c>
      <c r="J947" s="2623"/>
      <c r="K947" s="2623" t="s">
        <v>5233</v>
      </c>
      <c r="L947" s="2623">
        <v>373.50480800000003</v>
      </c>
      <c r="M947" s="2623">
        <v>374.30480799999998</v>
      </c>
      <c r="N947" s="2623">
        <v>376.10288600000001</v>
      </c>
      <c r="O947" s="2623">
        <v>376.57788599999998</v>
      </c>
      <c r="P947" s="2623">
        <v>380</v>
      </c>
      <c r="Q947" s="2623">
        <v>381.34102799999999</v>
      </c>
      <c r="R947" s="2631">
        <v>342</v>
      </c>
    </row>
    <row r="948" spans="1:18">
      <c r="A948" s="2615"/>
      <c r="B948" s="2618" t="s">
        <v>5706</v>
      </c>
      <c r="C948" s="2616" t="s">
        <v>5234</v>
      </c>
      <c r="D948" s="2623">
        <v>379.92</v>
      </c>
      <c r="E948" s="2623">
        <v>379.32</v>
      </c>
      <c r="F948" s="2623">
        <v>376.02288600000003</v>
      </c>
      <c r="G948" s="2623">
        <v>375.79888599999998</v>
      </c>
      <c r="H948" s="2623">
        <v>373.42480799999998</v>
      </c>
      <c r="I948" s="2623">
        <v>372.10273599999999</v>
      </c>
      <c r="J948" s="2623"/>
      <c r="K948" s="2623"/>
      <c r="L948" s="2623"/>
      <c r="M948" s="2623"/>
      <c r="N948" s="2623"/>
      <c r="O948" s="2623"/>
      <c r="P948" s="2623"/>
      <c r="Q948" s="2623"/>
      <c r="R948" s="2631"/>
    </row>
    <row r="949" spans="1:18">
      <c r="A949" s="2615"/>
      <c r="B949" s="2618" t="s">
        <v>5707</v>
      </c>
      <c r="C949" s="2616" t="s">
        <v>5232</v>
      </c>
      <c r="D949" s="2623">
        <v>379.94</v>
      </c>
      <c r="E949" s="2623">
        <v>379.46499999999997</v>
      </c>
      <c r="F949" s="2623">
        <v>377.34192400000001</v>
      </c>
      <c r="G949" s="2623">
        <v>377.04192399999999</v>
      </c>
      <c r="H949" s="2623">
        <v>375.609872</v>
      </c>
      <c r="I949" s="2623">
        <v>374.57782400000002</v>
      </c>
      <c r="J949" s="2623"/>
      <c r="K949" s="2623" t="s">
        <v>5233</v>
      </c>
      <c r="L949" s="2623">
        <v>375.669872</v>
      </c>
      <c r="M949" s="2623">
        <v>376.26987200000002</v>
      </c>
      <c r="N949" s="2623">
        <v>377.40192400000001</v>
      </c>
      <c r="O949" s="2623">
        <v>377.80192399999999</v>
      </c>
      <c r="P949" s="2623">
        <v>380</v>
      </c>
      <c r="Q949" s="2623">
        <v>380.977352</v>
      </c>
      <c r="R949" s="2631">
        <v>342</v>
      </c>
    </row>
    <row r="950" spans="1:18">
      <c r="A950" s="2615"/>
      <c r="B950" s="2618" t="s">
        <v>5707</v>
      </c>
      <c r="C950" s="2616" t="s">
        <v>5234</v>
      </c>
      <c r="D950" s="2623">
        <v>379.94</v>
      </c>
      <c r="E950" s="2623">
        <v>379.46499999999997</v>
      </c>
      <c r="F950" s="2623">
        <v>377.34192400000001</v>
      </c>
      <c r="G950" s="2623">
        <v>377.15192400000001</v>
      </c>
      <c r="H950" s="2623">
        <v>375.609872</v>
      </c>
      <c r="I950" s="2623">
        <v>374.68782399999998</v>
      </c>
      <c r="J950" s="2623"/>
      <c r="K950" s="2623"/>
      <c r="L950" s="2623"/>
      <c r="M950" s="2623"/>
      <c r="N950" s="2623"/>
      <c r="O950" s="2623"/>
      <c r="P950" s="2623"/>
      <c r="Q950" s="2623"/>
      <c r="R950" s="2631"/>
    </row>
    <row r="951" spans="1:18">
      <c r="A951" s="2615">
        <v>390</v>
      </c>
      <c r="B951" s="2618" t="s">
        <v>5708</v>
      </c>
      <c r="C951" s="2616" t="s">
        <v>5232</v>
      </c>
      <c r="D951" s="2623">
        <v>389.92</v>
      </c>
      <c r="E951" s="2623">
        <v>389.32</v>
      </c>
      <c r="F951" s="2623">
        <v>386.02288600000003</v>
      </c>
      <c r="G951" s="2623">
        <v>385.66788600000001</v>
      </c>
      <c r="H951" s="2623">
        <v>383.42480799999998</v>
      </c>
      <c r="I951" s="2623">
        <v>381.97173600000002</v>
      </c>
      <c r="J951" s="2623"/>
      <c r="K951" s="2623" t="s">
        <v>5233</v>
      </c>
      <c r="L951" s="2623">
        <v>383.50480800000003</v>
      </c>
      <c r="M951" s="2623">
        <v>384.30480799999998</v>
      </c>
      <c r="N951" s="2623">
        <v>386.10288600000001</v>
      </c>
      <c r="O951" s="2623">
        <v>386.57788599999998</v>
      </c>
      <c r="P951" s="2623">
        <v>390</v>
      </c>
      <c r="Q951" s="2623">
        <v>391.34102799999999</v>
      </c>
      <c r="R951" s="2631">
        <v>351</v>
      </c>
    </row>
    <row r="952" spans="1:18">
      <c r="A952" s="2615"/>
      <c r="B952" s="2618" t="s">
        <v>5708</v>
      </c>
      <c r="C952" s="2616" t="s">
        <v>5234</v>
      </c>
      <c r="D952" s="2623">
        <v>389.92</v>
      </c>
      <c r="E952" s="2623">
        <v>389.32</v>
      </c>
      <c r="F952" s="2623">
        <v>386.02288600000003</v>
      </c>
      <c r="G952" s="2623">
        <v>385.79888599999998</v>
      </c>
      <c r="H952" s="2623">
        <v>383.42480799999998</v>
      </c>
      <c r="I952" s="2623">
        <v>382.10273599999999</v>
      </c>
      <c r="J952" s="2623"/>
      <c r="K952" s="2623"/>
      <c r="L952" s="2623"/>
      <c r="M952" s="2623"/>
      <c r="N952" s="2623"/>
      <c r="O952" s="2623"/>
      <c r="P952" s="2623"/>
      <c r="Q952" s="2623"/>
      <c r="R952" s="2631"/>
    </row>
    <row r="953" spans="1:18">
      <c r="A953" s="2615"/>
      <c r="B953" s="2618" t="s">
        <v>5709</v>
      </c>
      <c r="C953" s="2616" t="s">
        <v>5232</v>
      </c>
      <c r="D953" s="2623">
        <v>389.94</v>
      </c>
      <c r="E953" s="2623">
        <v>389.46499999999997</v>
      </c>
      <c r="F953" s="2623">
        <v>387.34192400000001</v>
      </c>
      <c r="G953" s="2623">
        <v>387.04192399999999</v>
      </c>
      <c r="H953" s="2623">
        <v>385.609872</v>
      </c>
      <c r="I953" s="2623">
        <v>384.57782400000002</v>
      </c>
      <c r="J953" s="2623"/>
      <c r="K953" s="2623" t="s">
        <v>5233</v>
      </c>
      <c r="L953" s="2623">
        <v>385.669872</v>
      </c>
      <c r="M953" s="2623">
        <v>386.26987200000002</v>
      </c>
      <c r="N953" s="2623">
        <v>387.40192400000001</v>
      </c>
      <c r="O953" s="2623">
        <v>387.80192399999999</v>
      </c>
      <c r="P953" s="2623">
        <v>390</v>
      </c>
      <c r="Q953" s="2623">
        <v>390.977352</v>
      </c>
      <c r="R953" s="2631">
        <v>351</v>
      </c>
    </row>
    <row r="954" spans="1:18">
      <c r="A954" s="2615"/>
      <c r="B954" s="2618" t="s">
        <v>5709</v>
      </c>
      <c r="C954" s="2616" t="s">
        <v>5234</v>
      </c>
      <c r="D954" s="2623">
        <v>389.94</v>
      </c>
      <c r="E954" s="2623">
        <v>389.46499999999997</v>
      </c>
      <c r="F954" s="2623">
        <v>387.34192400000001</v>
      </c>
      <c r="G954" s="2623">
        <v>387.15192400000001</v>
      </c>
      <c r="H954" s="2623">
        <v>385.609872</v>
      </c>
      <c r="I954" s="2623">
        <v>384.68782399999998</v>
      </c>
      <c r="J954" s="2623"/>
      <c r="K954" s="2623"/>
      <c r="L954" s="2623"/>
      <c r="M954" s="2623"/>
      <c r="N954" s="2623"/>
      <c r="O954" s="2623"/>
      <c r="P954" s="2623"/>
      <c r="Q954" s="2623"/>
      <c r="R954" s="2631"/>
    </row>
    <row r="955" spans="1:18">
      <c r="A955" s="2615">
        <v>400</v>
      </c>
      <c r="B955" s="2618" t="s">
        <v>5710</v>
      </c>
      <c r="C955" s="2616" t="s">
        <v>5232</v>
      </c>
      <c r="D955" s="2623">
        <v>399.92</v>
      </c>
      <c r="E955" s="2623">
        <v>399.32</v>
      </c>
      <c r="F955" s="2623">
        <v>396.02288600000003</v>
      </c>
      <c r="G955" s="2623">
        <v>395.66788600000001</v>
      </c>
      <c r="H955" s="2623">
        <v>393.42480799999998</v>
      </c>
      <c r="I955" s="2623">
        <v>391.97173600000002</v>
      </c>
      <c r="J955" s="2623"/>
      <c r="K955" s="2623" t="s">
        <v>5233</v>
      </c>
      <c r="L955" s="2623">
        <v>393.50480800000003</v>
      </c>
      <c r="M955" s="2623">
        <v>394.30480799999998</v>
      </c>
      <c r="N955" s="2623">
        <v>396.10288600000001</v>
      </c>
      <c r="O955" s="2623">
        <v>396.57788599999998</v>
      </c>
      <c r="P955" s="2623">
        <v>400</v>
      </c>
      <c r="Q955" s="2623">
        <v>401.34102799999999</v>
      </c>
      <c r="R955" s="2631">
        <v>360</v>
      </c>
    </row>
    <row r="956" spans="1:18">
      <c r="A956" s="2615"/>
      <c r="B956" s="2618" t="s">
        <v>5710</v>
      </c>
      <c r="C956" s="2616" t="s">
        <v>5234</v>
      </c>
      <c r="D956" s="2623">
        <v>399.92</v>
      </c>
      <c r="E956" s="2623">
        <v>399.32</v>
      </c>
      <c r="F956" s="2623">
        <v>396.02288600000003</v>
      </c>
      <c r="G956" s="2623">
        <v>395.79888599999998</v>
      </c>
      <c r="H956" s="2623">
        <v>393.42480799999998</v>
      </c>
      <c r="I956" s="2623">
        <v>392.10273599999999</v>
      </c>
      <c r="J956" s="2623"/>
      <c r="K956" s="2623"/>
      <c r="L956" s="2623"/>
      <c r="M956" s="2623"/>
      <c r="N956" s="2623"/>
      <c r="O956" s="2623"/>
      <c r="P956" s="2623"/>
      <c r="Q956" s="2623"/>
      <c r="R956" s="2631"/>
    </row>
    <row r="957" spans="1:18">
      <c r="A957" s="2615"/>
      <c r="B957" s="2618" t="s">
        <v>5711</v>
      </c>
      <c r="C957" s="2616" t="s">
        <v>5232</v>
      </c>
      <c r="D957" s="2623">
        <v>399.94</v>
      </c>
      <c r="E957" s="2623">
        <v>399.46499999999997</v>
      </c>
      <c r="F957" s="2623">
        <v>397.34192400000001</v>
      </c>
      <c r="G957" s="2623">
        <v>397.04192399999999</v>
      </c>
      <c r="H957" s="2623">
        <v>395.609872</v>
      </c>
      <c r="I957" s="2623">
        <v>394.57782400000002</v>
      </c>
      <c r="J957" s="2623"/>
      <c r="K957" s="2623" t="s">
        <v>5233</v>
      </c>
      <c r="L957" s="2623">
        <v>395.669872</v>
      </c>
      <c r="M957" s="2623">
        <v>396.26987200000002</v>
      </c>
      <c r="N957" s="2623">
        <v>397.40192400000001</v>
      </c>
      <c r="O957" s="2623">
        <v>397.80192399999999</v>
      </c>
      <c r="P957" s="2623">
        <v>400</v>
      </c>
      <c r="Q957" s="2623">
        <v>400.977352</v>
      </c>
      <c r="R957" s="2631">
        <v>360</v>
      </c>
    </row>
    <row r="958" spans="1:18">
      <c r="A958" s="2615"/>
      <c r="B958" s="2618" t="s">
        <v>5711</v>
      </c>
      <c r="C958" s="2616" t="s">
        <v>5234</v>
      </c>
      <c r="D958" s="2623">
        <v>399.94</v>
      </c>
      <c r="E958" s="2623">
        <v>399.46499999999997</v>
      </c>
      <c r="F958" s="2623">
        <v>397.34192400000001</v>
      </c>
      <c r="G958" s="2623">
        <v>397.15192400000001</v>
      </c>
      <c r="H958" s="2623">
        <v>395.609872</v>
      </c>
      <c r="I958" s="2623">
        <v>394.68782399999998</v>
      </c>
      <c r="J958" s="2623"/>
      <c r="K958" s="2623"/>
      <c r="L958" s="2623"/>
      <c r="M958" s="2623"/>
      <c r="N958" s="2623"/>
      <c r="O958" s="2623"/>
      <c r="P958" s="2623"/>
      <c r="Q958" s="2623"/>
      <c r="R958" s="2631"/>
    </row>
    <row r="959" spans="1:18">
      <c r="A959" s="2615">
        <v>410</v>
      </c>
      <c r="B959" s="2618" t="s">
        <v>5712</v>
      </c>
      <c r="C959" s="2616" t="s">
        <v>5232</v>
      </c>
      <c r="D959" s="2623">
        <v>409.92</v>
      </c>
      <c r="E959" s="2623">
        <v>409.32</v>
      </c>
      <c r="F959" s="2623">
        <v>406.02288600000003</v>
      </c>
      <c r="G959" s="2623">
        <v>405.66788600000001</v>
      </c>
      <c r="H959" s="2623">
        <v>403.42480799999998</v>
      </c>
      <c r="I959" s="2623">
        <v>401.97173600000002</v>
      </c>
      <c r="J959" s="2623"/>
      <c r="K959" s="2623" t="s">
        <v>5233</v>
      </c>
      <c r="L959" s="2623">
        <v>403.50480800000003</v>
      </c>
      <c r="M959" s="2623">
        <v>404.30480799999998</v>
      </c>
      <c r="N959" s="2623">
        <v>406.10288600000001</v>
      </c>
      <c r="O959" s="2623">
        <v>406.57788599999998</v>
      </c>
      <c r="P959" s="2623">
        <v>410</v>
      </c>
      <c r="Q959" s="2623">
        <v>411.34102799999999</v>
      </c>
      <c r="R959" s="2631">
        <v>369</v>
      </c>
    </row>
    <row r="960" spans="1:18">
      <c r="A960" s="2615"/>
      <c r="B960" s="2618" t="s">
        <v>5712</v>
      </c>
      <c r="C960" s="2616" t="s">
        <v>5234</v>
      </c>
      <c r="D960" s="2623">
        <v>409.92</v>
      </c>
      <c r="E960" s="2623">
        <v>409.32</v>
      </c>
      <c r="F960" s="2623">
        <v>406.02288600000003</v>
      </c>
      <c r="G960" s="2623">
        <v>405.79888599999998</v>
      </c>
      <c r="H960" s="2623">
        <v>403.42480799999998</v>
      </c>
      <c r="I960" s="2623">
        <v>402.10273599999999</v>
      </c>
      <c r="J960" s="2623"/>
      <c r="K960" s="2623"/>
      <c r="L960" s="2623"/>
      <c r="M960" s="2623"/>
      <c r="N960" s="2623"/>
      <c r="O960" s="2623"/>
      <c r="P960" s="2623"/>
      <c r="Q960" s="2623"/>
      <c r="R960" s="2631"/>
    </row>
    <row r="961" spans="1:18">
      <c r="A961" s="2615">
        <v>420</v>
      </c>
      <c r="B961" s="2618" t="s">
        <v>5713</v>
      </c>
      <c r="C961" s="2616" t="s">
        <v>5232</v>
      </c>
      <c r="D961" s="2623">
        <v>419.92</v>
      </c>
      <c r="E961" s="2623">
        <v>419.32</v>
      </c>
      <c r="F961" s="2623">
        <v>416.02288600000003</v>
      </c>
      <c r="G961" s="2623">
        <v>415.66788600000001</v>
      </c>
      <c r="H961" s="2623">
        <v>413.42480799999998</v>
      </c>
      <c r="I961" s="2623">
        <v>411.97173600000002</v>
      </c>
      <c r="J961" s="2623"/>
      <c r="K961" s="2623" t="s">
        <v>5233</v>
      </c>
      <c r="L961" s="2623">
        <v>413.50480800000003</v>
      </c>
      <c r="M961" s="2623">
        <v>414.30480799999998</v>
      </c>
      <c r="N961" s="2623">
        <v>416.10288600000001</v>
      </c>
      <c r="O961" s="2623">
        <v>416.57788599999998</v>
      </c>
      <c r="P961" s="2623">
        <v>420</v>
      </c>
      <c r="Q961" s="2623">
        <v>421.34102799999999</v>
      </c>
      <c r="R961" s="2631">
        <v>378</v>
      </c>
    </row>
    <row r="962" spans="1:18">
      <c r="A962" s="2615"/>
      <c r="B962" s="2618" t="s">
        <v>5713</v>
      </c>
      <c r="C962" s="2616" t="s">
        <v>5234</v>
      </c>
      <c r="D962" s="2623">
        <v>419.92</v>
      </c>
      <c r="E962" s="2623">
        <v>419.32</v>
      </c>
      <c r="F962" s="2623">
        <v>416.02288600000003</v>
      </c>
      <c r="G962" s="2623">
        <v>415.79888599999998</v>
      </c>
      <c r="H962" s="2623">
        <v>413.42480799999998</v>
      </c>
      <c r="I962" s="2623">
        <v>412.10273599999999</v>
      </c>
      <c r="J962" s="2623"/>
      <c r="K962" s="2623"/>
      <c r="L962" s="2623"/>
      <c r="M962" s="2623"/>
      <c r="N962" s="2623"/>
      <c r="O962" s="2623"/>
      <c r="P962" s="2623"/>
      <c r="Q962" s="2623"/>
      <c r="R962" s="2631"/>
    </row>
    <row r="963" spans="1:18">
      <c r="A963" s="2615">
        <v>430</v>
      </c>
      <c r="B963" s="2618" t="s">
        <v>5714</v>
      </c>
      <c r="C963" s="2616" t="s">
        <v>5232</v>
      </c>
      <c r="D963" s="2623">
        <v>429.92</v>
      </c>
      <c r="E963" s="2623">
        <v>429.32</v>
      </c>
      <c r="F963" s="2623">
        <v>426.02288600000003</v>
      </c>
      <c r="G963" s="2623">
        <v>425.66788600000001</v>
      </c>
      <c r="H963" s="2623">
        <v>423.42480799999998</v>
      </c>
      <c r="I963" s="2623">
        <v>421.97173600000002</v>
      </c>
      <c r="J963" s="2623"/>
      <c r="K963" s="2623" t="s">
        <v>5233</v>
      </c>
      <c r="L963" s="2623">
        <v>423.50480800000003</v>
      </c>
      <c r="M963" s="2623">
        <v>424.30480799999998</v>
      </c>
      <c r="N963" s="2623">
        <v>426.10288600000001</v>
      </c>
      <c r="O963" s="2623">
        <v>426.57788599999998</v>
      </c>
      <c r="P963" s="2623">
        <v>430</v>
      </c>
      <c r="Q963" s="2623">
        <v>431.34102799999999</v>
      </c>
      <c r="R963" s="2631">
        <v>387</v>
      </c>
    </row>
    <row r="964" spans="1:18">
      <c r="A964" s="2615"/>
      <c r="B964" s="2618" t="s">
        <v>5714</v>
      </c>
      <c r="C964" s="2616" t="s">
        <v>5234</v>
      </c>
      <c r="D964" s="2623">
        <v>429.92</v>
      </c>
      <c r="E964" s="2623">
        <v>429.32</v>
      </c>
      <c r="F964" s="2623">
        <v>426.02288600000003</v>
      </c>
      <c r="G964" s="2623">
        <v>425.79888599999998</v>
      </c>
      <c r="H964" s="2623">
        <v>423.42480799999998</v>
      </c>
      <c r="I964" s="2623">
        <v>422.10273599999999</v>
      </c>
      <c r="J964" s="2623"/>
      <c r="K964" s="2623"/>
      <c r="L964" s="2623"/>
      <c r="M964" s="2623"/>
      <c r="N964" s="2623"/>
      <c r="O964" s="2623"/>
      <c r="P964" s="2623"/>
      <c r="Q964" s="2623"/>
      <c r="R964" s="2631"/>
    </row>
    <row r="965" spans="1:18">
      <c r="A965" s="2615">
        <v>440</v>
      </c>
      <c r="B965" s="2618" t="s">
        <v>5715</v>
      </c>
      <c r="C965" s="2616" t="s">
        <v>5232</v>
      </c>
      <c r="D965" s="2623">
        <v>439.92</v>
      </c>
      <c r="E965" s="2623">
        <v>439.32</v>
      </c>
      <c r="F965" s="2623">
        <v>436.02288600000003</v>
      </c>
      <c r="G965" s="2623">
        <v>435.66788600000001</v>
      </c>
      <c r="H965" s="2623">
        <v>433.42480799999998</v>
      </c>
      <c r="I965" s="2623">
        <v>431.97173600000002</v>
      </c>
      <c r="J965" s="2623"/>
      <c r="K965" s="2623" t="s">
        <v>5233</v>
      </c>
      <c r="L965" s="2623">
        <v>433.50480800000003</v>
      </c>
      <c r="M965" s="2623">
        <v>434.30480799999998</v>
      </c>
      <c r="N965" s="2623">
        <v>436.10288600000001</v>
      </c>
      <c r="O965" s="2623">
        <v>436.57788599999998</v>
      </c>
      <c r="P965" s="2623">
        <v>440</v>
      </c>
      <c r="Q965" s="2623">
        <v>441.34102799999999</v>
      </c>
      <c r="R965" s="2631">
        <v>396</v>
      </c>
    </row>
    <row r="966" spans="1:18">
      <c r="A966" s="2615"/>
      <c r="B966" s="2618" t="s">
        <v>5715</v>
      </c>
      <c r="C966" s="2616" t="s">
        <v>5234</v>
      </c>
      <c r="D966" s="2623">
        <v>439.92</v>
      </c>
      <c r="E966" s="2623">
        <v>439.32</v>
      </c>
      <c r="F966" s="2623">
        <v>436.02288600000003</v>
      </c>
      <c r="G966" s="2623">
        <v>435.79888599999998</v>
      </c>
      <c r="H966" s="2623">
        <v>433.42480799999998</v>
      </c>
      <c r="I966" s="2623">
        <v>432.10273599999999</v>
      </c>
      <c r="J966" s="2623"/>
      <c r="K966" s="2623"/>
      <c r="L966" s="2623"/>
      <c r="M966" s="2623"/>
      <c r="N966" s="2623"/>
      <c r="O966" s="2623"/>
      <c r="P966" s="2623"/>
      <c r="Q966" s="2623"/>
      <c r="R966" s="2631"/>
    </row>
    <row r="967" spans="1:18">
      <c r="A967" s="2615">
        <v>450</v>
      </c>
      <c r="B967" s="2618" t="s">
        <v>5716</v>
      </c>
      <c r="C967" s="2616" t="s">
        <v>5232</v>
      </c>
      <c r="D967" s="2623">
        <v>449.92</v>
      </c>
      <c r="E967" s="2623">
        <v>449.32</v>
      </c>
      <c r="F967" s="2623">
        <v>446.02288600000003</v>
      </c>
      <c r="G967" s="2623">
        <v>445.66788600000001</v>
      </c>
      <c r="H967" s="2623">
        <v>443.42480799999998</v>
      </c>
      <c r="I967" s="2623">
        <v>441.97173600000002</v>
      </c>
      <c r="J967" s="2623"/>
      <c r="K967" s="2623" t="s">
        <v>5233</v>
      </c>
      <c r="L967" s="2623">
        <v>443.50480800000003</v>
      </c>
      <c r="M967" s="2623">
        <v>444.30480799999998</v>
      </c>
      <c r="N967" s="2623">
        <v>446.10288600000001</v>
      </c>
      <c r="O967" s="2623">
        <v>446.57788599999998</v>
      </c>
      <c r="P967" s="2623">
        <v>450</v>
      </c>
      <c r="Q967" s="2623">
        <v>451.34102799999999</v>
      </c>
      <c r="R967" s="2631">
        <v>405</v>
      </c>
    </row>
    <row r="968" spans="1:18">
      <c r="A968" s="2615"/>
      <c r="B968" s="2618" t="s">
        <v>5716</v>
      </c>
      <c r="C968" s="2616" t="s">
        <v>5234</v>
      </c>
      <c r="D968" s="2623">
        <v>449.92</v>
      </c>
      <c r="E968" s="2623">
        <v>449.32</v>
      </c>
      <c r="F968" s="2623">
        <v>446.02288600000003</v>
      </c>
      <c r="G968" s="2623">
        <v>445.79888599999998</v>
      </c>
      <c r="H968" s="2623">
        <v>443.42480799999998</v>
      </c>
      <c r="I968" s="2623">
        <v>442.10273599999999</v>
      </c>
      <c r="J968" s="2623"/>
      <c r="K968" s="2623"/>
      <c r="L968" s="2623"/>
      <c r="M968" s="2623"/>
      <c r="N968" s="2623"/>
      <c r="O968" s="2623"/>
      <c r="P968" s="2623"/>
      <c r="Q968" s="2623"/>
      <c r="R968" s="2631"/>
    </row>
    <row r="969" spans="1:18">
      <c r="A969" s="2615">
        <v>460</v>
      </c>
      <c r="B969" s="2618" t="s">
        <v>5717</v>
      </c>
      <c r="C969" s="2616" t="s">
        <v>5232</v>
      </c>
      <c r="D969" s="2623">
        <v>459.92</v>
      </c>
      <c r="E969" s="2623">
        <v>459.32</v>
      </c>
      <c r="F969" s="2623">
        <v>456.02288600000003</v>
      </c>
      <c r="G969" s="2623">
        <v>455.66788600000001</v>
      </c>
      <c r="H969" s="2623">
        <v>453.42480799999998</v>
      </c>
      <c r="I969" s="2623">
        <v>451.97173600000002</v>
      </c>
      <c r="J969" s="2623"/>
      <c r="K969" s="2623" t="s">
        <v>5233</v>
      </c>
      <c r="L969" s="2623">
        <v>453.50480800000003</v>
      </c>
      <c r="M969" s="2623">
        <v>454.30480799999998</v>
      </c>
      <c r="N969" s="2623">
        <v>456.10288600000001</v>
      </c>
      <c r="O969" s="2623">
        <v>456.57788599999998</v>
      </c>
      <c r="P969" s="2623">
        <v>460</v>
      </c>
      <c r="Q969" s="2623">
        <v>461.34102799999999</v>
      </c>
      <c r="R969" s="2631">
        <v>414</v>
      </c>
    </row>
    <row r="970" spans="1:18">
      <c r="A970" s="2615"/>
      <c r="B970" s="2618" t="s">
        <v>5717</v>
      </c>
      <c r="C970" s="2616" t="s">
        <v>5234</v>
      </c>
      <c r="D970" s="2623">
        <v>459.92</v>
      </c>
      <c r="E970" s="2623">
        <v>459.32</v>
      </c>
      <c r="F970" s="2623">
        <v>456.02288600000003</v>
      </c>
      <c r="G970" s="2623">
        <v>455.79888599999998</v>
      </c>
      <c r="H970" s="2623">
        <v>453.42480799999998</v>
      </c>
      <c r="I970" s="2623">
        <v>452.10273599999999</v>
      </c>
      <c r="J970" s="2623"/>
      <c r="K970" s="2623"/>
      <c r="L970" s="2623"/>
      <c r="M970" s="2623"/>
      <c r="N970" s="2623"/>
      <c r="O970" s="2623"/>
      <c r="P970" s="2623"/>
      <c r="Q970" s="2623"/>
      <c r="R970" s="2631"/>
    </row>
    <row r="971" spans="1:18">
      <c r="A971" s="2615">
        <v>470</v>
      </c>
      <c r="B971" s="2618" t="s">
        <v>5718</v>
      </c>
      <c r="C971" s="2616" t="s">
        <v>5232</v>
      </c>
      <c r="D971" s="2623">
        <v>469.92</v>
      </c>
      <c r="E971" s="2623">
        <v>469.32</v>
      </c>
      <c r="F971" s="2623">
        <v>466.02288600000003</v>
      </c>
      <c r="G971" s="2623">
        <v>465.66788600000001</v>
      </c>
      <c r="H971" s="2623">
        <v>463.42480799999998</v>
      </c>
      <c r="I971" s="2623">
        <v>461.97173600000002</v>
      </c>
      <c r="J971" s="2623"/>
      <c r="K971" s="2623" t="s">
        <v>5233</v>
      </c>
      <c r="L971" s="2623">
        <v>463.50480800000003</v>
      </c>
      <c r="M971" s="2623">
        <v>464.30480799999998</v>
      </c>
      <c r="N971" s="2623">
        <v>466.10288600000001</v>
      </c>
      <c r="O971" s="2623">
        <v>466.57788599999998</v>
      </c>
      <c r="P971" s="2623">
        <v>470</v>
      </c>
      <c r="Q971" s="2623">
        <v>471.34102799999999</v>
      </c>
      <c r="R971" s="2631">
        <v>423</v>
      </c>
    </row>
    <row r="972" spans="1:18">
      <c r="A972" s="2615"/>
      <c r="B972" s="2618" t="s">
        <v>5718</v>
      </c>
      <c r="C972" s="2616" t="s">
        <v>5234</v>
      </c>
      <c r="D972" s="2623">
        <v>469.92</v>
      </c>
      <c r="E972" s="2623">
        <v>469.32</v>
      </c>
      <c r="F972" s="2623">
        <v>466.02288600000003</v>
      </c>
      <c r="G972" s="2623">
        <v>465.79888599999998</v>
      </c>
      <c r="H972" s="2623">
        <v>463.42480799999998</v>
      </c>
      <c r="I972" s="2623">
        <v>462.10273599999999</v>
      </c>
      <c r="J972" s="2623"/>
      <c r="K972" s="2623"/>
      <c r="L972" s="2623"/>
      <c r="M972" s="2623"/>
      <c r="N972" s="2623"/>
      <c r="O972" s="2623"/>
      <c r="P972" s="2623"/>
      <c r="Q972" s="2623"/>
      <c r="R972" s="2631"/>
    </row>
    <row r="973" spans="1:18">
      <c r="A973" s="2615">
        <v>480</v>
      </c>
      <c r="B973" s="2618" t="s">
        <v>5719</v>
      </c>
      <c r="C973" s="2616" t="s">
        <v>5232</v>
      </c>
      <c r="D973" s="2623">
        <v>479.92</v>
      </c>
      <c r="E973" s="2623">
        <v>479.32</v>
      </c>
      <c r="F973" s="2623">
        <v>476.02288600000003</v>
      </c>
      <c r="G973" s="2623">
        <v>475.66788600000001</v>
      </c>
      <c r="H973" s="2623">
        <v>473.42480799999998</v>
      </c>
      <c r="I973" s="2623">
        <v>471.97173600000002</v>
      </c>
      <c r="J973" s="2623"/>
      <c r="K973" s="2623" t="s">
        <v>5233</v>
      </c>
      <c r="L973" s="2623">
        <v>473.50480800000003</v>
      </c>
      <c r="M973" s="2623">
        <v>474.30480799999998</v>
      </c>
      <c r="N973" s="2623">
        <v>476.10288600000001</v>
      </c>
      <c r="O973" s="2623">
        <v>476.57788599999998</v>
      </c>
      <c r="P973" s="2623">
        <v>480</v>
      </c>
      <c r="Q973" s="2623">
        <v>481.34102799999999</v>
      </c>
      <c r="R973" s="2631">
        <v>432</v>
      </c>
    </row>
    <row r="974" spans="1:18">
      <c r="A974" s="2615"/>
      <c r="B974" s="2618" t="s">
        <v>5719</v>
      </c>
      <c r="C974" s="2616" t="s">
        <v>5234</v>
      </c>
      <c r="D974" s="2623">
        <v>479.92</v>
      </c>
      <c r="E974" s="2623">
        <v>479.32</v>
      </c>
      <c r="F974" s="2623">
        <v>476.02288600000003</v>
      </c>
      <c r="G974" s="2623">
        <v>475.79888599999998</v>
      </c>
      <c r="H974" s="2623">
        <v>473.42480799999998</v>
      </c>
      <c r="I974" s="2623">
        <v>472.10273599999999</v>
      </c>
      <c r="J974" s="2623"/>
      <c r="K974" s="2623"/>
      <c r="L974" s="2623"/>
      <c r="M974" s="2623"/>
      <c r="N974" s="2623"/>
      <c r="O974" s="2623"/>
      <c r="P974" s="2623"/>
      <c r="Q974" s="2623"/>
      <c r="R974" s="2631"/>
    </row>
    <row r="975" spans="1:18">
      <c r="A975" s="2615">
        <v>490</v>
      </c>
      <c r="B975" s="2618" t="s">
        <v>5720</v>
      </c>
      <c r="C975" s="2616" t="s">
        <v>5232</v>
      </c>
      <c r="D975" s="2623">
        <v>489.92</v>
      </c>
      <c r="E975" s="2623">
        <v>489.32</v>
      </c>
      <c r="F975" s="2623">
        <v>486.02288600000003</v>
      </c>
      <c r="G975" s="2623">
        <v>485.66788600000001</v>
      </c>
      <c r="H975" s="2623">
        <v>483.42480799999998</v>
      </c>
      <c r="I975" s="2623">
        <v>481.97173600000002</v>
      </c>
      <c r="J975" s="2623"/>
      <c r="K975" s="2623" t="s">
        <v>5233</v>
      </c>
      <c r="L975" s="2623">
        <v>483.50480800000003</v>
      </c>
      <c r="M975" s="2623">
        <v>484.30480799999998</v>
      </c>
      <c r="N975" s="2623">
        <v>486.10288600000001</v>
      </c>
      <c r="O975" s="2623">
        <v>486.57788599999998</v>
      </c>
      <c r="P975" s="2623">
        <v>490</v>
      </c>
      <c r="Q975" s="2623">
        <v>491.34102799999999</v>
      </c>
      <c r="R975" s="2631">
        <v>441</v>
      </c>
    </row>
    <row r="976" spans="1:18">
      <c r="A976" s="2615"/>
      <c r="B976" s="2618" t="s">
        <v>5720</v>
      </c>
      <c r="C976" s="2616" t="s">
        <v>5234</v>
      </c>
      <c r="D976" s="2623">
        <v>489.92</v>
      </c>
      <c r="E976" s="2623">
        <v>489.32</v>
      </c>
      <c r="F976" s="2623">
        <v>486.02288600000003</v>
      </c>
      <c r="G976" s="2623">
        <v>485.79888599999998</v>
      </c>
      <c r="H976" s="2623">
        <v>483.42480799999998</v>
      </c>
      <c r="I976" s="2623">
        <v>482.10273599999999</v>
      </c>
      <c r="J976" s="2623"/>
      <c r="K976" s="2623"/>
      <c r="L976" s="2623"/>
      <c r="M976" s="2623"/>
      <c r="N976" s="2623"/>
      <c r="O976" s="2623"/>
      <c r="P976" s="2623"/>
      <c r="Q976" s="2623"/>
      <c r="R976" s="2631"/>
    </row>
    <row r="977" spans="1:18">
      <c r="A977" s="2615">
        <v>500</v>
      </c>
      <c r="B977" s="2618" t="s">
        <v>5721</v>
      </c>
      <c r="C977" s="2616" t="s">
        <v>5232</v>
      </c>
      <c r="D977" s="2623">
        <v>499.92</v>
      </c>
      <c r="E977" s="2623">
        <v>499.32</v>
      </c>
      <c r="F977" s="2623">
        <v>496.02288600000003</v>
      </c>
      <c r="G977" s="2623">
        <v>495.66788600000001</v>
      </c>
      <c r="H977" s="2623">
        <v>493.42480799999998</v>
      </c>
      <c r="I977" s="2623">
        <v>491.97173600000002</v>
      </c>
      <c r="J977" s="2623"/>
      <c r="K977" s="2623" t="s">
        <v>5233</v>
      </c>
      <c r="L977" s="2623">
        <v>493.50480800000003</v>
      </c>
      <c r="M977" s="2623">
        <v>494.30480799999998</v>
      </c>
      <c r="N977" s="2623">
        <v>496.10288600000001</v>
      </c>
      <c r="O977" s="2623">
        <v>496.57788599999998</v>
      </c>
      <c r="P977" s="2623">
        <v>500</v>
      </c>
      <c r="Q977" s="2623">
        <v>501.34102799999999</v>
      </c>
      <c r="R977" s="2631">
        <v>450</v>
      </c>
    </row>
    <row r="978" spans="1:18">
      <c r="A978" s="2615"/>
      <c r="B978" s="2618" t="s">
        <v>5721</v>
      </c>
      <c r="C978" s="2616" t="s">
        <v>5234</v>
      </c>
      <c r="D978" s="2623">
        <v>499.92</v>
      </c>
      <c r="E978" s="2623">
        <v>499.32</v>
      </c>
      <c r="F978" s="2623">
        <v>496.02288600000003</v>
      </c>
      <c r="G978" s="2623">
        <v>495.79888599999998</v>
      </c>
      <c r="H978" s="2623">
        <v>493.42480799999998</v>
      </c>
      <c r="I978" s="2623">
        <v>492.10273599999999</v>
      </c>
      <c r="J978" s="2623"/>
      <c r="K978" s="2623"/>
      <c r="L978" s="2623"/>
      <c r="M978" s="2623"/>
      <c r="N978" s="2623"/>
      <c r="O978" s="2623"/>
      <c r="P978" s="2623"/>
      <c r="Q978" s="2623"/>
      <c r="R978" s="2631"/>
    </row>
    <row r="979" spans="1:18">
      <c r="A979" s="2615">
        <v>510</v>
      </c>
      <c r="B979" s="2618" t="s">
        <v>5722</v>
      </c>
      <c r="C979" s="2616" t="s">
        <v>5232</v>
      </c>
      <c r="D979" s="2623">
        <v>509.92</v>
      </c>
      <c r="E979" s="2623">
        <v>509.32</v>
      </c>
      <c r="F979" s="2623">
        <v>506.02288600000003</v>
      </c>
      <c r="G979" s="2623">
        <v>505.66788600000001</v>
      </c>
      <c r="H979" s="2623">
        <v>503.42480799999998</v>
      </c>
      <c r="I979" s="2623">
        <v>501.97173600000002</v>
      </c>
      <c r="J979" s="2623"/>
      <c r="K979" s="2623" t="s">
        <v>5233</v>
      </c>
      <c r="L979" s="2623">
        <v>503.50480800000003</v>
      </c>
      <c r="M979" s="2623">
        <v>504.30480799999998</v>
      </c>
      <c r="N979" s="2623">
        <v>506.10288600000001</v>
      </c>
      <c r="O979" s="2623">
        <v>506.57788599999998</v>
      </c>
      <c r="P979" s="2623">
        <v>510</v>
      </c>
      <c r="Q979" s="2623">
        <v>511.34102799999999</v>
      </c>
      <c r="R979" s="2631">
        <v>459</v>
      </c>
    </row>
    <row r="980" spans="1:18">
      <c r="A980" s="2615"/>
      <c r="B980" s="2618" t="s">
        <v>5722</v>
      </c>
      <c r="C980" s="2616" t="s">
        <v>5234</v>
      </c>
      <c r="D980" s="2623">
        <v>509.92</v>
      </c>
      <c r="E980" s="2623">
        <v>509.32</v>
      </c>
      <c r="F980" s="2623">
        <v>506.02288600000003</v>
      </c>
      <c r="G980" s="2623">
        <v>505.79888599999998</v>
      </c>
      <c r="H980" s="2623">
        <v>503.42480799999998</v>
      </c>
      <c r="I980" s="2623">
        <v>502.10273599999999</v>
      </c>
      <c r="J980" s="2623"/>
      <c r="K980" s="2623"/>
      <c r="L980" s="2623"/>
      <c r="M980" s="2623"/>
      <c r="N980" s="2623"/>
      <c r="O980" s="2623"/>
      <c r="P980" s="2623"/>
      <c r="Q980" s="2623"/>
      <c r="R980" s="2631"/>
    </row>
    <row r="981" spans="1:18">
      <c r="A981" s="2615">
        <v>520</v>
      </c>
      <c r="B981" s="2618" t="s">
        <v>5723</v>
      </c>
      <c r="C981" s="2616" t="s">
        <v>5232</v>
      </c>
      <c r="D981" s="2623">
        <v>519.91999999999996</v>
      </c>
      <c r="E981" s="2623">
        <v>519.32000000000005</v>
      </c>
      <c r="F981" s="2623">
        <v>516.02288599999997</v>
      </c>
      <c r="G981" s="2623">
        <v>515.66788599999995</v>
      </c>
      <c r="H981" s="2623">
        <v>513.42480799999998</v>
      </c>
      <c r="I981" s="2623">
        <v>511.97173600000002</v>
      </c>
      <c r="J981" s="2623"/>
      <c r="K981" s="2623" t="s">
        <v>5233</v>
      </c>
      <c r="L981" s="2623">
        <v>513.50480800000003</v>
      </c>
      <c r="M981" s="2623">
        <v>514.30480799999998</v>
      </c>
      <c r="N981" s="2623">
        <v>516.10288600000001</v>
      </c>
      <c r="O981" s="2623">
        <v>516.57788600000003</v>
      </c>
      <c r="P981" s="2623">
        <v>520</v>
      </c>
      <c r="Q981" s="2623">
        <v>521.34102800000005</v>
      </c>
      <c r="R981" s="2631">
        <v>468</v>
      </c>
    </row>
    <row r="982" spans="1:18">
      <c r="A982" s="2615"/>
      <c r="B982" s="2618" t="s">
        <v>5723</v>
      </c>
      <c r="C982" s="2616" t="s">
        <v>5234</v>
      </c>
      <c r="D982" s="2623">
        <v>519.91999999999996</v>
      </c>
      <c r="E982" s="2623">
        <v>519.32000000000005</v>
      </c>
      <c r="F982" s="2623">
        <v>516.02288599999997</v>
      </c>
      <c r="G982" s="2623">
        <v>515.79888600000004</v>
      </c>
      <c r="H982" s="2623">
        <v>513.42480799999998</v>
      </c>
      <c r="I982" s="2623">
        <v>512.10273600000005</v>
      </c>
      <c r="J982" s="2623"/>
      <c r="K982" s="2623"/>
      <c r="L982" s="2623"/>
      <c r="M982" s="2623"/>
      <c r="N982" s="2623"/>
      <c r="O982" s="2623"/>
      <c r="P982" s="2623"/>
      <c r="Q982" s="2623"/>
      <c r="R982" s="2631"/>
    </row>
    <row r="983" spans="1:18">
      <c r="A983" s="2615">
        <v>530</v>
      </c>
      <c r="B983" s="2618" t="s">
        <v>5724</v>
      </c>
      <c r="C983" s="2616" t="s">
        <v>5232</v>
      </c>
      <c r="D983" s="2623">
        <v>529.91999999999996</v>
      </c>
      <c r="E983" s="2623">
        <v>529.32000000000005</v>
      </c>
      <c r="F983" s="2623">
        <v>526.02288599999997</v>
      </c>
      <c r="G983" s="2623">
        <v>525.66788599999995</v>
      </c>
      <c r="H983" s="2623">
        <v>523.42480799999998</v>
      </c>
      <c r="I983" s="2623">
        <v>521.97173599999996</v>
      </c>
      <c r="J983" s="2623"/>
      <c r="K983" s="2623" t="s">
        <v>5233</v>
      </c>
      <c r="L983" s="2623">
        <v>523.50480800000003</v>
      </c>
      <c r="M983" s="2623">
        <v>524.30480799999998</v>
      </c>
      <c r="N983" s="2623">
        <v>526.10288600000001</v>
      </c>
      <c r="O983" s="2623">
        <v>526.57788600000003</v>
      </c>
      <c r="P983" s="2623">
        <v>530</v>
      </c>
      <c r="Q983" s="2623">
        <v>531.34102800000005</v>
      </c>
      <c r="R983" s="2631">
        <v>477</v>
      </c>
    </row>
    <row r="984" spans="1:18">
      <c r="A984" s="2615"/>
      <c r="B984" s="2618" t="s">
        <v>5724</v>
      </c>
      <c r="C984" s="2616" t="s">
        <v>5234</v>
      </c>
      <c r="D984" s="2623">
        <v>529.91999999999996</v>
      </c>
      <c r="E984" s="2623">
        <v>529.32000000000005</v>
      </c>
      <c r="F984" s="2623">
        <v>526.02288599999997</v>
      </c>
      <c r="G984" s="2623">
        <v>525.79888600000004</v>
      </c>
      <c r="H984" s="2623">
        <v>523.42480799999998</v>
      </c>
      <c r="I984" s="2623">
        <v>522.10273600000005</v>
      </c>
      <c r="J984" s="2623"/>
      <c r="K984" s="2623"/>
      <c r="L984" s="2623"/>
      <c r="M984" s="2623"/>
      <c r="N984" s="2623"/>
      <c r="O984" s="2623"/>
      <c r="P984" s="2623"/>
      <c r="Q984" s="2623"/>
      <c r="R984" s="2631"/>
    </row>
    <row r="985" spans="1:18">
      <c r="A985" s="2615">
        <v>540</v>
      </c>
      <c r="B985" s="2618" t="s">
        <v>5725</v>
      </c>
      <c r="C985" s="2616" t="s">
        <v>5232</v>
      </c>
      <c r="D985" s="2623">
        <v>539.91999999999996</v>
      </c>
      <c r="E985" s="2623">
        <v>539.32000000000005</v>
      </c>
      <c r="F985" s="2623">
        <v>536.02288599999997</v>
      </c>
      <c r="G985" s="2623">
        <v>535.66788599999995</v>
      </c>
      <c r="H985" s="2623">
        <v>533.42480799999998</v>
      </c>
      <c r="I985" s="2623">
        <v>531.97173599999996</v>
      </c>
      <c r="J985" s="2623"/>
      <c r="K985" s="2623" t="s">
        <v>5233</v>
      </c>
      <c r="L985" s="2623">
        <v>533.50480800000003</v>
      </c>
      <c r="M985" s="2623">
        <v>534.30480799999998</v>
      </c>
      <c r="N985" s="2623">
        <v>536.10288600000001</v>
      </c>
      <c r="O985" s="2623">
        <v>536.57788600000003</v>
      </c>
      <c r="P985" s="2623">
        <v>540</v>
      </c>
      <c r="Q985" s="2623">
        <v>541.34102800000005</v>
      </c>
      <c r="R985" s="2631">
        <v>486</v>
      </c>
    </row>
    <row r="986" spans="1:18">
      <c r="A986" s="2615"/>
      <c r="B986" s="2618" t="s">
        <v>5725</v>
      </c>
      <c r="C986" s="2616" t="s">
        <v>5234</v>
      </c>
      <c r="D986" s="2623">
        <v>539.91999999999996</v>
      </c>
      <c r="E986" s="2623">
        <v>539.32000000000005</v>
      </c>
      <c r="F986" s="2623">
        <v>536.02288599999997</v>
      </c>
      <c r="G986" s="2623">
        <v>535.79888600000004</v>
      </c>
      <c r="H986" s="2623">
        <v>533.42480799999998</v>
      </c>
      <c r="I986" s="2623">
        <v>532.10273600000005</v>
      </c>
      <c r="J986" s="2623"/>
      <c r="K986" s="2623"/>
      <c r="L986" s="2623"/>
      <c r="M986" s="2623"/>
      <c r="N986" s="2623"/>
      <c r="O986" s="2623"/>
      <c r="P986" s="2623"/>
      <c r="Q986" s="2623"/>
      <c r="R986" s="2631"/>
    </row>
    <row r="987" spans="1:18">
      <c r="A987" s="2615">
        <v>550</v>
      </c>
      <c r="B987" s="2618" t="s">
        <v>5726</v>
      </c>
      <c r="C987" s="2616" t="s">
        <v>5232</v>
      </c>
      <c r="D987" s="2623">
        <v>549.91999999999996</v>
      </c>
      <c r="E987" s="2623">
        <v>549.32000000000005</v>
      </c>
      <c r="F987" s="2623">
        <v>546.02288599999997</v>
      </c>
      <c r="G987" s="2623">
        <v>545.66788599999995</v>
      </c>
      <c r="H987" s="2623">
        <v>543.42480799999998</v>
      </c>
      <c r="I987" s="2623">
        <v>541.97173599999996</v>
      </c>
      <c r="J987" s="2623"/>
      <c r="K987" s="2623" t="s">
        <v>5233</v>
      </c>
      <c r="L987" s="2623">
        <v>543.50480800000003</v>
      </c>
      <c r="M987" s="2623">
        <v>544.30480799999998</v>
      </c>
      <c r="N987" s="2623">
        <v>546.10288600000001</v>
      </c>
      <c r="O987" s="2623">
        <v>546.57788600000003</v>
      </c>
      <c r="P987" s="2623">
        <v>550</v>
      </c>
      <c r="Q987" s="2623">
        <v>551.34102800000005</v>
      </c>
      <c r="R987" s="2631">
        <v>495</v>
      </c>
    </row>
    <row r="988" spans="1:18">
      <c r="A988" s="2615"/>
      <c r="B988" s="2618" t="s">
        <v>5726</v>
      </c>
      <c r="C988" s="2616" t="s">
        <v>5234</v>
      </c>
      <c r="D988" s="2623">
        <v>549.91999999999996</v>
      </c>
      <c r="E988" s="2623">
        <v>549.32000000000005</v>
      </c>
      <c r="F988" s="2623">
        <v>546.02288599999997</v>
      </c>
      <c r="G988" s="2623">
        <v>545.79888600000004</v>
      </c>
      <c r="H988" s="2623">
        <v>543.42480799999998</v>
      </c>
      <c r="I988" s="2623">
        <v>542.10273600000005</v>
      </c>
      <c r="J988" s="2623"/>
      <c r="K988" s="2623"/>
      <c r="L988" s="2623"/>
      <c r="M988" s="2623"/>
      <c r="N988" s="2623"/>
      <c r="O988" s="2623"/>
      <c r="P988" s="2623"/>
      <c r="Q988" s="2623"/>
      <c r="R988" s="2631"/>
    </row>
    <row r="989" spans="1:18">
      <c r="A989" s="2615">
        <v>560</v>
      </c>
      <c r="B989" s="2618" t="s">
        <v>5727</v>
      </c>
      <c r="C989" s="2616" t="s">
        <v>5232</v>
      </c>
      <c r="D989" s="2623">
        <v>559.91999999999996</v>
      </c>
      <c r="E989" s="2623">
        <v>559.32000000000005</v>
      </c>
      <c r="F989" s="2623">
        <v>556.02288599999997</v>
      </c>
      <c r="G989" s="2623">
        <v>555.66788599999995</v>
      </c>
      <c r="H989" s="2623">
        <v>553.42480799999998</v>
      </c>
      <c r="I989" s="2623">
        <v>551.97173599999996</v>
      </c>
      <c r="J989" s="2623"/>
      <c r="K989" s="2623" t="s">
        <v>5233</v>
      </c>
      <c r="L989" s="2623">
        <v>553.50480800000003</v>
      </c>
      <c r="M989" s="2623">
        <v>554.30480799999998</v>
      </c>
      <c r="N989" s="2623">
        <v>556.10288600000001</v>
      </c>
      <c r="O989" s="2623">
        <v>556.57788600000003</v>
      </c>
      <c r="P989" s="2623">
        <v>560</v>
      </c>
      <c r="Q989" s="2623">
        <v>561.34102800000005</v>
      </c>
      <c r="R989" s="2631">
        <v>504</v>
      </c>
    </row>
    <row r="990" spans="1:18">
      <c r="A990" s="2615"/>
      <c r="B990" s="2618" t="s">
        <v>5727</v>
      </c>
      <c r="C990" s="2616" t="s">
        <v>5234</v>
      </c>
      <c r="D990" s="2623">
        <v>559.91999999999996</v>
      </c>
      <c r="E990" s="2623">
        <v>559.32000000000005</v>
      </c>
      <c r="F990" s="2623">
        <v>556.02288599999997</v>
      </c>
      <c r="G990" s="2623">
        <v>555.79888600000004</v>
      </c>
      <c r="H990" s="2623">
        <v>553.42480799999998</v>
      </c>
      <c r="I990" s="2623">
        <v>552.10273600000005</v>
      </c>
      <c r="J990" s="2623"/>
      <c r="K990" s="2623"/>
      <c r="L990" s="2623"/>
      <c r="M990" s="2623"/>
      <c r="N990" s="2623"/>
      <c r="O990" s="2623"/>
      <c r="P990" s="2623"/>
      <c r="Q990" s="2623"/>
      <c r="R990" s="2631"/>
    </row>
    <row r="991" spans="1:18">
      <c r="A991" s="2615">
        <v>570</v>
      </c>
      <c r="B991" s="2618" t="s">
        <v>5728</v>
      </c>
      <c r="C991" s="2616" t="s">
        <v>5232</v>
      </c>
      <c r="D991" s="2623">
        <v>569.91999999999996</v>
      </c>
      <c r="E991" s="2623">
        <v>569.32000000000005</v>
      </c>
      <c r="F991" s="2623">
        <v>566.02288599999997</v>
      </c>
      <c r="G991" s="2623">
        <v>565.66788599999995</v>
      </c>
      <c r="H991" s="2623">
        <v>563.42480799999998</v>
      </c>
      <c r="I991" s="2623">
        <v>561.97173599999996</v>
      </c>
      <c r="J991" s="2623"/>
      <c r="K991" s="2623" t="s">
        <v>5233</v>
      </c>
      <c r="L991" s="2623">
        <v>563.50480800000003</v>
      </c>
      <c r="M991" s="2623">
        <v>564.30480799999998</v>
      </c>
      <c r="N991" s="2623">
        <v>566.10288600000001</v>
      </c>
      <c r="O991" s="2623">
        <v>566.57788600000003</v>
      </c>
      <c r="P991" s="2623">
        <v>570</v>
      </c>
      <c r="Q991" s="2623">
        <v>571.34102800000005</v>
      </c>
      <c r="R991" s="2631">
        <v>513</v>
      </c>
    </row>
    <row r="992" spans="1:18">
      <c r="A992" s="2615"/>
      <c r="B992" s="2618" t="s">
        <v>5728</v>
      </c>
      <c r="C992" s="2616" t="s">
        <v>5234</v>
      </c>
      <c r="D992" s="2623">
        <v>569.91999999999996</v>
      </c>
      <c r="E992" s="2623">
        <v>569.32000000000005</v>
      </c>
      <c r="F992" s="2623">
        <v>566.02288599999997</v>
      </c>
      <c r="G992" s="2623">
        <v>565.79888600000004</v>
      </c>
      <c r="H992" s="2623">
        <v>563.42480799999998</v>
      </c>
      <c r="I992" s="2623">
        <v>562.10273600000005</v>
      </c>
      <c r="J992" s="2623"/>
      <c r="K992" s="2623"/>
      <c r="L992" s="2623"/>
      <c r="M992" s="2623"/>
      <c r="N992" s="2623"/>
      <c r="O992" s="2623"/>
      <c r="P992" s="2623"/>
      <c r="Q992" s="2623"/>
      <c r="R992" s="2631"/>
    </row>
    <row r="993" spans="1:18">
      <c r="A993" s="2615">
        <v>580</v>
      </c>
      <c r="B993" s="2618" t="s">
        <v>5729</v>
      </c>
      <c r="C993" s="2616" t="s">
        <v>5232</v>
      </c>
      <c r="D993" s="2623">
        <v>579.91999999999996</v>
      </c>
      <c r="E993" s="2623">
        <v>579.32000000000005</v>
      </c>
      <c r="F993" s="2623">
        <v>576.02288599999997</v>
      </c>
      <c r="G993" s="2623">
        <v>575.66788599999995</v>
      </c>
      <c r="H993" s="2623">
        <v>573.42480799999998</v>
      </c>
      <c r="I993" s="2623">
        <v>571.97173599999996</v>
      </c>
      <c r="J993" s="2623"/>
      <c r="K993" s="2623" t="s">
        <v>5233</v>
      </c>
      <c r="L993" s="2623">
        <v>573.50480800000003</v>
      </c>
      <c r="M993" s="2623">
        <v>574.30480799999998</v>
      </c>
      <c r="N993" s="2623">
        <v>576.10288600000001</v>
      </c>
      <c r="O993" s="2623">
        <v>576.57788600000003</v>
      </c>
      <c r="P993" s="2623">
        <v>580</v>
      </c>
      <c r="Q993" s="2623">
        <v>581.34102800000005</v>
      </c>
      <c r="R993" s="2631">
        <v>522</v>
      </c>
    </row>
    <row r="994" spans="1:18">
      <c r="A994" s="2615"/>
      <c r="B994" s="2618" t="s">
        <v>5729</v>
      </c>
      <c r="C994" s="2616" t="s">
        <v>5234</v>
      </c>
      <c r="D994" s="2623">
        <v>579.91999999999996</v>
      </c>
      <c r="E994" s="2623">
        <v>579.32000000000005</v>
      </c>
      <c r="F994" s="2623">
        <v>576.02288599999997</v>
      </c>
      <c r="G994" s="2623">
        <v>575.79888600000004</v>
      </c>
      <c r="H994" s="2623">
        <v>573.42480799999998</v>
      </c>
      <c r="I994" s="2623">
        <v>572.10273600000005</v>
      </c>
      <c r="J994" s="2623"/>
      <c r="K994" s="2623"/>
      <c r="L994" s="2623"/>
      <c r="M994" s="2623"/>
      <c r="N994" s="2623"/>
      <c r="O994" s="2623"/>
      <c r="P994" s="2623"/>
      <c r="Q994" s="2623"/>
      <c r="R994" s="2631"/>
    </row>
    <row r="995" spans="1:18">
      <c r="A995" s="2615">
        <v>590</v>
      </c>
      <c r="B995" s="2618" t="s">
        <v>5730</v>
      </c>
      <c r="C995" s="2616" t="s">
        <v>5232</v>
      </c>
      <c r="D995" s="2623">
        <v>589.91999999999996</v>
      </c>
      <c r="E995" s="2623">
        <v>589.32000000000005</v>
      </c>
      <c r="F995" s="2623">
        <v>586.02288599999997</v>
      </c>
      <c r="G995" s="2623">
        <v>585.66788599999995</v>
      </c>
      <c r="H995" s="2623">
        <v>583.42480799999998</v>
      </c>
      <c r="I995" s="2623">
        <v>581.97173599999996</v>
      </c>
      <c r="J995" s="2623"/>
      <c r="K995" s="2623" t="s">
        <v>5233</v>
      </c>
      <c r="L995" s="2623">
        <v>583.50480800000003</v>
      </c>
      <c r="M995" s="2623">
        <v>584.30480799999998</v>
      </c>
      <c r="N995" s="2623">
        <v>586.10288600000001</v>
      </c>
      <c r="O995" s="2623">
        <v>586.57788600000003</v>
      </c>
      <c r="P995" s="2623">
        <v>590</v>
      </c>
      <c r="Q995" s="2623">
        <v>591.34102800000005</v>
      </c>
      <c r="R995" s="2631">
        <v>531</v>
      </c>
    </row>
    <row r="996" spans="1:18">
      <c r="A996" s="2615"/>
      <c r="B996" s="2618" t="s">
        <v>5730</v>
      </c>
      <c r="C996" s="2616" t="s">
        <v>5234</v>
      </c>
      <c r="D996" s="2623">
        <v>589.91999999999996</v>
      </c>
      <c r="E996" s="2623">
        <v>589.32000000000005</v>
      </c>
      <c r="F996" s="2623">
        <v>586.02288599999997</v>
      </c>
      <c r="G996" s="2623">
        <v>585.79888600000004</v>
      </c>
      <c r="H996" s="2623">
        <v>583.42480799999998</v>
      </c>
      <c r="I996" s="2623">
        <v>582.10273600000005</v>
      </c>
      <c r="J996" s="2623"/>
      <c r="K996" s="2623"/>
      <c r="L996" s="2623"/>
      <c r="M996" s="2623"/>
      <c r="N996" s="2623"/>
      <c r="O996" s="2623"/>
      <c r="P996" s="2623"/>
      <c r="Q996" s="2623"/>
      <c r="R996" s="2631"/>
    </row>
    <row r="997" spans="1:18">
      <c r="A997" s="2615">
        <v>600</v>
      </c>
      <c r="B997" s="2618" t="s">
        <v>5731</v>
      </c>
      <c r="C997" s="2616" t="s">
        <v>5232</v>
      </c>
      <c r="D997" s="2623">
        <v>599.91999999999996</v>
      </c>
      <c r="E997" s="2623">
        <v>599.32000000000005</v>
      </c>
      <c r="F997" s="2623">
        <v>596.02288599999997</v>
      </c>
      <c r="G997" s="2623">
        <v>595.66788599999995</v>
      </c>
      <c r="H997" s="2623">
        <v>593.42480799999998</v>
      </c>
      <c r="I997" s="2623">
        <v>591.97173599999996</v>
      </c>
      <c r="J997" s="2623"/>
      <c r="K997" s="2623" t="s">
        <v>5233</v>
      </c>
      <c r="L997" s="2623">
        <v>593.50480800000003</v>
      </c>
      <c r="M997" s="2623">
        <v>594.30480799999998</v>
      </c>
      <c r="N997" s="2623">
        <v>596.10288600000001</v>
      </c>
      <c r="O997" s="2623">
        <v>596.57788600000003</v>
      </c>
      <c r="P997" s="2623">
        <v>600</v>
      </c>
      <c r="Q997" s="2623">
        <v>601.34102800000005</v>
      </c>
      <c r="R997" s="2631">
        <v>540</v>
      </c>
    </row>
    <row r="998" spans="1:18">
      <c r="A998" s="2615"/>
      <c r="B998" s="2618" t="s">
        <v>5731</v>
      </c>
      <c r="C998" s="2616" t="s">
        <v>5234</v>
      </c>
      <c r="D998" s="2623">
        <v>599.91999999999996</v>
      </c>
      <c r="E998" s="2623">
        <v>599.32000000000005</v>
      </c>
      <c r="F998" s="2623">
        <v>596.02288599999997</v>
      </c>
      <c r="G998" s="2623">
        <v>595.79888600000004</v>
      </c>
      <c r="H998" s="2623">
        <v>593.42480799999998</v>
      </c>
      <c r="I998" s="2623">
        <v>592.10273600000005</v>
      </c>
      <c r="J998" s="2623"/>
      <c r="K998" s="2623"/>
      <c r="L998" s="2623"/>
      <c r="M998" s="2623"/>
      <c r="N998" s="2623"/>
      <c r="O998" s="2623"/>
      <c r="P998" s="2623"/>
      <c r="Q998" s="2623"/>
      <c r="R998" s="2631"/>
    </row>
    <row r="999" spans="1:18">
      <c r="A999" s="2615">
        <v>1060</v>
      </c>
      <c r="B999" s="2618" t="s">
        <v>5732</v>
      </c>
      <c r="C999" s="2616" t="s">
        <v>5232</v>
      </c>
      <c r="D999" s="2623">
        <v>1059.9000000000001</v>
      </c>
      <c r="E999" s="2623">
        <v>1059.19</v>
      </c>
      <c r="F999" s="2623">
        <v>1054.7038480000001</v>
      </c>
      <c r="G999" s="2623">
        <v>1054.2788479999999</v>
      </c>
      <c r="H999" s="2623">
        <v>1051.239744</v>
      </c>
      <c r="I999" s="2623">
        <v>1049.3506480000001</v>
      </c>
      <c r="J999" s="2623"/>
      <c r="K999" s="2623" t="s">
        <v>5233</v>
      </c>
      <c r="L999" s="2623">
        <v>1051.3397440000001</v>
      </c>
      <c r="M999" s="2623">
        <v>1052.3397440000001</v>
      </c>
      <c r="N999" s="2623">
        <v>1054.803848</v>
      </c>
      <c r="O999" s="2623">
        <v>1055.363848</v>
      </c>
      <c r="P999" s="2623">
        <v>1060</v>
      </c>
      <c r="Q999" s="2623">
        <v>1061.714704</v>
      </c>
      <c r="R999" s="2631">
        <v>954</v>
      </c>
    </row>
    <row r="1000" spans="1:18">
      <c r="A1000" s="2637"/>
      <c r="B1000" s="2638" t="s">
        <v>5732</v>
      </c>
      <c r="C1000" s="2639" t="s">
        <v>5234</v>
      </c>
      <c r="D1000" s="2640">
        <v>1059.9000000000001</v>
      </c>
      <c r="E1000" s="2640">
        <v>1059.19</v>
      </c>
      <c r="F1000" s="2640">
        <v>1054.7038480000001</v>
      </c>
      <c r="G1000" s="2640">
        <v>1054.438848</v>
      </c>
      <c r="H1000" s="2640">
        <v>1051.239744</v>
      </c>
      <c r="I1000" s="2640">
        <v>1049.5106479999999</v>
      </c>
      <c r="J1000" s="2640"/>
      <c r="K1000" s="2640"/>
      <c r="L1000" s="2640"/>
      <c r="M1000" s="2640"/>
      <c r="N1000" s="2640"/>
      <c r="O1000" s="2640"/>
      <c r="P1000" s="2640"/>
      <c r="Q1000" s="2640"/>
      <c r="R1000" s="2641"/>
    </row>
  </sheetData>
  <autoFilter ref="A1:I1000"/>
  <mergeCells count="9">
    <mergeCell ref="C1:I1"/>
    <mergeCell ref="K1:R1"/>
    <mergeCell ref="D2:E2"/>
    <mergeCell ref="F2:G2"/>
    <mergeCell ref="H2:I2"/>
    <mergeCell ref="L2:M2"/>
    <mergeCell ref="N2:O2"/>
    <mergeCell ref="P2:Q2"/>
    <mergeCell ref="J1:J3"/>
  </mergeCells>
  <phoneticPr fontId="378" type="noConversion"/>
  <hyperlinks>
    <hyperlink ref="J1:J3" location="总目录!A1" display="返回目录"/>
  </hyperlinks>
  <pageMargins left="0.75" right="0.75" top="1" bottom="1" header="0.49166666666666697" footer="0.49166666666666697"/>
  <pageSetup paperSize="9" orientation="portrait" verticalDpi="300"/>
  <headerFooter scaleWithDoc="0"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2"/>
  <sheetViews>
    <sheetView workbookViewId="0">
      <selection activeCell="I11" sqref="I11:I13"/>
    </sheetView>
  </sheetViews>
  <sheetFormatPr defaultColWidth="8.125" defaultRowHeight="16.5"/>
  <cols>
    <col min="1" max="1" width="0.25" style="2563" customWidth="1"/>
    <col min="2" max="2" width="19.5" style="2563" customWidth="1"/>
    <col min="3" max="3" width="9.375" style="2563" customWidth="1"/>
    <col min="4" max="4" width="23.625" style="2563" customWidth="1"/>
    <col min="5" max="5" width="24.375" style="2563" customWidth="1"/>
    <col min="6" max="6" width="9.625" style="2563" customWidth="1"/>
    <col min="7" max="7" width="15.875" style="2601" customWidth="1"/>
    <col min="8" max="8" width="8.25" style="2563" customWidth="1"/>
    <col min="9" max="9" width="6" style="2563" customWidth="1"/>
    <col min="10" max="16384" width="8.125" style="2563"/>
  </cols>
  <sheetData>
    <row r="1" spans="2:10">
      <c r="B1" s="3260" t="s">
        <v>5733</v>
      </c>
      <c r="C1" s="3260"/>
      <c r="D1" s="3260"/>
      <c r="E1" s="2566"/>
      <c r="H1" s="3291"/>
    </row>
    <row r="2" spans="2:10" ht="17.25" thickBot="1">
      <c r="H2" s="3292"/>
    </row>
    <row r="3" spans="2:10">
      <c r="B3" s="3298" t="s">
        <v>5734</v>
      </c>
      <c r="C3" s="3299"/>
      <c r="D3" s="3299"/>
      <c r="E3" s="3299"/>
      <c r="F3" s="3299"/>
      <c r="G3" s="3299"/>
      <c r="H3" s="3300"/>
    </row>
    <row r="4" spans="2:10" ht="17.25" thickBot="1">
      <c r="B4" s="3301"/>
      <c r="C4" s="3302"/>
      <c r="D4" s="3302"/>
      <c r="E4" s="3302"/>
      <c r="F4" s="3302"/>
      <c r="G4" s="3302"/>
      <c r="H4" s="3303"/>
    </row>
    <row r="5" spans="2:10" ht="4.5" customHeight="1" thickBot="1">
      <c r="B5" s="3261"/>
      <c r="C5" s="3261"/>
      <c r="D5" s="3261"/>
      <c r="E5" s="3261"/>
      <c r="F5" s="3261"/>
      <c r="G5" s="3261"/>
      <c r="H5" s="3261"/>
    </row>
    <row r="6" spans="2:10">
      <c r="B6" s="3304" t="s">
        <v>1626</v>
      </c>
      <c r="C6" s="3305"/>
      <c r="D6" s="3306"/>
      <c r="E6" s="3304" t="s">
        <v>1627</v>
      </c>
      <c r="F6" s="3305"/>
      <c r="G6" s="3305"/>
      <c r="H6" s="3306"/>
    </row>
    <row r="7" spans="2:10" ht="17.25" thickBot="1">
      <c r="B7" s="3307"/>
      <c r="C7" s="3308"/>
      <c r="D7" s="3309"/>
      <c r="E7" s="3307"/>
      <c r="F7" s="3308"/>
      <c r="G7" s="3308"/>
      <c r="H7" s="3309"/>
    </row>
    <row r="8" spans="2:10">
      <c r="B8" s="3262" t="s">
        <v>1628</v>
      </c>
      <c r="C8" s="3269" t="s">
        <v>1629</v>
      </c>
      <c r="D8" s="3276" t="s">
        <v>1630</v>
      </c>
      <c r="E8" s="3281" t="s">
        <v>1631</v>
      </c>
      <c r="F8" s="3286" t="s">
        <v>1632</v>
      </c>
      <c r="G8" s="3311" t="s">
        <v>1633</v>
      </c>
      <c r="H8" s="3293" t="s">
        <v>1630</v>
      </c>
    </row>
    <row r="9" spans="2:10" ht="17.25" thickBot="1">
      <c r="B9" s="3263"/>
      <c r="C9" s="3270"/>
      <c r="D9" s="3277"/>
      <c r="E9" s="3282"/>
      <c r="F9" s="3287"/>
      <c r="G9" s="3312"/>
      <c r="H9" s="3294"/>
      <c r="I9" s="2600"/>
    </row>
    <row r="10" spans="2:10" ht="19.5" customHeight="1" thickBot="1">
      <c r="B10" s="3264" t="s">
        <v>5735</v>
      </c>
      <c r="C10" s="3271">
        <v>10</v>
      </c>
      <c r="D10" s="3278"/>
      <c r="E10" s="3283" t="s">
        <v>5736</v>
      </c>
      <c r="F10" s="3283" t="s">
        <v>5737</v>
      </c>
      <c r="G10" s="3313">
        <f>PI()*C10*C19</f>
        <v>188.49555921538757</v>
      </c>
      <c r="H10" s="3295"/>
    </row>
    <row r="11" spans="2:10">
      <c r="B11" s="3265"/>
      <c r="C11" s="3272"/>
      <c r="D11" s="3279"/>
      <c r="E11" s="3284"/>
      <c r="F11" s="3284"/>
      <c r="G11" s="3289"/>
      <c r="H11" s="3296"/>
      <c r="I11" s="3198" t="s">
        <v>12704</v>
      </c>
    </row>
    <row r="12" spans="2:10">
      <c r="B12" s="3265"/>
      <c r="C12" s="3272"/>
      <c r="D12" s="3279"/>
      <c r="E12" s="3285" t="s">
        <v>5738</v>
      </c>
      <c r="F12" s="3285"/>
      <c r="G12" s="3288">
        <f>PI()*C10*POWER(C19,3)/4</f>
        <v>1696.4600329384882</v>
      </c>
      <c r="H12" s="3296"/>
      <c r="I12" s="3199"/>
    </row>
    <row r="13" spans="2:10" ht="17.25" thickBot="1">
      <c r="B13" s="3265"/>
      <c r="C13" s="3272"/>
      <c r="D13" s="3279"/>
      <c r="E13" s="3284"/>
      <c r="F13" s="3284"/>
      <c r="G13" s="3289"/>
      <c r="H13" s="3296"/>
      <c r="I13" s="3200"/>
    </row>
    <row r="14" spans="2:10">
      <c r="B14" s="3265"/>
      <c r="C14" s="3272"/>
      <c r="D14" s="3279"/>
      <c r="E14" s="3285" t="s">
        <v>5739</v>
      </c>
      <c r="F14" s="3285"/>
      <c r="G14" s="3288">
        <f>PI()*POWER(C10,3)*C19/4</f>
        <v>4712.3889803846896</v>
      </c>
      <c r="H14" s="3296"/>
      <c r="I14" s="2600"/>
    </row>
    <row r="15" spans="2:10">
      <c r="B15" s="3265"/>
      <c r="C15" s="3272"/>
      <c r="D15" s="3279"/>
      <c r="E15" s="3284"/>
      <c r="F15" s="3284"/>
      <c r="G15" s="3289"/>
      <c r="H15" s="3296"/>
      <c r="I15" s="2600"/>
      <c r="J15" s="2600"/>
    </row>
    <row r="16" spans="2:10" ht="16.5" customHeight="1">
      <c r="B16" s="3265"/>
      <c r="C16" s="3272"/>
      <c r="D16" s="3279"/>
      <c r="E16" s="3285" t="s">
        <v>5740</v>
      </c>
      <c r="F16" s="3285"/>
      <c r="G16" s="3288">
        <f>PI()*C10*POWER(C19,2)/4</f>
        <v>282.74333882308139</v>
      </c>
      <c r="H16" s="3296"/>
      <c r="I16" s="2600"/>
    </row>
    <row r="17" spans="2:10" ht="16.5" customHeight="1">
      <c r="B17" s="3265"/>
      <c r="C17" s="3272"/>
      <c r="D17" s="3279"/>
      <c r="E17" s="3284"/>
      <c r="F17" s="3284"/>
      <c r="G17" s="3289"/>
      <c r="H17" s="3296"/>
      <c r="I17" s="2600"/>
    </row>
    <row r="18" spans="2:10" ht="16.5" customHeight="1">
      <c r="B18" s="3266"/>
      <c r="C18" s="3273"/>
      <c r="D18" s="3279"/>
      <c r="E18" s="3285" t="s">
        <v>5741</v>
      </c>
      <c r="F18" s="3285"/>
      <c r="G18" s="3288">
        <f>PI()*POWER(C10,2)*C19/4</f>
        <v>471.23889803846896</v>
      </c>
      <c r="H18" s="3296"/>
      <c r="I18" s="2600"/>
      <c r="J18" s="2600"/>
    </row>
    <row r="19" spans="2:10" ht="16.5" customHeight="1">
      <c r="B19" s="3267" t="s">
        <v>5742</v>
      </c>
      <c r="C19" s="3274">
        <v>6</v>
      </c>
      <c r="D19" s="3279"/>
      <c r="E19" s="3284"/>
      <c r="F19" s="3284"/>
      <c r="G19" s="3289"/>
      <c r="H19" s="3296"/>
      <c r="I19" s="2600"/>
    </row>
    <row r="20" spans="2:10" ht="16.5" customHeight="1">
      <c r="B20" s="3265"/>
      <c r="C20" s="3272"/>
      <c r="D20" s="3279"/>
      <c r="E20" s="3285" t="s">
        <v>5743</v>
      </c>
      <c r="F20" s="3285"/>
      <c r="G20" s="3288">
        <f>C19</f>
        <v>6</v>
      </c>
      <c r="H20" s="3296"/>
      <c r="I20" s="2600"/>
    </row>
    <row r="21" spans="2:10" ht="16.5" customHeight="1">
      <c r="B21" s="3265"/>
      <c r="C21" s="3272"/>
      <c r="D21" s="3279"/>
      <c r="E21" s="3284"/>
      <c r="F21" s="3284"/>
      <c r="G21" s="3289"/>
      <c r="H21" s="3296"/>
      <c r="I21" s="2600"/>
    </row>
    <row r="22" spans="2:10" ht="16.5" customHeight="1">
      <c r="B22" s="3265"/>
      <c r="C22" s="3272"/>
      <c r="D22" s="3279"/>
      <c r="E22" s="3285" t="s">
        <v>5744</v>
      </c>
      <c r="F22" s="3285"/>
      <c r="G22" s="3288">
        <f>C10</f>
        <v>10</v>
      </c>
      <c r="H22" s="3296"/>
      <c r="I22" s="2600"/>
    </row>
    <row r="23" spans="2:10" ht="16.5" customHeight="1">
      <c r="B23" s="3265"/>
      <c r="C23" s="3272"/>
      <c r="D23" s="3279"/>
      <c r="E23" s="3284"/>
      <c r="F23" s="3284"/>
      <c r="G23" s="3289"/>
      <c r="H23" s="3296"/>
      <c r="I23" s="2600"/>
    </row>
    <row r="24" spans="2:10" ht="16.5" customHeight="1">
      <c r="B24" s="3265"/>
      <c r="C24" s="3272"/>
      <c r="D24" s="3279"/>
      <c r="E24" s="3285" t="s">
        <v>5745</v>
      </c>
      <c r="F24" s="3285"/>
      <c r="G24" s="3288">
        <f>C19/2</f>
        <v>3</v>
      </c>
      <c r="H24" s="3296"/>
      <c r="I24" s="2600"/>
    </row>
    <row r="25" spans="2:10" ht="16.5" customHeight="1">
      <c r="B25" s="3265"/>
      <c r="C25" s="3272"/>
      <c r="D25" s="3279"/>
      <c r="E25" s="3284"/>
      <c r="F25" s="3284"/>
      <c r="G25" s="3289"/>
      <c r="H25" s="3296"/>
      <c r="I25" s="2600"/>
    </row>
    <row r="26" spans="2:10">
      <c r="B26" s="3265"/>
      <c r="C26" s="3272"/>
      <c r="D26" s="3279"/>
      <c r="E26" s="3285" t="s">
        <v>5746</v>
      </c>
      <c r="F26" s="3285"/>
      <c r="G26" s="3288">
        <f>C10/3</f>
        <v>3.3333333333333335</v>
      </c>
      <c r="H26" s="3296"/>
      <c r="I26" s="2600"/>
    </row>
    <row r="27" spans="2:10" ht="17.25" thickBot="1">
      <c r="B27" s="3268"/>
      <c r="C27" s="3275"/>
      <c r="D27" s="3280"/>
      <c r="E27" s="3290"/>
      <c r="F27" s="3290"/>
      <c r="G27" s="3310"/>
      <c r="H27" s="3297"/>
    </row>
    <row r="29" spans="2:10">
      <c r="B29" s="2563" t="s">
        <v>1653</v>
      </c>
      <c r="F29" s="2600"/>
      <c r="H29" s="2600"/>
    </row>
    <row r="30" spans="2:10">
      <c r="B30" s="2563" t="s">
        <v>1654</v>
      </c>
      <c r="F30" s="2600"/>
    </row>
    <row r="32" spans="2:10">
      <c r="F32" s="2600"/>
    </row>
  </sheetData>
  <mergeCells count="47">
    <mergeCell ref="H1:H2"/>
    <mergeCell ref="I11:I13"/>
    <mergeCell ref="H8:H9"/>
    <mergeCell ref="H10:H27"/>
    <mergeCell ref="B3:H4"/>
    <mergeCell ref="B6:D7"/>
    <mergeCell ref="E6:H7"/>
    <mergeCell ref="G18:G19"/>
    <mergeCell ref="G20:G21"/>
    <mergeCell ref="G22:G23"/>
    <mergeCell ref="G24:G25"/>
    <mergeCell ref="G26:G27"/>
    <mergeCell ref="G8:G9"/>
    <mergeCell ref="G10:G11"/>
    <mergeCell ref="G12:G13"/>
    <mergeCell ref="G14:G15"/>
    <mergeCell ref="G16:G17"/>
    <mergeCell ref="E20:E21"/>
    <mergeCell ref="E22:E23"/>
    <mergeCell ref="E24:E25"/>
    <mergeCell ref="E26:E27"/>
    <mergeCell ref="F18:F19"/>
    <mergeCell ref="F20:F21"/>
    <mergeCell ref="F22:F23"/>
    <mergeCell ref="F24:F25"/>
    <mergeCell ref="F26:F27"/>
    <mergeCell ref="F8:F9"/>
    <mergeCell ref="F10:F11"/>
    <mergeCell ref="F12:F13"/>
    <mergeCell ref="F14:F15"/>
    <mergeCell ref="F16:F17"/>
    <mergeCell ref="B1:D1"/>
    <mergeCell ref="B5:H5"/>
    <mergeCell ref="B8:B9"/>
    <mergeCell ref="B10:B18"/>
    <mergeCell ref="B19:B27"/>
    <mergeCell ref="C8:C9"/>
    <mergeCell ref="C10:C18"/>
    <mergeCell ref="C19:C27"/>
    <mergeCell ref="D8:D9"/>
    <mergeCell ref="D10:D27"/>
    <mergeCell ref="E8:E9"/>
    <mergeCell ref="E10:E11"/>
    <mergeCell ref="E12:E13"/>
    <mergeCell ref="E14:E15"/>
    <mergeCell ref="E16:E17"/>
    <mergeCell ref="E18:E19"/>
  </mergeCells>
  <phoneticPr fontId="378" type="noConversion"/>
  <hyperlinks>
    <hyperlink ref="I11:I13" location="总目录!A1" display="返回目录"/>
  </hyperlinks>
  <pageMargins left="0.69930555555555596" right="0.69930555555555596" top="0.75" bottom="0.75" header="0.3" footer="0.3"/>
  <pageSetup paperSize="9" orientation="portrait" horizontalDpi="200" verticalDpi="30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8"/>
  <sheetViews>
    <sheetView workbookViewId="0">
      <selection activeCell="I12" sqref="I12:I14"/>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5.25" style="2563" customWidth="1"/>
    <col min="6" max="6" width="12.75" style="2563" customWidth="1"/>
    <col min="7" max="7" width="11.75" style="2601" customWidth="1"/>
    <col min="8" max="8" width="8.25" style="2563" customWidth="1"/>
    <col min="9" max="9" width="5.375" style="2563" customWidth="1"/>
    <col min="10" max="16384" width="8.125" style="2563"/>
  </cols>
  <sheetData>
    <row r="1" spans="2:10">
      <c r="B1" s="3260" t="s">
        <v>5747</v>
      </c>
      <c r="C1" s="3260"/>
      <c r="D1" s="3260"/>
      <c r="E1" s="2566"/>
    </row>
    <row r="3" spans="2:10">
      <c r="B3" s="3298" t="s">
        <v>5748</v>
      </c>
      <c r="C3" s="3299"/>
      <c r="D3" s="3299"/>
      <c r="E3" s="3299"/>
      <c r="F3" s="3299"/>
      <c r="G3" s="3299"/>
      <c r="H3" s="3300"/>
    </row>
    <row r="4" spans="2:10">
      <c r="B4" s="3301"/>
      <c r="C4" s="3302"/>
      <c r="D4" s="3302"/>
      <c r="E4" s="3302"/>
      <c r="F4" s="3302"/>
      <c r="G4" s="3302"/>
      <c r="H4" s="3303"/>
    </row>
    <row r="5" spans="2:10" ht="4.5" customHeight="1">
      <c r="B5" s="3261"/>
      <c r="C5" s="3261"/>
      <c r="D5" s="3261"/>
      <c r="E5" s="3261"/>
      <c r="F5" s="3261"/>
      <c r="G5" s="3261"/>
      <c r="H5" s="3261"/>
    </row>
    <row r="6" spans="2:10">
      <c r="B6" s="3304" t="s">
        <v>1626</v>
      </c>
      <c r="C6" s="3305"/>
      <c r="D6" s="3306"/>
      <c r="E6" s="3304" t="s">
        <v>1627</v>
      </c>
      <c r="F6" s="3305"/>
      <c r="G6" s="3305"/>
      <c r="H6" s="3306"/>
    </row>
    <row r="7" spans="2:10">
      <c r="B7" s="3307"/>
      <c r="C7" s="3308"/>
      <c r="D7" s="3309"/>
      <c r="E7" s="3307"/>
      <c r="F7" s="3308"/>
      <c r="G7" s="3308"/>
      <c r="H7" s="3309"/>
    </row>
    <row r="8" spans="2:10">
      <c r="B8" s="3262" t="s">
        <v>1628</v>
      </c>
      <c r="C8" s="3269" t="s">
        <v>1629</v>
      </c>
      <c r="D8" s="3276" t="s">
        <v>1630</v>
      </c>
      <c r="E8" s="3281" t="s">
        <v>1631</v>
      </c>
      <c r="F8" s="3286" t="s">
        <v>1632</v>
      </c>
      <c r="G8" s="3311" t="s">
        <v>1633</v>
      </c>
      <c r="H8" s="3293" t="s">
        <v>1630</v>
      </c>
    </row>
    <row r="9" spans="2:10">
      <c r="B9" s="3263"/>
      <c r="C9" s="3270"/>
      <c r="D9" s="3277"/>
      <c r="E9" s="3282"/>
      <c r="F9" s="3287"/>
      <c r="G9" s="3312"/>
      <c r="H9" s="3294"/>
      <c r="J9" s="2600"/>
    </row>
    <row r="10" spans="2:10" ht="19.5" customHeight="1">
      <c r="B10" s="3264" t="s">
        <v>5749</v>
      </c>
      <c r="C10" s="3271">
        <v>6</v>
      </c>
      <c r="D10" s="3278"/>
      <c r="E10" s="3283" t="s">
        <v>5736</v>
      </c>
      <c r="F10" s="3283"/>
      <c r="G10" s="3313">
        <f>POWER(C10,2)</f>
        <v>36</v>
      </c>
      <c r="H10" s="3295"/>
      <c r="J10" s="2600"/>
    </row>
    <row r="11" spans="2:10" ht="17.25" thickBot="1">
      <c r="B11" s="3265"/>
      <c r="C11" s="3272"/>
      <c r="D11" s="3279"/>
      <c r="E11" s="3284"/>
      <c r="F11" s="3284"/>
      <c r="G11" s="3289"/>
      <c r="H11" s="3296"/>
    </row>
    <row r="12" spans="2:10">
      <c r="B12" s="3265"/>
      <c r="C12" s="3272"/>
      <c r="D12" s="3279"/>
      <c r="E12" s="3285" t="s">
        <v>5750</v>
      </c>
      <c r="F12" s="3285"/>
      <c r="G12" s="3288">
        <f>POWER(C10,4)/12</f>
        <v>108</v>
      </c>
      <c r="H12" s="3296"/>
      <c r="I12" s="3198" t="s">
        <v>12704</v>
      </c>
      <c r="J12" s="2600"/>
    </row>
    <row r="13" spans="2:10">
      <c r="B13" s="3265"/>
      <c r="C13" s="3272"/>
      <c r="D13" s="3279"/>
      <c r="E13" s="3284"/>
      <c r="F13" s="3284"/>
      <c r="G13" s="3289"/>
      <c r="H13" s="3296"/>
      <c r="I13" s="3199"/>
    </row>
    <row r="14" spans="2:10" ht="16.5" customHeight="1" thickBot="1">
      <c r="B14" s="3265"/>
      <c r="C14" s="3272"/>
      <c r="D14" s="3279"/>
      <c r="E14" s="3285" t="s">
        <v>5740</v>
      </c>
      <c r="F14" s="3285"/>
      <c r="G14" s="3288">
        <f>POWER(C10,3)/6</f>
        <v>36</v>
      </c>
      <c r="H14" s="3296"/>
      <c r="I14" s="3200"/>
      <c r="J14" s="2600"/>
    </row>
    <row r="15" spans="2:10" ht="16.5" customHeight="1">
      <c r="B15" s="3265"/>
      <c r="C15" s="3272"/>
      <c r="D15" s="3279"/>
      <c r="E15" s="3284"/>
      <c r="F15" s="3284"/>
      <c r="G15" s="3289"/>
      <c r="H15" s="3296"/>
      <c r="J15" s="2600"/>
    </row>
    <row r="16" spans="2:10" ht="16.5" customHeight="1">
      <c r="B16" s="3265"/>
      <c r="C16" s="3272"/>
      <c r="D16" s="3279"/>
      <c r="E16" s="3285" t="s">
        <v>5751</v>
      </c>
      <c r="F16" s="3285"/>
      <c r="G16" s="3288">
        <f>0.1179*POWER(C10,3)</f>
        <v>25.4664</v>
      </c>
      <c r="H16" s="3296"/>
      <c r="J16" s="2600"/>
    </row>
    <row r="17" spans="2:10" ht="16.5" customHeight="1">
      <c r="B17" s="3265"/>
      <c r="C17" s="3272"/>
      <c r="D17" s="3279"/>
      <c r="E17" s="3284"/>
      <c r="F17" s="3284"/>
      <c r="G17" s="3289"/>
      <c r="H17" s="3296"/>
      <c r="J17" s="2600"/>
    </row>
    <row r="18" spans="2:10" ht="16.5" customHeight="1">
      <c r="B18" s="3265"/>
      <c r="C18" s="3272"/>
      <c r="D18" s="3279"/>
      <c r="E18" s="3285" t="s">
        <v>5743</v>
      </c>
      <c r="F18" s="3285"/>
      <c r="G18" s="3288">
        <f>C10/2</f>
        <v>3</v>
      </c>
      <c r="H18" s="3296"/>
      <c r="J18" s="2600"/>
    </row>
    <row r="19" spans="2:10" ht="16.5" customHeight="1">
      <c r="B19" s="3265"/>
      <c r="C19" s="3272"/>
      <c r="D19" s="3279"/>
      <c r="E19" s="3284"/>
      <c r="F19" s="3284"/>
      <c r="G19" s="3289"/>
      <c r="H19" s="3296"/>
      <c r="J19" s="2600"/>
    </row>
    <row r="20" spans="2:10" ht="16.5" customHeight="1">
      <c r="B20" s="3265"/>
      <c r="C20" s="3272"/>
      <c r="D20" s="3279"/>
      <c r="E20" s="3285" t="s">
        <v>5752</v>
      </c>
      <c r="F20" s="3285"/>
      <c r="G20" s="3288">
        <f>0.7071*C10</f>
        <v>4.2426000000000004</v>
      </c>
      <c r="H20" s="3296"/>
      <c r="I20" s="2600"/>
      <c r="J20" s="2600"/>
    </row>
    <row r="21" spans="2:10" ht="16.5" customHeight="1">
      <c r="B21" s="3265"/>
      <c r="C21" s="3272"/>
      <c r="D21" s="3279"/>
      <c r="E21" s="3284"/>
      <c r="F21" s="3284"/>
      <c r="G21" s="3289"/>
      <c r="H21" s="3296"/>
      <c r="J21" s="2600"/>
    </row>
    <row r="22" spans="2:10">
      <c r="B22" s="3265"/>
      <c r="C22" s="3272"/>
      <c r="D22" s="3279"/>
      <c r="E22" s="3285" t="s">
        <v>5753</v>
      </c>
      <c r="F22" s="3285"/>
      <c r="G22" s="3288">
        <f>C10/SQRT(12)</f>
        <v>1.7320508075688801</v>
      </c>
      <c r="H22" s="3296"/>
      <c r="J22" s="2600"/>
    </row>
    <row r="23" spans="2:10">
      <c r="B23" s="3268"/>
      <c r="C23" s="3275"/>
      <c r="D23" s="3280"/>
      <c r="E23" s="3290"/>
      <c r="F23" s="3290"/>
      <c r="G23" s="3310"/>
      <c r="H23" s="3297"/>
    </row>
    <row r="25" spans="2:10">
      <c r="F25" s="2600"/>
      <c r="H25" s="2600"/>
    </row>
    <row r="26" spans="2:10">
      <c r="B26" s="2563" t="s">
        <v>1654</v>
      </c>
      <c r="F26" s="2600"/>
    </row>
    <row r="28" spans="2:10">
      <c r="F28" s="2600"/>
    </row>
  </sheetData>
  <mergeCells count="38">
    <mergeCell ref="I12:I14"/>
    <mergeCell ref="H8:H9"/>
    <mergeCell ref="H10:H23"/>
    <mergeCell ref="B3:H4"/>
    <mergeCell ref="B6:D7"/>
    <mergeCell ref="E6:H7"/>
    <mergeCell ref="F18:F19"/>
    <mergeCell ref="F20:F21"/>
    <mergeCell ref="F22:F23"/>
    <mergeCell ref="G8:G9"/>
    <mergeCell ref="G10:G11"/>
    <mergeCell ref="G12:G13"/>
    <mergeCell ref="G14:G15"/>
    <mergeCell ref="G16:G17"/>
    <mergeCell ref="G18:G19"/>
    <mergeCell ref="G20:G21"/>
    <mergeCell ref="G22:G23"/>
    <mergeCell ref="F8:F9"/>
    <mergeCell ref="F10:F11"/>
    <mergeCell ref="F12:F13"/>
    <mergeCell ref="F14:F15"/>
    <mergeCell ref="F16:F17"/>
    <mergeCell ref="B1:D1"/>
    <mergeCell ref="B5:H5"/>
    <mergeCell ref="B8:B9"/>
    <mergeCell ref="B10:B23"/>
    <mergeCell ref="C8:C9"/>
    <mergeCell ref="C10:C23"/>
    <mergeCell ref="D8:D9"/>
    <mergeCell ref="D10:D23"/>
    <mergeCell ref="E8:E9"/>
    <mergeCell ref="E10:E11"/>
    <mergeCell ref="E12:E13"/>
    <mergeCell ref="E14:E15"/>
    <mergeCell ref="E16:E17"/>
    <mergeCell ref="E18:E19"/>
    <mergeCell ref="E20:E21"/>
    <mergeCell ref="E22:E23"/>
  </mergeCells>
  <phoneticPr fontId="378" type="noConversion"/>
  <hyperlinks>
    <hyperlink ref="I12:I14" location="总目录!A1" display="返回目录"/>
  </hyperlinks>
  <pageMargins left="0.69930555555555596" right="0.69930555555555596" top="0.75" bottom="0.75" header="0.3" footer="0.3"/>
  <pageSetup paperSize="9" orientation="portrait" horizontalDpi="200" verticalDpi="30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6"/>
  <sheetViews>
    <sheetView workbookViewId="0">
      <selection activeCell="I11" sqref="I11:I13"/>
    </sheetView>
  </sheetViews>
  <sheetFormatPr defaultColWidth="8.125" defaultRowHeight="16.5"/>
  <cols>
    <col min="1" max="1" width="0.25" style="2563" customWidth="1"/>
    <col min="2" max="2" width="19.5" style="2563" customWidth="1"/>
    <col min="3" max="3" width="9.375" style="2563" customWidth="1"/>
    <col min="4" max="4" width="21.5" style="2563" customWidth="1"/>
    <col min="5" max="5" width="24.375" style="2563" customWidth="1"/>
    <col min="6" max="6" width="12.25" style="2563" customWidth="1"/>
    <col min="7" max="7" width="15.625" style="2601" customWidth="1"/>
    <col min="8" max="8" width="8.25" style="2563" customWidth="1"/>
    <col min="9" max="9" width="4.5" style="2563" customWidth="1"/>
    <col min="10" max="16384" width="8.125" style="2563"/>
  </cols>
  <sheetData>
    <row r="1" spans="2:12">
      <c r="B1" s="3260" t="s">
        <v>5754</v>
      </c>
      <c r="C1" s="3260"/>
      <c r="D1" s="3260"/>
      <c r="E1" s="2566"/>
    </row>
    <row r="3" spans="2:12">
      <c r="B3" s="3298" t="s">
        <v>5755</v>
      </c>
      <c r="C3" s="3299"/>
      <c r="D3" s="3299"/>
      <c r="E3" s="3299"/>
      <c r="F3" s="3299"/>
      <c r="G3" s="3299"/>
      <c r="H3" s="3300"/>
    </row>
    <row r="4" spans="2:12">
      <c r="B4" s="3301"/>
      <c r="C4" s="3302"/>
      <c r="D4" s="3302"/>
      <c r="E4" s="3302"/>
      <c r="F4" s="3302"/>
      <c r="G4" s="3302"/>
      <c r="H4" s="3303"/>
    </row>
    <row r="5" spans="2:12" ht="4.5" customHeight="1">
      <c r="B5" s="3261"/>
      <c r="C5" s="3261"/>
      <c r="D5" s="3261"/>
      <c r="E5" s="3261"/>
      <c r="F5" s="3261"/>
      <c r="G5" s="3261"/>
      <c r="H5" s="3261"/>
    </row>
    <row r="6" spans="2:12">
      <c r="B6" s="3304" t="s">
        <v>1626</v>
      </c>
      <c r="C6" s="3305"/>
      <c r="D6" s="3306"/>
      <c r="E6" s="3304" t="s">
        <v>1627</v>
      </c>
      <c r="F6" s="3305"/>
      <c r="G6" s="3305"/>
      <c r="H6" s="3306"/>
    </row>
    <row r="7" spans="2:12">
      <c r="B7" s="3307"/>
      <c r="C7" s="3308"/>
      <c r="D7" s="3309"/>
      <c r="E7" s="3307"/>
      <c r="F7" s="3308"/>
      <c r="G7" s="3308"/>
      <c r="H7" s="3309"/>
    </row>
    <row r="8" spans="2:12">
      <c r="B8" s="3262" t="s">
        <v>1628</v>
      </c>
      <c r="C8" s="3269" t="s">
        <v>1629</v>
      </c>
      <c r="D8" s="3276" t="s">
        <v>1630</v>
      </c>
      <c r="E8" s="3281" t="s">
        <v>1631</v>
      </c>
      <c r="F8" s="3286" t="s">
        <v>1632</v>
      </c>
      <c r="G8" s="3311" t="s">
        <v>1633</v>
      </c>
      <c r="H8" s="3293" t="s">
        <v>1630</v>
      </c>
    </row>
    <row r="9" spans="2:12">
      <c r="B9" s="3263"/>
      <c r="C9" s="3270"/>
      <c r="D9" s="3277"/>
      <c r="E9" s="3282"/>
      <c r="F9" s="3287"/>
      <c r="G9" s="3312"/>
      <c r="H9" s="3294"/>
      <c r="J9" s="2600"/>
    </row>
    <row r="10" spans="2:12" ht="19.5" customHeight="1" thickBot="1">
      <c r="B10" s="3264" t="s">
        <v>5756</v>
      </c>
      <c r="C10" s="3271">
        <v>12</v>
      </c>
      <c r="D10" s="3278"/>
      <c r="E10" s="3283" t="s">
        <v>5736</v>
      </c>
      <c r="F10" s="3283"/>
      <c r="G10" s="3313">
        <f>PI()/4*POWER(C10,2)</f>
        <v>113.09733552923301</v>
      </c>
      <c r="H10" s="3295"/>
    </row>
    <row r="11" spans="2:12">
      <c r="B11" s="3265"/>
      <c r="C11" s="3272"/>
      <c r="D11" s="3279"/>
      <c r="E11" s="3284"/>
      <c r="F11" s="3284"/>
      <c r="G11" s="3289"/>
      <c r="H11" s="3296"/>
      <c r="I11" s="3198" t="s">
        <v>12704</v>
      </c>
    </row>
    <row r="12" spans="2:12">
      <c r="B12" s="3265"/>
      <c r="C12" s="3272"/>
      <c r="D12" s="3279"/>
      <c r="E12" s="3285" t="s">
        <v>5757</v>
      </c>
      <c r="F12" s="3285"/>
      <c r="G12" s="3288">
        <f>PI()/64*POWER(C10,4)</f>
        <v>1017.87601976309</v>
      </c>
      <c r="H12" s="3296"/>
      <c r="I12" s="3199"/>
    </row>
    <row r="13" spans="2:12" ht="17.25" thickBot="1">
      <c r="B13" s="3265"/>
      <c r="C13" s="3272"/>
      <c r="D13" s="3279"/>
      <c r="E13" s="3284"/>
      <c r="F13" s="3284"/>
      <c r="G13" s="3289"/>
      <c r="H13" s="3296"/>
      <c r="I13" s="3200"/>
      <c r="K13" s="2600"/>
    </row>
    <row r="14" spans="2:12">
      <c r="B14" s="3265"/>
      <c r="C14" s="3272"/>
      <c r="D14" s="3279"/>
      <c r="E14" s="3285" t="s">
        <v>5758</v>
      </c>
      <c r="F14" s="3285"/>
      <c r="G14" s="3288">
        <f>PI()*POWER(C10,4)/32</f>
        <v>2035.7520395261899</v>
      </c>
      <c r="H14" s="3296"/>
      <c r="I14" s="2600"/>
      <c r="L14" s="2600"/>
    </row>
    <row r="15" spans="2:12">
      <c r="B15" s="3265"/>
      <c r="C15" s="3272"/>
      <c r="D15" s="3279"/>
      <c r="E15" s="3284"/>
      <c r="F15" s="3284"/>
      <c r="G15" s="3289"/>
      <c r="H15" s="3296"/>
      <c r="I15" s="2600"/>
      <c r="K15" s="2600"/>
    </row>
    <row r="16" spans="2:12" ht="16.5" customHeight="1">
      <c r="B16" s="3265"/>
      <c r="C16" s="3272"/>
      <c r="D16" s="3279"/>
      <c r="E16" s="3285" t="s">
        <v>5759</v>
      </c>
      <c r="F16" s="3285"/>
      <c r="G16" s="3288">
        <f>PI()/32*POWER(C10,3)</f>
        <v>169.64600329384899</v>
      </c>
      <c r="H16" s="3296"/>
      <c r="J16" s="2600"/>
    </row>
    <row r="17" spans="2:11" ht="16.5" customHeight="1">
      <c r="B17" s="3265"/>
      <c r="C17" s="3272"/>
      <c r="D17" s="3279"/>
      <c r="E17" s="3284"/>
      <c r="F17" s="3284"/>
      <c r="G17" s="3289"/>
      <c r="H17" s="3296"/>
      <c r="J17" s="2600"/>
      <c r="K17" s="2600"/>
    </row>
    <row r="18" spans="2:11" ht="16.5" customHeight="1">
      <c r="B18" s="3265"/>
      <c r="C18" s="3272"/>
      <c r="D18" s="3279"/>
      <c r="E18" s="3285" t="s">
        <v>5743</v>
      </c>
      <c r="F18" s="3285"/>
      <c r="G18" s="3288">
        <f>C10/2</f>
        <v>6</v>
      </c>
      <c r="H18" s="3296"/>
      <c r="J18" s="2600"/>
      <c r="K18" s="2600"/>
    </row>
    <row r="19" spans="2:11" ht="16.5" customHeight="1">
      <c r="B19" s="3265"/>
      <c r="C19" s="3272"/>
      <c r="D19" s="3279"/>
      <c r="E19" s="3284"/>
      <c r="F19" s="3284"/>
      <c r="G19" s="3289"/>
      <c r="H19" s="3296"/>
      <c r="J19" s="2600"/>
    </row>
    <row r="20" spans="2:11" ht="16.5" customHeight="1">
      <c r="B20" s="3265"/>
      <c r="C20" s="3272"/>
      <c r="D20" s="3279"/>
      <c r="E20" s="3285" t="s">
        <v>5760</v>
      </c>
      <c r="F20" s="3285"/>
      <c r="G20" s="3288">
        <f>C10/4</f>
        <v>3</v>
      </c>
      <c r="H20" s="3296"/>
      <c r="J20" s="2600"/>
    </row>
    <row r="21" spans="2:11" ht="16.5" customHeight="1">
      <c r="B21" s="3268"/>
      <c r="C21" s="3275"/>
      <c r="D21" s="3280"/>
      <c r="E21" s="3290"/>
      <c r="F21" s="3290"/>
      <c r="G21" s="3310"/>
      <c r="H21" s="3297"/>
      <c r="J21" s="2600"/>
    </row>
    <row r="23" spans="2:11">
      <c r="F23" s="2600"/>
      <c r="H23" s="2600"/>
    </row>
    <row r="24" spans="2:11">
      <c r="B24" s="2563" t="s">
        <v>1654</v>
      </c>
      <c r="F24" s="2600"/>
    </row>
    <row r="26" spans="2:11">
      <c r="F26" s="2600"/>
    </row>
  </sheetData>
  <mergeCells count="35">
    <mergeCell ref="E18:E19"/>
    <mergeCell ref="E20:E21"/>
    <mergeCell ref="F8:F9"/>
    <mergeCell ref="I11:I13"/>
    <mergeCell ref="H8:H9"/>
    <mergeCell ref="H10:H21"/>
    <mergeCell ref="F14:F15"/>
    <mergeCell ref="F16:F17"/>
    <mergeCell ref="F18:F19"/>
    <mergeCell ref="F20:F21"/>
    <mergeCell ref="G8:G9"/>
    <mergeCell ref="G10:G11"/>
    <mergeCell ref="G12:G13"/>
    <mergeCell ref="G14:G15"/>
    <mergeCell ref="G16:G17"/>
    <mergeCell ref="G18:G19"/>
    <mergeCell ref="G20:G21"/>
    <mergeCell ref="F10:F11"/>
    <mergeCell ref="F12:F13"/>
    <mergeCell ref="B1:D1"/>
    <mergeCell ref="B5:H5"/>
    <mergeCell ref="B8:B9"/>
    <mergeCell ref="B10:B21"/>
    <mergeCell ref="C8:C9"/>
    <mergeCell ref="C10:C21"/>
    <mergeCell ref="D8:D9"/>
    <mergeCell ref="D10:D21"/>
    <mergeCell ref="E8:E9"/>
    <mergeCell ref="E10:E11"/>
    <mergeCell ref="E12:E13"/>
    <mergeCell ref="E14:E15"/>
    <mergeCell ref="E16:E17"/>
    <mergeCell ref="B3:H4"/>
    <mergeCell ref="B6:D7"/>
    <mergeCell ref="E6:H7"/>
  </mergeCells>
  <phoneticPr fontId="378" type="noConversion"/>
  <hyperlinks>
    <hyperlink ref="I11:I13" location="总目录!A1" display="返回目录"/>
  </hyperlinks>
  <pageMargins left="0.69930555555555596" right="0.69930555555555596" top="0.75" bottom="0.75" header="0.3" footer="0.3"/>
  <pageSetup paperSize="9" orientation="portrait" horizontalDpi="200" verticalDpi="30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8"/>
  <sheetViews>
    <sheetView workbookViewId="0">
      <selection activeCell="I12" sqref="I12:I14"/>
    </sheetView>
  </sheetViews>
  <sheetFormatPr defaultColWidth="8.125" defaultRowHeight="16.5"/>
  <cols>
    <col min="1" max="1" width="0.25" style="2563" customWidth="1"/>
    <col min="2" max="2" width="19.5" style="2563" customWidth="1"/>
    <col min="3" max="3" width="9.375" style="2563" customWidth="1"/>
    <col min="4" max="4" width="23.75" style="2563" customWidth="1"/>
    <col min="5" max="5" width="24.375" style="2563" customWidth="1"/>
    <col min="6" max="6" width="20.875" style="2563" customWidth="1"/>
    <col min="7" max="7" width="13.75" style="2601" customWidth="1"/>
    <col min="8" max="8" width="8.25" style="2563" customWidth="1"/>
    <col min="9" max="9" width="4.875" style="2563" customWidth="1"/>
    <col min="10" max="16384" width="8.125" style="2563"/>
  </cols>
  <sheetData>
    <row r="1" spans="2:10">
      <c r="B1" s="3260" t="s">
        <v>5761</v>
      </c>
      <c r="C1" s="3260"/>
      <c r="D1" s="3260"/>
      <c r="E1" s="2566"/>
    </row>
    <row r="3" spans="2:10">
      <c r="B3" s="3298" t="s">
        <v>5762</v>
      </c>
      <c r="C3" s="3299"/>
      <c r="D3" s="3299"/>
      <c r="E3" s="3299"/>
      <c r="F3" s="3299"/>
      <c r="G3" s="3299"/>
      <c r="H3" s="3300"/>
    </row>
    <row r="4" spans="2:10">
      <c r="B4" s="3301"/>
      <c r="C4" s="3302"/>
      <c r="D4" s="3302"/>
      <c r="E4" s="3302"/>
      <c r="F4" s="3302"/>
      <c r="G4" s="3302"/>
      <c r="H4" s="3303"/>
    </row>
    <row r="5" spans="2:10" ht="4.5" customHeight="1">
      <c r="B5" s="3261"/>
      <c r="C5" s="3261"/>
      <c r="D5" s="3261"/>
      <c r="E5" s="3261"/>
      <c r="F5" s="3261"/>
      <c r="G5" s="3261"/>
      <c r="H5" s="3261"/>
    </row>
    <row r="6" spans="2:10">
      <c r="B6" s="3304" t="s">
        <v>1626</v>
      </c>
      <c r="C6" s="3305"/>
      <c r="D6" s="3306"/>
      <c r="E6" s="3304" t="s">
        <v>1627</v>
      </c>
      <c r="F6" s="3305"/>
      <c r="G6" s="3305"/>
      <c r="H6" s="3306"/>
    </row>
    <row r="7" spans="2:10">
      <c r="B7" s="3307"/>
      <c r="C7" s="3308"/>
      <c r="D7" s="3309"/>
      <c r="E7" s="3307"/>
      <c r="F7" s="3308"/>
      <c r="G7" s="3308"/>
      <c r="H7" s="3309"/>
    </row>
    <row r="8" spans="2:10">
      <c r="B8" s="3262" t="s">
        <v>1628</v>
      </c>
      <c r="C8" s="3269" t="s">
        <v>1629</v>
      </c>
      <c r="D8" s="3276" t="s">
        <v>1630</v>
      </c>
      <c r="E8" s="3281" t="s">
        <v>1631</v>
      </c>
      <c r="F8" s="3286" t="s">
        <v>1632</v>
      </c>
      <c r="G8" s="3311" t="s">
        <v>1633</v>
      </c>
      <c r="H8" s="3293" t="s">
        <v>1630</v>
      </c>
    </row>
    <row r="9" spans="2:10">
      <c r="B9" s="3263"/>
      <c r="C9" s="3270"/>
      <c r="D9" s="3277"/>
      <c r="E9" s="3282"/>
      <c r="F9" s="3287"/>
      <c r="G9" s="3312"/>
      <c r="H9" s="3294"/>
      <c r="J9" s="2600"/>
    </row>
    <row r="10" spans="2:10" ht="19.5" customHeight="1">
      <c r="B10" s="3264" t="s">
        <v>5763</v>
      </c>
      <c r="C10" s="3271">
        <v>9</v>
      </c>
      <c r="D10" s="3278"/>
      <c r="E10" s="3283" t="s">
        <v>5736</v>
      </c>
      <c r="F10" s="3283"/>
      <c r="G10" s="3313">
        <f>PI()*C19/180*(POWER(C10,2)-POWER(C15,2))</f>
        <v>11.7809724509617</v>
      </c>
      <c r="H10" s="3295"/>
    </row>
    <row r="11" spans="2:10" ht="17.25" thickBot="1">
      <c r="B11" s="3265"/>
      <c r="C11" s="3272"/>
      <c r="D11" s="3279"/>
      <c r="E11" s="3284"/>
      <c r="F11" s="3284"/>
      <c r="G11" s="3289"/>
      <c r="H11" s="3296"/>
    </row>
    <row r="12" spans="2:10">
      <c r="B12" s="3265"/>
      <c r="C12" s="3272"/>
      <c r="D12" s="3279"/>
      <c r="E12" s="3285" t="s">
        <v>5764</v>
      </c>
      <c r="F12" s="3285"/>
      <c r="G12" s="3288">
        <f>((POWER(C10,4)-POWER(C15,4))/8)*((PI()*C19)/90+2*SIN(RADIANS(C19))*COS(RADIANS(C19)))</f>
        <v>673.65594419062995</v>
      </c>
      <c r="H12" s="3296"/>
      <c r="I12" s="3198" t="s">
        <v>12704</v>
      </c>
      <c r="J12" s="2600"/>
    </row>
    <row r="13" spans="2:10">
      <c r="B13" s="3265"/>
      <c r="C13" s="3272"/>
      <c r="D13" s="3279"/>
      <c r="E13" s="3284"/>
      <c r="F13" s="3284"/>
      <c r="G13" s="3289"/>
      <c r="H13" s="3296"/>
      <c r="I13" s="3199"/>
    </row>
    <row r="14" spans="2:10" ht="17.25" thickBot="1">
      <c r="B14" s="3266"/>
      <c r="C14" s="3273"/>
      <c r="D14" s="3279"/>
      <c r="E14" s="3285" t="s">
        <v>5738</v>
      </c>
      <c r="F14" s="3285"/>
      <c r="G14" s="3288">
        <f>G12-G10*POWER(G18,2)</f>
        <v>641.35104441973999</v>
      </c>
      <c r="H14" s="3296"/>
      <c r="I14" s="3200"/>
      <c r="J14" s="2600"/>
    </row>
    <row r="15" spans="2:10">
      <c r="B15" s="3267" t="s">
        <v>5765</v>
      </c>
      <c r="C15" s="3274">
        <v>6</v>
      </c>
      <c r="D15" s="3279"/>
      <c r="E15" s="3284"/>
      <c r="F15" s="3284"/>
      <c r="G15" s="3289"/>
      <c r="H15" s="3296"/>
      <c r="I15" s="2600"/>
      <c r="J15" s="2600"/>
    </row>
    <row r="16" spans="2:10" ht="16.5" customHeight="1">
      <c r="B16" s="3265"/>
      <c r="C16" s="3272"/>
      <c r="D16" s="3279"/>
      <c r="E16" s="3285" t="s">
        <v>5766</v>
      </c>
      <c r="F16" s="3285"/>
      <c r="G16" s="3288">
        <f>((POWER(C10,4)-POWER(C15,4))/8)*((PI()*C19)/90-(2*SIN(RADIANS(C19))*COS(RADIANS(C19))))</f>
        <v>15.5309441906304</v>
      </c>
      <c r="H16" s="3296"/>
      <c r="J16" s="2600"/>
    </row>
    <row r="17" spans="2:12" ht="16.5" customHeight="1">
      <c r="B17" s="3265"/>
      <c r="C17" s="3272"/>
      <c r="D17" s="3279"/>
      <c r="E17" s="3284"/>
      <c r="F17" s="3284"/>
      <c r="G17" s="3289"/>
      <c r="H17" s="3296"/>
      <c r="J17" s="2600"/>
    </row>
    <row r="18" spans="2:12" ht="16.5" customHeight="1">
      <c r="B18" s="3266"/>
      <c r="C18" s="3273"/>
      <c r="D18" s="3279"/>
      <c r="E18" s="3285" t="s">
        <v>5767</v>
      </c>
      <c r="F18" s="3285"/>
      <c r="G18" s="3288">
        <f>38.197*(((POWER(C10,3)-POWER(C15,3))*SIN(C19))/((POWER(C10,3)-POWER(C15,3))*C19))</f>
        <v>1.65593630869876</v>
      </c>
      <c r="H18" s="3296"/>
      <c r="J18" s="2600"/>
    </row>
    <row r="19" spans="2:12" ht="16.5" customHeight="1">
      <c r="B19" s="3267" t="s">
        <v>5768</v>
      </c>
      <c r="C19" s="3272">
        <v>15</v>
      </c>
      <c r="D19" s="3279"/>
      <c r="E19" s="3284"/>
      <c r="F19" s="3284"/>
      <c r="G19" s="3289"/>
      <c r="H19" s="3296"/>
      <c r="J19" s="2600"/>
    </row>
    <row r="20" spans="2:12" ht="21" customHeight="1">
      <c r="B20" s="3265"/>
      <c r="C20" s="3272"/>
      <c r="D20" s="3279"/>
      <c r="E20" s="3285" t="s">
        <v>5745</v>
      </c>
      <c r="F20" s="3285"/>
      <c r="G20" s="3288">
        <f>SQRT(G14/G10)</f>
        <v>7.37831738638023</v>
      </c>
      <c r="H20" s="3296"/>
      <c r="J20" s="2600"/>
      <c r="L20" s="2600"/>
    </row>
    <row r="21" spans="2:12" ht="16.5" customHeight="1">
      <c r="B21" s="3265"/>
      <c r="C21" s="3272"/>
      <c r="D21" s="3279"/>
      <c r="E21" s="3284"/>
      <c r="F21" s="3284"/>
      <c r="G21" s="3289"/>
      <c r="H21" s="3296"/>
      <c r="J21" s="2600"/>
    </row>
    <row r="22" spans="2:12" ht="16.5" customHeight="1">
      <c r="B22" s="3265"/>
      <c r="C22" s="3272"/>
      <c r="D22" s="3279"/>
      <c r="E22" s="3314" t="s">
        <v>5746</v>
      </c>
      <c r="F22" s="3285"/>
      <c r="G22" s="3288">
        <f>G16/G10</f>
        <v>1.3183074873723699</v>
      </c>
      <c r="H22" s="3296"/>
      <c r="J22" s="2600"/>
    </row>
    <row r="23" spans="2:12" ht="23.25" customHeight="1">
      <c r="B23" s="3268"/>
      <c r="C23" s="3275"/>
      <c r="D23" s="3280"/>
      <c r="E23" s="3290"/>
      <c r="F23" s="3290"/>
      <c r="G23" s="3310"/>
      <c r="H23" s="3297"/>
      <c r="J23" s="2600"/>
    </row>
    <row r="25" spans="2:12">
      <c r="F25" s="2600"/>
      <c r="H25" s="2600"/>
    </row>
    <row r="26" spans="2:12">
      <c r="B26" s="2563" t="s">
        <v>1654</v>
      </c>
      <c r="F26" s="2600"/>
      <c r="G26" s="2600"/>
    </row>
    <row r="27" spans="2:12">
      <c r="G27" s="2600"/>
    </row>
    <row r="28" spans="2:12">
      <c r="F28" s="2600"/>
    </row>
  </sheetData>
  <mergeCells count="42">
    <mergeCell ref="I12:I14"/>
    <mergeCell ref="H8:H9"/>
    <mergeCell ref="H10:H23"/>
    <mergeCell ref="B3:H4"/>
    <mergeCell ref="B6:D7"/>
    <mergeCell ref="E6:H7"/>
    <mergeCell ref="F20:F21"/>
    <mergeCell ref="F22:F23"/>
    <mergeCell ref="G8:G9"/>
    <mergeCell ref="G10:G11"/>
    <mergeCell ref="G12:G13"/>
    <mergeCell ref="G14:G15"/>
    <mergeCell ref="G16:G17"/>
    <mergeCell ref="G18:G19"/>
    <mergeCell ref="G20:G21"/>
    <mergeCell ref="G22:G23"/>
    <mergeCell ref="F10:F11"/>
    <mergeCell ref="F12:F13"/>
    <mergeCell ref="F14:F15"/>
    <mergeCell ref="F16:F17"/>
    <mergeCell ref="F18:F19"/>
    <mergeCell ref="B19:B23"/>
    <mergeCell ref="C8:C9"/>
    <mergeCell ref="C10:C14"/>
    <mergeCell ref="C15:C18"/>
    <mergeCell ref="C19:C23"/>
    <mergeCell ref="B1:D1"/>
    <mergeCell ref="B5:H5"/>
    <mergeCell ref="B8:B9"/>
    <mergeCell ref="B10:B14"/>
    <mergeCell ref="B15:B18"/>
    <mergeCell ref="D8:D9"/>
    <mergeCell ref="D10:D23"/>
    <mergeCell ref="E8:E9"/>
    <mergeCell ref="E10:E11"/>
    <mergeCell ref="E12:E13"/>
    <mergeCell ref="E14:E15"/>
    <mergeCell ref="E16:E17"/>
    <mergeCell ref="E18:E19"/>
    <mergeCell ref="E20:E21"/>
    <mergeCell ref="E22:E23"/>
    <mergeCell ref="F8:F9"/>
  </mergeCells>
  <phoneticPr fontId="378" type="noConversion"/>
  <hyperlinks>
    <hyperlink ref="I12:I14" location="总目录!A1" display="返回目录"/>
  </hyperlinks>
  <pageMargins left="0.69930555555555596" right="0.69930555555555596" top="0.75" bottom="0.75" header="0.3" footer="0.3"/>
  <pageSetup paperSize="9" orientation="portrait" horizontalDpi="200" verticalDpi="30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2"/>
  <sheetViews>
    <sheetView workbookViewId="0">
      <selection activeCell="I13" sqref="I13:I15"/>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2.875" style="2563" customWidth="1"/>
    <col min="6" max="6" width="30.625" style="2563" customWidth="1"/>
    <col min="7" max="7" width="11.75" style="2601" customWidth="1"/>
    <col min="8" max="8" width="8.25" style="2563" customWidth="1"/>
    <col min="9" max="9" width="5" style="2563" customWidth="1"/>
    <col min="10" max="16384" width="8.125" style="2563"/>
  </cols>
  <sheetData>
    <row r="1" spans="2:12">
      <c r="B1" s="3260" t="s">
        <v>5769</v>
      </c>
      <c r="C1" s="3260"/>
      <c r="D1" s="3260"/>
      <c r="E1" s="2566"/>
    </row>
    <row r="3" spans="2:12">
      <c r="B3" s="3298" t="s">
        <v>5770</v>
      </c>
      <c r="C3" s="3299"/>
      <c r="D3" s="3299"/>
      <c r="E3" s="3299"/>
      <c r="F3" s="3299"/>
      <c r="G3" s="3299"/>
      <c r="H3" s="3300"/>
    </row>
    <row r="4" spans="2:12">
      <c r="B4" s="3301"/>
      <c r="C4" s="3302"/>
      <c r="D4" s="3302"/>
      <c r="E4" s="3302"/>
      <c r="F4" s="3302"/>
      <c r="G4" s="3302"/>
      <c r="H4" s="3303"/>
    </row>
    <row r="5" spans="2:12" ht="4.5" customHeight="1">
      <c r="B5" s="3261"/>
      <c r="C5" s="3261"/>
      <c r="D5" s="3261"/>
      <c r="E5" s="3261"/>
      <c r="F5" s="3261"/>
      <c r="G5" s="3261"/>
      <c r="H5" s="3261"/>
    </row>
    <row r="6" spans="2:12">
      <c r="B6" s="3304" t="s">
        <v>1626</v>
      </c>
      <c r="C6" s="3305"/>
      <c r="D6" s="3306"/>
      <c r="E6" s="3304" t="s">
        <v>1627</v>
      </c>
      <c r="F6" s="3305"/>
      <c r="G6" s="3305"/>
      <c r="H6" s="3306"/>
    </row>
    <row r="7" spans="2:12">
      <c r="B7" s="3307"/>
      <c r="C7" s="3308"/>
      <c r="D7" s="3309"/>
      <c r="E7" s="3307"/>
      <c r="F7" s="3308"/>
      <c r="G7" s="3308"/>
      <c r="H7" s="3309"/>
    </row>
    <row r="8" spans="2:12">
      <c r="B8" s="3262" t="s">
        <v>1628</v>
      </c>
      <c r="C8" s="3269" t="s">
        <v>1629</v>
      </c>
      <c r="D8" s="3276" t="s">
        <v>1630</v>
      </c>
      <c r="E8" s="3281" t="s">
        <v>1631</v>
      </c>
      <c r="F8" s="3286" t="s">
        <v>1632</v>
      </c>
      <c r="G8" s="3311" t="s">
        <v>1633</v>
      </c>
      <c r="H8" s="3293" t="s">
        <v>1630</v>
      </c>
    </row>
    <row r="9" spans="2:12">
      <c r="B9" s="3263"/>
      <c r="C9" s="3270"/>
      <c r="D9" s="3277"/>
      <c r="E9" s="3282"/>
      <c r="F9" s="3287"/>
      <c r="G9" s="3312"/>
      <c r="H9" s="3294"/>
      <c r="J9" s="2600"/>
    </row>
    <row r="10" spans="2:12" ht="19.5" customHeight="1">
      <c r="B10" s="3264" t="s">
        <v>5771</v>
      </c>
      <c r="C10" s="3271">
        <v>10</v>
      </c>
      <c r="D10" s="3278"/>
      <c r="E10" s="3283" t="s">
        <v>5736</v>
      </c>
      <c r="F10" s="3283"/>
      <c r="G10" s="3313">
        <f>PI()*POWER(C10,2)*C19/360</f>
        <v>17.4532925199433</v>
      </c>
      <c r="H10" s="3295"/>
    </row>
    <row r="11" spans="2:12">
      <c r="B11" s="3265"/>
      <c r="C11" s="3272"/>
      <c r="D11" s="3279"/>
      <c r="E11" s="3284"/>
      <c r="F11" s="3284"/>
      <c r="G11" s="3289"/>
      <c r="H11" s="3296"/>
      <c r="J11" s="2600"/>
      <c r="K11" s="2600"/>
    </row>
    <row r="12" spans="2:12" ht="17.25" thickBot="1">
      <c r="B12" s="3265"/>
      <c r="C12" s="3272"/>
      <c r="D12" s="3279"/>
      <c r="E12" s="3285" t="s">
        <v>5772</v>
      </c>
      <c r="F12" s="3285"/>
      <c r="G12" s="3288">
        <f>PI()*C10*C19/180</f>
        <v>3.49065850398866</v>
      </c>
      <c r="H12" s="3296"/>
    </row>
    <row r="13" spans="2:12">
      <c r="B13" s="3265"/>
      <c r="C13" s="3272"/>
      <c r="D13" s="3279"/>
      <c r="E13" s="3284"/>
      <c r="F13" s="3284"/>
      <c r="G13" s="3289"/>
      <c r="H13" s="3296"/>
      <c r="I13" s="3198" t="s">
        <v>12704</v>
      </c>
      <c r="K13" s="2600"/>
      <c r="L13" s="2600"/>
    </row>
    <row r="14" spans="2:12">
      <c r="B14" s="3265"/>
      <c r="C14" s="3272"/>
      <c r="D14" s="3279"/>
      <c r="E14" s="3285" t="s">
        <v>5773</v>
      </c>
      <c r="F14" s="3285"/>
      <c r="G14" s="3288">
        <f>2*C10*SIN(RADIANS(C19)/2)</f>
        <v>3.4729635533386101</v>
      </c>
      <c r="H14" s="3296"/>
      <c r="I14" s="3199"/>
      <c r="K14" s="2600"/>
      <c r="L14" s="2600"/>
    </row>
    <row r="15" spans="2:12" ht="17.25" thickBot="1">
      <c r="B15" s="3265"/>
      <c r="C15" s="3272"/>
      <c r="D15" s="3279"/>
      <c r="E15" s="3284"/>
      <c r="F15" s="3284"/>
      <c r="G15" s="3289"/>
      <c r="H15" s="3296"/>
      <c r="I15" s="3200"/>
      <c r="K15" s="2600"/>
    </row>
    <row r="16" spans="2:12" ht="16.5" customHeight="1">
      <c r="B16" s="3265"/>
      <c r="C16" s="3272"/>
      <c r="D16" s="3279"/>
      <c r="E16" s="3285" t="s">
        <v>5764</v>
      </c>
      <c r="F16" s="3285"/>
      <c r="G16" s="3288">
        <f>POWER(C10,4)/8*(PI()*C19/180+SIN(RADIANS(C19)))</f>
        <v>863.85749215566796</v>
      </c>
      <c r="H16" s="3296"/>
      <c r="J16" s="2600"/>
    </row>
    <row r="17" spans="2:12" ht="16.5" customHeight="1">
      <c r="B17" s="3265"/>
      <c r="C17" s="3272"/>
      <c r="D17" s="3279"/>
      <c r="E17" s="3284"/>
      <c r="F17" s="3284"/>
      <c r="G17" s="3289"/>
      <c r="H17" s="3296"/>
      <c r="J17" s="2600"/>
      <c r="K17" s="2600"/>
      <c r="L17" s="2600"/>
    </row>
    <row r="18" spans="2:12" ht="16.5" customHeight="1">
      <c r="B18" s="3266"/>
      <c r="C18" s="3273"/>
      <c r="D18" s="3279"/>
      <c r="E18" s="3285" t="s">
        <v>5738</v>
      </c>
      <c r="F18" s="3285"/>
      <c r="G18" s="3288">
        <f>POWER(C10,4)/8*(PI()*C19/180+SIN(RADIANS(C19))-64/9*POWER(SIN(RADIANS(C19)/2),2)*(180/(PI()*C19)))</f>
        <v>96.000091608460195</v>
      </c>
      <c r="H18" s="3296"/>
      <c r="J18" s="2600"/>
      <c r="K18" s="2600"/>
    </row>
    <row r="19" spans="2:12" ht="16.5" customHeight="1">
      <c r="B19" s="3267" t="s">
        <v>5774</v>
      </c>
      <c r="C19" s="3274">
        <v>20</v>
      </c>
      <c r="D19" s="3279"/>
      <c r="E19" s="3284"/>
      <c r="F19" s="3284"/>
      <c r="G19" s="3289"/>
      <c r="H19" s="3296"/>
      <c r="J19" s="2600"/>
    </row>
    <row r="20" spans="2:12" ht="16.5" customHeight="1">
      <c r="B20" s="3265"/>
      <c r="C20" s="3272"/>
      <c r="D20" s="3279"/>
      <c r="E20" s="3285" t="s">
        <v>5739</v>
      </c>
      <c r="F20" s="3285"/>
      <c r="G20" s="3288">
        <f>POWER(C10,4)/8*(PI()*C19/180-SIN(RADIANS(C19)))</f>
        <v>8.8071338414964799</v>
      </c>
      <c r="H20" s="3296"/>
      <c r="J20" s="2600"/>
    </row>
    <row r="21" spans="2:12" ht="16.5" customHeight="1">
      <c r="B21" s="3265"/>
      <c r="C21" s="3272"/>
      <c r="D21" s="3279"/>
      <c r="E21" s="3284"/>
      <c r="F21" s="3284"/>
      <c r="G21" s="3289"/>
      <c r="H21" s="3296"/>
      <c r="J21" s="2600"/>
    </row>
    <row r="22" spans="2:12" ht="16.5" customHeight="1">
      <c r="B22" s="3265"/>
      <c r="C22" s="3272"/>
      <c r="D22" s="3279"/>
      <c r="E22" s="3285" t="s">
        <v>5767</v>
      </c>
      <c r="F22" s="3285"/>
      <c r="G22" s="3288">
        <f>2*C10*G14/(3*G12)</f>
        <v>6.6328718003019898</v>
      </c>
      <c r="H22" s="3296"/>
      <c r="J22" s="2600"/>
      <c r="K22" s="2600"/>
    </row>
    <row r="23" spans="2:12" ht="16.5" customHeight="1">
      <c r="B23" s="3265"/>
      <c r="C23" s="3272"/>
      <c r="D23" s="3279"/>
      <c r="E23" s="3284"/>
      <c r="F23" s="3284"/>
      <c r="G23" s="3289"/>
      <c r="H23" s="3296"/>
      <c r="J23" s="2600"/>
    </row>
    <row r="24" spans="2:12" ht="16.5" customHeight="1">
      <c r="B24" s="3265"/>
      <c r="C24" s="3272"/>
      <c r="D24" s="3279"/>
      <c r="E24" s="3285" t="s">
        <v>5745</v>
      </c>
      <c r="F24" s="3285"/>
      <c r="G24" s="3288">
        <f>C10/2*SQRT(1+(SIN(RADIANS(C19)/C19))*180/PI())-(64/9)*(POWER(SIN(RADIANS(C19)/2),2)/POWER((C19*PI()/180),2))</f>
        <v>5.3111785311252104</v>
      </c>
      <c r="H24" s="3296"/>
      <c r="J24" s="2600"/>
    </row>
    <row r="25" spans="2:12" ht="25.5" customHeight="1">
      <c r="B25" s="3265"/>
      <c r="C25" s="3272"/>
      <c r="D25" s="3279"/>
      <c r="E25" s="3284"/>
      <c r="F25" s="3284"/>
      <c r="G25" s="3289"/>
      <c r="H25" s="3296"/>
      <c r="J25" s="2600"/>
    </row>
    <row r="26" spans="2:12" ht="21.75" customHeight="1">
      <c r="B26" s="3265"/>
      <c r="C26" s="3272"/>
      <c r="D26" s="3279"/>
      <c r="E26" s="3314" t="s">
        <v>5746</v>
      </c>
      <c r="F26" s="3285"/>
      <c r="G26" s="3288">
        <f>C10/2*SQRT(1-(SIN(RADIANS(C19)/C19))*(180/PI()))</f>
        <v>3.5626112861667801E-2</v>
      </c>
      <c r="H26" s="3296"/>
      <c r="J26" s="2600"/>
    </row>
    <row r="27" spans="2:12" ht="20.25" customHeight="1">
      <c r="B27" s="3268"/>
      <c r="C27" s="3275"/>
      <c r="D27" s="3280"/>
      <c r="E27" s="3290"/>
      <c r="F27" s="3290"/>
      <c r="G27" s="3310"/>
      <c r="H27" s="3297"/>
      <c r="J27" s="2600"/>
    </row>
    <row r="29" spans="2:12">
      <c r="F29" s="2600"/>
      <c r="H29" s="2600"/>
    </row>
    <row r="30" spans="2:12">
      <c r="B30" s="2563" t="s">
        <v>1654</v>
      </c>
      <c r="F30" s="2600"/>
      <c r="G30" s="2600"/>
      <c r="H30" s="2600"/>
    </row>
    <row r="31" spans="2:12">
      <c r="F31" s="2600"/>
      <c r="G31" s="2600"/>
    </row>
    <row r="32" spans="2:12">
      <c r="F32" s="2600"/>
    </row>
  </sheetData>
  <mergeCells count="46">
    <mergeCell ref="I13:I15"/>
    <mergeCell ref="H8:H9"/>
    <mergeCell ref="H10:H27"/>
    <mergeCell ref="B3:H4"/>
    <mergeCell ref="B6:D7"/>
    <mergeCell ref="E6:H7"/>
    <mergeCell ref="G18:G19"/>
    <mergeCell ref="G20:G21"/>
    <mergeCell ref="G22:G23"/>
    <mergeCell ref="G24:G25"/>
    <mergeCell ref="G26:G27"/>
    <mergeCell ref="G8:G9"/>
    <mergeCell ref="G10:G11"/>
    <mergeCell ref="G12:G13"/>
    <mergeCell ref="G14:G15"/>
    <mergeCell ref="G16:G17"/>
    <mergeCell ref="E20:E21"/>
    <mergeCell ref="E22:E23"/>
    <mergeCell ref="E24:E25"/>
    <mergeCell ref="E26:E27"/>
    <mergeCell ref="F8:F9"/>
    <mergeCell ref="F10:F11"/>
    <mergeCell ref="F12:F13"/>
    <mergeCell ref="F14:F15"/>
    <mergeCell ref="F16:F17"/>
    <mergeCell ref="F18:F19"/>
    <mergeCell ref="F20:F21"/>
    <mergeCell ref="F22:F23"/>
    <mergeCell ref="F24:F25"/>
    <mergeCell ref="F26:F27"/>
    <mergeCell ref="B1:D1"/>
    <mergeCell ref="B5:H5"/>
    <mergeCell ref="B8:B9"/>
    <mergeCell ref="B10:B18"/>
    <mergeCell ref="B19:B27"/>
    <mergeCell ref="C8:C9"/>
    <mergeCell ref="C10:C18"/>
    <mergeCell ref="C19:C27"/>
    <mergeCell ref="D8:D9"/>
    <mergeCell ref="D10:D27"/>
    <mergeCell ref="E8:E9"/>
    <mergeCell ref="E10:E11"/>
    <mergeCell ref="E12:E13"/>
    <mergeCell ref="E14:E15"/>
    <mergeCell ref="E16:E17"/>
    <mergeCell ref="E18:E19"/>
  </mergeCells>
  <phoneticPr fontId="378" type="noConversion"/>
  <hyperlinks>
    <hyperlink ref="I13:I15" location="总目录!A1" display="返回目录"/>
  </hyperlinks>
  <pageMargins left="0.69930555555555596" right="0.69930555555555596" top="0.75" bottom="0.75" header="0.3" footer="0.3"/>
  <pageSetup paperSize="9" orientation="portrait" horizontalDpi="200" verticalDpi="30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0"/>
  <sheetViews>
    <sheetView workbookViewId="0">
      <selection activeCell="I12" sqref="I12:I14"/>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4.375" style="2563" customWidth="1"/>
    <col min="6" max="6" width="9.625" style="2563" customWidth="1"/>
    <col min="7" max="7" width="12.375" style="2601" customWidth="1"/>
    <col min="8" max="8" width="8.25" style="2563" customWidth="1"/>
    <col min="9" max="9" width="5" style="2563" customWidth="1"/>
    <col min="10" max="16384" width="8.125" style="2563"/>
  </cols>
  <sheetData>
    <row r="1" spans="2:11">
      <c r="B1" s="3260" t="s">
        <v>5761</v>
      </c>
      <c r="C1" s="3260"/>
      <c r="D1" s="3260"/>
      <c r="E1" s="2566"/>
    </row>
    <row r="3" spans="2:11">
      <c r="B3" s="3298" t="s">
        <v>5775</v>
      </c>
      <c r="C3" s="3299"/>
      <c r="D3" s="3299"/>
      <c r="E3" s="3299"/>
      <c r="F3" s="3299"/>
      <c r="G3" s="3299"/>
      <c r="H3" s="3300"/>
    </row>
    <row r="4" spans="2:11">
      <c r="B4" s="3301"/>
      <c r="C4" s="3302"/>
      <c r="D4" s="3302"/>
      <c r="E4" s="3302"/>
      <c r="F4" s="3302"/>
      <c r="G4" s="3302"/>
      <c r="H4" s="3303"/>
    </row>
    <row r="5" spans="2:11" ht="4.5" customHeight="1">
      <c r="B5" s="3261"/>
      <c r="C5" s="3261"/>
      <c r="D5" s="3261"/>
      <c r="E5" s="3261"/>
      <c r="F5" s="3261"/>
      <c r="G5" s="3261"/>
      <c r="H5" s="3261"/>
    </row>
    <row r="6" spans="2:11">
      <c r="B6" s="3304" t="s">
        <v>1626</v>
      </c>
      <c r="C6" s="3305"/>
      <c r="D6" s="3306"/>
      <c r="E6" s="3304" t="s">
        <v>1627</v>
      </c>
      <c r="F6" s="3305"/>
      <c r="G6" s="3305"/>
      <c r="H6" s="3306"/>
    </row>
    <row r="7" spans="2:11">
      <c r="B7" s="3307"/>
      <c r="C7" s="3308"/>
      <c r="D7" s="3309"/>
      <c r="E7" s="3307"/>
      <c r="F7" s="3308"/>
      <c r="G7" s="3308"/>
      <c r="H7" s="3309"/>
    </row>
    <row r="8" spans="2:11">
      <c r="B8" s="3262" t="s">
        <v>1628</v>
      </c>
      <c r="C8" s="3269" t="s">
        <v>1629</v>
      </c>
      <c r="D8" s="3276" t="s">
        <v>1630</v>
      </c>
      <c r="E8" s="3281" t="s">
        <v>1631</v>
      </c>
      <c r="F8" s="3286" t="s">
        <v>1632</v>
      </c>
      <c r="G8" s="3311" t="s">
        <v>1633</v>
      </c>
      <c r="H8" s="3293" t="s">
        <v>1630</v>
      </c>
    </row>
    <row r="9" spans="2:11">
      <c r="B9" s="3263"/>
      <c r="C9" s="3270"/>
      <c r="D9" s="3277"/>
      <c r="E9" s="3282"/>
      <c r="F9" s="3287"/>
      <c r="G9" s="3312"/>
      <c r="H9" s="3294"/>
      <c r="J9" s="2600"/>
    </row>
    <row r="10" spans="2:11" ht="19.5" customHeight="1">
      <c r="B10" s="3264" t="s">
        <v>5776</v>
      </c>
      <c r="C10" s="3271">
        <v>6</v>
      </c>
      <c r="D10" s="3278"/>
      <c r="E10" s="3283" t="s">
        <v>5736</v>
      </c>
      <c r="F10" s="3283"/>
      <c r="G10" s="3313">
        <f>C10*C18/2</f>
        <v>24</v>
      </c>
      <c r="H10" s="3295"/>
    </row>
    <row r="11" spans="2:11" ht="17.25" thickBot="1">
      <c r="B11" s="3265"/>
      <c r="C11" s="3272"/>
      <c r="D11" s="3279"/>
      <c r="E11" s="3284"/>
      <c r="F11" s="3284"/>
      <c r="G11" s="3289"/>
      <c r="H11" s="3296"/>
    </row>
    <row r="12" spans="2:11">
      <c r="B12" s="3265"/>
      <c r="C12" s="3272"/>
      <c r="D12" s="3279"/>
      <c r="E12" s="3285" t="s">
        <v>5764</v>
      </c>
      <c r="F12" s="3285"/>
      <c r="G12" s="3288">
        <f>C10*POWER(C18,3)/4</f>
        <v>768</v>
      </c>
      <c r="H12" s="3296"/>
      <c r="I12" s="3198" t="s">
        <v>12704</v>
      </c>
    </row>
    <row r="13" spans="2:11">
      <c r="B13" s="3265"/>
      <c r="C13" s="3272"/>
      <c r="D13" s="3279"/>
      <c r="E13" s="3284"/>
      <c r="F13" s="3284"/>
      <c r="G13" s="3289"/>
      <c r="H13" s="3296"/>
      <c r="I13" s="3199"/>
    </row>
    <row r="14" spans="2:11" ht="17.25" thickBot="1">
      <c r="B14" s="3265"/>
      <c r="C14" s="3272"/>
      <c r="D14" s="3279"/>
      <c r="E14" s="3285" t="s">
        <v>5738</v>
      </c>
      <c r="F14" s="3285"/>
      <c r="G14" s="3288">
        <f>C10*POWER(C18,3)/36</f>
        <v>85.3333333333333</v>
      </c>
      <c r="H14" s="3296"/>
      <c r="I14" s="3200"/>
      <c r="J14" s="2600"/>
    </row>
    <row r="15" spans="2:11">
      <c r="B15" s="3265"/>
      <c r="C15" s="3272"/>
      <c r="D15" s="3279"/>
      <c r="E15" s="3284"/>
      <c r="F15" s="3284"/>
      <c r="G15" s="3289"/>
      <c r="H15" s="3296"/>
      <c r="I15" s="2600"/>
      <c r="J15" s="2600"/>
      <c r="K15" s="2600"/>
    </row>
    <row r="16" spans="2:11">
      <c r="B16" s="3265"/>
      <c r="C16" s="3272"/>
      <c r="D16" s="3279"/>
      <c r="E16" s="3285" t="s">
        <v>5777</v>
      </c>
      <c r="F16" s="3285"/>
      <c r="G16" s="3288">
        <f>C10*POWER(C18,3)/12</f>
        <v>256</v>
      </c>
      <c r="H16" s="3296"/>
      <c r="I16" s="2600"/>
    </row>
    <row r="17" spans="2:12">
      <c r="B17" s="3266"/>
      <c r="C17" s="3273"/>
      <c r="D17" s="3279"/>
      <c r="E17" s="3284"/>
      <c r="F17" s="3284"/>
      <c r="G17" s="3289"/>
      <c r="H17" s="3296"/>
      <c r="I17" s="2600"/>
      <c r="K17" s="2600"/>
    </row>
    <row r="18" spans="2:12" ht="16.5" customHeight="1">
      <c r="B18" s="3265" t="s">
        <v>5778</v>
      </c>
      <c r="C18" s="3274">
        <v>8</v>
      </c>
      <c r="D18" s="3279"/>
      <c r="E18" s="3285" t="s">
        <v>5751</v>
      </c>
      <c r="F18" s="3285"/>
      <c r="G18" s="3288">
        <f>C10*POWER(C18,2)/24</f>
        <v>16</v>
      </c>
      <c r="H18" s="3296"/>
      <c r="J18" s="2600"/>
    </row>
    <row r="19" spans="2:12" ht="16.5" customHeight="1">
      <c r="B19" s="3265"/>
      <c r="C19" s="3272"/>
      <c r="D19" s="3279"/>
      <c r="E19" s="3284"/>
      <c r="F19" s="3284"/>
      <c r="G19" s="3289"/>
      <c r="H19" s="3296"/>
      <c r="J19" s="2600"/>
    </row>
    <row r="20" spans="2:12" ht="16.5" customHeight="1">
      <c r="B20" s="3265"/>
      <c r="C20" s="3272"/>
      <c r="D20" s="3279"/>
      <c r="E20" s="3285" t="s">
        <v>5779</v>
      </c>
      <c r="F20" s="3285"/>
      <c r="G20" s="3288">
        <f>C10*POWER(C18,2)/12</f>
        <v>32</v>
      </c>
      <c r="H20" s="3296"/>
      <c r="J20" s="2600"/>
    </row>
    <row r="21" spans="2:12" ht="16.5" customHeight="1">
      <c r="B21" s="3265"/>
      <c r="C21" s="3272"/>
      <c r="D21" s="3279"/>
      <c r="E21" s="3284"/>
      <c r="F21" s="3284"/>
      <c r="G21" s="3289"/>
      <c r="H21" s="3296"/>
      <c r="J21" s="2600"/>
    </row>
    <row r="22" spans="2:12" ht="16.5" customHeight="1">
      <c r="B22" s="3265"/>
      <c r="C22" s="3272"/>
      <c r="D22" s="3279"/>
      <c r="E22" s="3285" t="s">
        <v>5743</v>
      </c>
      <c r="F22" s="3285"/>
      <c r="G22" s="3288">
        <f>2*C18/3</f>
        <v>5.3333333333333304</v>
      </c>
      <c r="H22" s="3296"/>
      <c r="J22" s="2600"/>
    </row>
    <row r="23" spans="2:12" ht="16.5" customHeight="1">
      <c r="B23" s="3265"/>
      <c r="C23" s="3272"/>
      <c r="D23" s="3279"/>
      <c r="E23" s="3284"/>
      <c r="F23" s="3284"/>
      <c r="G23" s="3289"/>
      <c r="H23" s="3296"/>
      <c r="J23" s="2600"/>
      <c r="K23" s="2600"/>
    </row>
    <row r="24" spans="2:12" ht="16.5" customHeight="1">
      <c r="B24" s="3265"/>
      <c r="C24" s="3272"/>
      <c r="D24" s="3279"/>
      <c r="E24" s="3285" t="s">
        <v>5745</v>
      </c>
      <c r="F24" s="3285"/>
      <c r="G24" s="3288">
        <f>0.236*C18</f>
        <v>1.8879999999999999</v>
      </c>
      <c r="H24" s="3296"/>
      <c r="J24" s="2600"/>
      <c r="L24" s="2600"/>
    </row>
    <row r="25" spans="2:12" ht="16.5" customHeight="1">
      <c r="B25" s="3268"/>
      <c r="C25" s="3275"/>
      <c r="D25" s="3280"/>
      <c r="E25" s="3290"/>
      <c r="F25" s="3290"/>
      <c r="G25" s="3310"/>
      <c r="H25" s="3297"/>
      <c r="J25" s="2600"/>
    </row>
    <row r="27" spans="2:12">
      <c r="F27" s="2600"/>
      <c r="H27" s="2600"/>
    </row>
    <row r="28" spans="2:12">
      <c r="B28" s="2563" t="s">
        <v>1654</v>
      </c>
      <c r="F28" s="2600"/>
    </row>
    <row r="30" spans="2:12">
      <c r="F30" s="2600"/>
    </row>
  </sheetData>
  <mergeCells count="43">
    <mergeCell ref="B3:H4"/>
    <mergeCell ref="B6:D7"/>
    <mergeCell ref="E6:H7"/>
    <mergeCell ref="I12:I14"/>
    <mergeCell ref="G18:G19"/>
    <mergeCell ref="G20:G21"/>
    <mergeCell ref="G22:G23"/>
    <mergeCell ref="G24:G25"/>
    <mergeCell ref="H8:H9"/>
    <mergeCell ref="H10:H25"/>
    <mergeCell ref="G8:G9"/>
    <mergeCell ref="G10:G11"/>
    <mergeCell ref="G12:G13"/>
    <mergeCell ref="G14:G15"/>
    <mergeCell ref="G16:G17"/>
    <mergeCell ref="E20:E21"/>
    <mergeCell ref="E22:E23"/>
    <mergeCell ref="E24:E25"/>
    <mergeCell ref="F8:F9"/>
    <mergeCell ref="F10:F11"/>
    <mergeCell ref="F12:F13"/>
    <mergeCell ref="F14:F15"/>
    <mergeCell ref="F16:F17"/>
    <mergeCell ref="F18:F19"/>
    <mergeCell ref="F20:F21"/>
    <mergeCell ref="F22:F23"/>
    <mergeCell ref="F24:F25"/>
    <mergeCell ref="B1:D1"/>
    <mergeCell ref="B5:H5"/>
    <mergeCell ref="B8:B9"/>
    <mergeCell ref="B10:B17"/>
    <mergeCell ref="B18:B25"/>
    <mergeCell ref="C8:C9"/>
    <mergeCell ref="C10:C17"/>
    <mergeCell ref="C18:C25"/>
    <mergeCell ref="D8:D9"/>
    <mergeCell ref="D10:D25"/>
    <mergeCell ref="E8:E9"/>
    <mergeCell ref="E10:E11"/>
    <mergeCell ref="E12:E13"/>
    <mergeCell ref="E14:E15"/>
    <mergeCell ref="E16:E17"/>
    <mergeCell ref="E18:E19"/>
  </mergeCells>
  <phoneticPr fontId="378" type="noConversion"/>
  <hyperlinks>
    <hyperlink ref="I12:I14" location="总目录!A1" display="返回目录"/>
  </hyperlinks>
  <pageMargins left="0.69930555555555596" right="0.69930555555555596" top="0.75" bottom="0.75" header="0.3" footer="0.3"/>
  <pageSetup paperSize="9" orientation="portrait" horizontalDpi="200" verticalDpi="30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8"/>
  <sheetViews>
    <sheetView workbookViewId="0">
      <selection activeCell="I13" sqref="I13:I15"/>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4.375" style="2563" customWidth="1"/>
    <col min="6" max="6" width="12.25" style="2563" customWidth="1"/>
    <col min="7" max="7" width="15.375" style="2601" customWidth="1"/>
    <col min="8" max="8" width="8.25" style="2563" customWidth="1"/>
    <col min="9" max="16384" width="8.125" style="2563"/>
  </cols>
  <sheetData>
    <row r="1" spans="2:11">
      <c r="B1" s="3260" t="s">
        <v>5761</v>
      </c>
      <c r="C1" s="3260"/>
      <c r="D1" s="3260"/>
      <c r="E1" s="2566"/>
    </row>
    <row r="3" spans="2:11">
      <c r="B3" s="3298" t="s">
        <v>5780</v>
      </c>
      <c r="C3" s="3299"/>
      <c r="D3" s="3299"/>
      <c r="E3" s="3299"/>
      <c r="F3" s="3299"/>
      <c r="G3" s="3299"/>
      <c r="H3" s="3300"/>
    </row>
    <row r="4" spans="2:11">
      <c r="B4" s="3301"/>
      <c r="C4" s="3302"/>
      <c r="D4" s="3302"/>
      <c r="E4" s="3302"/>
      <c r="F4" s="3302"/>
      <c r="G4" s="3302"/>
      <c r="H4" s="3303"/>
    </row>
    <row r="5" spans="2:11" ht="4.5" customHeight="1">
      <c r="B5" s="3261"/>
      <c r="C5" s="3261"/>
      <c r="D5" s="3261"/>
      <c r="E5" s="3261"/>
      <c r="F5" s="3261"/>
      <c r="G5" s="3261"/>
      <c r="H5" s="3261"/>
    </row>
    <row r="6" spans="2:11">
      <c r="B6" s="3304" t="s">
        <v>1626</v>
      </c>
      <c r="C6" s="3305"/>
      <c r="D6" s="3306"/>
      <c r="E6" s="3304" t="s">
        <v>1627</v>
      </c>
      <c r="F6" s="3305"/>
      <c r="G6" s="3305"/>
      <c r="H6" s="3306"/>
    </row>
    <row r="7" spans="2:11">
      <c r="B7" s="3307"/>
      <c r="C7" s="3308"/>
      <c r="D7" s="3309"/>
      <c r="E7" s="3307"/>
      <c r="F7" s="3308"/>
      <c r="G7" s="3308"/>
      <c r="H7" s="3309"/>
    </row>
    <row r="8" spans="2:11">
      <c r="B8" s="3262" t="s">
        <v>1628</v>
      </c>
      <c r="C8" s="3269" t="s">
        <v>1629</v>
      </c>
      <c r="D8" s="3276" t="s">
        <v>1630</v>
      </c>
      <c r="E8" s="3281" t="s">
        <v>1631</v>
      </c>
      <c r="F8" s="3286" t="s">
        <v>1632</v>
      </c>
      <c r="G8" s="3311" t="s">
        <v>1633</v>
      </c>
      <c r="H8" s="3293" t="s">
        <v>1630</v>
      </c>
    </row>
    <row r="9" spans="2:11">
      <c r="B9" s="3263"/>
      <c r="C9" s="3270"/>
      <c r="D9" s="3277"/>
      <c r="E9" s="3282"/>
      <c r="F9" s="3287"/>
      <c r="G9" s="3312"/>
      <c r="H9" s="3294"/>
      <c r="J9" s="2600"/>
    </row>
    <row r="10" spans="2:11" ht="19.5" customHeight="1">
      <c r="B10" s="3264" t="s">
        <v>5781</v>
      </c>
      <c r="C10" s="3271">
        <v>10</v>
      </c>
      <c r="D10" s="3278"/>
      <c r="E10" s="3283" t="s">
        <v>5736</v>
      </c>
      <c r="F10" s="3283"/>
      <c r="G10" s="3313">
        <f>2.598*POWER(C16,2)</f>
        <v>127.30200000000001</v>
      </c>
      <c r="H10" s="3295"/>
    </row>
    <row r="11" spans="2:11">
      <c r="B11" s="3265"/>
      <c r="C11" s="3272"/>
      <c r="D11" s="3279"/>
      <c r="E11" s="3284"/>
      <c r="F11" s="3284"/>
      <c r="G11" s="3289"/>
      <c r="H11" s="3296"/>
      <c r="K11" s="2600"/>
    </row>
    <row r="12" spans="2:11" ht="17.25" thickBot="1">
      <c r="B12" s="3265"/>
      <c r="C12" s="3272"/>
      <c r="D12" s="3279"/>
      <c r="E12" s="3285" t="s">
        <v>5757</v>
      </c>
      <c r="F12" s="3285"/>
      <c r="G12" s="3288">
        <f>0.5413*POWER(C10,4)</f>
        <v>5413</v>
      </c>
      <c r="H12" s="3296"/>
      <c r="J12" s="2600"/>
    </row>
    <row r="13" spans="2:11">
      <c r="B13" s="3265"/>
      <c r="C13" s="3272"/>
      <c r="D13" s="3279"/>
      <c r="E13" s="3284"/>
      <c r="F13" s="3284"/>
      <c r="G13" s="3289"/>
      <c r="H13" s="3296"/>
      <c r="I13" s="3198" t="s">
        <v>12704</v>
      </c>
    </row>
    <row r="14" spans="2:11" ht="16.5" customHeight="1">
      <c r="B14" s="3265"/>
      <c r="C14" s="3272"/>
      <c r="D14" s="3279"/>
      <c r="E14" s="3285" t="s">
        <v>5740</v>
      </c>
      <c r="F14" s="3285"/>
      <c r="G14" s="3288">
        <f>0.625*POWER(C10,3)</f>
        <v>625</v>
      </c>
      <c r="H14" s="3296"/>
      <c r="I14" s="3199"/>
      <c r="J14" s="2600"/>
    </row>
    <row r="15" spans="2:11" ht="16.5" customHeight="1" thickBot="1">
      <c r="B15" s="3266"/>
      <c r="C15" s="3273"/>
      <c r="D15" s="3279"/>
      <c r="E15" s="3284"/>
      <c r="F15" s="3284"/>
      <c r="G15" s="3289"/>
      <c r="H15" s="3296"/>
      <c r="I15" s="3200"/>
      <c r="J15" s="2600"/>
      <c r="K15" s="2600"/>
    </row>
    <row r="16" spans="2:11" ht="16.5" customHeight="1">
      <c r="B16" s="3267" t="s">
        <v>5782</v>
      </c>
      <c r="C16" s="3272">
        <v>7</v>
      </c>
      <c r="D16" s="3279"/>
      <c r="E16" s="3285" t="s">
        <v>5741</v>
      </c>
      <c r="F16" s="3285"/>
      <c r="G16" s="3288">
        <f>0.5413*POWER(C10,3)</f>
        <v>541.29999999999995</v>
      </c>
      <c r="H16" s="3296"/>
      <c r="J16" s="2600"/>
    </row>
    <row r="17" spans="2:10" ht="16.5" customHeight="1">
      <c r="B17" s="3265"/>
      <c r="C17" s="3272"/>
      <c r="D17" s="3279"/>
      <c r="E17" s="3284"/>
      <c r="F17" s="3284"/>
      <c r="G17" s="3289"/>
      <c r="H17" s="3296"/>
      <c r="J17" s="2600"/>
    </row>
    <row r="18" spans="2:10" ht="16.5" customHeight="1">
      <c r="B18" s="3265"/>
      <c r="C18" s="3272"/>
      <c r="D18" s="3279"/>
      <c r="E18" s="3285" t="s">
        <v>5743</v>
      </c>
      <c r="F18" s="3285"/>
      <c r="G18" s="3288">
        <f>0.866*C10</f>
        <v>8.66</v>
      </c>
      <c r="H18" s="3296"/>
      <c r="J18" s="2600"/>
    </row>
    <row r="19" spans="2:10" ht="16.5" customHeight="1">
      <c r="B19" s="3265"/>
      <c r="C19" s="3272"/>
      <c r="D19" s="3279"/>
      <c r="E19" s="3284"/>
      <c r="F19" s="3284"/>
      <c r="G19" s="3289"/>
      <c r="H19" s="3296"/>
      <c r="J19" s="2600"/>
    </row>
    <row r="20" spans="2:10" ht="16.5" customHeight="1">
      <c r="B20" s="3265"/>
      <c r="C20" s="3272"/>
      <c r="D20" s="3279"/>
      <c r="E20" s="3285" t="s">
        <v>5744</v>
      </c>
      <c r="F20" s="3285"/>
      <c r="G20" s="3288">
        <f>C10</f>
        <v>10</v>
      </c>
      <c r="H20" s="3296"/>
      <c r="J20" s="2600"/>
    </row>
    <row r="21" spans="2:10" ht="16.5" customHeight="1">
      <c r="B21" s="3265"/>
      <c r="C21" s="3272"/>
      <c r="D21" s="3279"/>
      <c r="E21" s="3284"/>
      <c r="F21" s="3284"/>
      <c r="G21" s="3289"/>
      <c r="H21" s="3296"/>
      <c r="J21" s="2600"/>
    </row>
    <row r="22" spans="2:10" ht="16.5" customHeight="1">
      <c r="B22" s="3265"/>
      <c r="C22" s="3272"/>
      <c r="D22" s="3279"/>
      <c r="E22" s="3285" t="s">
        <v>5745</v>
      </c>
      <c r="F22" s="3285"/>
      <c r="G22" s="3288">
        <f>0.4566*C10</f>
        <v>4.5659999999999998</v>
      </c>
      <c r="H22" s="3296"/>
      <c r="J22" s="2600"/>
    </row>
    <row r="23" spans="2:10" ht="16.5" customHeight="1">
      <c r="B23" s="3268"/>
      <c r="C23" s="3275"/>
      <c r="D23" s="3280"/>
      <c r="E23" s="3290"/>
      <c r="F23" s="3290"/>
      <c r="G23" s="3310"/>
      <c r="H23" s="3297"/>
      <c r="J23" s="2600"/>
    </row>
    <row r="25" spans="2:10">
      <c r="F25" s="2600"/>
      <c r="G25" s="2600"/>
      <c r="H25" s="2600"/>
    </row>
    <row r="26" spans="2:10">
      <c r="B26" s="2563" t="s">
        <v>1654</v>
      </c>
      <c r="F26" s="2600"/>
    </row>
    <row r="28" spans="2:10">
      <c r="F28" s="2600"/>
    </row>
  </sheetData>
  <mergeCells count="40">
    <mergeCell ref="B3:H4"/>
    <mergeCell ref="B6:D7"/>
    <mergeCell ref="E6:H7"/>
    <mergeCell ref="I13:I15"/>
    <mergeCell ref="G18:G19"/>
    <mergeCell ref="G20:G21"/>
    <mergeCell ref="G22:G23"/>
    <mergeCell ref="H8:H9"/>
    <mergeCell ref="H10:H23"/>
    <mergeCell ref="G8:G9"/>
    <mergeCell ref="G10:G11"/>
    <mergeCell ref="G12:G13"/>
    <mergeCell ref="G14:G15"/>
    <mergeCell ref="G16:G17"/>
    <mergeCell ref="E20:E21"/>
    <mergeCell ref="E22:E23"/>
    <mergeCell ref="F8:F9"/>
    <mergeCell ref="F10:F11"/>
    <mergeCell ref="F12:F13"/>
    <mergeCell ref="F14:F15"/>
    <mergeCell ref="F16:F17"/>
    <mergeCell ref="F18:F19"/>
    <mergeCell ref="F20:F21"/>
    <mergeCell ref="F22:F23"/>
    <mergeCell ref="B1:D1"/>
    <mergeCell ref="B5:H5"/>
    <mergeCell ref="B8:B9"/>
    <mergeCell ref="B10:B15"/>
    <mergeCell ref="B16:B23"/>
    <mergeCell ref="C8:C9"/>
    <mergeCell ref="C10:C15"/>
    <mergeCell ref="C16:C23"/>
    <mergeCell ref="D8:D9"/>
    <mergeCell ref="D10:D23"/>
    <mergeCell ref="E8:E9"/>
    <mergeCell ref="E10:E11"/>
    <mergeCell ref="E12:E13"/>
    <mergeCell ref="E14:E15"/>
    <mergeCell ref="E16:E17"/>
    <mergeCell ref="E18:E19"/>
  </mergeCells>
  <phoneticPr fontId="378" type="noConversion"/>
  <hyperlinks>
    <hyperlink ref="I13:I15" location="总目录!A1" display="返回目录"/>
  </hyperlinks>
  <pageMargins left="0.69930555555555596" right="0.69930555555555596" top="0.75" bottom="0.75" header="0.3" footer="0.3"/>
  <pageSetup paperSize="9" orientation="portrait" horizontalDpi="2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8"/>
  <sheetViews>
    <sheetView workbookViewId="0">
      <selection activeCell="I13" sqref="I13:I15"/>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4.375" style="2563" customWidth="1"/>
    <col min="6" max="6" width="14.75" style="2563" customWidth="1"/>
    <col min="7" max="7" width="11.75" style="2601" customWidth="1"/>
    <col min="8" max="8" width="8.25" style="2563" customWidth="1"/>
    <col min="9" max="16384" width="8.125" style="2563"/>
  </cols>
  <sheetData>
    <row r="1" spans="2:11">
      <c r="B1" s="3260" t="s">
        <v>5747</v>
      </c>
      <c r="C1" s="3260"/>
      <c r="D1" s="3260"/>
      <c r="E1" s="2566"/>
    </row>
    <row r="3" spans="2:11">
      <c r="B3" s="3298" t="s">
        <v>5783</v>
      </c>
      <c r="C3" s="3299"/>
      <c r="D3" s="3299"/>
      <c r="E3" s="3299"/>
      <c r="F3" s="3299"/>
      <c r="G3" s="3299"/>
      <c r="H3" s="3300"/>
    </row>
    <row r="4" spans="2:11">
      <c r="B4" s="3301"/>
      <c r="C4" s="3302"/>
      <c r="D4" s="3302"/>
      <c r="E4" s="3302"/>
      <c r="F4" s="3302"/>
      <c r="G4" s="3302"/>
      <c r="H4" s="3303"/>
    </row>
    <row r="5" spans="2:11" ht="4.5" customHeight="1">
      <c r="B5" s="3261"/>
      <c r="C5" s="3261"/>
      <c r="D5" s="3261"/>
      <c r="E5" s="3261"/>
      <c r="F5" s="3261"/>
      <c r="G5" s="3261"/>
      <c r="H5" s="3261"/>
    </row>
    <row r="6" spans="2:11">
      <c r="B6" s="3304" t="s">
        <v>1626</v>
      </c>
      <c r="C6" s="3305"/>
      <c r="D6" s="3306"/>
      <c r="E6" s="3304" t="s">
        <v>1627</v>
      </c>
      <c r="F6" s="3305"/>
      <c r="G6" s="3305"/>
      <c r="H6" s="3306"/>
    </row>
    <row r="7" spans="2:11">
      <c r="B7" s="3307"/>
      <c r="C7" s="3308"/>
      <c r="D7" s="3309"/>
      <c r="E7" s="3307"/>
      <c r="F7" s="3308"/>
      <c r="G7" s="3308"/>
      <c r="H7" s="3309"/>
      <c r="J7" s="2600"/>
    </row>
    <row r="8" spans="2:11">
      <c r="B8" s="3262" t="s">
        <v>1628</v>
      </c>
      <c r="C8" s="3269" t="s">
        <v>1629</v>
      </c>
      <c r="D8" s="3276" t="s">
        <v>1630</v>
      </c>
      <c r="E8" s="3281" t="s">
        <v>1631</v>
      </c>
      <c r="F8" s="3286" t="s">
        <v>1632</v>
      </c>
      <c r="G8" s="3311" t="s">
        <v>1633</v>
      </c>
      <c r="H8" s="3293" t="s">
        <v>1630</v>
      </c>
    </row>
    <row r="9" spans="2:11">
      <c r="B9" s="3263"/>
      <c r="C9" s="3270"/>
      <c r="D9" s="3277"/>
      <c r="E9" s="3282"/>
      <c r="F9" s="3287"/>
      <c r="G9" s="3312"/>
      <c r="H9" s="3294"/>
      <c r="J9" s="2600"/>
    </row>
    <row r="10" spans="2:11" ht="19.5" customHeight="1">
      <c r="B10" s="3264" t="s">
        <v>5784</v>
      </c>
      <c r="C10" s="3271">
        <v>8</v>
      </c>
      <c r="D10" s="3278"/>
      <c r="E10" s="3283" t="s">
        <v>5736</v>
      </c>
      <c r="F10" s="3283"/>
      <c r="G10" s="3313">
        <f>POWER(C10,2)-POWER(C17,2)</f>
        <v>39</v>
      </c>
      <c r="H10" s="3295"/>
    </row>
    <row r="11" spans="2:11">
      <c r="B11" s="3265"/>
      <c r="C11" s="3272"/>
      <c r="D11" s="3279"/>
      <c r="E11" s="3284"/>
      <c r="F11" s="3284"/>
      <c r="G11" s="3289"/>
      <c r="H11" s="3296"/>
      <c r="J11" s="2600"/>
    </row>
    <row r="12" spans="2:11" ht="17.25" thickBot="1">
      <c r="B12" s="3265"/>
      <c r="C12" s="3272"/>
      <c r="D12" s="3279"/>
      <c r="E12" s="3285" t="s">
        <v>5785</v>
      </c>
      <c r="F12" s="3285"/>
      <c r="G12" s="3288">
        <f>(POWER(C10,4)-POWER(C17,4))/12</f>
        <v>289.25</v>
      </c>
      <c r="H12" s="3296"/>
    </row>
    <row r="13" spans="2:11">
      <c r="B13" s="3265"/>
      <c r="C13" s="3272"/>
      <c r="D13" s="3279"/>
      <c r="E13" s="3284"/>
      <c r="F13" s="3284"/>
      <c r="G13" s="3289"/>
      <c r="H13" s="3296"/>
      <c r="I13" s="3198" t="s">
        <v>12704</v>
      </c>
    </row>
    <row r="14" spans="2:11" ht="16.5" customHeight="1">
      <c r="B14" s="3265"/>
      <c r="C14" s="3272"/>
      <c r="D14" s="3279"/>
      <c r="E14" s="3285" t="s">
        <v>5740</v>
      </c>
      <c r="F14" s="3285"/>
      <c r="G14" s="3288">
        <f>(POWER(C10,4)-POWER(C17,4))/(6*C10)</f>
        <v>72.3125</v>
      </c>
      <c r="H14" s="3296"/>
      <c r="I14" s="3199"/>
      <c r="J14" s="2600"/>
      <c r="K14" s="2600"/>
    </row>
    <row r="15" spans="2:11" ht="16.5" customHeight="1" thickBot="1">
      <c r="B15" s="3265"/>
      <c r="C15" s="3272"/>
      <c r="D15" s="3279"/>
      <c r="E15" s="3284"/>
      <c r="F15" s="3284"/>
      <c r="G15" s="3289"/>
      <c r="H15" s="3296"/>
      <c r="I15" s="3200"/>
      <c r="J15" s="2600"/>
    </row>
    <row r="16" spans="2:11" ht="16.5" customHeight="1">
      <c r="B16" s="3266"/>
      <c r="C16" s="3273"/>
      <c r="D16" s="3279"/>
      <c r="E16" s="3285" t="s">
        <v>5741</v>
      </c>
      <c r="F16" s="3285"/>
      <c r="G16" s="3288">
        <f>0.1179*((POWER(C10,4)-POWER(C17,4))/C10)</f>
        <v>51.153862500000002</v>
      </c>
      <c r="H16" s="3296"/>
      <c r="J16" s="2600"/>
      <c r="K16" s="2600"/>
    </row>
    <row r="17" spans="2:10" ht="16.5" customHeight="1">
      <c r="B17" s="3267" t="s">
        <v>5786</v>
      </c>
      <c r="C17" s="3274">
        <v>5</v>
      </c>
      <c r="D17" s="3279"/>
      <c r="E17" s="3284"/>
      <c r="F17" s="3284"/>
      <c r="G17" s="3289"/>
      <c r="H17" s="3296"/>
      <c r="J17" s="2600"/>
    </row>
    <row r="18" spans="2:10" ht="16.5" customHeight="1">
      <c r="B18" s="3265"/>
      <c r="C18" s="3272"/>
      <c r="D18" s="3279"/>
      <c r="E18" s="3285" t="s">
        <v>5743</v>
      </c>
      <c r="F18" s="3285"/>
      <c r="G18" s="3288">
        <f>C10/2</f>
        <v>4</v>
      </c>
      <c r="H18" s="3296"/>
      <c r="J18" s="2600"/>
    </row>
    <row r="19" spans="2:10" ht="16.5" customHeight="1">
      <c r="B19" s="3265"/>
      <c r="C19" s="3272"/>
      <c r="D19" s="3279"/>
      <c r="E19" s="3284"/>
      <c r="F19" s="3284"/>
      <c r="G19" s="3289"/>
      <c r="H19" s="3296"/>
      <c r="J19" s="2600"/>
    </row>
    <row r="20" spans="2:10" ht="16.5" customHeight="1">
      <c r="B20" s="3265"/>
      <c r="C20" s="3272"/>
      <c r="D20" s="3279"/>
      <c r="E20" s="3285" t="s">
        <v>5752</v>
      </c>
      <c r="F20" s="3285"/>
      <c r="G20" s="3288">
        <f>0.7071*C10</f>
        <v>5.6567999999999996</v>
      </c>
      <c r="H20" s="3296"/>
      <c r="I20" s="2600"/>
      <c r="J20" s="2600"/>
    </row>
    <row r="21" spans="2:10" ht="16.5" customHeight="1">
      <c r="B21" s="3265"/>
      <c r="C21" s="3272"/>
      <c r="D21" s="3279"/>
      <c r="E21" s="3284"/>
      <c r="F21" s="3284"/>
      <c r="G21" s="3289"/>
      <c r="H21" s="3296"/>
      <c r="J21" s="2600"/>
    </row>
    <row r="22" spans="2:10">
      <c r="B22" s="3265"/>
      <c r="C22" s="3272"/>
      <c r="D22" s="3279"/>
      <c r="E22" s="3285" t="s">
        <v>5760</v>
      </c>
      <c r="F22" s="3285"/>
      <c r="G22" s="3288">
        <f>0.289*SQRT(POWER(C10,2)+POWER(C17,2))</f>
        <v>2.7264205471643601</v>
      </c>
      <c r="H22" s="3296"/>
      <c r="J22" s="2600"/>
    </row>
    <row r="23" spans="2:10">
      <c r="B23" s="3268"/>
      <c r="C23" s="3275"/>
      <c r="D23" s="3280"/>
      <c r="E23" s="3290"/>
      <c r="F23" s="3290"/>
      <c r="G23" s="3310"/>
      <c r="H23" s="3297"/>
    </row>
    <row r="25" spans="2:10">
      <c r="F25" s="2600"/>
      <c r="H25" s="2600"/>
    </row>
    <row r="26" spans="2:10">
      <c r="B26" s="2563" t="s">
        <v>1654</v>
      </c>
      <c r="F26" s="2600"/>
    </row>
    <row r="28" spans="2:10">
      <c r="F28" s="2600"/>
    </row>
  </sheetData>
  <mergeCells count="40">
    <mergeCell ref="B3:H4"/>
    <mergeCell ref="B6:D7"/>
    <mergeCell ref="E6:H7"/>
    <mergeCell ref="I13:I15"/>
    <mergeCell ref="G18:G19"/>
    <mergeCell ref="G20:G21"/>
    <mergeCell ref="G22:G23"/>
    <mergeCell ref="H8:H9"/>
    <mergeCell ref="H10:H23"/>
    <mergeCell ref="G8:G9"/>
    <mergeCell ref="G10:G11"/>
    <mergeCell ref="G12:G13"/>
    <mergeCell ref="G14:G15"/>
    <mergeCell ref="G16:G17"/>
    <mergeCell ref="E20:E21"/>
    <mergeCell ref="E22:E23"/>
    <mergeCell ref="F8:F9"/>
    <mergeCell ref="F10:F11"/>
    <mergeCell ref="F12:F13"/>
    <mergeCell ref="F14:F15"/>
    <mergeCell ref="F16:F17"/>
    <mergeCell ref="F18:F19"/>
    <mergeCell ref="F20:F21"/>
    <mergeCell ref="F22:F23"/>
    <mergeCell ref="B1:D1"/>
    <mergeCell ref="B5:H5"/>
    <mergeCell ref="B8:B9"/>
    <mergeCell ref="B10:B16"/>
    <mergeCell ref="B17:B23"/>
    <mergeCell ref="C8:C9"/>
    <mergeCell ref="C10:C16"/>
    <mergeCell ref="C17:C23"/>
    <mergeCell ref="D8:D9"/>
    <mergeCell ref="D10:D23"/>
    <mergeCell ref="E8:E9"/>
    <mergeCell ref="E10:E11"/>
    <mergeCell ref="E12:E13"/>
    <mergeCell ref="E14:E15"/>
    <mergeCell ref="E16:E17"/>
    <mergeCell ref="E18:E19"/>
  </mergeCells>
  <phoneticPr fontId="378" type="noConversion"/>
  <hyperlinks>
    <hyperlink ref="I13:I15" location="总目录!A1" display="返回目录"/>
  </hyperlinks>
  <pageMargins left="0.69930555555555596" right="0.69930555555555596" top="0.75" bottom="0.75" header="0.3" footer="0.3"/>
  <pageSetup paperSize="9" orientation="portrait" horizontalDpi="200" verticalDpi="30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6"/>
  <sheetViews>
    <sheetView workbookViewId="0">
      <selection activeCell="I11" sqref="I11:I13"/>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4.375" style="2563" customWidth="1"/>
    <col min="6" max="6" width="14.625" style="2563" customWidth="1"/>
    <col min="7" max="7" width="10.75" style="2601" customWidth="1"/>
    <col min="8" max="8" width="8.25" style="2563" customWidth="1"/>
    <col min="9" max="16384" width="8.125" style="2563"/>
  </cols>
  <sheetData>
    <row r="1" spans="2:11">
      <c r="B1" s="3260" t="s">
        <v>5754</v>
      </c>
      <c r="C1" s="3260"/>
      <c r="D1" s="3260"/>
      <c r="E1" s="2566"/>
    </row>
    <row r="3" spans="2:11">
      <c r="B3" s="3298" t="s">
        <v>5787</v>
      </c>
      <c r="C3" s="3299"/>
      <c r="D3" s="3299"/>
      <c r="E3" s="3299"/>
      <c r="F3" s="3299"/>
      <c r="G3" s="3299"/>
      <c r="H3" s="3300"/>
    </row>
    <row r="4" spans="2:11">
      <c r="B4" s="3301"/>
      <c r="C4" s="3302"/>
      <c r="D4" s="3302"/>
      <c r="E4" s="3302"/>
      <c r="F4" s="3302"/>
      <c r="G4" s="3302"/>
      <c r="H4" s="3303"/>
    </row>
    <row r="5" spans="2:11" ht="4.5" customHeight="1">
      <c r="B5" s="3261"/>
      <c r="C5" s="3261"/>
      <c r="D5" s="3261"/>
      <c r="E5" s="3261"/>
      <c r="F5" s="3261"/>
      <c r="G5" s="3261"/>
      <c r="H5" s="3261"/>
    </row>
    <row r="6" spans="2:11">
      <c r="B6" s="3304" t="s">
        <v>1626</v>
      </c>
      <c r="C6" s="3305"/>
      <c r="D6" s="3306"/>
      <c r="E6" s="3304" t="s">
        <v>1627</v>
      </c>
      <c r="F6" s="3305"/>
      <c r="G6" s="3305"/>
      <c r="H6" s="3306"/>
    </row>
    <row r="7" spans="2:11">
      <c r="B7" s="3307"/>
      <c r="C7" s="3308"/>
      <c r="D7" s="3309"/>
      <c r="E7" s="3307"/>
      <c r="F7" s="3308"/>
      <c r="G7" s="3308"/>
      <c r="H7" s="3309"/>
    </row>
    <row r="8" spans="2:11">
      <c r="B8" s="3262" t="s">
        <v>1628</v>
      </c>
      <c r="C8" s="3269" t="s">
        <v>1629</v>
      </c>
      <c r="D8" s="3276" t="s">
        <v>1630</v>
      </c>
      <c r="E8" s="3281" t="s">
        <v>1631</v>
      </c>
      <c r="F8" s="3286" t="s">
        <v>1632</v>
      </c>
      <c r="G8" s="3311" t="s">
        <v>1633</v>
      </c>
      <c r="H8" s="3293" t="s">
        <v>1630</v>
      </c>
    </row>
    <row r="9" spans="2:11">
      <c r="B9" s="3263"/>
      <c r="C9" s="3270"/>
      <c r="D9" s="3277"/>
      <c r="E9" s="3282"/>
      <c r="F9" s="3287"/>
      <c r="G9" s="3312"/>
      <c r="H9" s="3294"/>
      <c r="J9" s="2600"/>
    </row>
    <row r="10" spans="2:11" ht="19.5" customHeight="1" thickBot="1">
      <c r="B10" s="3264" t="s">
        <v>5788</v>
      </c>
      <c r="C10" s="3271">
        <v>10</v>
      </c>
      <c r="D10" s="3278"/>
      <c r="E10" s="3283" t="s">
        <v>5736</v>
      </c>
      <c r="F10" s="3283"/>
      <c r="G10" s="3313">
        <f>POWER(C10,2)-(PI()*POWER(C15,2)/4)</f>
        <v>71.725666117691901</v>
      </c>
      <c r="H10" s="3295"/>
    </row>
    <row r="11" spans="2:11">
      <c r="B11" s="3265"/>
      <c r="C11" s="3272"/>
      <c r="D11" s="3279"/>
      <c r="E11" s="3284"/>
      <c r="F11" s="3284"/>
      <c r="G11" s="3289"/>
      <c r="H11" s="3296"/>
      <c r="I11" s="3198" t="s">
        <v>12704</v>
      </c>
    </row>
    <row r="12" spans="2:11">
      <c r="B12" s="3265"/>
      <c r="C12" s="3272"/>
      <c r="D12" s="3279"/>
      <c r="E12" s="3285" t="s">
        <v>5785</v>
      </c>
      <c r="F12" s="3285"/>
      <c r="G12" s="3288">
        <f>1/12*(POWER(C10,4)-(3*PI()*POWER(C15,4)/16))</f>
        <v>769.71608209813996</v>
      </c>
      <c r="H12" s="3296"/>
      <c r="I12" s="3199"/>
    </row>
    <row r="13" spans="2:11" ht="17.25" thickBot="1">
      <c r="B13" s="3265"/>
      <c r="C13" s="3272"/>
      <c r="D13" s="3279"/>
      <c r="E13" s="3284"/>
      <c r="F13" s="3284"/>
      <c r="G13" s="3289"/>
      <c r="H13" s="3296"/>
      <c r="I13" s="3200"/>
      <c r="K13" s="2600"/>
    </row>
    <row r="14" spans="2:11" ht="16.5" customHeight="1">
      <c r="B14" s="3266"/>
      <c r="C14" s="3273"/>
      <c r="D14" s="3279"/>
      <c r="E14" s="3285" t="s">
        <v>5759</v>
      </c>
      <c r="F14" s="3285"/>
      <c r="G14" s="3288">
        <f>1/(6*C10)*(POWER(C10,4)-(3*PI()*POWER(C15,4)/16))</f>
        <v>153.94321641962799</v>
      </c>
      <c r="H14" s="3296"/>
      <c r="J14" s="2600"/>
    </row>
    <row r="15" spans="2:11" ht="16.5" customHeight="1">
      <c r="B15" s="3267" t="s">
        <v>5789</v>
      </c>
      <c r="C15" s="3274">
        <v>6</v>
      </c>
      <c r="D15" s="3279"/>
      <c r="E15" s="3284"/>
      <c r="F15" s="3284"/>
      <c r="G15" s="3289"/>
      <c r="H15" s="3296"/>
      <c r="J15" s="2600"/>
      <c r="K15" s="2600"/>
    </row>
    <row r="16" spans="2:11" ht="16.5" customHeight="1">
      <c r="B16" s="3265"/>
      <c r="C16" s="3272"/>
      <c r="D16" s="3279"/>
      <c r="E16" s="3285" t="s">
        <v>5743</v>
      </c>
      <c r="F16" s="3285"/>
      <c r="G16" s="3288">
        <f>C10/2</f>
        <v>5</v>
      </c>
      <c r="H16" s="3296"/>
      <c r="J16" s="2600"/>
      <c r="K16" s="2600"/>
    </row>
    <row r="17" spans="2:10" ht="16.5" customHeight="1">
      <c r="B17" s="3265"/>
      <c r="C17" s="3272"/>
      <c r="D17" s="3279"/>
      <c r="E17" s="3284"/>
      <c r="F17" s="3284"/>
      <c r="G17" s="3289"/>
      <c r="H17" s="3296"/>
      <c r="J17" s="2600"/>
    </row>
    <row r="18" spans="2:10" ht="16.5" customHeight="1">
      <c r="B18" s="3265"/>
      <c r="C18" s="3272"/>
      <c r="D18" s="3279"/>
      <c r="E18" s="3285" t="s">
        <v>5760</v>
      </c>
      <c r="F18" s="3285"/>
      <c r="G18" s="3288">
        <f>SQRT((16*POWER(C10,4)-3*PI()*POWER(C15,4))/(48*(4*POWER(C10,2)-PI()*POWER(C15,2))))</f>
        <v>3.2758800045979499</v>
      </c>
      <c r="H18" s="3296"/>
      <c r="J18" s="2600"/>
    </row>
    <row r="19" spans="2:10" ht="24" customHeight="1">
      <c r="B19" s="3268"/>
      <c r="C19" s="3275"/>
      <c r="D19" s="3280"/>
      <c r="E19" s="3290"/>
      <c r="F19" s="3290"/>
      <c r="G19" s="3310"/>
      <c r="H19" s="3297"/>
      <c r="J19" s="2600"/>
    </row>
    <row r="21" spans="2:10">
      <c r="F21" s="2600"/>
      <c r="H21" s="2600"/>
    </row>
    <row r="22" spans="2:10">
      <c r="B22" s="2563" t="s">
        <v>1654</v>
      </c>
      <c r="F22" s="2600"/>
    </row>
    <row r="24" spans="2:10">
      <c r="F24" s="2600"/>
    </row>
    <row r="25" spans="2:10">
      <c r="G25" s="2600"/>
    </row>
    <row r="26" spans="2:10">
      <c r="G26" s="2600"/>
    </row>
  </sheetData>
  <mergeCells count="34">
    <mergeCell ref="I11:I13"/>
    <mergeCell ref="H8:H9"/>
    <mergeCell ref="H10:H19"/>
    <mergeCell ref="E16:E17"/>
    <mergeCell ref="E18:E19"/>
    <mergeCell ref="F14:F15"/>
    <mergeCell ref="F16:F17"/>
    <mergeCell ref="F18:F19"/>
    <mergeCell ref="G8:G9"/>
    <mergeCell ref="G10:G11"/>
    <mergeCell ref="G12:G13"/>
    <mergeCell ref="G14:G15"/>
    <mergeCell ref="G16:G17"/>
    <mergeCell ref="G18:G19"/>
    <mergeCell ref="F8:F9"/>
    <mergeCell ref="F10:F11"/>
    <mergeCell ref="B1:D1"/>
    <mergeCell ref="B5:H5"/>
    <mergeCell ref="B8:B9"/>
    <mergeCell ref="B10:B14"/>
    <mergeCell ref="E8:E9"/>
    <mergeCell ref="E10:E11"/>
    <mergeCell ref="B3:H4"/>
    <mergeCell ref="B6:D7"/>
    <mergeCell ref="E6:H7"/>
    <mergeCell ref="F12:F13"/>
    <mergeCell ref="E12:E13"/>
    <mergeCell ref="E14:E15"/>
    <mergeCell ref="B15:B19"/>
    <mergeCell ref="C8:C9"/>
    <mergeCell ref="C10:C14"/>
    <mergeCell ref="C15:C19"/>
    <mergeCell ref="D8:D9"/>
    <mergeCell ref="D10:D19"/>
  </mergeCells>
  <phoneticPr fontId="378" type="noConversion"/>
  <hyperlinks>
    <hyperlink ref="I11:I13" location="总目录!A1" display="返回目录"/>
  </hyperlinks>
  <pageMargins left="0.69930555555555596" right="0.69930555555555596" top="0.75" bottom="0.75" header="0.3" footer="0.3"/>
  <pageSetup paperSize="9" orientation="portrait" horizontalDpi="2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6"/>
  <sheetViews>
    <sheetView workbookViewId="0">
      <selection activeCell="I13" sqref="I13:I15"/>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4.375" style="2563" customWidth="1"/>
    <col min="6" max="6" width="16.5" style="2563" customWidth="1"/>
    <col min="7" max="7" width="13.625" style="2601" customWidth="1"/>
    <col min="8" max="8" width="8.25" style="2563" customWidth="1"/>
    <col min="9" max="16384" width="8.125" style="2563"/>
  </cols>
  <sheetData>
    <row r="1" spans="2:12">
      <c r="B1" s="3260" t="s">
        <v>5754</v>
      </c>
      <c r="C1" s="3260"/>
      <c r="D1" s="3260"/>
      <c r="E1" s="2566"/>
    </row>
    <row r="3" spans="2:12">
      <c r="B3" s="3298" t="s">
        <v>5790</v>
      </c>
      <c r="C3" s="3299"/>
      <c r="D3" s="3299"/>
      <c r="E3" s="3299"/>
      <c r="F3" s="3299"/>
      <c r="G3" s="3299"/>
      <c r="H3" s="3300"/>
    </row>
    <row r="4" spans="2:12">
      <c r="B4" s="3301"/>
      <c r="C4" s="3302"/>
      <c r="D4" s="3302"/>
      <c r="E4" s="3302"/>
      <c r="F4" s="3302"/>
      <c r="G4" s="3302"/>
      <c r="H4" s="3303"/>
    </row>
    <row r="5" spans="2:12" ht="4.5" customHeight="1">
      <c r="B5" s="3261"/>
      <c r="C5" s="3261"/>
      <c r="D5" s="3261"/>
      <c r="E5" s="3261"/>
      <c r="F5" s="3261"/>
      <c r="G5" s="3261"/>
      <c r="H5" s="3261"/>
    </row>
    <row r="6" spans="2:12">
      <c r="B6" s="3304" t="s">
        <v>1626</v>
      </c>
      <c r="C6" s="3305"/>
      <c r="D6" s="3306"/>
      <c r="E6" s="3304" t="s">
        <v>1627</v>
      </c>
      <c r="F6" s="3305"/>
      <c r="G6" s="3305"/>
      <c r="H6" s="3306"/>
    </row>
    <row r="7" spans="2:12">
      <c r="B7" s="3307"/>
      <c r="C7" s="3308"/>
      <c r="D7" s="3309"/>
      <c r="E7" s="3307"/>
      <c r="F7" s="3308"/>
      <c r="G7" s="3308"/>
      <c r="H7" s="3309"/>
    </row>
    <row r="8" spans="2:12">
      <c r="B8" s="3262" t="s">
        <v>1628</v>
      </c>
      <c r="C8" s="3269" t="s">
        <v>1629</v>
      </c>
      <c r="D8" s="3276" t="s">
        <v>1630</v>
      </c>
      <c r="E8" s="3281" t="s">
        <v>1631</v>
      </c>
      <c r="F8" s="3286" t="s">
        <v>1632</v>
      </c>
      <c r="G8" s="3311" t="s">
        <v>1633</v>
      </c>
      <c r="H8" s="3293" t="s">
        <v>1630</v>
      </c>
    </row>
    <row r="9" spans="2:12">
      <c r="B9" s="3263"/>
      <c r="C9" s="3270"/>
      <c r="D9" s="3277"/>
      <c r="E9" s="3282"/>
      <c r="F9" s="3287"/>
      <c r="G9" s="3312"/>
      <c r="H9" s="3294"/>
      <c r="J9" s="2600"/>
    </row>
    <row r="10" spans="2:12" ht="19.5" customHeight="1">
      <c r="B10" s="3264" t="s">
        <v>5791</v>
      </c>
      <c r="C10" s="3271">
        <v>12</v>
      </c>
      <c r="D10" s="3278"/>
      <c r="E10" s="3283" t="s">
        <v>5736</v>
      </c>
      <c r="F10" s="3283"/>
      <c r="G10" s="3313">
        <f>PI()/4*(POWER(C10,2)-POWER(C16,2))</f>
        <v>93.462381444296298</v>
      </c>
      <c r="H10" s="3295"/>
    </row>
    <row r="11" spans="2:12">
      <c r="B11" s="3265"/>
      <c r="C11" s="3272"/>
      <c r="D11" s="3279"/>
      <c r="E11" s="3284"/>
      <c r="F11" s="3284"/>
      <c r="G11" s="3289"/>
      <c r="H11" s="3296"/>
      <c r="K11" s="2600"/>
    </row>
    <row r="12" spans="2:12" ht="17.25" thickBot="1">
      <c r="B12" s="3265"/>
      <c r="C12" s="3272"/>
      <c r="D12" s="3279"/>
      <c r="E12" s="3285" t="s">
        <v>5757</v>
      </c>
      <c r="F12" s="3285"/>
      <c r="G12" s="3288">
        <f>PI()/64*(POWER(C10,4)-POWER(C16,4))</f>
        <v>987.19640400538003</v>
      </c>
      <c r="H12" s="3296"/>
    </row>
    <row r="13" spans="2:12">
      <c r="B13" s="3265"/>
      <c r="C13" s="3272"/>
      <c r="D13" s="3279"/>
      <c r="E13" s="3284"/>
      <c r="F13" s="3284"/>
      <c r="G13" s="3289"/>
      <c r="H13" s="3296"/>
      <c r="I13" s="3198" t="s">
        <v>12704</v>
      </c>
      <c r="K13" s="2600"/>
    </row>
    <row r="14" spans="2:12">
      <c r="B14" s="3265"/>
      <c r="C14" s="3272"/>
      <c r="D14" s="3279"/>
      <c r="E14" s="3285" t="s">
        <v>5758</v>
      </c>
      <c r="F14" s="3285"/>
      <c r="G14" s="3288">
        <f>PI()/32*(POWER(C10,4)-POWER(C16,4))</f>
        <v>1974.3928080107601</v>
      </c>
      <c r="H14" s="3296"/>
      <c r="I14" s="3199"/>
      <c r="L14" s="2600"/>
    </row>
    <row r="15" spans="2:12" ht="17.25" thickBot="1">
      <c r="B15" s="3266"/>
      <c r="C15" s="3273"/>
      <c r="D15" s="3279"/>
      <c r="E15" s="3284"/>
      <c r="F15" s="3284"/>
      <c r="G15" s="3289"/>
      <c r="H15" s="3296"/>
      <c r="I15" s="3200"/>
      <c r="K15" s="2600"/>
    </row>
    <row r="16" spans="2:12" ht="16.5" customHeight="1">
      <c r="B16" s="3267" t="s">
        <v>5792</v>
      </c>
      <c r="C16" s="3274">
        <v>5</v>
      </c>
      <c r="D16" s="3279"/>
      <c r="E16" s="3285" t="s">
        <v>5759</v>
      </c>
      <c r="F16" s="3285"/>
      <c r="G16" s="3288">
        <f>PI()*(POWER(C10,4)-POWER(C16,4))/(32*C10)</f>
        <v>164.53273400089699</v>
      </c>
      <c r="H16" s="3296"/>
      <c r="J16" s="2600"/>
    </row>
    <row r="17" spans="2:12" ht="16.5" customHeight="1">
      <c r="B17" s="3265"/>
      <c r="C17" s="3272"/>
      <c r="D17" s="3279"/>
      <c r="E17" s="3284"/>
      <c r="F17" s="3284"/>
      <c r="G17" s="3289"/>
      <c r="H17" s="3296"/>
      <c r="J17" s="2600"/>
      <c r="K17" s="2600"/>
      <c r="L17" s="2600"/>
    </row>
    <row r="18" spans="2:12" ht="16.5" customHeight="1">
      <c r="B18" s="3265"/>
      <c r="C18" s="3272"/>
      <c r="D18" s="3279"/>
      <c r="E18" s="3285" t="s">
        <v>5743</v>
      </c>
      <c r="F18" s="3285"/>
      <c r="G18" s="3288">
        <f>C10/2</f>
        <v>6</v>
      </c>
      <c r="H18" s="3296"/>
      <c r="J18" s="2600"/>
      <c r="K18" s="2600"/>
    </row>
    <row r="19" spans="2:12" ht="16.5" customHeight="1">
      <c r="B19" s="3265"/>
      <c r="C19" s="3272"/>
      <c r="D19" s="3279"/>
      <c r="E19" s="3284"/>
      <c r="F19" s="3284"/>
      <c r="G19" s="3289"/>
      <c r="H19" s="3296"/>
      <c r="J19" s="2600"/>
    </row>
    <row r="20" spans="2:12" ht="16.5" customHeight="1">
      <c r="B20" s="3265"/>
      <c r="C20" s="3272"/>
      <c r="D20" s="3279"/>
      <c r="E20" s="3285" t="s">
        <v>5760</v>
      </c>
      <c r="F20" s="3285"/>
      <c r="G20" s="3288">
        <f>1/4*SQRT((POWER(C10,2)+POWER(C16,2)))</f>
        <v>3.25</v>
      </c>
      <c r="H20" s="3296"/>
      <c r="J20" s="2600"/>
    </row>
    <row r="21" spans="2:12" ht="16.5" customHeight="1">
      <c r="B21" s="3268"/>
      <c r="C21" s="3275"/>
      <c r="D21" s="3280"/>
      <c r="E21" s="3290"/>
      <c r="F21" s="3290"/>
      <c r="G21" s="3310"/>
      <c r="H21" s="3297"/>
      <c r="J21" s="2600"/>
    </row>
    <row r="23" spans="2:12">
      <c r="F23" s="2600"/>
      <c r="H23" s="2600"/>
    </row>
    <row r="24" spans="2:12">
      <c r="B24" s="2563" t="s">
        <v>1654</v>
      </c>
      <c r="F24" s="2600"/>
      <c r="H24" s="2600"/>
    </row>
    <row r="25" spans="2:12">
      <c r="G25" s="2600"/>
    </row>
    <row r="26" spans="2:12">
      <c r="F26" s="2600"/>
    </row>
  </sheetData>
  <mergeCells count="37">
    <mergeCell ref="I13:I15"/>
    <mergeCell ref="G18:G19"/>
    <mergeCell ref="G20:G21"/>
    <mergeCell ref="H8:H9"/>
    <mergeCell ref="H10:H21"/>
    <mergeCell ref="G12:G13"/>
    <mergeCell ref="G14:G15"/>
    <mergeCell ref="G16:G17"/>
    <mergeCell ref="B3:H4"/>
    <mergeCell ref="B6:D7"/>
    <mergeCell ref="E6:H7"/>
    <mergeCell ref="G8:G9"/>
    <mergeCell ref="G10:G11"/>
    <mergeCell ref="E20:E21"/>
    <mergeCell ref="F8:F9"/>
    <mergeCell ref="F10:F11"/>
    <mergeCell ref="F12:F13"/>
    <mergeCell ref="F14:F15"/>
    <mergeCell ref="F16:F17"/>
    <mergeCell ref="F18:F19"/>
    <mergeCell ref="F20:F21"/>
    <mergeCell ref="B1:D1"/>
    <mergeCell ref="B5:H5"/>
    <mergeCell ref="B8:B9"/>
    <mergeCell ref="B10:B15"/>
    <mergeCell ref="B16:B21"/>
    <mergeCell ref="C8:C9"/>
    <mergeCell ref="C10:C15"/>
    <mergeCell ref="C16:C21"/>
    <mergeCell ref="D8:D9"/>
    <mergeCell ref="D10:D21"/>
    <mergeCell ref="E8:E9"/>
    <mergeCell ref="E10:E11"/>
    <mergeCell ref="E12:E13"/>
    <mergeCell ref="E14:E15"/>
    <mergeCell ref="E16:E17"/>
    <mergeCell ref="E18:E19"/>
  </mergeCells>
  <phoneticPr fontId="378" type="noConversion"/>
  <hyperlinks>
    <hyperlink ref="I13:I15" location="总目录!A1" display="返回目录"/>
  </hyperlinks>
  <pageMargins left="0.69930555555555596" right="0.69930555555555596" top="0.75" bottom="0.75" header="0.3" footer="0.3"/>
  <pageSetup paperSize="9" orientation="portrait" horizontalDpi="200" verticalDpi="30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32"/>
  <sheetViews>
    <sheetView workbookViewId="0">
      <selection activeCell="I15" sqref="I15:I17"/>
    </sheetView>
  </sheetViews>
  <sheetFormatPr defaultColWidth="8.125" defaultRowHeight="16.5"/>
  <cols>
    <col min="1" max="1" width="0.25" style="2563" customWidth="1"/>
    <col min="2" max="2" width="19.5" style="2563" customWidth="1"/>
    <col min="3" max="3" width="9.375" style="2563" customWidth="1"/>
    <col min="4" max="4" width="23.625" style="2563" customWidth="1"/>
    <col min="5" max="5" width="24.375" style="2563" customWidth="1"/>
    <col min="6" max="6" width="14.375" style="2563" customWidth="1"/>
    <col min="7" max="7" width="11.75" style="2601" customWidth="1"/>
    <col min="8" max="8" width="8.25" style="2563" customWidth="1"/>
    <col min="9" max="16384" width="8.125" style="2563"/>
  </cols>
  <sheetData>
    <row r="1" spans="2:11">
      <c r="B1" s="3260" t="s">
        <v>5733</v>
      </c>
      <c r="C1" s="3260"/>
      <c r="D1" s="3260"/>
      <c r="E1" s="2566"/>
    </row>
    <row r="3" spans="2:11">
      <c r="B3" s="3298" t="s">
        <v>5793</v>
      </c>
      <c r="C3" s="3299"/>
      <c r="D3" s="3299"/>
      <c r="E3" s="3299"/>
      <c r="F3" s="3299"/>
      <c r="G3" s="3299"/>
      <c r="H3" s="3300"/>
    </row>
    <row r="4" spans="2:11">
      <c r="B4" s="3301"/>
      <c r="C4" s="3302"/>
      <c r="D4" s="3302"/>
      <c r="E4" s="3302"/>
      <c r="F4" s="3302"/>
      <c r="G4" s="3302"/>
      <c r="H4" s="3303"/>
    </row>
    <row r="5" spans="2:11" ht="4.5" customHeight="1">
      <c r="B5" s="3261"/>
      <c r="C5" s="3261"/>
      <c r="D5" s="3261"/>
      <c r="E5" s="3261"/>
      <c r="F5" s="3261"/>
      <c r="G5" s="3261"/>
      <c r="H5" s="3261"/>
    </row>
    <row r="6" spans="2:11">
      <c r="B6" s="3304" t="s">
        <v>1626</v>
      </c>
      <c r="C6" s="3305"/>
      <c r="D6" s="3306"/>
      <c r="E6" s="3304" t="s">
        <v>1627</v>
      </c>
      <c r="F6" s="3305"/>
      <c r="G6" s="3305"/>
      <c r="H6" s="3306"/>
    </row>
    <row r="7" spans="2:11">
      <c r="B7" s="3307"/>
      <c r="C7" s="3308"/>
      <c r="D7" s="3309"/>
      <c r="E7" s="3307"/>
      <c r="F7" s="3308"/>
      <c r="G7" s="3308"/>
      <c r="H7" s="3309"/>
    </row>
    <row r="8" spans="2:11">
      <c r="B8" s="3262" t="s">
        <v>1628</v>
      </c>
      <c r="C8" s="3269" t="s">
        <v>1629</v>
      </c>
      <c r="D8" s="3276" t="s">
        <v>1630</v>
      </c>
      <c r="E8" s="3281" t="s">
        <v>1631</v>
      </c>
      <c r="F8" s="3286" t="s">
        <v>1632</v>
      </c>
      <c r="G8" s="3311" t="s">
        <v>1633</v>
      </c>
      <c r="H8" s="3293" t="s">
        <v>1630</v>
      </c>
    </row>
    <row r="9" spans="2:11">
      <c r="B9" s="3263"/>
      <c r="C9" s="3270"/>
      <c r="D9" s="3277"/>
      <c r="E9" s="3282"/>
      <c r="F9" s="3287"/>
      <c r="G9" s="3312"/>
      <c r="H9" s="3294"/>
      <c r="J9" s="2600"/>
    </row>
    <row r="10" spans="2:11" ht="19.5" customHeight="1">
      <c r="B10" s="3264" t="s">
        <v>5794</v>
      </c>
      <c r="C10" s="3271">
        <v>10</v>
      </c>
      <c r="D10" s="3278"/>
      <c r="E10" s="3283" t="s">
        <v>5736</v>
      </c>
      <c r="F10" s="3283"/>
      <c r="G10" s="3313">
        <f>PI()*(C10*C19-C15*C24)</f>
        <v>87.964594300514193</v>
      </c>
      <c r="H10" s="3295"/>
    </row>
    <row r="11" spans="2:11">
      <c r="B11" s="3265"/>
      <c r="C11" s="3272"/>
      <c r="D11" s="3279"/>
      <c r="E11" s="3284"/>
      <c r="F11" s="3284"/>
      <c r="G11" s="3289"/>
      <c r="H11" s="3296"/>
      <c r="K11" s="2600"/>
    </row>
    <row r="12" spans="2:11">
      <c r="B12" s="3265"/>
      <c r="C12" s="3272"/>
      <c r="D12" s="3279"/>
      <c r="E12" s="3285" t="s">
        <v>5738</v>
      </c>
      <c r="F12" s="3285"/>
      <c r="G12" s="3288">
        <f>PI()/4*(C10*POWER(C19,3)-C15*POWER(C24,3))</f>
        <v>1294.3361732789899</v>
      </c>
      <c r="H12" s="3296"/>
      <c r="K12" s="2600"/>
    </row>
    <row r="13" spans="2:11">
      <c r="B13" s="3265"/>
      <c r="C13" s="3272"/>
      <c r="D13" s="3279"/>
      <c r="E13" s="3284"/>
      <c r="F13" s="3284"/>
      <c r="G13" s="3289"/>
      <c r="H13" s="3296"/>
      <c r="I13" s="2600"/>
    </row>
    <row r="14" spans="2:11" ht="17.25" thickBot="1">
      <c r="B14" s="3266"/>
      <c r="C14" s="3273"/>
      <c r="D14" s="3279"/>
      <c r="E14" s="3285" t="s">
        <v>5739</v>
      </c>
      <c r="F14" s="3285"/>
      <c r="G14" s="3288">
        <f>PI()/4*(POWER(C10,3)*C19-POWER(C15,3)*C24)</f>
        <v>3103.8935417467201</v>
      </c>
      <c r="H14" s="3296"/>
      <c r="I14" s="2600"/>
      <c r="J14" s="2600"/>
    </row>
    <row r="15" spans="2:11">
      <c r="B15" s="3267" t="s">
        <v>5795</v>
      </c>
      <c r="C15" s="3272">
        <v>8</v>
      </c>
      <c r="D15" s="3279"/>
      <c r="E15" s="3284"/>
      <c r="F15" s="3284"/>
      <c r="G15" s="3289"/>
      <c r="H15" s="3296"/>
      <c r="I15" s="3198" t="s">
        <v>12704</v>
      </c>
      <c r="J15" s="2600"/>
      <c r="K15" s="2600"/>
    </row>
    <row r="16" spans="2:11" ht="16.5" customHeight="1">
      <c r="B16" s="3265"/>
      <c r="C16" s="3272"/>
      <c r="D16" s="3279"/>
      <c r="E16" s="3285" t="s">
        <v>5740</v>
      </c>
      <c r="F16" s="3285"/>
      <c r="G16" s="3288">
        <f>(PI()*(C10*POWER(C19,3)-C15*POWER(C24,3)))/(4*C19)</f>
        <v>215.72269554649901</v>
      </c>
      <c r="H16" s="3296"/>
      <c r="I16" s="3199"/>
      <c r="J16" s="2600"/>
      <c r="K16" s="2600"/>
    </row>
    <row r="17" spans="2:13" ht="16.5" customHeight="1" thickBot="1">
      <c r="B17" s="3265"/>
      <c r="C17" s="3272"/>
      <c r="D17" s="3279"/>
      <c r="E17" s="3284"/>
      <c r="F17" s="3284"/>
      <c r="G17" s="3289"/>
      <c r="H17" s="3296"/>
      <c r="I17" s="3200"/>
      <c r="J17" s="2600"/>
    </row>
    <row r="18" spans="2:13" ht="16.5" customHeight="1">
      <c r="B18" s="3266"/>
      <c r="C18" s="3273"/>
      <c r="D18" s="3279"/>
      <c r="E18" s="3285" t="s">
        <v>5741</v>
      </c>
      <c r="F18" s="3285"/>
      <c r="G18" s="3288">
        <f>(PI()*(POWER(C10,3)*C19-POWER(C15,3)*C24))/(4*C10)</f>
        <v>310.38935417467201</v>
      </c>
      <c r="H18" s="3296"/>
      <c r="J18" s="2600"/>
      <c r="K18" s="2600"/>
    </row>
    <row r="19" spans="2:13" ht="16.5" customHeight="1">
      <c r="B19" s="3267" t="s">
        <v>5796</v>
      </c>
      <c r="C19" s="3274">
        <v>6</v>
      </c>
      <c r="D19" s="3279"/>
      <c r="E19" s="3284"/>
      <c r="F19" s="3284"/>
      <c r="G19" s="3289"/>
      <c r="H19" s="3296"/>
      <c r="J19" s="2600"/>
    </row>
    <row r="20" spans="2:13" ht="16.5" customHeight="1">
      <c r="B20" s="3265"/>
      <c r="C20" s="3272"/>
      <c r="D20" s="3279"/>
      <c r="E20" s="3285" t="s">
        <v>5743</v>
      </c>
      <c r="F20" s="3285"/>
      <c r="G20" s="3288">
        <f>C19</f>
        <v>6</v>
      </c>
      <c r="H20" s="3296"/>
      <c r="J20" s="2600"/>
    </row>
    <row r="21" spans="2:13" ht="16.5" customHeight="1">
      <c r="B21" s="3265"/>
      <c r="C21" s="3272"/>
      <c r="D21" s="3279"/>
      <c r="E21" s="3284"/>
      <c r="F21" s="3284"/>
      <c r="G21" s="3289"/>
      <c r="H21" s="3296"/>
      <c r="J21" s="2600"/>
    </row>
    <row r="22" spans="2:13" ht="16.5" customHeight="1">
      <c r="B22" s="3265"/>
      <c r="C22" s="3272"/>
      <c r="D22" s="3279"/>
      <c r="E22" s="3285" t="s">
        <v>5744</v>
      </c>
      <c r="F22" s="3285"/>
      <c r="G22" s="3288">
        <f>C10</f>
        <v>10</v>
      </c>
      <c r="H22" s="3296"/>
      <c r="J22" s="2600"/>
    </row>
    <row r="23" spans="2:13" ht="16.5" customHeight="1">
      <c r="B23" s="3266"/>
      <c r="C23" s="3273"/>
      <c r="D23" s="3279"/>
      <c r="E23" s="3284"/>
      <c r="F23" s="3284"/>
      <c r="G23" s="3289"/>
      <c r="H23" s="3296"/>
      <c r="J23" s="2600"/>
      <c r="M23" s="2600"/>
    </row>
    <row r="24" spans="2:13" ht="16.5" customHeight="1">
      <c r="B24" s="3267" t="s">
        <v>5797</v>
      </c>
      <c r="C24" s="3274">
        <v>4</v>
      </c>
      <c r="D24" s="3279"/>
      <c r="E24" s="3285" t="s">
        <v>5745</v>
      </c>
      <c r="F24" s="3285"/>
      <c r="G24" s="3288">
        <f>SQRT(G12/G10)</f>
        <v>3.83592045202787</v>
      </c>
      <c r="H24" s="3296"/>
      <c r="J24" s="2600"/>
      <c r="K24" s="2600"/>
    </row>
    <row r="25" spans="2:13" ht="25.5" customHeight="1">
      <c r="B25" s="3265"/>
      <c r="C25" s="3272"/>
      <c r="D25" s="3279"/>
      <c r="E25" s="3284"/>
      <c r="F25" s="3284"/>
      <c r="G25" s="3289"/>
      <c r="H25" s="3296"/>
      <c r="J25" s="2600"/>
    </row>
    <row r="26" spans="2:13">
      <c r="B26" s="3265"/>
      <c r="C26" s="3272"/>
      <c r="D26" s="3279"/>
      <c r="E26" s="3285" t="s">
        <v>5746</v>
      </c>
      <c r="F26" s="3285"/>
      <c r="G26" s="3288">
        <f>SQRT(G14/G10)</f>
        <v>5.9401779675119402</v>
      </c>
      <c r="H26" s="3296"/>
      <c r="J26" s="2600"/>
    </row>
    <row r="27" spans="2:13" ht="20.25" customHeight="1">
      <c r="B27" s="3268"/>
      <c r="C27" s="3275"/>
      <c r="D27" s="3280"/>
      <c r="E27" s="3290"/>
      <c r="F27" s="3290"/>
      <c r="G27" s="3310"/>
      <c r="H27" s="3297"/>
    </row>
    <row r="29" spans="2:13">
      <c r="F29" s="2600"/>
      <c r="H29" s="2600"/>
    </row>
    <row r="30" spans="2:13">
      <c r="B30" s="2563" t="s">
        <v>1654</v>
      </c>
      <c r="F30" s="2600"/>
    </row>
    <row r="31" spans="2:13">
      <c r="G31" s="2600"/>
    </row>
    <row r="32" spans="2:13">
      <c r="F32" s="2600"/>
    </row>
  </sheetData>
  <mergeCells count="50">
    <mergeCell ref="I15:I17"/>
    <mergeCell ref="H8:H9"/>
    <mergeCell ref="H10:H27"/>
    <mergeCell ref="B3:H4"/>
    <mergeCell ref="B6:D7"/>
    <mergeCell ref="E6:H7"/>
    <mergeCell ref="G18:G19"/>
    <mergeCell ref="G20:G21"/>
    <mergeCell ref="G22:G23"/>
    <mergeCell ref="G24:G25"/>
    <mergeCell ref="G26:G27"/>
    <mergeCell ref="G8:G9"/>
    <mergeCell ref="G10:G11"/>
    <mergeCell ref="G12:G13"/>
    <mergeCell ref="G14:G15"/>
    <mergeCell ref="G16:G17"/>
    <mergeCell ref="E26:E27"/>
    <mergeCell ref="F8:F9"/>
    <mergeCell ref="F10:F11"/>
    <mergeCell ref="F12:F13"/>
    <mergeCell ref="F14:F15"/>
    <mergeCell ref="F16:F17"/>
    <mergeCell ref="F18:F19"/>
    <mergeCell ref="F20:F21"/>
    <mergeCell ref="F22:F23"/>
    <mergeCell ref="F24:F25"/>
    <mergeCell ref="F26:F27"/>
    <mergeCell ref="B19:B23"/>
    <mergeCell ref="B24:B27"/>
    <mergeCell ref="C8:C9"/>
    <mergeCell ref="C10:C14"/>
    <mergeCell ref="C15:C18"/>
    <mergeCell ref="C19:C23"/>
    <mergeCell ref="C24:C27"/>
    <mergeCell ref="B1:D1"/>
    <mergeCell ref="B5:H5"/>
    <mergeCell ref="B8:B9"/>
    <mergeCell ref="B10:B14"/>
    <mergeCell ref="B15:B18"/>
    <mergeCell ref="D8:D9"/>
    <mergeCell ref="D10:D27"/>
    <mergeCell ref="E8:E9"/>
    <mergeCell ref="E10:E11"/>
    <mergeCell ref="E12:E13"/>
    <mergeCell ref="E14:E15"/>
    <mergeCell ref="E16:E17"/>
    <mergeCell ref="E18:E19"/>
    <mergeCell ref="E20:E21"/>
    <mergeCell ref="E22:E23"/>
    <mergeCell ref="E24:E25"/>
  </mergeCells>
  <phoneticPr fontId="378" type="noConversion"/>
  <hyperlinks>
    <hyperlink ref="I15:I17" location="总目录!A1" display="返回目录"/>
  </hyperlinks>
  <pageMargins left="0.69930555555555596" right="0.69930555555555596" top="0.75" bottom="0.75" header="0.3" footer="0.3"/>
  <pageSetup paperSize="9" orientation="portrait" horizontalDpi="200" verticalDpi="30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2"/>
  <sheetViews>
    <sheetView workbookViewId="0">
      <selection activeCell="K3" sqref="K3"/>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4.375" style="2563" customWidth="1"/>
    <col min="6" max="6" width="9.625" style="2563" customWidth="1"/>
    <col min="7" max="7" width="13" style="2601" customWidth="1"/>
    <col min="8" max="8" width="8.25" style="2563" customWidth="1"/>
    <col min="9" max="16384" width="8.125" style="2563"/>
  </cols>
  <sheetData>
    <row r="1" spans="2:11">
      <c r="B1" s="3260" t="s">
        <v>5747</v>
      </c>
      <c r="C1" s="3260"/>
      <c r="D1" s="3260"/>
      <c r="E1" s="2566"/>
    </row>
    <row r="3" spans="2:11">
      <c r="B3" s="3298" t="s">
        <v>5798</v>
      </c>
      <c r="C3" s="3299"/>
      <c r="D3" s="3299"/>
      <c r="E3" s="3299"/>
      <c r="F3" s="3299"/>
      <c r="G3" s="3299"/>
      <c r="H3" s="3300"/>
    </row>
    <row r="4" spans="2:11">
      <c r="B4" s="3301"/>
      <c r="C4" s="3302"/>
      <c r="D4" s="3302"/>
      <c r="E4" s="3302"/>
      <c r="F4" s="3302"/>
      <c r="G4" s="3302"/>
      <c r="H4" s="3303"/>
    </row>
    <row r="5" spans="2:11" ht="4.5" customHeight="1">
      <c r="B5" s="3261"/>
      <c r="C5" s="3261"/>
      <c r="D5" s="3261"/>
      <c r="E5" s="3261"/>
      <c r="F5" s="3261"/>
      <c r="G5" s="3261"/>
      <c r="H5" s="3261"/>
    </row>
    <row r="6" spans="2:11">
      <c r="B6" s="3304" t="s">
        <v>1626</v>
      </c>
      <c r="C6" s="3305"/>
      <c r="D6" s="3306"/>
      <c r="E6" s="3304" t="s">
        <v>1627</v>
      </c>
      <c r="F6" s="3305"/>
      <c r="G6" s="3305"/>
      <c r="H6" s="3306"/>
    </row>
    <row r="7" spans="2:11">
      <c r="B7" s="3322"/>
      <c r="C7" s="3323"/>
      <c r="D7" s="3324"/>
      <c r="E7" s="3322"/>
      <c r="F7" s="3323"/>
      <c r="G7" s="3323"/>
      <c r="H7" s="3324"/>
    </row>
    <row r="8" spans="2:11">
      <c r="B8" s="3262" t="s">
        <v>1628</v>
      </c>
      <c r="C8" s="3269" t="s">
        <v>1629</v>
      </c>
      <c r="D8" s="3317" t="s">
        <v>1630</v>
      </c>
      <c r="E8" s="3281" t="s">
        <v>1631</v>
      </c>
      <c r="F8" s="3286" t="s">
        <v>1632</v>
      </c>
      <c r="G8" s="3311" t="s">
        <v>1633</v>
      </c>
      <c r="H8" s="3293" t="s">
        <v>1630</v>
      </c>
    </row>
    <row r="9" spans="2:11">
      <c r="B9" s="3315"/>
      <c r="C9" s="3316"/>
      <c r="D9" s="3318"/>
      <c r="E9" s="3319"/>
      <c r="F9" s="3320"/>
      <c r="G9" s="3325"/>
      <c r="H9" s="3321"/>
      <c r="J9" s="2600"/>
    </row>
    <row r="10" spans="2:11" ht="19.5" customHeight="1">
      <c r="B10" s="3265" t="s">
        <v>5749</v>
      </c>
      <c r="C10" s="3272">
        <v>6</v>
      </c>
      <c r="D10" s="3284"/>
      <c r="E10" s="3314" t="s">
        <v>5736</v>
      </c>
      <c r="F10" s="3314"/>
      <c r="G10" s="3326">
        <f>C10*C19</f>
        <v>72</v>
      </c>
      <c r="H10" s="3296"/>
    </row>
    <row r="11" spans="2:11">
      <c r="B11" s="3265"/>
      <c r="C11" s="3272"/>
      <c r="D11" s="3279"/>
      <c r="E11" s="3284"/>
      <c r="F11" s="3284"/>
      <c r="G11" s="3289"/>
      <c r="H11" s="3296"/>
      <c r="J11" s="2600"/>
    </row>
    <row r="12" spans="2:11">
      <c r="B12" s="3265"/>
      <c r="C12" s="3272"/>
      <c r="D12" s="3279"/>
      <c r="E12" s="3285" t="s">
        <v>5738</v>
      </c>
      <c r="F12" s="3285"/>
      <c r="G12" s="3288">
        <f>C10*POWER(C19,3)/12</f>
        <v>864</v>
      </c>
      <c r="H12" s="3296"/>
    </row>
    <row r="13" spans="2:11">
      <c r="B13" s="3265"/>
      <c r="C13" s="3272"/>
      <c r="D13" s="3279"/>
      <c r="E13" s="3284"/>
      <c r="F13" s="3284"/>
      <c r="G13" s="3289"/>
      <c r="H13" s="3296"/>
      <c r="I13" s="2600"/>
      <c r="J13" s="2563" t="s">
        <v>5799</v>
      </c>
    </row>
    <row r="14" spans="2:11" ht="17.25" thickBot="1">
      <c r="B14" s="3265"/>
      <c r="C14" s="3272"/>
      <c r="D14" s="3279"/>
      <c r="E14" s="3285" t="s">
        <v>5739</v>
      </c>
      <c r="F14" s="3285"/>
      <c r="G14" s="3288">
        <f>POWER(C10,3)*C19/12</f>
        <v>216</v>
      </c>
      <c r="H14" s="3296"/>
      <c r="I14" s="2600"/>
      <c r="J14" s="2600"/>
    </row>
    <row r="15" spans="2:11">
      <c r="B15" s="3265"/>
      <c r="C15" s="3272"/>
      <c r="D15" s="3279"/>
      <c r="E15" s="3284"/>
      <c r="F15" s="3284"/>
      <c r="G15" s="3289"/>
      <c r="H15" s="3296"/>
      <c r="I15" s="3198" t="s">
        <v>12704</v>
      </c>
      <c r="K15" s="2600"/>
    </row>
    <row r="16" spans="2:11" ht="16.5" customHeight="1">
      <c r="B16" s="3265"/>
      <c r="C16" s="3272"/>
      <c r="D16" s="3279"/>
      <c r="E16" s="3285" t="s">
        <v>5740</v>
      </c>
      <c r="F16" s="3285"/>
      <c r="G16" s="3288">
        <f>C10*POWER(C19,2)/6</f>
        <v>144</v>
      </c>
      <c r="H16" s="3296"/>
      <c r="I16" s="3199"/>
      <c r="J16" s="2600"/>
    </row>
    <row r="17" spans="2:10" ht="16.5" customHeight="1" thickBot="1">
      <c r="B17" s="3265"/>
      <c r="C17" s="3272"/>
      <c r="D17" s="3279"/>
      <c r="E17" s="3284"/>
      <c r="F17" s="3284"/>
      <c r="G17" s="3289"/>
      <c r="H17" s="3296"/>
      <c r="I17" s="3200"/>
      <c r="J17" s="2600"/>
    </row>
    <row r="18" spans="2:10" ht="16.5" customHeight="1">
      <c r="B18" s="3266"/>
      <c r="C18" s="3273"/>
      <c r="D18" s="3279"/>
      <c r="E18" s="3285" t="s">
        <v>5741</v>
      </c>
      <c r="F18" s="3285"/>
      <c r="G18" s="3288">
        <f>POWER(C10,2)*C19/6</f>
        <v>72</v>
      </c>
      <c r="H18" s="3296"/>
      <c r="J18" s="2600"/>
    </row>
    <row r="19" spans="2:10" ht="16.5" customHeight="1">
      <c r="B19" s="3267" t="s">
        <v>5800</v>
      </c>
      <c r="C19" s="3274">
        <v>12</v>
      </c>
      <c r="D19" s="3279"/>
      <c r="E19" s="3284"/>
      <c r="F19" s="3284"/>
      <c r="G19" s="3289"/>
      <c r="H19" s="3296"/>
      <c r="J19" s="2600"/>
    </row>
    <row r="20" spans="2:10" ht="16.5" customHeight="1">
      <c r="B20" s="3265"/>
      <c r="C20" s="3272"/>
      <c r="D20" s="3279"/>
      <c r="E20" s="3285" t="s">
        <v>5743</v>
      </c>
      <c r="F20" s="3285"/>
      <c r="G20" s="3288">
        <f>C19/2</f>
        <v>6</v>
      </c>
      <c r="H20" s="3296"/>
      <c r="J20" s="2600"/>
    </row>
    <row r="21" spans="2:10" ht="16.5" customHeight="1">
      <c r="B21" s="3265"/>
      <c r="C21" s="3272"/>
      <c r="D21" s="3279"/>
      <c r="E21" s="3284"/>
      <c r="F21" s="3284"/>
      <c r="G21" s="3289"/>
      <c r="H21" s="3296"/>
      <c r="J21" s="2600"/>
    </row>
    <row r="22" spans="2:10" ht="16.5" customHeight="1">
      <c r="B22" s="3265"/>
      <c r="C22" s="3272"/>
      <c r="D22" s="3279"/>
      <c r="E22" s="3285" t="s">
        <v>5744</v>
      </c>
      <c r="F22" s="3285"/>
      <c r="G22" s="3288">
        <f>C10/2</f>
        <v>3</v>
      </c>
      <c r="H22" s="3296"/>
      <c r="J22" s="2600"/>
    </row>
    <row r="23" spans="2:10" ht="16.5" customHeight="1">
      <c r="B23" s="3265"/>
      <c r="C23" s="3272"/>
      <c r="D23" s="3279"/>
      <c r="E23" s="3284"/>
      <c r="F23" s="3284"/>
      <c r="G23" s="3289"/>
      <c r="H23" s="3296"/>
      <c r="J23" s="2600"/>
    </row>
    <row r="24" spans="2:10" ht="16.5" customHeight="1">
      <c r="B24" s="3265"/>
      <c r="C24" s="3272"/>
      <c r="D24" s="3279"/>
      <c r="E24" s="3285" t="s">
        <v>5745</v>
      </c>
      <c r="F24" s="3285"/>
      <c r="G24" s="3288">
        <f>0.289*C19</f>
        <v>3.468</v>
      </c>
      <c r="H24" s="3296"/>
      <c r="J24" s="2600"/>
    </row>
    <row r="25" spans="2:10" ht="16.5" customHeight="1">
      <c r="B25" s="3265"/>
      <c r="C25" s="3272"/>
      <c r="D25" s="3279"/>
      <c r="E25" s="3284"/>
      <c r="F25" s="3284"/>
      <c r="G25" s="3289"/>
      <c r="H25" s="3296"/>
      <c r="I25" s="2600"/>
      <c r="J25" s="2600"/>
    </row>
    <row r="26" spans="2:10">
      <c r="B26" s="3265"/>
      <c r="C26" s="3272"/>
      <c r="D26" s="3279"/>
      <c r="E26" s="3285" t="s">
        <v>5746</v>
      </c>
      <c r="F26" s="3285"/>
      <c r="G26" s="3288">
        <f>0.289*C10</f>
        <v>1.734</v>
      </c>
      <c r="H26" s="3296"/>
      <c r="J26" s="2600"/>
    </row>
    <row r="27" spans="2:10">
      <c r="B27" s="3268"/>
      <c r="C27" s="3275"/>
      <c r="D27" s="3280"/>
      <c r="E27" s="3290"/>
      <c r="F27" s="3290"/>
      <c r="G27" s="3310"/>
      <c r="H27" s="3297"/>
    </row>
    <row r="29" spans="2:10">
      <c r="F29" s="2600"/>
      <c r="H29" s="2600"/>
    </row>
    <row r="30" spans="2:10">
      <c r="B30" s="2563" t="s">
        <v>1654</v>
      </c>
      <c r="F30" s="2600"/>
    </row>
    <row r="32" spans="2:10">
      <c r="F32" s="2600"/>
    </row>
  </sheetData>
  <mergeCells count="46">
    <mergeCell ref="I15:I17"/>
    <mergeCell ref="H8:H9"/>
    <mergeCell ref="H10:H27"/>
    <mergeCell ref="B3:H4"/>
    <mergeCell ref="B6:D7"/>
    <mergeCell ref="E6:H7"/>
    <mergeCell ref="G18:G19"/>
    <mergeCell ref="G20:G21"/>
    <mergeCell ref="G22:G23"/>
    <mergeCell ref="G24:G25"/>
    <mergeCell ref="G26:G27"/>
    <mergeCell ref="G8:G9"/>
    <mergeCell ref="G10:G11"/>
    <mergeCell ref="G12:G13"/>
    <mergeCell ref="G14:G15"/>
    <mergeCell ref="G16:G17"/>
    <mergeCell ref="E20:E21"/>
    <mergeCell ref="E22:E23"/>
    <mergeCell ref="E24:E25"/>
    <mergeCell ref="E26:E27"/>
    <mergeCell ref="F8:F9"/>
    <mergeCell ref="F10:F11"/>
    <mergeCell ref="F12:F13"/>
    <mergeCell ref="F14:F15"/>
    <mergeCell ref="F16:F17"/>
    <mergeCell ref="F18:F19"/>
    <mergeCell ref="F20:F21"/>
    <mergeCell ref="F22:F23"/>
    <mergeCell ref="F24:F25"/>
    <mergeCell ref="F26:F27"/>
    <mergeCell ref="B1:D1"/>
    <mergeCell ref="B5:H5"/>
    <mergeCell ref="B8:B9"/>
    <mergeCell ref="B10:B18"/>
    <mergeCell ref="B19:B27"/>
    <mergeCell ref="C8:C9"/>
    <mergeCell ref="C10:C18"/>
    <mergeCell ref="C19:C27"/>
    <mergeCell ref="D8:D9"/>
    <mergeCell ref="D10:D27"/>
    <mergeCell ref="E8:E9"/>
    <mergeCell ref="E10:E11"/>
    <mergeCell ref="E12:E13"/>
    <mergeCell ref="E14:E15"/>
    <mergeCell ref="E16:E17"/>
    <mergeCell ref="E18:E19"/>
  </mergeCells>
  <phoneticPr fontId="378" type="noConversion"/>
  <hyperlinks>
    <hyperlink ref="I15:I17" location="总目录!A1" display="返回目录"/>
  </hyperlinks>
  <pageMargins left="0.69930555555555596" right="0.69930555555555596" top="0.75" bottom="0.75" header="0.3" footer="0.3"/>
  <pageSetup paperSize="9" orientation="portrait" horizontalDpi="200" verticalDpi="30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6"/>
  <sheetViews>
    <sheetView workbookViewId="0">
      <selection activeCell="I12" sqref="I12:I14"/>
    </sheetView>
  </sheetViews>
  <sheetFormatPr defaultColWidth="8.125" defaultRowHeight="16.5"/>
  <cols>
    <col min="1" max="1" width="0.25" style="2563" customWidth="1"/>
    <col min="2" max="2" width="19.5" style="2563" customWidth="1"/>
    <col min="3" max="3" width="9.375" style="2563" customWidth="1"/>
    <col min="4" max="4" width="22.75" style="2563" customWidth="1"/>
    <col min="5" max="6" width="24.375" style="2563" customWidth="1"/>
    <col min="7" max="7" width="10.75" style="2601" customWidth="1"/>
    <col min="8" max="8" width="11.125" style="2563" customWidth="1"/>
    <col min="9" max="16384" width="8.125" style="2563"/>
  </cols>
  <sheetData>
    <row r="1" spans="2:12">
      <c r="B1" s="3260" t="s">
        <v>5801</v>
      </c>
      <c r="C1" s="3260"/>
      <c r="D1" s="3260"/>
      <c r="E1" s="2566"/>
    </row>
    <row r="3" spans="2:12">
      <c r="B3" s="3298" t="s">
        <v>5802</v>
      </c>
      <c r="C3" s="3299"/>
      <c r="D3" s="3299"/>
      <c r="E3" s="3299"/>
      <c r="F3" s="3299"/>
      <c r="G3" s="3299"/>
      <c r="H3" s="3300"/>
    </row>
    <row r="4" spans="2:12">
      <c r="B4" s="3301"/>
      <c r="C4" s="3302"/>
      <c r="D4" s="3302"/>
      <c r="E4" s="3302"/>
      <c r="F4" s="3302"/>
      <c r="G4" s="3302"/>
      <c r="H4" s="3303"/>
    </row>
    <row r="5" spans="2:12" ht="4.5" customHeight="1">
      <c r="B5" s="3261"/>
      <c r="C5" s="3261"/>
      <c r="D5" s="3261"/>
      <c r="E5" s="3261"/>
      <c r="F5" s="3261"/>
      <c r="G5" s="3261"/>
      <c r="H5" s="3261"/>
    </row>
    <row r="6" spans="2:12">
      <c r="B6" s="3304" t="s">
        <v>1626</v>
      </c>
      <c r="C6" s="3305"/>
      <c r="D6" s="3306"/>
      <c r="E6" s="3304" t="s">
        <v>1627</v>
      </c>
      <c r="F6" s="3305"/>
      <c r="G6" s="3305"/>
      <c r="H6" s="3306"/>
    </row>
    <row r="7" spans="2:12">
      <c r="B7" s="3307"/>
      <c r="C7" s="3308"/>
      <c r="D7" s="3309"/>
      <c r="E7" s="3307"/>
      <c r="F7" s="3308"/>
      <c r="G7" s="3308"/>
      <c r="H7" s="3309"/>
    </row>
    <row r="8" spans="2:12">
      <c r="B8" s="3262" t="s">
        <v>1628</v>
      </c>
      <c r="C8" s="3269" t="s">
        <v>1629</v>
      </c>
      <c r="D8" s="3276" t="s">
        <v>1630</v>
      </c>
      <c r="E8" s="3281" t="s">
        <v>1631</v>
      </c>
      <c r="F8" s="3286" t="s">
        <v>1632</v>
      </c>
      <c r="G8" s="3311" t="s">
        <v>1633</v>
      </c>
      <c r="H8" s="3293" t="s">
        <v>1630</v>
      </c>
    </row>
    <row r="9" spans="2:12">
      <c r="B9" s="3263"/>
      <c r="C9" s="3270"/>
      <c r="D9" s="3277"/>
      <c r="E9" s="3282"/>
      <c r="F9" s="3287"/>
      <c r="G9" s="3312"/>
      <c r="H9" s="3294"/>
      <c r="J9" s="2600"/>
    </row>
    <row r="10" spans="2:12" ht="19.5" customHeight="1">
      <c r="B10" s="3264" t="s">
        <v>5803</v>
      </c>
      <c r="C10" s="3271">
        <v>12</v>
      </c>
      <c r="D10" s="3278"/>
      <c r="E10" s="3283" t="s">
        <v>5736</v>
      </c>
      <c r="F10" s="3283"/>
      <c r="G10" s="3313">
        <f>PI()/4*POWER(C19,2)+((C13*C16*(C10-C19))/2)</f>
        <v>113.48451000647501</v>
      </c>
      <c r="H10" s="3295" t="s">
        <v>5804</v>
      </c>
    </row>
    <row r="11" spans="2:12" ht="17.25" thickBot="1">
      <c r="B11" s="3265"/>
      <c r="C11" s="3272"/>
      <c r="D11" s="3279"/>
      <c r="E11" s="3284"/>
      <c r="F11" s="3284"/>
      <c r="G11" s="3289"/>
      <c r="H11" s="3296"/>
      <c r="J11" s="2600"/>
      <c r="K11" s="2600"/>
    </row>
    <row r="12" spans="2:12">
      <c r="B12" s="3266"/>
      <c r="C12" s="3273"/>
      <c r="D12" s="3279"/>
      <c r="E12" s="3285" t="s">
        <v>5738</v>
      </c>
      <c r="F12" s="3285"/>
      <c r="G12" s="3288">
        <f>PI()*POWER(C19,4)/64+((C16*C13*(C10-C19)*POWER((C10+C19),2))/64)</f>
        <v>963.95256189482996</v>
      </c>
      <c r="H12" s="3296"/>
      <c r="I12" s="3198" t="s">
        <v>12704</v>
      </c>
    </row>
    <row r="13" spans="2:12">
      <c r="B13" s="3267" t="s">
        <v>5805</v>
      </c>
      <c r="C13" s="3274">
        <v>6</v>
      </c>
      <c r="D13" s="3279"/>
      <c r="E13" s="3284"/>
      <c r="F13" s="3284"/>
      <c r="G13" s="3289"/>
      <c r="H13" s="3296"/>
      <c r="I13" s="3199"/>
      <c r="K13" s="2600"/>
      <c r="L13" s="2600"/>
    </row>
    <row r="14" spans="2:12" ht="17.25" thickBot="1">
      <c r="B14" s="3265"/>
      <c r="C14" s="3272"/>
      <c r="D14" s="3279"/>
      <c r="E14" s="3285" t="s">
        <v>5740</v>
      </c>
      <c r="F14" s="3285"/>
      <c r="G14" s="3288">
        <f>(PI()*POWER(C19,4)+(C16*C13*(C10-C19)*POWER((C10+C19),2)))/(32*C10)</f>
        <v>160.65876031580501</v>
      </c>
      <c r="H14" s="3296"/>
      <c r="I14" s="3200"/>
      <c r="K14" s="2600"/>
      <c r="L14" s="2600"/>
    </row>
    <row r="15" spans="2:12">
      <c r="B15" s="3266"/>
      <c r="C15" s="3273"/>
      <c r="D15" s="3279"/>
      <c r="E15" s="3284"/>
      <c r="F15" s="3284"/>
      <c r="G15" s="3289"/>
      <c r="H15" s="3296"/>
      <c r="I15" s="2600"/>
      <c r="K15" s="2600"/>
    </row>
    <row r="16" spans="2:12" ht="16.5" customHeight="1">
      <c r="B16" s="3267" t="s">
        <v>5806</v>
      </c>
      <c r="C16" s="3272">
        <v>5</v>
      </c>
      <c r="D16" s="3279"/>
      <c r="E16" s="3285" t="s">
        <v>5744</v>
      </c>
      <c r="F16" s="3285"/>
      <c r="G16" s="3288">
        <f>C10/2</f>
        <v>6</v>
      </c>
      <c r="H16" s="3296"/>
      <c r="J16" s="2600"/>
    </row>
    <row r="17" spans="2:12" ht="16.5" customHeight="1">
      <c r="B17" s="3265"/>
      <c r="C17" s="3272"/>
      <c r="D17" s="3279"/>
      <c r="E17" s="3284"/>
      <c r="F17" s="3284"/>
      <c r="G17" s="3289"/>
      <c r="H17" s="3296"/>
      <c r="J17" s="2600"/>
      <c r="K17" s="2600"/>
      <c r="L17" s="2600"/>
    </row>
    <row r="18" spans="2:12" ht="16.5" customHeight="1">
      <c r="B18" s="3266"/>
      <c r="C18" s="3273"/>
      <c r="D18" s="3279"/>
      <c r="E18" s="3285" t="s">
        <v>5743</v>
      </c>
      <c r="F18" s="3285"/>
      <c r="G18" s="3288">
        <f>C19/2</f>
        <v>3.5</v>
      </c>
      <c r="H18" s="3296"/>
      <c r="J18" s="2600"/>
      <c r="K18" s="2600"/>
    </row>
    <row r="19" spans="2:12" ht="16.5" customHeight="1">
      <c r="B19" s="3267" t="s">
        <v>5807</v>
      </c>
      <c r="C19" s="3274">
        <v>7</v>
      </c>
      <c r="D19" s="3279"/>
      <c r="E19" s="3284"/>
      <c r="F19" s="3284"/>
      <c r="G19" s="3289"/>
      <c r="H19" s="3296"/>
      <c r="J19" s="2600"/>
    </row>
    <row r="20" spans="2:12" ht="21.75" customHeight="1">
      <c r="B20" s="3265"/>
      <c r="C20" s="3272"/>
      <c r="D20" s="3279"/>
      <c r="E20" s="3285" t="s">
        <v>5760</v>
      </c>
      <c r="F20" s="3285"/>
      <c r="G20" s="3288">
        <f>1/4*SQRT(((PI()*POWER(C19,4)+(C16*C13*(C10-C19)*POWER((C10+C19),2))))/(PI()*POWER(C19,2)+2*C13*C16*(C10-C19)))</f>
        <v>2.9144696527025999</v>
      </c>
      <c r="H20" s="3296"/>
      <c r="J20" s="2600"/>
    </row>
    <row r="21" spans="2:12" ht="16.5" customHeight="1">
      <c r="B21" s="3268"/>
      <c r="C21" s="3275"/>
      <c r="D21" s="3280"/>
      <c r="E21" s="3290"/>
      <c r="F21" s="3290"/>
      <c r="G21" s="3310"/>
      <c r="H21" s="3297"/>
      <c r="J21" s="2600"/>
    </row>
    <row r="23" spans="2:12">
      <c r="F23" s="2600"/>
      <c r="H23" s="2600"/>
    </row>
    <row r="24" spans="2:12">
      <c r="B24" s="2563" t="s">
        <v>1654</v>
      </c>
      <c r="F24" s="2600"/>
      <c r="H24" s="2600"/>
    </row>
    <row r="25" spans="2:12">
      <c r="F25" s="2600"/>
      <c r="G25" s="2600"/>
    </row>
    <row r="26" spans="2:12">
      <c r="F26" s="2600"/>
    </row>
  </sheetData>
  <mergeCells count="41">
    <mergeCell ref="I12:I14"/>
    <mergeCell ref="G18:G19"/>
    <mergeCell ref="G20:G21"/>
    <mergeCell ref="H8:H9"/>
    <mergeCell ref="H10:H21"/>
    <mergeCell ref="G12:G13"/>
    <mergeCell ref="G14:G15"/>
    <mergeCell ref="G16:G17"/>
    <mergeCell ref="B3:H4"/>
    <mergeCell ref="B6:D7"/>
    <mergeCell ref="E6:H7"/>
    <mergeCell ref="G8:G9"/>
    <mergeCell ref="G10:G11"/>
    <mergeCell ref="F12:F13"/>
    <mergeCell ref="F14:F15"/>
    <mergeCell ref="F16:F17"/>
    <mergeCell ref="F18:F19"/>
    <mergeCell ref="F20:F21"/>
    <mergeCell ref="B16:B18"/>
    <mergeCell ref="B19:B21"/>
    <mergeCell ref="C8:C9"/>
    <mergeCell ref="C10:C12"/>
    <mergeCell ref="C13:C15"/>
    <mergeCell ref="C16:C18"/>
    <mergeCell ref="C19:C21"/>
    <mergeCell ref="B1:D1"/>
    <mergeCell ref="B5:H5"/>
    <mergeCell ref="B8:B9"/>
    <mergeCell ref="B10:B12"/>
    <mergeCell ref="B13:B15"/>
    <mergeCell ref="D8:D9"/>
    <mergeCell ref="D10:D21"/>
    <mergeCell ref="E8:E9"/>
    <mergeCell ref="E10:E11"/>
    <mergeCell ref="E12:E13"/>
    <mergeCell ref="E14:E15"/>
    <mergeCell ref="E16:E17"/>
    <mergeCell ref="E18:E19"/>
    <mergeCell ref="E20:E21"/>
    <mergeCell ref="F8:F9"/>
    <mergeCell ref="F10:F11"/>
  </mergeCells>
  <phoneticPr fontId="378" type="noConversion"/>
  <hyperlinks>
    <hyperlink ref="I12:I14" location="总目录!A1" display="返回目录"/>
  </hyperlinks>
  <pageMargins left="0.69930555555555596" right="0.69930555555555596" top="0.75" bottom="0.75" header="0.3" footer="0.3"/>
  <pageSetup paperSize="9" orientation="portrait" horizontalDpi="200"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6"/>
  <sheetViews>
    <sheetView workbookViewId="0">
      <selection activeCell="I12" sqref="I12:I14"/>
    </sheetView>
  </sheetViews>
  <sheetFormatPr defaultColWidth="8.125" defaultRowHeight="16.5"/>
  <cols>
    <col min="1" max="1" width="0.25" style="2563" customWidth="1"/>
    <col min="2" max="2" width="19.5" style="2563" customWidth="1"/>
    <col min="3" max="3" width="9.375" style="2563" customWidth="1"/>
    <col min="4" max="4" width="19.25" style="2563" customWidth="1"/>
    <col min="5" max="5" width="24.375" style="2563" customWidth="1"/>
    <col min="6" max="6" width="13.375" style="2563" customWidth="1"/>
    <col min="7" max="7" width="13.5" style="2601" customWidth="1"/>
    <col min="8" max="8" width="8.25" style="2563" customWidth="1"/>
    <col min="9" max="16384" width="8.125" style="2563"/>
  </cols>
  <sheetData>
    <row r="1" spans="2:11">
      <c r="B1" s="3260" t="s">
        <v>5808</v>
      </c>
      <c r="C1" s="3260"/>
      <c r="D1" s="3260"/>
      <c r="E1" s="2566"/>
    </row>
    <row r="3" spans="2:11">
      <c r="B3" s="3298" t="s">
        <v>5809</v>
      </c>
      <c r="C3" s="3299"/>
      <c r="D3" s="3299"/>
      <c r="E3" s="3299"/>
      <c r="F3" s="3299"/>
      <c r="G3" s="3299"/>
      <c r="H3" s="3300"/>
    </row>
    <row r="4" spans="2:11">
      <c r="B4" s="3301"/>
      <c r="C4" s="3302"/>
      <c r="D4" s="3302"/>
      <c r="E4" s="3302"/>
      <c r="F4" s="3302"/>
      <c r="G4" s="3302"/>
      <c r="H4" s="3303"/>
    </row>
    <row r="5" spans="2:11" ht="4.5" customHeight="1">
      <c r="B5" s="3261"/>
      <c r="C5" s="3261"/>
      <c r="D5" s="3261"/>
      <c r="E5" s="3261"/>
      <c r="F5" s="3261"/>
      <c r="G5" s="3261"/>
      <c r="H5" s="3261"/>
    </row>
    <row r="6" spans="2:11">
      <c r="B6" s="3304" t="s">
        <v>1626</v>
      </c>
      <c r="C6" s="3305"/>
      <c r="D6" s="3306"/>
      <c r="E6" s="3304" t="s">
        <v>1627</v>
      </c>
      <c r="F6" s="3305"/>
      <c r="G6" s="3305"/>
      <c r="H6" s="3306"/>
    </row>
    <row r="7" spans="2:11">
      <c r="B7" s="3307"/>
      <c r="C7" s="3308"/>
      <c r="D7" s="3309"/>
      <c r="E7" s="3307"/>
      <c r="F7" s="3308"/>
      <c r="G7" s="3308"/>
      <c r="H7" s="3309"/>
    </row>
    <row r="8" spans="2:11">
      <c r="B8" s="3262" t="s">
        <v>1628</v>
      </c>
      <c r="C8" s="3269" t="s">
        <v>1629</v>
      </c>
      <c r="D8" s="3276" t="s">
        <v>1630</v>
      </c>
      <c r="E8" s="3281" t="s">
        <v>1631</v>
      </c>
      <c r="F8" s="3286" t="s">
        <v>1632</v>
      </c>
      <c r="G8" s="3311" t="s">
        <v>1633</v>
      </c>
      <c r="H8" s="3293" t="s">
        <v>1630</v>
      </c>
    </row>
    <row r="9" spans="2:11">
      <c r="B9" s="3263"/>
      <c r="C9" s="3270"/>
      <c r="D9" s="3277"/>
      <c r="E9" s="3282"/>
      <c r="F9" s="3287"/>
      <c r="G9" s="3312"/>
      <c r="H9" s="3294"/>
      <c r="J9" s="2600"/>
    </row>
    <row r="10" spans="2:11" ht="19.5" customHeight="1">
      <c r="B10" s="3264" t="s">
        <v>5810</v>
      </c>
      <c r="C10" s="3271">
        <v>2</v>
      </c>
      <c r="D10" s="3278"/>
      <c r="E10" s="3283" t="s">
        <v>5736</v>
      </c>
      <c r="F10" s="3283"/>
      <c r="G10" s="3313">
        <f>C10*C12+C15*C18</f>
        <v>26</v>
      </c>
      <c r="H10" s="3295"/>
    </row>
    <row r="11" spans="2:11" ht="17.25" thickBot="1">
      <c r="B11" s="3266"/>
      <c r="C11" s="3273"/>
      <c r="D11" s="3279"/>
      <c r="E11" s="3284"/>
      <c r="F11" s="3284"/>
      <c r="G11" s="3289"/>
      <c r="H11" s="3296"/>
    </row>
    <row r="12" spans="2:11">
      <c r="B12" s="3267" t="s">
        <v>5811</v>
      </c>
      <c r="C12" s="3272">
        <v>10</v>
      </c>
      <c r="D12" s="3279"/>
      <c r="E12" s="3285" t="s">
        <v>5785</v>
      </c>
      <c r="F12" s="3285"/>
      <c r="G12" s="3288">
        <f>C10*POWER(C12,3)+C15*POWER(C18,3)/12</f>
        <v>2002</v>
      </c>
      <c r="H12" s="3296"/>
      <c r="I12" s="3198" t="s">
        <v>12704</v>
      </c>
      <c r="J12" s="2600"/>
    </row>
    <row r="13" spans="2:11">
      <c r="B13" s="3265"/>
      <c r="C13" s="3272"/>
      <c r="D13" s="3279"/>
      <c r="E13" s="3284"/>
      <c r="F13" s="3284"/>
      <c r="G13" s="3289"/>
      <c r="H13" s="3296"/>
      <c r="I13" s="3199"/>
      <c r="K13" s="2600"/>
    </row>
    <row r="14" spans="2:11" ht="16.5" customHeight="1" thickBot="1">
      <c r="B14" s="3266"/>
      <c r="C14" s="3273"/>
      <c r="D14" s="3279"/>
      <c r="E14" s="3285" t="s">
        <v>5759</v>
      </c>
      <c r="F14" s="3285"/>
      <c r="G14" s="3288">
        <f>C10*POWER(C12,3)+C15*POWER(C18,3)/(6*C12)</f>
        <v>2000.4</v>
      </c>
      <c r="H14" s="3296"/>
      <c r="I14" s="3200"/>
      <c r="J14" s="2600"/>
    </row>
    <row r="15" spans="2:11" ht="16.5" customHeight="1">
      <c r="B15" s="3267" t="s">
        <v>5812</v>
      </c>
      <c r="C15" s="3274">
        <v>3</v>
      </c>
      <c r="D15" s="3279"/>
      <c r="E15" s="3284"/>
      <c r="F15" s="3284"/>
      <c r="G15" s="3289"/>
      <c r="H15" s="3296"/>
      <c r="J15" s="2600"/>
      <c r="K15" s="2600"/>
    </row>
    <row r="16" spans="2:11" ht="16.5" customHeight="1">
      <c r="B16" s="3265"/>
      <c r="C16" s="3272"/>
      <c r="D16" s="3279"/>
      <c r="E16" s="3285" t="s">
        <v>5743</v>
      </c>
      <c r="F16" s="3285"/>
      <c r="G16" s="3288">
        <f>C12/2</f>
        <v>5</v>
      </c>
      <c r="H16" s="3296"/>
      <c r="J16" s="2600"/>
      <c r="K16" s="2600"/>
    </row>
    <row r="17" spans="2:10" ht="16.5" customHeight="1">
      <c r="B17" s="3266"/>
      <c r="C17" s="3273"/>
      <c r="D17" s="3279"/>
      <c r="E17" s="3284"/>
      <c r="F17" s="3284"/>
      <c r="G17" s="3289"/>
      <c r="H17" s="3296"/>
      <c r="J17" s="2600"/>
    </row>
    <row r="18" spans="2:10" ht="16.5" customHeight="1">
      <c r="B18" s="3265" t="s">
        <v>5813</v>
      </c>
      <c r="C18" s="3274">
        <v>2</v>
      </c>
      <c r="D18" s="3279"/>
      <c r="E18" s="3285" t="s">
        <v>5760</v>
      </c>
      <c r="F18" s="3285"/>
      <c r="G18" s="3288">
        <f>SQRT(G12/G10)</f>
        <v>8.7749643873921208</v>
      </c>
      <c r="H18" s="3296"/>
      <c r="J18" s="2600"/>
    </row>
    <row r="19" spans="2:10" ht="24" customHeight="1">
      <c r="B19" s="3268"/>
      <c r="C19" s="3275"/>
      <c r="D19" s="3280"/>
      <c r="E19" s="3290"/>
      <c r="F19" s="3290"/>
      <c r="G19" s="3310"/>
      <c r="H19" s="3297"/>
      <c r="J19" s="2600"/>
    </row>
    <row r="21" spans="2:10">
      <c r="F21" s="2600"/>
      <c r="H21" s="2600"/>
    </row>
    <row r="22" spans="2:10">
      <c r="B22" s="2563" t="s">
        <v>1654</v>
      </c>
      <c r="F22" s="2600"/>
    </row>
    <row r="23" spans="2:10">
      <c r="G23" s="2600"/>
      <c r="I23" s="2600"/>
    </row>
    <row r="24" spans="2:10">
      <c r="F24" s="2600"/>
      <c r="G24" s="2600"/>
    </row>
    <row r="25" spans="2:10">
      <c r="G25" s="2600"/>
      <c r="H25" s="2600"/>
    </row>
    <row r="26" spans="2:10">
      <c r="F26" s="2600"/>
      <c r="G26" s="2600"/>
    </row>
  </sheetData>
  <mergeCells count="38">
    <mergeCell ref="I12:I14"/>
    <mergeCell ref="H8:H9"/>
    <mergeCell ref="H10:H19"/>
    <mergeCell ref="B3:H4"/>
    <mergeCell ref="B6:D7"/>
    <mergeCell ref="E6:H7"/>
    <mergeCell ref="F14:F15"/>
    <mergeCell ref="F16:F17"/>
    <mergeCell ref="F18:F19"/>
    <mergeCell ref="G8:G9"/>
    <mergeCell ref="G10:G11"/>
    <mergeCell ref="G12:G13"/>
    <mergeCell ref="G14:G15"/>
    <mergeCell ref="G16:G17"/>
    <mergeCell ref="G18:G19"/>
    <mergeCell ref="B15:B17"/>
    <mergeCell ref="B18:B19"/>
    <mergeCell ref="C8:C9"/>
    <mergeCell ref="C10:C11"/>
    <mergeCell ref="C12:C14"/>
    <mergeCell ref="C15:C17"/>
    <mergeCell ref="C18:C19"/>
    <mergeCell ref="B1:D1"/>
    <mergeCell ref="B5:H5"/>
    <mergeCell ref="B8:B9"/>
    <mergeCell ref="B10:B11"/>
    <mergeCell ref="B12:B14"/>
    <mergeCell ref="D8:D9"/>
    <mergeCell ref="D10:D19"/>
    <mergeCell ref="E8:E9"/>
    <mergeCell ref="E10:E11"/>
    <mergeCell ref="E12:E13"/>
    <mergeCell ref="E14:E15"/>
    <mergeCell ref="E16:E17"/>
    <mergeCell ref="E18:E19"/>
    <mergeCell ref="F8:F9"/>
    <mergeCell ref="F10:F11"/>
    <mergeCell ref="F12:F13"/>
  </mergeCells>
  <phoneticPr fontId="378" type="noConversion"/>
  <hyperlinks>
    <hyperlink ref="I12:I14" location="总目录!A1" display="返回目录"/>
  </hyperlinks>
  <pageMargins left="0.69930555555555596" right="0.69930555555555596" top="0.75" bottom="0.75" header="0.3" footer="0.3"/>
  <pageSetup paperSize="9" orientation="portrait" horizontalDpi="200" verticalDpi="30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30"/>
  <sheetViews>
    <sheetView workbookViewId="0">
      <selection activeCell="I15" sqref="I15:I17"/>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4.375" style="2563" customWidth="1"/>
    <col min="6" max="6" width="18.625" style="2563" customWidth="1"/>
    <col min="7" max="7" width="13.875" style="2601" customWidth="1"/>
    <col min="8" max="8" width="14.375" style="2563" customWidth="1"/>
    <col min="9" max="16384" width="8.125" style="2563"/>
  </cols>
  <sheetData>
    <row r="1" spans="2:13">
      <c r="B1" s="3260" t="s">
        <v>5801</v>
      </c>
      <c r="C1" s="3260"/>
      <c r="D1" s="3260"/>
      <c r="E1" s="2566"/>
    </row>
    <row r="3" spans="2:13">
      <c r="B3" s="3298" t="s">
        <v>5814</v>
      </c>
      <c r="C3" s="3299"/>
      <c r="D3" s="3299"/>
      <c r="E3" s="3299"/>
      <c r="F3" s="3299"/>
      <c r="G3" s="3299"/>
      <c r="H3" s="3300"/>
    </row>
    <row r="4" spans="2:13">
      <c r="B4" s="3301"/>
      <c r="C4" s="3302"/>
      <c r="D4" s="3302"/>
      <c r="E4" s="3302"/>
      <c r="F4" s="3302"/>
      <c r="G4" s="3302"/>
      <c r="H4" s="3303"/>
    </row>
    <row r="5" spans="2:13" ht="4.5" customHeight="1">
      <c r="B5" s="3261"/>
      <c r="C5" s="3261"/>
      <c r="D5" s="3261"/>
      <c r="E5" s="3261"/>
      <c r="F5" s="3261"/>
      <c r="G5" s="3261"/>
      <c r="H5" s="3261"/>
    </row>
    <row r="6" spans="2:13">
      <c r="B6" s="3304" t="s">
        <v>1626</v>
      </c>
      <c r="C6" s="3305"/>
      <c r="D6" s="3306"/>
      <c r="E6" s="3304" t="s">
        <v>1627</v>
      </c>
      <c r="F6" s="3305"/>
      <c r="G6" s="3305"/>
      <c r="H6" s="3306"/>
    </row>
    <row r="7" spans="2:13">
      <c r="B7" s="3307"/>
      <c r="C7" s="3308"/>
      <c r="D7" s="3309"/>
      <c r="E7" s="3307"/>
      <c r="F7" s="3308"/>
      <c r="G7" s="3308"/>
      <c r="H7" s="3309"/>
    </row>
    <row r="8" spans="2:13">
      <c r="B8" s="3262" t="s">
        <v>1628</v>
      </c>
      <c r="C8" s="3269" t="s">
        <v>1629</v>
      </c>
      <c r="D8" s="3276" t="s">
        <v>1630</v>
      </c>
      <c r="E8" s="3281" t="s">
        <v>1631</v>
      </c>
      <c r="F8" s="3286" t="s">
        <v>1632</v>
      </c>
      <c r="G8" s="3311" t="s">
        <v>1633</v>
      </c>
      <c r="H8" s="3293" t="s">
        <v>1630</v>
      </c>
    </row>
    <row r="9" spans="2:13">
      <c r="B9" s="3263"/>
      <c r="C9" s="3270"/>
      <c r="D9" s="3277"/>
      <c r="E9" s="3282"/>
      <c r="F9" s="3287"/>
      <c r="G9" s="3312"/>
      <c r="H9" s="3294"/>
      <c r="J9" s="2600"/>
    </row>
    <row r="10" spans="2:13" ht="19.5" customHeight="1">
      <c r="B10" s="3264" t="s">
        <v>5815</v>
      </c>
      <c r="C10" s="3271">
        <v>12</v>
      </c>
      <c r="D10" s="3278"/>
      <c r="E10" s="3283" t="s">
        <v>5736</v>
      </c>
      <c r="F10" s="3283"/>
      <c r="G10" s="3313">
        <f>PI()/4*POWER(C10,2)-(C10*C18)</f>
        <v>41.097335529232602</v>
      </c>
      <c r="H10" s="3295" t="s">
        <v>5816</v>
      </c>
    </row>
    <row r="11" spans="2:13">
      <c r="B11" s="3265"/>
      <c r="C11" s="3272"/>
      <c r="D11" s="3279"/>
      <c r="E11" s="3284"/>
      <c r="F11" s="3284"/>
      <c r="G11" s="3289"/>
      <c r="H11" s="3296"/>
    </row>
    <row r="12" spans="2:13">
      <c r="B12" s="3265"/>
      <c r="C12" s="3272"/>
      <c r="D12" s="3279"/>
      <c r="E12" s="3285" t="s">
        <v>5738</v>
      </c>
      <c r="F12" s="3285"/>
      <c r="G12" s="3288">
        <f>PI()*POWER(C10,4)/64*(1-1.69*C18/C10)</f>
        <v>157.770783063279</v>
      </c>
      <c r="H12" s="3296"/>
      <c r="K12" s="2600"/>
    </row>
    <row r="13" spans="2:13">
      <c r="B13" s="3265"/>
      <c r="C13" s="3272"/>
      <c r="D13" s="3279"/>
      <c r="E13" s="3284"/>
      <c r="F13" s="3284"/>
      <c r="G13" s="3289"/>
      <c r="H13" s="3296"/>
      <c r="I13" s="2600"/>
      <c r="J13" s="2600"/>
    </row>
    <row r="14" spans="2:13" ht="17.25" thickBot="1">
      <c r="B14" s="3265"/>
      <c r="C14" s="3272"/>
      <c r="D14" s="3279"/>
      <c r="E14" s="3285" t="s">
        <v>5739</v>
      </c>
      <c r="F14" s="3285"/>
      <c r="G14" s="3288">
        <f>PI()*POWER(C10,4)/64*(1-(1.69*POWER(C18/C10,3)))</f>
        <v>802.84971058814006</v>
      </c>
      <c r="H14" s="3296"/>
      <c r="I14" s="2600"/>
    </row>
    <row r="15" spans="2:13">
      <c r="B15" s="3265"/>
      <c r="C15" s="3272"/>
      <c r="D15" s="3279"/>
      <c r="E15" s="3284"/>
      <c r="F15" s="3284"/>
      <c r="G15" s="3289"/>
      <c r="H15" s="3296"/>
      <c r="I15" s="3198" t="s">
        <v>12704</v>
      </c>
      <c r="L15" s="2600"/>
      <c r="M15" s="2600"/>
    </row>
    <row r="16" spans="2:13" ht="16.5" customHeight="1">
      <c r="B16" s="3265"/>
      <c r="C16" s="3272"/>
      <c r="D16" s="3279"/>
      <c r="E16" s="3285" t="s">
        <v>5740</v>
      </c>
      <c r="F16" s="3285"/>
      <c r="G16" s="3288">
        <f>PI()*POWER(C10,3)/32*(1-1.69*C18/C10)</f>
        <v>26.295130510546599</v>
      </c>
      <c r="H16" s="3296"/>
      <c r="I16" s="3199"/>
      <c r="J16" s="2600"/>
    </row>
    <row r="17" spans="2:11" ht="16.5" customHeight="1" thickBot="1">
      <c r="B17" s="3266"/>
      <c r="C17" s="3273"/>
      <c r="D17" s="3279"/>
      <c r="E17" s="3284"/>
      <c r="F17" s="3284"/>
      <c r="G17" s="3289"/>
      <c r="H17" s="3296"/>
      <c r="I17" s="3200"/>
      <c r="J17" s="2600"/>
      <c r="K17" s="2600"/>
    </row>
    <row r="18" spans="2:11" ht="16.5" customHeight="1">
      <c r="B18" s="3265" t="s">
        <v>5817</v>
      </c>
      <c r="C18" s="3274">
        <v>6</v>
      </c>
      <c r="D18" s="3279"/>
      <c r="E18" s="3285" t="s">
        <v>5741</v>
      </c>
      <c r="F18" s="3285"/>
      <c r="G18" s="3288">
        <f>PI()*POWER(C10,3)/32*(1-(1.69*POWER(C18/C10,3)))</f>
        <v>133.80828509802299</v>
      </c>
      <c r="H18" s="3296"/>
      <c r="J18" s="2600"/>
    </row>
    <row r="19" spans="2:11" ht="16.5" customHeight="1">
      <c r="B19" s="3265"/>
      <c r="C19" s="3272"/>
      <c r="D19" s="3279"/>
      <c r="E19" s="3284"/>
      <c r="F19" s="3284"/>
      <c r="G19" s="3289"/>
      <c r="H19" s="3296"/>
      <c r="J19" s="2600"/>
    </row>
    <row r="20" spans="2:11" ht="16.5" customHeight="1">
      <c r="B20" s="3265"/>
      <c r="C20" s="3272"/>
      <c r="D20" s="3279"/>
      <c r="E20" s="3285" t="s">
        <v>5744</v>
      </c>
      <c r="F20" s="3285"/>
      <c r="G20" s="3288">
        <f>C10/2</f>
        <v>6</v>
      </c>
      <c r="H20" s="3296"/>
      <c r="J20" s="2600"/>
    </row>
    <row r="21" spans="2:11" ht="16.5" customHeight="1">
      <c r="B21" s="3265"/>
      <c r="C21" s="3272"/>
      <c r="D21" s="3279"/>
      <c r="E21" s="3284"/>
      <c r="F21" s="3284"/>
      <c r="G21" s="3289"/>
      <c r="H21" s="3296"/>
      <c r="J21" s="2600"/>
    </row>
    <row r="22" spans="2:11" ht="16.5" customHeight="1">
      <c r="B22" s="3265"/>
      <c r="C22" s="3272"/>
      <c r="D22" s="3279"/>
      <c r="E22" s="3285" t="s">
        <v>5743</v>
      </c>
      <c r="F22" s="3285"/>
      <c r="G22" s="3288">
        <f>C10/2</f>
        <v>6</v>
      </c>
      <c r="H22" s="3296"/>
      <c r="J22" s="2600"/>
    </row>
    <row r="23" spans="2:11" ht="16.5" customHeight="1">
      <c r="B23" s="3265"/>
      <c r="C23" s="3272"/>
      <c r="D23" s="3279"/>
      <c r="E23" s="3284"/>
      <c r="F23" s="3284"/>
      <c r="G23" s="3289"/>
      <c r="H23" s="3296"/>
      <c r="J23" s="2600"/>
    </row>
    <row r="24" spans="2:11">
      <c r="B24" s="3265"/>
      <c r="C24" s="3272"/>
      <c r="D24" s="3279"/>
      <c r="E24" s="3285" t="s">
        <v>5745</v>
      </c>
      <c r="F24" s="3285"/>
      <c r="G24" s="3288">
        <f>SQRT(G12/G10)</f>
        <v>1.95932489890481</v>
      </c>
      <c r="H24" s="3296"/>
      <c r="J24" s="2600"/>
    </row>
    <row r="25" spans="2:11" ht="20.25" customHeight="1">
      <c r="B25" s="3268"/>
      <c r="C25" s="3275"/>
      <c r="D25" s="3280"/>
      <c r="E25" s="3290"/>
      <c r="F25" s="3290"/>
      <c r="G25" s="3310"/>
      <c r="H25" s="3297"/>
    </row>
    <row r="26" spans="2:11">
      <c r="J26" s="2600"/>
    </row>
    <row r="27" spans="2:11">
      <c r="F27" s="2600"/>
      <c r="H27" s="2600"/>
    </row>
    <row r="28" spans="2:11">
      <c r="B28" s="2563" t="s">
        <v>1654</v>
      </c>
      <c r="F28" s="2600"/>
    </row>
    <row r="30" spans="2:11">
      <c r="F30" s="2600"/>
    </row>
  </sheetData>
  <mergeCells count="43">
    <mergeCell ref="B3:H4"/>
    <mergeCell ref="B6:D7"/>
    <mergeCell ref="E6:H7"/>
    <mergeCell ref="I15:I17"/>
    <mergeCell ref="G18:G19"/>
    <mergeCell ref="G20:G21"/>
    <mergeCell ref="G22:G23"/>
    <mergeCell ref="G24:G25"/>
    <mergeCell ref="H8:H9"/>
    <mergeCell ref="H10:H25"/>
    <mergeCell ref="G8:G9"/>
    <mergeCell ref="G10:G11"/>
    <mergeCell ref="G12:G13"/>
    <mergeCell ref="G14:G15"/>
    <mergeCell ref="G16:G17"/>
    <mergeCell ref="E20:E21"/>
    <mergeCell ref="E22:E23"/>
    <mergeCell ref="E24:E25"/>
    <mergeCell ref="F8:F9"/>
    <mergeCell ref="F10:F11"/>
    <mergeCell ref="F12:F13"/>
    <mergeCell ref="F14:F15"/>
    <mergeCell ref="F16:F17"/>
    <mergeCell ref="F18:F19"/>
    <mergeCell ref="F20:F21"/>
    <mergeCell ref="F22:F23"/>
    <mergeCell ref="F24:F25"/>
    <mergeCell ref="B1:D1"/>
    <mergeCell ref="B5:H5"/>
    <mergeCell ref="B8:B9"/>
    <mergeCell ref="B10:B17"/>
    <mergeCell ref="B18:B25"/>
    <mergeCell ref="C8:C9"/>
    <mergeCell ref="C10:C17"/>
    <mergeCell ref="C18:C25"/>
    <mergeCell ref="D8:D9"/>
    <mergeCell ref="D10:D25"/>
    <mergeCell ref="E8:E9"/>
    <mergeCell ref="E10:E11"/>
    <mergeCell ref="E12:E13"/>
    <mergeCell ref="E14:E15"/>
    <mergeCell ref="E16:E17"/>
    <mergeCell ref="E18:E19"/>
  </mergeCells>
  <phoneticPr fontId="378" type="noConversion"/>
  <hyperlinks>
    <hyperlink ref="I15:I17" location="总目录!A1" display="返回目录"/>
  </hyperlinks>
  <pageMargins left="0.69930555555555596" right="0.69930555555555596" top="0.75" bottom="0.75" header="0.3" footer="0.3"/>
  <pageSetup paperSize="9" orientation="portrait" horizontalDpi="2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4"/>
  <sheetViews>
    <sheetView workbookViewId="0">
      <selection activeCell="I11" sqref="I11:I13"/>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4.375" style="2563" customWidth="1"/>
    <col min="6" max="6" width="12.875" style="2563" customWidth="1"/>
    <col min="7" max="7" width="11.75" style="2601" customWidth="1"/>
    <col min="8" max="8" width="12.875" style="2563" customWidth="1"/>
    <col min="9" max="16384" width="8.125" style="2563"/>
  </cols>
  <sheetData>
    <row r="1" spans="2:10">
      <c r="B1" s="3260" t="s">
        <v>5761</v>
      </c>
      <c r="C1" s="3260"/>
      <c r="D1" s="3260"/>
      <c r="E1" s="2566"/>
    </row>
    <row r="3" spans="2:10">
      <c r="B3" s="3298" t="s">
        <v>5818</v>
      </c>
      <c r="C3" s="3299"/>
      <c r="D3" s="3299"/>
      <c r="E3" s="3299"/>
      <c r="F3" s="3299"/>
      <c r="G3" s="3299"/>
      <c r="H3" s="3300"/>
    </row>
    <row r="4" spans="2:10">
      <c r="B4" s="3301"/>
      <c r="C4" s="3302"/>
      <c r="D4" s="3302"/>
      <c r="E4" s="3302"/>
      <c r="F4" s="3302"/>
      <c r="G4" s="3302"/>
      <c r="H4" s="3303"/>
    </row>
    <row r="5" spans="2:10" ht="4.5" customHeight="1">
      <c r="B5" s="3261"/>
      <c r="C5" s="3261"/>
      <c r="D5" s="3261"/>
      <c r="E5" s="3261"/>
      <c r="F5" s="3261"/>
      <c r="G5" s="3261"/>
      <c r="H5" s="3261"/>
    </row>
    <row r="6" spans="2:10">
      <c r="B6" s="3304" t="s">
        <v>1626</v>
      </c>
      <c r="C6" s="3305"/>
      <c r="D6" s="3306"/>
      <c r="E6" s="3304" t="s">
        <v>1627</v>
      </c>
      <c r="F6" s="3305"/>
      <c r="G6" s="3305"/>
      <c r="H6" s="3306"/>
    </row>
    <row r="7" spans="2:10">
      <c r="B7" s="3307"/>
      <c r="C7" s="3308"/>
      <c r="D7" s="3309"/>
      <c r="E7" s="3307"/>
      <c r="F7" s="3308"/>
      <c r="G7" s="3308"/>
      <c r="H7" s="3309"/>
    </row>
    <row r="8" spans="2:10">
      <c r="B8" s="3262" t="s">
        <v>1628</v>
      </c>
      <c r="C8" s="3269" t="s">
        <v>1629</v>
      </c>
      <c r="D8" s="3276" t="s">
        <v>1630</v>
      </c>
      <c r="E8" s="3281" t="s">
        <v>1631</v>
      </c>
      <c r="F8" s="3286" t="s">
        <v>1632</v>
      </c>
      <c r="G8" s="3311" t="s">
        <v>1633</v>
      </c>
      <c r="H8" s="3293" t="s">
        <v>1630</v>
      </c>
    </row>
    <row r="9" spans="2:10">
      <c r="B9" s="3263"/>
      <c r="C9" s="3270"/>
      <c r="D9" s="3277"/>
      <c r="E9" s="3282"/>
      <c r="F9" s="3287"/>
      <c r="G9" s="3312"/>
      <c r="H9" s="3294"/>
      <c r="J9" s="2600"/>
    </row>
    <row r="10" spans="2:10" ht="19.5" customHeight="1" thickBot="1">
      <c r="B10" s="3264" t="s">
        <v>5788</v>
      </c>
      <c r="C10" s="3271">
        <v>8</v>
      </c>
      <c r="D10" s="3278"/>
      <c r="E10" s="3283" t="s">
        <v>5736</v>
      </c>
      <c r="F10" s="3283"/>
      <c r="G10" s="3313">
        <f>4*C10*(C10/15)</f>
        <v>17.066666666666698</v>
      </c>
      <c r="H10" s="3295" t="s">
        <v>5819</v>
      </c>
    </row>
    <row r="11" spans="2:10">
      <c r="B11" s="3265"/>
      <c r="C11" s="3272"/>
      <c r="D11" s="3279"/>
      <c r="E11" s="3284"/>
      <c r="F11" s="3284"/>
      <c r="G11" s="3289"/>
      <c r="H11" s="3296"/>
      <c r="I11" s="3198" t="s">
        <v>12704</v>
      </c>
    </row>
    <row r="12" spans="2:10">
      <c r="B12" s="3265"/>
      <c r="C12" s="3272"/>
      <c r="D12" s="3279"/>
      <c r="E12" s="3285" t="s">
        <v>5785</v>
      </c>
      <c r="F12" s="3285"/>
      <c r="G12" s="3288">
        <f>2/3*POWER(C10,3)*(C10/15)</f>
        <v>182.044444444444</v>
      </c>
      <c r="H12" s="3296"/>
      <c r="I12" s="3199"/>
      <c r="J12" s="2600"/>
    </row>
    <row r="13" spans="2:10" ht="17.25" thickBot="1">
      <c r="B13" s="3265"/>
      <c r="C13" s="3272"/>
      <c r="D13" s="3279"/>
      <c r="E13" s="3284"/>
      <c r="F13" s="3284"/>
      <c r="G13" s="3289"/>
      <c r="H13" s="3296"/>
      <c r="I13" s="3200"/>
    </row>
    <row r="14" spans="2:10" ht="16.5" customHeight="1">
      <c r="B14" s="3265"/>
      <c r="C14" s="3272"/>
      <c r="D14" s="3279"/>
      <c r="E14" s="3285" t="s">
        <v>5820</v>
      </c>
      <c r="F14" s="3285"/>
      <c r="G14" s="3288">
        <f>4/3*POWER(C10,3)*(C10/15)</f>
        <v>364.08888888888902</v>
      </c>
      <c r="H14" s="3296"/>
      <c r="J14" s="2600"/>
    </row>
    <row r="15" spans="2:10" ht="16.5" customHeight="1">
      <c r="B15" s="3265"/>
      <c r="C15" s="3272"/>
      <c r="D15" s="3279"/>
      <c r="E15" s="3284"/>
      <c r="F15" s="3284"/>
      <c r="G15" s="3289"/>
      <c r="H15" s="3296"/>
      <c r="J15" s="2600"/>
    </row>
    <row r="16" spans="2:10" ht="16.5" customHeight="1">
      <c r="B16" s="3265"/>
      <c r="C16" s="3272"/>
      <c r="D16" s="3279"/>
      <c r="E16" s="3285" t="s">
        <v>5743</v>
      </c>
      <c r="F16" s="3285"/>
      <c r="G16" s="3288">
        <f>C10/2</f>
        <v>4</v>
      </c>
      <c r="H16" s="3296"/>
      <c r="J16" s="2600"/>
    </row>
    <row r="17" spans="2:10" ht="16.5" customHeight="1">
      <c r="B17" s="3265"/>
      <c r="C17" s="3272"/>
      <c r="D17" s="3279"/>
      <c r="E17" s="3284"/>
      <c r="F17" s="3284"/>
      <c r="G17" s="3289"/>
      <c r="H17" s="3296"/>
      <c r="J17" s="2600"/>
    </row>
    <row r="18" spans="2:10">
      <c r="B18" s="3265"/>
      <c r="C18" s="3272"/>
      <c r="D18" s="3279"/>
      <c r="E18" s="3285" t="s">
        <v>5760</v>
      </c>
      <c r="F18" s="3285"/>
      <c r="G18" s="3288">
        <f>C10/SQRT(6)</f>
        <v>3.2659863237109001</v>
      </c>
      <c r="H18" s="3296"/>
      <c r="J18" s="2600"/>
    </row>
    <row r="19" spans="2:10">
      <c r="B19" s="3268"/>
      <c r="C19" s="3275"/>
      <c r="D19" s="3280"/>
      <c r="E19" s="3290"/>
      <c r="F19" s="3290"/>
      <c r="G19" s="3310"/>
      <c r="H19" s="3297"/>
    </row>
    <row r="20" spans="2:10">
      <c r="G20" s="2600"/>
    </row>
    <row r="21" spans="2:10">
      <c r="F21" s="2600"/>
      <c r="H21" s="2600"/>
    </row>
    <row r="22" spans="2:10">
      <c r="B22" s="2563" t="s">
        <v>1654</v>
      </c>
      <c r="F22" s="2600"/>
      <c r="G22" s="2600"/>
    </row>
    <row r="24" spans="2:10">
      <c r="E24" s="2600"/>
      <c r="F24" s="2600"/>
      <c r="H24" s="2600"/>
    </row>
  </sheetData>
  <mergeCells count="32">
    <mergeCell ref="I11:I13"/>
    <mergeCell ref="H8:H9"/>
    <mergeCell ref="H10:H19"/>
    <mergeCell ref="B3:H4"/>
    <mergeCell ref="B6:D7"/>
    <mergeCell ref="E6:H7"/>
    <mergeCell ref="F12:F13"/>
    <mergeCell ref="F14:F15"/>
    <mergeCell ref="F16:F17"/>
    <mergeCell ref="F18:F19"/>
    <mergeCell ref="G8:G9"/>
    <mergeCell ref="G10:G11"/>
    <mergeCell ref="G12:G13"/>
    <mergeCell ref="G14:G15"/>
    <mergeCell ref="G16:G17"/>
    <mergeCell ref="G18:G19"/>
    <mergeCell ref="B1:D1"/>
    <mergeCell ref="B5:H5"/>
    <mergeCell ref="B8:B9"/>
    <mergeCell ref="B10:B19"/>
    <mergeCell ref="C8:C9"/>
    <mergeCell ref="C10:C19"/>
    <mergeCell ref="D8:D9"/>
    <mergeCell ref="D10:D19"/>
    <mergeCell ref="E8:E9"/>
    <mergeCell ref="E10:E11"/>
    <mergeCell ref="E12:E13"/>
    <mergeCell ref="E14:E15"/>
    <mergeCell ref="E16:E17"/>
    <mergeCell ref="E18:E19"/>
    <mergeCell ref="F8:F9"/>
    <mergeCell ref="F10:F11"/>
  </mergeCells>
  <phoneticPr fontId="378" type="noConversion"/>
  <hyperlinks>
    <hyperlink ref="I11:I13" location="总目录!A1" display="返回目录"/>
  </hyperlinks>
  <pageMargins left="0.69930555555555596" right="0.69930555555555596" top="0.75" bottom="0.75" header="0.3" footer="0.3"/>
  <pageSetup paperSize="9" orientation="portrait" horizontalDpi="200" verticalDpi="30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8"/>
  <sheetViews>
    <sheetView workbookViewId="0">
      <selection activeCell="I13" sqref="I13:I15"/>
    </sheetView>
  </sheetViews>
  <sheetFormatPr defaultColWidth="8.125" defaultRowHeight="16.5"/>
  <cols>
    <col min="1" max="1" width="0.25" style="2563" customWidth="1"/>
    <col min="2" max="2" width="18.375" style="2563" customWidth="1"/>
    <col min="3" max="3" width="9.25" style="2563" customWidth="1"/>
    <col min="4" max="4" width="21.875" style="2563" customWidth="1"/>
    <col min="5" max="5" width="22.75" style="2563" customWidth="1"/>
    <col min="6" max="6" width="32.25" style="2563" customWidth="1"/>
    <col min="7" max="7" width="10.75" style="2601" customWidth="1"/>
    <col min="8" max="8" width="8.25" style="2563" customWidth="1"/>
    <col min="9" max="16384" width="8.125" style="2563"/>
  </cols>
  <sheetData>
    <row r="1" spans="2:11">
      <c r="B1" s="3260" t="s">
        <v>5801</v>
      </c>
      <c r="C1" s="3260"/>
      <c r="D1" s="3260"/>
      <c r="E1" s="2566"/>
    </row>
    <row r="3" spans="2:11">
      <c r="B3" s="3298" t="s">
        <v>5821</v>
      </c>
      <c r="C3" s="3299"/>
      <c r="D3" s="3299"/>
      <c r="E3" s="3299"/>
      <c r="F3" s="3299"/>
      <c r="G3" s="3299"/>
      <c r="H3" s="3300"/>
    </row>
    <row r="4" spans="2:11">
      <c r="B4" s="3301"/>
      <c r="C4" s="3302"/>
      <c r="D4" s="3302"/>
      <c r="E4" s="3302"/>
      <c r="F4" s="3302"/>
      <c r="G4" s="3302"/>
      <c r="H4" s="3303"/>
    </row>
    <row r="5" spans="2:11" ht="4.5" customHeight="1">
      <c r="B5" s="3261"/>
      <c r="C5" s="3261"/>
      <c r="D5" s="3261"/>
      <c r="E5" s="3261"/>
      <c r="F5" s="3261"/>
      <c r="G5" s="3261"/>
      <c r="H5" s="3261"/>
    </row>
    <row r="6" spans="2:11">
      <c r="B6" s="3304" t="s">
        <v>1626</v>
      </c>
      <c r="C6" s="3305"/>
      <c r="D6" s="3306"/>
      <c r="E6" s="3304" t="s">
        <v>1627</v>
      </c>
      <c r="F6" s="3305"/>
      <c r="G6" s="3305"/>
      <c r="H6" s="3306"/>
    </row>
    <row r="7" spans="2:11">
      <c r="B7" s="3307"/>
      <c r="C7" s="3308"/>
      <c r="D7" s="3309"/>
      <c r="E7" s="3307"/>
      <c r="F7" s="3308"/>
      <c r="G7" s="3308"/>
      <c r="H7" s="3309"/>
    </row>
    <row r="8" spans="2:11">
      <c r="B8" s="3262" t="s">
        <v>1628</v>
      </c>
      <c r="C8" s="3269" t="s">
        <v>1629</v>
      </c>
      <c r="D8" s="3276" t="s">
        <v>1630</v>
      </c>
      <c r="E8" s="3281" t="s">
        <v>1631</v>
      </c>
      <c r="F8" s="3286" t="s">
        <v>1632</v>
      </c>
      <c r="G8" s="3311" t="s">
        <v>1633</v>
      </c>
      <c r="H8" s="3293" t="s">
        <v>1630</v>
      </c>
    </row>
    <row r="9" spans="2:11">
      <c r="B9" s="3263"/>
      <c r="C9" s="3270"/>
      <c r="D9" s="3277"/>
      <c r="E9" s="3282"/>
      <c r="F9" s="3287"/>
      <c r="G9" s="3312"/>
      <c r="H9" s="3294"/>
      <c r="J9" s="2600"/>
    </row>
    <row r="10" spans="2:11" ht="19.5" customHeight="1">
      <c r="B10" s="3264" t="s">
        <v>5822</v>
      </c>
      <c r="C10" s="3271">
        <v>9</v>
      </c>
      <c r="D10" s="3278"/>
      <c r="E10" s="3283" t="s">
        <v>5736</v>
      </c>
      <c r="F10" s="3283"/>
      <c r="G10" s="3313">
        <f>PI()*(POWER(C10,2)-POWER(C17,2))/8</f>
        <v>21.991148575128602</v>
      </c>
      <c r="H10" s="3295"/>
    </row>
    <row r="11" spans="2:11">
      <c r="B11" s="3265"/>
      <c r="C11" s="3272"/>
      <c r="D11" s="3279"/>
      <c r="E11" s="3284"/>
      <c r="F11" s="3284"/>
      <c r="G11" s="3289"/>
      <c r="H11" s="3296"/>
    </row>
    <row r="12" spans="2:11" ht="17.25" thickBot="1">
      <c r="B12" s="3265"/>
      <c r="C12" s="3272"/>
      <c r="D12" s="3279"/>
      <c r="E12" s="3285" t="s">
        <v>5738</v>
      </c>
      <c r="F12" s="3285"/>
      <c r="G12" s="3288">
        <f>0.00686*(POWER(C10,4)-POWER(C17,4))-(0.0177*POWER(C10,2)*POWER(C17,2)*(C10-C17))/(C10+C17)</f>
        <v>30.480245714285701</v>
      </c>
      <c r="H12" s="3296"/>
      <c r="J12" s="2600"/>
    </row>
    <row r="13" spans="2:11">
      <c r="B13" s="3265"/>
      <c r="C13" s="3272"/>
      <c r="D13" s="3279"/>
      <c r="E13" s="3284"/>
      <c r="F13" s="3284"/>
      <c r="G13" s="3289"/>
      <c r="H13" s="3296"/>
      <c r="I13" s="3198" t="s">
        <v>12704</v>
      </c>
      <c r="K13" s="2600"/>
    </row>
    <row r="14" spans="2:11">
      <c r="B14" s="3265"/>
      <c r="C14" s="3272"/>
      <c r="D14" s="3279"/>
      <c r="E14" s="3285" t="s">
        <v>5739</v>
      </c>
      <c r="F14" s="3285"/>
      <c r="G14" s="3288">
        <f>PI()*(POWER(C10,4)-POWER(C17,4))/128</f>
        <v>145.691359310227</v>
      </c>
      <c r="H14" s="3296"/>
      <c r="I14" s="3199"/>
      <c r="J14" s="2600"/>
    </row>
    <row r="15" spans="2:11" ht="17.25" thickBot="1">
      <c r="B15" s="3265"/>
      <c r="C15" s="3272"/>
      <c r="D15" s="3279"/>
      <c r="E15" s="3284"/>
      <c r="F15" s="3284"/>
      <c r="G15" s="3289"/>
      <c r="H15" s="3296"/>
      <c r="I15" s="3200"/>
      <c r="J15" s="2600"/>
    </row>
    <row r="16" spans="2:11" ht="16.5" customHeight="1">
      <c r="B16" s="3266"/>
      <c r="C16" s="3273"/>
      <c r="D16" s="3279"/>
      <c r="E16" s="3285" t="s">
        <v>5741</v>
      </c>
      <c r="F16" s="3285"/>
      <c r="G16" s="3288">
        <f>(PI()*POWER(C17,3)/64)*(1-(POWER(C17,4)/POWER(C10,4)))</f>
        <v>5.5514159164085797</v>
      </c>
      <c r="H16" s="3296"/>
      <c r="J16" s="2600"/>
      <c r="K16" s="2600"/>
    </row>
    <row r="17" spans="2:11" ht="16.5" customHeight="1">
      <c r="B17" s="3267" t="s">
        <v>5823</v>
      </c>
      <c r="C17" s="3274">
        <v>5</v>
      </c>
      <c r="D17" s="3279"/>
      <c r="E17" s="3284"/>
      <c r="F17" s="3284"/>
      <c r="G17" s="3289"/>
      <c r="H17" s="3296"/>
      <c r="J17" s="2600"/>
    </row>
    <row r="18" spans="2:11" ht="16.5" customHeight="1">
      <c r="B18" s="3265"/>
      <c r="C18" s="3272"/>
      <c r="D18" s="3279"/>
      <c r="E18" s="3285" t="s">
        <v>5767</v>
      </c>
      <c r="F18" s="3285"/>
      <c r="G18" s="3288">
        <f>2*(POWER(C10,2)+C10*C17+POWER(C17,2))/(3*PI()*(C10+C17))</f>
        <v>2.2887996577977301</v>
      </c>
      <c r="H18" s="3296"/>
      <c r="J18" s="2600"/>
      <c r="K18" s="2600"/>
    </row>
    <row r="19" spans="2:11" ht="16.5" customHeight="1">
      <c r="B19" s="3265"/>
      <c r="C19" s="3272"/>
      <c r="D19" s="3279"/>
      <c r="E19" s="3284"/>
      <c r="F19" s="3284"/>
      <c r="G19" s="3289"/>
      <c r="H19" s="3296"/>
      <c r="J19" s="2600"/>
    </row>
    <row r="20" spans="2:11" ht="20.25" customHeight="1">
      <c r="B20" s="3265"/>
      <c r="C20" s="3272"/>
      <c r="D20" s="3279"/>
      <c r="E20" s="3285" t="s">
        <v>5745</v>
      </c>
      <c r="F20" s="3285"/>
      <c r="G20" s="3288">
        <f>SQRT(G12/G10)</f>
        <v>1.17729493477744</v>
      </c>
      <c r="H20" s="3296"/>
      <c r="J20" s="2600"/>
    </row>
    <row r="21" spans="2:11" ht="19.5" customHeight="1">
      <c r="B21" s="3265"/>
      <c r="C21" s="3272"/>
      <c r="D21" s="3279"/>
      <c r="E21" s="3284"/>
      <c r="F21" s="3284"/>
      <c r="G21" s="3289"/>
      <c r="H21" s="3296"/>
      <c r="J21" s="2600"/>
    </row>
    <row r="22" spans="2:11">
      <c r="B22" s="3265"/>
      <c r="C22" s="3272"/>
      <c r="D22" s="3279"/>
      <c r="E22" s="3285" t="s">
        <v>5746</v>
      </c>
      <c r="F22" s="3285"/>
      <c r="G22" s="3288">
        <f>1/4*SQRT(POWER(C10,2)+POWER(C17,2))</f>
        <v>2.5739075352467502</v>
      </c>
      <c r="H22" s="3296"/>
      <c r="J22" s="2600"/>
    </row>
    <row r="23" spans="2:11">
      <c r="B23" s="3268"/>
      <c r="C23" s="3275"/>
      <c r="D23" s="3280"/>
      <c r="E23" s="3290"/>
      <c r="F23" s="3290"/>
      <c r="G23" s="3310"/>
      <c r="H23" s="3297"/>
      <c r="J23" s="2600"/>
    </row>
    <row r="25" spans="2:11">
      <c r="D25" s="2600"/>
      <c r="F25" s="2600"/>
      <c r="H25" s="2600"/>
    </row>
    <row r="26" spans="2:11">
      <c r="B26" s="2563" t="s">
        <v>1654</v>
      </c>
      <c r="F26" s="2600"/>
    </row>
    <row r="28" spans="2:11">
      <c r="F28" s="2600"/>
    </row>
  </sheetData>
  <mergeCells count="40">
    <mergeCell ref="B3:H4"/>
    <mergeCell ref="B6:D7"/>
    <mergeCell ref="E6:H7"/>
    <mergeCell ref="I13:I15"/>
    <mergeCell ref="G18:G19"/>
    <mergeCell ref="G20:G21"/>
    <mergeCell ref="G22:G23"/>
    <mergeCell ref="H8:H9"/>
    <mergeCell ref="H10:H23"/>
    <mergeCell ref="G8:G9"/>
    <mergeCell ref="G10:G11"/>
    <mergeCell ref="G12:G13"/>
    <mergeCell ref="G14:G15"/>
    <mergeCell ref="G16:G17"/>
    <mergeCell ref="E20:E21"/>
    <mergeCell ref="E22:E23"/>
    <mergeCell ref="F8:F9"/>
    <mergeCell ref="F10:F11"/>
    <mergeCell ref="F12:F13"/>
    <mergeCell ref="F14:F15"/>
    <mergeCell ref="F16:F17"/>
    <mergeCell ref="F18:F19"/>
    <mergeCell ref="F20:F21"/>
    <mergeCell ref="F22:F23"/>
    <mergeCell ref="B1:D1"/>
    <mergeCell ref="B5:H5"/>
    <mergeCell ref="B8:B9"/>
    <mergeCell ref="B10:B16"/>
    <mergeCell ref="B17:B23"/>
    <mergeCell ref="C8:C9"/>
    <mergeCell ref="C10:C16"/>
    <mergeCell ref="C17:C23"/>
    <mergeCell ref="D8:D9"/>
    <mergeCell ref="D10:D23"/>
    <mergeCell ref="E8:E9"/>
    <mergeCell ref="E10:E11"/>
    <mergeCell ref="E12:E13"/>
    <mergeCell ref="E14:E15"/>
    <mergeCell ref="E16:E17"/>
    <mergeCell ref="E18:E19"/>
  </mergeCells>
  <phoneticPr fontId="378" type="noConversion"/>
  <hyperlinks>
    <hyperlink ref="I13:I15" location="总目录!A1" display="返回目录"/>
  </hyperlinks>
  <pageMargins left="0.69930555555555596" right="0.69930555555555596" top="0.75" bottom="0.75" header="0.3" footer="0.3"/>
  <pageSetup paperSize="9" orientation="portrait" horizontalDpi="2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2"/>
  <sheetViews>
    <sheetView workbookViewId="0">
      <selection activeCell="I14" sqref="I14:I16"/>
    </sheetView>
  </sheetViews>
  <sheetFormatPr defaultColWidth="8.125" defaultRowHeight="16.5"/>
  <cols>
    <col min="1" max="1" width="0.25" style="2563" customWidth="1"/>
    <col min="2" max="2" width="19.5" style="2563" customWidth="1"/>
    <col min="3" max="3" width="9.375" style="2563" customWidth="1"/>
    <col min="4" max="4" width="22.75" style="2563" customWidth="1"/>
    <col min="5" max="5" width="24.375" style="2563" customWidth="1"/>
    <col min="6" max="6" width="12.5" style="2563" customWidth="1"/>
    <col min="7" max="7" width="15" style="2601" customWidth="1"/>
    <col min="8" max="8" width="8.25" style="2563" customWidth="1"/>
    <col min="9" max="16384" width="8.125" style="2563"/>
  </cols>
  <sheetData>
    <row r="1" spans="2:12">
      <c r="B1" s="3260" t="s">
        <v>5801</v>
      </c>
      <c r="C1" s="3260"/>
      <c r="D1" s="3260"/>
      <c r="E1" s="2566"/>
    </row>
    <row r="3" spans="2:12">
      <c r="B3" s="3298" t="s">
        <v>5824</v>
      </c>
      <c r="C3" s="3299"/>
      <c r="D3" s="3299"/>
      <c r="E3" s="3299"/>
      <c r="F3" s="3299"/>
      <c r="G3" s="3299"/>
      <c r="H3" s="3300"/>
    </row>
    <row r="4" spans="2:12">
      <c r="B4" s="3301"/>
      <c r="C4" s="3302"/>
      <c r="D4" s="3302"/>
      <c r="E4" s="3302"/>
      <c r="F4" s="3302"/>
      <c r="G4" s="3302"/>
      <c r="H4" s="3303"/>
    </row>
    <row r="5" spans="2:12" ht="4.5" customHeight="1">
      <c r="B5" s="3261"/>
      <c r="C5" s="3261"/>
      <c r="D5" s="3261"/>
      <c r="E5" s="3261"/>
      <c r="F5" s="3261"/>
      <c r="G5" s="3261"/>
      <c r="H5" s="3261"/>
    </row>
    <row r="6" spans="2:12">
      <c r="B6" s="3304" t="s">
        <v>1626</v>
      </c>
      <c r="C6" s="3305"/>
      <c r="D6" s="3306"/>
      <c r="E6" s="3304" t="s">
        <v>1627</v>
      </c>
      <c r="F6" s="3305"/>
      <c r="G6" s="3305"/>
      <c r="H6" s="3306"/>
    </row>
    <row r="7" spans="2:12">
      <c r="B7" s="3307"/>
      <c r="C7" s="3308"/>
      <c r="D7" s="3309"/>
      <c r="E7" s="3307"/>
      <c r="F7" s="3308"/>
      <c r="G7" s="3308"/>
      <c r="H7" s="3309"/>
    </row>
    <row r="8" spans="2:12">
      <c r="B8" s="3262" t="s">
        <v>1628</v>
      </c>
      <c r="C8" s="3269" t="s">
        <v>1629</v>
      </c>
      <c r="D8" s="3276" t="s">
        <v>1630</v>
      </c>
      <c r="E8" s="3281" t="s">
        <v>1631</v>
      </c>
      <c r="F8" s="3286" t="s">
        <v>1632</v>
      </c>
      <c r="G8" s="3311" t="s">
        <v>1633</v>
      </c>
      <c r="H8" s="3293" t="s">
        <v>1630</v>
      </c>
    </row>
    <row r="9" spans="2:12">
      <c r="B9" s="3263"/>
      <c r="C9" s="3270"/>
      <c r="D9" s="3277"/>
      <c r="E9" s="3282"/>
      <c r="F9" s="3287"/>
      <c r="G9" s="3312"/>
      <c r="H9" s="3294"/>
      <c r="J9" s="2600"/>
    </row>
    <row r="10" spans="2:12" ht="19.5" customHeight="1">
      <c r="B10" s="3264" t="s">
        <v>5825</v>
      </c>
      <c r="C10" s="3271">
        <v>15</v>
      </c>
      <c r="D10" s="3278"/>
      <c r="E10" s="3283" t="s">
        <v>5736</v>
      </c>
      <c r="F10" s="3283"/>
      <c r="G10" s="3313">
        <f>PI()/8*POWER(C10,2)</f>
        <v>88.357293382212902</v>
      </c>
      <c r="H10" s="3295"/>
    </row>
    <row r="11" spans="2:12">
      <c r="B11" s="3265"/>
      <c r="C11" s="3272"/>
      <c r="D11" s="3279"/>
      <c r="E11" s="3284"/>
      <c r="F11" s="3284"/>
      <c r="G11" s="3289"/>
      <c r="H11" s="3328"/>
      <c r="J11" s="2600"/>
    </row>
    <row r="12" spans="2:12">
      <c r="B12" s="3265"/>
      <c r="C12" s="3272"/>
      <c r="D12" s="3279"/>
      <c r="E12" s="3285" t="s">
        <v>5738</v>
      </c>
      <c r="F12" s="3285"/>
      <c r="G12" s="3288">
        <f>0.00686*POWER(C10,4)</f>
        <v>347.28750000000002</v>
      </c>
      <c r="H12" s="3327"/>
    </row>
    <row r="13" spans="2:12" ht="17.25" thickBot="1">
      <c r="B13" s="3265"/>
      <c r="C13" s="3272"/>
      <c r="D13" s="3279"/>
      <c r="E13" s="3284"/>
      <c r="F13" s="3284"/>
      <c r="G13" s="3289"/>
      <c r="H13" s="3328"/>
      <c r="I13" s="2600"/>
      <c r="K13" s="2600"/>
    </row>
    <row r="14" spans="2:12">
      <c r="B14" s="3265"/>
      <c r="C14" s="3272"/>
      <c r="D14" s="3279"/>
      <c r="E14" s="3285" t="s">
        <v>5739</v>
      </c>
      <c r="F14" s="3285"/>
      <c r="G14" s="3288">
        <f>PI()/128*POWER(C10,4)</f>
        <v>1242.5244381873699</v>
      </c>
      <c r="H14" s="3327"/>
      <c r="I14" s="3198" t="s">
        <v>12704</v>
      </c>
      <c r="J14" s="2600"/>
    </row>
    <row r="15" spans="2:12">
      <c r="B15" s="3265"/>
      <c r="C15" s="3272"/>
      <c r="D15" s="3279"/>
      <c r="E15" s="3284"/>
      <c r="F15" s="3284"/>
      <c r="G15" s="3289"/>
      <c r="H15" s="3328"/>
      <c r="I15" s="3199"/>
    </row>
    <row r="16" spans="2:12" ht="16.5" customHeight="1" thickBot="1">
      <c r="B16" s="3265"/>
      <c r="C16" s="3272"/>
      <c r="D16" s="3279"/>
      <c r="E16" s="3285" t="s">
        <v>5740</v>
      </c>
      <c r="F16" s="3285"/>
      <c r="G16" s="3288">
        <f>0.239*POWER(C10,3)</f>
        <v>806.625</v>
      </c>
      <c r="H16" s="3327"/>
      <c r="I16" s="3200"/>
      <c r="J16" s="2600"/>
      <c r="L16" s="2600"/>
    </row>
    <row r="17" spans="2:11" ht="16.5" customHeight="1">
      <c r="B17" s="3265"/>
      <c r="C17" s="3272"/>
      <c r="D17" s="3279"/>
      <c r="E17" s="3284"/>
      <c r="F17" s="3284"/>
      <c r="G17" s="3289"/>
      <c r="H17" s="3328"/>
      <c r="J17" s="2600"/>
      <c r="K17" s="2600"/>
    </row>
    <row r="18" spans="2:11" ht="16.5" customHeight="1">
      <c r="B18" s="3265"/>
      <c r="C18" s="3272"/>
      <c r="D18" s="3279"/>
      <c r="E18" s="3285" t="s">
        <v>5741</v>
      </c>
      <c r="F18" s="3285"/>
      <c r="G18" s="3288">
        <f>PI()/64*POWER(C10,3)</f>
        <v>165.66992509164899</v>
      </c>
      <c r="H18" s="3327"/>
      <c r="J18" s="2600"/>
      <c r="K18" s="2600"/>
    </row>
    <row r="19" spans="2:11" ht="16.5" customHeight="1">
      <c r="B19" s="3265"/>
      <c r="C19" s="3272"/>
      <c r="D19" s="3279"/>
      <c r="E19" s="3284"/>
      <c r="F19" s="3284"/>
      <c r="G19" s="3289"/>
      <c r="H19" s="3328"/>
      <c r="J19" s="2600"/>
    </row>
    <row r="20" spans="2:11" ht="16.5" customHeight="1">
      <c r="B20" s="3265"/>
      <c r="C20" s="3272"/>
      <c r="D20" s="3279"/>
      <c r="E20" s="3285" t="s">
        <v>5743</v>
      </c>
      <c r="F20" s="3285"/>
      <c r="G20" s="3288">
        <f>0.2878*C10</f>
        <v>4.3170000000000002</v>
      </c>
      <c r="H20" s="3327"/>
      <c r="J20" s="2600"/>
    </row>
    <row r="21" spans="2:11" ht="16.5" customHeight="1">
      <c r="B21" s="3265"/>
      <c r="C21" s="3272"/>
      <c r="D21" s="3279"/>
      <c r="E21" s="3284"/>
      <c r="F21" s="3284"/>
      <c r="G21" s="3289"/>
      <c r="H21" s="3328"/>
      <c r="J21" s="2600"/>
    </row>
    <row r="22" spans="2:11" ht="16.5" customHeight="1">
      <c r="B22" s="3265"/>
      <c r="C22" s="3272"/>
      <c r="D22" s="3279"/>
      <c r="E22" s="3285" t="s">
        <v>5767</v>
      </c>
      <c r="F22" s="3285"/>
      <c r="G22" s="3288">
        <f>0.2122*C10</f>
        <v>3.1829999999999998</v>
      </c>
      <c r="H22" s="3327"/>
      <c r="I22" s="2600"/>
      <c r="J22" s="2600"/>
    </row>
    <row r="23" spans="2:11" ht="16.5" customHeight="1">
      <c r="B23" s="3265"/>
      <c r="C23" s="3272"/>
      <c r="D23" s="3279"/>
      <c r="E23" s="3284"/>
      <c r="F23" s="3284"/>
      <c r="G23" s="3289"/>
      <c r="H23" s="3328"/>
      <c r="J23" s="2600"/>
    </row>
    <row r="24" spans="2:11" ht="16.5" customHeight="1">
      <c r="B24" s="3265"/>
      <c r="C24" s="3272"/>
      <c r="D24" s="3279"/>
      <c r="E24" s="3285" t="s">
        <v>5745</v>
      </c>
      <c r="F24" s="3285"/>
      <c r="G24" s="3288">
        <f>0.1319*C10</f>
        <v>1.9784999999999999</v>
      </c>
      <c r="H24" s="3327"/>
      <c r="J24" s="2600"/>
    </row>
    <row r="25" spans="2:11" ht="16.5" customHeight="1">
      <c r="B25" s="3265"/>
      <c r="C25" s="3272"/>
      <c r="D25" s="3279"/>
      <c r="E25" s="3284"/>
      <c r="F25" s="3284"/>
      <c r="G25" s="3289"/>
      <c r="H25" s="3328"/>
      <c r="J25" s="2600"/>
      <c r="K25" s="2600"/>
    </row>
    <row r="26" spans="2:11">
      <c r="B26" s="3265"/>
      <c r="C26" s="3272"/>
      <c r="D26" s="3279"/>
      <c r="E26" s="3285" t="s">
        <v>5746</v>
      </c>
      <c r="F26" s="3285"/>
      <c r="G26" s="3288">
        <f>C10/4</f>
        <v>3.75</v>
      </c>
      <c r="H26" s="2602"/>
      <c r="J26" s="2600"/>
    </row>
    <row r="27" spans="2:11">
      <c r="B27" s="3268"/>
      <c r="C27" s="3275"/>
      <c r="D27" s="3280"/>
      <c r="E27" s="3290"/>
      <c r="F27" s="3290"/>
      <c r="G27" s="3310"/>
      <c r="H27" s="2603"/>
    </row>
    <row r="29" spans="2:11">
      <c r="F29" s="2600"/>
      <c r="H29" s="2600"/>
    </row>
    <row r="30" spans="2:11">
      <c r="F30" s="2600"/>
    </row>
    <row r="32" spans="2:11">
      <c r="F32" s="2600"/>
    </row>
  </sheetData>
  <mergeCells count="51">
    <mergeCell ref="I14:I16"/>
    <mergeCell ref="H18:H19"/>
    <mergeCell ref="H20:H21"/>
    <mergeCell ref="H22:H23"/>
    <mergeCell ref="H24:H25"/>
    <mergeCell ref="B3:H4"/>
    <mergeCell ref="B6:D7"/>
    <mergeCell ref="E6:H7"/>
    <mergeCell ref="H8:H9"/>
    <mergeCell ref="H10:H11"/>
    <mergeCell ref="H12:H13"/>
    <mergeCell ref="H14:H15"/>
    <mergeCell ref="H16:H17"/>
    <mergeCell ref="G18:G19"/>
    <mergeCell ref="G20:G21"/>
    <mergeCell ref="G22:G23"/>
    <mergeCell ref="G24:G25"/>
    <mergeCell ref="G26:G27"/>
    <mergeCell ref="G8:G9"/>
    <mergeCell ref="G10:G11"/>
    <mergeCell ref="G12:G13"/>
    <mergeCell ref="G14:G15"/>
    <mergeCell ref="G16:G17"/>
    <mergeCell ref="E24:E25"/>
    <mergeCell ref="E26:E27"/>
    <mergeCell ref="F8:F9"/>
    <mergeCell ref="F10:F11"/>
    <mergeCell ref="F12:F13"/>
    <mergeCell ref="F14:F15"/>
    <mergeCell ref="F16:F17"/>
    <mergeCell ref="F18:F19"/>
    <mergeCell ref="F20:F21"/>
    <mergeCell ref="F22:F23"/>
    <mergeCell ref="F24:F25"/>
    <mergeCell ref="F26:F27"/>
    <mergeCell ref="B1:D1"/>
    <mergeCell ref="B5:H5"/>
    <mergeCell ref="B8:B9"/>
    <mergeCell ref="B10:B27"/>
    <mergeCell ref="C8:C9"/>
    <mergeCell ref="C10:C27"/>
    <mergeCell ref="D8:D9"/>
    <mergeCell ref="D10:D27"/>
    <mergeCell ref="E8:E9"/>
    <mergeCell ref="E10:E11"/>
    <mergeCell ref="E12:E13"/>
    <mergeCell ref="E14:E15"/>
    <mergeCell ref="E16:E17"/>
    <mergeCell ref="E18:E19"/>
    <mergeCell ref="E20:E21"/>
    <mergeCell ref="E22:E23"/>
  </mergeCells>
  <phoneticPr fontId="378" type="noConversion"/>
  <hyperlinks>
    <hyperlink ref="I14:I16" location="总目录!A1" display="返回目录"/>
  </hyperlinks>
  <pageMargins left="0.69930555555555596" right="0.69930555555555596" top="0.75" bottom="0.75" header="0.3" footer="0.3"/>
  <pageSetup paperSize="9" orientation="portrait" horizontalDpi="200" verticalDpi="30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42"/>
  <sheetViews>
    <sheetView workbookViewId="0">
      <selection activeCell="H2" sqref="H2:H3"/>
    </sheetView>
  </sheetViews>
  <sheetFormatPr defaultColWidth="8.125" defaultRowHeight="16.5"/>
  <cols>
    <col min="1" max="1" width="0.25" style="2563" customWidth="1"/>
    <col min="2" max="2" width="22.75" style="2563" customWidth="1"/>
    <col min="3" max="3" width="10.75" style="2564" customWidth="1"/>
    <col min="4" max="4" width="9.25" style="2563" customWidth="1"/>
    <col min="5" max="5" width="22" style="2563" customWidth="1"/>
    <col min="6" max="6" width="17.25" style="2563" customWidth="1"/>
    <col min="7" max="7" width="13.5" style="2565" customWidth="1"/>
    <col min="8" max="8" width="8.25" style="2563" customWidth="1"/>
    <col min="9" max="16384" width="8.125" style="2563"/>
  </cols>
  <sheetData>
    <row r="1" spans="2:9" ht="3" customHeight="1" thickBot="1"/>
    <row r="2" spans="2:9">
      <c r="B2" s="2563" t="s">
        <v>5826</v>
      </c>
      <c r="C2" s="2563"/>
      <c r="E2" s="2566"/>
      <c r="H2" s="3341" t="s">
        <v>12705</v>
      </c>
    </row>
    <row r="3" spans="2:9" ht="17.25" thickBot="1">
      <c r="H3" s="3342"/>
    </row>
    <row r="4" spans="2:9">
      <c r="B4" s="3298" t="s">
        <v>54</v>
      </c>
      <c r="C4" s="3299"/>
      <c r="D4" s="3299"/>
      <c r="E4" s="3299"/>
      <c r="F4" s="3299"/>
      <c r="G4" s="3299"/>
      <c r="H4" s="3300"/>
    </row>
    <row r="5" spans="2:9" ht="17.25" customHeight="1">
      <c r="B5" s="3301"/>
      <c r="C5" s="3302"/>
      <c r="D5" s="3302"/>
      <c r="E5" s="3302"/>
      <c r="F5" s="3302"/>
      <c r="G5" s="3302"/>
      <c r="H5" s="3303"/>
    </row>
    <row r="6" spans="2:9" ht="6" customHeight="1"/>
    <row r="7" spans="2:9" ht="13.5" customHeight="1">
      <c r="B7" s="3304" t="s">
        <v>1626</v>
      </c>
      <c r="C7" s="3305"/>
      <c r="D7" s="3306"/>
      <c r="E7" s="3304" t="s">
        <v>1627</v>
      </c>
      <c r="F7" s="3305"/>
      <c r="G7" s="3305"/>
      <c r="H7" s="3306"/>
    </row>
    <row r="8" spans="2:9" ht="14.25" customHeight="1">
      <c r="B8" s="3307"/>
      <c r="C8" s="3308"/>
      <c r="D8" s="3309"/>
      <c r="E8" s="3307"/>
      <c r="F8" s="3308"/>
      <c r="G8" s="3308"/>
      <c r="H8" s="3309"/>
    </row>
    <row r="9" spans="2:9" ht="15" customHeight="1">
      <c r="B9" s="3262" t="s">
        <v>1628</v>
      </c>
      <c r="C9" s="3269" t="s">
        <v>1629</v>
      </c>
      <c r="D9" s="3276" t="s">
        <v>1630</v>
      </c>
      <c r="E9" s="3281" t="s">
        <v>1631</v>
      </c>
      <c r="F9" s="3286" t="s">
        <v>1632</v>
      </c>
      <c r="G9" s="3357" t="s">
        <v>1633</v>
      </c>
      <c r="H9" s="3293" t="s">
        <v>1630</v>
      </c>
    </row>
    <row r="10" spans="2:9" ht="13.5" customHeight="1">
      <c r="B10" s="3263"/>
      <c r="C10" s="3270"/>
      <c r="D10" s="3277"/>
      <c r="E10" s="3282"/>
      <c r="F10" s="3287"/>
      <c r="G10" s="3358"/>
      <c r="H10" s="3294"/>
    </row>
    <row r="11" spans="2:9" ht="19.5">
      <c r="B11" s="2567" t="s">
        <v>5827</v>
      </c>
      <c r="C11" s="2568">
        <v>1000</v>
      </c>
      <c r="D11" s="2569"/>
      <c r="E11" s="3332" t="s">
        <v>5828</v>
      </c>
      <c r="F11" s="3338"/>
      <c r="G11" s="3359">
        <f>C11*C12/9550</f>
        <v>52.356020942408399</v>
      </c>
      <c r="H11" s="3346"/>
      <c r="I11" s="2600"/>
    </row>
    <row r="12" spans="2:9" ht="19.5">
      <c r="B12" s="2570" t="s">
        <v>5829</v>
      </c>
      <c r="C12" s="2571">
        <v>500</v>
      </c>
      <c r="D12" s="2572"/>
      <c r="E12" s="3333"/>
      <c r="F12" s="3339"/>
      <c r="G12" s="3360"/>
      <c r="H12" s="3347"/>
    </row>
    <row r="13" spans="2:9" ht="33.75" customHeight="1">
      <c r="B13" s="2573" t="s">
        <v>5830</v>
      </c>
      <c r="C13" s="2574">
        <f>PI()*C12/30</f>
        <v>52.359877559829897</v>
      </c>
      <c r="D13" s="2575"/>
      <c r="E13" s="3334"/>
      <c r="F13" s="2575"/>
      <c r="G13" s="2576">
        <f>C11*C13/1000</f>
        <v>52.359877559829897</v>
      </c>
      <c r="H13" s="2577"/>
    </row>
    <row r="14" spans="2:9" ht="6" customHeight="1">
      <c r="C14" s="2578"/>
    </row>
    <row r="15" spans="2:9" ht="16.5" customHeight="1">
      <c r="B15" s="2579" t="s">
        <v>5831</v>
      </c>
      <c r="C15" s="2580">
        <v>500</v>
      </c>
      <c r="D15" s="3329"/>
      <c r="E15" s="3329" t="s">
        <v>5832</v>
      </c>
      <c r="F15" s="3329"/>
      <c r="G15" s="3335">
        <f>C15*C16*C17/(C18*C19*1000)</f>
        <v>250</v>
      </c>
      <c r="H15" s="3348"/>
    </row>
    <row r="16" spans="2:9" ht="18.75">
      <c r="B16" s="2582" t="s">
        <v>5833</v>
      </c>
      <c r="C16" s="2583">
        <v>20</v>
      </c>
      <c r="D16" s="3330"/>
      <c r="E16" s="3330"/>
      <c r="F16" s="3330"/>
      <c r="G16" s="3336"/>
      <c r="H16" s="3349"/>
    </row>
    <row r="17" spans="2:9" ht="16.5" customHeight="1">
      <c r="B17" s="2582" t="s">
        <v>5834</v>
      </c>
      <c r="C17" s="2583">
        <v>10</v>
      </c>
      <c r="D17" s="3330"/>
      <c r="E17" s="3330"/>
      <c r="F17" s="3330"/>
      <c r="G17" s="3336"/>
      <c r="H17" s="3349"/>
    </row>
    <row r="18" spans="2:9" ht="16.5" customHeight="1">
      <c r="B18" s="2582" t="s">
        <v>5835</v>
      </c>
      <c r="C18" s="2583">
        <v>0.4</v>
      </c>
      <c r="D18" s="3330"/>
      <c r="E18" s="3330"/>
      <c r="F18" s="3330"/>
      <c r="G18" s="3336"/>
      <c r="H18" s="3349"/>
    </row>
    <row r="19" spans="2:9" ht="19.5">
      <c r="B19" s="2585" t="s">
        <v>5836</v>
      </c>
      <c r="C19" s="2586">
        <v>1</v>
      </c>
      <c r="D19" s="3331"/>
      <c r="E19" s="3331"/>
      <c r="F19" s="3331"/>
      <c r="G19" s="3337"/>
      <c r="H19" s="3350"/>
    </row>
    <row r="20" spans="2:9" ht="6" customHeight="1">
      <c r="C20" s="2578"/>
    </row>
    <row r="21" spans="2:9" ht="19.5">
      <c r="B21" s="2567" t="s">
        <v>5836</v>
      </c>
      <c r="C21" s="2568">
        <v>1</v>
      </c>
      <c r="D21" s="3332"/>
      <c r="E21" s="3332" t="s">
        <v>5837</v>
      </c>
      <c r="F21" s="3332"/>
      <c r="G21" s="3343">
        <f>C22*C27*C28*C23*(C24+C25)/(C21*C26*1000)</f>
        <v>14.4</v>
      </c>
      <c r="H21" s="3351"/>
    </row>
    <row r="22" spans="2:9" ht="16.5" customHeight="1">
      <c r="B22" s="2587" t="s">
        <v>5831</v>
      </c>
      <c r="C22" s="2588">
        <v>2</v>
      </c>
      <c r="D22" s="3333"/>
      <c r="E22" s="3333"/>
      <c r="F22" s="3333"/>
      <c r="G22" s="3344"/>
      <c r="H22" s="3352"/>
    </row>
    <row r="23" spans="2:9" ht="18.75">
      <c r="B23" s="2587" t="s">
        <v>5838</v>
      </c>
      <c r="C23" s="2588">
        <v>100</v>
      </c>
      <c r="D23" s="3333"/>
      <c r="E23" s="3333"/>
      <c r="F23" s="3333"/>
      <c r="G23" s="3344"/>
      <c r="H23" s="3352"/>
      <c r="I23" s="2600"/>
    </row>
    <row r="24" spans="2:9">
      <c r="B24" s="2587" t="s">
        <v>5839</v>
      </c>
      <c r="C24" s="2588">
        <v>4</v>
      </c>
      <c r="D24" s="3333"/>
      <c r="E24" s="3333"/>
      <c r="F24" s="3333"/>
      <c r="G24" s="3344"/>
      <c r="H24" s="3352"/>
    </row>
    <row r="25" spans="2:9" ht="16.5" customHeight="1">
      <c r="B25" s="2587" t="s">
        <v>5840</v>
      </c>
      <c r="C25" s="2588">
        <v>4</v>
      </c>
      <c r="D25" s="3333"/>
      <c r="E25" s="3333"/>
      <c r="F25" s="3333"/>
      <c r="G25" s="3344"/>
      <c r="H25" s="3352"/>
    </row>
    <row r="26" spans="2:9" ht="16.5" customHeight="1">
      <c r="B26" s="2570" t="s">
        <v>5841</v>
      </c>
      <c r="C26" s="2571">
        <v>1</v>
      </c>
      <c r="D26" s="3333"/>
      <c r="E26" s="3333"/>
      <c r="F26" s="3333"/>
      <c r="G26" s="3344"/>
      <c r="H26" s="3353"/>
    </row>
    <row r="27" spans="2:9" ht="18.75">
      <c r="B27" s="2589" t="s">
        <v>1636</v>
      </c>
      <c r="C27" s="2590">
        <v>3</v>
      </c>
      <c r="D27" s="3333"/>
      <c r="E27" s="3333"/>
      <c r="F27" s="3333"/>
      <c r="G27" s="3344"/>
      <c r="H27" s="3353"/>
    </row>
    <row r="28" spans="2:9" ht="18.75">
      <c r="B28" s="2573" t="s">
        <v>5842</v>
      </c>
      <c r="C28" s="2591">
        <v>3</v>
      </c>
      <c r="D28" s="3334"/>
      <c r="E28" s="3334"/>
      <c r="F28" s="3334"/>
      <c r="G28" s="3345"/>
      <c r="H28" s="3354"/>
    </row>
    <row r="29" spans="2:9" ht="6" customHeight="1">
      <c r="C29" s="2578"/>
    </row>
    <row r="30" spans="2:9" ht="18.75">
      <c r="B30" s="2592" t="s">
        <v>5843</v>
      </c>
      <c r="C30" s="2580">
        <v>10</v>
      </c>
      <c r="D30" s="2581"/>
      <c r="E30" s="3329" t="s">
        <v>5844</v>
      </c>
      <c r="F30" s="3329"/>
      <c r="G30" s="3335">
        <f>C30*((C31+C32)/2)/(1000*C33)</f>
        <v>3.3333333333333301E-3</v>
      </c>
      <c r="H30" s="3355"/>
    </row>
    <row r="31" spans="2:9" ht="19.5">
      <c r="B31" s="2593" t="s">
        <v>5845</v>
      </c>
      <c r="C31" s="2583">
        <v>1</v>
      </c>
      <c r="D31" s="2584"/>
      <c r="E31" s="3330"/>
      <c r="F31" s="3330"/>
      <c r="G31" s="3336"/>
      <c r="H31" s="3356"/>
    </row>
    <row r="32" spans="2:9" ht="19.5">
      <c r="B32" s="2593" t="s">
        <v>5846</v>
      </c>
      <c r="C32" s="2583">
        <v>1</v>
      </c>
      <c r="D32" s="2584"/>
      <c r="E32" s="3330"/>
      <c r="F32" s="3330"/>
      <c r="G32" s="3336"/>
      <c r="H32" s="3356"/>
    </row>
    <row r="33" spans="2:9">
      <c r="B33" s="2594" t="s">
        <v>5847</v>
      </c>
      <c r="C33" s="2586">
        <v>3</v>
      </c>
      <c r="D33" s="2595"/>
      <c r="E33" s="3331"/>
      <c r="F33" s="3331"/>
      <c r="G33" s="3337"/>
      <c r="H33" s="3350"/>
    </row>
    <row r="34" spans="2:9" ht="5.0999999999999996" customHeight="1"/>
    <row r="35" spans="2:9" ht="16.5" customHeight="1">
      <c r="B35" s="2596" t="s">
        <v>5848</v>
      </c>
      <c r="C35" s="2568">
        <v>4</v>
      </c>
      <c r="D35" s="2569"/>
      <c r="E35" s="3332" t="s">
        <v>5849</v>
      </c>
      <c r="F35" s="3332"/>
      <c r="G35" s="3343">
        <f>C35*C36/(C37*1000)</f>
        <v>2E-3</v>
      </c>
      <c r="H35" s="3351"/>
    </row>
    <row r="36" spans="2:9" ht="16.5" customHeight="1">
      <c r="B36" s="2597" t="s">
        <v>5850</v>
      </c>
      <c r="C36" s="2590">
        <v>5</v>
      </c>
      <c r="D36" s="2598"/>
      <c r="E36" s="3333"/>
      <c r="F36" s="3333"/>
      <c r="G36" s="3344"/>
      <c r="H36" s="3352"/>
      <c r="I36" s="2600"/>
    </row>
    <row r="37" spans="2:9">
      <c r="B37" s="2573" t="s">
        <v>5851</v>
      </c>
      <c r="C37" s="2591">
        <v>10</v>
      </c>
      <c r="D37" s="2599"/>
      <c r="E37" s="3334"/>
      <c r="F37" s="3334"/>
      <c r="G37" s="3345"/>
      <c r="H37" s="3354"/>
    </row>
    <row r="38" spans="2:9" ht="16.5" customHeight="1">
      <c r="C38" s="2578"/>
    </row>
    <row r="39" spans="2:9">
      <c r="F39" s="2600"/>
    </row>
    <row r="40" spans="2:9">
      <c r="B40" s="3340"/>
      <c r="C40" s="3260"/>
      <c r="D40" s="3260"/>
      <c r="E40" s="3260"/>
      <c r="G40" s="2600"/>
    </row>
    <row r="41" spans="2:9">
      <c r="B41" s="3260"/>
      <c r="C41" s="3260"/>
      <c r="D41" s="3260"/>
      <c r="E41" s="3260"/>
    </row>
    <row r="42" spans="2:9">
      <c r="B42" s="3260"/>
      <c r="C42" s="3260"/>
      <c r="D42" s="3260"/>
      <c r="E42" s="3260"/>
    </row>
  </sheetData>
  <mergeCells count="34">
    <mergeCell ref="B4:H5"/>
    <mergeCell ref="B7:D8"/>
    <mergeCell ref="E7:H8"/>
    <mergeCell ref="B40:E42"/>
    <mergeCell ref="H2:H3"/>
    <mergeCell ref="G35:G37"/>
    <mergeCell ref="H9:H10"/>
    <mergeCell ref="H11:H12"/>
    <mergeCell ref="H15:H19"/>
    <mergeCell ref="H21:H28"/>
    <mergeCell ref="H30:H33"/>
    <mergeCell ref="H35:H37"/>
    <mergeCell ref="G9:G10"/>
    <mergeCell ref="G11:G12"/>
    <mergeCell ref="G15:G19"/>
    <mergeCell ref="G21:G28"/>
    <mergeCell ref="G30:G33"/>
    <mergeCell ref="E35:E37"/>
    <mergeCell ref="F9:F10"/>
    <mergeCell ref="F11:F12"/>
    <mergeCell ref="F15:F19"/>
    <mergeCell ref="F21:F28"/>
    <mergeCell ref="F30:F33"/>
    <mergeCell ref="F35:F37"/>
    <mergeCell ref="E9:E10"/>
    <mergeCell ref="E11:E13"/>
    <mergeCell ref="E15:E19"/>
    <mergeCell ref="E21:E28"/>
    <mergeCell ref="E30:E33"/>
    <mergeCell ref="B9:B10"/>
    <mergeCell ref="C9:C10"/>
    <mergeCell ref="D9:D10"/>
    <mergeCell ref="D15:D19"/>
    <mergeCell ref="D21:D28"/>
  </mergeCells>
  <phoneticPr fontId="378" type="noConversion"/>
  <hyperlinks>
    <hyperlink ref="H2:H3" location="总目录!A1" display="返回目录"/>
  </hyperlinks>
  <pageMargins left="0.69930555555555596" right="0.69930555555555596" top="0.75" bottom="0.75" header="0.3" footer="0.3"/>
  <pageSetup paperSize="9" orientation="portrait" horizontalDpi="200" verticalDpi="30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78"/>
  <sheetViews>
    <sheetView showGridLines="0" showRowColHeaders="0" showOutlineSymbols="0" workbookViewId="0">
      <selection activeCell="V1" sqref="V1:X2"/>
    </sheetView>
  </sheetViews>
  <sheetFormatPr defaultColWidth="8.125" defaultRowHeight="16.5"/>
  <cols>
    <col min="1" max="11" width="4.875" style="2553" customWidth="1"/>
    <col min="12" max="12" width="5.75" style="2553" customWidth="1"/>
    <col min="13" max="15" width="4.875" style="2553" customWidth="1"/>
    <col min="16" max="16" width="0.75" style="2553" customWidth="1"/>
    <col min="17" max="24" width="4.875" style="2553" customWidth="1"/>
    <col min="25" max="25" width="5.125" style="2553" customWidth="1"/>
    <col min="26" max="26" width="3.75" style="2553" customWidth="1"/>
    <col min="27" max="27" width="7.125" style="2553" hidden="1" customWidth="1"/>
    <col min="28" max="28" width="5.125" style="2553" customWidth="1"/>
    <col min="29" max="16384" width="8.125" style="2553"/>
  </cols>
  <sheetData>
    <row r="1" spans="1:27">
      <c r="A1" s="3135" t="s">
        <v>12706</v>
      </c>
      <c r="B1" s="2554"/>
      <c r="C1" s="2554"/>
      <c r="D1" s="2554"/>
      <c r="E1" s="2554"/>
      <c r="F1" s="2554"/>
      <c r="G1" s="2554"/>
      <c r="H1" s="2554"/>
      <c r="I1" s="2554"/>
      <c r="J1" s="2554"/>
      <c r="K1" s="2554"/>
      <c r="L1" s="2554"/>
      <c r="M1" s="2554"/>
      <c r="N1" s="2554"/>
      <c r="O1" s="2554"/>
      <c r="P1" s="2554"/>
      <c r="Q1" s="2554"/>
      <c r="R1" s="2554"/>
      <c r="S1" s="2554"/>
      <c r="T1" s="2554"/>
      <c r="U1" s="2554"/>
      <c r="V1" s="3361" t="s">
        <v>12707</v>
      </c>
      <c r="W1" s="3361"/>
      <c r="X1" s="3361"/>
      <c r="Y1" s="2554"/>
      <c r="Z1" s="2554"/>
      <c r="AA1" s="2554"/>
    </row>
    <row r="2" spans="1:27" ht="8.25" customHeight="1">
      <c r="A2"/>
      <c r="B2" s="2554"/>
      <c r="C2" s="2554"/>
      <c r="D2" s="2554"/>
      <c r="E2" s="2554"/>
      <c r="F2" s="2554"/>
      <c r="G2" s="2554"/>
      <c r="H2" s="2554"/>
      <c r="I2" s="2554"/>
      <c r="J2" s="2554"/>
      <c r="K2" s="2554"/>
      <c r="L2" s="2554"/>
      <c r="M2" s="2554"/>
      <c r="N2" s="2554"/>
      <c r="O2" s="2554"/>
      <c r="P2" s="2554"/>
      <c r="Q2" s="2554"/>
      <c r="R2" s="2554"/>
      <c r="S2" s="2554"/>
      <c r="T2" s="2554"/>
      <c r="U2" s="2554"/>
      <c r="V2" s="3361"/>
      <c r="W2" s="3361"/>
      <c r="X2" s="3361"/>
      <c r="Y2" s="2554"/>
      <c r="Z2" s="2554"/>
      <c r="AA2" s="2554"/>
    </row>
    <row r="3" spans="1:27" customFormat="1" ht="27.95" customHeight="1">
      <c r="A3" s="3362" t="s">
        <v>5852</v>
      </c>
      <c r="B3" s="3362"/>
      <c r="C3" s="3362"/>
      <c r="D3" s="3362"/>
      <c r="E3" s="3362">
        <f>((0.7854*((F26)^2-(F17)^2))*L16)*AA27/1000000000</f>
        <v>942.22153428479999</v>
      </c>
      <c r="F3" s="3362"/>
      <c r="G3" t="s">
        <v>5853</v>
      </c>
    </row>
    <row r="4" spans="1:27" customFormat="1" ht="27.75" customHeight="1">
      <c r="A4" s="3362" t="s">
        <v>5854</v>
      </c>
      <c r="B4" s="3362"/>
      <c r="C4" s="3362"/>
      <c r="D4" s="3362"/>
      <c r="E4" s="3362">
        <f>((0.7854*((F26)^2-(F17)^2))/(L12*L14))-100</f>
        <v>9902.3517439999996</v>
      </c>
      <c r="F4" s="3362"/>
      <c r="G4" t="s">
        <v>5855</v>
      </c>
      <c r="W4" t="s">
        <v>5856</v>
      </c>
      <c r="X4" s="3362">
        <f ca="1">TODAY()</f>
        <v>43976</v>
      </c>
      <c r="Y4" s="3362"/>
    </row>
    <row r="5" spans="1:27" customFormat="1" ht="11.25" customHeight="1"/>
    <row r="6" spans="1:27">
      <c r="A6"/>
      <c r="B6" s="2555"/>
      <c r="C6" s="2555"/>
      <c r="D6" s="2555"/>
      <c r="E6" s="2555"/>
      <c r="F6" s="2555"/>
      <c r="G6" s="2555"/>
      <c r="H6" s="2555"/>
      <c r="I6" s="2555"/>
      <c r="J6" s="2555"/>
      <c r="K6" s="2555"/>
      <c r="L6" s="2555"/>
      <c r="M6" s="2555"/>
      <c r="N6" s="2555"/>
      <c r="O6" s="2558"/>
      <c r="P6" s="2554"/>
      <c r="Q6" s="3362" t="s">
        <v>5857</v>
      </c>
      <c r="R6" s="3362"/>
      <c r="S6" s="2555"/>
      <c r="T6" s="2555"/>
      <c r="U6" s="2555"/>
      <c r="V6" s="2555"/>
      <c r="W6" s="2555"/>
      <c r="X6" s="2555"/>
      <c r="Y6" s="2558"/>
      <c r="Z6" s="2554"/>
    </row>
    <row r="7" spans="1:27">
      <c r="A7" s="2556"/>
      <c r="B7" s="2554"/>
      <c r="C7" s="2554"/>
      <c r="D7" s="2554"/>
      <c r="E7" s="2554"/>
      <c r="F7" s="2554"/>
      <c r="G7" s="2554"/>
      <c r="H7" s="2554"/>
      <c r="I7" s="2554"/>
      <c r="J7" s="2554"/>
      <c r="K7" s="2554"/>
      <c r="L7" s="2554"/>
      <c r="M7" s="2554"/>
      <c r="N7" s="2554"/>
      <c r="O7" s="2559"/>
      <c r="P7" s="2554"/>
      <c r="Q7"/>
      <c r="R7"/>
      <c r="S7"/>
      <c r="T7"/>
      <c r="U7"/>
      <c r="V7"/>
      <c r="W7"/>
      <c r="X7"/>
      <c r="Y7"/>
      <c r="Z7" s="2554"/>
    </row>
    <row r="8" spans="1:27">
      <c r="A8" s="2556"/>
      <c r="B8" s="2554"/>
      <c r="C8" s="2554"/>
      <c r="D8" s="2554"/>
      <c r="E8" s="2554"/>
      <c r="F8" s="2554"/>
      <c r="G8" s="2554"/>
      <c r="H8" s="2554"/>
      <c r="I8" s="2554"/>
      <c r="J8" s="2554"/>
      <c r="K8" s="2554"/>
      <c r="L8" s="2554"/>
      <c r="M8" s="2554"/>
      <c r="N8" s="2554"/>
      <c r="O8" s="2559"/>
      <c r="P8" s="2554"/>
      <c r="Q8"/>
      <c r="R8"/>
      <c r="S8"/>
      <c r="T8"/>
      <c r="U8"/>
      <c r="V8"/>
      <c r="W8"/>
      <c r="X8"/>
      <c r="Y8"/>
      <c r="Z8" s="2554"/>
    </row>
    <row r="9" spans="1:27">
      <c r="A9" s="2556"/>
      <c r="B9" s="2554"/>
      <c r="C9" s="2554"/>
      <c r="D9" s="2554"/>
      <c r="E9" s="2554"/>
      <c r="F9" s="2554"/>
      <c r="G9" s="2554"/>
      <c r="H9" s="2554"/>
      <c r="I9" s="2554"/>
      <c r="J9" s="2554"/>
      <c r="K9" s="2554"/>
      <c r="L9" s="2554"/>
      <c r="M9" s="2554"/>
      <c r="N9" s="2554"/>
      <c r="O9" s="2559"/>
      <c r="P9" s="2554"/>
      <c r="Q9"/>
      <c r="R9"/>
      <c r="S9"/>
      <c r="T9"/>
      <c r="U9"/>
      <c r="V9"/>
      <c r="W9"/>
      <c r="X9"/>
      <c r="Y9"/>
      <c r="Z9" s="2554"/>
    </row>
    <row r="10" spans="1:27">
      <c r="A10" s="2556"/>
      <c r="B10" s="2554"/>
      <c r="C10" s="2554"/>
      <c r="D10" s="2554"/>
      <c r="E10" s="2554"/>
      <c r="F10" s="2554"/>
      <c r="G10" s="2554"/>
      <c r="H10" s="2554"/>
      <c r="I10" s="2554"/>
      <c r="J10" s="2554"/>
      <c r="K10" s="2554"/>
      <c r="L10" s="2554"/>
      <c r="M10" s="2554"/>
      <c r="N10" s="2554"/>
      <c r="O10" s="2559"/>
      <c r="P10" s="2554"/>
      <c r="Q10"/>
      <c r="R10"/>
      <c r="S10"/>
      <c r="T10"/>
      <c r="U10"/>
      <c r="V10"/>
      <c r="W10"/>
      <c r="X10"/>
      <c r="Y10"/>
      <c r="Z10" s="2554"/>
    </row>
    <row r="11" spans="1:27">
      <c r="A11" s="2556"/>
      <c r="B11" s="2554"/>
      <c r="C11" s="2554"/>
      <c r="D11" s="2554"/>
      <c r="E11" s="2554"/>
      <c r="F11" s="2554"/>
      <c r="G11" s="2554"/>
      <c r="H11" s="2554"/>
      <c r="I11" s="2554"/>
      <c r="J11" s="2554"/>
      <c r="K11" s="2554"/>
      <c r="L11" s="2554"/>
      <c r="M11" s="2554"/>
      <c r="N11" s="2554"/>
      <c r="O11" s="2559"/>
      <c r="P11" s="2554"/>
      <c r="Q11"/>
      <c r="R11"/>
      <c r="S11"/>
      <c r="T11"/>
      <c r="U11"/>
      <c r="V11"/>
      <c r="W11"/>
      <c r="X11"/>
      <c r="Y11"/>
      <c r="Z11" s="2554"/>
    </row>
    <row r="12" spans="1:27">
      <c r="A12" s="2556"/>
      <c r="B12" s="2554"/>
      <c r="C12" s="2554"/>
      <c r="D12" s="2554"/>
      <c r="E12" s="2554"/>
      <c r="F12" s="2554"/>
      <c r="G12" s="2554"/>
      <c r="H12" s="2554"/>
      <c r="I12" s="2554"/>
      <c r="J12" s="3362" t="s">
        <v>5858</v>
      </c>
      <c r="K12" s="3362"/>
      <c r="L12">
        <v>50</v>
      </c>
      <c r="M12" s="2554"/>
      <c r="N12" s="2554"/>
      <c r="O12" s="2559"/>
      <c r="P12" s="2554"/>
      <c r="Q12" s="52"/>
      <c r="R12" s="52"/>
      <c r="S12" s="52"/>
      <c r="T12" s="52"/>
      <c r="U12" s="52"/>
      <c r="V12" s="52"/>
      <c r="W12" s="52"/>
      <c r="X12" s="52"/>
      <c r="Y12" s="52"/>
      <c r="Z12" s="2554"/>
    </row>
    <row r="13" spans="1:27">
      <c r="A13" s="2556"/>
      <c r="B13" s="2554"/>
      <c r="C13" s="2554"/>
      <c r="D13" s="2554"/>
      <c r="E13" s="2554"/>
      <c r="F13" s="2554"/>
      <c r="G13" s="2554"/>
      <c r="H13" s="2554"/>
      <c r="I13" s="2554"/>
      <c r="J13" s="2554"/>
      <c r="K13" s="2554"/>
      <c r="L13" s="2554"/>
      <c r="M13" s="2554"/>
      <c r="N13" s="2554"/>
      <c r="O13" s="2559"/>
      <c r="P13" s="2554"/>
      <c r="Q13" s="52"/>
      <c r="R13" s="3161"/>
      <c r="S13" s="3161"/>
      <c r="T13" s="3161"/>
      <c r="U13" s="3161"/>
      <c r="V13" s="3161"/>
      <c r="W13" s="52"/>
      <c r="X13" s="52"/>
      <c r="Y13" s="52"/>
      <c r="Z13" s="2554"/>
    </row>
    <row r="14" spans="1:27">
      <c r="A14" s="2556"/>
      <c r="B14" s="2554"/>
      <c r="C14" s="2554"/>
      <c r="D14" s="2554"/>
      <c r="E14" s="2554"/>
      <c r="F14" s="2554"/>
      <c r="G14" s="2554"/>
      <c r="H14" s="2554"/>
      <c r="I14" s="2554"/>
      <c r="J14" s="2554"/>
      <c r="K14" t="s">
        <v>5859</v>
      </c>
      <c r="L14">
        <v>2</v>
      </c>
      <c r="M14" s="2554"/>
      <c r="N14" s="2554"/>
      <c r="O14" s="2559"/>
      <c r="P14" s="2554"/>
      <c r="Q14" s="52"/>
      <c r="R14" s="3161"/>
      <c r="S14" s="3161"/>
      <c r="T14" s="3161"/>
      <c r="U14" s="3161"/>
      <c r="V14" s="3161"/>
      <c r="W14" s="52"/>
      <c r="X14" s="52"/>
      <c r="Y14" s="52"/>
      <c r="Z14" s="2554"/>
    </row>
    <row r="15" spans="1:27">
      <c r="A15" s="2556"/>
      <c r="B15" s="2554"/>
      <c r="C15" s="2554"/>
      <c r="D15" s="2554"/>
      <c r="E15" s="2554"/>
      <c r="F15" s="2554"/>
      <c r="G15" s="2554"/>
      <c r="H15" s="2554"/>
      <c r="I15" s="2554"/>
      <c r="J15" s="2554"/>
      <c r="K15" s="2554"/>
      <c r="L15" s="2554"/>
      <c r="M15" s="2554"/>
      <c r="N15" s="2554"/>
      <c r="O15" s="2559"/>
      <c r="P15" s="2554"/>
      <c r="Q15" s="52"/>
      <c r="R15" s="3161"/>
      <c r="S15" s="3161"/>
      <c r="T15" s="3161"/>
      <c r="U15" s="3161"/>
      <c r="V15" s="3161"/>
      <c r="W15" s="52"/>
      <c r="X15" s="52"/>
      <c r="Y15" s="52"/>
      <c r="Z15" s="2554"/>
    </row>
    <row r="16" spans="1:27">
      <c r="A16" s="2556"/>
      <c r="B16" s="2554"/>
      <c r="C16" s="2554"/>
      <c r="D16" s="2554"/>
      <c r="E16" s="2554"/>
      <c r="F16" s="2554"/>
      <c r="G16" s="2554"/>
      <c r="H16" s="2554"/>
      <c r="I16" s="2554"/>
      <c r="J16" s="2554"/>
      <c r="K16" t="s">
        <v>5860</v>
      </c>
      <c r="L16">
        <v>120</v>
      </c>
      <c r="M16" s="2554"/>
      <c r="N16" s="2554"/>
      <c r="O16" s="2559"/>
      <c r="P16" s="2554"/>
      <c r="Q16" s="52"/>
      <c r="R16" s="3161"/>
      <c r="S16" s="3161"/>
      <c r="T16" s="3161"/>
      <c r="U16" s="3161"/>
      <c r="V16" s="3161"/>
      <c r="W16" s="52"/>
      <c r="X16" s="52"/>
      <c r="Y16" s="52"/>
      <c r="Z16" s="2554"/>
    </row>
    <row r="17" spans="1:32">
      <c r="A17" s="2556"/>
      <c r="B17" s="2554"/>
      <c r="C17" s="2554"/>
      <c r="D17" s="3362" t="s">
        <v>5861</v>
      </c>
      <c r="E17" s="3362"/>
      <c r="F17">
        <v>408</v>
      </c>
      <c r="G17" s="2554"/>
      <c r="H17" s="2554"/>
      <c r="I17" s="2554"/>
      <c r="J17" s="2554"/>
      <c r="K17" s="2554"/>
      <c r="L17" s="2554"/>
      <c r="M17" s="2554"/>
      <c r="N17" s="2554"/>
      <c r="O17" s="2559"/>
      <c r="P17" s="2554"/>
      <c r="Q17" s="52"/>
      <c r="R17" s="3161"/>
      <c r="S17" s="3161"/>
      <c r="T17" s="3161"/>
      <c r="U17" s="3161"/>
      <c r="V17" s="3161"/>
      <c r="W17" s="52"/>
      <c r="X17" s="52"/>
      <c r="Y17" s="52"/>
      <c r="Z17" s="2554"/>
    </row>
    <row r="18" spans="1:32">
      <c r="A18" s="2556"/>
      <c r="B18" s="2554"/>
      <c r="C18" s="2554"/>
      <c r="D18" s="2554"/>
      <c r="E18" s="2554"/>
      <c r="F18" s="2554"/>
      <c r="G18" s="2554"/>
      <c r="H18" s="2554"/>
      <c r="I18" s="2554"/>
      <c r="J18"/>
      <c r="K18" t="s">
        <v>5862</v>
      </c>
      <c r="L18"/>
      <c r="N18" s="2554"/>
      <c r="O18" s="2559"/>
      <c r="P18" s="2554"/>
      <c r="Q18" s="52"/>
      <c r="R18" s="3161"/>
      <c r="S18" s="3161"/>
      <c r="T18" s="3161"/>
      <c r="U18" s="3161"/>
      <c r="V18" s="3161"/>
      <c r="W18" s="52"/>
      <c r="X18" s="52"/>
      <c r="Y18" s="52"/>
      <c r="Z18" s="2554"/>
      <c r="AA18" s="2554"/>
    </row>
    <row r="19" spans="1:32">
      <c r="A19" s="2556"/>
      <c r="B19" s="2554"/>
      <c r="C19" s="2554"/>
      <c r="D19" s="2554"/>
      <c r="E19" s="2554"/>
      <c r="F19" s="2554"/>
      <c r="G19" s="2554"/>
      <c r="H19" s="2554"/>
      <c r="I19" s="2554"/>
      <c r="J19" s="2560"/>
      <c r="K19" t="s">
        <v>5863</v>
      </c>
      <c r="L19">
        <v>4</v>
      </c>
      <c r="N19" s="2554"/>
      <c r="O19" s="2559"/>
      <c r="P19" s="2554"/>
      <c r="Q19" s="52"/>
      <c r="R19" s="52"/>
      <c r="S19" s="52"/>
      <c r="T19" s="52"/>
      <c r="U19" s="52"/>
      <c r="V19" s="52"/>
      <c r="W19" s="52"/>
      <c r="X19" s="52"/>
      <c r="Y19" s="52"/>
      <c r="Z19" s="2554"/>
      <c r="AA19" s="2554"/>
    </row>
    <row r="20" spans="1:32">
      <c r="A20" s="2556"/>
      <c r="B20" s="2554"/>
      <c r="C20" s="2554"/>
      <c r="D20" s="2554"/>
      <c r="E20" s="2554"/>
      <c r="F20" s="2554"/>
      <c r="G20" s="2554"/>
      <c r="H20" s="2554"/>
      <c r="I20" s="2554"/>
      <c r="J20" t="s">
        <v>5864</v>
      </c>
      <c r="K20" s="2554"/>
      <c r="L20" s="2561"/>
      <c r="N20" s="2554"/>
      <c r="O20" s="2559"/>
      <c r="P20" s="2554"/>
      <c r="Q20" s="52"/>
      <c r="R20" s="52"/>
      <c r="S20" s="52"/>
      <c r="T20" s="52"/>
      <c r="U20" s="52"/>
      <c r="V20" s="52"/>
      <c r="W20" s="52"/>
      <c r="X20" s="52"/>
      <c r="Y20" s="52"/>
      <c r="Z20" s="2554"/>
      <c r="AA20" s="2554">
        <f>IF(L19=1,2710,0)</f>
        <v>0</v>
      </c>
    </row>
    <row r="21" spans="1:32">
      <c r="A21" s="2556"/>
      <c r="B21" s="2554"/>
      <c r="C21" s="2554"/>
      <c r="D21" s="2554"/>
      <c r="E21" s="2554"/>
      <c r="F21" s="2554"/>
      <c r="G21" s="2554"/>
      <c r="H21" s="2554"/>
      <c r="I21" s="2554"/>
      <c r="J21" t="s">
        <v>5865</v>
      </c>
      <c r="K21" s="2554"/>
      <c r="L21" s="2561"/>
      <c r="N21" s="2554"/>
      <c r="O21" s="2559"/>
      <c r="P21" s="2554"/>
      <c r="Q21" s="52"/>
      <c r="R21" s="52"/>
      <c r="S21" s="52"/>
      <c r="T21" s="52"/>
      <c r="U21" s="52"/>
      <c r="V21" s="52"/>
      <c r="W21" s="52"/>
      <c r="X21" s="52"/>
      <c r="Y21" s="52"/>
      <c r="Z21" s="2554"/>
      <c r="AA21" s="2554">
        <f>IF(L19=2,8600,0)</f>
        <v>0</v>
      </c>
    </row>
    <row r="22" spans="1:32">
      <c r="A22" s="2556"/>
      <c r="B22" s="2554"/>
      <c r="C22" s="2554"/>
      <c r="D22" s="2554"/>
      <c r="E22" s="2554"/>
      <c r="F22" s="2554"/>
      <c r="G22" s="2554"/>
      <c r="H22" s="2554"/>
      <c r="I22" s="2554"/>
      <c r="J22" t="s">
        <v>5866</v>
      </c>
      <c r="K22" s="2554"/>
      <c r="L22" s="2561"/>
      <c r="N22" s="2554"/>
      <c r="O22" s="2559"/>
      <c r="P22" s="2554"/>
      <c r="Q22"/>
      <c r="R22"/>
      <c r="S22"/>
      <c r="T22"/>
      <c r="U22"/>
      <c r="V22"/>
      <c r="W22"/>
      <c r="X22"/>
      <c r="Y22"/>
      <c r="Z22" s="2554"/>
      <c r="AA22" s="2554">
        <f>IF(L19=3,8900,0)</f>
        <v>0</v>
      </c>
    </row>
    <row r="23" spans="1:32">
      <c r="A23" s="2556"/>
      <c r="B23" s="2554"/>
      <c r="C23" s="2554"/>
      <c r="D23" s="2554"/>
      <c r="E23" s="2554"/>
      <c r="F23" s="2554"/>
      <c r="G23" s="2554"/>
      <c r="H23" s="2554"/>
      <c r="I23" s="2554"/>
      <c r="J23" t="s">
        <v>5867</v>
      </c>
      <c r="K23" s="2554"/>
      <c r="L23" s="2561"/>
      <c r="N23" s="2554"/>
      <c r="O23" s="2559"/>
      <c r="P23" s="2554"/>
      <c r="Q23"/>
      <c r="R23"/>
      <c r="S23"/>
      <c r="T23"/>
      <c r="U23"/>
      <c r="V23"/>
      <c r="W23"/>
      <c r="X23"/>
      <c r="Y23"/>
      <c r="Z23" s="2554"/>
      <c r="AA23" s="2554">
        <f>IF(L19=4,7850,0)</f>
        <v>7850</v>
      </c>
    </row>
    <row r="24" spans="1:32">
      <c r="A24" s="2556"/>
      <c r="B24" s="2554"/>
      <c r="C24" s="2554"/>
      <c r="D24" s="2554"/>
      <c r="E24" s="2554"/>
      <c r="F24" s="2554"/>
      <c r="G24" s="2554"/>
      <c r="H24" s="2554"/>
      <c r="I24" s="2554"/>
      <c r="J24" t="s">
        <v>5868</v>
      </c>
      <c r="K24" s="2554"/>
      <c r="L24" s="2561"/>
      <c r="N24" s="2554"/>
      <c r="O24" s="2559"/>
      <c r="P24" s="2554"/>
      <c r="Q24"/>
      <c r="R24"/>
      <c r="S24"/>
      <c r="T24"/>
      <c r="U24"/>
      <c r="V24"/>
      <c r="W24"/>
      <c r="X24"/>
      <c r="Y24"/>
      <c r="Z24" s="2554"/>
      <c r="AA24" s="2554">
        <f>IF(L19=5,7700,0)</f>
        <v>0</v>
      </c>
    </row>
    <row r="25" spans="1:32">
      <c r="A25" s="2556"/>
      <c r="B25" s="2554"/>
      <c r="C25" s="2554"/>
      <c r="D25" s="2554"/>
      <c r="E25" s="2554"/>
      <c r="F25" s="2554"/>
      <c r="G25" s="2554"/>
      <c r="H25" s="2554"/>
      <c r="I25" s="2554"/>
      <c r="J25" t="s">
        <v>5869</v>
      </c>
      <c r="K25" s="2554"/>
      <c r="L25" s="2561"/>
      <c r="N25" s="2554"/>
      <c r="O25" s="2559"/>
      <c r="P25" s="2554"/>
      <c r="Q25"/>
      <c r="R25"/>
      <c r="S25"/>
      <c r="T25"/>
      <c r="U25"/>
      <c r="V25"/>
      <c r="W25"/>
      <c r="X25"/>
      <c r="Y25"/>
      <c r="Z25" s="2554"/>
      <c r="AA25" s="2554">
        <f>IF(L19=6,8200,0)</f>
        <v>0</v>
      </c>
    </row>
    <row r="26" spans="1:32">
      <c r="A26" s="2556"/>
      <c r="B26" s="2554"/>
      <c r="C26" s="2554"/>
      <c r="D26" s="3362" t="s">
        <v>5870</v>
      </c>
      <c r="E26" s="3362"/>
      <c r="F26">
        <v>1200</v>
      </c>
      <c r="G26" s="2554"/>
      <c r="H26" s="2554"/>
      <c r="I26" s="2554"/>
      <c r="J26" t="s">
        <v>5871</v>
      </c>
      <c r="K26"/>
      <c r="L26"/>
      <c r="N26" s="2554"/>
      <c r="O26" s="2559"/>
      <c r="P26" s="2554"/>
      <c r="Q26"/>
      <c r="R26"/>
      <c r="S26"/>
      <c r="T26"/>
      <c r="U26"/>
      <c r="V26"/>
      <c r="W26"/>
      <c r="X26"/>
      <c r="Y26"/>
      <c r="Z26" s="2554"/>
      <c r="AA26" s="2554">
        <f>IF(L19=7,7950,0)</f>
        <v>0</v>
      </c>
    </row>
    <row r="27" spans="1:32">
      <c r="A27" s="2556"/>
      <c r="B27" s="2554"/>
      <c r="C27" s="2554"/>
      <c r="D27" s="2554"/>
      <c r="E27" s="2554"/>
      <c r="F27" s="2554"/>
      <c r="G27" s="2554"/>
      <c r="H27" s="2554"/>
      <c r="I27" s="2554"/>
      <c r="K27" s="2554"/>
      <c r="L27" s="2554"/>
      <c r="N27" s="2554"/>
      <c r="O27" s="2559"/>
      <c r="P27" s="2554"/>
      <c r="Q27"/>
      <c r="R27"/>
      <c r="S27"/>
      <c r="T27"/>
      <c r="U27"/>
      <c r="V27"/>
      <c r="W27"/>
      <c r="X27"/>
      <c r="Y27"/>
      <c r="Z27" s="2554"/>
      <c r="AA27" s="2554">
        <f>SUM(AA20:AA26)</f>
        <v>7850</v>
      </c>
    </row>
    <row r="28" spans="1:32">
      <c r="A28" s="2556"/>
      <c r="B28" s="2554"/>
      <c r="C28" s="2554"/>
      <c r="D28" s="2554"/>
      <c r="E28" s="2554"/>
      <c r="F28" s="2554"/>
      <c r="G28" s="2554"/>
      <c r="H28" s="2554"/>
      <c r="I28" s="2554"/>
      <c r="J28" s="2554"/>
      <c r="K28" s="2554"/>
      <c r="L28" s="2554"/>
      <c r="M28" s="2554"/>
      <c r="N28" s="2554"/>
      <c r="O28" s="2559"/>
      <c r="P28" s="2554"/>
      <c r="Q28"/>
      <c r="R28"/>
      <c r="S28"/>
      <c r="T28"/>
      <c r="U28"/>
      <c r="V28"/>
      <c r="W28"/>
      <c r="X28"/>
      <c r="Y28"/>
      <c r="Z28" s="2554"/>
      <c r="AA28" s="2554"/>
      <c r="AB28" s="2554"/>
      <c r="AC28" s="2554"/>
      <c r="AD28" s="2554"/>
      <c r="AE28" s="2554"/>
      <c r="AF28" s="2554"/>
    </row>
    <row r="29" spans="1:32">
      <c r="A29" s="2556"/>
      <c r="B29" s="2554"/>
      <c r="C29" s="2554"/>
      <c r="D29" s="2554"/>
      <c r="E29" s="2554"/>
      <c r="F29" s="2554"/>
      <c r="G29" s="2554"/>
      <c r="H29" s="2554"/>
      <c r="I29" s="2554"/>
      <c r="J29" s="2554"/>
      <c r="K29" s="2554"/>
      <c r="L29" s="2554"/>
      <c r="M29" s="2554"/>
      <c r="N29" s="2554"/>
      <c r="O29" s="2559"/>
      <c r="P29" s="2554"/>
      <c r="Q29"/>
      <c r="R29"/>
      <c r="S29"/>
      <c r="T29"/>
      <c r="U29"/>
      <c r="V29"/>
      <c r="W29"/>
      <c r="X29"/>
      <c r="Y29"/>
      <c r="Z29" s="2554"/>
      <c r="AA29" s="2554"/>
      <c r="AB29" s="2554"/>
      <c r="AC29" s="2554"/>
      <c r="AD29" s="2554"/>
      <c r="AE29" s="2554"/>
      <c r="AF29" s="2554"/>
    </row>
    <row r="30" spans="1:32">
      <c r="A30"/>
      <c r="B30" s="2557"/>
      <c r="C30" s="2557"/>
      <c r="D30" s="2557"/>
      <c r="E30" s="2557"/>
      <c r="F30" s="2557"/>
      <c r="G30" s="2557"/>
      <c r="H30" s="2557"/>
      <c r="I30" s="2557"/>
      <c r="J30" s="2557"/>
      <c r="K30" s="2557"/>
      <c r="L30" s="2557"/>
      <c r="M30" s="2557"/>
      <c r="N30" s="2557"/>
      <c r="O30" s="2562"/>
      <c r="P30" s="2554"/>
      <c r="Q30"/>
      <c r="R30"/>
      <c r="S30"/>
      <c r="T30"/>
      <c r="U30"/>
      <c r="V30"/>
      <c r="W30"/>
      <c r="X30"/>
      <c r="Y30"/>
      <c r="Z30" s="2554"/>
      <c r="AA30" s="2554"/>
      <c r="AB30" s="2554"/>
      <c r="AC30" s="2554"/>
      <c r="AD30" s="2554"/>
      <c r="AE30" s="2554"/>
      <c r="AF30" s="2554"/>
    </row>
    <row r="31" spans="1:32">
      <c r="A31" s="2554"/>
      <c r="B31" s="2554"/>
      <c r="C31" s="2554"/>
      <c r="D31" s="2554"/>
      <c r="E31" s="2554"/>
      <c r="F31" s="2554"/>
      <c r="G31" s="2554"/>
      <c r="H31" s="2554"/>
      <c r="I31" s="2554"/>
      <c r="J31" s="2554"/>
      <c r="K31" s="2554"/>
      <c r="L31" s="2554"/>
      <c r="M31" s="2554"/>
      <c r="N31" s="2554"/>
      <c r="O31" s="2554"/>
      <c r="P31" s="2554"/>
      <c r="Q31" s="2554"/>
      <c r="R31" s="2554"/>
      <c r="S31" s="2554"/>
      <c r="T31" s="2554"/>
      <c r="U31" s="2554"/>
      <c r="V31" s="2554"/>
      <c r="W31" s="2554"/>
      <c r="X31" s="2554"/>
      <c r="Y31" s="2554"/>
      <c r="Z31" s="2554"/>
      <c r="AA31" s="2554"/>
      <c r="AB31" s="2554"/>
      <c r="AC31" s="2554"/>
      <c r="AD31" s="2554"/>
      <c r="AE31" s="2554"/>
      <c r="AF31" s="2554"/>
    </row>
    <row r="32" spans="1:32">
      <c r="A32" s="2554"/>
      <c r="B32" s="2554"/>
      <c r="C32" s="2554"/>
      <c r="D32" s="2554"/>
      <c r="E32" s="2554"/>
      <c r="F32" s="2554"/>
      <c r="G32" s="2554"/>
      <c r="H32" s="2554"/>
      <c r="I32" s="2554"/>
      <c r="J32" s="2554"/>
      <c r="K32" s="2554"/>
      <c r="L32" s="2554"/>
      <c r="M32" s="2554"/>
      <c r="N32" s="2554"/>
      <c r="O32" s="2554"/>
      <c r="P32" s="2554"/>
      <c r="Q32" s="2554"/>
      <c r="R32" s="2554"/>
      <c r="S32" s="2554"/>
      <c r="T32" s="2554"/>
      <c r="U32" s="2554"/>
      <c r="V32" s="2554"/>
      <c r="W32" s="2554"/>
      <c r="X32" s="2554"/>
      <c r="Y32" s="2554"/>
      <c r="Z32" s="2554"/>
      <c r="AA32" s="2554"/>
      <c r="AB32" s="2554"/>
      <c r="AC32" s="2554"/>
      <c r="AD32" s="2554"/>
      <c r="AE32" s="2554"/>
      <c r="AF32" s="2554"/>
    </row>
    <row r="33" spans="1:32">
      <c r="A33" s="2554"/>
      <c r="B33" s="2554"/>
      <c r="C33" s="2554"/>
      <c r="D33" s="2554"/>
      <c r="E33" s="2554"/>
      <c r="F33" s="2554"/>
      <c r="G33" s="2554"/>
      <c r="H33" s="2554"/>
      <c r="I33" s="2554"/>
      <c r="J33" s="2554"/>
      <c r="K33" s="2554"/>
      <c r="L33" s="2554"/>
      <c r="M33" s="2554"/>
      <c r="N33" s="2554"/>
      <c r="O33" s="2554"/>
      <c r="P33" s="2554"/>
      <c r="Q33" s="2554"/>
      <c r="R33" s="2554"/>
      <c r="S33" s="2554"/>
      <c r="T33" s="2554"/>
      <c r="U33" s="2554"/>
      <c r="V33" s="2554"/>
      <c r="W33" s="2554"/>
      <c r="X33" s="2554"/>
      <c r="Y33" s="2554"/>
      <c r="Z33" s="2554"/>
      <c r="AA33" s="2554"/>
      <c r="AB33" s="2554"/>
      <c r="AC33" s="2554"/>
      <c r="AD33" s="2554"/>
      <c r="AE33" s="2554"/>
      <c r="AF33" s="2554"/>
    </row>
    <row r="34" spans="1:32">
      <c r="A34" s="2554"/>
      <c r="B34" s="2554"/>
      <c r="C34" s="2554"/>
      <c r="D34" s="2554"/>
      <c r="E34" s="2554"/>
      <c r="F34" s="2554"/>
      <c r="G34" s="2554"/>
      <c r="H34" s="2554"/>
      <c r="I34" s="2554"/>
      <c r="J34" s="2554"/>
      <c r="K34" s="2554"/>
      <c r="L34" s="2554"/>
      <c r="M34" s="2554"/>
      <c r="N34" s="2554"/>
      <c r="O34" s="2554"/>
      <c r="P34" s="2554"/>
      <c r="Q34" s="2554"/>
      <c r="R34" s="2554"/>
      <c r="S34" s="2554"/>
      <c r="T34" s="2554"/>
      <c r="U34" s="2554"/>
      <c r="V34" s="2554"/>
      <c r="W34" s="2554"/>
      <c r="X34" s="2554"/>
      <c r="Y34" s="2554"/>
      <c r="Z34" s="2554"/>
      <c r="AA34" s="2554"/>
      <c r="AB34" s="2554"/>
      <c r="AC34" s="2554"/>
      <c r="AD34" s="2554"/>
      <c r="AE34" s="2554"/>
      <c r="AF34" s="2554"/>
    </row>
    <row r="35" spans="1:32">
      <c r="A35" s="2554"/>
      <c r="B35" s="2554"/>
      <c r="C35" s="2554"/>
      <c r="D35" s="2554"/>
      <c r="E35" s="2554"/>
      <c r="F35" s="2554"/>
      <c r="G35" s="2554"/>
      <c r="H35" s="2554"/>
      <c r="I35" s="2554"/>
      <c r="J35" s="2554"/>
      <c r="K35" s="2554"/>
      <c r="L35" s="2554"/>
      <c r="M35" s="2554"/>
      <c r="N35" s="2554"/>
      <c r="O35" s="2554"/>
      <c r="P35" s="2554"/>
      <c r="Q35" s="2554"/>
      <c r="R35" s="2554"/>
      <c r="S35" s="2554"/>
      <c r="T35" s="2554"/>
      <c r="U35" s="2554"/>
      <c r="V35" s="2554"/>
      <c r="W35" s="2554"/>
      <c r="X35" s="2554"/>
      <c r="Y35" s="2554"/>
      <c r="Z35" s="2554"/>
      <c r="AA35" s="2554"/>
      <c r="AB35" s="2554"/>
      <c r="AC35" s="2554"/>
      <c r="AD35" s="2554"/>
      <c r="AE35" s="2554"/>
      <c r="AF35" s="2554"/>
    </row>
    <row r="36" spans="1:32">
      <c r="A36" s="2554"/>
      <c r="B36" s="2554"/>
      <c r="C36" s="2554"/>
      <c r="D36" s="2554"/>
      <c r="E36" s="2554"/>
      <c r="F36" s="2554"/>
      <c r="G36" s="2554"/>
      <c r="H36" s="2554"/>
      <c r="I36" s="2554"/>
      <c r="J36" s="2554"/>
      <c r="K36" s="2554"/>
      <c r="L36" s="2554"/>
      <c r="M36" s="2554"/>
      <c r="N36" s="2554"/>
      <c r="O36" s="2554"/>
      <c r="P36" s="2554"/>
      <c r="Q36" s="2554"/>
      <c r="R36" s="2554"/>
      <c r="S36" s="2554"/>
      <c r="T36" s="2554"/>
      <c r="U36" s="2554"/>
      <c r="V36" s="2554"/>
      <c r="W36" s="2554"/>
      <c r="X36" s="2554"/>
      <c r="Y36" s="2554"/>
      <c r="Z36" s="2554"/>
      <c r="AA36" s="2554"/>
      <c r="AB36" s="2554"/>
      <c r="AC36" s="2554"/>
      <c r="AD36" s="2554"/>
      <c r="AE36" s="2554"/>
      <c r="AF36" s="2554"/>
    </row>
    <row r="37" spans="1:32">
      <c r="A37" s="2554"/>
      <c r="B37" s="2554"/>
      <c r="C37" s="2554"/>
      <c r="D37" s="2554"/>
      <c r="E37" s="2554"/>
      <c r="F37" s="2554"/>
      <c r="G37" s="2554"/>
      <c r="H37" s="2554"/>
      <c r="I37" s="2554"/>
      <c r="J37" s="2554"/>
      <c r="K37" s="2554"/>
      <c r="L37" s="2554"/>
      <c r="M37" s="2554"/>
      <c r="N37" s="2554"/>
      <c r="O37" s="2554"/>
      <c r="P37" s="2554"/>
      <c r="Q37" s="2554"/>
      <c r="R37" s="2554"/>
      <c r="S37" s="2554"/>
      <c r="T37" s="2554"/>
      <c r="U37" s="2554"/>
      <c r="V37" s="2554"/>
      <c r="W37" s="2554"/>
      <c r="X37" s="2554"/>
      <c r="Y37" s="2554"/>
      <c r="Z37" s="2554"/>
      <c r="AA37" s="2554"/>
      <c r="AB37" s="2554"/>
      <c r="AC37" s="2554"/>
      <c r="AD37" s="2554"/>
      <c r="AE37" s="2554"/>
      <c r="AF37" s="2554"/>
    </row>
    <row r="38" spans="1:32">
      <c r="A38" s="2554"/>
      <c r="B38" s="2554"/>
      <c r="C38" s="2554"/>
      <c r="D38" s="2554"/>
      <c r="E38" s="2554"/>
      <c r="F38" s="2554"/>
      <c r="G38" s="2554"/>
      <c r="H38" s="2554"/>
      <c r="I38" s="2554"/>
      <c r="J38" s="2554"/>
      <c r="K38" s="2554"/>
      <c r="L38" s="2554"/>
      <c r="M38" s="2554"/>
      <c r="N38" s="2554"/>
      <c r="O38" s="2554"/>
      <c r="P38" s="2554"/>
      <c r="Q38" s="2554"/>
      <c r="R38" s="2554"/>
      <c r="S38" s="2554"/>
      <c r="T38" s="2554"/>
      <c r="U38" s="2554"/>
      <c r="V38" s="2554"/>
      <c r="W38" s="2554"/>
      <c r="X38" s="2554"/>
      <c r="Y38" s="2554"/>
      <c r="Z38" s="2554"/>
      <c r="AA38" s="2554"/>
      <c r="AB38" s="2554"/>
      <c r="AC38" s="2554"/>
      <c r="AD38" s="2554"/>
      <c r="AE38" s="2554"/>
      <c r="AF38" s="2554"/>
    </row>
    <row r="39" spans="1:32">
      <c r="A39" s="2554"/>
      <c r="B39" s="2554"/>
      <c r="C39" s="2554"/>
      <c r="D39" s="2554"/>
      <c r="E39" s="2554"/>
      <c r="F39" s="2554"/>
      <c r="G39" s="2554"/>
      <c r="H39" s="2554"/>
      <c r="I39" s="2554"/>
      <c r="J39" s="2554"/>
      <c r="K39" s="2554"/>
      <c r="L39" s="2554"/>
      <c r="M39" s="2554"/>
      <c r="N39" s="2554"/>
      <c r="O39" s="2554"/>
      <c r="P39" s="2554"/>
      <c r="Q39" s="2554"/>
      <c r="R39" s="2554"/>
      <c r="S39" s="2554"/>
      <c r="T39" s="2554"/>
      <c r="U39" s="2554"/>
      <c r="V39" s="2554"/>
      <c r="W39" s="2554"/>
      <c r="X39" s="2554"/>
      <c r="Y39" s="2554"/>
      <c r="Z39" s="2554"/>
      <c r="AA39" s="2554"/>
      <c r="AB39" s="2554"/>
      <c r="AC39" s="2554"/>
      <c r="AD39" s="2554"/>
      <c r="AE39" s="2554"/>
      <c r="AF39" s="2554"/>
    </row>
    <row r="40" spans="1:32">
      <c r="A40" s="2554"/>
      <c r="B40" s="2554"/>
      <c r="C40" s="2554"/>
      <c r="D40" s="2554"/>
      <c r="E40" s="2554"/>
      <c r="F40" s="2554"/>
      <c r="G40" s="2554"/>
      <c r="H40" s="2554"/>
      <c r="I40" s="2554"/>
      <c r="J40" s="2554"/>
      <c r="K40" s="2554"/>
      <c r="L40" s="2554"/>
      <c r="M40" s="2554"/>
      <c r="N40" s="2554"/>
      <c r="O40" s="2554"/>
      <c r="P40" s="2554"/>
      <c r="Q40" s="2554"/>
      <c r="R40" s="2554"/>
      <c r="S40" s="2554"/>
      <c r="T40" s="2554"/>
      <c r="U40" s="2554"/>
      <c r="V40" s="2554"/>
      <c r="W40" s="2554"/>
      <c r="X40" s="2554"/>
      <c r="Y40" s="2554"/>
      <c r="Z40" s="2554"/>
      <c r="AA40" s="2554"/>
      <c r="AB40" s="2554"/>
      <c r="AC40" s="2554"/>
      <c r="AD40" s="2554"/>
      <c r="AE40" s="2554"/>
      <c r="AF40" s="2554"/>
    </row>
    <row r="41" spans="1:32">
      <c r="W41" s="2554"/>
      <c r="X41" s="2554"/>
      <c r="Y41" s="2554"/>
      <c r="Z41" s="2554"/>
    </row>
    <row r="42" spans="1:32">
      <c r="W42" s="2554"/>
      <c r="X42" s="2554"/>
      <c r="Y42" s="2554"/>
      <c r="Z42" s="2554"/>
    </row>
    <row r="43" spans="1:32">
      <c r="W43" s="2554"/>
      <c r="X43" s="2554"/>
      <c r="Y43" s="2554"/>
      <c r="Z43" s="2554"/>
    </row>
    <row r="44" spans="1:32">
      <c r="W44" s="2554"/>
      <c r="X44" s="2554"/>
      <c r="Y44" s="2554"/>
      <c r="Z44" s="2554"/>
    </row>
    <row r="45" spans="1:32">
      <c r="W45" s="2554"/>
      <c r="X45" s="2554"/>
      <c r="Y45" s="2554"/>
      <c r="Z45" s="2554"/>
    </row>
    <row r="46" spans="1:32">
      <c r="W46" s="2554"/>
      <c r="X46" s="2554"/>
      <c r="Y46" s="2554"/>
      <c r="Z46" s="2554"/>
    </row>
    <row r="47" spans="1:32">
      <c r="W47" s="2554"/>
      <c r="X47" s="2554"/>
      <c r="Y47" s="2554"/>
      <c r="Z47" s="2554"/>
    </row>
    <row r="48" spans="1:32">
      <c r="W48" s="2554"/>
      <c r="X48" s="2554"/>
      <c r="Y48" s="2554"/>
      <c r="Z48" s="2554"/>
    </row>
    <row r="49" spans="23:26">
      <c r="W49" s="2554"/>
      <c r="X49" s="2554"/>
      <c r="Y49" s="2554"/>
      <c r="Z49" s="2554"/>
    </row>
    <row r="50" spans="23:26">
      <c r="W50" s="2554"/>
      <c r="X50" s="2554"/>
      <c r="Y50" s="2554"/>
      <c r="Z50" s="2554"/>
    </row>
    <row r="51" spans="23:26">
      <c r="W51" s="2554"/>
      <c r="X51" s="2554"/>
      <c r="Y51" s="2554"/>
      <c r="Z51" s="2554"/>
    </row>
    <row r="52" spans="23:26">
      <c r="W52" s="2554"/>
      <c r="X52" s="2554"/>
      <c r="Y52" s="2554"/>
      <c r="Z52" s="2554"/>
    </row>
    <row r="53" spans="23:26">
      <c r="W53" s="2554"/>
      <c r="X53" s="2554"/>
      <c r="Y53" s="2554"/>
      <c r="Z53" s="2554"/>
    </row>
    <row r="54" spans="23:26">
      <c r="W54" s="2554"/>
      <c r="X54" s="2554"/>
      <c r="Y54" s="2554"/>
      <c r="Z54" s="2554"/>
    </row>
    <row r="55" spans="23:26">
      <c r="W55" s="2554"/>
      <c r="X55" s="2554"/>
      <c r="Y55" s="2554"/>
      <c r="Z55" s="2554"/>
    </row>
    <row r="56" spans="23:26">
      <c r="W56" s="2554"/>
      <c r="X56" s="2554"/>
      <c r="Y56" s="2554"/>
      <c r="Z56" s="2554"/>
    </row>
    <row r="57" spans="23:26">
      <c r="W57" s="2554"/>
      <c r="X57" s="2554"/>
      <c r="Y57" s="2554"/>
      <c r="Z57" s="2554"/>
    </row>
    <row r="58" spans="23:26">
      <c r="W58" s="2554"/>
      <c r="X58" s="2554"/>
      <c r="Y58" s="2554"/>
      <c r="Z58" s="2554"/>
    </row>
    <row r="59" spans="23:26">
      <c r="W59" s="2554"/>
      <c r="X59" s="2554"/>
      <c r="Y59" s="2554"/>
      <c r="Z59" s="2554"/>
    </row>
    <row r="60" spans="23:26">
      <c r="W60" s="2554"/>
      <c r="X60" s="2554"/>
      <c r="Y60" s="2554"/>
      <c r="Z60" s="2554"/>
    </row>
    <row r="61" spans="23:26">
      <c r="W61" s="2554"/>
      <c r="X61" s="2554"/>
      <c r="Y61" s="2554"/>
      <c r="Z61" s="2554"/>
    </row>
    <row r="62" spans="23:26">
      <c r="W62" s="2554"/>
      <c r="X62" s="2554"/>
      <c r="Y62" s="2554"/>
      <c r="Z62" s="2554"/>
    </row>
    <row r="63" spans="23:26">
      <c r="W63" s="2554"/>
      <c r="X63" s="2554"/>
      <c r="Y63" s="2554"/>
      <c r="Z63" s="2554"/>
    </row>
    <row r="64" spans="23:26">
      <c r="W64" s="2554"/>
      <c r="X64" s="2554"/>
      <c r="Y64" s="2554"/>
      <c r="Z64" s="2554"/>
    </row>
    <row r="65" spans="23:26">
      <c r="W65" s="2554"/>
      <c r="X65" s="2554"/>
      <c r="Y65" s="2554"/>
      <c r="Z65" s="2554"/>
    </row>
    <row r="66" spans="23:26">
      <c r="W66" s="2554"/>
      <c r="X66" s="2554"/>
      <c r="Y66" s="2554"/>
      <c r="Z66" s="2554"/>
    </row>
    <row r="67" spans="23:26">
      <c r="W67" s="2554"/>
      <c r="X67" s="2554"/>
      <c r="Y67" s="2554"/>
      <c r="Z67" s="2554"/>
    </row>
    <row r="68" spans="23:26">
      <c r="W68" s="2554"/>
      <c r="X68" s="2554"/>
      <c r="Y68" s="2554"/>
      <c r="Z68" s="2554"/>
    </row>
    <row r="69" spans="23:26">
      <c r="W69" s="2554"/>
      <c r="X69" s="2554"/>
      <c r="Y69" s="2554"/>
      <c r="Z69" s="2554"/>
    </row>
    <row r="70" spans="23:26">
      <c r="W70" s="2554"/>
      <c r="X70" s="2554"/>
      <c r="Y70" s="2554"/>
      <c r="Z70" s="2554"/>
    </row>
    <row r="71" spans="23:26">
      <c r="W71" s="2554"/>
      <c r="X71" s="2554"/>
      <c r="Y71" s="2554"/>
      <c r="Z71" s="2554"/>
    </row>
    <row r="72" spans="23:26">
      <c r="W72" s="2554"/>
      <c r="X72" s="2554"/>
      <c r="Y72" s="2554"/>
      <c r="Z72" s="2554"/>
    </row>
    <row r="73" spans="23:26">
      <c r="W73" s="2554"/>
      <c r="X73" s="2554"/>
      <c r="Y73" s="2554"/>
      <c r="Z73" s="2554"/>
    </row>
    <row r="74" spans="23:26">
      <c r="W74" s="2554"/>
      <c r="X74" s="2554"/>
      <c r="Y74" s="2554"/>
      <c r="Z74" s="2554"/>
    </row>
    <row r="75" spans="23:26">
      <c r="W75" s="2554"/>
      <c r="X75" s="2554"/>
      <c r="Y75" s="2554"/>
      <c r="Z75" s="2554"/>
    </row>
    <row r="76" spans="23:26">
      <c r="W76" s="2554"/>
      <c r="X76" s="2554"/>
      <c r="Y76" s="2554"/>
      <c r="Z76" s="2554"/>
    </row>
    <row r="77" spans="23:26">
      <c r="W77" s="2554"/>
      <c r="X77" s="2554"/>
      <c r="Y77" s="2554"/>
      <c r="Z77" s="2554"/>
    </row>
    <row r="78" spans="23:26">
      <c r="W78" s="2554"/>
      <c r="X78" s="2554"/>
      <c r="Y78" s="2554"/>
      <c r="Z78" s="2554"/>
    </row>
  </sheetData>
  <mergeCells count="10">
    <mergeCell ref="V1:X2"/>
    <mergeCell ref="Q6:R6"/>
    <mergeCell ref="J12:K12"/>
    <mergeCell ref="D17:E17"/>
    <mergeCell ref="D26:E26"/>
    <mergeCell ref="A3:D3"/>
    <mergeCell ref="E3:F3"/>
    <mergeCell ref="A4:D4"/>
    <mergeCell ref="E4:F4"/>
    <mergeCell ref="X4:Y4"/>
  </mergeCells>
  <phoneticPr fontId="378" type="noConversion"/>
  <hyperlinks>
    <hyperlink ref="V1:X2" location="总目录!A1" display="返回目录"/>
  </hyperlinks>
  <pageMargins left="0.55000000000000004" right="0.55000000000000004" top="0.78888888888888897" bottom="0.58888888888888902" header="0.70902777777777803" footer="0.50902777777777797"/>
  <pageSetup paperSize="9" orientation="landscape"/>
  <headerFooter scaleWithDoc="0" alignWithMargins="0"/>
  <drawing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G36"/>
  <sheetViews>
    <sheetView showGridLines="0" showOutlineSymbols="0" workbookViewId="0">
      <selection activeCell="H1" sqref="H1:K1"/>
    </sheetView>
  </sheetViews>
  <sheetFormatPr defaultColWidth="8.125" defaultRowHeight="16.5"/>
  <cols>
    <col min="1" max="1" width="3.5" customWidth="1"/>
    <col min="2" max="3" width="7.125" customWidth="1"/>
    <col min="4" max="4" width="3.375" customWidth="1"/>
    <col min="5" max="5" width="7.125" customWidth="1"/>
    <col min="6" max="6" width="7.75" customWidth="1"/>
    <col min="7" max="8" width="5.25" customWidth="1"/>
    <col min="9" max="9" width="7.25" customWidth="1"/>
    <col min="10" max="10" width="4.875" customWidth="1"/>
    <col min="11" max="12" width="3.875" customWidth="1"/>
    <col min="13" max="13" width="5.25" customWidth="1"/>
    <col min="14" max="27" width="3.875" customWidth="1"/>
    <col min="28" max="28" width="5.125" customWidth="1"/>
    <col min="29" max="29" width="7.25" customWidth="1"/>
    <col min="30" max="30" width="7" customWidth="1"/>
    <col min="31" max="31" width="3" hidden="1" customWidth="1"/>
    <col min="32" max="32" width="4.25" hidden="1" customWidth="1"/>
    <col min="33" max="33" width="6.5" hidden="1" customWidth="1"/>
  </cols>
  <sheetData>
    <row r="1" spans="2:33" ht="25.9" customHeight="1">
      <c r="B1" t="s">
        <v>5872</v>
      </c>
      <c r="H1" s="3361" t="s">
        <v>12710</v>
      </c>
      <c r="I1" s="3361"/>
      <c r="J1" s="3361"/>
      <c r="K1" s="3361"/>
    </row>
    <row r="2" spans="2:33" ht="31.9" customHeight="1"/>
    <row r="3" spans="2:33" ht="27.95" customHeight="1">
      <c r="B3" s="3362" t="s">
        <v>5873</v>
      </c>
      <c r="C3" s="3362"/>
      <c r="D3" s="3362"/>
      <c r="E3" s="1580">
        <f>C10*C13*AE32*(1+AE34)*(1+AE35)*(1+AE36)/1000</f>
        <v>135.4752</v>
      </c>
      <c r="F3" t="s">
        <v>5874</v>
      </c>
      <c r="H3" t="s">
        <v>5875</v>
      </c>
      <c r="L3" s="3363">
        <f>E3*AG32*C10</f>
        <v>69.940808214827399</v>
      </c>
      <c r="M3" s="3363"/>
      <c r="N3" s="3362" t="s">
        <v>5876</v>
      </c>
      <c r="O3" s="3362"/>
      <c r="P3" t="str">
        <f>IF(C5=1,"  ",IF(C5=2,"  ","B.選擇材料特性錯誤"))</f>
        <v/>
      </c>
      <c r="Y3" s="3362" t="s">
        <v>5877</v>
      </c>
      <c r="Z3" s="3362"/>
      <c r="AA3" s="3362">
        <f ca="1">TODAY()</f>
        <v>43976</v>
      </c>
      <c r="AB3" s="3362"/>
      <c r="AC3" s="3362"/>
    </row>
    <row r="4" spans="2:33">
      <c r="B4" s="3364" t="s">
        <v>5878</v>
      </c>
      <c r="C4" s="3365"/>
      <c r="E4" s="3366" t="s">
        <v>5879</v>
      </c>
      <c r="F4" s="3362"/>
      <c r="H4" s="158"/>
      <c r="J4" s="3362" t="s">
        <v>5880</v>
      </c>
      <c r="K4" s="3362"/>
      <c r="L4" s="3362"/>
      <c r="M4" s="3362"/>
      <c r="N4" s="3362"/>
    </row>
    <row r="5" spans="2:33">
      <c r="B5" s="2545" t="s">
        <v>5881</v>
      </c>
      <c r="C5" s="2546">
        <v>2</v>
      </c>
      <c r="E5" s="2545" t="s">
        <v>5881</v>
      </c>
      <c r="F5" s="2547">
        <v>11</v>
      </c>
      <c r="G5" t="s">
        <v>5882</v>
      </c>
      <c r="H5" s="159" t="s">
        <v>5883</v>
      </c>
      <c r="J5" t="s">
        <v>5884</v>
      </c>
      <c r="N5" t="s">
        <v>5885</v>
      </c>
      <c r="R5" t="s">
        <v>5886</v>
      </c>
      <c r="V5" t="s">
        <v>5887</v>
      </c>
      <c r="Z5" t="s">
        <v>5888</v>
      </c>
    </row>
    <row r="6" spans="2:33">
      <c r="B6" s="2548" t="s">
        <v>5889</v>
      </c>
      <c r="C6" s="2549"/>
      <c r="E6" s="2548" t="s">
        <v>5890</v>
      </c>
      <c r="F6" s="2550"/>
      <c r="G6" s="2550">
        <v>3</v>
      </c>
      <c r="H6" s="2549" t="s">
        <v>5891</v>
      </c>
      <c r="J6" s="145"/>
      <c r="K6" s="145"/>
      <c r="L6" s="145"/>
      <c r="M6" s="158"/>
      <c r="AE6" t="str">
        <f t="shared" ref="AE6:AE29" si="0">IF($C$5=1,G6,IF($C$5=2,H6,0))</f>
        <v>---</v>
      </c>
      <c r="AF6">
        <f>IF($F$5=1,AE6,0)</f>
        <v>0</v>
      </c>
      <c r="AG6" t="str">
        <f t="shared" ref="AG6:AG29" si="1">IF(AF6=0,"  ",(1/AF6^0.3)*1.5)</f>
        <v/>
      </c>
    </row>
    <row r="7" spans="2:33" ht="16.5" customHeight="1">
      <c r="B7" s="2551" t="s">
        <v>5892</v>
      </c>
      <c r="C7" s="2552"/>
      <c r="E7" s="2548" t="s">
        <v>5893</v>
      </c>
      <c r="F7" s="2550"/>
      <c r="G7" s="2550">
        <v>4</v>
      </c>
      <c r="H7" s="2549" t="s">
        <v>5891</v>
      </c>
      <c r="J7" s="654"/>
      <c r="K7" s="654"/>
      <c r="L7" s="654"/>
      <c r="M7" s="159"/>
      <c r="AE7" t="str">
        <f t="shared" si="0"/>
        <v>---</v>
      </c>
      <c r="AF7">
        <f>IF($F$5=2,AE7,0)</f>
        <v>0</v>
      </c>
      <c r="AG7" t="str">
        <f t="shared" si="1"/>
        <v/>
      </c>
    </row>
    <row r="8" spans="2:33">
      <c r="E8" s="2548" t="s">
        <v>5894</v>
      </c>
      <c r="F8" s="2550"/>
      <c r="G8" s="2550">
        <v>9</v>
      </c>
      <c r="H8" s="2549">
        <v>16</v>
      </c>
      <c r="J8" s="654"/>
      <c r="K8" s="654"/>
      <c r="L8" s="654"/>
      <c r="M8" s="159"/>
      <c r="AE8">
        <f t="shared" si="0"/>
        <v>16</v>
      </c>
      <c r="AF8">
        <f>IF($F$5=3,AE8,0)</f>
        <v>0</v>
      </c>
      <c r="AG8" t="str">
        <f t="shared" si="1"/>
        <v/>
      </c>
    </row>
    <row r="9" spans="2:33">
      <c r="B9" s="2544" t="s">
        <v>5895</v>
      </c>
      <c r="C9" s="158"/>
      <c r="E9" s="2548" t="s">
        <v>5896</v>
      </c>
      <c r="F9" s="2550"/>
      <c r="G9" s="2550">
        <v>22</v>
      </c>
      <c r="H9" s="2549">
        <v>36</v>
      </c>
      <c r="J9" s="654"/>
      <c r="K9" s="654"/>
      <c r="L9" s="654"/>
      <c r="M9" s="159"/>
      <c r="AE9">
        <f t="shared" si="0"/>
        <v>36</v>
      </c>
      <c r="AF9">
        <f>IF($F$5=4,AE9,0)</f>
        <v>0</v>
      </c>
      <c r="AG9" t="str">
        <f t="shared" si="1"/>
        <v/>
      </c>
    </row>
    <row r="10" spans="2:33">
      <c r="B10" s="2545" t="s">
        <v>5897</v>
      </c>
      <c r="C10" s="2546">
        <v>1</v>
      </c>
      <c r="E10" s="2548" t="s">
        <v>5898</v>
      </c>
      <c r="F10" s="2550"/>
      <c r="G10" s="2550">
        <v>11</v>
      </c>
      <c r="H10" s="2549">
        <v>18</v>
      </c>
      <c r="J10" s="654"/>
      <c r="K10" s="654"/>
      <c r="L10" s="654"/>
      <c r="M10" s="159"/>
      <c r="S10" t="s">
        <v>5899</v>
      </c>
      <c r="T10" t="s">
        <v>5900</v>
      </c>
      <c r="U10" t="s">
        <v>5901</v>
      </c>
      <c r="AA10" t="s">
        <v>5899</v>
      </c>
      <c r="AB10" t="s">
        <v>5900</v>
      </c>
      <c r="AC10" t="s">
        <v>5901</v>
      </c>
      <c r="AE10">
        <f t="shared" si="0"/>
        <v>18</v>
      </c>
      <c r="AF10">
        <f>IF($F$5=5,AE10,0)</f>
        <v>0</v>
      </c>
      <c r="AG10" t="str">
        <f t="shared" si="1"/>
        <v/>
      </c>
    </row>
    <row r="11" spans="2:33">
      <c r="E11" s="2548" t="s">
        <v>5902</v>
      </c>
      <c r="F11" s="2550"/>
      <c r="G11" s="2550">
        <v>12</v>
      </c>
      <c r="H11" s="2549">
        <v>20</v>
      </c>
      <c r="J11" s="654"/>
      <c r="K11" s="654"/>
      <c r="L11" s="654"/>
      <c r="M11" s="159"/>
      <c r="O11" t="s">
        <v>5899</v>
      </c>
      <c r="P11" t="s">
        <v>5900</v>
      </c>
      <c r="Q11" t="s">
        <v>5901</v>
      </c>
      <c r="R11" t="s">
        <v>5903</v>
      </c>
      <c r="W11" t="s">
        <v>5899</v>
      </c>
      <c r="X11" t="s">
        <v>5900</v>
      </c>
      <c r="Y11" t="s">
        <v>5901</v>
      </c>
      <c r="Z11" t="s">
        <v>5904</v>
      </c>
      <c r="AE11">
        <f t="shared" si="0"/>
        <v>20</v>
      </c>
      <c r="AF11">
        <f>IF($F$5=6,AE11,0)</f>
        <v>0</v>
      </c>
      <c r="AG11" t="str">
        <f t="shared" si="1"/>
        <v/>
      </c>
    </row>
    <row r="12" spans="2:33">
      <c r="B12" s="2544" t="s">
        <v>5905</v>
      </c>
      <c r="C12" s="158"/>
      <c r="E12" s="2548" t="s">
        <v>5906</v>
      </c>
      <c r="F12" s="2550"/>
      <c r="G12" s="2550">
        <v>20</v>
      </c>
      <c r="H12" s="2549">
        <v>30</v>
      </c>
      <c r="J12" s="950"/>
      <c r="K12" s="950" t="s">
        <v>5899</v>
      </c>
      <c r="L12" s="950" t="s">
        <v>5900</v>
      </c>
      <c r="M12" s="950" t="s">
        <v>5901</v>
      </c>
      <c r="N12" t="s">
        <v>5903</v>
      </c>
      <c r="R12" t="s">
        <v>2062</v>
      </c>
      <c r="V12" t="s">
        <v>5907</v>
      </c>
      <c r="Z12" t="s">
        <v>5908</v>
      </c>
      <c r="AE12">
        <f t="shared" si="0"/>
        <v>30</v>
      </c>
      <c r="AF12">
        <f>IF($F$5=7,AE12,0)</f>
        <v>0</v>
      </c>
      <c r="AG12" t="str">
        <f t="shared" si="1"/>
        <v/>
      </c>
    </row>
    <row r="13" spans="2:33" ht="24" customHeight="1">
      <c r="B13" s="2545" t="s">
        <v>5909</v>
      </c>
      <c r="C13" s="2546">
        <v>1920</v>
      </c>
      <c r="E13" s="2548" t="s">
        <v>5910</v>
      </c>
      <c r="F13" s="2550"/>
      <c r="G13" s="2550">
        <v>25</v>
      </c>
      <c r="H13" s="2549">
        <v>40</v>
      </c>
      <c r="J13" s="950" t="s">
        <v>5911</v>
      </c>
      <c r="K13" s="950">
        <v>8</v>
      </c>
      <c r="L13" s="950"/>
      <c r="M13" s="950"/>
      <c r="N13" t="s">
        <v>2062</v>
      </c>
      <c r="R13" t="s">
        <v>5912</v>
      </c>
      <c r="V13" t="s">
        <v>5913</v>
      </c>
      <c r="Z13" t="s">
        <v>5914</v>
      </c>
      <c r="AE13">
        <f t="shared" si="0"/>
        <v>40</v>
      </c>
      <c r="AF13">
        <f>IF($F$5=8,AE13,0)</f>
        <v>0</v>
      </c>
      <c r="AG13" t="str">
        <f t="shared" si="1"/>
        <v/>
      </c>
    </row>
    <row r="14" spans="2:33" ht="31.9" customHeight="1">
      <c r="E14" s="2548" t="s">
        <v>5915</v>
      </c>
      <c r="F14" s="2550"/>
      <c r="G14" s="2550">
        <v>35</v>
      </c>
      <c r="H14" s="2549">
        <v>60</v>
      </c>
      <c r="J14" s="950" t="s">
        <v>5916</v>
      </c>
      <c r="K14" s="950">
        <v>1</v>
      </c>
      <c r="L14" s="950"/>
      <c r="M14" s="950"/>
      <c r="N14" t="s">
        <v>5916</v>
      </c>
      <c r="R14" t="s">
        <v>5916</v>
      </c>
      <c r="V14" t="s">
        <v>5916</v>
      </c>
      <c r="Z14" t="s">
        <v>5916</v>
      </c>
      <c r="AE14">
        <f t="shared" si="0"/>
        <v>60</v>
      </c>
      <c r="AF14">
        <f>IF($F$5=9,AE14,0)</f>
        <v>0</v>
      </c>
      <c r="AG14" t="str">
        <f t="shared" si="1"/>
        <v/>
      </c>
    </row>
    <row r="15" spans="2:33">
      <c r="B15" s="2544" t="s">
        <v>5917</v>
      </c>
      <c r="C15" s="158"/>
      <c r="E15" s="2548" t="s">
        <v>5918</v>
      </c>
      <c r="F15" s="2550"/>
      <c r="G15" s="2550">
        <v>45</v>
      </c>
      <c r="H15" s="2549">
        <v>70</v>
      </c>
      <c r="J15" s="950" t="s">
        <v>5919</v>
      </c>
      <c r="K15" s="950">
        <f t="shared" ref="K15:M15" si="2">K13*3.14159*K14</f>
        <v>25.132719999999999</v>
      </c>
      <c r="L15" s="950">
        <f t="shared" si="2"/>
        <v>0</v>
      </c>
      <c r="M15" s="950">
        <f t="shared" si="2"/>
        <v>0</v>
      </c>
      <c r="N15" t="s">
        <v>5919</v>
      </c>
      <c r="O15">
        <f t="shared" ref="O15:Q15" si="3">(O12+O13)*2*O14</f>
        <v>0</v>
      </c>
      <c r="P15">
        <f t="shared" si="3"/>
        <v>0</v>
      </c>
      <c r="Q15">
        <f t="shared" si="3"/>
        <v>0</v>
      </c>
      <c r="R15" t="s">
        <v>5919</v>
      </c>
      <c r="S15">
        <f t="shared" ref="S15:U15" si="4">((S11+S12)*2-(S13*8)+(S13*3.14159))*S14</f>
        <v>0</v>
      </c>
      <c r="T15">
        <f t="shared" si="4"/>
        <v>0</v>
      </c>
      <c r="U15">
        <f t="shared" si="4"/>
        <v>0</v>
      </c>
      <c r="V15" t="s">
        <v>5919</v>
      </c>
      <c r="W15">
        <f t="shared" ref="W15:Y15" si="5">((2*(W12^2+W13^2))^0.5*3.14059)*W14</f>
        <v>0</v>
      </c>
      <c r="X15">
        <f t="shared" si="5"/>
        <v>0</v>
      </c>
      <c r="Y15">
        <f t="shared" si="5"/>
        <v>0</v>
      </c>
      <c r="Z15" t="s">
        <v>5919</v>
      </c>
      <c r="AA15">
        <f t="shared" ref="AA15:AC15" si="6">((((((AA11-AA12)/2)^2+(AA13)^2)^0.5)*2)+AA11+AA12)*AA14</f>
        <v>0</v>
      </c>
      <c r="AB15">
        <f t="shared" si="6"/>
        <v>0</v>
      </c>
      <c r="AC15">
        <f t="shared" si="6"/>
        <v>0</v>
      </c>
      <c r="AE15">
        <f t="shared" si="0"/>
        <v>70</v>
      </c>
      <c r="AF15">
        <f>IF($F$5=10,AE15,0)</f>
        <v>0</v>
      </c>
      <c r="AG15" t="str">
        <f t="shared" si="1"/>
        <v/>
      </c>
    </row>
    <row r="16" spans="2:33">
      <c r="B16" s="2545" t="s">
        <v>5881</v>
      </c>
      <c r="C16" s="2546">
        <v>3</v>
      </c>
      <c r="E16" s="2548" t="s">
        <v>5920</v>
      </c>
      <c r="F16" s="2550"/>
      <c r="G16" s="2550">
        <v>32</v>
      </c>
      <c r="H16" s="2549">
        <v>35</v>
      </c>
      <c r="J16" s="3362" t="s">
        <v>5921</v>
      </c>
      <c r="K16" s="3362"/>
      <c r="L16" s="3362"/>
      <c r="M16" s="3362"/>
      <c r="N16" s="3362">
        <f>SUM(K15:M15,O15:Q15,S15:U15,W15:Y15,AA15:AC15)</f>
        <v>25.132719999999999</v>
      </c>
      <c r="O16" s="3362"/>
      <c r="P16" s="3362" t="s">
        <v>2040</v>
      </c>
      <c r="AE16">
        <f t="shared" si="0"/>
        <v>35</v>
      </c>
      <c r="AF16">
        <f>IF($F$5=11,AE16,0)</f>
        <v>35</v>
      </c>
      <c r="AG16">
        <f t="shared" si="1"/>
        <v>0.51626281573917199</v>
      </c>
    </row>
    <row r="17" spans="2:33">
      <c r="B17" s="2548" t="s">
        <v>5922</v>
      </c>
      <c r="C17" s="2549"/>
      <c r="E17" s="2548" t="s">
        <v>5923</v>
      </c>
      <c r="F17" s="2550"/>
      <c r="G17" s="2550">
        <v>32</v>
      </c>
      <c r="H17" s="2549">
        <v>35</v>
      </c>
      <c r="J17" s="3362"/>
      <c r="K17" s="3362"/>
      <c r="L17" s="3362"/>
      <c r="M17" s="3362"/>
      <c r="N17" s="3362"/>
      <c r="O17" s="3362"/>
      <c r="P17" s="3362"/>
      <c r="AE17">
        <f t="shared" si="0"/>
        <v>35</v>
      </c>
      <c r="AF17">
        <f>IF($F$5=12,AE17,0)</f>
        <v>0</v>
      </c>
      <c r="AG17" t="str">
        <f t="shared" si="1"/>
        <v/>
      </c>
    </row>
    <row r="18" spans="2:33">
      <c r="B18" s="2548" t="s">
        <v>5924</v>
      </c>
      <c r="C18" s="2549"/>
      <c r="E18" s="2548" t="s">
        <v>5925</v>
      </c>
      <c r="F18" s="2550"/>
      <c r="G18" s="2550">
        <v>32</v>
      </c>
      <c r="H18" s="2549">
        <v>35</v>
      </c>
      <c r="AE18">
        <f t="shared" si="0"/>
        <v>35</v>
      </c>
      <c r="AF18">
        <f>IF($F$5=13,AE18,0)</f>
        <v>0</v>
      </c>
      <c r="AG18" t="str">
        <f t="shared" si="1"/>
        <v/>
      </c>
    </row>
    <row r="19" spans="2:33">
      <c r="B19" s="2551" t="s">
        <v>5926</v>
      </c>
      <c r="C19" s="2552"/>
      <c r="E19" s="2548" t="s">
        <v>5927</v>
      </c>
      <c r="F19" s="2550"/>
      <c r="G19" s="2550">
        <v>32</v>
      </c>
      <c r="H19" s="2549">
        <v>40</v>
      </c>
      <c r="J19" s="3362" t="s">
        <v>5928</v>
      </c>
      <c r="K19" s="3362"/>
      <c r="L19" t="s">
        <v>5929</v>
      </c>
      <c r="M19" s="3362" t="s">
        <v>5930</v>
      </c>
      <c r="N19" s="3362"/>
      <c r="O19" t="s">
        <v>5929</v>
      </c>
      <c r="P19" s="3362" t="s">
        <v>4554</v>
      </c>
      <c r="Q19" s="3362"/>
      <c r="R19" t="s">
        <v>5929</v>
      </c>
      <c r="S19" s="3362" t="s">
        <v>5931</v>
      </c>
      <c r="T19" s="3362"/>
      <c r="U19" t="s">
        <v>5929</v>
      </c>
      <c r="V19" s="3362" t="s">
        <v>5932</v>
      </c>
      <c r="W19" s="3362"/>
      <c r="X19" t="s">
        <v>5929</v>
      </c>
      <c r="Y19" s="3362" t="s">
        <v>5933</v>
      </c>
      <c r="Z19" s="3362"/>
      <c r="AA19" t="s">
        <v>5934</v>
      </c>
      <c r="AE19">
        <f t="shared" si="0"/>
        <v>40</v>
      </c>
      <c r="AF19">
        <f>IF($F$5=14,AE19,0)</f>
        <v>0</v>
      </c>
      <c r="AG19" t="str">
        <f t="shared" si="1"/>
        <v/>
      </c>
    </row>
    <row r="20" spans="2:33">
      <c r="E20" s="2548" t="s">
        <v>5935</v>
      </c>
      <c r="F20" s="2550"/>
      <c r="G20" s="2550">
        <v>36</v>
      </c>
      <c r="H20" s="2549">
        <v>48</v>
      </c>
      <c r="J20" s="3362">
        <f>AE32</f>
        <v>35</v>
      </c>
      <c r="K20" s="3362"/>
      <c r="L20" t="s">
        <v>5929</v>
      </c>
      <c r="M20" s="3362">
        <f>C10</f>
        <v>1</v>
      </c>
      <c r="N20" s="3362"/>
      <c r="O20" t="s">
        <v>5929</v>
      </c>
      <c r="P20" s="3362">
        <f>C13</f>
        <v>1920</v>
      </c>
      <c r="Q20" s="3362"/>
      <c r="R20" t="s">
        <v>5929</v>
      </c>
      <c r="S20" s="3362">
        <f>AE34+1</f>
        <v>1.2</v>
      </c>
      <c r="T20" s="3362"/>
      <c r="U20" t="s">
        <v>5929</v>
      </c>
      <c r="V20" s="3362">
        <f>AE35+1</f>
        <v>1.4</v>
      </c>
      <c r="W20" s="3362"/>
      <c r="X20" t="s">
        <v>5929</v>
      </c>
      <c r="Y20" s="3362">
        <f>AE36+1</f>
        <v>1.2</v>
      </c>
      <c r="Z20" s="3362"/>
      <c r="AA20" t="s">
        <v>5934</v>
      </c>
      <c r="AE20">
        <f t="shared" si="0"/>
        <v>48</v>
      </c>
      <c r="AF20">
        <f>IF($F$5=15,AE20,0)</f>
        <v>0</v>
      </c>
      <c r="AG20" t="str">
        <f t="shared" si="1"/>
        <v/>
      </c>
    </row>
    <row r="21" spans="2:33">
      <c r="B21" s="2544" t="s">
        <v>5936</v>
      </c>
      <c r="C21" s="158"/>
      <c r="E21" s="2548" t="s">
        <v>5937</v>
      </c>
      <c r="F21" s="2550"/>
      <c r="G21" s="2550">
        <v>45</v>
      </c>
      <c r="H21" s="2549">
        <v>56</v>
      </c>
      <c r="J21" t="s">
        <v>5938</v>
      </c>
      <c r="AE21">
        <f t="shared" si="0"/>
        <v>56</v>
      </c>
      <c r="AF21">
        <f>IF($F$5=16,AE21,0)</f>
        <v>0</v>
      </c>
      <c r="AG21" t="str">
        <f t="shared" si="1"/>
        <v/>
      </c>
    </row>
    <row r="22" spans="2:33">
      <c r="B22" s="2545" t="s">
        <v>5881</v>
      </c>
      <c r="C22" s="2546">
        <v>3</v>
      </c>
      <c r="E22" s="2548" t="s">
        <v>5939</v>
      </c>
      <c r="F22" s="2550"/>
      <c r="G22" s="2550">
        <v>55</v>
      </c>
      <c r="H22" s="2549">
        <v>72</v>
      </c>
      <c r="AE22">
        <f t="shared" si="0"/>
        <v>72</v>
      </c>
      <c r="AF22">
        <f>IF($F$5=17,AE22,0)</f>
        <v>0</v>
      </c>
      <c r="AG22" t="str">
        <f t="shared" si="1"/>
        <v/>
      </c>
    </row>
    <row r="23" spans="2:33">
      <c r="B23" s="2548" t="s">
        <v>5940</v>
      </c>
      <c r="C23" s="2549"/>
      <c r="E23" s="2548" t="s">
        <v>5941</v>
      </c>
      <c r="F23" s="2550"/>
      <c r="G23" s="2550">
        <v>70</v>
      </c>
      <c r="H23" s="2549">
        <v>90</v>
      </c>
      <c r="AE23">
        <f t="shared" si="0"/>
        <v>90</v>
      </c>
      <c r="AF23">
        <f>IF($F$5=18,AE23,0)</f>
        <v>0</v>
      </c>
      <c r="AG23" t="str">
        <f t="shared" si="1"/>
        <v/>
      </c>
    </row>
    <row r="24" spans="2:33">
      <c r="B24" s="2548" t="s">
        <v>5942</v>
      </c>
      <c r="C24" s="2549"/>
      <c r="E24" s="2548" t="s">
        <v>5943</v>
      </c>
      <c r="F24" s="2550"/>
      <c r="G24" s="2550">
        <v>80</v>
      </c>
      <c r="H24" s="2549">
        <v>105</v>
      </c>
      <c r="AE24">
        <f t="shared" si="0"/>
        <v>105</v>
      </c>
      <c r="AF24">
        <f>IF($F$5=19,AE24,0)</f>
        <v>0</v>
      </c>
      <c r="AG24" t="str">
        <f t="shared" si="1"/>
        <v/>
      </c>
    </row>
    <row r="25" spans="2:33">
      <c r="B25" s="2551" t="s">
        <v>5944</v>
      </c>
      <c r="C25" s="2552"/>
      <c r="E25" s="2548" t="s">
        <v>5945</v>
      </c>
      <c r="F25" s="2550"/>
      <c r="G25" s="2550">
        <v>20</v>
      </c>
      <c r="H25" s="2549">
        <v>56</v>
      </c>
      <c r="AE25">
        <f t="shared" si="0"/>
        <v>56</v>
      </c>
      <c r="AF25">
        <f>IF($F$5=20,AE25,0)</f>
        <v>0</v>
      </c>
      <c r="AG25" t="str">
        <f t="shared" si="1"/>
        <v/>
      </c>
    </row>
    <row r="26" spans="2:33">
      <c r="E26" s="2548" t="s">
        <v>5946</v>
      </c>
      <c r="F26" s="2550"/>
      <c r="G26" s="2550">
        <v>45</v>
      </c>
      <c r="H26" s="2549">
        <v>55</v>
      </c>
      <c r="AE26">
        <f t="shared" si="0"/>
        <v>55</v>
      </c>
      <c r="AF26">
        <f>IF($F$5=21,AE26,0)</f>
        <v>0</v>
      </c>
      <c r="AG26" t="str">
        <f t="shared" si="1"/>
        <v/>
      </c>
    </row>
    <row r="27" spans="2:33">
      <c r="B27" s="2544" t="s">
        <v>5947</v>
      </c>
      <c r="C27" s="158"/>
      <c r="E27" s="2548" t="s">
        <v>5948</v>
      </c>
      <c r="F27" s="2550"/>
      <c r="G27" s="2550">
        <v>25</v>
      </c>
      <c r="H27" s="2549">
        <v>30</v>
      </c>
      <c r="AE27">
        <f t="shared" si="0"/>
        <v>30</v>
      </c>
      <c r="AF27">
        <f>IF($F$5=22,AE27,0)</f>
        <v>0</v>
      </c>
      <c r="AG27" t="str">
        <f t="shared" si="1"/>
        <v/>
      </c>
    </row>
    <row r="28" spans="2:33">
      <c r="B28" s="2545" t="s">
        <v>5881</v>
      </c>
      <c r="C28" s="2546">
        <v>2</v>
      </c>
      <c r="E28" s="2548" t="s">
        <v>5949</v>
      </c>
      <c r="F28" s="2550"/>
      <c r="G28" s="2550">
        <v>13</v>
      </c>
      <c r="H28" s="2549" t="s">
        <v>5950</v>
      </c>
      <c r="AE28" t="str">
        <f t="shared" si="0"/>
        <v>----</v>
      </c>
      <c r="AF28">
        <f>IF($F$5=23,AE28,0)</f>
        <v>0</v>
      </c>
      <c r="AG28" t="str">
        <f t="shared" si="1"/>
        <v/>
      </c>
    </row>
    <row r="29" spans="2:33">
      <c r="B29" s="2551" t="s">
        <v>5951</v>
      </c>
      <c r="C29" s="2552" t="s">
        <v>5952</v>
      </c>
      <c r="E29" s="2548" t="s">
        <v>5953</v>
      </c>
      <c r="F29" s="2550"/>
      <c r="G29" s="2550">
        <v>8</v>
      </c>
      <c r="H29" s="2552" t="s">
        <v>5950</v>
      </c>
      <c r="AE29" t="str">
        <f t="shared" si="0"/>
        <v>----</v>
      </c>
      <c r="AF29">
        <f>IF($F$5=24,AE29,0)</f>
        <v>0</v>
      </c>
      <c r="AG29" t="str">
        <f t="shared" si="1"/>
        <v/>
      </c>
    </row>
    <row r="30" spans="2:33" ht="21.75" customHeight="1"/>
    <row r="31" spans="2:33" ht="15" customHeight="1"/>
    <row r="32" spans="2:33" ht="15" customHeight="1">
      <c r="AE32">
        <f>SUM(AF6:AF29)</f>
        <v>35</v>
      </c>
      <c r="AG32">
        <f>SUM(AG6:AG29)</f>
        <v>0.51626281573917199</v>
      </c>
    </row>
    <row r="34" spans="31:31">
      <c r="AE34">
        <f>IF(C16=1,0.1,IF(C16=2,0.15,IF(C16=3,0.2,0)))</f>
        <v>0.2</v>
      </c>
    </row>
    <row r="35" spans="31:31">
      <c r="AE35">
        <f>IF(C22=1,0.3,IF(C22=2,0.35,IF(C22=3,0.4,0)))</f>
        <v>0.4</v>
      </c>
    </row>
    <row r="36" spans="31:31">
      <c r="AE36">
        <f>IF(C28=1,0.1,IF(C28=2,0.2,0))</f>
        <v>0.2</v>
      </c>
    </row>
  </sheetData>
  <mergeCells count="24">
    <mergeCell ref="P16:P17"/>
    <mergeCell ref="J16:M17"/>
    <mergeCell ref="N16:O17"/>
    <mergeCell ref="H1:K1"/>
    <mergeCell ref="P19:Q19"/>
    <mergeCell ref="S19:T19"/>
    <mergeCell ref="V19:W19"/>
    <mergeCell ref="Y19:Z19"/>
    <mergeCell ref="J20:K20"/>
    <mergeCell ref="M20:N20"/>
    <mergeCell ref="P20:Q20"/>
    <mergeCell ref="S20:T20"/>
    <mergeCell ref="V20:W20"/>
    <mergeCell ref="Y20:Z20"/>
    <mergeCell ref="B4:C4"/>
    <mergeCell ref="E4:F4"/>
    <mergeCell ref="J4:N4"/>
    <mergeCell ref="J19:K19"/>
    <mergeCell ref="M19:N19"/>
    <mergeCell ref="B3:D3"/>
    <mergeCell ref="L3:M3"/>
    <mergeCell ref="N3:O3"/>
    <mergeCell ref="Y3:Z3"/>
    <mergeCell ref="AA3:AC3"/>
  </mergeCells>
  <phoneticPr fontId="378" type="noConversion"/>
  <hyperlinks>
    <hyperlink ref="H1:K1" location="总目录!A1" display="返回目录"/>
  </hyperlinks>
  <pageMargins left="0.55000000000000004" right="0.55000000000000004" top="0.78888888888888897" bottom="0.58888888888888902" header="0.70902777777777803" footer="0.50902777777777797"/>
  <pageSetup paperSize="9" orientation="landscape"/>
  <headerFooter scaleWithDoc="0" alignWithMargins="0"/>
  <drawing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1"/>
  <sheetViews>
    <sheetView showGridLines="0" showOutlineSymbols="0" workbookViewId="0">
      <selection activeCell="M1" sqref="M1:O2"/>
    </sheetView>
  </sheetViews>
  <sheetFormatPr defaultColWidth="8.125" defaultRowHeight="16.5"/>
  <cols>
    <col min="1" max="1" width="2.25" customWidth="1"/>
    <col min="2" max="2" width="6.625" customWidth="1"/>
    <col min="3" max="5" width="8.5" customWidth="1"/>
    <col min="6" max="7" width="4.625" customWidth="1"/>
    <col min="8" max="8" width="1.25" customWidth="1"/>
    <col min="9" max="11" width="5.375" customWidth="1"/>
    <col min="12" max="12" width="6.125" customWidth="1"/>
    <col min="13" max="13" width="7.25" customWidth="1"/>
    <col min="15" max="15" width="4.25" customWidth="1"/>
    <col min="16" max="16" width="1" customWidth="1"/>
    <col min="17" max="21" width="6.625" customWidth="1"/>
    <col min="22" max="22" width="6.875" customWidth="1"/>
    <col min="23" max="23" width="5.75" hidden="1" customWidth="1"/>
    <col min="24" max="24" width="8" hidden="1" customWidth="1"/>
    <col min="25" max="25" width="8.875" customWidth="1"/>
  </cols>
  <sheetData>
    <row r="1" spans="1:21">
      <c r="A1" s="3362" t="s">
        <v>5954</v>
      </c>
      <c r="B1" s="3362"/>
      <c r="C1" s="3362"/>
      <c r="D1" s="3362"/>
      <c r="E1" s="3362"/>
      <c r="F1" s="3362"/>
      <c r="G1" s="3362"/>
      <c r="H1" s="3362"/>
      <c r="I1" s="3362"/>
      <c r="J1" s="3362"/>
      <c r="M1" s="3361" t="s">
        <v>12711</v>
      </c>
      <c r="N1" s="3361"/>
      <c r="O1" s="3361"/>
    </row>
    <row r="2" spans="1:21" ht="20.25">
      <c r="B2" s="3362" t="s">
        <v>5955</v>
      </c>
      <c r="C2" s="3362"/>
      <c r="D2" s="3362"/>
      <c r="E2">
        <f>IF(I20=2,F19*M22*W19/1000,IF(L26/L24&gt;0.45,"*****",F19*M22*W19/1000))</f>
        <v>1820.7</v>
      </c>
      <c r="F2" s="3362" t="s">
        <v>5956</v>
      </c>
      <c r="G2" s="3362"/>
      <c r="M2" s="3361"/>
      <c r="N2" s="3361"/>
      <c r="O2" s="3361"/>
    </row>
    <row r="3" spans="1:21" ht="20.25">
      <c r="B3" s="3362" t="s">
        <v>5957</v>
      </c>
      <c r="C3" s="3362"/>
      <c r="D3" s="3362"/>
      <c r="E3">
        <f>IF(I20=2,F19*M22*W19/1000*L26,IF(L26/L24&gt;0.45,"****",F19*M22*W19/1000*L26))</f>
        <v>910.35</v>
      </c>
      <c r="F3" s="3362" t="s">
        <v>5876</v>
      </c>
      <c r="G3" s="3362"/>
      <c r="S3" t="s">
        <v>5958</v>
      </c>
      <c r="T3" s="3362">
        <f ca="1">TODAY()</f>
        <v>43976</v>
      </c>
      <c r="U3" s="3362"/>
    </row>
    <row r="4" spans="1:21" ht="26.25" customHeight="1"/>
    <row r="7" spans="1:21">
      <c r="C7" t="s">
        <v>5959</v>
      </c>
      <c r="G7" s="3362" t="s">
        <v>5960</v>
      </c>
      <c r="H7" s="3362"/>
      <c r="I7" s="3362"/>
      <c r="N7" t="s">
        <v>5961</v>
      </c>
    </row>
    <row r="10" spans="1:21">
      <c r="C10" t="s">
        <v>5962</v>
      </c>
      <c r="G10" s="3362" t="s">
        <v>5963</v>
      </c>
      <c r="H10" s="3362"/>
      <c r="I10" s="3362"/>
      <c r="N10" t="s">
        <v>5964</v>
      </c>
    </row>
    <row r="12" spans="1:21" ht="10.5" customHeight="1"/>
    <row r="13" spans="1:21">
      <c r="B13" s="3362" t="s">
        <v>5965</v>
      </c>
      <c r="C13" s="3362"/>
      <c r="D13" s="3362"/>
      <c r="F13" s="3362" t="s">
        <v>5966</v>
      </c>
      <c r="G13" s="3362"/>
      <c r="H13" s="3362"/>
      <c r="I13" s="3362"/>
      <c r="J13" s="3362"/>
      <c r="M13" s="3362" t="s">
        <v>5967</v>
      </c>
      <c r="N13" s="3362"/>
      <c r="O13" s="3362"/>
      <c r="S13" s="3362" t="s">
        <v>5968</v>
      </c>
      <c r="T13" s="3362"/>
    </row>
    <row r="14" spans="1:21" ht="7.5" customHeight="1"/>
    <row r="15" spans="1:21">
      <c r="B15" s="3362"/>
      <c r="C15" s="3362"/>
      <c r="D15" s="3362"/>
      <c r="F15" s="3362" t="s">
        <v>5969</v>
      </c>
      <c r="G15" s="3362"/>
      <c r="H15" s="3362"/>
      <c r="I15" s="3362"/>
      <c r="J15" s="3362"/>
      <c r="M15" s="3362" t="s">
        <v>5970</v>
      </c>
      <c r="N15" s="3362"/>
      <c r="O15" s="3362"/>
      <c r="P15" s="3362"/>
      <c r="Q15" s="3362"/>
      <c r="R15" s="3362" t="s">
        <v>5971</v>
      </c>
      <c r="S15" s="3362"/>
      <c r="T15" s="3362"/>
      <c r="U15" s="3362"/>
    </row>
    <row r="16" spans="1:21">
      <c r="F16" s="3362" t="s">
        <v>5972</v>
      </c>
      <c r="G16" s="3362"/>
      <c r="H16" s="3362"/>
      <c r="I16" s="3362"/>
      <c r="J16" s="3362"/>
      <c r="K16" s="3362"/>
      <c r="M16" s="3362" t="s">
        <v>5973</v>
      </c>
      <c r="N16" s="3362"/>
      <c r="O16" s="3362"/>
      <c r="P16" s="3362"/>
      <c r="Q16" s="3362"/>
    </row>
    <row r="17" spans="1:24" ht="20.25" customHeight="1">
      <c r="X17" t="str">
        <f>IF(D19=9,B29,IF(D19=10,B30,"   "))</f>
        <v/>
      </c>
    </row>
    <row r="18" spans="1:24" ht="7.5" customHeight="1">
      <c r="I18" s="3362" t="s">
        <v>5974</v>
      </c>
      <c r="J18" s="3362"/>
      <c r="K18" s="3362"/>
      <c r="L18" s="3362"/>
      <c r="M18" s="3362"/>
      <c r="N18" s="3362"/>
      <c r="O18" s="3362"/>
    </row>
    <row r="19" spans="1:24">
      <c r="A19" s="3362" t="s">
        <v>5975</v>
      </c>
      <c r="B19" s="3362"/>
      <c r="C19" s="3362"/>
      <c r="D19">
        <v>6</v>
      </c>
      <c r="E19" t="str">
        <f>IF(D19=1,B21,IF(D19=2,B22,IF(D19=3,B23,IF(D19=4,B24,IF(D19=5,B25,IF(D19=6,B26,IF(D19=7,B27,IF(D19=8,B28,X17))))))))</f>
        <v>不銹鋼</v>
      </c>
      <c r="F19">
        <f>IF(D19="  ","  ",IF(D19&gt;10,"  ",X31))</f>
        <v>350</v>
      </c>
      <c r="G19" t="s">
        <v>5853</v>
      </c>
      <c r="I19" s="3362"/>
      <c r="J19" s="3362"/>
      <c r="K19" s="3362"/>
      <c r="L19" s="3362"/>
      <c r="M19" s="3362"/>
      <c r="N19" s="3362"/>
      <c r="O19" s="3362"/>
      <c r="Q19" t="s">
        <v>5976</v>
      </c>
      <c r="W19">
        <f>IF(L28=1,1.5,IF(L28=2,1,0))</f>
        <v>1.5</v>
      </c>
    </row>
    <row r="20" spans="1:24">
      <c r="B20" t="s">
        <v>5977</v>
      </c>
      <c r="C20" t="s">
        <v>5978</v>
      </c>
      <c r="D20" t="s">
        <v>5979</v>
      </c>
      <c r="E20" t="s">
        <v>5980</v>
      </c>
      <c r="F20" s="3362" t="s">
        <v>5981</v>
      </c>
      <c r="G20" s="3362"/>
      <c r="I20">
        <v>4</v>
      </c>
      <c r="J20" s="3362" t="str">
        <f>IF(I20=1,C20,IF(I20=2,D20,IF(I20=3,E20,IF(I20=4,F20,"壓印型式選擇不正確"))))</f>
        <v>壓縮成型</v>
      </c>
      <c r="K20" s="3362"/>
      <c r="L20" s="3362"/>
      <c r="M20" s="3362"/>
      <c r="N20" s="3362"/>
      <c r="O20" s="3362"/>
    </row>
    <row r="21" spans="1:24">
      <c r="A21" t="s">
        <v>5982</v>
      </c>
      <c r="B21" t="s">
        <v>5983</v>
      </c>
      <c r="C21">
        <v>8</v>
      </c>
      <c r="D21">
        <v>10</v>
      </c>
      <c r="E21">
        <v>15</v>
      </c>
      <c r="F21" s="3362">
        <v>110</v>
      </c>
      <c r="G21" s="3362"/>
      <c r="I21" s="3362"/>
      <c r="J21" s="3362"/>
      <c r="K21" s="3362"/>
      <c r="L21" s="3362"/>
      <c r="M21" s="3362"/>
      <c r="N21" s="3362"/>
      <c r="O21" s="3362"/>
      <c r="W21">
        <f t="shared" ref="W21:W30" si="0">IF($I$20=1,C21,IF($I$20=2,D21,IF($I$20=3,E21,IF($I$20=4,F21,"    "))))</f>
        <v>110</v>
      </c>
      <c r="X21">
        <f>IF($D$19=1,W21,0)</f>
        <v>0</v>
      </c>
    </row>
    <row r="22" spans="1:24" ht="18">
      <c r="A22" t="s">
        <v>5984</v>
      </c>
      <c r="B22" t="s">
        <v>5985</v>
      </c>
      <c r="C22">
        <v>15</v>
      </c>
      <c r="D22">
        <v>14</v>
      </c>
      <c r="E22">
        <v>35</v>
      </c>
      <c r="F22" s="3362">
        <v>70</v>
      </c>
      <c r="G22" s="3362"/>
      <c r="I22" s="3362" t="s">
        <v>5986</v>
      </c>
      <c r="J22" s="3362"/>
      <c r="K22" s="3362"/>
      <c r="L22" s="3362"/>
      <c r="M22">
        <v>3468</v>
      </c>
      <c r="N22" s="3362" t="s">
        <v>5987</v>
      </c>
      <c r="O22" s="3362"/>
      <c r="W22">
        <f t="shared" si="0"/>
        <v>70</v>
      </c>
      <c r="X22">
        <f>IF($D$19=2,W22,0)</f>
        <v>0</v>
      </c>
    </row>
    <row r="23" spans="1:24">
      <c r="A23" t="s">
        <v>5988</v>
      </c>
      <c r="B23" t="s">
        <v>5989</v>
      </c>
      <c r="C23">
        <v>30</v>
      </c>
      <c r="D23">
        <v>25</v>
      </c>
      <c r="E23">
        <v>90</v>
      </c>
      <c r="F23" s="3362">
        <v>120</v>
      </c>
      <c r="G23" s="3362"/>
      <c r="I23" s="3362"/>
      <c r="J23" s="3362"/>
      <c r="K23" s="3362"/>
      <c r="L23" s="3362"/>
      <c r="M23" s="3362"/>
      <c r="N23" s="3362"/>
      <c r="O23" s="3362"/>
      <c r="W23">
        <f t="shared" si="0"/>
        <v>120</v>
      </c>
      <c r="X23">
        <f>IF($D$19=3,W23,0)</f>
        <v>0</v>
      </c>
    </row>
    <row r="24" spans="1:24">
      <c r="A24" t="s">
        <v>5990</v>
      </c>
      <c r="B24" t="s">
        <v>5991</v>
      </c>
      <c r="C24">
        <v>30</v>
      </c>
      <c r="D24">
        <v>30</v>
      </c>
      <c r="E24">
        <v>100</v>
      </c>
      <c r="F24" s="3362">
        <v>180</v>
      </c>
      <c r="G24" s="3362"/>
      <c r="I24" s="3362" t="s">
        <v>5992</v>
      </c>
      <c r="J24" s="3362"/>
      <c r="K24" s="3362"/>
      <c r="L24">
        <v>1.5</v>
      </c>
      <c r="M24" s="3362" t="s">
        <v>2040</v>
      </c>
      <c r="N24" s="3362"/>
      <c r="O24" s="3362"/>
      <c r="W24">
        <f t="shared" si="0"/>
        <v>180</v>
      </c>
      <c r="X24">
        <f>IF($D$19=4,W24,0)</f>
        <v>0</v>
      </c>
    </row>
    <row r="25" spans="1:24">
      <c r="A25" t="s">
        <v>5993</v>
      </c>
      <c r="B25" t="s">
        <v>5994</v>
      </c>
      <c r="C25">
        <v>40</v>
      </c>
      <c r="D25">
        <v>40</v>
      </c>
      <c r="E25">
        <v>150</v>
      </c>
      <c r="F25" s="3362">
        <v>250</v>
      </c>
      <c r="G25" s="3362"/>
      <c r="I25" s="3362"/>
      <c r="J25" s="3362"/>
      <c r="K25" s="3362"/>
      <c r="L25" s="3362"/>
      <c r="M25" s="3362"/>
      <c r="N25" s="3362"/>
      <c r="O25" s="3362"/>
      <c r="W25">
        <f t="shared" si="0"/>
        <v>250</v>
      </c>
      <c r="X25">
        <f>IF($D$19=5,W25,0)</f>
        <v>0</v>
      </c>
    </row>
    <row r="26" spans="1:24">
      <c r="A26" t="s">
        <v>5995</v>
      </c>
      <c r="B26" t="s">
        <v>5996</v>
      </c>
      <c r="C26">
        <v>80</v>
      </c>
      <c r="D26">
        <v>90</v>
      </c>
      <c r="E26">
        <v>250</v>
      </c>
      <c r="F26" s="3362">
        <v>350</v>
      </c>
      <c r="G26" s="3362"/>
      <c r="I26" s="3362" t="s">
        <v>5997</v>
      </c>
      <c r="J26" s="3362"/>
      <c r="K26" s="3362"/>
      <c r="L26">
        <v>0.5</v>
      </c>
      <c r="M26" t="s">
        <v>2040</v>
      </c>
      <c r="N26" s="3362" t="str">
        <f>IF(I20=2,"  ",IF(L26/L24&gt;0.3,"壓印深度過大","    "))</f>
        <v>壓印深度過大</v>
      </c>
      <c r="O26" s="3362"/>
      <c r="W26">
        <f t="shared" si="0"/>
        <v>350</v>
      </c>
      <c r="X26">
        <f>IF($D$19=6,W26,0)</f>
        <v>350</v>
      </c>
    </row>
    <row r="27" spans="1:24">
      <c r="A27" t="s">
        <v>5998</v>
      </c>
      <c r="B27" t="s">
        <v>5999</v>
      </c>
      <c r="C27">
        <v>50</v>
      </c>
      <c r="D27">
        <v>35</v>
      </c>
      <c r="E27">
        <v>150</v>
      </c>
      <c r="F27" s="3362">
        <v>180</v>
      </c>
      <c r="G27" s="3362"/>
      <c r="I27" s="3362"/>
      <c r="J27" s="3362"/>
      <c r="K27" s="3362"/>
      <c r="L27" s="3362"/>
      <c r="M27" s="3362"/>
      <c r="N27" s="3362"/>
      <c r="O27" s="3362"/>
      <c r="W27">
        <f t="shared" si="0"/>
        <v>180</v>
      </c>
      <c r="X27">
        <f>IF($D$19=7,W27,0)</f>
        <v>0</v>
      </c>
    </row>
    <row r="28" spans="1:24">
      <c r="A28" t="s">
        <v>6000</v>
      </c>
      <c r="B28" t="s">
        <v>6001</v>
      </c>
      <c r="C28">
        <v>40</v>
      </c>
      <c r="D28">
        <v>40</v>
      </c>
      <c r="E28">
        <v>170</v>
      </c>
      <c r="F28" s="3362">
        <v>220</v>
      </c>
      <c r="G28" s="3362"/>
      <c r="I28" s="3362" t="s">
        <v>6002</v>
      </c>
      <c r="J28" s="3362"/>
      <c r="K28" s="3362"/>
      <c r="L28">
        <v>1</v>
      </c>
      <c r="M28" s="3362" t="str">
        <f>IF(L28=1,"曲柄式沖床",IF(L28=2,"肘節式沖床","請選擇正確沖床型式  "))</f>
        <v>曲柄式沖床</v>
      </c>
      <c r="N28" s="3362"/>
      <c r="O28" s="3362"/>
      <c r="W28">
        <f t="shared" si="0"/>
        <v>220</v>
      </c>
      <c r="X28">
        <f>IF($D$19=8,W28,0)</f>
        <v>0</v>
      </c>
    </row>
    <row r="29" spans="1:24">
      <c r="A29" t="s">
        <v>6003</v>
      </c>
      <c r="B29" t="s">
        <v>6004</v>
      </c>
      <c r="C29">
        <v>18</v>
      </c>
      <c r="D29">
        <v>16</v>
      </c>
      <c r="E29">
        <v>80</v>
      </c>
      <c r="F29" s="3362">
        <v>150</v>
      </c>
      <c r="G29" s="3362"/>
      <c r="I29" s="3362" t="s">
        <v>6005</v>
      </c>
      <c r="J29" s="3362"/>
      <c r="K29" s="3362"/>
      <c r="L29" s="3362"/>
      <c r="M29" s="3362"/>
      <c r="N29" s="3362"/>
      <c r="O29" s="3362"/>
      <c r="W29">
        <f t="shared" si="0"/>
        <v>150</v>
      </c>
      <c r="X29">
        <f>IF($D$19=9,W29,0)</f>
        <v>0</v>
      </c>
    </row>
    <row r="30" spans="1:24">
      <c r="A30" t="s">
        <v>287</v>
      </c>
      <c r="B30" t="s">
        <v>6006</v>
      </c>
      <c r="C30">
        <v>20</v>
      </c>
      <c r="D30">
        <v>18</v>
      </c>
      <c r="E30">
        <v>100</v>
      </c>
      <c r="F30" s="3362">
        <v>180</v>
      </c>
      <c r="G30" s="3362"/>
      <c r="I30" s="3362" t="s">
        <v>6007</v>
      </c>
      <c r="J30" s="3362"/>
      <c r="K30" s="3362"/>
      <c r="L30" s="3362"/>
      <c r="M30" s="3362"/>
      <c r="N30" s="3362"/>
      <c r="O30" s="3362"/>
      <c r="W30">
        <f t="shared" si="0"/>
        <v>180</v>
      </c>
      <c r="X30">
        <f>IF($D$19=10,W30,0)</f>
        <v>0</v>
      </c>
    </row>
    <row r="31" spans="1:24">
      <c r="X31">
        <f>SUM(X21:X30)</f>
        <v>350</v>
      </c>
    </row>
  </sheetData>
  <mergeCells count="47">
    <mergeCell ref="F30:G30"/>
    <mergeCell ref="I30:O30"/>
    <mergeCell ref="I18:O19"/>
    <mergeCell ref="M1:O2"/>
    <mergeCell ref="F28:G28"/>
    <mergeCell ref="I28:K28"/>
    <mergeCell ref="M28:O28"/>
    <mergeCell ref="F29:G29"/>
    <mergeCell ref="I29:O29"/>
    <mergeCell ref="F26:G26"/>
    <mergeCell ref="I26:K26"/>
    <mergeCell ref="N26:O26"/>
    <mergeCell ref="F27:G27"/>
    <mergeCell ref="I27:O27"/>
    <mergeCell ref="F24:G24"/>
    <mergeCell ref="I24:K24"/>
    <mergeCell ref="M24:O24"/>
    <mergeCell ref="F25:G25"/>
    <mergeCell ref="I25:O25"/>
    <mergeCell ref="F22:G22"/>
    <mergeCell ref="I22:L22"/>
    <mergeCell ref="N22:O22"/>
    <mergeCell ref="F23:G23"/>
    <mergeCell ref="I23:O23"/>
    <mergeCell ref="A19:C19"/>
    <mergeCell ref="F20:G20"/>
    <mergeCell ref="J20:O20"/>
    <mergeCell ref="F21:G21"/>
    <mergeCell ref="I21:O21"/>
    <mergeCell ref="B15:D15"/>
    <mergeCell ref="F15:J15"/>
    <mergeCell ref="M15:Q15"/>
    <mergeCell ref="R15:U15"/>
    <mergeCell ref="F16:K16"/>
    <mergeCell ref="M16:Q16"/>
    <mergeCell ref="T3:U3"/>
    <mergeCell ref="G7:I7"/>
    <mergeCell ref="G10:I10"/>
    <mergeCell ref="B13:D13"/>
    <mergeCell ref="F13:J13"/>
    <mergeCell ref="M13:O13"/>
    <mergeCell ref="S13:T13"/>
    <mergeCell ref="A1:J1"/>
    <mergeCell ref="B2:D2"/>
    <mergeCell ref="F2:G2"/>
    <mergeCell ref="B3:D3"/>
    <mergeCell ref="F3:G3"/>
  </mergeCells>
  <phoneticPr fontId="378" type="noConversion"/>
  <hyperlinks>
    <hyperlink ref="M1:O2" location="总目录!A1" display="返回目录"/>
  </hyperlinks>
  <pageMargins left="0.55000000000000004" right="0.55000000000000004" top="0.78888888888888897" bottom="0.58888888888888902" header="0.70902777777777803" footer="0.50902777777777797"/>
  <pageSetup paperSize="9" orientation="landscape"/>
  <headerFooter scaleWithDoc="0"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
  <sheetViews>
    <sheetView showGridLines="0" showRowColHeaders="0" showOutlineSymbols="0" workbookViewId="0">
      <selection activeCell="N1" sqref="N1:R2"/>
    </sheetView>
  </sheetViews>
  <sheetFormatPr defaultColWidth="8.125" defaultRowHeight="16.5"/>
  <cols>
    <col min="1" max="1" width="6.875" customWidth="1"/>
    <col min="2" max="4" width="7.125" customWidth="1"/>
    <col min="5" max="5" width="2.625" customWidth="1"/>
    <col min="6" max="6" width="5.125" customWidth="1"/>
    <col min="7" max="7" width="6.875" customWidth="1"/>
    <col min="8" max="12" width="7.125" customWidth="1"/>
    <col min="13" max="13" width="7.75" customWidth="1"/>
    <col min="14" max="14" width="2.375" customWidth="1"/>
    <col min="15" max="15" width="8.25" customWidth="1"/>
    <col min="16" max="16" width="3.75" customWidth="1"/>
    <col min="17" max="17" width="2.625" customWidth="1"/>
    <col min="18" max="18" width="13.375" customWidth="1"/>
    <col min="19" max="19" width="4.375" customWidth="1"/>
    <col min="20" max="20" width="1.125" customWidth="1"/>
    <col min="21" max="21" width="8.75" customWidth="1"/>
    <col min="22" max="22" width="12" hidden="1" customWidth="1"/>
    <col min="23" max="23" width="6.375" hidden="1" customWidth="1"/>
    <col min="24" max="24" width="6.5" hidden="1" customWidth="1"/>
    <col min="25" max="25" width="5.75" hidden="1" customWidth="1"/>
    <col min="26" max="26" width="5.5" hidden="1" customWidth="1"/>
    <col min="27" max="27" width="6" hidden="1" customWidth="1"/>
    <col min="28" max="28" width="5.75" hidden="1" customWidth="1"/>
    <col min="29" max="29" width="6" hidden="1" customWidth="1"/>
    <col min="30" max="30" width="6.375" hidden="1" customWidth="1"/>
    <col min="31" max="31" width="10.125" customWidth="1"/>
  </cols>
  <sheetData>
    <row r="1" spans="1:30" ht="25.5">
      <c r="A1" t="s">
        <v>6008</v>
      </c>
      <c r="N1" s="3361" t="s">
        <v>12712</v>
      </c>
      <c r="O1" s="3361"/>
      <c r="P1" s="3361"/>
      <c r="Q1" s="3361"/>
      <c r="R1" s="3361"/>
    </row>
    <row r="2" spans="1:30" ht="27.95" customHeight="1">
      <c r="A2" s="3362" t="s">
        <v>6009</v>
      </c>
      <c r="B2" s="3362"/>
      <c r="C2" s="3362"/>
      <c r="D2">
        <f>(W12*(S5*K11*(K7^2)/D13))/1000</f>
        <v>1.9662500000000001</v>
      </c>
      <c r="E2" s="3362" t="s">
        <v>5956</v>
      </c>
      <c r="F2" s="3362"/>
      <c r="H2" s="3362" t="s">
        <v>6010</v>
      </c>
      <c r="I2" s="3362"/>
      <c r="J2" s="3362"/>
      <c r="K2">
        <f>(W17*(S5*K11*(K7^2)/D23))/1000</f>
        <v>5.1895517142857104</v>
      </c>
      <c r="L2" t="s">
        <v>5956</v>
      </c>
      <c r="N2" s="3361"/>
      <c r="O2" s="3361"/>
      <c r="P2" s="3361"/>
      <c r="Q2" s="3361"/>
      <c r="R2" s="3361"/>
    </row>
    <row r="3" spans="1:30" ht="20.25">
      <c r="A3" s="3362" t="s">
        <v>6011</v>
      </c>
      <c r="B3" s="3362"/>
      <c r="C3" s="3362"/>
      <c r="D3">
        <f>D2*X13*W14*100</f>
        <v>816.97687499999995</v>
      </c>
      <c r="E3" s="3362" t="s">
        <v>6012</v>
      </c>
      <c r="F3" s="3362"/>
      <c r="H3" s="3362" t="s">
        <v>6013</v>
      </c>
      <c r="I3" s="3362"/>
      <c r="J3" s="3362"/>
      <c r="K3">
        <f>K2*X15*W16*100</f>
        <v>1467.34574721429</v>
      </c>
      <c r="L3" t="s">
        <v>6012</v>
      </c>
      <c r="O3" t="s">
        <v>6014</v>
      </c>
      <c r="P3" s="3362">
        <f ca="1">TODAY()</f>
        <v>43976</v>
      </c>
      <c r="Q3" s="3362"/>
      <c r="R3" s="3362"/>
    </row>
    <row r="4" spans="1:30" ht="20.100000000000001" customHeight="1"/>
    <row r="5" spans="1:30" ht="20.100000000000001" customHeight="1">
      <c r="D5" t="s">
        <v>6015</v>
      </c>
      <c r="N5" t="s">
        <v>6016</v>
      </c>
      <c r="P5">
        <v>13</v>
      </c>
      <c r="Q5" s="3362" t="str">
        <f>IF(P5&gt;14,"  ",IF(P5&gt;=8,W5,V5))</f>
        <v>碳鋼 1.0%C</v>
      </c>
      <c r="R5" s="3362"/>
      <c r="S5">
        <f>IF(P5&gt;14,"  ",IF(P5&gt;=8,Y5,X5))</f>
        <v>130</v>
      </c>
      <c r="V5" t="str">
        <f>IF(P5=1,O6,IF(P5=2,O7,IF(P5=3,O8,IF(P5=4,O9,IF(P5=5,O10,IF(P5=6,O11,IF(P5=7,O12,"  ")))))))</f>
        <v/>
      </c>
      <c r="W5" t="str">
        <f>IF(P5=8,R6,IF(P5=9,R7,IF(P5=10,R8,IF(P5=11,R9,IF(P5=12,R10,IF(P5=13,R11,IF(P5=14,R12,"  ")))))))</f>
        <v>碳鋼 1.0%C</v>
      </c>
      <c r="X5" t="str">
        <f>IF(P5=1,P6,IF(P5=2,P7,IF(P5=3,P8,IF(P5=4,P9,IF(P5=5,P10,IF(P5=6,P11,IF(P5=7,P12,"  ")))))))</f>
        <v/>
      </c>
      <c r="Y5">
        <f>IF(P5=8,S6,IF(P5=9,S7,IF(P5=10,S8,IF(P5=11,S9,IF(P5=12,S10,IF(P5=13,S11,IF(P5=14,S12,"  ")))))))</f>
        <v>130</v>
      </c>
    </row>
    <row r="6" spans="1:30" ht="20.100000000000001" customHeight="1">
      <c r="N6" t="s">
        <v>5982</v>
      </c>
      <c r="O6" t="s">
        <v>6017</v>
      </c>
      <c r="P6">
        <v>20</v>
      </c>
      <c r="Q6" t="s">
        <v>6018</v>
      </c>
      <c r="R6" t="s">
        <v>6019</v>
      </c>
      <c r="S6">
        <v>28</v>
      </c>
    </row>
    <row r="7" spans="1:30" ht="20.100000000000001" customHeight="1">
      <c r="J7" t="s">
        <v>6020</v>
      </c>
      <c r="K7">
        <v>1</v>
      </c>
      <c r="N7" t="s">
        <v>5984</v>
      </c>
      <c r="O7" t="s">
        <v>5985</v>
      </c>
      <c r="P7">
        <v>45</v>
      </c>
      <c r="Q7" t="s">
        <v>6021</v>
      </c>
      <c r="R7" t="s">
        <v>6022</v>
      </c>
      <c r="S7">
        <v>45</v>
      </c>
      <c r="W7" t="s">
        <v>6023</v>
      </c>
      <c r="X7" t="s">
        <v>6024</v>
      </c>
      <c r="Y7" t="s">
        <v>6025</v>
      </c>
      <c r="Z7" t="s">
        <v>6026</v>
      </c>
      <c r="AA7" t="s">
        <v>6027</v>
      </c>
      <c r="AB7" t="s">
        <v>6028</v>
      </c>
      <c r="AC7" t="s">
        <v>6029</v>
      </c>
      <c r="AD7" t="s">
        <v>6030</v>
      </c>
    </row>
    <row r="8" spans="1:30" ht="20.100000000000001" customHeight="1">
      <c r="D8">
        <v>1</v>
      </c>
      <c r="N8" t="s">
        <v>5988</v>
      </c>
      <c r="O8" t="s">
        <v>6031</v>
      </c>
      <c r="P8">
        <v>60</v>
      </c>
      <c r="Q8" t="s">
        <v>6032</v>
      </c>
      <c r="R8" t="s">
        <v>6033</v>
      </c>
      <c r="S8">
        <v>45</v>
      </c>
      <c r="V8" t="s">
        <v>6034</v>
      </c>
      <c r="W8">
        <v>1.8</v>
      </c>
      <c r="X8">
        <v>1.65</v>
      </c>
      <c r="Y8">
        <v>1.5</v>
      </c>
      <c r="Z8">
        <v>1.42</v>
      </c>
      <c r="AA8">
        <v>1.36</v>
      </c>
      <c r="AB8">
        <v>1.28</v>
      </c>
      <c r="AC8">
        <v>1.21</v>
      </c>
      <c r="AD8">
        <v>1.18</v>
      </c>
    </row>
    <row r="9" spans="1:30" ht="20.100000000000001" customHeight="1">
      <c r="D9" t="s">
        <v>6035</v>
      </c>
      <c r="N9" t="s">
        <v>5990</v>
      </c>
      <c r="O9" t="s">
        <v>6036</v>
      </c>
      <c r="P9">
        <v>35</v>
      </c>
      <c r="Q9" t="s">
        <v>6037</v>
      </c>
      <c r="R9" t="s">
        <v>6038</v>
      </c>
      <c r="S9">
        <v>70</v>
      </c>
      <c r="V9" t="s">
        <v>6039</v>
      </c>
      <c r="W9">
        <v>1.55</v>
      </c>
      <c r="X9">
        <v>1.5</v>
      </c>
      <c r="Y9">
        <v>1.4</v>
      </c>
      <c r="Z9">
        <v>1.35</v>
      </c>
      <c r="AA9">
        <v>1.3</v>
      </c>
      <c r="AB9">
        <v>1.25</v>
      </c>
      <c r="AC9">
        <v>1.2</v>
      </c>
      <c r="AD9">
        <v>1.18</v>
      </c>
    </row>
    <row r="10" spans="1:30" ht="20.100000000000001" customHeight="1">
      <c r="F10">
        <v>2.5</v>
      </c>
      <c r="N10" t="s">
        <v>5993</v>
      </c>
      <c r="O10" t="s">
        <v>6040</v>
      </c>
      <c r="P10">
        <v>60</v>
      </c>
      <c r="Q10" t="s">
        <v>6041</v>
      </c>
      <c r="R10" t="s">
        <v>6042</v>
      </c>
      <c r="S10">
        <v>90</v>
      </c>
      <c r="V10" t="s">
        <v>6043</v>
      </c>
      <c r="W10">
        <v>1.42</v>
      </c>
      <c r="X10">
        <v>1.39</v>
      </c>
      <c r="Y10">
        <v>1.32</v>
      </c>
      <c r="Z10">
        <v>1.28</v>
      </c>
      <c r="AA10">
        <v>1.25</v>
      </c>
      <c r="AB10">
        <v>1.21</v>
      </c>
      <c r="AC10">
        <v>1.19</v>
      </c>
      <c r="AD10">
        <v>1.18</v>
      </c>
    </row>
    <row r="11" spans="1:30" ht="20.100000000000001" customHeight="1">
      <c r="J11" t="s">
        <v>6044</v>
      </c>
      <c r="K11">
        <v>200</v>
      </c>
      <c r="N11" t="s">
        <v>5995</v>
      </c>
      <c r="O11" t="s">
        <v>6045</v>
      </c>
      <c r="P11">
        <v>50</v>
      </c>
      <c r="Q11" t="s">
        <v>6046</v>
      </c>
      <c r="R11" t="s">
        <v>6047</v>
      </c>
      <c r="S11">
        <v>130</v>
      </c>
      <c r="V11">
        <f>D8/K7</f>
        <v>1</v>
      </c>
      <c r="W11">
        <f t="shared" ref="W11:AD11" si="0">IF($V$11&lt;=1,W8,IF($V$11&lt;=1.9,W9,W10))</f>
        <v>1.8</v>
      </c>
      <c r="X11">
        <f t="shared" si="0"/>
        <v>1.65</v>
      </c>
      <c r="Y11">
        <f t="shared" si="0"/>
        <v>1.5</v>
      </c>
      <c r="Z11">
        <f t="shared" si="0"/>
        <v>1.42</v>
      </c>
      <c r="AA11">
        <f t="shared" si="0"/>
        <v>1.36</v>
      </c>
      <c r="AB11">
        <f t="shared" si="0"/>
        <v>1.28</v>
      </c>
      <c r="AC11">
        <f t="shared" si="0"/>
        <v>1.21</v>
      </c>
      <c r="AD11">
        <f t="shared" si="0"/>
        <v>1.18</v>
      </c>
    </row>
    <row r="12" spans="1:30" ht="20.100000000000001" customHeight="1">
      <c r="N12" t="s">
        <v>5998</v>
      </c>
      <c r="O12" t="s">
        <v>6048</v>
      </c>
      <c r="P12">
        <v>70</v>
      </c>
      <c r="Q12" t="s">
        <v>6049</v>
      </c>
      <c r="R12" t="s">
        <v>6050</v>
      </c>
      <c r="S12">
        <v>70</v>
      </c>
      <c r="V12">
        <f>D13/K7</f>
        <v>16</v>
      </c>
      <c r="W12">
        <f>IF(V12&lt;=5,W11,IF(V12&lt;=6,X11,IF(V12&lt;=8,Y11,IF(V12&lt;=10,Z11,IF(V12&lt;=12,AA11,IF(V12&lt;=15,AB11,IF(V12&lt;=20,AC11,AD11)))))))</f>
        <v>1.21</v>
      </c>
    </row>
    <row r="13" spans="1:30" ht="20.100000000000001" customHeight="1">
      <c r="D13">
        <v>16</v>
      </c>
      <c r="G13" t="str">
        <f>IF(D13&lt;X21,"模寬太小建議大於 "&amp;X21,"  ")</f>
        <v/>
      </c>
      <c r="V13" t="s">
        <v>6051</v>
      </c>
      <c r="W13">
        <f>(0.5*D13)-(0.35*K7)-(0.29*F10)</f>
        <v>6.9249999999999998</v>
      </c>
      <c r="X13">
        <f>IF(W13&gt;(D13/2),(D13/2),W13)</f>
        <v>6.9249999999999998</v>
      </c>
    </row>
    <row r="14" spans="1:30" ht="20.100000000000001" customHeight="1">
      <c r="I14" t="s">
        <v>6052</v>
      </c>
      <c r="V14" t="s">
        <v>6053</v>
      </c>
      <c r="W14">
        <v>0.6</v>
      </c>
    </row>
    <row r="15" spans="1:30" ht="20.100000000000001" customHeight="1">
      <c r="D15" t="s">
        <v>6054</v>
      </c>
      <c r="V15" t="s">
        <v>6051</v>
      </c>
      <c r="W15">
        <f>(0.5*D23)-(0.35*K7)-(0.29*F20)</f>
        <v>9.4250000000000007</v>
      </c>
      <c r="X15">
        <f>IF(W15&gt;(D23/2),(D23/2),W15)</f>
        <v>9.4250000000000007</v>
      </c>
    </row>
    <row r="16" spans="1:30" ht="20.100000000000001" customHeight="1">
      <c r="V16" t="s">
        <v>6053</v>
      </c>
      <c r="W16">
        <v>0.3</v>
      </c>
    </row>
    <row r="17" spans="4:24" ht="20.100000000000001" customHeight="1">
      <c r="W17">
        <f>(W12^3)+(2*W12)</f>
        <v>4.1915610000000001</v>
      </c>
    </row>
    <row r="18" spans="4:24" ht="20.100000000000001" customHeight="1">
      <c r="D18">
        <v>1</v>
      </c>
    </row>
    <row r="19" spans="4:24" ht="20.100000000000001" customHeight="1">
      <c r="D19" t="s">
        <v>6035</v>
      </c>
    </row>
    <row r="20" spans="4:24" ht="20.100000000000001" customHeight="1">
      <c r="F20">
        <v>2.5</v>
      </c>
      <c r="V20" t="s">
        <v>6055</v>
      </c>
      <c r="W20">
        <f>(S5^0.5+1/K7*10)*K7</f>
        <v>21.401754250991399</v>
      </c>
      <c r="X20">
        <f>(S5^0.5+1/K7*10)*K7*0.75</f>
        <v>16.051315688243498</v>
      </c>
    </row>
    <row r="21" spans="4:24" ht="20.100000000000001" customHeight="1">
      <c r="W21">
        <f>INT(W20)</f>
        <v>21</v>
      </c>
      <c r="X21">
        <f>INT(X20)</f>
        <v>16</v>
      </c>
    </row>
    <row r="22" spans="4:24" ht="20.100000000000001" customHeight="1"/>
    <row r="23" spans="4:24" ht="20.100000000000001" customHeight="1">
      <c r="D23">
        <v>21</v>
      </c>
    </row>
    <row r="24" spans="4:24" ht="20.100000000000001" customHeight="1">
      <c r="D24" t="str">
        <f>IF(D23&lt;W21,"模寬太小建議大於 "&amp;W21,"  ")</f>
        <v/>
      </c>
    </row>
    <row r="25" spans="4:24" ht="20.100000000000001" customHeight="1"/>
  </sheetData>
  <mergeCells count="9">
    <mergeCell ref="P3:R3"/>
    <mergeCell ref="Q5:R5"/>
    <mergeCell ref="N1:R2"/>
    <mergeCell ref="A2:C2"/>
    <mergeCell ref="E2:F2"/>
    <mergeCell ref="H2:J2"/>
    <mergeCell ref="A3:C3"/>
    <mergeCell ref="E3:F3"/>
    <mergeCell ref="H3:J3"/>
  </mergeCells>
  <phoneticPr fontId="378" type="noConversion"/>
  <hyperlinks>
    <hyperlink ref="N1:R2" location="总目录!A1" display="返回目录"/>
  </hyperlinks>
  <pageMargins left="0.55000000000000004" right="0.55000000000000004" top="0.78888888888888897" bottom="0.58888888888888902" header="0.70902777777777803" footer="0.50902777777777797"/>
  <pageSetup paperSize="9" orientation="landscape"/>
  <headerFooter scaleWithDoc="0"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6"/>
  <sheetViews>
    <sheetView showGridLines="0" showRowColHeaders="0" showOutlineSymbols="0" zoomScale="85" zoomScaleNormal="85" workbookViewId="0">
      <selection activeCell="AD1" sqref="AD1:AO2"/>
    </sheetView>
  </sheetViews>
  <sheetFormatPr defaultColWidth="8.125" defaultRowHeight="16.5"/>
  <cols>
    <col min="1" max="1" width="3.75" customWidth="1"/>
    <col min="2" max="2" width="3.25" customWidth="1"/>
    <col min="3" max="3" width="4.625" customWidth="1"/>
    <col min="4" max="5" width="3.75" customWidth="1"/>
    <col min="6" max="6" width="5.75" customWidth="1"/>
    <col min="7" max="12" width="3.75" customWidth="1"/>
    <col min="13" max="13" width="3.25" customWidth="1"/>
    <col min="14" max="14" width="4.625" customWidth="1"/>
    <col min="15" max="16" width="3.75" customWidth="1"/>
    <col min="17" max="17" width="5.75" customWidth="1"/>
    <col min="18" max="19" width="3.75" customWidth="1"/>
    <col min="20" max="20" width="3.625" customWidth="1"/>
    <col min="21" max="21" width="3.75" customWidth="1"/>
    <col min="22" max="22" width="2.75" customWidth="1"/>
    <col min="23" max="23" width="2.375" customWidth="1"/>
    <col min="24" max="24" width="8.25" customWidth="1"/>
    <col min="25" max="25" width="3.75" customWidth="1"/>
    <col min="26" max="26" width="2.625" customWidth="1"/>
    <col min="27" max="27" width="13.375" customWidth="1"/>
    <col min="28" max="28" width="4.25" customWidth="1"/>
    <col min="29" max="29" width="1.5" customWidth="1"/>
    <col min="30" max="30" width="7.25" customWidth="1"/>
    <col min="31" max="31" width="6.625" hidden="1" customWidth="1"/>
    <col min="32" max="32" width="6.375" hidden="1" customWidth="1"/>
    <col min="33" max="35" width="5.25" hidden="1" customWidth="1"/>
    <col min="36" max="36" width="5.375" hidden="1" customWidth="1"/>
    <col min="37" max="37" width="5.75" hidden="1" customWidth="1"/>
    <col min="38" max="38" width="5.25" hidden="1" customWidth="1"/>
    <col min="39" max="39" width="6.75" hidden="1" customWidth="1"/>
    <col min="40" max="40" width="7.5" customWidth="1"/>
  </cols>
  <sheetData>
    <row r="1" spans="1:41" ht="25.5">
      <c r="A1" t="s">
        <v>6056</v>
      </c>
      <c r="AD1" s="3361" t="s">
        <v>12713</v>
      </c>
      <c r="AE1" s="3361"/>
      <c r="AF1" s="3361"/>
      <c r="AG1" s="3361"/>
      <c r="AH1" s="3361"/>
      <c r="AI1" s="3361"/>
      <c r="AJ1" s="3361"/>
      <c r="AK1" s="3361"/>
      <c r="AL1" s="3361"/>
      <c r="AM1" s="3361"/>
      <c r="AN1" s="3361"/>
      <c r="AO1" s="3361"/>
    </row>
    <row r="2" spans="1:41" ht="27.95" customHeight="1">
      <c r="A2" s="3362" t="s">
        <v>6057</v>
      </c>
      <c r="B2" s="3362"/>
      <c r="C2" s="3362"/>
      <c r="D2" s="3362"/>
      <c r="E2" s="3362"/>
      <c r="F2" s="3362">
        <f>F5+F13</f>
        <v>4.0949999999999998</v>
      </c>
      <c r="G2" s="3362"/>
      <c r="H2" t="s">
        <v>5956</v>
      </c>
      <c r="K2" s="3362" t="s">
        <v>6058</v>
      </c>
      <c r="L2" s="3362"/>
      <c r="M2" s="3362"/>
      <c r="N2" s="3362"/>
      <c r="O2" s="3362"/>
      <c r="P2" s="3362"/>
      <c r="Q2" s="3362">
        <f>Q5+Q13</f>
        <v>22.522500000000001</v>
      </c>
      <c r="R2" s="3362"/>
      <c r="S2" t="s">
        <v>5956</v>
      </c>
      <c r="AD2" s="3361"/>
      <c r="AE2" s="3361"/>
      <c r="AF2" s="3361"/>
      <c r="AG2" s="3361"/>
      <c r="AH2" s="3361"/>
      <c r="AI2" s="3361"/>
      <c r="AJ2" s="3361"/>
      <c r="AK2" s="3361"/>
      <c r="AL2" s="3361"/>
      <c r="AM2" s="3361"/>
      <c r="AN2" s="3361"/>
      <c r="AO2" s="3361"/>
    </row>
    <row r="3" spans="1:41" ht="20.25">
      <c r="A3" s="3362" t="s">
        <v>6059</v>
      </c>
      <c r="B3" s="3362"/>
      <c r="C3" s="3362"/>
      <c r="D3" s="3362"/>
      <c r="E3" s="3362"/>
      <c r="F3" s="3362">
        <f>F5*AF23*AF24</f>
        <v>19.487196472080701</v>
      </c>
      <c r="G3" s="3362"/>
      <c r="H3" t="s">
        <v>6012</v>
      </c>
      <c r="K3" s="3362" t="s">
        <v>6060</v>
      </c>
      <c r="L3" s="3362"/>
      <c r="M3" s="3362"/>
      <c r="N3" s="3362"/>
      <c r="O3" s="3362"/>
      <c r="P3" s="3362"/>
      <c r="Q3" s="3362">
        <f>Q2*AJ23*AJ24</f>
        <v>66.3492641787509</v>
      </c>
      <c r="R3" s="3362"/>
      <c r="S3" t="s">
        <v>6012</v>
      </c>
      <c r="X3" t="s">
        <v>6014</v>
      </c>
      <c r="Y3" s="3362">
        <f ca="1">TODAY()</f>
        <v>43976</v>
      </c>
      <c r="Z3" s="3362"/>
      <c r="AA3" s="3362"/>
    </row>
    <row r="4" spans="1:41" ht="20.100000000000001" customHeight="1">
      <c r="C4" t="s">
        <v>6015</v>
      </c>
      <c r="N4" t="s">
        <v>6054</v>
      </c>
    </row>
    <row r="5" spans="1:41" ht="20.100000000000001" customHeight="1">
      <c r="F5">
        <f>AF14*AB5*(F14+F15)*2*F20/1000</f>
        <v>3.15</v>
      </c>
      <c r="Q5">
        <f>AG22*AB5*(Q14+Q15)*2*F20/1000</f>
        <v>17.324999999999999</v>
      </c>
      <c r="W5" t="s">
        <v>6016</v>
      </c>
      <c r="Y5">
        <v>14</v>
      </c>
      <c r="Z5" s="3362" t="str">
        <f>IF(Y5&gt;14,"  ",IF(Y5&gt;=8,AF5,AE5))</f>
        <v>不銹鋼 (SUS)</v>
      </c>
      <c r="AA5" s="3362"/>
      <c r="AB5">
        <f>IF(Y5&gt;14,"  ",IF(Y5&gt;=8,AH5,AG5))</f>
        <v>70</v>
      </c>
      <c r="AE5" t="str">
        <f>IF(Y5=1,X6,IF(Y5=2,X7,IF(Y5=3,X8,IF(Y5=4,X9,IF(Y5=5,X10,IF(Y5=6,X11,IF(Y5=7,X12,"  ")))))))</f>
        <v/>
      </c>
      <c r="AF5" t="str">
        <f>IF(Y5=8,AA6,IF(Y5=9,AA7,IF(Y5=10,AA8,IF(Y5=11,AA9,IF(Y5=12,AA10,IF(Y5=13,AA11,IF(Y5=14,AA12,"  ")))))))</f>
        <v>不銹鋼 (SUS)</v>
      </c>
      <c r="AG5" t="str">
        <f>IF(Y5=1,Y6,IF(Y5=2,Y7,IF(Y5=3,Y8,IF(Y5=4,Y9,IF(Y5=5,Y10,IF(Y5=6,Y11,IF(Y5=7,Y12,"  ")))))))</f>
        <v/>
      </c>
      <c r="AH5">
        <f>IF(Y5=8,AB6,IF(Y5=9,AB7,IF(Y5=10,AB8,IF(Y5=11,AB9,IF(Y5=12,AB10,IF(Y5=13,AB11,IF(Y5=14,AB12,"  ")))))))</f>
        <v>70</v>
      </c>
    </row>
    <row r="6" spans="1:41" ht="20.100000000000001" customHeight="1">
      <c r="B6" s="3362"/>
      <c r="C6" s="3362"/>
      <c r="W6" t="s">
        <v>5982</v>
      </c>
      <c r="X6" t="s">
        <v>6017</v>
      </c>
      <c r="Y6">
        <v>20</v>
      </c>
      <c r="Z6" t="s">
        <v>6018</v>
      </c>
      <c r="AA6" t="s">
        <v>6019</v>
      </c>
      <c r="AB6">
        <v>28</v>
      </c>
    </row>
    <row r="7" spans="1:41" ht="20.100000000000001" customHeight="1">
      <c r="I7" s="3362">
        <f>((N16^0.5)*(F20^0.75)*(N9^0.2))/3</f>
        <v>3.5200527129052999</v>
      </c>
      <c r="J7" s="3362"/>
      <c r="T7" s="3362">
        <f>((N16^0.5)*(F20^0.75)*(N9^0.2))/3</f>
        <v>3.5200527129052999</v>
      </c>
      <c r="U7" s="3362"/>
      <c r="W7" t="s">
        <v>5984</v>
      </c>
      <c r="X7" t="s">
        <v>5985</v>
      </c>
      <c r="Y7">
        <v>45</v>
      </c>
      <c r="Z7" t="s">
        <v>6021</v>
      </c>
      <c r="AA7" t="s">
        <v>6022</v>
      </c>
      <c r="AB7">
        <v>45</v>
      </c>
      <c r="AF7" t="s">
        <v>6061</v>
      </c>
      <c r="AG7" t="s">
        <v>6062</v>
      </c>
      <c r="AH7" t="s">
        <v>6063</v>
      </c>
      <c r="AI7" t="s">
        <v>6064</v>
      </c>
      <c r="AJ7" t="s">
        <v>6065</v>
      </c>
      <c r="AK7" t="s">
        <v>6066</v>
      </c>
      <c r="AL7" t="s">
        <v>6067</v>
      </c>
      <c r="AM7" t="s">
        <v>6068</v>
      </c>
    </row>
    <row r="8" spans="1:41" ht="20.100000000000001" customHeight="1">
      <c r="F8">
        <f>(L24-F20)</f>
        <v>1</v>
      </c>
      <c r="Q8">
        <f>L24-F20</f>
        <v>1</v>
      </c>
      <c r="W8" t="s">
        <v>5988</v>
      </c>
      <c r="X8" t="s">
        <v>6031</v>
      </c>
      <c r="Y8">
        <v>60</v>
      </c>
      <c r="Z8" t="s">
        <v>6032</v>
      </c>
      <c r="AA8" t="s">
        <v>6033</v>
      </c>
      <c r="AB8">
        <v>45</v>
      </c>
      <c r="AE8" t="s">
        <v>6069</v>
      </c>
      <c r="AF8">
        <v>0.6</v>
      </c>
      <c r="AG8">
        <v>0.5</v>
      </c>
      <c r="AH8">
        <v>0.4</v>
      </c>
      <c r="AI8">
        <v>0.35</v>
      </c>
      <c r="AJ8">
        <v>0.32500000000000001</v>
      </c>
      <c r="AK8">
        <v>0.3</v>
      </c>
      <c r="AL8">
        <v>0.22800000000000001</v>
      </c>
      <c r="AM8">
        <v>0.22600000000000001</v>
      </c>
    </row>
    <row r="9" spans="1:41" ht="20.100000000000001" customHeight="1">
      <c r="C9">
        <f>((1/(AB5/10))+((N16/10)^0.5))*(F20^0.5)+F20</f>
        <v>4.2996482052507501</v>
      </c>
      <c r="N9">
        <f>((1/(AB5/10))+((N16/10)^0.5))*(F20^0.5)+F20</f>
        <v>4.2996482052507501</v>
      </c>
      <c r="W9" t="s">
        <v>5990</v>
      </c>
      <c r="X9" t="s">
        <v>6036</v>
      </c>
      <c r="Y9">
        <v>35</v>
      </c>
      <c r="Z9" t="s">
        <v>6037</v>
      </c>
      <c r="AA9" t="s">
        <v>6038</v>
      </c>
      <c r="AB9">
        <v>70</v>
      </c>
      <c r="AE9" t="s">
        <v>6070</v>
      </c>
      <c r="AF9">
        <v>0.5</v>
      </c>
      <c r="AG9">
        <v>0.4</v>
      </c>
      <c r="AH9">
        <v>0.35</v>
      </c>
      <c r="AI9">
        <v>0.32500000000000001</v>
      </c>
      <c r="AJ9">
        <v>0.3</v>
      </c>
      <c r="AK9">
        <v>0.22800000000000001</v>
      </c>
      <c r="AL9">
        <v>0.22600000000000001</v>
      </c>
      <c r="AM9">
        <v>0.224</v>
      </c>
    </row>
    <row r="10" spans="1:41" ht="20.100000000000001" customHeight="1">
      <c r="W10" t="s">
        <v>5993</v>
      </c>
      <c r="X10" t="s">
        <v>6040</v>
      </c>
      <c r="Y10">
        <v>60</v>
      </c>
      <c r="Z10" t="s">
        <v>6041</v>
      </c>
      <c r="AA10" t="s">
        <v>6042</v>
      </c>
      <c r="AB10">
        <v>90</v>
      </c>
      <c r="AE10" t="s">
        <v>6039</v>
      </c>
      <c r="AF10">
        <v>0.4</v>
      </c>
      <c r="AG10">
        <v>0.35</v>
      </c>
      <c r="AH10">
        <v>0.32500000000000001</v>
      </c>
      <c r="AI10">
        <v>0.3</v>
      </c>
      <c r="AJ10">
        <v>0.22800000000000001</v>
      </c>
      <c r="AK10">
        <v>0.22600000000000001</v>
      </c>
      <c r="AL10">
        <v>0.224</v>
      </c>
      <c r="AM10">
        <v>0.222</v>
      </c>
    </row>
    <row r="11" spans="1:41" ht="19.5" customHeight="1">
      <c r="W11" t="s">
        <v>5995</v>
      </c>
      <c r="X11" t="s">
        <v>6045</v>
      </c>
      <c r="Y11">
        <v>50</v>
      </c>
      <c r="Z11" t="s">
        <v>6046</v>
      </c>
      <c r="AA11" t="s">
        <v>6071</v>
      </c>
      <c r="AB11">
        <v>130</v>
      </c>
      <c r="AE11" t="s">
        <v>6043</v>
      </c>
      <c r="AF11">
        <v>0.35</v>
      </c>
      <c r="AG11">
        <v>0.32500000000000001</v>
      </c>
      <c r="AH11">
        <v>0.3</v>
      </c>
      <c r="AI11">
        <v>0.22800000000000001</v>
      </c>
      <c r="AJ11">
        <v>0.22600000000000001</v>
      </c>
      <c r="AK11">
        <v>0.224</v>
      </c>
      <c r="AL11">
        <v>0.222</v>
      </c>
      <c r="AM11">
        <v>0.2</v>
      </c>
    </row>
    <row r="12" spans="1:41" ht="20.100000000000001" customHeight="1">
      <c r="W12" t="s">
        <v>5998</v>
      </c>
      <c r="X12" t="s">
        <v>6048</v>
      </c>
      <c r="Y12">
        <v>70</v>
      </c>
      <c r="Z12" t="s">
        <v>6049</v>
      </c>
      <c r="AA12" t="s">
        <v>6050</v>
      </c>
      <c r="AB12">
        <v>70</v>
      </c>
      <c r="AE12" t="s">
        <v>6072</v>
      </c>
      <c r="AF12">
        <v>0.32500000000000001</v>
      </c>
      <c r="AG12">
        <v>0.3</v>
      </c>
      <c r="AH12">
        <v>0.22800000000000001</v>
      </c>
      <c r="AI12">
        <v>0.22600000000000001</v>
      </c>
      <c r="AJ12">
        <v>0.224</v>
      </c>
      <c r="AK12">
        <v>0.222</v>
      </c>
      <c r="AL12">
        <v>0.2</v>
      </c>
      <c r="AM12">
        <v>0.18</v>
      </c>
    </row>
    <row r="13" spans="1:41" ht="20.100000000000001" customHeight="1">
      <c r="F13">
        <f>F5*0.3</f>
        <v>0.94499999999999995</v>
      </c>
      <c r="Q13">
        <f>Q5*0.3</f>
        <v>5.1974999999999998</v>
      </c>
      <c r="AE13">
        <f>(L24-F20)/F20</f>
        <v>0.5</v>
      </c>
      <c r="AF13">
        <f t="shared" ref="AF13:AM13" si="0">IF($AE$13&lt;=0.5,AF8,IF($AE$13&lt;=1,AF9,IF($AE$13&lt;=1.5,AF10,IF($AE$13&lt;=2,AF11,AF12))))</f>
        <v>0.6</v>
      </c>
      <c r="AG13">
        <f t="shared" si="0"/>
        <v>0.5</v>
      </c>
      <c r="AH13">
        <f t="shared" si="0"/>
        <v>0.4</v>
      </c>
      <c r="AI13">
        <f t="shared" si="0"/>
        <v>0.35</v>
      </c>
      <c r="AJ13">
        <f t="shared" si="0"/>
        <v>0.32500000000000001</v>
      </c>
      <c r="AK13">
        <f t="shared" si="0"/>
        <v>0.3</v>
      </c>
      <c r="AL13">
        <f t="shared" si="0"/>
        <v>0.22800000000000001</v>
      </c>
      <c r="AM13">
        <f t="shared" si="0"/>
        <v>0.22600000000000001</v>
      </c>
    </row>
    <row r="14" spans="1:41" ht="20.100000000000001" customHeight="1">
      <c r="E14" t="s">
        <v>6073</v>
      </c>
      <c r="F14">
        <f>L21</f>
        <v>22.5</v>
      </c>
      <c r="P14" t="s">
        <v>6073</v>
      </c>
      <c r="Q14">
        <f>L21</f>
        <v>22.5</v>
      </c>
      <c r="AE14">
        <f>C9/F20</f>
        <v>2.1498241026253702</v>
      </c>
      <c r="AF14">
        <f>IF(AE14&lt;=2,AF13,IF(AE14&lt;=3,AG13,IF(AE14&lt;=4,AH13,IF(AE14&lt;=5,AI13,IF(AE14&lt;=6,AJ13,IF(AE14&lt;=7,AK13,IF(AE14&lt;=8,AL13,AM13)))))))</f>
        <v>0.5</v>
      </c>
    </row>
    <row r="15" spans="1:41" ht="20.100000000000001" customHeight="1">
      <c r="E15" t="s">
        <v>6074</v>
      </c>
      <c r="F15">
        <f>F24</f>
        <v>0</v>
      </c>
      <c r="K15" s="3362" t="str">
        <f>IF(N16&lt;(L24+T7+F20),"高度輸入錯誤","  ")</f>
        <v/>
      </c>
      <c r="L15" s="3362"/>
      <c r="M15" s="3362"/>
      <c r="N15" s="3362"/>
      <c r="P15" t="s">
        <v>6074</v>
      </c>
      <c r="Q15">
        <f>F24</f>
        <v>0</v>
      </c>
      <c r="AF15" t="s">
        <v>6061</v>
      </c>
      <c r="AG15" t="s">
        <v>6062</v>
      </c>
      <c r="AH15" t="s">
        <v>6063</v>
      </c>
      <c r="AI15" t="s">
        <v>6064</v>
      </c>
      <c r="AJ15" t="s">
        <v>6065</v>
      </c>
      <c r="AK15" t="s">
        <v>6066</v>
      </c>
      <c r="AL15" t="s">
        <v>6067</v>
      </c>
      <c r="AM15" t="s">
        <v>6068</v>
      </c>
    </row>
    <row r="16" spans="1:41" ht="20.100000000000001" customHeight="1">
      <c r="N16">
        <v>22</v>
      </c>
      <c r="AE16" t="s">
        <v>6069</v>
      </c>
      <c r="AF16">
        <v>0.6</v>
      </c>
      <c r="AG16">
        <v>0.5</v>
      </c>
      <c r="AH16">
        <v>0.4</v>
      </c>
      <c r="AI16">
        <v>0.35</v>
      </c>
      <c r="AJ16">
        <v>0.32500000000000001</v>
      </c>
      <c r="AK16">
        <v>0.3</v>
      </c>
      <c r="AL16">
        <v>0.22800000000000001</v>
      </c>
      <c r="AM16">
        <v>0.22600000000000001</v>
      </c>
    </row>
    <row r="17" spans="5:39" ht="20.100000000000001" customHeight="1">
      <c r="P17" s="3362" t="s">
        <v>6075</v>
      </c>
      <c r="Q17" s="3362"/>
      <c r="AE17" t="s">
        <v>6070</v>
      </c>
      <c r="AF17">
        <v>0.5</v>
      </c>
      <c r="AG17">
        <v>0.4</v>
      </c>
      <c r="AH17">
        <v>0.35</v>
      </c>
      <c r="AI17">
        <v>0.32500000000000001</v>
      </c>
      <c r="AJ17">
        <v>0.3</v>
      </c>
      <c r="AK17">
        <v>0.22800000000000001</v>
      </c>
      <c r="AL17">
        <v>0.22600000000000001</v>
      </c>
      <c r="AM17">
        <v>0.224</v>
      </c>
    </row>
    <row r="18" spans="5:39" ht="20.100000000000001" customHeight="1">
      <c r="AE18" t="s">
        <v>6039</v>
      </c>
      <c r="AF18">
        <v>0.4</v>
      </c>
      <c r="AG18">
        <v>0.35</v>
      </c>
      <c r="AH18">
        <v>0.32500000000000001</v>
      </c>
      <c r="AI18">
        <v>0.3</v>
      </c>
      <c r="AJ18">
        <v>0.22800000000000001</v>
      </c>
      <c r="AK18">
        <v>0.22600000000000001</v>
      </c>
      <c r="AL18">
        <v>0.224</v>
      </c>
      <c r="AM18">
        <v>0.222</v>
      </c>
    </row>
    <row r="19" spans="5:39" ht="20.100000000000001" customHeight="1">
      <c r="AE19" t="s">
        <v>6043</v>
      </c>
      <c r="AF19">
        <v>0.35</v>
      </c>
      <c r="AG19">
        <v>0.32500000000000001</v>
      </c>
      <c r="AH19">
        <v>0.3</v>
      </c>
      <c r="AI19">
        <v>0.22800000000000001</v>
      </c>
      <c r="AJ19">
        <v>0.22600000000000001</v>
      </c>
      <c r="AK19">
        <v>0.224</v>
      </c>
      <c r="AL19">
        <v>0.222</v>
      </c>
      <c r="AM19">
        <v>0.2</v>
      </c>
    </row>
    <row r="20" spans="5:39" ht="20.100000000000001" customHeight="1">
      <c r="E20" t="s">
        <v>6076</v>
      </c>
      <c r="F20">
        <v>2</v>
      </c>
      <c r="AE20" t="s">
        <v>6072</v>
      </c>
      <c r="AF20">
        <v>0.32500000000000001</v>
      </c>
      <c r="AG20">
        <v>0.3</v>
      </c>
      <c r="AH20">
        <v>0.22800000000000001</v>
      </c>
      <c r="AI20">
        <v>0.22600000000000001</v>
      </c>
      <c r="AJ20">
        <v>0.224</v>
      </c>
      <c r="AK20">
        <v>0.222</v>
      </c>
      <c r="AL20">
        <v>0.2</v>
      </c>
      <c r="AM20">
        <v>0.18</v>
      </c>
    </row>
    <row r="21" spans="5:39" ht="20.100000000000001" customHeight="1">
      <c r="K21" t="s">
        <v>6073</v>
      </c>
      <c r="L21" s="3362">
        <v>22.5</v>
      </c>
      <c r="M21" s="3362"/>
      <c r="AE21">
        <f>(L24-F20)/F20</f>
        <v>0.5</v>
      </c>
      <c r="AF21">
        <f t="shared" ref="AF21:AK21" si="1">IF($AE$21&lt;=0.5,AF16,IF($AE$21&lt;=1,AF17,IF($AE$21&lt;=1.5,AF18,IF($AE$21&lt;=2,AF19,AF20))))</f>
        <v>0.6</v>
      </c>
      <c r="AG21">
        <f t="shared" si="1"/>
        <v>0.5</v>
      </c>
      <c r="AH21">
        <f t="shared" si="1"/>
        <v>0.4</v>
      </c>
      <c r="AI21">
        <f t="shared" si="1"/>
        <v>0.35</v>
      </c>
      <c r="AJ21">
        <f t="shared" si="1"/>
        <v>0.32500000000000001</v>
      </c>
      <c r="AK21">
        <f t="shared" si="1"/>
        <v>0.3</v>
      </c>
      <c r="AL21">
        <f>IF($AE$13&lt;=0.5,AL16,IF($AE$13&lt;=1,AL17,IF($AE$13&lt;=1.5,AL18,IF($AE$13&lt;=2,AL19,AL20))))</f>
        <v>0.22800000000000001</v>
      </c>
      <c r="AM21">
        <f>IF($AE$13&lt;=0.5,AM16,IF($AE$13&lt;=1,AM17,IF($AE$13&lt;=1.5,AM18,IF($AE$13&lt;=2,AM19,AM20))))</f>
        <v>0.22600000000000001</v>
      </c>
    </row>
    <row r="22" spans="5:39" ht="20.100000000000001" customHeight="1">
      <c r="AE22">
        <f>N9/F20</f>
        <v>2.1498241026253702</v>
      </c>
      <c r="AF22">
        <f>IF(AE22&lt;=2,AF21,IF(AE22&lt;=3,AG21,IF(AE22&lt;=4,AH21,IF(AE22&lt;=5,AI21,IF(AE22&lt;=6,AJ21,IF(AE22&lt;=7,AK21,IF(AE22&lt;=8,AL21,AM21)))))))</f>
        <v>0.5</v>
      </c>
      <c r="AG22">
        <f>(AF22^2)+(5*AF22)</f>
        <v>2.75</v>
      </c>
    </row>
    <row r="23" spans="5:39" ht="20.100000000000001" customHeight="1">
      <c r="J23" t="str">
        <f>IF((L24-F20)&lt;0,"外圓角錯誤應大於 "&amp;F20,"  ")</f>
        <v/>
      </c>
      <c r="AE23" t="s">
        <v>6051</v>
      </c>
      <c r="AF23">
        <f>F20+C9+I7</f>
        <v>9.8197009181560393</v>
      </c>
      <c r="AI23" t="s">
        <v>6051</v>
      </c>
      <c r="AJ23">
        <f>F20+N9+T7</f>
        <v>9.8197009181560393</v>
      </c>
    </row>
    <row r="24" spans="5:39" ht="20.100000000000001" customHeight="1">
      <c r="E24" t="s">
        <v>6074</v>
      </c>
      <c r="F24">
        <v>0</v>
      </c>
      <c r="J24" s="3362" t="s">
        <v>6077</v>
      </c>
      <c r="K24" s="3362"/>
      <c r="L24">
        <v>3</v>
      </c>
      <c r="AE24" t="s">
        <v>6053</v>
      </c>
      <c r="AF24">
        <v>0.63</v>
      </c>
      <c r="AI24" t="s">
        <v>6053</v>
      </c>
      <c r="AJ24">
        <v>0.3</v>
      </c>
    </row>
    <row r="25" spans="5:39" ht="20.100000000000001" customHeight="1">
      <c r="F25" t="s">
        <v>6078</v>
      </c>
    </row>
    <row r="26" spans="5:39" ht="5.0999999999999996" customHeight="1"/>
  </sheetData>
  <mergeCells count="18">
    <mergeCell ref="K15:N15"/>
    <mergeCell ref="P17:Q17"/>
    <mergeCell ref="L21:M21"/>
    <mergeCell ref="J24:K24"/>
    <mergeCell ref="AD1:AO2"/>
    <mergeCell ref="Y3:AA3"/>
    <mergeCell ref="Z5:AA5"/>
    <mergeCell ref="B6:C6"/>
    <mergeCell ref="I7:J7"/>
    <mergeCell ref="T7:U7"/>
    <mergeCell ref="A2:E2"/>
    <mergeCell ref="F2:G2"/>
    <mergeCell ref="K2:P2"/>
    <mergeCell ref="Q2:R2"/>
    <mergeCell ref="A3:E3"/>
    <mergeCell ref="F3:G3"/>
    <mergeCell ref="K3:P3"/>
    <mergeCell ref="Q3:R3"/>
  </mergeCells>
  <phoneticPr fontId="378" type="noConversion"/>
  <hyperlinks>
    <hyperlink ref="AD1:AO2" location="总目录!A1" display="返回目录"/>
  </hyperlinks>
  <pageMargins left="0.55000000000000004" right="0.55000000000000004" top="0.78888888888888897" bottom="0.58888888888888902" header="0.70902777777777803" footer="0.50902777777777797"/>
  <pageSetup paperSize="9" orientation="landscape"/>
  <headerFooter scaleWithDoc="0"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
  <sheetViews>
    <sheetView workbookViewId="0">
      <selection activeCell="F1" sqref="F1:G1"/>
    </sheetView>
  </sheetViews>
  <sheetFormatPr defaultColWidth="8.125" defaultRowHeight="15.95" customHeight="1"/>
  <cols>
    <col min="1" max="1" width="12.25" style="2534" customWidth="1"/>
    <col min="2" max="2" width="8.125" style="2534"/>
    <col min="3" max="3" width="12.75" style="2534" customWidth="1"/>
    <col min="4" max="4" width="7.375" style="2534" customWidth="1"/>
    <col min="5" max="5" width="23.125" style="2535" customWidth="1"/>
    <col min="6" max="16384" width="8.125" style="2534"/>
  </cols>
  <sheetData>
    <row r="1" spans="1:10" ht="33" customHeight="1">
      <c r="A1" s="3367" t="s">
        <v>12719</v>
      </c>
      <c r="B1" s="3367"/>
      <c r="C1" s="3367"/>
      <c r="D1" s="3367"/>
      <c r="E1" s="3367"/>
      <c r="F1" s="3368" t="s">
        <v>12710</v>
      </c>
      <c r="G1" s="3368"/>
    </row>
    <row r="2" spans="1:10" ht="15.95" customHeight="1">
      <c r="A2" s="2536" t="s">
        <v>6079</v>
      </c>
      <c r="B2" s="2536" t="s">
        <v>6080</v>
      </c>
      <c r="C2" s="2537">
        <v>280</v>
      </c>
      <c r="D2" s="2538" t="s">
        <v>6081</v>
      </c>
      <c r="E2" s="2538" t="s">
        <v>6082</v>
      </c>
    </row>
    <row r="3" spans="1:10" ht="15.95" customHeight="1">
      <c r="A3" s="2536" t="s">
        <v>6083</v>
      </c>
      <c r="B3" s="2536" t="s">
        <v>6084</v>
      </c>
      <c r="C3" s="2537">
        <v>4</v>
      </c>
      <c r="D3" s="2538" t="s">
        <v>6085</v>
      </c>
      <c r="E3" s="2538"/>
    </row>
    <row r="4" spans="1:10" ht="15.95" customHeight="1">
      <c r="A4" s="2536" t="s">
        <v>6086</v>
      </c>
      <c r="B4" s="2536" t="s">
        <v>6087</v>
      </c>
      <c r="C4" s="2537">
        <v>5</v>
      </c>
      <c r="D4" s="2538" t="s">
        <v>6088</v>
      </c>
      <c r="E4" s="2538"/>
    </row>
    <row r="5" spans="1:10" ht="15.95" customHeight="1">
      <c r="A5" s="2536" t="s">
        <v>1461</v>
      </c>
      <c r="B5" s="2536" t="s">
        <v>6089</v>
      </c>
      <c r="C5" s="2537">
        <v>0.15</v>
      </c>
      <c r="D5" s="2538"/>
      <c r="E5" s="2538"/>
    </row>
    <row r="6" spans="1:10" ht="15.95" customHeight="1">
      <c r="A6" s="2536" t="s">
        <v>6090</v>
      </c>
      <c r="B6" s="2536" t="s">
        <v>6080</v>
      </c>
      <c r="C6" s="2537">
        <v>3</v>
      </c>
      <c r="D6" s="2538"/>
      <c r="E6" s="2538"/>
      <c r="J6" s="2534" t="s">
        <v>6091</v>
      </c>
    </row>
    <row r="7" spans="1:10" ht="15.95" customHeight="1">
      <c r="A7" s="2536" t="s">
        <v>6092</v>
      </c>
      <c r="B7" s="2536" t="s">
        <v>6093</v>
      </c>
      <c r="C7" s="2537">
        <v>70</v>
      </c>
      <c r="D7" s="2538"/>
      <c r="E7" s="2538"/>
    </row>
    <row r="8" spans="1:10" ht="15.95" customHeight="1">
      <c r="A8" s="2536" t="s">
        <v>6094</v>
      </c>
      <c r="B8" s="2536" t="s">
        <v>6095</v>
      </c>
      <c r="C8" s="2537">
        <f>C6*C7*0.001/2</f>
        <v>0.105</v>
      </c>
      <c r="D8" s="2538" t="s">
        <v>6088</v>
      </c>
      <c r="E8" s="2538"/>
    </row>
    <row r="9" spans="1:10" ht="15.95" customHeight="1">
      <c r="A9" s="2536" t="s">
        <v>6096</v>
      </c>
      <c r="B9" s="2536" t="s">
        <v>6097</v>
      </c>
      <c r="C9" s="2537">
        <v>8</v>
      </c>
      <c r="D9" s="2538" t="s">
        <v>6098</v>
      </c>
      <c r="E9" s="2538" t="s">
        <v>6099</v>
      </c>
    </row>
    <row r="10" spans="1:10" ht="15.95" customHeight="1">
      <c r="A10" s="2536" t="s">
        <v>2033</v>
      </c>
      <c r="B10" s="2536" t="s">
        <v>6100</v>
      </c>
      <c r="C10" s="2537">
        <v>2000</v>
      </c>
      <c r="D10" s="2538" t="s">
        <v>2016</v>
      </c>
      <c r="E10" s="2538" t="s">
        <v>6101</v>
      </c>
    </row>
    <row r="11" spans="1:10" ht="15.95" customHeight="1">
      <c r="A11" s="2536" t="s">
        <v>2004</v>
      </c>
      <c r="B11" s="2536" t="s">
        <v>6102</v>
      </c>
      <c r="C11" s="2537">
        <v>16</v>
      </c>
      <c r="D11" s="2538"/>
      <c r="E11" s="2538"/>
    </row>
    <row r="12" spans="1:10" ht="15.95" customHeight="1">
      <c r="A12" s="2536" t="s">
        <v>6103</v>
      </c>
      <c r="B12" s="2536" t="s">
        <v>6104</v>
      </c>
      <c r="C12" s="2539">
        <f>4*C4/(C3^2)</f>
        <v>1.25</v>
      </c>
      <c r="D12" s="2538" t="s">
        <v>6105</v>
      </c>
      <c r="E12" s="2538" t="s">
        <v>6106</v>
      </c>
    </row>
    <row r="13" spans="1:10" ht="15.95" customHeight="1">
      <c r="A13" s="2536" t="s">
        <v>6107</v>
      </c>
      <c r="B13" s="2536" t="s">
        <v>6108</v>
      </c>
      <c r="C13" s="2538">
        <f>C2*9.8</f>
        <v>2744</v>
      </c>
      <c r="D13" s="2538" t="s">
        <v>6109</v>
      </c>
      <c r="E13" s="2538" t="s">
        <v>6110</v>
      </c>
    </row>
    <row r="14" spans="1:10" ht="15.95" customHeight="1">
      <c r="A14" s="2536" t="s">
        <v>6111</v>
      </c>
      <c r="B14" s="2536" t="s">
        <v>6112</v>
      </c>
      <c r="C14" s="2538">
        <f>C13*C5</f>
        <v>411.6</v>
      </c>
      <c r="D14" s="2538" t="s">
        <v>6109</v>
      </c>
      <c r="E14" s="2538" t="s">
        <v>6113</v>
      </c>
    </row>
    <row r="15" spans="1:10" ht="15.95" customHeight="1">
      <c r="A15" s="2536" t="s">
        <v>6114</v>
      </c>
      <c r="B15" s="2536" t="s">
        <v>6115</v>
      </c>
      <c r="C15" s="2538">
        <f>C9*C11/C8-C14</f>
        <v>807.44761904761901</v>
      </c>
      <c r="D15" s="2538" t="s">
        <v>6098</v>
      </c>
      <c r="E15" s="2538" t="s">
        <v>6116</v>
      </c>
    </row>
    <row r="16" spans="1:10" ht="15.95" customHeight="1">
      <c r="A16" s="2536" t="s">
        <v>6117</v>
      </c>
      <c r="B16" s="2536" t="s">
        <v>6118</v>
      </c>
      <c r="C16" s="2539">
        <f>C15/C2</f>
        <v>2.8837414965986401</v>
      </c>
      <c r="D16" s="2538" t="s">
        <v>6105</v>
      </c>
      <c r="E16" s="2538"/>
    </row>
    <row r="17" spans="1:5" ht="15.95" customHeight="1">
      <c r="A17" s="2536" t="s">
        <v>6119</v>
      </c>
      <c r="B17" s="2536" t="s">
        <v>6118</v>
      </c>
      <c r="C17" s="2540">
        <f>C16</f>
        <v>2.8837414965986401</v>
      </c>
      <c r="D17" s="2538" t="s">
        <v>6105</v>
      </c>
      <c r="E17" s="2538"/>
    </row>
    <row r="18" spans="1:5" ht="15.95" customHeight="1">
      <c r="A18" s="2536" t="s">
        <v>6120</v>
      </c>
      <c r="B18" s="2536" t="s">
        <v>6121</v>
      </c>
      <c r="C18" s="2538">
        <f>(C17*C3-(C17^2*C3^2-4*C17*C4)^0.5)/(2*C17)</f>
        <v>0.49462914936609698</v>
      </c>
      <c r="D18" s="2538" t="s">
        <v>6085</v>
      </c>
      <c r="E18" s="2538"/>
    </row>
    <row r="19" spans="1:5" ht="15.95" customHeight="1">
      <c r="A19" s="2536"/>
      <c r="B19" s="2536" t="s">
        <v>6121</v>
      </c>
      <c r="C19" s="2541">
        <f>(C17*C3+(C17^2*C3^2-4*C17*C4)^0.5)/(2*C17)</f>
        <v>3.5053708506338999</v>
      </c>
      <c r="D19" s="2538" t="s">
        <v>6085</v>
      </c>
      <c r="E19" s="2538" t="s">
        <v>6122</v>
      </c>
    </row>
    <row r="20" spans="1:5" ht="15.95" customHeight="1">
      <c r="A20" s="2536" t="s">
        <v>6123</v>
      </c>
      <c r="B20" s="2536" t="s">
        <v>6124</v>
      </c>
      <c r="C20" s="2542">
        <f>C3-C18*2</f>
        <v>3.0107417012678099</v>
      </c>
      <c r="D20" s="2538" t="s">
        <v>6085</v>
      </c>
      <c r="E20" s="2538"/>
    </row>
    <row r="21" spans="1:5" ht="15.95" customHeight="1">
      <c r="A21" s="2536" t="s">
        <v>6125</v>
      </c>
      <c r="B21" s="2536" t="s">
        <v>6126</v>
      </c>
      <c r="C21" s="2538">
        <f>C18*C17</f>
        <v>1.4263826034542999</v>
      </c>
      <c r="D21" s="2538" t="s">
        <v>6127</v>
      </c>
      <c r="E21" s="2543" t="s">
        <v>6128</v>
      </c>
    </row>
    <row r="22" spans="1:5" ht="15.95" customHeight="1">
      <c r="A22" s="2536" t="s">
        <v>6129</v>
      </c>
      <c r="B22" s="2536" t="s">
        <v>6087</v>
      </c>
      <c r="C22" s="2538">
        <f>C17*C18*C18+C21*C20</f>
        <v>5</v>
      </c>
      <c r="D22" s="2538" t="s">
        <v>6088</v>
      </c>
      <c r="E22" s="2538"/>
    </row>
    <row r="23" spans="1:5" ht="15.95" customHeight="1">
      <c r="A23" s="2536" t="s">
        <v>6130</v>
      </c>
      <c r="B23" s="2536" t="s">
        <v>6131</v>
      </c>
      <c r="C23" s="2538">
        <f>(C21*60*C11)/(C8*2*3.14)</f>
        <v>2076.6261742737802</v>
      </c>
      <c r="D23" s="2538" t="s">
        <v>2016</v>
      </c>
      <c r="E23" s="2538" t="s">
        <v>6132</v>
      </c>
    </row>
    <row r="24" spans="1:5" ht="15.95" customHeight="1">
      <c r="A24" s="2536"/>
      <c r="B24" s="2536"/>
      <c r="C24" s="2538"/>
      <c r="D24" s="2538"/>
      <c r="E24" s="2538"/>
    </row>
    <row r="25" spans="1:5" ht="15.95" customHeight="1">
      <c r="E25" s="2534"/>
    </row>
    <row r="26" spans="1:5" ht="15.95" customHeight="1">
      <c r="E26" s="2534"/>
    </row>
    <row r="27" spans="1:5" ht="15.95" customHeight="1">
      <c r="E27" s="2534"/>
    </row>
    <row r="28" spans="1:5" ht="15.95" customHeight="1">
      <c r="E28" s="2534"/>
    </row>
    <row r="29" spans="1:5" ht="15.95" customHeight="1">
      <c r="E29" s="2534"/>
    </row>
    <row r="30" spans="1:5" ht="15.95" customHeight="1">
      <c r="E30" s="2534"/>
    </row>
    <row r="31" spans="1:5" ht="15.95" customHeight="1">
      <c r="E31" s="2534"/>
    </row>
    <row r="32" spans="1:5" ht="15.95" customHeight="1">
      <c r="E32" s="2534"/>
    </row>
    <row r="33" spans="5:5" ht="15.95" customHeight="1">
      <c r="E33" s="2534"/>
    </row>
    <row r="34" spans="5:5" ht="15.95" customHeight="1">
      <c r="E34" s="2534"/>
    </row>
    <row r="35" spans="5:5" ht="15.95" customHeight="1">
      <c r="E35" s="2534"/>
    </row>
    <row r="36" spans="5:5" ht="15.95" customHeight="1">
      <c r="E36" s="2534"/>
    </row>
    <row r="37" spans="5:5" ht="15.95" customHeight="1">
      <c r="E37" s="2534"/>
    </row>
    <row r="38" spans="5:5" ht="15.95" customHeight="1">
      <c r="E38" s="2534"/>
    </row>
    <row r="39" spans="5:5" ht="15.95" customHeight="1">
      <c r="E39" s="2534"/>
    </row>
    <row r="40" spans="5:5" ht="15.95" customHeight="1">
      <c r="E40" s="2534"/>
    </row>
    <row r="41" spans="5:5" ht="15.95" customHeight="1">
      <c r="E41" s="2534"/>
    </row>
    <row r="49" spans="5:5" ht="15.95" customHeight="1">
      <c r="E49" s="2535" t="s">
        <v>6133</v>
      </c>
    </row>
  </sheetData>
  <mergeCells count="2">
    <mergeCell ref="A1:E1"/>
    <mergeCell ref="F1:G1"/>
  </mergeCells>
  <phoneticPr fontId="378" type="noConversion"/>
  <hyperlinks>
    <hyperlink ref="F1:G1" location="总目录!A1" display="返回目录"/>
  </hyperlinks>
  <pageMargins left="0.69930555555555596" right="0.69930555555555596"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2"/>
  <sheetViews>
    <sheetView zoomScaleNormal="100" workbookViewId="0">
      <selection activeCell="F15" sqref="F15:G15"/>
    </sheetView>
  </sheetViews>
  <sheetFormatPr defaultColWidth="8.75" defaultRowHeight="16.5"/>
  <cols>
    <col min="1" max="16384" width="8.75" style="95"/>
  </cols>
  <sheetData>
    <row r="1" spans="1:7" ht="58.15" customHeight="1">
      <c r="A1" s="3369" t="s">
        <v>84</v>
      </c>
      <c r="B1" s="3369"/>
      <c r="C1" s="3369"/>
      <c r="D1" s="3369"/>
      <c r="E1" s="3369"/>
      <c r="F1" s="3369"/>
    </row>
    <row r="2" spans="1:7">
      <c r="A2" s="95" t="s">
        <v>6134</v>
      </c>
      <c r="B2" s="95" t="s">
        <v>6085</v>
      </c>
      <c r="C2" s="95" t="s">
        <v>5929</v>
      </c>
      <c r="D2" s="95" t="s">
        <v>6135</v>
      </c>
      <c r="E2" s="95" t="s">
        <v>6136</v>
      </c>
      <c r="F2" s="95" t="s">
        <v>6137</v>
      </c>
    </row>
    <row r="3" spans="1:7">
      <c r="A3" s="95">
        <v>1</v>
      </c>
      <c r="B3" s="95">
        <f t="shared" ref="B3:B62" si="0">30*(A3/60-SIN(2*A3*PI()/60)/(2*PI()))</f>
        <v>9.1335131460021401E-4</v>
      </c>
      <c r="C3" s="95">
        <f t="shared" ref="C3:C66" si="1">(100+B3)*SIN(A3*PI()/180)</f>
        <v>1.74525658390671</v>
      </c>
      <c r="D3" s="95">
        <f t="shared" ref="D3:D66" si="2">(100+B3)*COS(A3*PI()/180)</f>
        <v>99.985682727845898</v>
      </c>
      <c r="E3" s="95" t="s">
        <v>6138</v>
      </c>
      <c r="F3" s="95" t="s">
        <v>6139</v>
      </c>
    </row>
    <row r="4" spans="1:7">
      <c r="A4" s="95">
        <v>2</v>
      </c>
      <c r="B4" s="95">
        <f t="shared" si="0"/>
        <v>7.2948003927932699E-3</v>
      </c>
      <c r="C4" s="95">
        <f t="shared" si="1"/>
        <v>3.4902042551123502</v>
      </c>
      <c r="D4" s="95">
        <f t="shared" si="2"/>
        <v>99.946373058507106</v>
      </c>
      <c r="E4" s="95" t="s">
        <v>6140</v>
      </c>
      <c r="F4" s="95" t="s">
        <v>6141</v>
      </c>
    </row>
    <row r="5" spans="1:7">
      <c r="A5" s="95">
        <v>3</v>
      </c>
      <c r="B5" s="95">
        <f t="shared" si="0"/>
        <v>2.4552535374801301E-2</v>
      </c>
      <c r="C5" s="95">
        <f t="shared" si="1"/>
        <v>5.2348806047114103</v>
      </c>
      <c r="D5" s="95">
        <f t="shared" si="2"/>
        <v>99.887472362435801</v>
      </c>
    </row>
    <row r="6" spans="1:7">
      <c r="A6" s="95">
        <v>4</v>
      </c>
      <c r="B6" s="95">
        <f t="shared" si="0"/>
        <v>5.7975581536474502E-2</v>
      </c>
      <c r="C6" s="95">
        <f t="shared" si="1"/>
        <v>6.9796915465437799</v>
      </c>
      <c r="D6" s="95">
        <f t="shared" si="2"/>
        <v>99.814239381916096</v>
      </c>
    </row>
    <row r="7" spans="1:7">
      <c r="A7" s="95">
        <v>5</v>
      </c>
      <c r="B7" s="95">
        <f t="shared" si="0"/>
        <v>0.11267585362157</v>
      </c>
      <c r="C7" s="95">
        <f t="shared" si="1"/>
        <v>8.7253946224779302</v>
      </c>
      <c r="D7" s="95">
        <f t="shared" si="2"/>
        <v>99.731716897155295</v>
      </c>
    </row>
    <row r="8" spans="1:7">
      <c r="A8" s="95">
        <v>6</v>
      </c>
      <c r="B8" s="95">
        <f t="shared" si="0"/>
        <v>0.193532148634083</v>
      </c>
      <c r="C8" s="95">
        <f t="shared" si="1"/>
        <v>10.473075944854999</v>
      </c>
      <c r="D8" s="95">
        <f t="shared" si="2"/>
        <v>99.644661496101605</v>
      </c>
    </row>
    <row r="9" spans="1:7">
      <c r="A9" s="95">
        <v>7</v>
      </c>
      <c r="B9" s="95">
        <f t="shared" si="0"/>
        <v>0.30513669271731497</v>
      </c>
      <c r="C9" s="95">
        <f t="shared" si="1"/>
        <v>12.224121148905001</v>
      </c>
      <c r="D9" s="95">
        <f t="shared" si="2"/>
        <v>99.557477414213295</v>
      </c>
    </row>
    <row r="10" spans="1:7">
      <c r="A10" s="95">
        <v>8</v>
      </c>
      <c r="B10" s="95">
        <f t="shared" si="0"/>
        <v>0.45174482776326502</v>
      </c>
      <c r="C10" s="95">
        <f t="shared" si="1"/>
        <v>13.980180824529</v>
      </c>
      <c r="D10" s="95">
        <f t="shared" si="2"/>
        <v>99.474155352310206</v>
      </c>
    </row>
    <row r="11" spans="1:7">
      <c r="A11" s="95">
        <v>9</v>
      </c>
      <c r="B11" s="95">
        <f t="shared" si="0"/>
        <v>0.63722838899637102</v>
      </c>
      <c r="C11" s="95">
        <f t="shared" si="1"/>
        <v>15.7431309861642</v>
      </c>
      <c r="D11" s="95">
        <f t="shared" si="2"/>
        <v>99.398217109621697</v>
      </c>
    </row>
    <row r="12" spans="1:7">
      <c r="A12" s="95">
        <v>10</v>
      </c>
      <c r="B12" s="95">
        <f t="shared" si="0"/>
        <v>0.86503328433655902</v>
      </c>
      <c r="C12" s="95">
        <f t="shared" si="1"/>
        <v>17.515029220139301</v>
      </c>
      <c r="D12" s="95">
        <f t="shared" si="2"/>
        <v>99.332666786249106</v>
      </c>
    </row>
    <row r="13" spans="1:7">
      <c r="A13" s="95">
        <v>11</v>
      </c>
      <c r="B13" s="95">
        <f t="shared" si="0"/>
        <v>1.1381417403109699</v>
      </c>
      <c r="C13" s="95">
        <f t="shared" si="1"/>
        <v>19.2980672197193</v>
      </c>
      <c r="D13" s="95">
        <f t="shared" si="2"/>
        <v>99.279949215672104</v>
      </c>
    </row>
    <row r="14" spans="1:7">
      <c r="A14" s="95">
        <v>12</v>
      </c>
      <c r="B14" s="95">
        <f t="shared" si="0"/>
        <v>1.45903962815606</v>
      </c>
      <c r="C14" s="95">
        <f t="shared" si="1"/>
        <v>21.094520477835999</v>
      </c>
      <c r="D14" s="95">
        <f t="shared" si="2"/>
        <v>99.241916185036999</v>
      </c>
    </row>
    <row r="15" spans="1:7">
      <c r="A15" s="95">
        <v>13</v>
      </c>
      <c r="B15" s="95">
        <f t="shared" si="0"/>
        <v>1.82968922809212</v>
      </c>
      <c r="C15" s="95">
        <f t="shared" si="1"/>
        <v>22.9066959553674</v>
      </c>
      <c r="D15" s="95">
        <f t="shared" si="2"/>
        <v>99.219800890236499</v>
      </c>
      <c r="F15" s="3368" t="s">
        <v>12710</v>
      </c>
      <c r="G15" s="3368"/>
    </row>
    <row r="16" spans="1:7">
      <c r="A16" s="95">
        <v>14</v>
      </c>
      <c r="B16" s="95">
        <f t="shared" si="0"/>
        <v>2.2515077301705602</v>
      </c>
      <c r="C16" s="95">
        <f t="shared" si="1"/>
        <v>24.736878578006898</v>
      </c>
      <c r="D16" s="95">
        <f t="shared" si="2"/>
        <v>99.2142009558615</v>
      </c>
    </row>
    <row r="17" spans="1:4">
      <c r="A17" s="95">
        <v>15</v>
      </c>
      <c r="B17" s="95">
        <f t="shared" si="0"/>
        <v>2.7253517072431399</v>
      </c>
      <c r="C17" s="95">
        <f t="shared" si="1"/>
        <v>26.587277436689298</v>
      </c>
      <c r="D17" s="95">
        <f t="shared" si="2"/>
        <v>99.225070228654005</v>
      </c>
    </row>
    <row r="18" spans="1:4">
      <c r="A18" s="95">
        <v>16</v>
      </c>
      <c r="B18" s="95">
        <f t="shared" si="0"/>
        <v>3.2515077301705602</v>
      </c>
      <c r="C18" s="95">
        <f t="shared" si="1"/>
        <v>28.4599725748627</v>
      </c>
      <c r="D18" s="95">
        <f t="shared" si="2"/>
        <v>99.251719428892201</v>
      </c>
    </row>
    <row r="19" spans="1:4">
      <c r="A19" s="95">
        <v>17</v>
      </c>
      <c r="B19" s="95">
        <f t="shared" si="0"/>
        <v>3.8296892280921102</v>
      </c>
      <c r="C19" s="95">
        <f t="shared" si="1"/>
        <v>30.3568632404493</v>
      </c>
      <c r="D19" s="95">
        <f t="shared" si="2"/>
        <v>99.292825618988402</v>
      </c>
    </row>
    <row r="20" spans="1:4">
      <c r="A20" s="95">
        <v>18</v>
      </c>
      <c r="B20" s="95">
        <f t="shared" si="0"/>
        <v>4.4590396281560603</v>
      </c>
      <c r="C20" s="95">
        <f t="shared" si="1"/>
        <v>32.279618461186303</v>
      </c>
      <c r="D20" s="95">
        <f t="shared" si="2"/>
        <v>99.346450324291496</v>
      </c>
    </row>
    <row r="21" spans="1:4">
      <c r="A21" s="95">
        <v>19</v>
      </c>
      <c r="B21" s="95">
        <f t="shared" si="0"/>
        <v>5.1381417403109699</v>
      </c>
      <c r="C21" s="95">
        <f t="shared" si="1"/>
        <v>34.229630769448001</v>
      </c>
      <c r="D21" s="95">
        <f t="shared" si="2"/>
        <v>99.410066019457901</v>
      </c>
    </row>
    <row r="22" spans="1:4">
      <c r="A22" s="95">
        <v>20</v>
      </c>
      <c r="B22" s="95">
        <f t="shared" si="0"/>
        <v>5.86503328433656</v>
      </c>
      <c r="C22" s="95">
        <f t="shared" si="1"/>
        <v>36.207973857085499</v>
      </c>
      <c r="D22" s="95">
        <f t="shared" si="2"/>
        <v>99.480590576545694</v>
      </c>
    </row>
    <row r="23" spans="1:4">
      <c r="A23" s="95">
        <v>21</v>
      </c>
      <c r="B23" s="95">
        <f t="shared" si="0"/>
        <v>6.6372283889963697</v>
      </c>
      <c r="C23" s="95">
        <f t="shared" si="1"/>
        <v>38.215364882958497</v>
      </c>
      <c r="D23" s="95">
        <f t="shared" si="2"/>
        <v>99.554429159878694</v>
      </c>
    </row>
    <row r="24" spans="1:4">
      <c r="A24" s="95">
        <v>22</v>
      </c>
      <c r="B24" s="95">
        <f t="shared" si="0"/>
        <v>7.4517448277632603</v>
      </c>
      <c r="C24" s="95">
        <f t="shared" si="1"/>
        <v>40.252132086524199</v>
      </c>
      <c r="D24" s="95">
        <f t="shared" si="2"/>
        <v>99.627522949332402</v>
      </c>
    </row>
    <row r="25" spans="1:4">
      <c r="A25" s="95">
        <v>23</v>
      </c>
      <c r="B25" s="95">
        <f t="shared" si="0"/>
        <v>8.3051366927173191</v>
      </c>
      <c r="C25" s="95">
        <f t="shared" si="1"/>
        <v>42.318188281130503</v>
      </c>
      <c r="D25" s="95">
        <f t="shared" si="2"/>
        <v>99.695403979476296</v>
      </c>
    </row>
    <row r="26" spans="1:4">
      <c r="A26" s="95">
        <v>24</v>
      </c>
      <c r="B26" s="95">
        <f t="shared" si="0"/>
        <v>9.1935321486340804</v>
      </c>
      <c r="C26" s="95">
        <f t="shared" si="1"/>
        <v>44.413010711724901</v>
      </c>
      <c r="D26" s="95">
        <f t="shared" si="2"/>
        <v>99.753255298336001</v>
      </c>
    </row>
    <row r="27" spans="1:4">
      <c r="A27" s="95">
        <v>25</v>
      </c>
      <c r="B27" s="95">
        <f t="shared" si="0"/>
        <v>10.112675853621599</v>
      </c>
      <c r="C27" s="95">
        <f t="shared" si="1"/>
        <v>46.535627664874603</v>
      </c>
      <c r="D27" s="95">
        <f t="shared" si="2"/>
        <v>99.795975577579696</v>
      </c>
    </row>
    <row r="28" spans="1:4">
      <c r="A28" s="95">
        <v>26</v>
      </c>
      <c r="B28" s="95">
        <f t="shared" si="0"/>
        <v>11.0579755815365</v>
      </c>
      <c r="C28" s="95">
        <f t="shared" si="1"/>
        <v>48.684612115751499</v>
      </c>
      <c r="D28" s="95">
        <f t="shared" si="2"/>
        <v>99.818247246723303</v>
      </c>
    </row>
    <row r="29" spans="1:4">
      <c r="A29" s="95">
        <v>27</v>
      </c>
      <c r="B29" s="95">
        <f t="shared" si="0"/>
        <v>12.0245525353748</v>
      </c>
      <c r="C29" s="95">
        <f t="shared" si="1"/>
        <v>50.858082588633899</v>
      </c>
      <c r="D29" s="95">
        <f t="shared" si="2"/>
        <v>99.8146071783015</v>
      </c>
    </row>
    <row r="30" spans="1:4">
      <c r="A30" s="95">
        <v>28</v>
      </c>
      <c r="B30" s="95">
        <f t="shared" si="0"/>
        <v>13.007294800392801</v>
      </c>
      <c r="C30" s="95">
        <f t="shared" si="1"/>
        <v>53.053711296146297</v>
      </c>
      <c r="D30" s="95">
        <f t="shared" si="2"/>
        <v>99.779518919506003</v>
      </c>
    </row>
    <row r="31" spans="1:4">
      <c r="A31" s="95">
        <v>29</v>
      </c>
      <c r="B31" s="95">
        <f t="shared" si="0"/>
        <v>14.000913351314599</v>
      </c>
      <c r="C31" s="95">
        <f t="shared" si="1"/>
        <v>55.268739509586403</v>
      </c>
      <c r="D31" s="95">
        <f t="shared" si="2"/>
        <v>99.707445448950395</v>
      </c>
    </row>
    <row r="32" spans="1:4">
      <c r="A32" s="95">
        <v>30</v>
      </c>
      <c r="B32" s="95">
        <f t="shared" si="0"/>
        <v>15</v>
      </c>
      <c r="C32" s="95">
        <f t="shared" si="1"/>
        <v>57.5</v>
      </c>
      <c r="D32" s="95">
        <f t="shared" si="2"/>
        <v>99.592921435210499</v>
      </c>
    </row>
    <row r="33" spans="1:4">
      <c r="A33" s="95">
        <v>31</v>
      </c>
      <c r="B33" s="95">
        <f t="shared" si="0"/>
        <v>15.999086648685401</v>
      </c>
      <c r="C33" s="95">
        <f t="shared" si="1"/>
        <v>59.743946278863497</v>
      </c>
      <c r="D33" s="95">
        <f t="shared" si="2"/>
        <v>99.4306239865641</v>
      </c>
    </row>
    <row r="34" spans="1:4">
      <c r="A34" s="95">
        <v>32</v>
      </c>
      <c r="B34" s="95">
        <f t="shared" si="0"/>
        <v>16.992705199607201</v>
      </c>
      <c r="C34" s="95">
        <f t="shared" si="1"/>
        <v>61.996688260028101</v>
      </c>
      <c r="D34" s="95">
        <f t="shared" si="2"/>
        <v>99.2154409087169</v>
      </c>
    </row>
    <row r="35" spans="1:4">
      <c r="A35" s="95">
        <v>33</v>
      </c>
      <c r="B35" s="95">
        <f t="shared" si="0"/>
        <v>17.975447464625201</v>
      </c>
      <c r="C35" s="95">
        <f t="shared" si="1"/>
        <v>64.254033862599499</v>
      </c>
      <c r="D35" s="95">
        <f t="shared" si="2"/>
        <v>98.942535528772794</v>
      </c>
    </row>
    <row r="36" spans="1:4">
      <c r="A36" s="95">
        <v>34</v>
      </c>
      <c r="B36" s="95">
        <f t="shared" si="0"/>
        <v>18.9420244184635</v>
      </c>
      <c r="C36" s="95">
        <f t="shared" si="1"/>
        <v>66.511535979249103</v>
      </c>
      <c r="D36" s="95">
        <f t="shared" si="2"/>
        <v>98.607407198665499</v>
      </c>
    </row>
    <row r="37" spans="1:4">
      <c r="A37" s="95">
        <v>35</v>
      </c>
      <c r="B37" s="95">
        <f t="shared" si="0"/>
        <v>19.887324146378401</v>
      </c>
      <c r="C37" s="95">
        <f t="shared" si="1"/>
        <v>68.764544147542495</v>
      </c>
      <c r="D37" s="95">
        <f t="shared" si="2"/>
        <v>98.205946658842905</v>
      </c>
    </row>
    <row r="38" spans="1:4">
      <c r="A38" s="95">
        <v>36</v>
      </c>
      <c r="B38" s="95">
        <f t="shared" si="0"/>
        <v>20.806467851365898</v>
      </c>
      <c r="C38" s="95">
        <f t="shared" si="1"/>
        <v>71.008260184577694</v>
      </c>
      <c r="D38" s="95">
        <f t="shared" si="2"/>
        <v>97.734485522165798</v>
      </c>
    </row>
    <row r="39" spans="1:4">
      <c r="A39" s="95">
        <v>37</v>
      </c>
      <c r="B39" s="95">
        <f t="shared" si="0"/>
        <v>21.694863307282699</v>
      </c>
      <c r="C39" s="95">
        <f t="shared" si="1"/>
        <v>73.2377969787577</v>
      </c>
      <c r="D39" s="95">
        <f t="shared" si="2"/>
        <v>97.189839227547296</v>
      </c>
    </row>
    <row r="40" spans="1:4">
      <c r="A40" s="95">
        <v>38</v>
      </c>
      <c r="B40" s="95">
        <f t="shared" si="0"/>
        <v>22.548255172236701</v>
      </c>
      <c r="C40" s="95">
        <f t="shared" si="1"/>
        <v>75.448239577924497</v>
      </c>
      <c r="D40" s="95">
        <f t="shared" si="2"/>
        <v>96.569342911463096</v>
      </c>
    </row>
    <row r="41" spans="1:4">
      <c r="A41" s="95">
        <v>39</v>
      </c>
      <c r="B41" s="95">
        <f t="shared" si="0"/>
        <v>23.362771611003598</v>
      </c>
      <c r="C41" s="95">
        <f t="shared" si="1"/>
        <v>77.634707671228597</v>
      </c>
      <c r="D41" s="95">
        <f t="shared" si="2"/>
        <v>95.870879751630099</v>
      </c>
    </row>
    <row r="42" spans="1:4">
      <c r="A42" s="95">
        <v>40</v>
      </c>
      <c r="B42" s="95">
        <f t="shared" si="0"/>
        <v>24.134966715663399</v>
      </c>
      <c r="C42" s="95">
        <f t="shared" si="1"/>
        <v>79.792418533679395</v>
      </c>
      <c r="D42" s="95">
        <f t="shared" si="2"/>
        <v>95.092901449293294</v>
      </c>
    </row>
    <row r="43" spans="1:4">
      <c r="A43" s="95">
        <v>41</v>
      </c>
      <c r="B43" s="95">
        <f t="shared" si="0"/>
        <v>24.861858259689001</v>
      </c>
      <c r="C43" s="95">
        <f t="shared" si="1"/>
        <v>81.916749487801894</v>
      </c>
      <c r="D43" s="95">
        <f t="shared" si="2"/>
        <v>94.234440633005207</v>
      </c>
    </row>
    <row r="44" spans="1:4">
      <c r="A44" s="95">
        <v>42</v>
      </c>
      <c r="B44" s="95">
        <f t="shared" si="0"/>
        <v>25.540960371843902</v>
      </c>
      <c r="C44" s="95">
        <f t="shared" si="1"/>
        <v>84.003298936485294</v>
      </c>
      <c r="D44" s="95">
        <f t="shared" si="2"/>
        <v>93.2951150857984</v>
      </c>
    </row>
    <row r="45" spans="1:4">
      <c r="A45" s="95">
        <v>43</v>
      </c>
      <c r="B45" s="95">
        <f t="shared" si="0"/>
        <v>26.1703107719079</v>
      </c>
      <c r="C45" s="95">
        <f t="shared" si="1"/>
        <v>86.047945035016994</v>
      </c>
      <c r="D45" s="95">
        <f t="shared" si="2"/>
        <v>92.275123817475901</v>
      </c>
    </row>
    <row r="46" spans="1:4">
      <c r="A46" s="95">
        <v>44</v>
      </c>
      <c r="B46" s="95">
        <f t="shared" si="0"/>
        <v>26.748492269829399</v>
      </c>
      <c r="C46" s="95">
        <f t="shared" si="1"/>
        <v>88.046901098294498</v>
      </c>
      <c r="D46" s="95">
        <f t="shared" si="2"/>
        <v>91.175235122604207</v>
      </c>
    </row>
    <row r="47" spans="1:4">
      <c r="A47" s="95">
        <v>45</v>
      </c>
      <c r="B47" s="95">
        <f t="shared" si="0"/>
        <v>27.274648292756901</v>
      </c>
      <c r="C47" s="95">
        <f t="shared" si="1"/>
        <v>89.996766880941195</v>
      </c>
      <c r="D47" s="95">
        <f t="shared" si="2"/>
        <v>89.996766880941195</v>
      </c>
    </row>
    <row r="48" spans="1:4">
      <c r="A48" s="95">
        <v>46</v>
      </c>
      <c r="B48" s="95">
        <f t="shared" si="0"/>
        <v>27.748492269829399</v>
      </c>
      <c r="C48" s="95">
        <f t="shared" si="1"/>
        <v>91.894574922942795</v>
      </c>
      <c r="D48" s="95">
        <f t="shared" si="2"/>
        <v>88.741559468753493</v>
      </c>
    </row>
    <row r="49" spans="1:7">
      <c r="A49" s="95">
        <v>47</v>
      </c>
      <c r="B49" s="95">
        <f t="shared" si="0"/>
        <v>28.1703107719079</v>
      </c>
      <c r="C49" s="95">
        <f t="shared" si="1"/>
        <v>93.737831220714298</v>
      </c>
      <c r="D49" s="95">
        <f t="shared" si="2"/>
        <v>87.411941755141996</v>
      </c>
      <c r="F49" s="3368" t="s">
        <v>12710</v>
      </c>
      <c r="G49" s="3368"/>
    </row>
    <row r="50" spans="1:7">
      <c r="A50" s="95">
        <v>48</v>
      </c>
      <c r="B50" s="95">
        <f t="shared" si="0"/>
        <v>28.540960371843902</v>
      </c>
      <c r="C50" s="95">
        <f t="shared" si="1"/>
        <v>95.524549562230604</v>
      </c>
      <c r="D50" s="95">
        <f t="shared" si="2"/>
        <v>86.010690755561896</v>
      </c>
    </row>
    <row r="51" spans="1:7">
      <c r="A51" s="95">
        <v>49</v>
      </c>
      <c r="B51" s="95">
        <f t="shared" si="0"/>
        <v>28.861858259689001</v>
      </c>
      <c r="C51" s="95">
        <f t="shared" si="1"/>
        <v>97.253278953896299</v>
      </c>
      <c r="D51" s="95">
        <f t="shared" si="2"/>
        <v>84.540985603764</v>
      </c>
    </row>
    <row r="52" spans="1:7">
      <c r="A52" s="95">
        <v>50</v>
      </c>
      <c r="B52" s="95">
        <f t="shared" si="0"/>
        <v>29.134966715663399</v>
      </c>
      <c r="C52" s="95">
        <f t="shared" si="1"/>
        <v>98.923123664888195</v>
      </c>
      <c r="D52" s="95">
        <f t="shared" si="2"/>
        <v>83.006356582112105</v>
      </c>
    </row>
    <row r="53" spans="1:7">
      <c r="A53" s="95">
        <v>51</v>
      </c>
      <c r="B53" s="95">
        <f t="shared" si="0"/>
        <v>29.362771611003598</v>
      </c>
      <c r="C53" s="95">
        <f t="shared" si="1"/>
        <v>100.533755520372</v>
      </c>
      <c r="D53" s="95">
        <f t="shared" si="2"/>
        <v>81.410630017527595</v>
      </c>
    </row>
    <row r="54" spans="1:7">
      <c r="A54" s="95">
        <v>52</v>
      </c>
      <c r="B54" s="95">
        <f t="shared" si="0"/>
        <v>29.548255172236701</v>
      </c>
      <c r="C54" s="95">
        <f t="shared" si="1"/>
        <v>102.08541818671</v>
      </c>
      <c r="D54" s="95">
        <f t="shared" si="2"/>
        <v>79.757869905204103</v>
      </c>
    </row>
    <row r="55" spans="1:7">
      <c r="A55" s="95">
        <v>53</v>
      </c>
      <c r="B55" s="95">
        <f t="shared" si="0"/>
        <v>29.694863307282699</v>
      </c>
      <c r="C55" s="95">
        <f t="shared" si="1"/>
        <v>103.578923307926</v>
      </c>
      <c r="D55" s="95">
        <f t="shared" si="2"/>
        <v>78.052317163974095</v>
      </c>
    </row>
    <row r="56" spans="1:7">
      <c r="A56" s="95">
        <v>54</v>
      </c>
      <c r="B56" s="95">
        <f t="shared" si="0"/>
        <v>29.806467851365898</v>
      </c>
      <c r="C56" s="95">
        <f t="shared" si="1"/>
        <v>105.01563847154</v>
      </c>
      <c r="D56" s="95">
        <f t="shared" si="2"/>
        <v>76.2983274552099</v>
      </c>
    </row>
    <row r="57" spans="1:7">
      <c r="A57" s="95">
        <v>55</v>
      </c>
      <c r="B57" s="95">
        <f t="shared" si="0"/>
        <v>29.887324146378401</v>
      </c>
      <c r="C57" s="95">
        <f t="shared" si="1"/>
        <v>106.397467101733</v>
      </c>
      <c r="D57" s="95">
        <f t="shared" si="2"/>
        <v>74.500308511052907</v>
      </c>
    </row>
    <row r="58" spans="1:7">
      <c r="A58" s="95">
        <v>56</v>
      </c>
      <c r="B58" s="95">
        <f t="shared" si="0"/>
        <v>29.9420244184635</v>
      </c>
      <c r="C58" s="95">
        <f t="shared" si="1"/>
        <v>107.726820496771</v>
      </c>
      <c r="D58" s="95">
        <f t="shared" si="2"/>
        <v>72.662657917427296</v>
      </c>
    </row>
    <row r="59" spans="1:7">
      <c r="A59" s="95">
        <v>57</v>
      </c>
      <c r="B59" s="95">
        <f t="shared" si="0"/>
        <v>29.975447464625201</v>
      </c>
      <c r="C59" s="95">
        <f t="shared" si="1"/>
        <v>109.006582344118</v>
      </c>
      <c r="D59" s="95">
        <f t="shared" si="2"/>
        <v>70.7897022827798</v>
      </c>
    </row>
    <row r="60" spans="1:7">
      <c r="A60" s="95">
        <v>58</v>
      </c>
      <c r="B60" s="95">
        <f t="shared" si="0"/>
        <v>29.992705199607201</v>
      </c>
      <c r="C60" s="95">
        <f t="shared" si="1"/>
        <v>110.24006615875</v>
      </c>
      <c r="D60" s="95">
        <f t="shared" si="2"/>
        <v>68.885638695059797</v>
      </c>
    </row>
    <row r="61" spans="1:7">
      <c r="A61" s="95">
        <v>59</v>
      </c>
      <c r="B61" s="95">
        <f t="shared" si="0"/>
        <v>29.999086648685399</v>
      </c>
      <c r="C61" s="95">
        <f t="shared" si="1"/>
        <v>111.430966196394</v>
      </c>
      <c r="D61" s="95">
        <f t="shared" si="2"/>
        <v>66.954479327604304</v>
      </c>
    </row>
    <row r="62" spans="1:7">
      <c r="A62" s="95">
        <v>60</v>
      </c>
      <c r="B62" s="95">
        <f t="shared" si="0"/>
        <v>30</v>
      </c>
      <c r="C62" s="95">
        <f t="shared" si="1"/>
        <v>112.58330249197699</v>
      </c>
      <c r="D62" s="95">
        <f t="shared" si="2"/>
        <v>65</v>
      </c>
    </row>
    <row r="63" spans="1:7">
      <c r="A63" s="95">
        <v>61</v>
      </c>
      <c r="B63" s="95">
        <v>30</v>
      </c>
      <c r="C63" s="95">
        <f t="shared" si="1"/>
        <v>113.700561928121</v>
      </c>
      <c r="D63" s="95">
        <f t="shared" si="2"/>
        <v>63.025250632023798</v>
      </c>
    </row>
    <row r="64" spans="1:7">
      <c r="A64" s="95">
        <v>62</v>
      </c>
      <c r="B64" s="95">
        <v>30</v>
      </c>
      <c r="C64" s="95">
        <f t="shared" si="1"/>
        <v>114.78318707166</v>
      </c>
      <c r="D64" s="95">
        <f t="shared" si="2"/>
        <v>61.031303162165798</v>
      </c>
    </row>
    <row r="65" spans="1:7">
      <c r="A65" s="95">
        <v>63</v>
      </c>
      <c r="B65" s="95">
        <v>30</v>
      </c>
      <c r="C65" s="95">
        <f t="shared" si="1"/>
        <v>115.830848144488</v>
      </c>
      <c r="D65" s="95">
        <f t="shared" si="2"/>
        <v>59.018764966141099</v>
      </c>
    </row>
    <row r="66" spans="1:7">
      <c r="A66" s="95">
        <v>64</v>
      </c>
      <c r="B66" s="95">
        <v>30</v>
      </c>
      <c r="C66" s="95">
        <f t="shared" si="1"/>
        <v>116.843226018892</v>
      </c>
      <c r="D66" s="95">
        <f t="shared" si="2"/>
        <v>56.988249082580097</v>
      </c>
    </row>
    <row r="67" spans="1:7">
      <c r="A67" s="95">
        <v>65</v>
      </c>
      <c r="B67" s="95">
        <v>30</v>
      </c>
      <c r="C67" s="95">
        <f t="shared" ref="C67:C130" si="3">(100+B67)*SIN(A67*PI()/180)</f>
        <v>117.820012314764</v>
      </c>
      <c r="D67" s="95">
        <f t="shared" ref="D67:D130" si="4">(100+B67)*COS(A67*PI()/180)</f>
        <v>54.940374026290897</v>
      </c>
    </row>
    <row r="68" spans="1:7">
      <c r="A68" s="95">
        <v>66</v>
      </c>
      <c r="B68" s="95">
        <v>30</v>
      </c>
      <c r="C68" s="95">
        <f t="shared" si="3"/>
        <v>118.76090949353799</v>
      </c>
      <c r="D68" s="95">
        <f t="shared" si="4"/>
        <v>52.875763599853997</v>
      </c>
    </row>
    <row r="69" spans="1:7">
      <c r="A69" s="95">
        <v>67</v>
      </c>
      <c r="B69" s="95">
        <v>30</v>
      </c>
      <c r="C69" s="95">
        <f t="shared" si="3"/>
        <v>119.665630948817</v>
      </c>
      <c r="D69" s="95">
        <f t="shared" si="4"/>
        <v>50.7950467036056</v>
      </c>
    </row>
    <row r="70" spans="1:7">
      <c r="A70" s="95">
        <v>68</v>
      </c>
      <c r="B70" s="95">
        <v>30</v>
      </c>
      <c r="C70" s="95">
        <f t="shared" si="3"/>
        <v>120.533901093682</v>
      </c>
      <c r="D70" s="95">
        <f t="shared" si="4"/>
        <v>48.698857144068597</v>
      </c>
    </row>
    <row r="71" spans="1:7">
      <c r="A71" s="95">
        <v>69</v>
      </c>
      <c r="B71" s="95">
        <v>30</v>
      </c>
      <c r="C71" s="95">
        <f t="shared" si="3"/>
        <v>121.365455444636</v>
      </c>
      <c r="D71" s="95">
        <f t="shared" si="4"/>
        <v>46.587833440889</v>
      </c>
    </row>
    <row r="72" spans="1:7">
      <c r="A72" s="95">
        <v>70</v>
      </c>
      <c r="B72" s="95">
        <v>30</v>
      </c>
      <c r="C72" s="95">
        <f t="shared" si="3"/>
        <v>122.160040702168</v>
      </c>
      <c r="D72" s="95">
        <f t="shared" si="4"/>
        <v>44.462618632336898</v>
      </c>
    </row>
    <row r="73" spans="1:7">
      <c r="A73" s="95">
        <v>71</v>
      </c>
      <c r="B73" s="95">
        <v>30</v>
      </c>
      <c r="C73" s="95">
        <f t="shared" si="3"/>
        <v>122.917414827911</v>
      </c>
      <c r="D73" s="95">
        <f t="shared" si="4"/>
        <v>42.323860079430403</v>
      </c>
    </row>
    <row r="74" spans="1:7">
      <c r="A74" s="95">
        <v>72</v>
      </c>
      <c r="B74" s="95">
        <v>30</v>
      </c>
      <c r="C74" s="95">
        <f t="shared" si="3"/>
        <v>123.63734711837</v>
      </c>
      <c r="D74" s="95">
        <f t="shared" si="4"/>
        <v>40.172209268743202</v>
      </c>
    </row>
    <row r="75" spans="1:7">
      <c r="A75" s="95">
        <v>73</v>
      </c>
      <c r="B75" s="95">
        <v>30</v>
      </c>
      <c r="C75" s="95">
        <f t="shared" si="3"/>
        <v>124.319618275195</v>
      </c>
      <c r="D75" s="95">
        <f t="shared" si="4"/>
        <v>38.0083216139558</v>
      </c>
    </row>
    <row r="76" spans="1:7">
      <c r="A76" s="95">
        <v>74</v>
      </c>
      <c r="B76" s="95">
        <v>30</v>
      </c>
      <c r="C76" s="95">
        <f t="shared" si="3"/>
        <v>124.964020471981</v>
      </c>
      <c r="D76" s="95">
        <f t="shared" si="4"/>
        <v>35.832856256209901</v>
      </c>
      <c r="F76" s="3368" t="s">
        <v>12710</v>
      </c>
      <c r="G76" s="3368"/>
    </row>
    <row r="77" spans="1:7">
      <c r="A77" s="95">
        <v>75</v>
      </c>
      <c r="B77" s="95">
        <v>30</v>
      </c>
      <c r="C77" s="95">
        <f t="shared" si="3"/>
        <v>125.570357417579</v>
      </c>
      <c r="D77" s="95">
        <f t="shared" si="4"/>
        <v>33.646475863327701</v>
      </c>
    </row>
    <row r="78" spans="1:7">
      <c r="A78" s="95">
        <v>76</v>
      </c>
      <c r="B78" s="95">
        <v>30</v>
      </c>
      <c r="C78" s="95">
        <f t="shared" si="3"/>
        <v>126.13844441588</v>
      </c>
      <c r="D78" s="95">
        <f t="shared" si="4"/>
        <v>31.4498464279568</v>
      </c>
    </row>
    <row r="79" spans="1:7">
      <c r="A79" s="95">
        <v>77</v>
      </c>
      <c r="B79" s="95">
        <v>30</v>
      </c>
      <c r="C79" s="95">
        <f t="shared" si="3"/>
        <v>126.668108422081</v>
      </c>
      <c r="D79" s="95">
        <f t="shared" si="4"/>
        <v>29.243637064702401</v>
      </c>
    </row>
    <row r="80" spans="1:7">
      <c r="A80" s="95">
        <v>78</v>
      </c>
      <c r="B80" s="95">
        <v>30</v>
      </c>
      <c r="C80" s="95">
        <f t="shared" si="3"/>
        <v>127.159188095395</v>
      </c>
      <c r="D80" s="95">
        <f t="shared" si="4"/>
        <v>27.028519806308701</v>
      </c>
    </row>
    <row r="81" spans="1:4">
      <c r="A81" s="95">
        <v>79</v>
      </c>
      <c r="B81" s="95">
        <v>30</v>
      </c>
      <c r="C81" s="95">
        <f t="shared" si="3"/>
        <v>127.611533848196</v>
      </c>
      <c r="D81" s="95">
        <f t="shared" si="4"/>
        <v>24.805169398950799</v>
      </c>
    </row>
    <row r="82" spans="1:4">
      <c r="A82" s="95">
        <v>80</v>
      </c>
      <c r="B82" s="95">
        <v>30</v>
      </c>
      <c r="C82" s="95">
        <f t="shared" si="3"/>
        <v>128.02500789158699</v>
      </c>
      <c r="D82" s="95">
        <f t="shared" si="4"/>
        <v>22.574263096700999</v>
      </c>
    </row>
    <row r="83" spans="1:4">
      <c r="A83" s="95">
        <v>81</v>
      </c>
      <c r="B83" s="95">
        <v>30</v>
      </c>
      <c r="C83" s="95">
        <f t="shared" si="3"/>
        <v>128.399484277368</v>
      </c>
      <c r="D83" s="95">
        <f t="shared" si="4"/>
        <v>20.336480455229999</v>
      </c>
    </row>
    <row r="84" spans="1:4">
      <c r="A84" s="95">
        <v>82</v>
      </c>
      <c r="B84" s="95">
        <v>30</v>
      </c>
      <c r="C84" s="95">
        <f t="shared" si="3"/>
        <v>128.73484893640401</v>
      </c>
      <c r="D84" s="95">
        <f t="shared" si="4"/>
        <v>18.092503124808498</v>
      </c>
    </row>
    <row r="85" spans="1:4">
      <c r="A85" s="95">
        <v>83</v>
      </c>
      <c r="B85" s="95">
        <v>30</v>
      </c>
      <c r="C85" s="95">
        <f t="shared" si="3"/>
        <v>129.03099971337201</v>
      </c>
      <c r="D85" s="95">
        <f t="shared" si="4"/>
        <v>15.8430146426692</v>
      </c>
    </row>
    <row r="86" spans="1:4">
      <c r="A86" s="95">
        <v>84</v>
      </c>
      <c r="B86" s="95">
        <v>30</v>
      </c>
      <c r="C86" s="95">
        <f t="shared" si="3"/>
        <v>129.287846397876</v>
      </c>
      <c r="D86" s="95">
        <f t="shared" si="4"/>
        <v>13.5887002247949</v>
      </c>
    </row>
    <row r="87" spans="1:4">
      <c r="A87" s="95">
        <v>85</v>
      </c>
      <c r="B87" s="95">
        <v>30</v>
      </c>
      <c r="C87" s="95">
        <f t="shared" si="3"/>
        <v>129.505310751927</v>
      </c>
      <c r="D87" s="95">
        <f t="shared" si="4"/>
        <v>11.330246557195601</v>
      </c>
    </row>
    <row r="88" spans="1:4">
      <c r="A88" s="95">
        <v>86</v>
      </c>
      <c r="B88" s="95">
        <v>30</v>
      </c>
      <c r="C88" s="95">
        <f t="shared" si="3"/>
        <v>129.68332653377701</v>
      </c>
      <c r="D88" s="95">
        <f t="shared" si="4"/>
        <v>9.0683415867363095</v>
      </c>
    </row>
    <row r="89" spans="1:4">
      <c r="A89" s="95">
        <v>87</v>
      </c>
      <c r="B89" s="95">
        <v>30</v>
      </c>
      <c r="C89" s="95">
        <f t="shared" si="3"/>
        <v>129.821839518095</v>
      </c>
      <c r="D89" s="95">
        <f t="shared" si="4"/>
        <v>6.8036743115827196</v>
      </c>
    </row>
    <row r="90" spans="1:4">
      <c r="A90" s="95">
        <v>88</v>
      </c>
      <c r="B90" s="95">
        <v>30</v>
      </c>
      <c r="C90" s="95">
        <f t="shared" si="3"/>
        <v>129.92080751248201</v>
      </c>
      <c r="D90" s="95">
        <f t="shared" si="4"/>
        <v>4.5369345713251397</v>
      </c>
    </row>
    <row r="91" spans="1:4">
      <c r="A91" s="95">
        <v>89</v>
      </c>
      <c r="B91" s="95">
        <v>30</v>
      </c>
      <c r="C91" s="95">
        <f t="shared" si="3"/>
        <v>129.980200370331</v>
      </c>
      <c r="D91" s="95">
        <f t="shared" si="4"/>
        <v>2.2688128368468399</v>
      </c>
    </row>
    <row r="92" spans="1:4">
      <c r="A92" s="95">
        <v>90</v>
      </c>
      <c r="B92" s="95">
        <v>30</v>
      </c>
      <c r="C92" s="95">
        <f t="shared" si="3"/>
        <v>130</v>
      </c>
      <c r="D92" s="95">
        <f t="shared" si="4"/>
        <v>7.9602041944578004E-15</v>
      </c>
    </row>
    <row r="93" spans="1:4">
      <c r="A93" s="95">
        <v>91</v>
      </c>
      <c r="B93" s="95">
        <v>30</v>
      </c>
      <c r="C93" s="95">
        <f t="shared" si="3"/>
        <v>129.980200370331</v>
      </c>
      <c r="D93" s="95">
        <f t="shared" si="4"/>
        <v>-2.2688128368468501</v>
      </c>
    </row>
    <row r="94" spans="1:4">
      <c r="A94" s="95">
        <v>92</v>
      </c>
      <c r="B94" s="95">
        <v>30</v>
      </c>
      <c r="C94" s="95">
        <f t="shared" si="3"/>
        <v>129.92080751248201</v>
      </c>
      <c r="D94" s="95">
        <f t="shared" si="4"/>
        <v>-4.5369345713250997</v>
      </c>
    </row>
    <row r="95" spans="1:4">
      <c r="A95" s="95">
        <v>93</v>
      </c>
      <c r="B95" s="95">
        <v>30</v>
      </c>
      <c r="C95" s="95">
        <f t="shared" si="3"/>
        <v>129.821839518095</v>
      </c>
      <c r="D95" s="95">
        <f t="shared" si="4"/>
        <v>-6.8036743115826699</v>
      </c>
    </row>
    <row r="96" spans="1:4">
      <c r="A96" s="95">
        <v>94</v>
      </c>
      <c r="B96" s="95">
        <v>30</v>
      </c>
      <c r="C96" s="95">
        <f t="shared" si="3"/>
        <v>129.68332653377701</v>
      </c>
      <c r="D96" s="95">
        <f t="shared" si="4"/>
        <v>-9.06834158673629</v>
      </c>
    </row>
    <row r="97" spans="1:7">
      <c r="A97" s="95">
        <v>95</v>
      </c>
      <c r="B97" s="95">
        <v>30</v>
      </c>
      <c r="C97" s="95">
        <f t="shared" si="3"/>
        <v>129.505310751927</v>
      </c>
      <c r="D97" s="95">
        <f t="shared" si="4"/>
        <v>-11.330246557195601</v>
      </c>
    </row>
    <row r="98" spans="1:7">
      <c r="A98" s="95">
        <v>96</v>
      </c>
      <c r="B98" s="95">
        <v>30</v>
      </c>
      <c r="C98" s="95">
        <f t="shared" si="3"/>
        <v>129.287846397876</v>
      </c>
      <c r="D98" s="95">
        <f t="shared" si="4"/>
        <v>-13.5887002247949</v>
      </c>
    </row>
    <row r="99" spans="1:7">
      <c r="A99" s="95">
        <v>97</v>
      </c>
      <c r="B99" s="95">
        <v>30</v>
      </c>
      <c r="C99" s="95">
        <f t="shared" si="3"/>
        <v>129.03099971337201</v>
      </c>
      <c r="D99" s="95">
        <f t="shared" si="4"/>
        <v>-15.8430146426692</v>
      </c>
    </row>
    <row r="100" spans="1:7">
      <c r="A100" s="95">
        <v>98</v>
      </c>
      <c r="B100" s="95">
        <v>30</v>
      </c>
      <c r="C100" s="95">
        <f t="shared" si="3"/>
        <v>128.73484893640401</v>
      </c>
      <c r="D100" s="95">
        <f t="shared" si="4"/>
        <v>-18.092503124808498</v>
      </c>
    </row>
    <row r="101" spans="1:7">
      <c r="A101" s="95">
        <v>99</v>
      </c>
      <c r="B101" s="95">
        <v>30</v>
      </c>
      <c r="C101" s="95">
        <f t="shared" si="3"/>
        <v>128.399484277368</v>
      </c>
      <c r="D101" s="95">
        <f t="shared" si="4"/>
        <v>-20.336480455229999</v>
      </c>
    </row>
    <row r="102" spans="1:7">
      <c r="A102" s="95">
        <v>100</v>
      </c>
      <c r="B102" s="95">
        <v>30</v>
      </c>
      <c r="C102" s="95">
        <f t="shared" si="3"/>
        <v>128.02500789158699</v>
      </c>
      <c r="D102" s="95">
        <f t="shared" si="4"/>
        <v>-22.5742630967009</v>
      </c>
    </row>
    <row r="103" spans="1:7">
      <c r="A103" s="95">
        <v>101</v>
      </c>
      <c r="B103" s="95">
        <v>30</v>
      </c>
      <c r="C103" s="95">
        <f t="shared" si="3"/>
        <v>127.611533848196</v>
      </c>
      <c r="D103" s="95">
        <f t="shared" si="4"/>
        <v>-24.805169398950799</v>
      </c>
    </row>
    <row r="104" spans="1:7">
      <c r="A104" s="95">
        <v>102</v>
      </c>
      <c r="B104" s="95">
        <v>30</v>
      </c>
      <c r="C104" s="95">
        <f t="shared" si="3"/>
        <v>127.159188095395</v>
      </c>
      <c r="D104" s="95">
        <f t="shared" si="4"/>
        <v>-27.028519806308701</v>
      </c>
    </row>
    <row r="105" spans="1:7">
      <c r="A105" s="95">
        <v>103</v>
      </c>
      <c r="B105" s="95">
        <v>30</v>
      </c>
      <c r="C105" s="95">
        <f t="shared" si="3"/>
        <v>126.668108422081</v>
      </c>
      <c r="D105" s="95">
        <f t="shared" si="4"/>
        <v>-29.243637064702401</v>
      </c>
      <c r="F105" s="3368" t="s">
        <v>12710</v>
      </c>
      <c r="G105" s="3368"/>
    </row>
    <row r="106" spans="1:7">
      <c r="A106" s="95">
        <v>104</v>
      </c>
      <c r="B106" s="95">
        <v>30</v>
      </c>
      <c r="C106" s="95">
        <f t="shared" si="3"/>
        <v>126.13844441588</v>
      </c>
      <c r="D106" s="95">
        <f t="shared" si="4"/>
        <v>-31.4498464279568</v>
      </c>
    </row>
    <row r="107" spans="1:7">
      <c r="A107" s="95">
        <v>105</v>
      </c>
      <c r="B107" s="95">
        <v>30</v>
      </c>
      <c r="C107" s="95">
        <f t="shared" si="3"/>
        <v>125.570357417579</v>
      </c>
      <c r="D107" s="95">
        <f t="shared" si="4"/>
        <v>-33.646475863327701</v>
      </c>
    </row>
    <row r="108" spans="1:7">
      <c r="A108" s="95">
        <v>106</v>
      </c>
      <c r="B108" s="95">
        <v>30</v>
      </c>
      <c r="C108" s="95">
        <f t="shared" si="3"/>
        <v>124.964020471981</v>
      </c>
      <c r="D108" s="95">
        <f t="shared" si="4"/>
        <v>-35.832856256209901</v>
      </c>
    </row>
    <row r="109" spans="1:7">
      <c r="A109" s="95">
        <v>107</v>
      </c>
      <c r="B109" s="95">
        <v>30</v>
      </c>
      <c r="C109" s="95">
        <f t="shared" si="3"/>
        <v>124.319618275195</v>
      </c>
      <c r="D109" s="95">
        <f t="shared" si="4"/>
        <v>-38.0083216139558</v>
      </c>
    </row>
    <row r="110" spans="1:7">
      <c r="A110" s="95">
        <v>108</v>
      </c>
      <c r="B110" s="95">
        <v>30</v>
      </c>
      <c r="C110" s="95">
        <f t="shared" si="3"/>
        <v>123.63734711837</v>
      </c>
      <c r="D110" s="95">
        <f t="shared" si="4"/>
        <v>-40.172209268743202</v>
      </c>
    </row>
    <row r="111" spans="1:7">
      <c r="A111" s="95">
        <v>109</v>
      </c>
      <c r="B111" s="95">
        <v>30</v>
      </c>
      <c r="C111" s="95">
        <f t="shared" si="3"/>
        <v>122.917414827911</v>
      </c>
      <c r="D111" s="95">
        <f t="shared" si="4"/>
        <v>-42.323860079430297</v>
      </c>
    </row>
    <row r="112" spans="1:7">
      <c r="A112" s="95">
        <v>110</v>
      </c>
      <c r="B112" s="95">
        <v>30</v>
      </c>
      <c r="C112" s="95">
        <f t="shared" si="3"/>
        <v>122.160040702168</v>
      </c>
      <c r="D112" s="95">
        <f t="shared" si="4"/>
        <v>-44.462618632336898</v>
      </c>
    </row>
    <row r="113" spans="1:4">
      <c r="A113" s="95">
        <v>111</v>
      </c>
      <c r="B113" s="95">
        <v>30</v>
      </c>
      <c r="C113" s="95">
        <f t="shared" si="3"/>
        <v>121.365455444636</v>
      </c>
      <c r="D113" s="95">
        <f t="shared" si="4"/>
        <v>-46.587833440889</v>
      </c>
    </row>
    <row r="114" spans="1:4">
      <c r="A114" s="95">
        <v>112</v>
      </c>
      <c r="B114" s="95">
        <v>30</v>
      </c>
      <c r="C114" s="95">
        <f t="shared" si="3"/>
        <v>120.533901093682</v>
      </c>
      <c r="D114" s="95">
        <f t="shared" si="4"/>
        <v>-48.698857144068597</v>
      </c>
    </row>
    <row r="115" spans="1:4">
      <c r="A115" s="95">
        <v>113</v>
      </c>
      <c r="B115" s="95">
        <v>30</v>
      </c>
      <c r="C115" s="95">
        <f t="shared" si="3"/>
        <v>119.665630948817</v>
      </c>
      <c r="D115" s="95">
        <f t="shared" si="4"/>
        <v>-50.7950467036056</v>
      </c>
    </row>
    <row r="116" spans="1:4">
      <c r="A116" s="95">
        <v>114</v>
      </c>
      <c r="B116" s="95">
        <v>30</v>
      </c>
      <c r="C116" s="95">
        <f t="shared" si="3"/>
        <v>118.76090949353799</v>
      </c>
      <c r="D116" s="95">
        <f t="shared" si="4"/>
        <v>-52.875763599853997</v>
      </c>
    </row>
    <row r="117" spans="1:4">
      <c r="A117" s="95">
        <v>115</v>
      </c>
      <c r="B117" s="95">
        <v>30</v>
      </c>
      <c r="C117" s="95">
        <f t="shared" si="3"/>
        <v>117.82001231476499</v>
      </c>
      <c r="D117" s="95">
        <f t="shared" si="4"/>
        <v>-54.940374026290897</v>
      </c>
    </row>
    <row r="118" spans="1:4">
      <c r="A118" s="95">
        <v>116</v>
      </c>
      <c r="B118" s="95">
        <v>30</v>
      </c>
      <c r="C118" s="95">
        <f t="shared" si="3"/>
        <v>116.843226018892</v>
      </c>
      <c r="D118" s="95">
        <f t="shared" si="4"/>
        <v>-56.988249082580097</v>
      </c>
    </row>
    <row r="119" spans="1:4">
      <c r="A119" s="95">
        <v>117</v>
      </c>
      <c r="B119" s="95">
        <v>30</v>
      </c>
      <c r="C119" s="95">
        <f t="shared" si="3"/>
        <v>115.830848144488</v>
      </c>
      <c r="D119" s="95">
        <f t="shared" si="4"/>
        <v>-59.018764966141099</v>
      </c>
    </row>
    <row r="120" spans="1:4">
      <c r="A120" s="95">
        <v>118</v>
      </c>
      <c r="B120" s="95">
        <v>30</v>
      </c>
      <c r="C120" s="95">
        <f t="shared" si="3"/>
        <v>114.783187071661</v>
      </c>
      <c r="D120" s="95">
        <f t="shared" si="4"/>
        <v>-61.031303162165798</v>
      </c>
    </row>
    <row r="121" spans="1:4">
      <c r="A121" s="95">
        <v>119</v>
      </c>
      <c r="B121" s="95">
        <v>30</v>
      </c>
      <c r="C121" s="95">
        <f t="shared" si="3"/>
        <v>113.700561928121</v>
      </c>
      <c r="D121" s="95">
        <f t="shared" si="4"/>
        <v>-63.025250632023798</v>
      </c>
    </row>
    <row r="122" spans="1:4">
      <c r="A122" s="95">
        <v>120</v>
      </c>
      <c r="B122" s="95">
        <v>30</v>
      </c>
      <c r="C122" s="95">
        <f t="shared" si="3"/>
        <v>112.58330249197699</v>
      </c>
      <c r="D122" s="95">
        <f t="shared" si="4"/>
        <v>-65</v>
      </c>
    </row>
    <row r="123" spans="1:4">
      <c r="A123" s="95">
        <v>121</v>
      </c>
      <c r="B123" s="95">
        <v>30</v>
      </c>
      <c r="C123" s="95">
        <f t="shared" si="3"/>
        <v>111.43174909127499</v>
      </c>
      <c r="D123" s="95">
        <f t="shared" si="4"/>
        <v>-66.954949738307107</v>
      </c>
    </row>
    <row r="124" spans="1:4">
      <c r="A124" s="95">
        <v>122</v>
      </c>
      <c r="B124" s="95">
        <v>30</v>
      </c>
      <c r="C124" s="95">
        <f t="shared" si="3"/>
        <v>110.246252500335</v>
      </c>
      <c r="D124" s="95">
        <f t="shared" si="4"/>
        <v>-68.889504350316599</v>
      </c>
    </row>
    <row r="125" spans="1:4">
      <c r="A125" s="95">
        <v>123</v>
      </c>
      <c r="B125" s="95">
        <v>30</v>
      </c>
      <c r="C125" s="95">
        <f t="shared" si="3"/>
        <v>109.02717383290501</v>
      </c>
      <c r="D125" s="95">
        <f t="shared" si="4"/>
        <v>-70.8030745519535</v>
      </c>
    </row>
    <row r="126" spans="1:4">
      <c r="A126" s="95">
        <v>124</v>
      </c>
      <c r="B126" s="95">
        <v>30</v>
      </c>
      <c r="C126" s="95">
        <f t="shared" si="3"/>
        <v>107.77488443215501</v>
      </c>
      <c r="D126" s="95">
        <f t="shared" si="4"/>
        <v>-72.695077451197093</v>
      </c>
    </row>
    <row r="127" spans="1:4">
      <c r="A127" s="95">
        <v>125</v>
      </c>
      <c r="B127" s="95">
        <v>30</v>
      </c>
      <c r="C127" s="95">
        <f t="shared" si="3"/>
        <v>106.489765757569</v>
      </c>
      <c r="D127" s="95">
        <f t="shared" si="4"/>
        <v>-74.564936725636002</v>
      </c>
    </row>
    <row r="128" spans="1:4">
      <c r="A128" s="95">
        <v>126</v>
      </c>
      <c r="B128" s="95">
        <v>30</v>
      </c>
      <c r="C128" s="95">
        <f t="shared" si="3"/>
        <v>105.172209268743</v>
      </c>
      <c r="D128" s="95">
        <f t="shared" si="4"/>
        <v>-76.412082798021501</v>
      </c>
    </row>
    <row r="129" spans="1:4">
      <c r="A129" s="95">
        <v>127</v>
      </c>
      <c r="B129" s="95">
        <v>30</v>
      </c>
      <c r="C129" s="95">
        <f t="shared" si="3"/>
        <v>103.82261630614801</v>
      </c>
      <c r="D129" s="95">
        <f t="shared" si="4"/>
        <v>-78.235953009766305</v>
      </c>
    </row>
    <row r="130" spans="1:4">
      <c r="A130" s="95">
        <v>128</v>
      </c>
      <c r="B130" s="95">
        <v>30</v>
      </c>
      <c r="C130" s="95">
        <f t="shared" si="3"/>
        <v>102.441397968874</v>
      </c>
      <c r="D130" s="95">
        <f t="shared" si="4"/>
        <v>-80.035991792335594</v>
      </c>
    </row>
    <row r="131" spans="1:4">
      <c r="A131" s="95">
        <v>129</v>
      </c>
      <c r="B131" s="95">
        <v>30</v>
      </c>
      <c r="C131" s="95">
        <f t="shared" ref="C131:C194" si="5">(100+B131)*SIN(A131*PI()/180)</f>
        <v>101.028974989406</v>
      </c>
      <c r="D131" s="95">
        <f t="shared" ref="D131:D194" si="6">(100+B131)*COS(A131*PI()/180)</f>
        <v>-81.811650836478805</v>
      </c>
    </row>
    <row r="132" spans="1:4">
      <c r="A132" s="95">
        <v>130</v>
      </c>
      <c r="B132" s="95">
        <v>30</v>
      </c>
      <c r="C132" s="95">
        <f t="shared" si="5"/>
        <v>99.585777605467101</v>
      </c>
      <c r="D132" s="95">
        <f t="shared" si="6"/>
        <v>-83.562389259250097</v>
      </c>
    </row>
    <row r="133" spans="1:4">
      <c r="A133" s="95">
        <v>131</v>
      </c>
      <c r="B133" s="95">
        <v>30</v>
      </c>
      <c r="C133" s="95">
        <f t="shared" si="5"/>
        <v>98.112245428960307</v>
      </c>
      <c r="D133" s="95">
        <f t="shared" si="6"/>
        <v>-85.287673768765998</v>
      </c>
    </row>
    <row r="134" spans="1:4">
      <c r="A134" s="95">
        <v>132</v>
      </c>
      <c r="B134" s="95">
        <v>30</v>
      </c>
      <c r="C134" s="95">
        <f t="shared" si="5"/>
        <v>96.608827312061294</v>
      </c>
      <c r="D134" s="95">
        <f t="shared" si="6"/>
        <v>-86.986978826651594</v>
      </c>
    </row>
    <row r="135" spans="1:4">
      <c r="A135" s="95">
        <v>133</v>
      </c>
      <c r="B135" s="95">
        <v>30</v>
      </c>
      <c r="C135" s="95">
        <f t="shared" si="5"/>
        <v>95.075981210492202</v>
      </c>
      <c r="D135" s="95">
        <f t="shared" si="6"/>
        <v>-88.659786808124807</v>
      </c>
    </row>
    <row r="136" spans="1:4">
      <c r="A136" s="95">
        <v>134</v>
      </c>
      <c r="B136" s="95">
        <v>30</v>
      </c>
      <c r="C136" s="95">
        <f t="shared" si="5"/>
        <v>93.514174044024699</v>
      </c>
      <c r="D136" s="95">
        <f t="shared" si="6"/>
        <v>-90.305588159669597</v>
      </c>
    </row>
    <row r="137" spans="1:4">
      <c r="A137" s="95">
        <v>135</v>
      </c>
      <c r="B137" s="95">
        <v>30</v>
      </c>
      <c r="C137" s="95">
        <f t="shared" si="5"/>
        <v>91.923881554251196</v>
      </c>
      <c r="D137" s="95">
        <f t="shared" si="6"/>
        <v>-91.923881554251196</v>
      </c>
    </row>
    <row r="138" spans="1:4">
      <c r="A138" s="95">
        <v>136</v>
      </c>
      <c r="B138" s="95">
        <v>30</v>
      </c>
      <c r="C138" s="95">
        <f t="shared" si="5"/>
        <v>90.305588159669597</v>
      </c>
      <c r="D138" s="95">
        <f t="shared" si="6"/>
        <v>-93.514174044024699</v>
      </c>
    </row>
    <row r="139" spans="1:4">
      <c r="A139" s="95">
        <v>137</v>
      </c>
      <c r="B139" s="95">
        <v>30</v>
      </c>
      <c r="C139" s="95">
        <f t="shared" si="5"/>
        <v>88.659786808124807</v>
      </c>
      <c r="D139" s="95">
        <f t="shared" si="6"/>
        <v>-95.075981210492202</v>
      </c>
    </row>
    <row r="140" spans="1:4">
      <c r="A140" s="95">
        <v>138</v>
      </c>
      <c r="B140" s="95">
        <v>30</v>
      </c>
      <c r="C140" s="95">
        <f t="shared" si="5"/>
        <v>86.986978826651594</v>
      </c>
      <c r="D140" s="95">
        <f t="shared" si="6"/>
        <v>-96.608827312061194</v>
      </c>
    </row>
    <row r="141" spans="1:4">
      <c r="A141" s="95">
        <v>139</v>
      </c>
      <c r="B141" s="95">
        <v>30</v>
      </c>
      <c r="C141" s="95">
        <f t="shared" si="5"/>
        <v>85.287673768765899</v>
      </c>
      <c r="D141" s="95">
        <f t="shared" si="6"/>
        <v>-98.112245428960406</v>
      </c>
    </row>
    <row r="142" spans="1:4">
      <c r="A142" s="95">
        <v>140</v>
      </c>
      <c r="B142" s="95">
        <v>30</v>
      </c>
      <c r="C142" s="95">
        <f t="shared" si="5"/>
        <v>83.562389259250097</v>
      </c>
      <c r="D142" s="95">
        <f t="shared" si="6"/>
        <v>-99.585777605467101</v>
      </c>
    </row>
    <row r="143" spans="1:4">
      <c r="A143" s="95">
        <v>141</v>
      </c>
      <c r="B143" s="95">
        <v>30</v>
      </c>
      <c r="C143" s="95">
        <f t="shared" si="5"/>
        <v>81.811650836478904</v>
      </c>
      <c r="D143" s="95">
        <f t="shared" si="6"/>
        <v>-101.028974989406</v>
      </c>
    </row>
    <row r="144" spans="1:4">
      <c r="A144" s="95">
        <v>142</v>
      </c>
      <c r="B144" s="95">
        <v>30</v>
      </c>
      <c r="C144" s="95">
        <f t="shared" si="5"/>
        <v>80.035991792335594</v>
      </c>
      <c r="D144" s="95">
        <f t="shared" si="6"/>
        <v>-102.441397968874</v>
      </c>
    </row>
    <row r="145" spans="1:7">
      <c r="A145" s="95">
        <v>143</v>
      </c>
      <c r="B145" s="95">
        <v>30</v>
      </c>
      <c r="C145" s="95">
        <f t="shared" si="5"/>
        <v>78.235953009766305</v>
      </c>
      <c r="D145" s="95">
        <f t="shared" si="6"/>
        <v>-103.82261630614801</v>
      </c>
    </row>
    <row r="146" spans="1:7">
      <c r="A146" s="95">
        <v>144</v>
      </c>
      <c r="B146" s="95">
        <v>30</v>
      </c>
      <c r="C146" s="95">
        <f t="shared" si="5"/>
        <v>76.412082798021501</v>
      </c>
      <c r="D146" s="95">
        <f t="shared" si="6"/>
        <v>-105.172209268743</v>
      </c>
    </row>
    <row r="147" spans="1:7">
      <c r="A147" s="95">
        <v>145</v>
      </c>
      <c r="B147" s="95">
        <v>30</v>
      </c>
      <c r="C147" s="95">
        <f t="shared" si="5"/>
        <v>74.564936725636002</v>
      </c>
      <c r="D147" s="95">
        <f t="shared" si="6"/>
        <v>-106.489765757569</v>
      </c>
    </row>
    <row r="148" spans="1:7">
      <c r="A148" s="95">
        <v>146</v>
      </c>
      <c r="B148" s="95">
        <v>30</v>
      </c>
      <c r="C148" s="95">
        <f t="shared" si="5"/>
        <v>72.695077451197093</v>
      </c>
      <c r="D148" s="95">
        <f t="shared" si="6"/>
        <v>-107.77488443215501</v>
      </c>
    </row>
    <row r="149" spans="1:7">
      <c r="A149" s="95">
        <v>147</v>
      </c>
      <c r="B149" s="95">
        <v>30</v>
      </c>
      <c r="C149" s="95">
        <f t="shared" si="5"/>
        <v>70.8030745519535</v>
      </c>
      <c r="D149" s="95">
        <f t="shared" si="6"/>
        <v>-109.02717383290501</v>
      </c>
    </row>
    <row r="150" spans="1:7">
      <c r="A150" s="95">
        <v>148</v>
      </c>
      <c r="B150" s="95">
        <v>30</v>
      </c>
      <c r="C150" s="95">
        <f t="shared" si="5"/>
        <v>68.889504350316599</v>
      </c>
      <c r="D150" s="95">
        <f t="shared" si="6"/>
        <v>-110.246252500335</v>
      </c>
    </row>
    <row r="151" spans="1:7">
      <c r="A151" s="95">
        <v>149</v>
      </c>
      <c r="B151" s="95">
        <v>30</v>
      </c>
      <c r="C151" s="95">
        <f t="shared" si="5"/>
        <v>66.954949738307107</v>
      </c>
      <c r="D151" s="95">
        <f t="shared" si="6"/>
        <v>-111.43174909127499</v>
      </c>
    </row>
    <row r="152" spans="1:7">
      <c r="A152" s="95">
        <v>150</v>
      </c>
      <c r="B152" s="95">
        <v>30</v>
      </c>
      <c r="C152" s="95">
        <f t="shared" si="5"/>
        <v>65</v>
      </c>
      <c r="D152" s="95">
        <f t="shared" si="6"/>
        <v>-112.58330249197699</v>
      </c>
    </row>
    <row r="153" spans="1:7">
      <c r="A153" s="95">
        <v>151</v>
      </c>
      <c r="B153" s="95">
        <v>30</v>
      </c>
      <c r="C153" s="95">
        <f t="shared" si="5"/>
        <v>63.025250632023798</v>
      </c>
      <c r="D153" s="95">
        <f t="shared" si="6"/>
        <v>-113.700561928121</v>
      </c>
    </row>
    <row r="154" spans="1:7">
      <c r="A154" s="95">
        <v>152</v>
      </c>
      <c r="B154" s="95">
        <v>30</v>
      </c>
      <c r="C154" s="95">
        <f t="shared" si="5"/>
        <v>61.031303162165798</v>
      </c>
      <c r="D154" s="95">
        <f t="shared" si="6"/>
        <v>-114.78318707166</v>
      </c>
    </row>
    <row r="155" spans="1:7">
      <c r="A155" s="95">
        <v>153</v>
      </c>
      <c r="B155" s="95">
        <v>30</v>
      </c>
      <c r="C155" s="95">
        <f t="shared" si="5"/>
        <v>59.018764966141099</v>
      </c>
      <c r="D155" s="95">
        <f t="shared" si="6"/>
        <v>-115.830848144488</v>
      </c>
    </row>
    <row r="156" spans="1:7">
      <c r="A156" s="95">
        <v>154</v>
      </c>
      <c r="B156" s="95">
        <v>30</v>
      </c>
      <c r="C156" s="95">
        <f t="shared" si="5"/>
        <v>56.988249082579998</v>
      </c>
      <c r="D156" s="95">
        <f t="shared" si="6"/>
        <v>-116.843226018892</v>
      </c>
      <c r="F156" s="3368" t="s">
        <v>12710</v>
      </c>
      <c r="G156" s="3368"/>
    </row>
    <row r="157" spans="1:7">
      <c r="A157" s="95">
        <v>155</v>
      </c>
      <c r="B157" s="95">
        <v>30</v>
      </c>
      <c r="C157" s="95">
        <f t="shared" si="5"/>
        <v>54.940374026290897</v>
      </c>
      <c r="D157" s="95">
        <f t="shared" si="6"/>
        <v>-117.820012314764</v>
      </c>
    </row>
    <row r="158" spans="1:7">
      <c r="A158" s="95">
        <v>156</v>
      </c>
      <c r="B158" s="95">
        <v>30</v>
      </c>
      <c r="C158" s="95">
        <f t="shared" si="5"/>
        <v>52.875763599854103</v>
      </c>
      <c r="D158" s="95">
        <f t="shared" si="6"/>
        <v>-118.76090949353799</v>
      </c>
    </row>
    <row r="159" spans="1:7">
      <c r="A159" s="95">
        <v>157</v>
      </c>
      <c r="B159" s="95">
        <v>30</v>
      </c>
      <c r="C159" s="95">
        <f t="shared" si="5"/>
        <v>50.7950467036056</v>
      </c>
      <c r="D159" s="95">
        <f t="shared" si="6"/>
        <v>-119.665630948817</v>
      </c>
    </row>
    <row r="160" spans="1:7">
      <c r="A160" s="95">
        <v>158</v>
      </c>
      <c r="B160" s="95">
        <v>30</v>
      </c>
      <c r="C160" s="95">
        <f t="shared" si="5"/>
        <v>48.698857144068597</v>
      </c>
      <c r="D160" s="95">
        <f t="shared" si="6"/>
        <v>-120.533901093682</v>
      </c>
    </row>
    <row r="161" spans="1:4">
      <c r="A161" s="95">
        <v>159</v>
      </c>
      <c r="B161" s="95">
        <v>30</v>
      </c>
      <c r="C161" s="95">
        <f t="shared" si="5"/>
        <v>46.587833440889</v>
      </c>
      <c r="D161" s="95">
        <f t="shared" si="6"/>
        <v>-121.365455444636</v>
      </c>
    </row>
    <row r="162" spans="1:4">
      <c r="A162" s="95">
        <v>160</v>
      </c>
      <c r="B162" s="95">
        <v>30</v>
      </c>
      <c r="C162" s="95">
        <f t="shared" si="5"/>
        <v>44.462618632336998</v>
      </c>
      <c r="D162" s="95">
        <f t="shared" si="6"/>
        <v>-122.160040702168</v>
      </c>
    </row>
    <row r="163" spans="1:4">
      <c r="A163" s="95">
        <v>161</v>
      </c>
      <c r="B163" s="95">
        <v>30</v>
      </c>
      <c r="C163" s="95">
        <f t="shared" si="5"/>
        <v>42.323860079430403</v>
      </c>
      <c r="D163" s="95">
        <f t="shared" si="6"/>
        <v>-122.917414827911</v>
      </c>
    </row>
    <row r="164" spans="1:4">
      <c r="A164" s="95">
        <v>162</v>
      </c>
      <c r="B164" s="95">
        <v>30</v>
      </c>
      <c r="C164" s="95">
        <f t="shared" si="5"/>
        <v>40.172209268743202</v>
      </c>
      <c r="D164" s="95">
        <f t="shared" si="6"/>
        <v>-123.63734711837</v>
      </c>
    </row>
    <row r="165" spans="1:4">
      <c r="A165" s="95">
        <v>163</v>
      </c>
      <c r="B165" s="95">
        <v>30</v>
      </c>
      <c r="C165" s="95">
        <f t="shared" si="5"/>
        <v>38.0083216139558</v>
      </c>
      <c r="D165" s="95">
        <f t="shared" si="6"/>
        <v>-124.319618275195</v>
      </c>
    </row>
    <row r="166" spans="1:4">
      <c r="A166" s="95">
        <v>164</v>
      </c>
      <c r="B166" s="95">
        <v>30</v>
      </c>
      <c r="C166" s="95">
        <f t="shared" si="5"/>
        <v>35.83285625621</v>
      </c>
      <c r="D166" s="95">
        <f t="shared" si="6"/>
        <v>-124.964020471981</v>
      </c>
    </row>
    <row r="167" spans="1:4">
      <c r="A167" s="95">
        <v>165</v>
      </c>
      <c r="B167" s="95">
        <v>30</v>
      </c>
      <c r="C167" s="95">
        <f t="shared" si="5"/>
        <v>33.646475863327701</v>
      </c>
      <c r="D167" s="95">
        <f t="shared" si="6"/>
        <v>-125.570357417579</v>
      </c>
    </row>
    <row r="168" spans="1:4">
      <c r="A168" s="95">
        <v>166</v>
      </c>
      <c r="B168" s="95">
        <v>30</v>
      </c>
      <c r="C168" s="95">
        <f t="shared" si="5"/>
        <v>31.4498464279568</v>
      </c>
      <c r="D168" s="95">
        <f t="shared" si="6"/>
        <v>-126.13844441588</v>
      </c>
    </row>
    <row r="169" spans="1:4">
      <c r="A169" s="95">
        <v>167</v>
      </c>
      <c r="B169" s="95">
        <v>30</v>
      </c>
      <c r="C169" s="95">
        <f t="shared" si="5"/>
        <v>29.243637064702401</v>
      </c>
      <c r="D169" s="95">
        <f t="shared" si="6"/>
        <v>-126.668108422081</v>
      </c>
    </row>
    <row r="170" spans="1:4">
      <c r="A170" s="95">
        <v>168</v>
      </c>
      <c r="B170" s="95">
        <v>30</v>
      </c>
      <c r="C170" s="95">
        <f t="shared" si="5"/>
        <v>27.028519806308701</v>
      </c>
      <c r="D170" s="95">
        <f t="shared" si="6"/>
        <v>-127.159188095395</v>
      </c>
    </row>
    <row r="171" spans="1:4">
      <c r="A171" s="95">
        <v>169</v>
      </c>
      <c r="B171" s="95">
        <v>30</v>
      </c>
      <c r="C171" s="95">
        <f t="shared" si="5"/>
        <v>24.805169398950799</v>
      </c>
      <c r="D171" s="95">
        <f t="shared" si="6"/>
        <v>-127.611533848196</v>
      </c>
    </row>
    <row r="172" spans="1:4">
      <c r="A172" s="95">
        <v>170</v>
      </c>
      <c r="B172" s="95">
        <v>30</v>
      </c>
      <c r="C172" s="95">
        <f t="shared" si="5"/>
        <v>22.5742630967009</v>
      </c>
      <c r="D172" s="95">
        <f t="shared" si="6"/>
        <v>-128.02500789158699</v>
      </c>
    </row>
    <row r="173" spans="1:4">
      <c r="A173" s="95">
        <v>171</v>
      </c>
      <c r="B173" s="95">
        <v>30</v>
      </c>
      <c r="C173" s="95">
        <f t="shared" si="5"/>
        <v>20.336480455229999</v>
      </c>
      <c r="D173" s="95">
        <f t="shared" si="6"/>
        <v>-128.399484277368</v>
      </c>
    </row>
    <row r="174" spans="1:4">
      <c r="A174" s="95">
        <v>172</v>
      </c>
      <c r="B174" s="95">
        <v>30</v>
      </c>
      <c r="C174" s="95">
        <f t="shared" si="5"/>
        <v>18.092503124808498</v>
      </c>
      <c r="D174" s="95">
        <f t="shared" si="6"/>
        <v>-128.73484893640401</v>
      </c>
    </row>
    <row r="175" spans="1:4">
      <c r="A175" s="95">
        <v>173</v>
      </c>
      <c r="B175" s="95">
        <v>30</v>
      </c>
      <c r="C175" s="95">
        <f t="shared" si="5"/>
        <v>15.8430146426692</v>
      </c>
      <c r="D175" s="95">
        <f t="shared" si="6"/>
        <v>-129.03099971337201</v>
      </c>
    </row>
    <row r="176" spans="1:4">
      <c r="A176" s="95">
        <v>174</v>
      </c>
      <c r="B176" s="95">
        <v>30</v>
      </c>
      <c r="C176" s="95">
        <f t="shared" si="5"/>
        <v>13.588700224795</v>
      </c>
      <c r="D176" s="95">
        <f t="shared" si="6"/>
        <v>-129.287846397876</v>
      </c>
    </row>
    <row r="177" spans="1:7">
      <c r="A177" s="95">
        <v>175</v>
      </c>
      <c r="B177" s="95">
        <v>30</v>
      </c>
      <c r="C177" s="95">
        <f t="shared" si="5"/>
        <v>11.330246557195601</v>
      </c>
      <c r="D177" s="95">
        <f t="shared" si="6"/>
        <v>-129.505310751927</v>
      </c>
    </row>
    <row r="178" spans="1:7">
      <c r="A178" s="95">
        <v>176</v>
      </c>
      <c r="B178" s="95">
        <v>30</v>
      </c>
      <c r="C178" s="95">
        <f t="shared" si="5"/>
        <v>9.0683415867363202</v>
      </c>
      <c r="D178" s="95">
        <f t="shared" si="6"/>
        <v>-129.68332653377701</v>
      </c>
    </row>
    <row r="179" spans="1:7">
      <c r="A179" s="95">
        <v>177</v>
      </c>
      <c r="B179" s="95">
        <v>30</v>
      </c>
      <c r="C179" s="95">
        <f t="shared" si="5"/>
        <v>6.8036743115826903</v>
      </c>
      <c r="D179" s="95">
        <f t="shared" si="6"/>
        <v>-129.821839518095</v>
      </c>
    </row>
    <row r="180" spans="1:7">
      <c r="A180" s="95">
        <v>178</v>
      </c>
      <c r="B180" s="95">
        <v>30</v>
      </c>
      <c r="C180" s="95">
        <f t="shared" si="5"/>
        <v>4.5369345713250899</v>
      </c>
      <c r="D180" s="95">
        <f t="shared" si="6"/>
        <v>-129.92080751248201</v>
      </c>
    </row>
    <row r="181" spans="1:7">
      <c r="A181" s="95">
        <v>179</v>
      </c>
      <c r="B181" s="95">
        <v>30</v>
      </c>
      <c r="C181" s="95">
        <f t="shared" si="5"/>
        <v>2.2688128368468501</v>
      </c>
      <c r="D181" s="95">
        <f t="shared" si="6"/>
        <v>-129.980200370331</v>
      </c>
      <c r="F181" s="3368" t="s">
        <v>12710</v>
      </c>
      <c r="G181" s="3368"/>
    </row>
    <row r="182" spans="1:7">
      <c r="A182" s="95">
        <v>180</v>
      </c>
      <c r="B182" s="95">
        <v>30</v>
      </c>
      <c r="C182" s="95">
        <f t="shared" si="5"/>
        <v>1.5920408388915601E-14</v>
      </c>
      <c r="D182" s="95">
        <f t="shared" si="6"/>
        <v>-130</v>
      </c>
    </row>
    <row r="183" spans="1:7">
      <c r="A183" s="95">
        <v>181</v>
      </c>
      <c r="B183" s="95">
        <f t="shared" ref="B183:B242" si="7">30*(1-(A183-180)/60+SIN(2*PI()*(A183-180)/60)/(2*PI()))</f>
        <v>29.999086648685399</v>
      </c>
      <c r="C183" s="95">
        <f t="shared" si="5"/>
        <v>-2.2687968966684502</v>
      </c>
      <c r="D183" s="95">
        <f t="shared" si="6"/>
        <v>-129.97928715812401</v>
      </c>
    </row>
    <row r="184" spans="1:7">
      <c r="A184" s="95">
        <v>182</v>
      </c>
      <c r="B184" s="95">
        <f t="shared" si="7"/>
        <v>29.992705199607201</v>
      </c>
      <c r="C184" s="95">
        <f t="shared" si="5"/>
        <v>-4.5366799864628602</v>
      </c>
      <c r="D184" s="95">
        <f t="shared" si="6"/>
        <v>-129.91351715588499</v>
      </c>
    </row>
    <row r="185" spans="1:7">
      <c r="A185" s="95">
        <v>183</v>
      </c>
      <c r="B185" s="95">
        <f t="shared" si="7"/>
        <v>29.975447464625201</v>
      </c>
      <c r="C185" s="95">
        <f t="shared" si="5"/>
        <v>-6.8023893311656298</v>
      </c>
      <c r="D185" s="95">
        <f t="shared" si="6"/>
        <v>-129.79732063111601</v>
      </c>
    </row>
    <row r="186" spans="1:7">
      <c r="A186" s="95">
        <v>184</v>
      </c>
      <c r="B186" s="95">
        <f t="shared" si="7"/>
        <v>29.9420244184635</v>
      </c>
      <c r="C186" s="95">
        <f t="shared" si="5"/>
        <v>-9.0642974146049795</v>
      </c>
      <c r="D186" s="95">
        <f t="shared" si="6"/>
        <v>-129.625492177843</v>
      </c>
    </row>
    <row r="187" spans="1:7">
      <c r="A187" s="95">
        <v>185</v>
      </c>
      <c r="B187" s="95">
        <f t="shared" si="7"/>
        <v>29.887324146378401</v>
      </c>
      <c r="C187" s="95">
        <f t="shared" si="5"/>
        <v>-11.320426209483401</v>
      </c>
      <c r="D187" s="95">
        <f t="shared" si="6"/>
        <v>-129.39306366394601</v>
      </c>
    </row>
    <row r="188" spans="1:7">
      <c r="A188" s="95">
        <v>186</v>
      </c>
      <c r="B188" s="95">
        <f t="shared" si="7"/>
        <v>29.806467851365898</v>
      </c>
      <c r="C188" s="95">
        <f t="shared" si="5"/>
        <v>-13.568470606705301</v>
      </c>
      <c r="D188" s="95">
        <f t="shared" si="6"/>
        <v>-129.095374438601</v>
      </c>
    </row>
    <row r="189" spans="1:7">
      <c r="A189" s="95">
        <v>187</v>
      </c>
      <c r="B189" s="95">
        <f t="shared" si="7"/>
        <v>29.694863307282699</v>
      </c>
      <c r="C189" s="95">
        <f t="shared" si="5"/>
        <v>-15.805827834278899</v>
      </c>
      <c r="D189" s="95">
        <f t="shared" si="6"/>
        <v>-128.72813746329101</v>
      </c>
    </row>
    <row r="190" spans="1:7">
      <c r="A190" s="95">
        <v>188</v>
      </c>
      <c r="B190" s="95">
        <f t="shared" si="7"/>
        <v>29.548255172236701</v>
      </c>
      <c r="C190" s="95">
        <f t="shared" si="5"/>
        <v>-18.029632396286001</v>
      </c>
      <c r="D190" s="95">
        <f t="shared" si="6"/>
        <v>-128.287500458251</v>
      </c>
    </row>
    <row r="191" spans="1:7">
      <c r="A191" s="95">
        <v>189</v>
      </c>
      <c r="B191" s="95">
        <f t="shared" si="7"/>
        <v>29.362771611003598</v>
      </c>
      <c r="C191" s="95">
        <f t="shared" si="5"/>
        <v>-20.236795973088899</v>
      </c>
      <c r="D191" s="95">
        <f t="shared" si="6"/>
        <v>-127.77010122726</v>
      </c>
    </row>
    <row r="192" spans="1:7">
      <c r="A192" s="95">
        <v>190</v>
      </c>
      <c r="B192" s="95">
        <f t="shared" si="7"/>
        <v>29.134966715663399</v>
      </c>
      <c r="C192" s="95">
        <f t="shared" si="5"/>
        <v>-22.4240516432547</v>
      </c>
      <c r="D192" s="95">
        <f t="shared" si="6"/>
        <v>-127.173116406559</v>
      </c>
    </row>
    <row r="193" spans="1:4">
      <c r="A193" s="95">
        <v>191</v>
      </c>
      <c r="B193" s="95">
        <f t="shared" si="7"/>
        <v>28.861858259689001</v>
      </c>
      <c r="C193" s="95">
        <f t="shared" si="5"/>
        <v>-24.588001716886001</v>
      </c>
      <c r="D193" s="95">
        <f t="shared" si="6"/>
        <v>-126.494302977291</v>
      </c>
    </row>
    <row r="194" spans="1:4">
      <c r="A194" s="95">
        <v>192</v>
      </c>
      <c r="B194" s="95">
        <f t="shared" si="7"/>
        <v>28.540960371843902</v>
      </c>
      <c r="C194" s="95">
        <f t="shared" si="5"/>
        <v>-26.7251684102486</v>
      </c>
      <c r="D194" s="95">
        <f t="shared" si="6"/>
        <v>-125.732031983738</v>
      </c>
    </row>
    <row r="195" spans="1:4">
      <c r="A195" s="95">
        <v>193</v>
      </c>
      <c r="B195" s="95">
        <f t="shared" si="7"/>
        <v>28.1703107719079</v>
      </c>
      <c r="C195" s="95">
        <f t="shared" ref="C195:C258" si="8">(100+B195)*SIN(A195*PI()/180)</f>
        <v>-28.8320465437215</v>
      </c>
      <c r="D195" s="95">
        <f t="shared" ref="D195:D258" si="9">(100+B195)*COS(A195*PI()/180)</f>
        <v>-124.88531401036801</v>
      </c>
    </row>
    <row r="196" spans="1:4">
      <c r="A196" s="95">
        <v>194</v>
      </c>
      <c r="B196" s="95">
        <f t="shared" si="7"/>
        <v>27.748492269829399</v>
      </c>
      <c r="C196" s="95">
        <f t="shared" si="8"/>
        <v>-30.905157409916601</v>
      </c>
      <c r="D196" s="95">
        <f t="shared" si="9"/>
        <v>-123.95381608761799</v>
      </c>
    </row>
    <row r="197" spans="1:4">
      <c r="A197" s="95">
        <v>195</v>
      </c>
      <c r="B197" s="95">
        <f t="shared" si="7"/>
        <v>27.274648292756901</v>
      </c>
      <c r="C197" s="95">
        <f t="shared" si="8"/>
        <v>-32.941102936890502</v>
      </c>
      <c r="D197" s="95">
        <f t="shared" si="9"/>
        <v>-122.937869817832</v>
      </c>
    </row>
    <row r="198" spans="1:4">
      <c r="A198" s="95">
        <v>196</v>
      </c>
      <c r="B198" s="95">
        <f t="shared" si="7"/>
        <v>26.748492269829399</v>
      </c>
      <c r="C198" s="95">
        <f t="shared" si="8"/>
        <v>-34.936619263047099</v>
      </c>
      <c r="D198" s="95">
        <f t="shared" si="9"/>
        <v>-121.838470636921</v>
      </c>
    </row>
    <row r="199" spans="1:4">
      <c r="A199" s="95">
        <v>197</v>
      </c>
      <c r="B199" s="95">
        <f t="shared" si="7"/>
        <v>26.1703107719079</v>
      </c>
      <c r="C199" s="95">
        <f t="shared" si="8"/>
        <v>-36.888628845780097</v>
      </c>
      <c r="D199" s="95">
        <f t="shared" si="9"/>
        <v>-120.65726825250999</v>
      </c>
    </row>
    <row r="200" spans="1:4">
      <c r="A200" s="95">
        <v>198</v>
      </c>
      <c r="B200" s="95">
        <f t="shared" si="7"/>
        <v>25.540960371843902</v>
      </c>
      <c r="C200" s="95">
        <f t="shared" si="8"/>
        <v>-38.794290245051599</v>
      </c>
      <c r="D200" s="95">
        <f t="shared" si="9"/>
        <v>-119.396548423594</v>
      </c>
    </row>
    <row r="201" spans="1:4">
      <c r="A201" s="95">
        <v>199</v>
      </c>
      <c r="B201" s="95">
        <f t="shared" si="7"/>
        <v>24.861858259689001</v>
      </c>
      <c r="C201" s="95">
        <f t="shared" si="8"/>
        <v>-40.651044755698102</v>
      </c>
      <c r="D201" s="95">
        <f t="shared" si="9"/>
        <v>-118.05920636838501</v>
      </c>
    </row>
    <row r="202" spans="1:4">
      <c r="A202" s="95">
        <v>200</v>
      </c>
      <c r="B202" s="95">
        <f t="shared" si="7"/>
        <v>24.134966715663399</v>
      </c>
      <c r="C202" s="95">
        <f t="shared" si="8"/>
        <v>-42.456659107818297</v>
      </c>
      <c r="D202" s="95">
        <f t="shared" si="9"/>
        <v>-116.648712204213</v>
      </c>
    </row>
    <row r="203" spans="1:4">
      <c r="A203" s="95">
        <v>201</v>
      </c>
      <c r="B203" s="95">
        <f t="shared" si="7"/>
        <v>23.362771611003598</v>
      </c>
      <c r="C203" s="95">
        <f t="shared" si="8"/>
        <v>-44.209263512460602</v>
      </c>
      <c r="D203" s="95">
        <f t="shared" si="9"/>
        <v>-115.16906893447801</v>
      </c>
    </row>
    <row r="204" spans="1:4">
      <c r="A204" s="95">
        <v>202</v>
      </c>
      <c r="B204" s="95">
        <f t="shared" si="7"/>
        <v>22.548255172236701</v>
      </c>
      <c r="C204" s="95">
        <f t="shared" si="8"/>
        <v>-45.907384399135502</v>
      </c>
      <c r="D204" s="95">
        <f t="shared" si="9"/>
        <v>-113.624763601029</v>
      </c>
    </row>
    <row r="205" spans="1:4">
      <c r="A205" s="95">
        <v>203</v>
      </c>
      <c r="B205" s="95">
        <f t="shared" si="7"/>
        <v>21.694863307282699</v>
      </c>
      <c r="C205" s="95">
        <f t="shared" si="8"/>
        <v>-47.549971271402498</v>
      </c>
      <c r="D205" s="95">
        <f t="shared" si="9"/>
        <v>-112.020712314585</v>
      </c>
    </row>
    <row r="206" spans="1:4">
      <c r="A206" s="95">
        <v>204</v>
      </c>
      <c r="B206" s="95">
        <f t="shared" si="7"/>
        <v>20.806467851365898</v>
      </c>
      <c r="C206" s="95">
        <f t="shared" si="8"/>
        <v>-49.1364171957091</v>
      </c>
      <c r="D206" s="95">
        <f t="shared" si="9"/>
        <v>-110.362199959462</v>
      </c>
    </row>
    <row r="207" spans="1:4">
      <c r="A207" s="95">
        <v>205</v>
      </c>
      <c r="B207" s="95">
        <f t="shared" si="7"/>
        <v>19.887324146378401</v>
      </c>
      <c r="C207" s="95">
        <f t="shared" si="8"/>
        <v>-50.666572535486203</v>
      </c>
      <c r="D207" s="95">
        <f t="shared" si="9"/>
        <v>-108.65481544085</v>
      </c>
    </row>
    <row r="208" spans="1:4">
      <c r="A208" s="95">
        <v>206</v>
      </c>
      <c r="B208" s="95">
        <f t="shared" si="7"/>
        <v>18.9420244184635</v>
      </c>
      <c r="C208" s="95">
        <f t="shared" si="8"/>
        <v>-52.140751645736302</v>
      </c>
      <c r="D208" s="95">
        <f t="shared" si="9"/>
        <v>-106.904383402085</v>
      </c>
    </row>
    <row r="209" spans="1:7">
      <c r="A209" s="95">
        <v>207</v>
      </c>
      <c r="B209" s="95">
        <f t="shared" si="7"/>
        <v>17.975447464625201</v>
      </c>
      <c r="C209" s="95">
        <f t="shared" si="8"/>
        <v>-53.559732351461797</v>
      </c>
      <c r="D209" s="95">
        <f t="shared" si="9"/>
        <v>-105.116893385023</v>
      </c>
      <c r="F209" s="3368" t="s">
        <v>12710</v>
      </c>
      <c r="G209" s="3368"/>
    </row>
    <row r="210" spans="1:7">
      <c r="A210" s="95">
        <v>208</v>
      </c>
      <c r="B210" s="95">
        <f t="shared" si="7"/>
        <v>16.992705199607201</v>
      </c>
      <c r="C210" s="95">
        <f t="shared" si="8"/>
        <v>-54.9247481446086</v>
      </c>
      <c r="D210" s="95">
        <f t="shared" si="9"/>
        <v>-103.298427438047</v>
      </c>
    </row>
    <row r="211" spans="1:7">
      <c r="A211" s="95">
        <v>209</v>
      </c>
      <c r="B211" s="95">
        <f t="shared" si="7"/>
        <v>15.999086648685401</v>
      </c>
      <c r="C211" s="95">
        <f t="shared" si="8"/>
        <v>-56.2374731470711</v>
      </c>
      <c r="D211" s="95">
        <f t="shared" si="9"/>
        <v>-101.455087193111</v>
      </c>
    </row>
    <row r="212" spans="1:7">
      <c r="A212" s="95">
        <v>210</v>
      </c>
      <c r="B212" s="95">
        <f t="shared" si="7"/>
        <v>15</v>
      </c>
      <c r="C212" s="95">
        <f t="shared" si="8"/>
        <v>-57.5</v>
      </c>
      <c r="D212" s="95">
        <f t="shared" si="9"/>
        <v>-99.5929214352104</v>
      </c>
    </row>
    <row r="213" spans="1:7">
      <c r="A213" s="95">
        <v>211</v>
      </c>
      <c r="B213" s="95">
        <f t="shared" si="7"/>
        <v>14.000913351314599</v>
      </c>
      <c r="C213" s="95">
        <f t="shared" si="8"/>
        <v>-58.714810950448999</v>
      </c>
      <c r="D213" s="95">
        <f t="shared" si="9"/>
        <v>-97.717855174921695</v>
      </c>
    </row>
    <row r="214" spans="1:7">
      <c r="A214" s="95">
        <v>212</v>
      </c>
      <c r="B214" s="95">
        <f t="shared" si="7"/>
        <v>13.007294800392801</v>
      </c>
      <c r="C214" s="95">
        <f t="shared" si="8"/>
        <v>-59.884742513608998</v>
      </c>
      <c r="D214" s="95">
        <f t="shared" si="9"/>
        <v>-95.835621207261099</v>
      </c>
    </row>
    <row r="215" spans="1:7">
      <c r="A215" s="95">
        <v>213</v>
      </c>
      <c r="B215" s="95">
        <f t="shared" si="7"/>
        <v>12.0245525353748</v>
      </c>
      <c r="C215" s="95">
        <f t="shared" si="8"/>
        <v>-61.0129441908567</v>
      </c>
      <c r="D215" s="95">
        <f t="shared" si="9"/>
        <v>-93.951695098674804</v>
      </c>
    </row>
    <row r="216" spans="1:7">
      <c r="A216" s="95">
        <v>214</v>
      </c>
      <c r="B216" s="95">
        <f t="shared" si="7"/>
        <v>11.0579755815365</v>
      </c>
      <c r="C216" s="95">
        <f t="shared" si="8"/>
        <v>-62.102831819022697</v>
      </c>
      <c r="D216" s="95">
        <f t="shared" si="9"/>
        <v>-92.071234488994094</v>
      </c>
    </row>
    <row r="217" spans="1:7">
      <c r="A217" s="95">
        <v>215</v>
      </c>
      <c r="B217" s="95">
        <f t="shared" si="7"/>
        <v>10.112675853621599</v>
      </c>
      <c r="C217" s="95">
        <f t="shared" si="8"/>
        <v>-63.158036213198102</v>
      </c>
      <c r="D217" s="95">
        <f t="shared" si="9"/>
        <v>-90.199023527625201</v>
      </c>
    </row>
    <row r="218" spans="1:7">
      <c r="A218" s="95">
        <v>216</v>
      </c>
      <c r="B218" s="95">
        <f t="shared" si="7"/>
        <v>9.1935321486340804</v>
      </c>
      <c r="C218" s="95">
        <f t="shared" si="8"/>
        <v>-64.1823478426912</v>
      </c>
      <c r="D218" s="95">
        <f t="shared" si="9"/>
        <v>-88.339423184072203</v>
      </c>
    </row>
    <row r="219" spans="1:7">
      <c r="A219" s="95">
        <v>217</v>
      </c>
      <c r="B219" s="95">
        <f t="shared" si="7"/>
        <v>8.3051366927173103</v>
      </c>
      <c r="C219" s="95">
        <f t="shared" si="8"/>
        <v>-65.179658346213401</v>
      </c>
      <c r="D219" s="95">
        <f t="shared" si="9"/>
        <v>-86.496328083330098</v>
      </c>
    </row>
    <row r="220" spans="1:7">
      <c r="A220" s="95">
        <v>218</v>
      </c>
      <c r="B220" s="95">
        <f t="shared" si="7"/>
        <v>7.4517448277632701</v>
      </c>
      <c r="C220" s="95">
        <f t="shared" si="8"/>
        <v>-66.153899746976904</v>
      </c>
      <c r="D220" s="95">
        <f t="shared" si="9"/>
        <v>-84.673130418082906</v>
      </c>
    </row>
    <row r="221" spans="1:7">
      <c r="A221" s="95">
        <v>219</v>
      </c>
      <c r="B221" s="95">
        <f t="shared" si="7"/>
        <v>6.6372283889963697</v>
      </c>
      <c r="C221" s="95">
        <f t="shared" si="8"/>
        <v>-67.108982270234094</v>
      </c>
      <c r="D221" s="95">
        <f t="shared" si="9"/>
        <v>-82.872691383473196</v>
      </c>
    </row>
    <row r="222" spans="1:7">
      <c r="A222" s="95">
        <v>220</v>
      </c>
      <c r="B222" s="95">
        <f t="shared" si="7"/>
        <v>5.86503328433656</v>
      </c>
      <c r="C222" s="95">
        <f t="shared" si="8"/>
        <v>-68.0487316942246</v>
      </c>
      <c r="D222" s="95">
        <f t="shared" si="9"/>
        <v>-81.0973204680717</v>
      </c>
    </row>
    <row r="223" spans="1:7">
      <c r="A223" s="95">
        <v>221</v>
      </c>
      <c r="B223" s="95">
        <f t="shared" si="7"/>
        <v>5.1381417403109699</v>
      </c>
      <c r="C223" s="95">
        <f t="shared" si="8"/>
        <v>-68.976827180014794</v>
      </c>
      <c r="D223" s="95">
        <f t="shared" si="9"/>
        <v>-79.348762818232402</v>
      </c>
    </row>
    <row r="224" spans="1:7">
      <c r="A224" s="95">
        <v>222</v>
      </c>
      <c r="B224" s="95">
        <f t="shared" si="7"/>
        <v>4.4590396281560603</v>
      </c>
      <c r="C224" s="95">
        <f t="shared" si="8"/>
        <v>-69.896740526052099</v>
      </c>
      <c r="D224" s="95">
        <f t="shared" si="9"/>
        <v>-77.628194774002296</v>
      </c>
    </row>
    <row r="225" spans="1:4">
      <c r="A225" s="95">
        <v>223</v>
      </c>
      <c r="B225" s="95">
        <f t="shared" si="7"/>
        <v>3.82968922809212</v>
      </c>
      <c r="C225" s="95">
        <f t="shared" si="8"/>
        <v>-70.811677779357694</v>
      </c>
      <c r="D225" s="95">
        <f t="shared" si="9"/>
        <v>-75.936227554933296</v>
      </c>
    </row>
    <row r="226" spans="1:4">
      <c r="A226" s="95">
        <v>224</v>
      </c>
      <c r="B226" s="95">
        <f t="shared" si="7"/>
        <v>3.2515077301705602</v>
      </c>
      <c r="C226" s="95">
        <f t="shared" si="8"/>
        <v>-71.724524107274803</v>
      </c>
      <c r="D226" s="95">
        <f t="shared" si="9"/>
        <v>-74.272918955285604</v>
      </c>
    </row>
    <row r="227" spans="1:4">
      <c r="A227" s="95">
        <v>225</v>
      </c>
      <c r="B227" s="95">
        <f t="shared" si="7"/>
        <v>2.7253517072431399</v>
      </c>
      <c r="C227" s="95">
        <f t="shared" si="8"/>
        <v>-72.637792791964699</v>
      </c>
      <c r="D227" s="95">
        <f t="shared" si="9"/>
        <v>-72.637792791964699</v>
      </c>
    </row>
    <row r="228" spans="1:4">
      <c r="A228" s="95">
        <v>226</v>
      </c>
      <c r="B228" s="95">
        <f t="shared" si="7"/>
        <v>2.2515077301705499</v>
      </c>
      <c r="C228" s="95">
        <f t="shared" si="8"/>
        <v>-73.553579154946902</v>
      </c>
      <c r="D228" s="95">
        <f t="shared" si="9"/>
        <v>-71.029865736815907</v>
      </c>
    </row>
    <row r="229" spans="1:4">
      <c r="A229" s="95">
        <v>227</v>
      </c>
      <c r="B229" s="95">
        <f t="shared" si="7"/>
        <v>1.82968922809212</v>
      </c>
      <c r="C229" s="95">
        <f t="shared" si="8"/>
        <v>-74.473520151694899</v>
      </c>
      <c r="D229" s="95">
        <f t="shared" si="9"/>
        <v>-69.447681059232707</v>
      </c>
    </row>
    <row r="230" spans="1:4">
      <c r="A230" s="95">
        <v>228</v>
      </c>
      <c r="B230" s="95">
        <f t="shared" si="7"/>
        <v>1.45903962815606</v>
      </c>
      <c r="C230" s="95">
        <f t="shared" si="8"/>
        <v>-75.398760297570007</v>
      </c>
      <c r="D230" s="95">
        <f t="shared" si="9"/>
        <v>-67.889348706975497</v>
      </c>
    </row>
    <row r="231" spans="1:4">
      <c r="A231" s="95">
        <v>229</v>
      </c>
      <c r="B231" s="95">
        <f t="shared" si="7"/>
        <v>1.1381417403109699</v>
      </c>
      <c r="C231" s="95">
        <f t="shared" si="8"/>
        <v>-76.329924497341295</v>
      </c>
      <c r="D231" s="95">
        <f t="shared" si="9"/>
        <v>-66.352591064052703</v>
      </c>
    </row>
    <row r="232" spans="1:4">
      <c r="A232" s="95">
        <v>230</v>
      </c>
      <c r="B232" s="95">
        <f t="shared" si="7"/>
        <v>0.86503328433655802</v>
      </c>
      <c r="C232" s="95">
        <f t="shared" si="8"/>
        <v>-77.267098252476799</v>
      </c>
      <c r="D232" s="95">
        <f t="shared" si="9"/>
        <v>-64.834793645791905</v>
      </c>
    </row>
    <row r="233" spans="1:4">
      <c r="A233" s="95">
        <v>231</v>
      </c>
      <c r="B233" s="95">
        <f t="shared" si="7"/>
        <v>0.63722838899637102</v>
      </c>
      <c r="C233" s="95">
        <f t="shared" si="8"/>
        <v>-78.209815614731397</v>
      </c>
      <c r="D233" s="95">
        <f t="shared" si="9"/>
        <v>-63.333059923934997</v>
      </c>
    </row>
    <row r="234" spans="1:4">
      <c r="A234" s="95">
        <v>232</v>
      </c>
      <c r="B234" s="95">
        <f t="shared" si="7"/>
        <v>0.45174482776326502</v>
      </c>
      <c r="C234" s="95">
        <f t="shared" si="8"/>
        <v>-79.157055142835901</v>
      </c>
      <c r="D234" s="95">
        <f t="shared" si="9"/>
        <v>-61.844269419697298</v>
      </c>
    </row>
    <row r="235" spans="1:4">
      <c r="A235" s="95">
        <v>233</v>
      </c>
      <c r="B235" s="95">
        <f t="shared" si="7"/>
        <v>0.30513669271731603</v>
      </c>
      <c r="C235" s="95">
        <f t="shared" si="8"/>
        <v>-80.107244002951703</v>
      </c>
      <c r="D235" s="95">
        <f t="shared" si="9"/>
        <v>-60.365138160996999</v>
      </c>
    </row>
    <row r="236" spans="1:4">
      <c r="A236" s="95">
        <v>234</v>
      </c>
      <c r="B236" s="95">
        <f t="shared" si="7"/>
        <v>0.193532148634081</v>
      </c>
      <c r="C236" s="95">
        <f t="shared" si="8"/>
        <v>-81.058270234697602</v>
      </c>
      <c r="D236" s="95">
        <f t="shared" si="9"/>
        <v>-58.892280572058901</v>
      </c>
    </row>
    <row r="237" spans="1:4">
      <c r="A237" s="95">
        <v>235</v>
      </c>
      <c r="B237" s="95">
        <f t="shared" si="7"/>
        <v>0.11267585362157299</v>
      </c>
      <c r="C237" s="95">
        <f t="shared" si="8"/>
        <v>-82.007503084735305</v>
      </c>
      <c r="D237" s="95">
        <f t="shared" si="9"/>
        <v>-57.422271849687696</v>
      </c>
    </row>
    <row r="238" spans="1:4">
      <c r="A238" s="95">
        <v>236</v>
      </c>
      <c r="B238" s="95">
        <f t="shared" si="7"/>
        <v>5.79755815364741E-2</v>
      </c>
      <c r="C238" s="95">
        <f t="shared" si="8"/>
        <v>-82.951821190888595</v>
      </c>
      <c r="D238" s="95">
        <f t="shared" si="9"/>
        <v>-55.951709880844497</v>
      </c>
    </row>
    <row r="239" spans="1:4">
      <c r="A239" s="95">
        <v>237</v>
      </c>
      <c r="B239" s="95">
        <f t="shared" si="7"/>
        <v>2.4552535374801499E-2</v>
      </c>
      <c r="C239" s="95">
        <f t="shared" si="8"/>
        <v>-83.887648283329696</v>
      </c>
      <c r="D239" s="95">
        <f t="shared" si="9"/>
        <v>-54.4772757706764</v>
      </c>
    </row>
    <row r="240" spans="1:4">
      <c r="A240" s="95">
        <v>238</v>
      </c>
      <c r="B240" s="95">
        <f t="shared" si="7"/>
        <v>7.2948003927947296E-3</v>
      </c>
      <c r="C240" s="95">
        <f t="shared" si="8"/>
        <v>-84.810995957227505</v>
      </c>
      <c r="D240" s="95">
        <f t="shared" si="9"/>
        <v>-52.995792078577402</v>
      </c>
    </row>
    <row r="241" spans="1:7">
      <c r="A241" s="95">
        <v>239</v>
      </c>
      <c r="B241" s="95">
        <f t="shared" si="7"/>
        <v>9.1335131460198299E-4</v>
      </c>
      <c r="C241" s="95">
        <f t="shared" si="8"/>
        <v>-85.717512965092098</v>
      </c>
      <c r="D241" s="95">
        <f t="shared" si="9"/>
        <v>-51.5042779017082</v>
      </c>
    </row>
    <row r="242" spans="1:7">
      <c r="A242" s="95">
        <v>240</v>
      </c>
      <c r="B242" s="95">
        <f t="shared" si="7"/>
        <v>-5.4101911250405004E-15</v>
      </c>
      <c r="C242" s="95">
        <f t="shared" si="8"/>
        <v>-86.602540378443805</v>
      </c>
      <c r="D242" s="95">
        <f t="shared" si="9"/>
        <v>-50</v>
      </c>
    </row>
    <row r="243" spans="1:7">
      <c r="A243" s="95">
        <v>241</v>
      </c>
      <c r="B243" s="95">
        <v>0</v>
      </c>
      <c r="C243" s="95">
        <f t="shared" si="8"/>
        <v>-87.461970713939607</v>
      </c>
      <c r="D243" s="95">
        <f t="shared" si="9"/>
        <v>-48.480962024633698</v>
      </c>
    </row>
    <row r="244" spans="1:7">
      <c r="A244" s="95">
        <v>242</v>
      </c>
      <c r="B244" s="95">
        <v>0</v>
      </c>
      <c r="C244" s="95">
        <f t="shared" si="8"/>
        <v>-88.294759285892695</v>
      </c>
      <c r="D244" s="95">
        <f t="shared" si="9"/>
        <v>-46.947156278589098</v>
      </c>
    </row>
    <row r="245" spans="1:7">
      <c r="A245" s="95">
        <v>243</v>
      </c>
      <c r="B245" s="95">
        <v>0</v>
      </c>
      <c r="C245" s="95">
        <f t="shared" si="8"/>
        <v>-89.100652418836802</v>
      </c>
      <c r="D245" s="95">
        <f t="shared" si="9"/>
        <v>-45.399049973954703</v>
      </c>
    </row>
    <row r="246" spans="1:7">
      <c r="A246" s="95">
        <v>244</v>
      </c>
      <c r="B246" s="95">
        <v>0</v>
      </c>
      <c r="C246" s="95">
        <f t="shared" si="8"/>
        <v>-89.879404629916706</v>
      </c>
      <c r="D246" s="95">
        <f t="shared" si="9"/>
        <v>-43.837114678907803</v>
      </c>
    </row>
    <row r="247" spans="1:7">
      <c r="A247" s="95">
        <v>245</v>
      </c>
      <c r="B247" s="95">
        <v>0</v>
      </c>
      <c r="C247" s="95">
        <f t="shared" si="8"/>
        <v>-90.630778703665001</v>
      </c>
      <c r="D247" s="95">
        <f t="shared" si="9"/>
        <v>-42.261826174070002</v>
      </c>
    </row>
    <row r="248" spans="1:7">
      <c r="A248" s="95">
        <v>246</v>
      </c>
      <c r="B248" s="95">
        <v>0</v>
      </c>
      <c r="C248" s="95">
        <f t="shared" si="8"/>
        <v>-91.354545764260095</v>
      </c>
      <c r="D248" s="95">
        <f t="shared" si="9"/>
        <v>-40.673664307579998</v>
      </c>
    </row>
    <row r="249" spans="1:7">
      <c r="A249" s="95">
        <v>247</v>
      </c>
      <c r="B249" s="95">
        <v>0</v>
      </c>
      <c r="C249" s="95">
        <f t="shared" si="8"/>
        <v>-92.050485345243999</v>
      </c>
      <c r="D249" s="95">
        <f t="shared" si="9"/>
        <v>-39.073112848927401</v>
      </c>
      <c r="F249" s="3368" t="s">
        <v>12710</v>
      </c>
      <c r="G249" s="3368"/>
    </row>
    <row r="250" spans="1:7">
      <c r="A250" s="95">
        <v>248</v>
      </c>
      <c r="B250" s="95">
        <v>0</v>
      </c>
      <c r="C250" s="95">
        <f t="shared" si="8"/>
        <v>-92.718385456678703</v>
      </c>
      <c r="D250" s="95">
        <f t="shared" si="9"/>
        <v>-37.460659341591203</v>
      </c>
    </row>
    <row r="251" spans="1:7">
      <c r="A251" s="95">
        <v>249</v>
      </c>
      <c r="B251" s="95">
        <v>0</v>
      </c>
      <c r="C251" s="95">
        <f t="shared" si="8"/>
        <v>-93.358042649720204</v>
      </c>
      <c r="D251" s="95">
        <f t="shared" si="9"/>
        <v>-35.836794954530099</v>
      </c>
    </row>
    <row r="252" spans="1:7">
      <c r="A252" s="95">
        <v>250</v>
      </c>
      <c r="B252" s="95">
        <v>0</v>
      </c>
      <c r="C252" s="95">
        <f t="shared" si="8"/>
        <v>-93.969262078590802</v>
      </c>
      <c r="D252" s="95">
        <f t="shared" si="9"/>
        <v>-34.202014332566897</v>
      </c>
    </row>
    <row r="253" spans="1:7">
      <c r="A253" s="95">
        <v>251</v>
      </c>
      <c r="B253" s="95">
        <v>0</v>
      </c>
      <c r="C253" s="95">
        <f t="shared" si="8"/>
        <v>-94.551857559931705</v>
      </c>
      <c r="D253" s="95">
        <f t="shared" si="9"/>
        <v>-32.556815445715699</v>
      </c>
    </row>
    <row r="254" spans="1:7">
      <c r="A254" s="95">
        <v>252</v>
      </c>
      <c r="B254" s="95">
        <v>0</v>
      </c>
      <c r="C254" s="95">
        <f t="shared" si="8"/>
        <v>-95.105651629515293</v>
      </c>
      <c r="D254" s="95">
        <f t="shared" si="9"/>
        <v>-30.901699437494798</v>
      </c>
    </row>
    <row r="255" spans="1:7">
      <c r="A255" s="95">
        <v>253</v>
      </c>
      <c r="B255" s="95">
        <v>0</v>
      </c>
      <c r="C255" s="95">
        <f t="shared" si="8"/>
        <v>-95.630475596303498</v>
      </c>
      <c r="D255" s="95">
        <f t="shared" si="9"/>
        <v>-29.2371704722737</v>
      </c>
    </row>
    <row r="256" spans="1:7">
      <c r="A256" s="95">
        <v>254</v>
      </c>
      <c r="B256" s="95">
        <v>0</v>
      </c>
      <c r="C256" s="95">
        <f t="shared" si="8"/>
        <v>-96.126169593831904</v>
      </c>
      <c r="D256" s="95">
        <f t="shared" si="9"/>
        <v>-27.563735581699898</v>
      </c>
    </row>
    <row r="257" spans="1:4">
      <c r="A257" s="95">
        <v>255</v>
      </c>
      <c r="B257" s="95">
        <v>0</v>
      </c>
      <c r="C257" s="95">
        <f t="shared" si="8"/>
        <v>-96.592582628906797</v>
      </c>
      <c r="D257" s="95">
        <f t="shared" si="9"/>
        <v>-25.881904510252099</v>
      </c>
    </row>
    <row r="258" spans="1:4">
      <c r="A258" s="95">
        <v>256</v>
      </c>
      <c r="B258" s="95">
        <v>0</v>
      </c>
      <c r="C258" s="95">
        <f t="shared" si="8"/>
        <v>-97.029572627599606</v>
      </c>
      <c r="D258" s="95">
        <f t="shared" si="9"/>
        <v>-24.192189559966799</v>
      </c>
    </row>
    <row r="259" spans="1:4">
      <c r="A259" s="95">
        <v>257</v>
      </c>
      <c r="B259" s="95">
        <v>0</v>
      </c>
      <c r="C259" s="95">
        <f t="shared" ref="C259:C322" si="10">(100+B259)*SIN(A259*PI()/180)</f>
        <v>-97.4370064785235</v>
      </c>
      <c r="D259" s="95">
        <f t="shared" ref="D259:D322" si="11">(100+B259)*COS(A259*PI()/180)</f>
        <v>-22.495105434386499</v>
      </c>
    </row>
    <row r="260" spans="1:4">
      <c r="A260" s="95">
        <v>258</v>
      </c>
      <c r="B260" s="95">
        <v>0</v>
      </c>
      <c r="C260" s="95">
        <f t="shared" si="10"/>
        <v>-97.814760073380597</v>
      </c>
      <c r="D260" s="95">
        <f t="shared" si="11"/>
        <v>-20.791169081776001</v>
      </c>
    </row>
    <row r="261" spans="1:4">
      <c r="A261" s="95">
        <v>259</v>
      </c>
      <c r="B261" s="95">
        <v>0</v>
      </c>
      <c r="C261" s="95">
        <f t="shared" si="10"/>
        <v>-98.162718344766404</v>
      </c>
      <c r="D261" s="95">
        <f t="shared" si="11"/>
        <v>-19.080899537654499</v>
      </c>
    </row>
    <row r="262" spans="1:4">
      <c r="A262" s="95">
        <v>260</v>
      </c>
      <c r="B262" s="95">
        <v>0</v>
      </c>
      <c r="C262" s="95">
        <f t="shared" si="10"/>
        <v>-98.480775301220802</v>
      </c>
      <c r="D262" s="95">
        <f t="shared" si="11"/>
        <v>-17.364817766693001</v>
      </c>
    </row>
    <row r="263" spans="1:4">
      <c r="A263" s="95">
        <v>261</v>
      </c>
      <c r="B263" s="95">
        <v>0</v>
      </c>
      <c r="C263" s="95">
        <f t="shared" si="10"/>
        <v>-98.768834059513793</v>
      </c>
      <c r="D263" s="95">
        <f t="shared" si="11"/>
        <v>-15.6434465040231</v>
      </c>
    </row>
    <row r="264" spans="1:4">
      <c r="A264" s="95">
        <v>262</v>
      </c>
      <c r="B264" s="95">
        <v>0</v>
      </c>
      <c r="C264" s="95">
        <f t="shared" si="10"/>
        <v>-99.026806874157003</v>
      </c>
      <c r="D264" s="95">
        <f t="shared" si="11"/>
        <v>-13.917310096006499</v>
      </c>
    </row>
    <row r="265" spans="1:4">
      <c r="A265" s="95">
        <v>263</v>
      </c>
      <c r="B265" s="95">
        <v>0</v>
      </c>
      <c r="C265" s="95">
        <f t="shared" si="10"/>
        <v>-99.254615164132204</v>
      </c>
      <c r="D265" s="95">
        <f t="shared" si="11"/>
        <v>-12.1869343405147</v>
      </c>
    </row>
    <row r="266" spans="1:4">
      <c r="A266" s="95">
        <v>264</v>
      </c>
      <c r="B266" s="95">
        <v>0</v>
      </c>
      <c r="C266" s="95">
        <f t="shared" si="10"/>
        <v>-99.452189536827305</v>
      </c>
      <c r="D266" s="95">
        <f t="shared" si="11"/>
        <v>-10.4528463267653</v>
      </c>
    </row>
    <row r="267" spans="1:4">
      <c r="A267" s="95">
        <v>265</v>
      </c>
      <c r="B267" s="95">
        <v>0</v>
      </c>
      <c r="C267" s="95">
        <f t="shared" si="10"/>
        <v>-99.619469809174603</v>
      </c>
      <c r="D267" s="95">
        <f t="shared" si="11"/>
        <v>-8.7155742747658191</v>
      </c>
    </row>
    <row r="268" spans="1:4">
      <c r="A268" s="95">
        <v>266</v>
      </c>
      <c r="B268" s="95">
        <v>0</v>
      </c>
      <c r="C268" s="95">
        <f t="shared" si="10"/>
        <v>-99.756405025982403</v>
      </c>
      <c r="D268" s="95">
        <f t="shared" si="11"/>
        <v>-6.97564737441256</v>
      </c>
    </row>
    <row r="269" spans="1:4">
      <c r="A269" s="95">
        <v>267</v>
      </c>
      <c r="B269" s="95">
        <v>0</v>
      </c>
      <c r="C269" s="95">
        <f t="shared" si="10"/>
        <v>-99.862953475457402</v>
      </c>
      <c r="D269" s="95">
        <f t="shared" si="11"/>
        <v>-5.2335956242944297</v>
      </c>
    </row>
    <row r="270" spans="1:4">
      <c r="A270" s="95">
        <v>268</v>
      </c>
      <c r="B270" s="95">
        <v>0</v>
      </c>
      <c r="C270" s="95">
        <f t="shared" si="10"/>
        <v>-99.939082701909598</v>
      </c>
      <c r="D270" s="95">
        <f t="shared" si="11"/>
        <v>-3.48994967025016</v>
      </c>
    </row>
    <row r="271" spans="1:4">
      <c r="A271" s="95">
        <v>269</v>
      </c>
      <c r="B271" s="95">
        <v>0</v>
      </c>
      <c r="C271" s="95">
        <f t="shared" si="10"/>
        <v>-99.984769515639101</v>
      </c>
      <c r="D271" s="95">
        <f t="shared" si="11"/>
        <v>-1.7452406437283501</v>
      </c>
    </row>
    <row r="272" spans="1:4">
      <c r="A272" s="95">
        <v>270</v>
      </c>
      <c r="B272" s="95">
        <v>0</v>
      </c>
      <c r="C272" s="95">
        <f t="shared" si="10"/>
        <v>-100</v>
      </c>
      <c r="D272" s="95">
        <f t="shared" si="11"/>
        <v>-1.8369701987210301E-14</v>
      </c>
    </row>
    <row r="273" spans="1:4">
      <c r="A273" s="95">
        <v>271</v>
      </c>
      <c r="B273" s="95">
        <v>0</v>
      </c>
      <c r="C273" s="95">
        <f t="shared" si="10"/>
        <v>-99.984769515639101</v>
      </c>
      <c r="D273" s="95">
        <f t="shared" si="11"/>
        <v>1.7452406437283099</v>
      </c>
    </row>
    <row r="274" spans="1:4">
      <c r="A274" s="95">
        <v>272</v>
      </c>
      <c r="B274" s="95">
        <v>0</v>
      </c>
      <c r="C274" s="95">
        <f t="shared" si="10"/>
        <v>-99.939082701909598</v>
      </c>
      <c r="D274" s="95">
        <f t="shared" si="11"/>
        <v>3.4899496702501298</v>
      </c>
    </row>
    <row r="275" spans="1:4">
      <c r="A275" s="95">
        <v>273</v>
      </c>
      <c r="B275" s="95">
        <v>0</v>
      </c>
      <c r="C275" s="95">
        <f t="shared" si="10"/>
        <v>-99.862953475457402</v>
      </c>
      <c r="D275" s="95">
        <f t="shared" si="11"/>
        <v>5.2335956242943897</v>
      </c>
    </row>
    <row r="276" spans="1:4">
      <c r="A276" s="95">
        <v>274</v>
      </c>
      <c r="B276" s="95">
        <v>0</v>
      </c>
      <c r="C276" s="95">
        <f t="shared" si="10"/>
        <v>-99.756405025982403</v>
      </c>
      <c r="D276" s="95">
        <f t="shared" si="11"/>
        <v>6.97564737441252</v>
      </c>
    </row>
    <row r="277" spans="1:4">
      <c r="A277" s="95">
        <v>275</v>
      </c>
      <c r="B277" s="95">
        <v>0</v>
      </c>
      <c r="C277" s="95">
        <f t="shared" si="10"/>
        <v>-99.619469809174603</v>
      </c>
      <c r="D277" s="95">
        <f t="shared" si="11"/>
        <v>8.7155742747657907</v>
      </c>
    </row>
    <row r="278" spans="1:4">
      <c r="A278" s="95">
        <v>276</v>
      </c>
      <c r="B278" s="95">
        <v>0</v>
      </c>
      <c r="C278" s="95">
        <f t="shared" si="10"/>
        <v>-99.452189536827305</v>
      </c>
      <c r="D278" s="95">
        <f t="shared" si="11"/>
        <v>10.4528463267653</v>
      </c>
    </row>
    <row r="279" spans="1:4">
      <c r="A279" s="95">
        <v>277</v>
      </c>
      <c r="B279" s="95">
        <v>0</v>
      </c>
      <c r="C279" s="95">
        <f t="shared" si="10"/>
        <v>-99.254615164132204</v>
      </c>
      <c r="D279" s="95">
        <f t="shared" si="11"/>
        <v>12.186934340514799</v>
      </c>
    </row>
    <row r="280" spans="1:4">
      <c r="A280" s="95">
        <v>278</v>
      </c>
      <c r="B280" s="95">
        <v>0</v>
      </c>
      <c r="C280" s="95">
        <f t="shared" si="10"/>
        <v>-99.026806874157003</v>
      </c>
      <c r="D280" s="95">
        <f t="shared" si="11"/>
        <v>13.917310096006499</v>
      </c>
    </row>
    <row r="281" spans="1:4">
      <c r="A281" s="95">
        <v>279</v>
      </c>
      <c r="B281" s="95">
        <v>0</v>
      </c>
      <c r="C281" s="95">
        <f t="shared" si="10"/>
        <v>-98.768834059513793</v>
      </c>
      <c r="D281" s="95">
        <f t="shared" si="11"/>
        <v>15.6434465040231</v>
      </c>
    </row>
    <row r="282" spans="1:4">
      <c r="A282" s="95">
        <v>280</v>
      </c>
      <c r="B282" s="95">
        <v>0</v>
      </c>
      <c r="C282" s="95">
        <f t="shared" si="10"/>
        <v>-98.480775301220802</v>
      </c>
      <c r="D282" s="95">
        <f t="shared" si="11"/>
        <v>17.364817766693001</v>
      </c>
    </row>
    <row r="283" spans="1:4">
      <c r="A283" s="95">
        <v>281</v>
      </c>
      <c r="B283" s="95">
        <v>0</v>
      </c>
      <c r="C283" s="95">
        <f t="shared" si="10"/>
        <v>-98.162718344766404</v>
      </c>
      <c r="D283" s="95">
        <f t="shared" si="11"/>
        <v>19.0808995376544</v>
      </c>
    </row>
    <row r="284" spans="1:4">
      <c r="A284" s="95">
        <v>282</v>
      </c>
      <c r="B284" s="95">
        <v>0</v>
      </c>
      <c r="C284" s="95">
        <f t="shared" si="10"/>
        <v>-97.814760073380597</v>
      </c>
      <c r="D284" s="95">
        <f t="shared" si="11"/>
        <v>20.791169081775902</v>
      </c>
    </row>
    <row r="285" spans="1:4">
      <c r="A285" s="95">
        <v>283</v>
      </c>
      <c r="B285" s="95">
        <v>0</v>
      </c>
      <c r="C285" s="95">
        <f t="shared" si="10"/>
        <v>-97.4370064785235</v>
      </c>
      <c r="D285" s="95">
        <f t="shared" si="11"/>
        <v>22.495105434386499</v>
      </c>
    </row>
    <row r="286" spans="1:4">
      <c r="A286" s="95">
        <v>284</v>
      </c>
      <c r="B286" s="95">
        <v>0</v>
      </c>
      <c r="C286" s="95">
        <f t="shared" si="10"/>
        <v>-97.029572627599705</v>
      </c>
      <c r="D286" s="95">
        <f t="shared" si="11"/>
        <v>24.1921895599667</v>
      </c>
    </row>
    <row r="287" spans="1:4">
      <c r="A287" s="95">
        <v>285</v>
      </c>
      <c r="B287" s="95">
        <v>0</v>
      </c>
      <c r="C287" s="95">
        <f t="shared" si="10"/>
        <v>-96.592582628906797</v>
      </c>
      <c r="D287" s="95">
        <f t="shared" si="11"/>
        <v>25.881904510252099</v>
      </c>
    </row>
    <row r="288" spans="1:4">
      <c r="A288" s="95">
        <v>286</v>
      </c>
      <c r="B288" s="95">
        <v>0</v>
      </c>
      <c r="C288" s="95">
        <f t="shared" si="10"/>
        <v>-96.126169593831904</v>
      </c>
      <c r="D288" s="95">
        <f t="shared" si="11"/>
        <v>27.563735581699898</v>
      </c>
    </row>
    <row r="289" spans="1:7">
      <c r="A289" s="95">
        <v>287</v>
      </c>
      <c r="B289" s="95">
        <v>0</v>
      </c>
      <c r="C289" s="95">
        <f t="shared" si="10"/>
        <v>-95.630475596303498</v>
      </c>
      <c r="D289" s="95">
        <f t="shared" si="11"/>
        <v>29.2371704722737</v>
      </c>
    </row>
    <row r="290" spans="1:7">
      <c r="A290" s="95">
        <v>288</v>
      </c>
      <c r="B290" s="95">
        <v>0</v>
      </c>
      <c r="C290" s="95">
        <f t="shared" si="10"/>
        <v>-95.105651629515407</v>
      </c>
      <c r="D290" s="95">
        <f t="shared" si="11"/>
        <v>30.901699437494699</v>
      </c>
    </row>
    <row r="291" spans="1:7">
      <c r="A291" s="95">
        <v>289</v>
      </c>
      <c r="B291" s="95">
        <v>0</v>
      </c>
      <c r="C291" s="95">
        <f t="shared" si="10"/>
        <v>-94.551857559931705</v>
      </c>
      <c r="D291" s="95">
        <f t="shared" si="11"/>
        <v>32.5568154457156</v>
      </c>
    </row>
    <row r="292" spans="1:7">
      <c r="A292" s="95">
        <v>290</v>
      </c>
      <c r="B292" s="95">
        <v>0</v>
      </c>
      <c r="C292" s="95">
        <f t="shared" si="10"/>
        <v>-93.969262078590901</v>
      </c>
      <c r="D292" s="95">
        <f t="shared" si="11"/>
        <v>34.202014332566797</v>
      </c>
      <c r="F292" s="3368" t="s">
        <v>12710</v>
      </c>
      <c r="G292" s="3368"/>
    </row>
    <row r="293" spans="1:7">
      <c r="A293" s="95">
        <v>291</v>
      </c>
      <c r="B293" s="95">
        <v>0</v>
      </c>
      <c r="C293" s="95">
        <f t="shared" si="10"/>
        <v>-93.358042649720204</v>
      </c>
      <c r="D293" s="95">
        <f t="shared" si="11"/>
        <v>35.836794954529999</v>
      </c>
    </row>
    <row r="294" spans="1:7">
      <c r="A294" s="95">
        <v>292</v>
      </c>
      <c r="B294" s="95">
        <v>0</v>
      </c>
      <c r="C294" s="95">
        <f t="shared" si="10"/>
        <v>-92.718385456678703</v>
      </c>
      <c r="D294" s="95">
        <f t="shared" si="11"/>
        <v>37.460659341591203</v>
      </c>
    </row>
    <row r="295" spans="1:7">
      <c r="A295" s="95">
        <v>293</v>
      </c>
      <c r="B295" s="95">
        <v>0</v>
      </c>
      <c r="C295" s="95">
        <f t="shared" si="10"/>
        <v>-92.050485345244098</v>
      </c>
      <c r="D295" s="95">
        <f t="shared" si="11"/>
        <v>39.073112848927401</v>
      </c>
    </row>
    <row r="296" spans="1:7">
      <c r="A296" s="95">
        <v>294</v>
      </c>
      <c r="B296" s="95">
        <v>0</v>
      </c>
      <c r="C296" s="95">
        <f t="shared" si="10"/>
        <v>-91.354545764260095</v>
      </c>
      <c r="D296" s="95">
        <f t="shared" si="11"/>
        <v>40.673664307580097</v>
      </c>
    </row>
    <row r="297" spans="1:7">
      <c r="A297" s="95">
        <v>295</v>
      </c>
      <c r="B297" s="95">
        <v>0</v>
      </c>
      <c r="C297" s="95">
        <f t="shared" si="10"/>
        <v>-90.630778703665001</v>
      </c>
      <c r="D297" s="95">
        <f t="shared" si="11"/>
        <v>42.261826174070002</v>
      </c>
    </row>
    <row r="298" spans="1:7">
      <c r="A298" s="95">
        <v>296</v>
      </c>
      <c r="B298" s="95">
        <v>0</v>
      </c>
      <c r="C298" s="95">
        <f t="shared" si="10"/>
        <v>-89.879404629916706</v>
      </c>
      <c r="D298" s="95">
        <f t="shared" si="11"/>
        <v>43.837114678907703</v>
      </c>
    </row>
    <row r="299" spans="1:7">
      <c r="A299" s="95">
        <v>297</v>
      </c>
      <c r="B299" s="95">
        <v>0</v>
      </c>
      <c r="C299" s="95">
        <f t="shared" si="10"/>
        <v>-89.100652418836802</v>
      </c>
      <c r="D299" s="95">
        <f t="shared" si="11"/>
        <v>45.399049973954703</v>
      </c>
    </row>
    <row r="300" spans="1:7">
      <c r="A300" s="95">
        <v>298</v>
      </c>
      <c r="B300" s="95">
        <v>0</v>
      </c>
      <c r="C300" s="95">
        <f t="shared" si="10"/>
        <v>-88.294759285892695</v>
      </c>
      <c r="D300" s="95">
        <f t="shared" si="11"/>
        <v>46.947156278588999</v>
      </c>
    </row>
    <row r="301" spans="1:7">
      <c r="A301" s="95">
        <v>299</v>
      </c>
      <c r="B301" s="95">
        <v>0</v>
      </c>
      <c r="C301" s="95">
        <f t="shared" si="10"/>
        <v>-87.461970713939607</v>
      </c>
      <c r="D301" s="95">
        <f t="shared" si="11"/>
        <v>48.480962024633598</v>
      </c>
    </row>
    <row r="302" spans="1:7">
      <c r="A302" s="95">
        <v>300</v>
      </c>
      <c r="B302" s="95">
        <v>0</v>
      </c>
      <c r="C302" s="95">
        <f t="shared" si="10"/>
        <v>-86.602540378443905</v>
      </c>
      <c r="D302" s="95">
        <f t="shared" si="11"/>
        <v>50</v>
      </c>
    </row>
    <row r="303" spans="1:7">
      <c r="A303" s="95">
        <v>301</v>
      </c>
      <c r="B303" s="95">
        <v>0</v>
      </c>
      <c r="C303" s="95">
        <f t="shared" si="10"/>
        <v>-85.716730070211199</v>
      </c>
      <c r="D303" s="95">
        <f t="shared" si="11"/>
        <v>51.503807491005396</v>
      </c>
    </row>
    <row r="304" spans="1:7">
      <c r="A304" s="95">
        <v>302</v>
      </c>
      <c r="B304" s="95">
        <v>0</v>
      </c>
      <c r="C304" s="95">
        <f t="shared" si="10"/>
        <v>-84.804809615642597</v>
      </c>
      <c r="D304" s="95">
        <f t="shared" si="11"/>
        <v>52.9919264233205</v>
      </c>
    </row>
    <row r="305" spans="1:4">
      <c r="A305" s="95">
        <v>303</v>
      </c>
      <c r="B305" s="95">
        <v>0</v>
      </c>
      <c r="C305" s="95">
        <f t="shared" si="10"/>
        <v>-83.867056794542407</v>
      </c>
      <c r="D305" s="95">
        <f t="shared" si="11"/>
        <v>54.463903501502699</v>
      </c>
    </row>
    <row r="306" spans="1:4">
      <c r="A306" s="95">
        <v>304</v>
      </c>
      <c r="B306" s="95">
        <v>0</v>
      </c>
      <c r="C306" s="95">
        <f t="shared" si="10"/>
        <v>-82.903757255504203</v>
      </c>
      <c r="D306" s="95">
        <f t="shared" si="11"/>
        <v>55.9192903470746</v>
      </c>
    </row>
    <row r="307" spans="1:4">
      <c r="A307" s="95">
        <v>305</v>
      </c>
      <c r="B307" s="95">
        <v>0</v>
      </c>
      <c r="C307" s="95">
        <f t="shared" si="10"/>
        <v>-81.915204428899202</v>
      </c>
      <c r="D307" s="95">
        <f t="shared" si="11"/>
        <v>57.357643635104601</v>
      </c>
    </row>
    <row r="308" spans="1:4">
      <c r="A308" s="95">
        <v>306</v>
      </c>
      <c r="B308" s="95">
        <v>0</v>
      </c>
      <c r="C308" s="95">
        <f t="shared" si="10"/>
        <v>-80.901699437494798</v>
      </c>
      <c r="D308" s="95">
        <f t="shared" si="11"/>
        <v>58.7785252292473</v>
      </c>
    </row>
    <row r="309" spans="1:4">
      <c r="A309" s="95">
        <v>307</v>
      </c>
      <c r="B309" s="95">
        <v>0</v>
      </c>
      <c r="C309" s="95">
        <f t="shared" si="10"/>
        <v>-79.863551004729302</v>
      </c>
      <c r="D309" s="95">
        <f t="shared" si="11"/>
        <v>60.181502315204803</v>
      </c>
    </row>
    <row r="310" spans="1:4">
      <c r="A310" s="95">
        <v>308</v>
      </c>
      <c r="B310" s="95">
        <v>0</v>
      </c>
      <c r="C310" s="95">
        <f t="shared" si="10"/>
        <v>-78.801075360672201</v>
      </c>
      <c r="D310" s="95">
        <f t="shared" si="11"/>
        <v>61.5661475325659</v>
      </c>
    </row>
    <row r="311" spans="1:4">
      <c r="A311" s="95">
        <v>309</v>
      </c>
      <c r="B311" s="95">
        <v>0</v>
      </c>
      <c r="C311" s="95">
        <f t="shared" si="10"/>
        <v>-77.714596145697101</v>
      </c>
      <c r="D311" s="95">
        <f t="shared" si="11"/>
        <v>62.932039104983801</v>
      </c>
    </row>
    <row r="312" spans="1:4">
      <c r="A312" s="95">
        <v>310</v>
      </c>
      <c r="B312" s="95">
        <v>0</v>
      </c>
      <c r="C312" s="95">
        <f t="shared" si="10"/>
        <v>-76.604444311897794</v>
      </c>
      <c r="D312" s="95">
        <f t="shared" si="11"/>
        <v>64.278760968653899</v>
      </c>
    </row>
    <row r="313" spans="1:4">
      <c r="A313" s="95">
        <v>311</v>
      </c>
      <c r="B313" s="95">
        <v>0</v>
      </c>
      <c r="C313" s="95">
        <f t="shared" si="10"/>
        <v>-75.470958022277202</v>
      </c>
      <c r="D313" s="95">
        <f t="shared" si="11"/>
        <v>65.605902899050704</v>
      </c>
    </row>
    <row r="314" spans="1:4">
      <c r="A314" s="95">
        <v>312</v>
      </c>
      <c r="B314" s="95">
        <v>0</v>
      </c>
      <c r="C314" s="95">
        <f t="shared" si="10"/>
        <v>-74.314482547739502</v>
      </c>
      <c r="D314" s="95">
        <f t="shared" si="11"/>
        <v>66.913060635885799</v>
      </c>
    </row>
    <row r="315" spans="1:4">
      <c r="A315" s="95">
        <v>313</v>
      </c>
      <c r="B315" s="95">
        <v>0</v>
      </c>
      <c r="C315" s="95">
        <f t="shared" si="10"/>
        <v>-73.135370161917095</v>
      </c>
      <c r="D315" s="95">
        <f t="shared" si="11"/>
        <v>68.199836006249797</v>
      </c>
    </row>
    <row r="316" spans="1:4">
      <c r="A316" s="95">
        <v>314</v>
      </c>
      <c r="B316" s="95">
        <v>0</v>
      </c>
      <c r="C316" s="95">
        <f t="shared" si="10"/>
        <v>-71.933980033865197</v>
      </c>
      <c r="D316" s="95">
        <f t="shared" si="11"/>
        <v>69.465837045899704</v>
      </c>
    </row>
    <row r="317" spans="1:4">
      <c r="A317" s="95">
        <v>315</v>
      </c>
      <c r="B317" s="95">
        <v>0</v>
      </c>
      <c r="C317" s="95">
        <f t="shared" si="10"/>
        <v>-70.710678118654798</v>
      </c>
      <c r="D317" s="95">
        <f t="shared" si="11"/>
        <v>70.710678118654698</v>
      </c>
    </row>
    <row r="318" spans="1:4">
      <c r="A318" s="95">
        <v>316</v>
      </c>
      <c r="B318" s="95">
        <v>0</v>
      </c>
      <c r="C318" s="95">
        <f t="shared" si="10"/>
        <v>-69.465837045899804</v>
      </c>
      <c r="D318" s="95">
        <f t="shared" si="11"/>
        <v>71.933980033865097</v>
      </c>
    </row>
    <row r="319" spans="1:4">
      <c r="A319" s="95">
        <v>317</v>
      </c>
      <c r="B319" s="95">
        <v>0</v>
      </c>
      <c r="C319" s="95">
        <f t="shared" si="10"/>
        <v>-68.199836006249797</v>
      </c>
      <c r="D319" s="95">
        <f t="shared" si="11"/>
        <v>73.135370161917095</v>
      </c>
    </row>
    <row r="320" spans="1:4">
      <c r="A320" s="95">
        <v>318</v>
      </c>
      <c r="B320" s="95">
        <v>0</v>
      </c>
      <c r="C320" s="95">
        <f t="shared" si="10"/>
        <v>-66.913060635885799</v>
      </c>
      <c r="D320" s="95">
        <f t="shared" si="11"/>
        <v>74.314482547739402</v>
      </c>
    </row>
    <row r="321" spans="1:7">
      <c r="A321" s="95">
        <v>319</v>
      </c>
      <c r="B321" s="95">
        <v>0</v>
      </c>
      <c r="C321" s="95">
        <f t="shared" si="10"/>
        <v>-65.605902899050704</v>
      </c>
      <c r="D321" s="95">
        <f t="shared" si="11"/>
        <v>75.470958022277202</v>
      </c>
    </row>
    <row r="322" spans="1:7">
      <c r="A322" s="95">
        <v>320</v>
      </c>
      <c r="B322" s="95">
        <v>0</v>
      </c>
      <c r="C322" s="95">
        <f t="shared" si="10"/>
        <v>-64.278760968653998</v>
      </c>
      <c r="D322" s="95">
        <f t="shared" si="11"/>
        <v>76.604444311897794</v>
      </c>
    </row>
    <row r="323" spans="1:7">
      <c r="A323" s="95">
        <v>321</v>
      </c>
      <c r="B323" s="95">
        <v>0</v>
      </c>
      <c r="C323" s="95">
        <f t="shared" ref="C323:C362" si="12">(100+B323)*SIN(A323*PI()/180)</f>
        <v>-62.932039104983801</v>
      </c>
      <c r="D323" s="95">
        <f t="shared" ref="D323:D362" si="13">(100+B323)*COS(A323*PI()/180)</f>
        <v>77.714596145697101</v>
      </c>
    </row>
    <row r="324" spans="1:7">
      <c r="A324" s="95">
        <v>322</v>
      </c>
      <c r="B324" s="95">
        <v>0</v>
      </c>
      <c r="C324" s="95">
        <f t="shared" si="12"/>
        <v>-61.5661475325659</v>
      </c>
      <c r="D324" s="95">
        <f t="shared" si="13"/>
        <v>78.801075360672201</v>
      </c>
      <c r="F324" s="3368" t="s">
        <v>12710</v>
      </c>
      <c r="G324" s="3368"/>
    </row>
    <row r="325" spans="1:7">
      <c r="A325" s="95">
        <v>323</v>
      </c>
      <c r="B325" s="95">
        <v>0</v>
      </c>
      <c r="C325" s="95">
        <f t="shared" si="12"/>
        <v>-60.181502315204803</v>
      </c>
      <c r="D325" s="95">
        <f t="shared" si="13"/>
        <v>79.863551004729302</v>
      </c>
    </row>
    <row r="326" spans="1:7">
      <c r="A326" s="95">
        <v>324</v>
      </c>
      <c r="B326" s="95">
        <v>0</v>
      </c>
      <c r="C326" s="95">
        <f t="shared" si="12"/>
        <v>-58.7785252292473</v>
      </c>
      <c r="D326" s="95">
        <f t="shared" si="13"/>
        <v>80.901699437494699</v>
      </c>
    </row>
    <row r="327" spans="1:7">
      <c r="A327" s="95">
        <v>325</v>
      </c>
      <c r="B327" s="95">
        <v>0</v>
      </c>
      <c r="C327" s="95">
        <f t="shared" si="12"/>
        <v>-57.357643635104701</v>
      </c>
      <c r="D327" s="95">
        <f t="shared" si="13"/>
        <v>81.915204428899202</v>
      </c>
    </row>
    <row r="328" spans="1:7">
      <c r="A328" s="95">
        <v>326</v>
      </c>
      <c r="B328" s="95">
        <v>0</v>
      </c>
      <c r="C328" s="95">
        <f t="shared" si="12"/>
        <v>-55.9192903470747</v>
      </c>
      <c r="D328" s="95">
        <f t="shared" si="13"/>
        <v>82.903757255504104</v>
      </c>
    </row>
    <row r="329" spans="1:7">
      <c r="A329" s="95">
        <v>327</v>
      </c>
      <c r="B329" s="95">
        <v>0</v>
      </c>
      <c r="C329" s="95">
        <f t="shared" si="12"/>
        <v>-54.463903501502699</v>
      </c>
      <c r="D329" s="95">
        <f t="shared" si="13"/>
        <v>83.867056794542407</v>
      </c>
    </row>
    <row r="330" spans="1:7">
      <c r="A330" s="95">
        <v>328</v>
      </c>
      <c r="B330" s="95">
        <v>0</v>
      </c>
      <c r="C330" s="95">
        <f t="shared" si="12"/>
        <v>-52.991926423320599</v>
      </c>
      <c r="D330" s="95">
        <f t="shared" si="13"/>
        <v>84.804809615642498</v>
      </c>
    </row>
    <row r="331" spans="1:7">
      <c r="A331" s="95">
        <v>329</v>
      </c>
      <c r="B331" s="95">
        <v>0</v>
      </c>
      <c r="C331" s="95">
        <f t="shared" si="12"/>
        <v>-51.503807491005396</v>
      </c>
      <c r="D331" s="95">
        <f t="shared" si="13"/>
        <v>85.716730070211199</v>
      </c>
    </row>
    <row r="332" spans="1:7">
      <c r="A332" s="95">
        <v>330</v>
      </c>
      <c r="B332" s="95">
        <v>0</v>
      </c>
      <c r="C332" s="95">
        <f t="shared" si="12"/>
        <v>-50</v>
      </c>
      <c r="D332" s="95">
        <f t="shared" si="13"/>
        <v>86.602540378443805</v>
      </c>
    </row>
    <row r="333" spans="1:7">
      <c r="A333" s="95">
        <v>331</v>
      </c>
      <c r="B333" s="95">
        <v>0</v>
      </c>
      <c r="C333" s="95">
        <f t="shared" si="12"/>
        <v>-48.480962024633698</v>
      </c>
      <c r="D333" s="95">
        <f t="shared" si="13"/>
        <v>87.461970713939607</v>
      </c>
    </row>
    <row r="334" spans="1:7">
      <c r="A334" s="95">
        <v>332</v>
      </c>
      <c r="B334" s="95">
        <v>0</v>
      </c>
      <c r="C334" s="95">
        <f t="shared" si="12"/>
        <v>-46.947156278589098</v>
      </c>
      <c r="D334" s="95">
        <f t="shared" si="13"/>
        <v>88.294759285892695</v>
      </c>
    </row>
    <row r="335" spans="1:7">
      <c r="A335" s="95">
        <v>333</v>
      </c>
      <c r="B335" s="95">
        <v>0</v>
      </c>
      <c r="C335" s="95">
        <f t="shared" si="12"/>
        <v>-45.399049973954703</v>
      </c>
      <c r="D335" s="95">
        <f t="shared" si="13"/>
        <v>89.100652418836802</v>
      </c>
    </row>
    <row r="336" spans="1:7">
      <c r="A336" s="95">
        <v>334</v>
      </c>
      <c r="B336" s="95">
        <v>0</v>
      </c>
      <c r="C336" s="95">
        <f t="shared" si="12"/>
        <v>-43.837114678907703</v>
      </c>
      <c r="D336" s="95">
        <f t="shared" si="13"/>
        <v>89.879404629916706</v>
      </c>
    </row>
    <row r="337" spans="1:4">
      <c r="A337" s="95">
        <v>335</v>
      </c>
      <c r="B337" s="95">
        <v>0</v>
      </c>
      <c r="C337" s="95">
        <f t="shared" si="12"/>
        <v>-42.261826174070002</v>
      </c>
      <c r="D337" s="95">
        <f t="shared" si="13"/>
        <v>90.630778703665001</v>
      </c>
    </row>
    <row r="338" spans="1:4">
      <c r="A338" s="95">
        <v>336</v>
      </c>
      <c r="B338" s="95">
        <v>0</v>
      </c>
      <c r="C338" s="95">
        <f t="shared" si="12"/>
        <v>-40.673664307579998</v>
      </c>
      <c r="D338" s="95">
        <f t="shared" si="13"/>
        <v>91.354545764260095</v>
      </c>
    </row>
    <row r="339" spans="1:4">
      <c r="A339" s="95">
        <v>337</v>
      </c>
      <c r="B339" s="95">
        <v>0</v>
      </c>
      <c r="C339" s="95">
        <f t="shared" si="12"/>
        <v>-39.073112848927501</v>
      </c>
      <c r="D339" s="95">
        <f t="shared" si="13"/>
        <v>92.050485345243999</v>
      </c>
    </row>
    <row r="340" spans="1:4">
      <c r="A340" s="95">
        <v>338</v>
      </c>
      <c r="B340" s="95">
        <v>0</v>
      </c>
      <c r="C340" s="95">
        <f t="shared" si="12"/>
        <v>-37.460659341591203</v>
      </c>
      <c r="D340" s="95">
        <f t="shared" si="13"/>
        <v>92.718385456678703</v>
      </c>
    </row>
    <row r="341" spans="1:4">
      <c r="A341" s="95">
        <v>339</v>
      </c>
      <c r="B341" s="95">
        <v>0</v>
      </c>
      <c r="C341" s="95">
        <f t="shared" si="12"/>
        <v>-35.836794954530099</v>
      </c>
      <c r="D341" s="95">
        <f t="shared" si="13"/>
        <v>93.358042649720105</v>
      </c>
    </row>
    <row r="342" spans="1:4">
      <c r="A342" s="95">
        <v>340</v>
      </c>
      <c r="B342" s="95">
        <v>0</v>
      </c>
      <c r="C342" s="95">
        <f t="shared" si="12"/>
        <v>-34.202014332566897</v>
      </c>
      <c r="D342" s="95">
        <f t="shared" si="13"/>
        <v>93.969262078590802</v>
      </c>
    </row>
    <row r="343" spans="1:4">
      <c r="A343" s="95">
        <v>341</v>
      </c>
      <c r="B343" s="95">
        <v>0</v>
      </c>
      <c r="C343" s="95">
        <f t="shared" si="12"/>
        <v>-32.556815445715799</v>
      </c>
      <c r="D343" s="95">
        <f t="shared" si="13"/>
        <v>94.551857559931605</v>
      </c>
    </row>
    <row r="344" spans="1:4">
      <c r="A344" s="95">
        <v>342</v>
      </c>
      <c r="B344" s="95">
        <v>0</v>
      </c>
      <c r="C344" s="95">
        <f t="shared" si="12"/>
        <v>-30.901699437494798</v>
      </c>
      <c r="D344" s="95">
        <f t="shared" si="13"/>
        <v>95.105651629515293</v>
      </c>
    </row>
    <row r="345" spans="1:4">
      <c r="A345" s="95">
        <v>343</v>
      </c>
      <c r="B345" s="95">
        <v>0</v>
      </c>
      <c r="C345" s="95">
        <f t="shared" si="12"/>
        <v>-29.237170472273601</v>
      </c>
      <c r="D345" s="95">
        <f t="shared" si="13"/>
        <v>95.630475596303597</v>
      </c>
    </row>
    <row r="346" spans="1:4">
      <c r="A346" s="95">
        <v>344</v>
      </c>
      <c r="B346" s="95">
        <v>0</v>
      </c>
      <c r="C346" s="95">
        <f t="shared" si="12"/>
        <v>-27.563735581700001</v>
      </c>
      <c r="D346" s="95">
        <f t="shared" si="13"/>
        <v>96.126169593831904</v>
      </c>
    </row>
    <row r="347" spans="1:4">
      <c r="A347" s="95">
        <v>345</v>
      </c>
      <c r="B347" s="95">
        <v>0</v>
      </c>
      <c r="C347" s="95">
        <f t="shared" si="12"/>
        <v>-25.881904510252099</v>
      </c>
      <c r="D347" s="95">
        <f t="shared" si="13"/>
        <v>96.592582628906797</v>
      </c>
    </row>
    <row r="348" spans="1:4">
      <c r="A348" s="95">
        <v>346</v>
      </c>
      <c r="B348" s="95">
        <v>0</v>
      </c>
      <c r="C348" s="95">
        <f t="shared" si="12"/>
        <v>-24.192189559966799</v>
      </c>
      <c r="D348" s="95">
        <f t="shared" si="13"/>
        <v>97.029572627599606</v>
      </c>
    </row>
    <row r="349" spans="1:4">
      <c r="A349" s="95">
        <v>347</v>
      </c>
      <c r="B349" s="95">
        <v>0</v>
      </c>
      <c r="C349" s="95">
        <f t="shared" si="12"/>
        <v>-22.495105434386499</v>
      </c>
      <c r="D349" s="95">
        <f t="shared" si="13"/>
        <v>97.4370064785235</v>
      </c>
    </row>
    <row r="350" spans="1:4">
      <c r="A350" s="95">
        <v>348</v>
      </c>
      <c r="B350" s="95">
        <v>0</v>
      </c>
      <c r="C350" s="95">
        <f t="shared" si="12"/>
        <v>-20.791169081776001</v>
      </c>
      <c r="D350" s="95">
        <f t="shared" si="13"/>
        <v>97.814760073380597</v>
      </c>
    </row>
    <row r="351" spans="1:4">
      <c r="A351" s="95">
        <v>349</v>
      </c>
      <c r="B351" s="95">
        <v>0</v>
      </c>
      <c r="C351" s="95">
        <f t="shared" si="12"/>
        <v>-19.080899537654499</v>
      </c>
      <c r="D351" s="95">
        <f t="shared" si="13"/>
        <v>98.162718344766404</v>
      </c>
    </row>
    <row r="352" spans="1:4">
      <c r="A352" s="95">
        <v>350</v>
      </c>
      <c r="B352" s="95">
        <v>0</v>
      </c>
      <c r="C352" s="95">
        <f t="shared" si="12"/>
        <v>-17.364817766693101</v>
      </c>
      <c r="D352" s="95">
        <f t="shared" si="13"/>
        <v>98.480775301220802</v>
      </c>
    </row>
    <row r="353" spans="1:7">
      <c r="A353" s="95">
        <v>351</v>
      </c>
      <c r="B353" s="95">
        <v>0</v>
      </c>
      <c r="C353" s="95">
        <f t="shared" si="12"/>
        <v>-15.6434465040231</v>
      </c>
      <c r="D353" s="95">
        <f t="shared" si="13"/>
        <v>98.768834059513793</v>
      </c>
    </row>
    <row r="354" spans="1:7">
      <c r="A354" s="95">
        <v>352</v>
      </c>
      <c r="B354" s="95">
        <v>0</v>
      </c>
      <c r="C354" s="95">
        <f t="shared" si="12"/>
        <v>-13.917310096006601</v>
      </c>
      <c r="D354" s="95">
        <f t="shared" si="13"/>
        <v>99.026806874157003</v>
      </c>
    </row>
    <row r="355" spans="1:7">
      <c r="A355" s="95">
        <v>353</v>
      </c>
      <c r="B355" s="95">
        <v>0</v>
      </c>
      <c r="C355" s="95">
        <f t="shared" si="12"/>
        <v>-12.186934340514799</v>
      </c>
      <c r="D355" s="95">
        <f t="shared" si="13"/>
        <v>99.254615164132204</v>
      </c>
    </row>
    <row r="356" spans="1:7">
      <c r="A356" s="95">
        <v>354</v>
      </c>
      <c r="B356" s="95">
        <v>0</v>
      </c>
      <c r="C356" s="95">
        <f t="shared" si="12"/>
        <v>-10.4528463267653</v>
      </c>
      <c r="D356" s="95">
        <f t="shared" si="13"/>
        <v>99.452189536827305</v>
      </c>
    </row>
    <row r="357" spans="1:7">
      <c r="A357" s="95">
        <v>355</v>
      </c>
      <c r="B357" s="95">
        <v>0</v>
      </c>
      <c r="C357" s="95">
        <f t="shared" si="12"/>
        <v>-8.7155742747658298</v>
      </c>
      <c r="D357" s="95">
        <f t="shared" si="13"/>
        <v>99.619469809174603</v>
      </c>
    </row>
    <row r="358" spans="1:7">
      <c r="A358" s="95">
        <v>356</v>
      </c>
      <c r="B358" s="95">
        <v>0</v>
      </c>
      <c r="C358" s="95">
        <f t="shared" si="12"/>
        <v>-6.9756473744124801</v>
      </c>
      <c r="D358" s="95">
        <f t="shared" si="13"/>
        <v>99.756405025982403</v>
      </c>
      <c r="F358" s="3368" t="s">
        <v>12710</v>
      </c>
      <c r="G358" s="3368"/>
    </row>
    <row r="359" spans="1:7">
      <c r="A359" s="95">
        <v>357</v>
      </c>
      <c r="B359" s="95">
        <v>0</v>
      </c>
      <c r="C359" s="95">
        <f t="shared" si="12"/>
        <v>-5.2335956242944404</v>
      </c>
      <c r="D359" s="95">
        <f t="shared" si="13"/>
        <v>99.862953475457402</v>
      </c>
    </row>
    <row r="360" spans="1:7">
      <c r="A360" s="95">
        <v>358</v>
      </c>
      <c r="B360" s="95">
        <v>0</v>
      </c>
      <c r="C360" s="95">
        <f t="shared" si="12"/>
        <v>-3.4899496702500801</v>
      </c>
      <c r="D360" s="95">
        <f t="shared" si="13"/>
        <v>99.939082701909598</v>
      </c>
    </row>
    <row r="361" spans="1:7">
      <c r="A361" s="95">
        <v>359</v>
      </c>
      <c r="B361" s="95">
        <v>0</v>
      </c>
      <c r="C361" s="95">
        <f t="shared" si="12"/>
        <v>-1.74524064372844</v>
      </c>
      <c r="D361" s="95">
        <f t="shared" si="13"/>
        <v>99.984769515639101</v>
      </c>
    </row>
    <row r="362" spans="1:7">
      <c r="A362" s="95">
        <v>360</v>
      </c>
      <c r="B362" s="95">
        <v>0</v>
      </c>
      <c r="C362" s="95">
        <f t="shared" si="12"/>
        <v>-2.4492935982947099E-14</v>
      </c>
      <c r="D362" s="95">
        <f t="shared" si="13"/>
        <v>100</v>
      </c>
    </row>
  </sheetData>
  <mergeCells count="12">
    <mergeCell ref="F324:G324"/>
    <mergeCell ref="F358:G358"/>
    <mergeCell ref="F156:G156"/>
    <mergeCell ref="F181:G181"/>
    <mergeCell ref="F209:G209"/>
    <mergeCell ref="F249:G249"/>
    <mergeCell ref="F292:G292"/>
    <mergeCell ref="A1:F1"/>
    <mergeCell ref="F15:G15"/>
    <mergeCell ref="F49:G49"/>
    <mergeCell ref="F76:G76"/>
    <mergeCell ref="F105:G105"/>
  </mergeCells>
  <phoneticPr fontId="378" type="noConversion"/>
  <hyperlinks>
    <hyperlink ref="F15:G15" location="总目录!A1" display="返回目录"/>
    <hyperlink ref="F49:G49" location="总目录!A1" display="返回目录"/>
    <hyperlink ref="F76:G76" location="总目录!A1" display="返回目录"/>
    <hyperlink ref="F105:G105" location="总目录!A1" display="返回目录"/>
    <hyperlink ref="F156:G156" location="总目录!A1" display="返回目录"/>
    <hyperlink ref="F181:G181" location="总目录!A1" display="返回目录"/>
    <hyperlink ref="F209:G209" location="总目录!A1" display="返回目录"/>
    <hyperlink ref="F249:G249" location="总目录!A1" display="返回目录"/>
    <hyperlink ref="F292:G292" location="总目录!A1" display="返回目录"/>
    <hyperlink ref="F324:G324" location="总目录!A1" display="返回目录"/>
    <hyperlink ref="F358:G358" location="总目录!A1" display="返回目录"/>
  </hyperlinks>
  <pageMargins left="0.75" right="0.75" top="1" bottom="1" header="0.5" footer="0.5"/>
  <pageSetup paperSize="9" orientation="portrait"/>
  <headerFooter scaleWithDoc="0"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6"/>
  <sheetViews>
    <sheetView topLeftCell="A28" zoomScale="85" zoomScaleNormal="85" workbookViewId="0">
      <selection activeCell="M59" sqref="M59"/>
    </sheetView>
  </sheetViews>
  <sheetFormatPr defaultColWidth="8.75" defaultRowHeight="16.5"/>
  <cols>
    <col min="1" max="1" width="6.75" style="493" customWidth="1"/>
    <col min="2" max="3" width="7.625" style="95" customWidth="1"/>
    <col min="4" max="4" width="5.375" style="95" customWidth="1"/>
    <col min="5" max="5" width="8.125" style="95" customWidth="1"/>
    <col min="6" max="6" width="8.875" style="95" customWidth="1"/>
    <col min="7" max="7" width="8.75" style="95"/>
    <col min="8" max="8" width="6.75" style="95" customWidth="1"/>
    <col min="9" max="9" width="7.125" style="95" customWidth="1"/>
    <col min="10" max="10" width="17.125" style="95" customWidth="1"/>
    <col min="11" max="11" width="17.875" style="95" customWidth="1"/>
    <col min="12" max="12" width="8.375" style="95" customWidth="1"/>
    <col min="13" max="13" width="25.375" style="95" customWidth="1"/>
    <col min="14" max="16384" width="8.75" style="95"/>
  </cols>
  <sheetData>
    <row r="1" spans="1:15" ht="33" customHeight="1">
      <c r="A1" s="3370" t="s">
        <v>6142</v>
      </c>
      <c r="B1" s="3370"/>
      <c r="C1" s="3370"/>
      <c r="D1" s="3370"/>
      <c r="E1" s="3370"/>
      <c r="F1" s="3370"/>
      <c r="G1" s="3370"/>
      <c r="H1" s="3370"/>
      <c r="I1" s="3370"/>
      <c r="J1" s="3370"/>
      <c r="K1" s="3370"/>
      <c r="L1" s="506"/>
    </row>
    <row r="2" spans="1:15" ht="23.25" customHeight="1">
      <c r="A2" s="3371" t="s">
        <v>6143</v>
      </c>
      <c r="B2" s="3371"/>
      <c r="C2" s="3371"/>
      <c r="D2" s="3371"/>
      <c r="E2" s="3371"/>
      <c r="F2" s="3371"/>
      <c r="G2" s="3371"/>
      <c r="H2" s="3371"/>
      <c r="I2" s="3371"/>
      <c r="J2" s="3371"/>
      <c r="K2" s="3371"/>
      <c r="L2" s="3371"/>
      <c r="M2" s="95" t="s">
        <v>6144</v>
      </c>
    </row>
    <row r="3" spans="1:15">
      <c r="A3" s="2530" t="s">
        <v>6145</v>
      </c>
      <c r="B3" s="2530" t="s">
        <v>6146</v>
      </c>
      <c r="C3" s="2530" t="s">
        <v>6147</v>
      </c>
      <c r="D3" s="2531" t="s">
        <v>6148</v>
      </c>
      <c r="E3" s="2532" t="s">
        <v>6149</v>
      </c>
      <c r="F3" s="2532" t="s">
        <v>6150</v>
      </c>
      <c r="G3" s="2532" t="s">
        <v>6151</v>
      </c>
      <c r="H3" s="2532" t="s">
        <v>6152</v>
      </c>
      <c r="I3" s="2531" t="s">
        <v>6153</v>
      </c>
      <c r="J3" s="2531" t="s">
        <v>6154</v>
      </c>
      <c r="K3" s="2531" t="s">
        <v>6155</v>
      </c>
      <c r="L3" s="506"/>
      <c r="M3" s="493" t="s">
        <v>6156</v>
      </c>
    </row>
    <row r="4" spans="1:15">
      <c r="A4" s="913">
        <v>0</v>
      </c>
      <c r="B4" s="506">
        <f t="shared" ref="B4:B67" si="0">PI()</f>
        <v>3.14159265358979</v>
      </c>
      <c r="C4" s="506"/>
      <c r="D4" s="506">
        <v>20</v>
      </c>
      <c r="E4" s="506">
        <v>60</v>
      </c>
      <c r="F4" s="506">
        <v>40</v>
      </c>
      <c r="G4" s="506">
        <v>60</v>
      </c>
      <c r="H4" s="506">
        <v>180</v>
      </c>
      <c r="I4" s="506">
        <v>70</v>
      </c>
      <c r="J4" s="506"/>
      <c r="K4" s="506"/>
      <c r="L4" s="506"/>
      <c r="M4" s="493" t="s">
        <v>6157</v>
      </c>
    </row>
    <row r="5" spans="1:15">
      <c r="A5" s="913">
        <v>2.5</v>
      </c>
      <c r="B5" s="506">
        <f t="shared" si="0"/>
        <v>3.14159265358979</v>
      </c>
      <c r="C5" s="506"/>
      <c r="D5" s="506">
        <v>20</v>
      </c>
      <c r="E5" s="506">
        <v>60</v>
      </c>
      <c r="F5" s="506">
        <v>40</v>
      </c>
      <c r="G5" s="506">
        <v>60</v>
      </c>
      <c r="H5" s="506">
        <v>180</v>
      </c>
      <c r="I5" s="506">
        <v>70</v>
      </c>
      <c r="J5" s="506"/>
      <c r="K5" s="506"/>
      <c r="L5" s="506"/>
    </row>
    <row r="6" spans="1:15">
      <c r="A6" s="913">
        <v>5</v>
      </c>
      <c r="B6" s="506">
        <f t="shared" si="0"/>
        <v>3.14159265358979</v>
      </c>
      <c r="C6" s="506"/>
      <c r="D6" s="506">
        <v>20</v>
      </c>
      <c r="E6" s="506">
        <v>60</v>
      </c>
      <c r="F6" s="506">
        <v>40</v>
      </c>
      <c r="G6" s="506">
        <v>60</v>
      </c>
      <c r="H6" s="506">
        <v>180</v>
      </c>
      <c r="I6" s="506">
        <v>70</v>
      </c>
      <c r="J6" s="506"/>
      <c r="K6" s="506"/>
      <c r="L6" s="506"/>
    </row>
    <row r="7" spans="1:15">
      <c r="A7" s="913">
        <v>7.5</v>
      </c>
      <c r="B7" s="506">
        <f t="shared" si="0"/>
        <v>3.14159265358979</v>
      </c>
      <c r="C7" s="506"/>
      <c r="D7" s="506">
        <v>20</v>
      </c>
      <c r="E7" s="506">
        <v>60</v>
      </c>
      <c r="F7" s="506">
        <v>40</v>
      </c>
      <c r="G7" s="506">
        <v>60</v>
      </c>
      <c r="H7" s="506">
        <v>180</v>
      </c>
      <c r="I7" s="506">
        <v>70</v>
      </c>
      <c r="J7" s="506"/>
      <c r="K7" s="506"/>
      <c r="L7" s="506"/>
    </row>
    <row r="8" spans="1:15">
      <c r="A8" s="913">
        <v>10</v>
      </c>
      <c r="B8" s="506">
        <f t="shared" si="0"/>
        <v>3.14159265358979</v>
      </c>
      <c r="C8" s="506"/>
      <c r="D8" s="506">
        <v>20</v>
      </c>
      <c r="E8" s="506">
        <v>60</v>
      </c>
      <c r="F8" s="506">
        <v>40</v>
      </c>
      <c r="G8" s="506">
        <v>60</v>
      </c>
      <c r="H8" s="506">
        <v>180</v>
      </c>
      <c r="I8" s="506">
        <v>70</v>
      </c>
      <c r="J8" s="506"/>
      <c r="K8" s="506"/>
      <c r="L8" s="506"/>
    </row>
    <row r="9" spans="1:15">
      <c r="A9" s="913">
        <v>12.5</v>
      </c>
      <c r="B9" s="2533">
        <f t="shared" si="0"/>
        <v>3.14159265358979</v>
      </c>
      <c r="C9" s="2533"/>
      <c r="D9" s="2533">
        <v>20</v>
      </c>
      <c r="E9" s="2533">
        <v>60</v>
      </c>
      <c r="F9" s="2533">
        <v>40</v>
      </c>
      <c r="G9" s="2533">
        <v>60</v>
      </c>
      <c r="H9" s="2533">
        <v>180</v>
      </c>
      <c r="I9" s="2533">
        <v>70</v>
      </c>
      <c r="J9" s="506"/>
      <c r="K9" s="506"/>
      <c r="L9" s="506"/>
      <c r="M9" s="3176"/>
      <c r="N9" s="3161"/>
      <c r="O9" s="3161"/>
    </row>
    <row r="10" spans="1:15">
      <c r="A10" s="913">
        <v>15</v>
      </c>
      <c r="B10" s="506">
        <f t="shared" si="0"/>
        <v>3.14159265358979</v>
      </c>
      <c r="C10" s="506"/>
      <c r="D10" s="506">
        <v>20</v>
      </c>
      <c r="E10" s="506">
        <v>60</v>
      </c>
      <c r="F10" s="506">
        <v>40</v>
      </c>
      <c r="G10" s="506">
        <v>60</v>
      </c>
      <c r="H10" s="506">
        <v>180</v>
      </c>
      <c r="I10" s="506">
        <v>70</v>
      </c>
      <c r="J10" s="506"/>
      <c r="K10" s="506"/>
      <c r="L10" s="506"/>
      <c r="M10" s="3176"/>
      <c r="N10" s="3161"/>
      <c r="O10" s="3161"/>
    </row>
    <row r="11" spans="1:15">
      <c r="A11" s="913">
        <v>17.5</v>
      </c>
      <c r="B11" s="506">
        <f t="shared" si="0"/>
        <v>3.14159265358979</v>
      </c>
      <c r="C11" s="506"/>
      <c r="D11" s="506">
        <v>20</v>
      </c>
      <c r="E11" s="506">
        <v>60</v>
      </c>
      <c r="F11" s="506">
        <v>40</v>
      </c>
      <c r="G11" s="506">
        <v>60</v>
      </c>
      <c r="H11" s="506">
        <v>180</v>
      </c>
      <c r="I11" s="506">
        <v>70</v>
      </c>
      <c r="J11" s="506"/>
      <c r="K11" s="506"/>
      <c r="L11" s="506"/>
    </row>
    <row r="12" spans="1:15">
      <c r="A12" s="913">
        <v>20</v>
      </c>
      <c r="B12" s="506">
        <f t="shared" si="0"/>
        <v>3.14159265358979</v>
      </c>
      <c r="C12" s="506">
        <v>20</v>
      </c>
      <c r="D12" s="506">
        <v>20</v>
      </c>
      <c r="E12" s="506">
        <v>60</v>
      </c>
      <c r="F12" s="506">
        <v>40</v>
      </c>
      <c r="G12" s="506">
        <v>60</v>
      </c>
      <c r="H12" s="506">
        <v>180</v>
      </c>
      <c r="I12" s="506">
        <v>70</v>
      </c>
      <c r="J12" s="506">
        <f t="shared" ref="J12:J36" si="1">I12+D12/2-D12*COS(3*(A12-C12)/180*B12)/2</f>
        <v>70</v>
      </c>
      <c r="K12" s="506"/>
      <c r="L12" s="506"/>
    </row>
    <row r="13" spans="1:15">
      <c r="A13" s="913">
        <v>22.5</v>
      </c>
      <c r="B13" s="506">
        <f t="shared" si="0"/>
        <v>3.14159265358979</v>
      </c>
      <c r="C13" s="506">
        <v>20</v>
      </c>
      <c r="D13" s="506">
        <v>20</v>
      </c>
      <c r="E13" s="506">
        <v>60</v>
      </c>
      <c r="F13" s="506">
        <v>40</v>
      </c>
      <c r="G13" s="506">
        <v>60</v>
      </c>
      <c r="H13" s="506">
        <v>180</v>
      </c>
      <c r="I13" s="506">
        <v>70</v>
      </c>
      <c r="J13" s="506">
        <f t="shared" si="1"/>
        <v>70.085551386261898</v>
      </c>
      <c r="K13" s="506">
        <f>I13+D13*(A13-C13)/E13-D13*SIN(6*((A13-C13)*B13/180))/2/B13</f>
        <v>70.009486725445498</v>
      </c>
      <c r="L13" s="506">
        <f>SIN(6*((A13-C13)*B13/180))</f>
        <v>0.25881904510252102</v>
      </c>
      <c r="M13" s="3166" t="s">
        <v>12704</v>
      </c>
    </row>
    <row r="14" spans="1:15">
      <c r="A14" s="913">
        <v>25</v>
      </c>
      <c r="B14" s="506">
        <f t="shared" si="0"/>
        <v>3.14159265358979</v>
      </c>
      <c r="C14" s="506">
        <v>20</v>
      </c>
      <c r="D14" s="506">
        <v>20</v>
      </c>
      <c r="E14" s="506">
        <v>60</v>
      </c>
      <c r="F14" s="506">
        <v>40</v>
      </c>
      <c r="G14" s="506">
        <v>60</v>
      </c>
      <c r="H14" s="506">
        <v>180</v>
      </c>
      <c r="I14" s="506">
        <v>70</v>
      </c>
      <c r="J14" s="506">
        <f t="shared" si="1"/>
        <v>70.340741737109298</v>
      </c>
      <c r="K14" s="506">
        <f>I14+D14*(A14-C14)/E14-D14*SIN(6*((A14-C14)*B14/180))/2/B14</f>
        <v>70.075117235747697</v>
      </c>
      <c r="L14" s="506"/>
    </row>
    <row r="15" spans="1:15">
      <c r="A15" s="913">
        <v>27.5</v>
      </c>
      <c r="B15" s="506">
        <f t="shared" si="0"/>
        <v>3.14159265358979</v>
      </c>
      <c r="C15" s="506">
        <v>20</v>
      </c>
      <c r="D15" s="506">
        <v>20</v>
      </c>
      <c r="E15" s="506">
        <v>60</v>
      </c>
      <c r="F15" s="506">
        <v>40</v>
      </c>
      <c r="G15" s="506">
        <v>60</v>
      </c>
      <c r="H15" s="506">
        <v>180</v>
      </c>
      <c r="I15" s="506">
        <v>70</v>
      </c>
      <c r="J15" s="506">
        <f t="shared" si="1"/>
        <v>70.761204674887097</v>
      </c>
      <c r="K15" s="506">
        <f t="shared" ref="K15:K38" si="2">I15+D15*(A15-C15)/E15-D15*SIN(6*((A15-C15)*B15/180))/(2*B15)</f>
        <v>70.249209209607201</v>
      </c>
      <c r="L15" s="506"/>
    </row>
    <row r="16" spans="1:15">
      <c r="A16" s="913">
        <v>30</v>
      </c>
      <c r="B16" s="506">
        <f t="shared" si="0"/>
        <v>3.14159265358979</v>
      </c>
      <c r="C16" s="506">
        <v>20</v>
      </c>
      <c r="D16" s="506">
        <v>20</v>
      </c>
      <c r="E16" s="506">
        <v>60</v>
      </c>
      <c r="F16" s="506">
        <v>40</v>
      </c>
      <c r="G16" s="506">
        <v>60</v>
      </c>
      <c r="H16" s="506">
        <v>180</v>
      </c>
      <c r="I16" s="506">
        <v>70</v>
      </c>
      <c r="J16" s="506">
        <f t="shared" si="1"/>
        <v>71.339745962155604</v>
      </c>
      <c r="K16" s="506">
        <f t="shared" si="2"/>
        <v>70.576688856224393</v>
      </c>
      <c r="L16" s="506"/>
    </row>
    <row r="17" spans="1:12">
      <c r="A17" s="913">
        <v>32.5</v>
      </c>
      <c r="B17" s="506">
        <f t="shared" si="0"/>
        <v>3.14159265358979</v>
      </c>
      <c r="C17" s="506">
        <v>20</v>
      </c>
      <c r="D17" s="506">
        <v>20</v>
      </c>
      <c r="E17" s="506">
        <v>60</v>
      </c>
      <c r="F17" s="506">
        <v>40</v>
      </c>
      <c r="G17" s="506">
        <v>60</v>
      </c>
      <c r="H17" s="506">
        <v>180</v>
      </c>
      <c r="I17" s="506">
        <v>70</v>
      </c>
      <c r="J17" s="506">
        <f t="shared" si="1"/>
        <v>72.066466597087697</v>
      </c>
      <c r="K17" s="506">
        <f t="shared" si="2"/>
        <v>71.092029268386099</v>
      </c>
      <c r="L17" s="506"/>
    </row>
    <row r="18" spans="1:12">
      <c r="A18" s="913">
        <v>35</v>
      </c>
      <c r="B18" s="506">
        <f t="shared" si="0"/>
        <v>3.14159265358979</v>
      </c>
      <c r="C18" s="506">
        <v>20</v>
      </c>
      <c r="D18" s="506">
        <v>20</v>
      </c>
      <c r="E18" s="506">
        <v>60</v>
      </c>
      <c r="F18" s="506">
        <v>40</v>
      </c>
      <c r="G18" s="506">
        <v>60</v>
      </c>
      <c r="H18" s="506">
        <v>180</v>
      </c>
      <c r="I18" s="506">
        <v>70</v>
      </c>
      <c r="J18" s="506">
        <f t="shared" si="1"/>
        <v>72.928932188134496</v>
      </c>
      <c r="K18" s="506">
        <f t="shared" si="2"/>
        <v>71.816901138162095</v>
      </c>
      <c r="L18" s="506"/>
    </row>
    <row r="19" spans="1:12">
      <c r="A19" s="913">
        <v>37.5</v>
      </c>
      <c r="B19" s="506">
        <f t="shared" si="0"/>
        <v>3.14159265358979</v>
      </c>
      <c r="C19" s="506">
        <v>20</v>
      </c>
      <c r="D19" s="506">
        <v>20</v>
      </c>
      <c r="E19" s="506">
        <v>60</v>
      </c>
      <c r="F19" s="506">
        <v>40</v>
      </c>
      <c r="G19" s="506">
        <v>60</v>
      </c>
      <c r="H19" s="506">
        <v>180</v>
      </c>
      <c r="I19" s="506">
        <v>70</v>
      </c>
      <c r="J19" s="506">
        <f t="shared" si="1"/>
        <v>73.912385709912797</v>
      </c>
      <c r="K19" s="506">
        <f t="shared" si="2"/>
        <v>72.758695935052799</v>
      </c>
      <c r="L19" s="506"/>
    </row>
    <row r="20" spans="1:12">
      <c r="A20" s="913">
        <v>40</v>
      </c>
      <c r="B20" s="506">
        <f t="shared" si="0"/>
        <v>3.14159265358979</v>
      </c>
      <c r="C20" s="506">
        <v>20</v>
      </c>
      <c r="D20" s="506">
        <v>20</v>
      </c>
      <c r="E20" s="506">
        <v>60</v>
      </c>
      <c r="F20" s="506">
        <v>40</v>
      </c>
      <c r="G20" s="506">
        <v>60</v>
      </c>
      <c r="H20" s="506">
        <v>180</v>
      </c>
      <c r="I20" s="506">
        <v>70</v>
      </c>
      <c r="J20" s="506">
        <f t="shared" si="1"/>
        <v>75</v>
      </c>
      <c r="K20" s="506">
        <f t="shared" si="2"/>
        <v>73.910022189557694</v>
      </c>
      <c r="L20" s="506"/>
    </row>
    <row r="21" spans="1:12">
      <c r="A21" s="913">
        <v>42.5</v>
      </c>
      <c r="B21" s="506">
        <f t="shared" si="0"/>
        <v>3.14159265358979</v>
      </c>
      <c r="C21" s="506">
        <v>20</v>
      </c>
      <c r="D21" s="506">
        <v>20</v>
      </c>
      <c r="E21" s="506">
        <v>60</v>
      </c>
      <c r="F21" s="506">
        <v>40</v>
      </c>
      <c r="G21" s="506">
        <v>60</v>
      </c>
      <c r="H21" s="506">
        <v>180</v>
      </c>
      <c r="I21" s="506">
        <v>70</v>
      </c>
      <c r="J21" s="506">
        <f t="shared" si="1"/>
        <v>76.1731656763491</v>
      </c>
      <c r="K21" s="506">
        <f t="shared" si="2"/>
        <v>75.249209209607201</v>
      </c>
      <c r="L21" s="506"/>
    </row>
    <row r="22" spans="1:12">
      <c r="A22" s="913">
        <v>45</v>
      </c>
      <c r="B22" s="506">
        <f t="shared" si="0"/>
        <v>3.14159265358979</v>
      </c>
      <c r="C22" s="506">
        <v>20</v>
      </c>
      <c r="D22" s="506">
        <v>20</v>
      </c>
      <c r="E22" s="506">
        <v>60</v>
      </c>
      <c r="F22" s="506">
        <v>40</v>
      </c>
      <c r="G22" s="506">
        <v>60</v>
      </c>
      <c r="H22" s="506">
        <v>180</v>
      </c>
      <c r="I22" s="506">
        <v>70</v>
      </c>
      <c r="J22" s="506">
        <f t="shared" si="1"/>
        <v>77.411809548974801</v>
      </c>
      <c r="K22" s="506">
        <f t="shared" si="2"/>
        <v>76.741783902414397</v>
      </c>
      <c r="L22" s="506"/>
    </row>
    <row r="23" spans="1:12">
      <c r="A23" s="913">
        <v>47.5</v>
      </c>
      <c r="B23" s="506">
        <f t="shared" si="0"/>
        <v>3.14159265358979</v>
      </c>
      <c r="C23" s="506">
        <v>20</v>
      </c>
      <c r="D23" s="506">
        <v>20</v>
      </c>
      <c r="E23" s="506">
        <v>60</v>
      </c>
      <c r="F23" s="506">
        <v>40</v>
      </c>
      <c r="G23" s="506">
        <v>60</v>
      </c>
      <c r="H23" s="506">
        <v>180</v>
      </c>
      <c r="I23" s="506">
        <v>70</v>
      </c>
      <c r="J23" s="506">
        <f t="shared" si="1"/>
        <v>78.694738077799499</v>
      </c>
      <c r="K23" s="506">
        <f t="shared" si="2"/>
        <v>78.342820058778898</v>
      </c>
      <c r="L23" s="506"/>
    </row>
    <row r="24" spans="1:12">
      <c r="A24" s="913">
        <v>50</v>
      </c>
      <c r="B24" s="506">
        <f t="shared" si="0"/>
        <v>3.14159265358979</v>
      </c>
      <c r="C24" s="506">
        <v>20</v>
      </c>
      <c r="D24" s="506">
        <v>20</v>
      </c>
      <c r="E24" s="506">
        <v>60</v>
      </c>
      <c r="F24" s="506">
        <v>40</v>
      </c>
      <c r="G24" s="506">
        <v>60</v>
      </c>
      <c r="H24" s="506">
        <v>180</v>
      </c>
      <c r="I24" s="506">
        <v>70</v>
      </c>
      <c r="J24" s="506">
        <f t="shared" si="1"/>
        <v>80</v>
      </c>
      <c r="K24" s="506">
        <f t="shared" si="2"/>
        <v>80</v>
      </c>
      <c r="L24" s="506"/>
    </row>
    <row r="25" spans="1:12">
      <c r="A25" s="913">
        <v>52.5</v>
      </c>
      <c r="B25" s="506">
        <f t="shared" si="0"/>
        <v>3.14159265358979</v>
      </c>
      <c r="C25" s="506">
        <v>20</v>
      </c>
      <c r="D25" s="506">
        <v>20</v>
      </c>
      <c r="E25" s="506">
        <v>60</v>
      </c>
      <c r="F25" s="506">
        <v>40</v>
      </c>
      <c r="G25" s="506">
        <v>60</v>
      </c>
      <c r="H25" s="506">
        <v>180</v>
      </c>
      <c r="I25" s="506">
        <v>70</v>
      </c>
      <c r="J25" s="506">
        <f t="shared" si="1"/>
        <v>81.305261922200501</v>
      </c>
      <c r="K25" s="506">
        <f t="shared" si="2"/>
        <v>81.657179941221102</v>
      </c>
      <c r="L25" s="506"/>
    </row>
    <row r="26" spans="1:12">
      <c r="A26" s="913">
        <v>55</v>
      </c>
      <c r="B26" s="506">
        <f t="shared" si="0"/>
        <v>3.14159265358979</v>
      </c>
      <c r="C26" s="506">
        <v>20</v>
      </c>
      <c r="D26" s="506">
        <v>20</v>
      </c>
      <c r="E26" s="506">
        <v>60</v>
      </c>
      <c r="F26" s="506">
        <v>40</v>
      </c>
      <c r="G26" s="506">
        <v>60</v>
      </c>
      <c r="H26" s="506">
        <v>180</v>
      </c>
      <c r="I26" s="506">
        <v>70</v>
      </c>
      <c r="J26" s="506">
        <f t="shared" si="1"/>
        <v>82.588190451025199</v>
      </c>
      <c r="K26" s="506">
        <f t="shared" si="2"/>
        <v>83.258216097585603</v>
      </c>
      <c r="L26" s="506"/>
    </row>
    <row r="27" spans="1:12">
      <c r="A27" s="913">
        <v>57.5</v>
      </c>
      <c r="B27" s="506">
        <f t="shared" si="0"/>
        <v>3.14159265358979</v>
      </c>
      <c r="C27" s="506">
        <v>20</v>
      </c>
      <c r="D27" s="506">
        <v>20</v>
      </c>
      <c r="E27" s="506">
        <v>60</v>
      </c>
      <c r="F27" s="506">
        <v>40</v>
      </c>
      <c r="G27" s="506">
        <v>60</v>
      </c>
      <c r="H27" s="506">
        <v>180</v>
      </c>
      <c r="I27" s="506">
        <v>70</v>
      </c>
      <c r="J27" s="506">
        <f t="shared" si="1"/>
        <v>83.8268343236509</v>
      </c>
      <c r="K27" s="506">
        <f t="shared" si="2"/>
        <v>84.750790790392799</v>
      </c>
      <c r="L27" s="506"/>
    </row>
    <row r="28" spans="1:12">
      <c r="A28" s="913">
        <v>60</v>
      </c>
      <c r="B28" s="506">
        <f t="shared" si="0"/>
        <v>3.14159265358979</v>
      </c>
      <c r="C28" s="506">
        <v>20</v>
      </c>
      <c r="D28" s="506">
        <v>20</v>
      </c>
      <c r="E28" s="506">
        <v>60</v>
      </c>
      <c r="F28" s="506">
        <v>40</v>
      </c>
      <c r="G28" s="506">
        <v>60</v>
      </c>
      <c r="H28" s="506">
        <v>180</v>
      </c>
      <c r="I28" s="506">
        <v>70</v>
      </c>
      <c r="J28" s="506">
        <f t="shared" si="1"/>
        <v>85</v>
      </c>
      <c r="K28" s="506">
        <f t="shared" si="2"/>
        <v>86.089977810442306</v>
      </c>
      <c r="L28" s="506"/>
    </row>
    <row r="29" spans="1:12">
      <c r="A29" s="913">
        <v>62.5</v>
      </c>
      <c r="B29" s="506">
        <f t="shared" si="0"/>
        <v>3.14159265358979</v>
      </c>
      <c r="C29" s="506">
        <v>20</v>
      </c>
      <c r="D29" s="506">
        <v>20</v>
      </c>
      <c r="E29" s="506">
        <v>60</v>
      </c>
      <c r="F29" s="506">
        <v>40</v>
      </c>
      <c r="G29" s="506">
        <v>60</v>
      </c>
      <c r="H29" s="506">
        <v>180</v>
      </c>
      <c r="I29" s="506">
        <v>70</v>
      </c>
      <c r="J29" s="506">
        <f t="shared" si="1"/>
        <v>86.087614290087203</v>
      </c>
      <c r="K29" s="506">
        <f t="shared" si="2"/>
        <v>87.241304064947201</v>
      </c>
      <c r="L29" s="506"/>
    </row>
    <row r="30" spans="1:12">
      <c r="A30" s="913">
        <v>65</v>
      </c>
      <c r="B30" s="506">
        <f t="shared" si="0"/>
        <v>3.14159265358979</v>
      </c>
      <c r="C30" s="506">
        <v>20</v>
      </c>
      <c r="D30" s="506">
        <v>20</v>
      </c>
      <c r="E30" s="506">
        <v>60</v>
      </c>
      <c r="F30" s="506">
        <v>40</v>
      </c>
      <c r="G30" s="506">
        <v>60</v>
      </c>
      <c r="H30" s="506">
        <v>180</v>
      </c>
      <c r="I30" s="506">
        <v>70</v>
      </c>
      <c r="J30" s="506">
        <f t="shared" si="1"/>
        <v>87.071067811865504</v>
      </c>
      <c r="K30" s="506">
        <f t="shared" si="2"/>
        <v>88.183098861837905</v>
      </c>
      <c r="L30" s="506"/>
    </row>
    <row r="31" spans="1:12">
      <c r="A31" s="913">
        <v>67.5</v>
      </c>
      <c r="B31" s="506">
        <f t="shared" si="0"/>
        <v>3.14159265358979</v>
      </c>
      <c r="C31" s="506">
        <v>20</v>
      </c>
      <c r="D31" s="506">
        <v>20</v>
      </c>
      <c r="E31" s="506">
        <v>60</v>
      </c>
      <c r="F31" s="506">
        <v>40</v>
      </c>
      <c r="G31" s="506">
        <v>60</v>
      </c>
      <c r="H31" s="506">
        <v>180</v>
      </c>
      <c r="I31" s="506">
        <v>70</v>
      </c>
      <c r="J31" s="506">
        <f t="shared" si="1"/>
        <v>87.933533402912303</v>
      </c>
      <c r="K31" s="506">
        <f t="shared" si="2"/>
        <v>88.907970731613901</v>
      </c>
      <c r="L31" s="506"/>
    </row>
    <row r="32" spans="1:12">
      <c r="A32" s="913">
        <v>70</v>
      </c>
      <c r="B32" s="506">
        <f t="shared" si="0"/>
        <v>3.14159265358979</v>
      </c>
      <c r="C32" s="506">
        <v>20</v>
      </c>
      <c r="D32" s="506">
        <v>20</v>
      </c>
      <c r="E32" s="506">
        <v>60</v>
      </c>
      <c r="F32" s="506">
        <v>40</v>
      </c>
      <c r="G32" s="506">
        <v>60</v>
      </c>
      <c r="H32" s="506">
        <v>180</v>
      </c>
      <c r="I32" s="506">
        <v>70</v>
      </c>
      <c r="J32" s="506">
        <f t="shared" si="1"/>
        <v>88.660254037844396</v>
      </c>
      <c r="K32" s="506">
        <f t="shared" si="2"/>
        <v>89.423311143775607</v>
      </c>
      <c r="L32" s="506"/>
    </row>
    <row r="33" spans="1:13">
      <c r="A33" s="913">
        <v>72.5</v>
      </c>
      <c r="B33" s="506">
        <f t="shared" si="0"/>
        <v>3.14159265358979</v>
      </c>
      <c r="C33" s="506">
        <v>20</v>
      </c>
      <c r="D33" s="506">
        <v>20</v>
      </c>
      <c r="E33" s="506">
        <v>60</v>
      </c>
      <c r="F33" s="506">
        <v>40</v>
      </c>
      <c r="G33" s="506">
        <v>60</v>
      </c>
      <c r="H33" s="506">
        <v>180</v>
      </c>
      <c r="I33" s="506">
        <v>70</v>
      </c>
      <c r="J33" s="506">
        <f t="shared" si="1"/>
        <v>89.238795325112903</v>
      </c>
      <c r="K33" s="506">
        <f t="shared" si="2"/>
        <v>89.750790790392799</v>
      </c>
      <c r="L33" s="506"/>
    </row>
    <row r="34" spans="1:13">
      <c r="A34" s="913">
        <v>75</v>
      </c>
      <c r="B34" s="506">
        <f t="shared" si="0"/>
        <v>3.14159265358979</v>
      </c>
      <c r="C34" s="506">
        <v>20</v>
      </c>
      <c r="D34" s="506">
        <v>20</v>
      </c>
      <c r="E34" s="506">
        <v>60</v>
      </c>
      <c r="F34" s="506">
        <v>40</v>
      </c>
      <c r="G34" s="506">
        <v>60</v>
      </c>
      <c r="H34" s="506">
        <v>180</v>
      </c>
      <c r="I34" s="506">
        <v>70</v>
      </c>
      <c r="J34" s="506">
        <f t="shared" si="1"/>
        <v>89.659258262890702</v>
      </c>
      <c r="K34" s="506">
        <f t="shared" si="2"/>
        <v>89.924882764252303</v>
      </c>
      <c r="L34" s="506"/>
    </row>
    <row r="35" spans="1:13">
      <c r="A35" s="913">
        <v>77.5</v>
      </c>
      <c r="B35" s="506">
        <f t="shared" si="0"/>
        <v>3.14159265358979</v>
      </c>
      <c r="C35" s="506">
        <v>20</v>
      </c>
      <c r="D35" s="506">
        <v>20</v>
      </c>
      <c r="E35" s="506">
        <v>60</v>
      </c>
      <c r="F35" s="506">
        <v>40</v>
      </c>
      <c r="G35" s="506">
        <v>60</v>
      </c>
      <c r="H35" s="506">
        <v>180</v>
      </c>
      <c r="I35" s="506">
        <v>70</v>
      </c>
      <c r="J35" s="506">
        <f t="shared" si="1"/>
        <v>89.914448613738102</v>
      </c>
      <c r="K35" s="506">
        <f t="shared" si="2"/>
        <v>89.990513274554502</v>
      </c>
      <c r="L35" s="506"/>
    </row>
    <row r="36" spans="1:13">
      <c r="A36" s="913">
        <v>80</v>
      </c>
      <c r="B36" s="506">
        <f t="shared" si="0"/>
        <v>3.14159265358979</v>
      </c>
      <c r="C36" s="506">
        <v>20</v>
      </c>
      <c r="D36" s="506">
        <v>20</v>
      </c>
      <c r="E36" s="506">
        <v>60</v>
      </c>
      <c r="F36" s="506">
        <v>40</v>
      </c>
      <c r="G36" s="506">
        <v>60</v>
      </c>
      <c r="H36" s="506">
        <v>180</v>
      </c>
      <c r="I36" s="506">
        <v>70</v>
      </c>
      <c r="J36" s="506">
        <f t="shared" si="1"/>
        <v>90</v>
      </c>
      <c r="K36" s="506">
        <f t="shared" si="2"/>
        <v>90</v>
      </c>
      <c r="L36" s="506"/>
    </row>
    <row r="37" spans="1:13">
      <c r="A37" s="913"/>
      <c r="B37" s="506">
        <f t="shared" si="0"/>
        <v>3.14159265358979</v>
      </c>
      <c r="C37" s="506"/>
      <c r="D37" s="506">
        <v>20</v>
      </c>
      <c r="E37" s="506">
        <v>60</v>
      </c>
      <c r="F37" s="506">
        <v>40</v>
      </c>
      <c r="G37" s="506">
        <v>60</v>
      </c>
      <c r="H37" s="506">
        <v>180</v>
      </c>
      <c r="I37" s="506"/>
      <c r="J37" s="506"/>
      <c r="K37" s="506">
        <f t="shared" si="2"/>
        <v>0</v>
      </c>
      <c r="L37" s="506"/>
    </row>
    <row r="38" spans="1:13">
      <c r="A38" s="913">
        <v>280</v>
      </c>
      <c r="B38" s="506">
        <f t="shared" si="0"/>
        <v>3.14159265358979</v>
      </c>
      <c r="C38" s="506">
        <v>280</v>
      </c>
      <c r="D38" s="506">
        <v>20</v>
      </c>
      <c r="E38" s="506">
        <v>60</v>
      </c>
      <c r="F38" s="506">
        <v>40</v>
      </c>
      <c r="G38" s="506">
        <v>60</v>
      </c>
      <c r="H38" s="506">
        <v>180</v>
      </c>
      <c r="I38" s="506">
        <v>90</v>
      </c>
      <c r="J38" s="506">
        <f t="shared" ref="J38:J62" si="3">I38-D38/2+D38*COS(3*(A38-C38)/180*B38)/2</f>
        <v>90</v>
      </c>
      <c r="K38" s="506">
        <f t="shared" si="2"/>
        <v>90</v>
      </c>
      <c r="L38" s="506"/>
    </row>
    <row r="39" spans="1:13">
      <c r="A39" s="913">
        <v>282.5</v>
      </c>
      <c r="B39" s="506">
        <f t="shared" si="0"/>
        <v>3.14159265358979</v>
      </c>
      <c r="C39" s="506">
        <v>280</v>
      </c>
      <c r="D39" s="506">
        <v>20</v>
      </c>
      <c r="E39" s="506">
        <v>60</v>
      </c>
      <c r="F39" s="506">
        <v>40</v>
      </c>
      <c r="G39" s="506">
        <v>60</v>
      </c>
      <c r="H39" s="506">
        <v>180</v>
      </c>
      <c r="I39" s="506">
        <v>90</v>
      </c>
      <c r="J39" s="506">
        <f t="shared" si="3"/>
        <v>89.914448613738102</v>
      </c>
      <c r="K39" s="506">
        <f t="shared" ref="K39:K62" si="4">I39-D39*(A39-C39)/E39+D39*SIN(6*((A39-C39)*B39/180))/(2*B39)</f>
        <v>89.990513274554502</v>
      </c>
      <c r="L39" s="506"/>
      <c r="M39" s="95" t="s">
        <v>6158</v>
      </c>
    </row>
    <row r="40" spans="1:13">
      <c r="A40" s="913">
        <v>285</v>
      </c>
      <c r="B40" s="506">
        <f t="shared" si="0"/>
        <v>3.14159265358979</v>
      </c>
      <c r="C40" s="506">
        <v>280</v>
      </c>
      <c r="D40" s="506">
        <v>20</v>
      </c>
      <c r="E40" s="506">
        <v>60</v>
      </c>
      <c r="F40" s="506">
        <v>40</v>
      </c>
      <c r="G40" s="506">
        <v>60</v>
      </c>
      <c r="H40" s="506">
        <v>180</v>
      </c>
      <c r="I40" s="506">
        <v>90</v>
      </c>
      <c r="J40" s="506">
        <f t="shared" si="3"/>
        <v>89.659258262890702</v>
      </c>
      <c r="K40" s="506">
        <f t="shared" si="4"/>
        <v>89.924882764252303</v>
      </c>
      <c r="L40" s="506"/>
    </row>
    <row r="41" spans="1:13">
      <c r="A41" s="913">
        <v>287.5</v>
      </c>
      <c r="B41" s="506">
        <f t="shared" si="0"/>
        <v>3.14159265358979</v>
      </c>
      <c r="C41" s="506">
        <v>280</v>
      </c>
      <c r="D41" s="506">
        <v>20</v>
      </c>
      <c r="E41" s="506">
        <v>60</v>
      </c>
      <c r="F41" s="506">
        <v>40</v>
      </c>
      <c r="G41" s="506">
        <v>60</v>
      </c>
      <c r="H41" s="506">
        <v>180</v>
      </c>
      <c r="I41" s="506">
        <v>90</v>
      </c>
      <c r="J41" s="506">
        <f t="shared" si="3"/>
        <v>89.238795325112903</v>
      </c>
      <c r="K41" s="506">
        <f t="shared" si="4"/>
        <v>89.750790790392799</v>
      </c>
      <c r="L41" s="506"/>
    </row>
    <row r="42" spans="1:13">
      <c r="A42" s="913">
        <v>290</v>
      </c>
      <c r="B42" s="506">
        <f t="shared" si="0"/>
        <v>3.14159265358979</v>
      </c>
      <c r="C42" s="506">
        <v>280</v>
      </c>
      <c r="D42" s="506">
        <v>20</v>
      </c>
      <c r="E42" s="506">
        <v>60</v>
      </c>
      <c r="F42" s="506">
        <v>40</v>
      </c>
      <c r="G42" s="506">
        <v>60</v>
      </c>
      <c r="H42" s="506">
        <v>180</v>
      </c>
      <c r="I42" s="506">
        <v>90</v>
      </c>
      <c r="J42" s="506">
        <f t="shared" si="3"/>
        <v>88.660254037844396</v>
      </c>
      <c r="K42" s="506">
        <f t="shared" si="4"/>
        <v>89.423311143775607</v>
      </c>
      <c r="L42" s="506"/>
    </row>
    <row r="43" spans="1:13">
      <c r="A43" s="913">
        <v>292.5</v>
      </c>
      <c r="B43" s="506">
        <f t="shared" si="0"/>
        <v>3.14159265358979</v>
      </c>
      <c r="C43" s="506">
        <v>280</v>
      </c>
      <c r="D43" s="506">
        <v>20</v>
      </c>
      <c r="E43" s="506">
        <v>60</v>
      </c>
      <c r="F43" s="506">
        <v>40</v>
      </c>
      <c r="G43" s="506">
        <v>60</v>
      </c>
      <c r="H43" s="506">
        <v>180</v>
      </c>
      <c r="I43" s="506">
        <v>90</v>
      </c>
      <c r="J43" s="506">
        <f t="shared" si="3"/>
        <v>87.933533402912303</v>
      </c>
      <c r="K43" s="506">
        <f t="shared" si="4"/>
        <v>88.907970731613901</v>
      </c>
      <c r="L43" s="506"/>
    </row>
    <row r="44" spans="1:13">
      <c r="A44" s="913">
        <v>295</v>
      </c>
      <c r="B44" s="506">
        <f t="shared" si="0"/>
        <v>3.14159265358979</v>
      </c>
      <c r="C44" s="506">
        <v>280</v>
      </c>
      <c r="D44" s="506">
        <v>20</v>
      </c>
      <c r="E44" s="506">
        <v>60</v>
      </c>
      <c r="F44" s="506">
        <v>40</v>
      </c>
      <c r="G44" s="506">
        <v>60</v>
      </c>
      <c r="H44" s="506">
        <v>180</v>
      </c>
      <c r="I44" s="506">
        <v>90</v>
      </c>
      <c r="J44" s="506">
        <f t="shared" si="3"/>
        <v>87.071067811865504</v>
      </c>
      <c r="K44" s="506">
        <f t="shared" si="4"/>
        <v>88.183098861837905</v>
      </c>
      <c r="L44" s="506"/>
    </row>
    <row r="45" spans="1:13">
      <c r="A45" s="913">
        <v>297.5</v>
      </c>
      <c r="B45" s="506">
        <f t="shared" si="0"/>
        <v>3.14159265358979</v>
      </c>
      <c r="C45" s="506">
        <v>280</v>
      </c>
      <c r="D45" s="506">
        <v>20</v>
      </c>
      <c r="E45" s="506">
        <v>60</v>
      </c>
      <c r="F45" s="506">
        <v>40</v>
      </c>
      <c r="G45" s="506">
        <v>60</v>
      </c>
      <c r="H45" s="506">
        <v>180</v>
      </c>
      <c r="I45" s="506">
        <v>90</v>
      </c>
      <c r="J45" s="506">
        <f t="shared" si="3"/>
        <v>86.087614290087203</v>
      </c>
      <c r="K45" s="506">
        <f t="shared" si="4"/>
        <v>87.241304064947201</v>
      </c>
      <c r="L45" s="506"/>
    </row>
    <row r="46" spans="1:13">
      <c r="A46" s="913">
        <v>300</v>
      </c>
      <c r="B46" s="506">
        <f t="shared" si="0"/>
        <v>3.14159265358979</v>
      </c>
      <c r="C46" s="506">
        <v>280</v>
      </c>
      <c r="D46" s="506">
        <v>20</v>
      </c>
      <c r="E46" s="506">
        <v>60</v>
      </c>
      <c r="F46" s="506">
        <v>40</v>
      </c>
      <c r="G46" s="506">
        <v>60</v>
      </c>
      <c r="H46" s="506">
        <v>180</v>
      </c>
      <c r="I46" s="506">
        <v>90</v>
      </c>
      <c r="J46" s="506">
        <f t="shared" si="3"/>
        <v>85</v>
      </c>
      <c r="K46" s="506">
        <f t="shared" si="4"/>
        <v>86.089977810442306</v>
      </c>
      <c r="L46" s="506"/>
    </row>
    <row r="47" spans="1:13">
      <c r="A47" s="913">
        <v>302.5</v>
      </c>
      <c r="B47" s="506">
        <f t="shared" si="0"/>
        <v>3.14159265358979</v>
      </c>
      <c r="C47" s="506">
        <v>280</v>
      </c>
      <c r="D47" s="506">
        <v>20</v>
      </c>
      <c r="E47" s="506">
        <v>60</v>
      </c>
      <c r="F47" s="506">
        <v>40</v>
      </c>
      <c r="G47" s="506">
        <v>60</v>
      </c>
      <c r="H47" s="506">
        <v>180</v>
      </c>
      <c r="I47" s="506">
        <v>90</v>
      </c>
      <c r="J47" s="506">
        <f t="shared" si="3"/>
        <v>83.8268343236509</v>
      </c>
      <c r="K47" s="506">
        <f t="shared" si="4"/>
        <v>84.750790790392799</v>
      </c>
      <c r="L47" s="506"/>
    </row>
    <row r="48" spans="1:13">
      <c r="A48" s="913">
        <v>305</v>
      </c>
      <c r="B48" s="506">
        <f t="shared" si="0"/>
        <v>3.14159265358979</v>
      </c>
      <c r="C48" s="506">
        <v>280</v>
      </c>
      <c r="D48" s="506">
        <v>20</v>
      </c>
      <c r="E48" s="506">
        <v>60</v>
      </c>
      <c r="F48" s="506">
        <v>40</v>
      </c>
      <c r="G48" s="506">
        <v>60</v>
      </c>
      <c r="H48" s="506">
        <v>180</v>
      </c>
      <c r="I48" s="506">
        <v>90</v>
      </c>
      <c r="J48" s="506">
        <f t="shared" si="3"/>
        <v>82.588190451025199</v>
      </c>
      <c r="K48" s="506">
        <f t="shared" si="4"/>
        <v>83.258216097585603</v>
      </c>
      <c r="L48" s="506"/>
    </row>
    <row r="49" spans="1:13">
      <c r="A49" s="913">
        <v>307.5</v>
      </c>
      <c r="B49" s="506">
        <f t="shared" si="0"/>
        <v>3.14159265358979</v>
      </c>
      <c r="C49" s="506">
        <v>280</v>
      </c>
      <c r="D49" s="506">
        <v>20</v>
      </c>
      <c r="E49" s="506">
        <v>60</v>
      </c>
      <c r="F49" s="506">
        <v>40</v>
      </c>
      <c r="G49" s="506">
        <v>60</v>
      </c>
      <c r="H49" s="506">
        <v>180</v>
      </c>
      <c r="I49" s="506">
        <v>90</v>
      </c>
      <c r="J49" s="506">
        <f t="shared" si="3"/>
        <v>81.305261922200501</v>
      </c>
      <c r="K49" s="506">
        <f t="shared" si="4"/>
        <v>81.657179941221102</v>
      </c>
      <c r="L49" s="506"/>
    </row>
    <row r="50" spans="1:13">
      <c r="A50" s="913">
        <v>310</v>
      </c>
      <c r="B50" s="506">
        <f t="shared" si="0"/>
        <v>3.14159265358979</v>
      </c>
      <c r="C50" s="506">
        <v>280</v>
      </c>
      <c r="D50" s="506">
        <v>20</v>
      </c>
      <c r="E50" s="506">
        <v>60</v>
      </c>
      <c r="F50" s="506">
        <v>40</v>
      </c>
      <c r="G50" s="506">
        <v>60</v>
      </c>
      <c r="H50" s="506">
        <v>180</v>
      </c>
      <c r="I50" s="506">
        <v>90</v>
      </c>
      <c r="J50" s="506">
        <f t="shared" si="3"/>
        <v>80</v>
      </c>
      <c r="K50" s="506">
        <f t="shared" si="4"/>
        <v>80</v>
      </c>
      <c r="L50" s="506"/>
    </row>
    <row r="51" spans="1:13">
      <c r="A51" s="913">
        <v>312.5</v>
      </c>
      <c r="B51" s="506">
        <f t="shared" si="0"/>
        <v>3.14159265358979</v>
      </c>
      <c r="C51" s="506">
        <v>280</v>
      </c>
      <c r="D51" s="506">
        <v>20</v>
      </c>
      <c r="E51" s="506">
        <v>60</v>
      </c>
      <c r="F51" s="506">
        <v>40</v>
      </c>
      <c r="G51" s="506">
        <v>60</v>
      </c>
      <c r="H51" s="506">
        <v>180</v>
      </c>
      <c r="I51" s="506">
        <v>90</v>
      </c>
      <c r="J51" s="506">
        <f t="shared" si="3"/>
        <v>78.694738077799499</v>
      </c>
      <c r="K51" s="506">
        <f t="shared" si="4"/>
        <v>78.342820058778898</v>
      </c>
      <c r="L51" s="506"/>
    </row>
    <row r="52" spans="1:13">
      <c r="A52" s="913">
        <v>315</v>
      </c>
      <c r="B52" s="506">
        <f t="shared" si="0"/>
        <v>3.14159265358979</v>
      </c>
      <c r="C52" s="506">
        <v>280</v>
      </c>
      <c r="D52" s="506">
        <v>20</v>
      </c>
      <c r="E52" s="506">
        <v>60</v>
      </c>
      <c r="F52" s="506">
        <v>40</v>
      </c>
      <c r="G52" s="506">
        <v>60</v>
      </c>
      <c r="H52" s="506">
        <v>180</v>
      </c>
      <c r="I52" s="506">
        <v>90</v>
      </c>
      <c r="J52" s="506">
        <f t="shared" si="3"/>
        <v>77.411809548974801</v>
      </c>
      <c r="K52" s="506">
        <f t="shared" si="4"/>
        <v>76.741783902414397</v>
      </c>
      <c r="L52" s="506"/>
    </row>
    <row r="53" spans="1:13">
      <c r="A53" s="913">
        <v>317.5</v>
      </c>
      <c r="B53" s="506">
        <f t="shared" si="0"/>
        <v>3.14159265358979</v>
      </c>
      <c r="C53" s="506">
        <v>280</v>
      </c>
      <c r="D53" s="506">
        <v>20</v>
      </c>
      <c r="E53" s="506">
        <v>60</v>
      </c>
      <c r="F53" s="506">
        <v>40</v>
      </c>
      <c r="G53" s="506">
        <v>60</v>
      </c>
      <c r="H53" s="506">
        <v>180</v>
      </c>
      <c r="I53" s="506">
        <v>90</v>
      </c>
      <c r="J53" s="506">
        <f t="shared" si="3"/>
        <v>76.1731656763491</v>
      </c>
      <c r="K53" s="506">
        <f t="shared" si="4"/>
        <v>75.249209209607201</v>
      </c>
      <c r="L53" s="506"/>
    </row>
    <row r="54" spans="1:13">
      <c r="A54" s="913">
        <v>320</v>
      </c>
      <c r="B54" s="506">
        <f t="shared" si="0"/>
        <v>3.14159265358979</v>
      </c>
      <c r="C54" s="506">
        <v>280</v>
      </c>
      <c r="D54" s="506">
        <v>20</v>
      </c>
      <c r="E54" s="506">
        <v>60</v>
      </c>
      <c r="F54" s="506">
        <v>40</v>
      </c>
      <c r="G54" s="506">
        <v>60</v>
      </c>
      <c r="H54" s="506">
        <v>180</v>
      </c>
      <c r="I54" s="506">
        <v>90</v>
      </c>
      <c r="J54" s="506">
        <f t="shared" si="3"/>
        <v>75</v>
      </c>
      <c r="K54" s="506">
        <f t="shared" si="4"/>
        <v>73.910022189557694</v>
      </c>
      <c r="L54" s="506"/>
    </row>
    <row r="55" spans="1:13">
      <c r="A55" s="913">
        <v>322.5</v>
      </c>
      <c r="B55" s="506">
        <f t="shared" si="0"/>
        <v>3.14159265358979</v>
      </c>
      <c r="C55" s="506">
        <v>280</v>
      </c>
      <c r="D55" s="506">
        <v>20</v>
      </c>
      <c r="E55" s="506">
        <v>60</v>
      </c>
      <c r="F55" s="506">
        <v>40</v>
      </c>
      <c r="G55" s="506">
        <v>60</v>
      </c>
      <c r="H55" s="506">
        <v>180</v>
      </c>
      <c r="I55" s="506">
        <v>90</v>
      </c>
      <c r="J55" s="506">
        <f t="shared" si="3"/>
        <v>73.912385709912797</v>
      </c>
      <c r="K55" s="506">
        <f t="shared" si="4"/>
        <v>72.758695935052799</v>
      </c>
      <c r="L55" s="506"/>
    </row>
    <row r="56" spans="1:13">
      <c r="A56" s="913">
        <v>325</v>
      </c>
      <c r="B56" s="506">
        <f t="shared" si="0"/>
        <v>3.14159265358979</v>
      </c>
      <c r="C56" s="506">
        <v>280</v>
      </c>
      <c r="D56" s="506">
        <v>20</v>
      </c>
      <c r="E56" s="506">
        <v>60</v>
      </c>
      <c r="F56" s="506">
        <v>40</v>
      </c>
      <c r="G56" s="506">
        <v>60</v>
      </c>
      <c r="H56" s="506">
        <v>180</v>
      </c>
      <c r="I56" s="506">
        <v>90</v>
      </c>
      <c r="J56" s="506">
        <f t="shared" si="3"/>
        <v>72.928932188134496</v>
      </c>
      <c r="K56" s="506">
        <f t="shared" si="4"/>
        <v>71.816901138162095</v>
      </c>
      <c r="L56" s="506"/>
    </row>
    <row r="57" spans="1:13">
      <c r="A57" s="913">
        <v>327.5</v>
      </c>
      <c r="B57" s="506">
        <f t="shared" si="0"/>
        <v>3.14159265358979</v>
      </c>
      <c r="C57" s="506">
        <v>280</v>
      </c>
      <c r="D57" s="506">
        <v>20</v>
      </c>
      <c r="E57" s="506">
        <v>60</v>
      </c>
      <c r="F57" s="506">
        <v>40</v>
      </c>
      <c r="G57" s="506">
        <v>60</v>
      </c>
      <c r="H57" s="506">
        <v>180</v>
      </c>
      <c r="I57" s="506">
        <v>90</v>
      </c>
      <c r="J57" s="506">
        <f t="shared" si="3"/>
        <v>72.066466597087697</v>
      </c>
      <c r="K57" s="506">
        <f t="shared" si="4"/>
        <v>71.092029268386099</v>
      </c>
      <c r="L57" s="506"/>
    </row>
    <row r="58" spans="1:13">
      <c r="A58" s="913">
        <v>330</v>
      </c>
      <c r="B58" s="506">
        <f t="shared" si="0"/>
        <v>3.14159265358979</v>
      </c>
      <c r="C58" s="506">
        <v>280</v>
      </c>
      <c r="D58" s="506">
        <v>20</v>
      </c>
      <c r="E58" s="506">
        <v>60</v>
      </c>
      <c r="F58" s="506">
        <v>40</v>
      </c>
      <c r="G58" s="506">
        <v>60</v>
      </c>
      <c r="H58" s="506">
        <v>180</v>
      </c>
      <c r="I58" s="506">
        <v>90</v>
      </c>
      <c r="J58" s="506">
        <f t="shared" si="3"/>
        <v>71.339745962155604</v>
      </c>
      <c r="K58" s="506">
        <f t="shared" si="4"/>
        <v>70.576688856224393</v>
      </c>
      <c r="L58" s="506"/>
    </row>
    <row r="59" spans="1:13">
      <c r="A59" s="913">
        <v>332.5</v>
      </c>
      <c r="B59" s="506">
        <f t="shared" si="0"/>
        <v>3.14159265358979</v>
      </c>
      <c r="C59" s="506">
        <v>280</v>
      </c>
      <c r="D59" s="506">
        <v>20</v>
      </c>
      <c r="E59" s="506">
        <v>60</v>
      </c>
      <c r="F59" s="506">
        <v>40</v>
      </c>
      <c r="G59" s="506">
        <v>60</v>
      </c>
      <c r="H59" s="506">
        <v>180</v>
      </c>
      <c r="I59" s="506">
        <v>90</v>
      </c>
      <c r="J59" s="506">
        <f t="shared" si="3"/>
        <v>70.761204674887097</v>
      </c>
      <c r="K59" s="506">
        <f t="shared" si="4"/>
        <v>70.249209209607201</v>
      </c>
      <c r="L59" s="506"/>
      <c r="M59" s="3166" t="s">
        <v>12704</v>
      </c>
    </row>
    <row r="60" spans="1:13">
      <c r="A60" s="913">
        <v>335</v>
      </c>
      <c r="B60" s="506">
        <f t="shared" si="0"/>
        <v>3.14159265358979</v>
      </c>
      <c r="C60" s="506">
        <v>280</v>
      </c>
      <c r="D60" s="506">
        <v>20</v>
      </c>
      <c r="E60" s="506">
        <v>60</v>
      </c>
      <c r="F60" s="506">
        <v>40</v>
      </c>
      <c r="G60" s="506">
        <v>60</v>
      </c>
      <c r="H60" s="506">
        <v>180</v>
      </c>
      <c r="I60" s="506">
        <v>90</v>
      </c>
      <c r="J60" s="506">
        <f t="shared" si="3"/>
        <v>70.340741737109298</v>
      </c>
      <c r="K60" s="506">
        <f t="shared" si="4"/>
        <v>70.075117235747697</v>
      </c>
      <c r="L60" s="506"/>
    </row>
    <row r="61" spans="1:13">
      <c r="A61" s="913">
        <v>337.5</v>
      </c>
      <c r="B61" s="506">
        <f t="shared" si="0"/>
        <v>3.14159265358979</v>
      </c>
      <c r="C61" s="506">
        <v>280</v>
      </c>
      <c r="D61" s="506">
        <v>20</v>
      </c>
      <c r="E61" s="506">
        <v>60</v>
      </c>
      <c r="F61" s="506">
        <v>40</v>
      </c>
      <c r="G61" s="506">
        <v>60</v>
      </c>
      <c r="H61" s="506">
        <v>180</v>
      </c>
      <c r="I61" s="506">
        <v>90</v>
      </c>
      <c r="J61" s="506">
        <f t="shared" si="3"/>
        <v>70.085551386261898</v>
      </c>
      <c r="K61" s="506">
        <f t="shared" si="4"/>
        <v>70.009486725445498</v>
      </c>
      <c r="L61" s="506"/>
    </row>
    <row r="62" spans="1:13">
      <c r="A62" s="913">
        <v>340</v>
      </c>
      <c r="B62" s="506">
        <f t="shared" si="0"/>
        <v>3.14159265358979</v>
      </c>
      <c r="C62" s="506">
        <v>280</v>
      </c>
      <c r="D62" s="506">
        <v>20</v>
      </c>
      <c r="E62" s="506">
        <v>60</v>
      </c>
      <c r="F62" s="506">
        <v>40</v>
      </c>
      <c r="G62" s="506">
        <v>60</v>
      </c>
      <c r="H62" s="506">
        <v>180</v>
      </c>
      <c r="I62" s="506">
        <v>90</v>
      </c>
      <c r="J62" s="506">
        <f t="shared" si="3"/>
        <v>70</v>
      </c>
      <c r="K62" s="506">
        <f t="shared" si="4"/>
        <v>70</v>
      </c>
      <c r="L62" s="506"/>
    </row>
    <row r="63" spans="1:13">
      <c r="B63" s="95">
        <f t="shared" si="0"/>
        <v>3.14159265358979</v>
      </c>
      <c r="C63" s="95">
        <v>280</v>
      </c>
      <c r="D63" s="95">
        <v>20</v>
      </c>
      <c r="E63" s="95">
        <v>60</v>
      </c>
      <c r="F63" s="95">
        <v>40</v>
      </c>
      <c r="G63" s="95">
        <v>60</v>
      </c>
      <c r="H63" s="95">
        <v>180</v>
      </c>
      <c r="I63" s="95">
        <v>90</v>
      </c>
    </row>
    <row r="64" spans="1:13">
      <c r="B64" s="95">
        <f t="shared" si="0"/>
        <v>3.14159265358979</v>
      </c>
      <c r="C64" s="95">
        <v>280</v>
      </c>
      <c r="D64" s="95">
        <v>20</v>
      </c>
      <c r="E64" s="95">
        <v>60</v>
      </c>
      <c r="F64" s="95">
        <v>40</v>
      </c>
      <c r="G64" s="95">
        <v>60</v>
      </c>
      <c r="H64" s="95">
        <v>180</v>
      </c>
      <c r="I64" s="95">
        <v>90</v>
      </c>
    </row>
    <row r="65" spans="2:9">
      <c r="B65" s="95">
        <f t="shared" si="0"/>
        <v>3.14159265358979</v>
      </c>
      <c r="C65" s="95">
        <v>280</v>
      </c>
      <c r="D65" s="95">
        <v>20</v>
      </c>
      <c r="E65" s="95">
        <v>60</v>
      </c>
      <c r="F65" s="95">
        <v>40</v>
      </c>
      <c r="G65" s="95">
        <v>60</v>
      </c>
      <c r="H65" s="95">
        <v>180</v>
      </c>
      <c r="I65" s="95">
        <v>90</v>
      </c>
    </row>
    <row r="66" spans="2:9">
      <c r="B66" s="95">
        <f t="shared" si="0"/>
        <v>3.14159265358979</v>
      </c>
      <c r="C66" s="95">
        <v>280</v>
      </c>
      <c r="D66" s="95">
        <v>20</v>
      </c>
      <c r="E66" s="95">
        <v>60</v>
      </c>
      <c r="F66" s="95">
        <v>40</v>
      </c>
      <c r="G66" s="95">
        <v>60</v>
      </c>
      <c r="H66" s="95">
        <v>180</v>
      </c>
      <c r="I66" s="95">
        <v>90</v>
      </c>
    </row>
    <row r="67" spans="2:9">
      <c r="B67" s="95">
        <f t="shared" si="0"/>
        <v>3.14159265358979</v>
      </c>
      <c r="C67" s="95">
        <v>280</v>
      </c>
      <c r="D67" s="95">
        <v>20</v>
      </c>
      <c r="E67" s="95">
        <v>60</v>
      </c>
      <c r="F67" s="95">
        <v>40</v>
      </c>
      <c r="G67" s="95">
        <v>60</v>
      </c>
      <c r="H67" s="95">
        <v>180</v>
      </c>
      <c r="I67" s="95">
        <v>90</v>
      </c>
    </row>
    <row r="68" spans="2:9">
      <c r="B68" s="95">
        <f t="shared" ref="B68:B76" si="5">PI()</f>
        <v>3.14159265358979</v>
      </c>
      <c r="C68" s="95">
        <v>280</v>
      </c>
      <c r="D68" s="95">
        <v>20</v>
      </c>
      <c r="E68" s="95">
        <v>60</v>
      </c>
      <c r="F68" s="95">
        <v>40</v>
      </c>
      <c r="G68" s="95">
        <v>60</v>
      </c>
      <c r="H68" s="95">
        <v>180</v>
      </c>
      <c r="I68" s="95">
        <v>90</v>
      </c>
    </row>
    <row r="69" spans="2:9">
      <c r="B69" s="95">
        <f t="shared" si="5"/>
        <v>3.14159265358979</v>
      </c>
      <c r="C69" s="95">
        <v>280</v>
      </c>
      <c r="D69" s="95">
        <v>20</v>
      </c>
      <c r="E69" s="95">
        <v>60</v>
      </c>
      <c r="F69" s="95">
        <v>40</v>
      </c>
      <c r="G69" s="95">
        <v>60</v>
      </c>
      <c r="H69" s="95">
        <v>180</v>
      </c>
      <c r="I69" s="95">
        <v>90</v>
      </c>
    </row>
    <row r="70" spans="2:9">
      <c r="B70" s="95">
        <f t="shared" si="5"/>
        <v>3.14159265358979</v>
      </c>
      <c r="C70" s="95">
        <v>280</v>
      </c>
      <c r="D70" s="95">
        <v>20</v>
      </c>
      <c r="E70" s="95">
        <v>60</v>
      </c>
      <c r="F70" s="95">
        <v>40</v>
      </c>
      <c r="G70" s="95">
        <v>60</v>
      </c>
      <c r="H70" s="95">
        <v>180</v>
      </c>
      <c r="I70" s="95">
        <v>90</v>
      </c>
    </row>
    <row r="71" spans="2:9">
      <c r="B71" s="95">
        <f t="shared" si="5"/>
        <v>3.14159265358979</v>
      </c>
      <c r="C71" s="95">
        <v>280</v>
      </c>
      <c r="D71" s="95">
        <v>20</v>
      </c>
      <c r="E71" s="95">
        <v>60</v>
      </c>
      <c r="F71" s="95">
        <v>40</v>
      </c>
      <c r="G71" s="95">
        <v>60</v>
      </c>
      <c r="H71" s="95">
        <v>180</v>
      </c>
      <c r="I71" s="95">
        <v>90</v>
      </c>
    </row>
    <row r="72" spans="2:9">
      <c r="B72" s="95">
        <f t="shared" si="5"/>
        <v>3.14159265358979</v>
      </c>
      <c r="C72" s="95">
        <v>280</v>
      </c>
      <c r="D72" s="95">
        <v>20</v>
      </c>
      <c r="E72" s="95">
        <v>60</v>
      </c>
      <c r="F72" s="95">
        <v>40</v>
      </c>
      <c r="G72" s="95">
        <v>60</v>
      </c>
      <c r="H72" s="95">
        <v>180</v>
      </c>
      <c r="I72" s="95">
        <v>90</v>
      </c>
    </row>
    <row r="73" spans="2:9">
      <c r="B73" s="95">
        <f t="shared" si="5"/>
        <v>3.14159265358979</v>
      </c>
      <c r="C73" s="95">
        <v>280</v>
      </c>
      <c r="D73" s="95">
        <v>20</v>
      </c>
      <c r="E73" s="95">
        <v>60</v>
      </c>
      <c r="F73" s="95">
        <v>40</v>
      </c>
      <c r="G73" s="95">
        <v>60</v>
      </c>
      <c r="H73" s="95">
        <v>180</v>
      </c>
      <c r="I73" s="95">
        <v>90</v>
      </c>
    </row>
    <row r="74" spans="2:9">
      <c r="B74" s="95">
        <f t="shared" si="5"/>
        <v>3.14159265358979</v>
      </c>
      <c r="C74" s="95">
        <v>280</v>
      </c>
      <c r="D74" s="95">
        <v>20</v>
      </c>
      <c r="E74" s="95">
        <v>60</v>
      </c>
      <c r="F74" s="95">
        <v>40</v>
      </c>
      <c r="G74" s="95">
        <v>60</v>
      </c>
      <c r="H74" s="95">
        <v>180</v>
      </c>
      <c r="I74" s="95">
        <v>90</v>
      </c>
    </row>
    <row r="75" spans="2:9">
      <c r="B75" s="95">
        <f t="shared" si="5"/>
        <v>3.14159265358979</v>
      </c>
      <c r="C75" s="95">
        <v>280</v>
      </c>
      <c r="D75" s="95">
        <v>20</v>
      </c>
      <c r="E75" s="95">
        <v>60</v>
      </c>
      <c r="F75" s="95">
        <v>40</v>
      </c>
      <c r="G75" s="95">
        <v>60</v>
      </c>
      <c r="H75" s="95">
        <v>180</v>
      </c>
      <c r="I75" s="95">
        <v>90</v>
      </c>
    </row>
    <row r="76" spans="2:9">
      <c r="B76" s="95">
        <f t="shared" si="5"/>
        <v>3.14159265358979</v>
      </c>
      <c r="C76" s="95">
        <v>280</v>
      </c>
      <c r="D76" s="95">
        <v>20</v>
      </c>
      <c r="E76" s="95">
        <v>60</v>
      </c>
      <c r="F76" s="95">
        <v>40</v>
      </c>
      <c r="G76" s="95">
        <v>60</v>
      </c>
      <c r="H76" s="95">
        <v>180</v>
      </c>
      <c r="I76" s="95">
        <v>90</v>
      </c>
    </row>
  </sheetData>
  <mergeCells count="2">
    <mergeCell ref="A1:K1"/>
    <mergeCell ref="A2:L2"/>
  </mergeCells>
  <phoneticPr fontId="378" type="noConversion"/>
  <hyperlinks>
    <hyperlink ref="M13" location="总目录!A1" display="返回目录"/>
    <hyperlink ref="M59" location="总目录!A1" display="返回目录"/>
  </hyperlinks>
  <pageMargins left="0.38888888888888901" right="0.38888888888888901" top="0.38888888888888901" bottom="0.38888888888888901" header="0.50902777777777797" footer="0.50902777777777797"/>
  <pageSetup paperSize="9" orientation="landscape"/>
  <headerFooter scaleWithDoc="0"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3"/>
  <sheetViews>
    <sheetView zoomScaleNormal="100" workbookViewId="0">
      <selection activeCell="L32" sqref="L32"/>
    </sheetView>
  </sheetViews>
  <sheetFormatPr defaultColWidth="8.75" defaultRowHeight="16.5"/>
  <cols>
    <col min="3" max="3" width="9" style="2522" customWidth="1"/>
    <col min="6" max="6" width="7.5" customWidth="1"/>
    <col min="7" max="7" width="18.5" customWidth="1"/>
  </cols>
  <sheetData>
    <row r="1" spans="1:14" ht="36.75" customHeight="1">
      <c r="D1" s="3372" t="s">
        <v>6159</v>
      </c>
      <c r="E1" s="3372"/>
      <c r="F1" s="3372"/>
      <c r="G1" s="3372"/>
      <c r="H1" s="3372"/>
      <c r="I1" s="3372"/>
      <c r="J1" s="3372"/>
      <c r="K1" s="3372"/>
      <c r="L1" s="3372"/>
      <c r="M1" s="3372"/>
    </row>
    <row r="2" spans="1:14" s="2521" customFormat="1" ht="20.25" customHeight="1">
      <c r="A2" s="2523" t="s">
        <v>6160</v>
      </c>
      <c r="B2" s="2524">
        <v>25</v>
      </c>
      <c r="C2" s="2523" t="s">
        <v>6161</v>
      </c>
      <c r="D2" s="2524">
        <v>40</v>
      </c>
      <c r="E2" s="2523" t="s">
        <v>6162</v>
      </c>
      <c r="F2" s="2524">
        <v>5</v>
      </c>
    </row>
    <row r="3" spans="1:14">
      <c r="A3">
        <f t="shared" ref="A3:A66" si="0">52.03-5</f>
        <v>47.03</v>
      </c>
      <c r="B3">
        <v>0</v>
      </c>
      <c r="C3" s="2522">
        <f t="shared" ref="C3:C66" si="1">B3*PI()/180</f>
        <v>0</v>
      </c>
      <c r="D3">
        <f>(2.97*7.2)/PI()*C3+A3</f>
        <v>47.03</v>
      </c>
      <c r="G3">
        <f t="shared" ref="G3:G66" si="2">D3*SIN(C3)</f>
        <v>0</v>
      </c>
      <c r="H3">
        <f t="shared" ref="H3:H66" si="3">D3*COS(C3)</f>
        <v>47.03</v>
      </c>
    </row>
    <row r="4" spans="1:14">
      <c r="A4">
        <f t="shared" si="0"/>
        <v>47.03</v>
      </c>
      <c r="B4" s="1206">
        <v>1</v>
      </c>
      <c r="C4" s="2522">
        <f t="shared" si="1"/>
        <v>1.7453292519943299E-2</v>
      </c>
      <c r="D4">
        <f>(2.97*7.2)/PI()*C4+A4</f>
        <v>47.148800000000001</v>
      </c>
      <c r="G4">
        <f t="shared" si="2"/>
        <v>0.82286002063019303</v>
      </c>
      <c r="H4">
        <f t="shared" si="3"/>
        <v>47.1416190093897</v>
      </c>
    </row>
    <row r="5" spans="1:14">
      <c r="A5">
        <f t="shared" si="0"/>
        <v>47.03</v>
      </c>
      <c r="B5" s="1206">
        <v>2</v>
      </c>
      <c r="C5" s="2522">
        <f t="shared" si="1"/>
        <v>3.4906585039886598E-2</v>
      </c>
      <c r="D5">
        <f>(2.97*7.2)/PI()*C5+A5</f>
        <v>47.267600000000002</v>
      </c>
      <c r="G5">
        <f t="shared" si="2"/>
        <v>1.6496154503351299</v>
      </c>
      <c r="H5">
        <f t="shared" si="3"/>
        <v>47.238805855207801</v>
      </c>
      <c r="J5" s="3373"/>
      <c r="K5" s="3373"/>
      <c r="L5" s="3373"/>
      <c r="M5" s="3373"/>
      <c r="N5" s="3373"/>
    </row>
    <row r="6" spans="1:14">
      <c r="A6">
        <f t="shared" si="0"/>
        <v>47.03</v>
      </c>
      <c r="B6" s="1206">
        <v>3</v>
      </c>
      <c r="C6" s="2522">
        <f t="shared" si="1"/>
        <v>5.2359877559829897E-2</v>
      </c>
      <c r="D6">
        <f t="shared" ref="D6:D27" si="4">2.97*7.2/PI()*C6+A6</f>
        <v>47.386400000000002</v>
      </c>
      <c r="G6">
        <f t="shared" si="2"/>
        <v>2.4800125569106299</v>
      </c>
      <c r="H6">
        <f t="shared" si="3"/>
        <v>47.321458585694103</v>
      </c>
      <c r="J6" s="3373"/>
      <c r="K6" s="3373"/>
      <c r="L6" s="3373"/>
      <c r="M6" s="3373"/>
      <c r="N6" s="3373"/>
    </row>
    <row r="7" spans="1:14">
      <c r="A7">
        <f t="shared" si="0"/>
        <v>47.03</v>
      </c>
      <c r="B7" s="1206">
        <v>4</v>
      </c>
      <c r="C7" s="2522">
        <f t="shared" si="1"/>
        <v>6.9813170079773196E-2</v>
      </c>
      <c r="D7">
        <f t="shared" si="4"/>
        <v>47.505200000000002</v>
      </c>
      <c r="G7">
        <f t="shared" si="2"/>
        <v>3.3137952365094199</v>
      </c>
      <c r="H7">
        <f t="shared" si="3"/>
        <v>47.389479720403003</v>
      </c>
    </row>
    <row r="8" spans="1:14">
      <c r="A8">
        <f t="shared" si="0"/>
        <v>47.03</v>
      </c>
      <c r="B8" s="1206">
        <v>5</v>
      </c>
      <c r="C8" s="2522">
        <f t="shared" si="1"/>
        <v>8.7266462599716502E-2</v>
      </c>
      <c r="D8">
        <f t="shared" si="4"/>
        <v>47.624000000000002</v>
      </c>
      <c r="G8">
        <f t="shared" si="2"/>
        <v>4.1507050926144702</v>
      </c>
      <c r="H8">
        <f t="shared" si="3"/>
        <v>47.442776301921299</v>
      </c>
    </row>
    <row r="9" spans="1:14">
      <c r="A9">
        <f t="shared" si="0"/>
        <v>47.03</v>
      </c>
      <c r="B9" s="1206">
        <v>6</v>
      </c>
      <c r="C9" s="2522">
        <f t="shared" si="1"/>
        <v>0.10471975511966</v>
      </c>
      <c r="D9">
        <f t="shared" si="4"/>
        <v>47.742800000000003</v>
      </c>
      <c r="G9">
        <f t="shared" si="2"/>
        <v>4.9904815160949303</v>
      </c>
      <c r="H9">
        <f t="shared" si="3"/>
        <v>47.481259946188402</v>
      </c>
    </row>
    <row r="10" spans="1:14">
      <c r="A10">
        <f t="shared" si="0"/>
        <v>47.03</v>
      </c>
      <c r="B10" s="1206">
        <v>7</v>
      </c>
      <c r="C10" s="2522">
        <f t="shared" si="1"/>
        <v>0.122173047639603</v>
      </c>
      <c r="D10">
        <f t="shared" si="4"/>
        <v>47.861600000000003</v>
      </c>
      <c r="G10">
        <f t="shared" si="2"/>
        <v>5.8328617663198097</v>
      </c>
      <c r="H10">
        <f t="shared" si="3"/>
        <v>47.504846891396298</v>
      </c>
    </row>
    <row r="11" spans="1:14">
      <c r="A11">
        <f t="shared" si="0"/>
        <v>47.03</v>
      </c>
      <c r="B11" s="1206">
        <v>8</v>
      </c>
      <c r="C11" s="2522">
        <f t="shared" si="1"/>
        <v>0.139626340159546</v>
      </c>
      <c r="D11">
        <f t="shared" si="4"/>
        <v>47.980400000000003</v>
      </c>
      <c r="G11">
        <f t="shared" si="2"/>
        <v>6.6775810533043201</v>
      </c>
      <c r="H11">
        <f t="shared" si="3"/>
        <v>47.513458045447997</v>
      </c>
    </row>
    <row r="12" spans="1:14">
      <c r="A12">
        <f t="shared" si="0"/>
        <v>47.03</v>
      </c>
      <c r="B12" s="1206">
        <v>9</v>
      </c>
      <c r="C12" s="2522">
        <f t="shared" si="1"/>
        <v>0.15707963267948999</v>
      </c>
      <c r="D12">
        <f t="shared" si="4"/>
        <v>48.099200000000003</v>
      </c>
      <c r="G12">
        <f t="shared" si="2"/>
        <v>7.5243726208630699</v>
      </c>
      <c r="H12">
        <f t="shared" si="3"/>
        <v>47.507019031953703</v>
      </c>
    </row>
    <row r="13" spans="1:14">
      <c r="A13">
        <f t="shared" si="0"/>
        <v>47.03</v>
      </c>
      <c r="B13" s="1206">
        <v>10</v>
      </c>
      <c r="C13" s="2522">
        <f t="shared" si="1"/>
        <v>0.174532925199433</v>
      </c>
      <c r="D13">
        <f t="shared" si="4"/>
        <v>48.218000000000004</v>
      </c>
      <c r="G13">
        <f t="shared" si="2"/>
        <v>8.3729678307440505</v>
      </c>
      <c r="H13">
        <f t="shared" si="3"/>
        <v>47.485460234742597</v>
      </c>
    </row>
    <row r="14" spans="1:14">
      <c r="A14">
        <f t="shared" si="0"/>
        <v>47.03</v>
      </c>
      <c r="B14" s="1206">
        <v>11</v>
      </c>
      <c r="C14" s="2522">
        <f t="shared" si="1"/>
        <v>0.19198621771937599</v>
      </c>
      <c r="D14">
        <f t="shared" si="4"/>
        <v>48.336799999999997</v>
      </c>
      <c r="G14">
        <f t="shared" si="2"/>
        <v>9.2230962477169705</v>
      </c>
      <c r="H14">
        <f t="shared" si="3"/>
        <v>47.448716840872997</v>
      </c>
    </row>
    <row r="15" spans="1:14">
      <c r="A15">
        <f t="shared" si="0"/>
        <v>47.03</v>
      </c>
      <c r="B15" s="1206">
        <v>12</v>
      </c>
      <c r="C15" s="2522">
        <f t="shared" si="1"/>
        <v>0.20943951023932</v>
      </c>
      <c r="D15">
        <f t="shared" si="4"/>
        <v>48.455599999999997</v>
      </c>
      <c r="G15">
        <f t="shared" si="2"/>
        <v>10.074485725589</v>
      </c>
      <c r="H15">
        <f t="shared" si="3"/>
        <v>47.396728882117003</v>
      </c>
    </row>
    <row r="16" spans="1:14">
      <c r="A16">
        <f t="shared" si="0"/>
        <v>47.03</v>
      </c>
      <c r="B16" s="1206">
        <v>13</v>
      </c>
      <c r="C16" s="2522">
        <f t="shared" si="1"/>
        <v>0.22689280275926299</v>
      </c>
      <c r="D16">
        <f t="shared" si="4"/>
        <v>48.574399999999997</v>
      </c>
      <c r="G16">
        <f t="shared" si="2"/>
        <v>10.9268624941206</v>
      </c>
      <c r="H16">
        <f t="shared" si="3"/>
        <v>47.3294412749039</v>
      </c>
    </row>
    <row r="17" spans="1:13">
      <c r="A17">
        <f t="shared" si="0"/>
        <v>47.03</v>
      </c>
      <c r="B17" s="1206">
        <v>14</v>
      </c>
      <c r="C17" s="2522">
        <f t="shared" si="1"/>
        <v>0.244346095279206</v>
      </c>
      <c r="D17">
        <f t="shared" si="4"/>
        <v>48.693199999999997</v>
      </c>
      <c r="G17">
        <f t="shared" si="2"/>
        <v>11.779951246813701</v>
      </c>
      <c r="H17">
        <f t="shared" si="3"/>
        <v>47.2468038587024</v>
      </c>
    </row>
    <row r="18" spans="1:13">
      <c r="A18">
        <f t="shared" si="0"/>
        <v>47.03</v>
      </c>
      <c r="B18" s="1206">
        <v>15</v>
      </c>
      <c r="C18" s="2522">
        <f t="shared" si="1"/>
        <v>0.26179938779914902</v>
      </c>
      <c r="D18">
        <f t="shared" si="4"/>
        <v>48.811999999999998</v>
      </c>
      <c r="G18">
        <f t="shared" si="2"/>
        <v>12.633475229544199</v>
      </c>
      <c r="H18">
        <f t="shared" si="3"/>
        <v>47.148771432822002</v>
      </c>
    </row>
    <row r="19" spans="1:13">
      <c r="A19">
        <f t="shared" si="0"/>
        <v>47.03</v>
      </c>
      <c r="B19" s="1206">
        <v>16</v>
      </c>
      <c r="C19" s="2522">
        <f t="shared" si="1"/>
        <v>0.27925268031909301</v>
      </c>
      <c r="D19">
        <f t="shared" si="4"/>
        <v>48.930799999999998</v>
      </c>
      <c r="G19">
        <f t="shared" si="2"/>
        <v>13.4871563300104</v>
      </c>
      <c r="H19">
        <f t="shared" si="3"/>
        <v>47.035303791618702</v>
      </c>
    </row>
    <row r="20" spans="1:13">
      <c r="A20">
        <f t="shared" si="0"/>
        <v>47.03</v>
      </c>
      <c r="B20" s="1206">
        <v>17</v>
      </c>
      <c r="C20" s="2522">
        <f t="shared" si="1"/>
        <v>0.29670597283903599</v>
      </c>
      <c r="D20">
        <f t="shared" si="4"/>
        <v>49.049599999999998</v>
      </c>
      <c r="G20">
        <f t="shared" si="2"/>
        <v>14.3407151679683</v>
      </c>
      <c r="H20">
        <f t="shared" si="3"/>
        <v>46.906365758084497</v>
      </c>
    </row>
    <row r="21" spans="1:13">
      <c r="A21">
        <f t="shared" si="0"/>
        <v>47.03</v>
      </c>
      <c r="B21" s="1206">
        <v>18</v>
      </c>
      <c r="C21" s="2522">
        <f t="shared" si="1"/>
        <v>0.31415926535897898</v>
      </c>
      <c r="D21">
        <f t="shared" si="4"/>
        <v>49.168399999999998</v>
      </c>
      <c r="G21">
        <f t="shared" si="2"/>
        <v>15.1938711862252</v>
      </c>
      <c r="H21">
        <f t="shared" si="3"/>
        <v>46.761927215806601</v>
      </c>
    </row>
    <row r="22" spans="1:13">
      <c r="A22">
        <f t="shared" si="0"/>
        <v>47.03</v>
      </c>
      <c r="B22" s="1206">
        <v>19</v>
      </c>
      <c r="C22" s="2522">
        <f t="shared" si="1"/>
        <v>0.33161255787892302</v>
      </c>
      <c r="D22">
        <f t="shared" si="4"/>
        <v>49.287199999999999</v>
      </c>
      <c r="G22">
        <f t="shared" si="2"/>
        <v>16.0463427423608</v>
      </c>
      <c r="H22">
        <f t="shared" si="3"/>
        <v>46.601963139278602</v>
      </c>
    </row>
    <row r="23" spans="1:13">
      <c r="A23">
        <f t="shared" si="0"/>
        <v>47.03</v>
      </c>
      <c r="B23" s="1206">
        <v>20</v>
      </c>
      <c r="C23" s="2522">
        <f t="shared" si="1"/>
        <v>0.34906585039886601</v>
      </c>
      <c r="D23">
        <f t="shared" si="4"/>
        <v>49.405999999999999</v>
      </c>
      <c r="G23">
        <f t="shared" si="2"/>
        <v>16.897847201148</v>
      </c>
      <c r="H23">
        <f t="shared" si="3"/>
        <v>46.4264536225486</v>
      </c>
    </row>
    <row r="24" spans="1:13">
      <c r="A24">
        <f t="shared" si="0"/>
        <v>47.03</v>
      </c>
      <c r="B24" s="1206">
        <v>21</v>
      </c>
      <c r="C24" s="2522">
        <f t="shared" si="1"/>
        <v>0.36651914291880899</v>
      </c>
      <c r="D24">
        <f t="shared" si="4"/>
        <v>49.524799999999999</v>
      </c>
      <c r="G24">
        <f t="shared" si="2"/>
        <v>17.748101027641098</v>
      </c>
      <c r="H24">
        <f t="shared" si="3"/>
        <v>46.235383906188602</v>
      </c>
    </row>
    <row r="25" spans="1:13">
      <c r="A25">
        <f t="shared" si="0"/>
        <v>47.03</v>
      </c>
      <c r="B25" s="1206">
        <v>22</v>
      </c>
      <c r="C25" s="2522">
        <f t="shared" si="1"/>
        <v>0.38397243543875198</v>
      </c>
      <c r="D25">
        <f t="shared" si="4"/>
        <v>49.643599999999999</v>
      </c>
      <c r="G25">
        <f t="shared" si="2"/>
        <v>18.596819880902199</v>
      </c>
      <c r="H25">
        <f t="shared" si="3"/>
        <v>46.028744402571803</v>
      </c>
    </row>
    <row r="26" spans="1:13">
      <c r="A26">
        <f t="shared" si="0"/>
        <v>47.03</v>
      </c>
      <c r="B26" s="1206">
        <v>23</v>
      </c>
      <c r="C26" s="2522">
        <f t="shared" si="1"/>
        <v>0.40142572795869602</v>
      </c>
      <c r="D26">
        <f t="shared" si="4"/>
        <v>49.7624</v>
      </c>
      <c r="G26">
        <f t="shared" si="2"/>
        <v>19.4437187083346</v>
      </c>
      <c r="H26">
        <f t="shared" si="3"/>
        <v>45.806530719441703</v>
      </c>
    </row>
    <row r="27" spans="1:13">
      <c r="A27">
        <f t="shared" si="0"/>
        <v>47.03</v>
      </c>
      <c r="B27" s="1206">
        <v>24</v>
      </c>
      <c r="C27" s="2522">
        <f t="shared" si="1"/>
        <v>0.41887902047863901</v>
      </c>
      <c r="D27">
        <f t="shared" si="4"/>
        <v>49.8812</v>
      </c>
      <c r="G27">
        <f t="shared" si="2"/>
        <v>20.288511840592601</v>
      </c>
      <c r="H27">
        <f t="shared" si="3"/>
        <v>45.568743681762101</v>
      </c>
    </row>
    <row r="28" spans="1:13">
      <c r="A28">
        <f t="shared" si="0"/>
        <v>47.03</v>
      </c>
      <c r="B28" s="1206">
        <v>25</v>
      </c>
      <c r="C28" s="2522">
        <f t="shared" si="1"/>
        <v>0.43633231299858199</v>
      </c>
      <c r="D28">
        <f>2.97*7.2/PI()*C28+A28+0.03</f>
        <v>50.03</v>
      </c>
      <c r="G28">
        <f t="shared" si="2"/>
        <v>21.143591634887201</v>
      </c>
      <c r="H28">
        <f t="shared" si="3"/>
        <v>45.342578585443597</v>
      </c>
      <c r="K28" s="52"/>
      <c r="L28" s="3374"/>
      <c r="M28" s="3374"/>
    </row>
    <row r="29" spans="1:13">
      <c r="A29">
        <f t="shared" si="0"/>
        <v>47.03</v>
      </c>
      <c r="B29" s="45">
        <v>26</v>
      </c>
      <c r="C29" s="2522">
        <f t="shared" si="1"/>
        <v>0.45378560551852598</v>
      </c>
      <c r="D29">
        <v>50.03</v>
      </c>
      <c r="G29">
        <f t="shared" si="2"/>
        <v>21.931708473857501</v>
      </c>
      <c r="H29">
        <f t="shared" si="3"/>
        <v>44.9666661363473</v>
      </c>
    </row>
    <row r="30" spans="1:13">
      <c r="A30">
        <f t="shared" si="0"/>
        <v>47.03</v>
      </c>
      <c r="B30" s="45">
        <v>27</v>
      </c>
      <c r="C30" s="2522">
        <f t="shared" si="1"/>
        <v>0.47123889803846902</v>
      </c>
      <c r="D30">
        <v>50.03</v>
      </c>
      <c r="G30">
        <f t="shared" si="2"/>
        <v>22.713144701969501</v>
      </c>
      <c r="H30">
        <f t="shared" si="3"/>
        <v>44.577056405143999</v>
      </c>
    </row>
    <row r="31" spans="1:13">
      <c r="A31">
        <f t="shared" si="0"/>
        <v>47.03</v>
      </c>
      <c r="B31" s="45">
        <v>28</v>
      </c>
      <c r="C31" s="2522">
        <f t="shared" si="1"/>
        <v>0.48869219055841201</v>
      </c>
      <c r="D31">
        <v>50.03</v>
      </c>
      <c r="G31">
        <f t="shared" si="2"/>
        <v>23.4876622861781</v>
      </c>
      <c r="H31">
        <f t="shared" si="3"/>
        <v>44.173868070732098</v>
      </c>
    </row>
    <row r="32" spans="1:13">
      <c r="A32">
        <f t="shared" si="0"/>
        <v>47.03</v>
      </c>
      <c r="B32" s="45">
        <v>29</v>
      </c>
      <c r="C32" s="2522">
        <f t="shared" si="1"/>
        <v>0.50614548307835605</v>
      </c>
      <c r="D32">
        <v>50.03</v>
      </c>
      <c r="G32">
        <f t="shared" si="2"/>
        <v>24.255025300924199</v>
      </c>
      <c r="H32">
        <f t="shared" si="3"/>
        <v>43.757223948183999</v>
      </c>
      <c r="L32" s="3166" t="s">
        <v>12704</v>
      </c>
    </row>
    <row r="33" spans="1:8">
      <c r="A33">
        <f t="shared" si="0"/>
        <v>47.03</v>
      </c>
      <c r="B33" s="45">
        <v>30</v>
      </c>
      <c r="C33" s="2522">
        <f t="shared" si="1"/>
        <v>0.52359877559829904</v>
      </c>
      <c r="D33">
        <v>50.03</v>
      </c>
      <c r="G33">
        <f t="shared" si="2"/>
        <v>25.015000000000001</v>
      </c>
      <c r="H33">
        <f t="shared" si="3"/>
        <v>43.3272509513355</v>
      </c>
    </row>
    <row r="34" spans="1:8">
      <c r="A34">
        <f t="shared" si="0"/>
        <v>47.03</v>
      </c>
      <c r="B34" s="45">
        <v>31</v>
      </c>
      <c r="C34" s="2522">
        <f t="shared" si="1"/>
        <v>0.54105206811824202</v>
      </c>
      <c r="D34">
        <v>50.03</v>
      </c>
      <c r="G34">
        <f t="shared" si="2"/>
        <v>25.767354887749999</v>
      </c>
      <c r="H34">
        <f t="shared" si="3"/>
        <v>42.884080054126699</v>
      </c>
    </row>
    <row r="35" spans="1:8">
      <c r="A35">
        <f t="shared" si="0"/>
        <v>47.03</v>
      </c>
      <c r="B35" s="45">
        <v>32</v>
      </c>
      <c r="C35" s="2522">
        <f t="shared" si="1"/>
        <v>0.55850536063818501</v>
      </c>
      <c r="D35">
        <v>50.03</v>
      </c>
      <c r="G35">
        <f t="shared" si="2"/>
        <v>26.5118607895872</v>
      </c>
      <c r="H35">
        <f t="shared" si="3"/>
        <v>42.427846250705997</v>
      </c>
    </row>
    <row r="36" spans="1:8">
      <c r="A36">
        <f t="shared" si="0"/>
        <v>47.03</v>
      </c>
      <c r="B36" s="45">
        <v>33</v>
      </c>
      <c r="C36" s="2522">
        <f t="shared" si="1"/>
        <v>0.575958653158129</v>
      </c>
      <c r="D36">
        <v>50.03</v>
      </c>
      <c r="G36">
        <f t="shared" si="2"/>
        <v>27.2482909218018</v>
      </c>
      <c r="H36">
        <f t="shared" si="3"/>
        <v>41.9586885143096</v>
      </c>
    </row>
    <row r="37" spans="1:8">
      <c r="A37">
        <f t="shared" si="0"/>
        <v>47.03</v>
      </c>
      <c r="B37" s="45">
        <v>34</v>
      </c>
      <c r="C37" s="2522">
        <f t="shared" si="1"/>
        <v>0.59341194567807198</v>
      </c>
      <c r="D37">
        <v>50.03</v>
      </c>
      <c r="G37">
        <f t="shared" si="2"/>
        <v>27.976420960641502</v>
      </c>
      <c r="H37">
        <f t="shared" si="3"/>
        <v>41.476749754928697</v>
      </c>
    </row>
    <row r="38" spans="1:8">
      <c r="A38">
        <f t="shared" si="0"/>
        <v>47.03</v>
      </c>
      <c r="B38" s="45">
        <v>35</v>
      </c>
      <c r="C38" s="2522">
        <f t="shared" si="1"/>
        <v>0.61086523819801497</v>
      </c>
      <c r="D38">
        <v>50.03</v>
      </c>
      <c r="G38">
        <f t="shared" si="2"/>
        <v>28.696029110642801</v>
      </c>
      <c r="H38">
        <f t="shared" si="3"/>
        <v>40.982176775778299</v>
      </c>
    </row>
    <row r="39" spans="1:8">
      <c r="A39">
        <f t="shared" si="0"/>
        <v>47.03</v>
      </c>
      <c r="B39" s="45">
        <v>36</v>
      </c>
      <c r="C39" s="2522">
        <f t="shared" si="1"/>
        <v>0.62831853071795896</v>
      </c>
      <c r="D39">
        <v>50.03</v>
      </c>
      <c r="G39">
        <f t="shared" si="2"/>
        <v>29.4068961721924</v>
      </c>
      <c r="H39">
        <f t="shared" si="3"/>
        <v>40.475120228578596</v>
      </c>
    </row>
    <row r="40" spans="1:8">
      <c r="A40">
        <f t="shared" si="0"/>
        <v>47.03</v>
      </c>
      <c r="B40" s="45">
        <v>37</v>
      </c>
      <c r="C40" s="2522">
        <f t="shared" si="1"/>
        <v>0.64577182323790205</v>
      </c>
      <c r="D40">
        <v>50.03</v>
      </c>
      <c r="G40">
        <f t="shared" si="2"/>
        <v>30.108805608297001</v>
      </c>
      <c r="H40">
        <f t="shared" si="3"/>
        <v>39.955734567666099</v>
      </c>
    </row>
    <row r="41" spans="1:8">
      <c r="A41">
        <f t="shared" si="0"/>
        <v>47.03</v>
      </c>
      <c r="B41" s="45">
        <v>38</v>
      </c>
      <c r="C41" s="2522">
        <f t="shared" si="1"/>
        <v>0.66322511575784504</v>
      </c>
      <c r="D41">
        <v>50.03</v>
      </c>
      <c r="G41">
        <f t="shared" si="2"/>
        <v>30.801543610542701</v>
      </c>
      <c r="H41">
        <f t="shared" si="3"/>
        <v>39.424178002944302</v>
      </c>
    </row>
    <row r="42" spans="1:8">
      <c r="A42">
        <f t="shared" si="0"/>
        <v>47.03</v>
      </c>
      <c r="B42" s="45">
        <v>39</v>
      </c>
      <c r="C42" s="2522">
        <f t="shared" si="1"/>
        <v>0.68067840827778803</v>
      </c>
      <c r="D42">
        <v>50.03</v>
      </c>
      <c r="G42">
        <f t="shared" si="2"/>
        <v>31.4848991642234</v>
      </c>
      <c r="H42">
        <f t="shared" si="3"/>
        <v>38.880612451692301</v>
      </c>
    </row>
    <row r="43" spans="1:8">
      <c r="A43">
        <f t="shared" si="0"/>
        <v>47.03</v>
      </c>
      <c r="B43" s="45">
        <v>40</v>
      </c>
      <c r="C43" s="2522">
        <f t="shared" si="1"/>
        <v>0.69813170079773201</v>
      </c>
      <c r="D43">
        <v>50.03</v>
      </c>
      <c r="G43">
        <f t="shared" si="2"/>
        <v>32.1586641126176</v>
      </c>
      <c r="H43">
        <f t="shared" si="3"/>
        <v>38.325203489242497</v>
      </c>
    </row>
    <row r="44" spans="1:8">
      <c r="A44">
        <f t="shared" si="0"/>
        <v>47.03</v>
      </c>
      <c r="B44" s="45">
        <v>41</v>
      </c>
      <c r="C44" s="2522">
        <f t="shared" si="1"/>
        <v>0.715584993317675</v>
      </c>
      <c r="D44">
        <v>50.03</v>
      </c>
      <c r="G44">
        <f t="shared" si="2"/>
        <v>32.822633220395097</v>
      </c>
      <c r="H44">
        <f t="shared" si="3"/>
        <v>37.7581202985453</v>
      </c>
    </row>
    <row r="45" spans="1:8">
      <c r="A45">
        <f t="shared" si="0"/>
        <v>47.03</v>
      </c>
      <c r="B45" s="45">
        <v>42</v>
      </c>
      <c r="C45" s="2522">
        <f t="shared" si="1"/>
        <v>0.73303828583761799</v>
      </c>
      <c r="D45">
        <v>50.03</v>
      </c>
      <c r="G45">
        <f t="shared" si="2"/>
        <v>33.476604236133703</v>
      </c>
      <c r="H45">
        <f t="shared" si="3"/>
        <v>37.179535618633999</v>
      </c>
    </row>
    <row r="46" spans="1:8">
      <c r="A46">
        <f t="shared" si="0"/>
        <v>47.03</v>
      </c>
      <c r="B46" s="45">
        <v>43</v>
      </c>
      <c r="C46" s="2522">
        <f t="shared" si="1"/>
        <v>0.75049157835756197</v>
      </c>
      <c r="D46">
        <v>50.03</v>
      </c>
      <c r="G46">
        <f t="shared" si="2"/>
        <v>34.120377953926798</v>
      </c>
      <c r="H46">
        <f t="shared" si="3"/>
        <v>36.589625692007097</v>
      </c>
    </row>
    <row r="47" spans="1:8">
      <c r="A47">
        <f t="shared" si="0"/>
        <v>47.03</v>
      </c>
      <c r="B47" s="45">
        <v>44</v>
      </c>
      <c r="C47" s="2522">
        <f t="shared" si="1"/>
        <v>0.76794487087750496</v>
      </c>
      <c r="D47">
        <v>50.03</v>
      </c>
      <c r="G47">
        <f t="shared" si="2"/>
        <v>34.7537582740636</v>
      </c>
      <c r="H47">
        <f t="shared" si="3"/>
        <v>35.988570210942697</v>
      </c>
    </row>
    <row r="48" spans="1:8">
      <c r="A48">
        <f t="shared" si="0"/>
        <v>47.03</v>
      </c>
      <c r="B48" s="45">
        <v>45</v>
      </c>
      <c r="C48" s="2522">
        <f t="shared" si="1"/>
        <v>0.78539816339744795</v>
      </c>
      <c r="D48">
        <v>50.03</v>
      </c>
      <c r="G48">
        <f t="shared" si="2"/>
        <v>35.376552262762999</v>
      </c>
      <c r="H48">
        <f t="shared" si="3"/>
        <v>35.376552262762999</v>
      </c>
    </row>
    <row r="49" spans="1:12">
      <c r="A49">
        <f t="shared" si="0"/>
        <v>47.03</v>
      </c>
      <c r="B49" s="45">
        <v>46</v>
      </c>
      <c r="C49" s="2522">
        <f t="shared" si="1"/>
        <v>0.80285145591739104</v>
      </c>
      <c r="D49">
        <v>50.03</v>
      </c>
      <c r="G49">
        <f t="shared" si="2"/>
        <v>35.988570210942697</v>
      </c>
      <c r="H49">
        <f t="shared" si="3"/>
        <v>34.7537582740636</v>
      </c>
    </row>
    <row r="50" spans="1:12">
      <c r="A50">
        <f t="shared" si="0"/>
        <v>47.03</v>
      </c>
      <c r="B50" s="45">
        <v>47</v>
      </c>
      <c r="C50" s="2522">
        <f t="shared" si="1"/>
        <v>0.82030474843733503</v>
      </c>
      <c r="D50">
        <v>50.03</v>
      </c>
      <c r="G50">
        <f t="shared" si="2"/>
        <v>36.589625692007097</v>
      </c>
      <c r="H50">
        <f t="shared" si="3"/>
        <v>34.120377953926798</v>
      </c>
    </row>
    <row r="51" spans="1:12">
      <c r="A51">
        <f t="shared" si="0"/>
        <v>47.03</v>
      </c>
      <c r="B51" s="45">
        <v>48</v>
      </c>
      <c r="C51" s="2522">
        <f t="shared" si="1"/>
        <v>0.83775804095727802</v>
      </c>
      <c r="D51">
        <v>50.03</v>
      </c>
      <c r="G51">
        <f t="shared" si="2"/>
        <v>37.179535618633999</v>
      </c>
      <c r="H51">
        <f t="shared" si="3"/>
        <v>33.476604236133703</v>
      </c>
    </row>
    <row r="52" spans="1:12">
      <c r="A52">
        <f t="shared" si="0"/>
        <v>47.03</v>
      </c>
      <c r="B52" s="45">
        <v>49</v>
      </c>
      <c r="C52" s="2522">
        <f t="shared" si="1"/>
        <v>0.855211333477221</v>
      </c>
      <c r="D52">
        <v>50.03</v>
      </c>
      <c r="G52">
        <f t="shared" si="2"/>
        <v>37.7581202985453</v>
      </c>
      <c r="H52">
        <f t="shared" si="3"/>
        <v>32.822633220395097</v>
      </c>
    </row>
    <row r="53" spans="1:12">
      <c r="A53">
        <f t="shared" si="0"/>
        <v>47.03</v>
      </c>
      <c r="B53" s="45">
        <v>50</v>
      </c>
      <c r="C53" s="2522">
        <f t="shared" si="1"/>
        <v>0.87266462599716499</v>
      </c>
      <c r="D53">
        <v>50.03</v>
      </c>
      <c r="G53">
        <f t="shared" si="2"/>
        <v>38.325203489242497</v>
      </c>
      <c r="H53">
        <f t="shared" si="3"/>
        <v>32.1586641126176</v>
      </c>
    </row>
    <row r="54" spans="1:12">
      <c r="A54">
        <f t="shared" si="0"/>
        <v>47.03</v>
      </c>
      <c r="B54" s="45">
        <v>51</v>
      </c>
      <c r="C54" s="2522">
        <f t="shared" si="1"/>
        <v>0.89011791851710798</v>
      </c>
      <c r="D54">
        <v>50.03</v>
      </c>
      <c r="G54">
        <f t="shared" si="2"/>
        <v>38.880612451692301</v>
      </c>
      <c r="H54">
        <f t="shared" si="3"/>
        <v>31.4848991642234</v>
      </c>
    </row>
    <row r="55" spans="1:12">
      <c r="A55">
        <f t="shared" si="0"/>
        <v>47.03</v>
      </c>
      <c r="B55" s="45">
        <v>52</v>
      </c>
      <c r="C55" s="2522">
        <f t="shared" si="1"/>
        <v>0.90757121103705096</v>
      </c>
      <c r="D55">
        <v>50.03</v>
      </c>
      <c r="G55">
        <f t="shared" si="2"/>
        <v>39.424178002944302</v>
      </c>
      <c r="H55">
        <f t="shared" si="3"/>
        <v>30.801543610542701</v>
      </c>
    </row>
    <row r="56" spans="1:12">
      <c r="A56">
        <f t="shared" si="0"/>
        <v>47.03</v>
      </c>
      <c r="B56" s="45">
        <v>53</v>
      </c>
      <c r="C56" s="2522">
        <f t="shared" si="1"/>
        <v>0.92502450355699495</v>
      </c>
      <c r="D56">
        <v>50.03</v>
      </c>
      <c r="G56">
        <f t="shared" si="2"/>
        <v>39.955734567666099</v>
      </c>
      <c r="H56">
        <f t="shared" si="3"/>
        <v>30.108805608297001</v>
      </c>
    </row>
    <row r="57" spans="1:12">
      <c r="A57">
        <f t="shared" si="0"/>
        <v>47.03</v>
      </c>
      <c r="B57" s="45">
        <v>54</v>
      </c>
      <c r="C57" s="2522">
        <f t="shared" si="1"/>
        <v>0.94247779607693805</v>
      </c>
      <c r="D57">
        <v>50.03</v>
      </c>
      <c r="G57">
        <f t="shared" si="2"/>
        <v>40.475120228578596</v>
      </c>
      <c r="H57">
        <f t="shared" si="3"/>
        <v>29.4068961721924</v>
      </c>
    </row>
    <row r="58" spans="1:12">
      <c r="A58">
        <f t="shared" si="0"/>
        <v>47.03</v>
      </c>
      <c r="B58" s="45">
        <v>55</v>
      </c>
      <c r="C58" s="2522">
        <f t="shared" si="1"/>
        <v>0.95993108859688103</v>
      </c>
      <c r="D58">
        <v>50.03</v>
      </c>
      <c r="G58">
        <f t="shared" si="2"/>
        <v>40.982176775778299</v>
      </c>
      <c r="H58">
        <f t="shared" si="3"/>
        <v>28.696029110642801</v>
      </c>
    </row>
    <row r="59" spans="1:12">
      <c r="A59">
        <f t="shared" si="0"/>
        <v>47.03</v>
      </c>
      <c r="B59" s="45">
        <v>56</v>
      </c>
      <c r="C59" s="2522">
        <f t="shared" si="1"/>
        <v>0.97738438111682502</v>
      </c>
      <c r="D59">
        <v>50.03</v>
      </c>
      <c r="G59">
        <f t="shared" si="2"/>
        <v>41.476749754928697</v>
      </c>
      <c r="H59">
        <f t="shared" si="3"/>
        <v>27.976420960641502</v>
      </c>
    </row>
    <row r="60" spans="1:12">
      <c r="A60">
        <f t="shared" si="0"/>
        <v>47.03</v>
      </c>
      <c r="B60" s="45">
        <v>57</v>
      </c>
      <c r="C60" s="2522">
        <f t="shared" si="1"/>
        <v>0.99483767363676801</v>
      </c>
      <c r="D60">
        <v>50.03</v>
      </c>
      <c r="G60">
        <f t="shared" si="2"/>
        <v>41.9586885143096</v>
      </c>
      <c r="H60">
        <f t="shared" si="3"/>
        <v>27.2482909218018</v>
      </c>
      <c r="L60" s="3166" t="s">
        <v>12704</v>
      </c>
    </row>
    <row r="61" spans="1:12">
      <c r="A61">
        <f t="shared" si="0"/>
        <v>47.03</v>
      </c>
      <c r="B61" s="45">
        <v>58</v>
      </c>
      <c r="C61" s="2522">
        <f t="shared" si="1"/>
        <v>1.0122909661567101</v>
      </c>
      <c r="D61">
        <v>50.03</v>
      </c>
      <c r="G61">
        <f t="shared" si="2"/>
        <v>42.427846250705997</v>
      </c>
      <c r="H61">
        <f t="shared" si="3"/>
        <v>26.5118607895872</v>
      </c>
    </row>
    <row r="62" spans="1:12">
      <c r="A62">
        <f t="shared" si="0"/>
        <v>47.03</v>
      </c>
      <c r="B62" s="45">
        <v>59</v>
      </c>
      <c r="C62" s="2522">
        <f t="shared" si="1"/>
        <v>1.0297442586766501</v>
      </c>
      <c r="D62">
        <v>50.03</v>
      </c>
      <c r="G62">
        <f t="shared" si="2"/>
        <v>42.884080054126699</v>
      </c>
      <c r="H62">
        <f t="shared" si="3"/>
        <v>25.767354887749999</v>
      </c>
    </row>
    <row r="63" spans="1:12">
      <c r="A63">
        <f t="shared" si="0"/>
        <v>47.03</v>
      </c>
      <c r="B63" s="45">
        <v>60</v>
      </c>
      <c r="C63" s="2522">
        <f t="shared" si="1"/>
        <v>1.0471975511966001</v>
      </c>
      <c r="D63">
        <v>50.03</v>
      </c>
      <c r="G63">
        <f t="shared" si="2"/>
        <v>43.3272509513355</v>
      </c>
      <c r="H63">
        <f t="shared" si="3"/>
        <v>25.015000000000001</v>
      </c>
    </row>
    <row r="64" spans="1:12">
      <c r="A64">
        <f t="shared" si="0"/>
        <v>47.03</v>
      </c>
      <c r="B64" s="45">
        <v>61</v>
      </c>
      <c r="C64" s="2522">
        <f t="shared" si="1"/>
        <v>1.0646508437165401</v>
      </c>
      <c r="D64">
        <v>50.03</v>
      </c>
      <c r="G64">
        <f t="shared" si="2"/>
        <v>43.757223948183999</v>
      </c>
      <c r="H64">
        <f t="shared" si="3"/>
        <v>24.255025300924199</v>
      </c>
    </row>
    <row r="65" spans="1:14">
      <c r="A65">
        <f t="shared" si="0"/>
        <v>47.03</v>
      </c>
      <c r="B65" s="45">
        <v>62</v>
      </c>
      <c r="C65" s="2522">
        <f t="shared" si="1"/>
        <v>1.0821041362364801</v>
      </c>
      <c r="D65">
        <v>50.03</v>
      </c>
      <c r="G65">
        <f t="shared" si="2"/>
        <v>44.173868070732098</v>
      </c>
      <c r="H65">
        <f t="shared" si="3"/>
        <v>23.4876622861781</v>
      </c>
    </row>
    <row r="66" spans="1:14">
      <c r="A66">
        <f t="shared" si="0"/>
        <v>47.03</v>
      </c>
      <c r="B66" s="45">
        <v>63</v>
      </c>
      <c r="C66" s="2522">
        <f t="shared" si="1"/>
        <v>1.09955742875643</v>
      </c>
      <c r="D66">
        <v>50.03</v>
      </c>
      <c r="G66">
        <f t="shared" si="2"/>
        <v>44.577056405143999</v>
      </c>
      <c r="H66">
        <f t="shared" si="3"/>
        <v>22.713144701969501</v>
      </c>
    </row>
    <row r="67" spans="1:14">
      <c r="A67">
        <f t="shared" ref="A67:A130" si="5">52.03-5</f>
        <v>47.03</v>
      </c>
      <c r="B67" s="45">
        <v>64</v>
      </c>
      <c r="C67" s="2522">
        <f t="shared" ref="C67:C130" si="6">B67*PI()/180</f>
        <v>1.11701072127637</v>
      </c>
      <c r="D67">
        <v>50.03</v>
      </c>
      <c r="G67">
        <f t="shared" ref="G67:G130" si="7">D67*SIN(C67)</f>
        <v>44.9666661363473</v>
      </c>
      <c r="H67">
        <f t="shared" ref="H67:H130" si="8">D67*COS(C67)</f>
        <v>21.931708473857501</v>
      </c>
    </row>
    <row r="68" spans="1:14">
      <c r="A68">
        <f t="shared" si="5"/>
        <v>47.03</v>
      </c>
      <c r="B68" s="45">
        <v>65</v>
      </c>
      <c r="C68" s="2522">
        <f t="shared" si="6"/>
        <v>1.13446401379631</v>
      </c>
      <c r="D68">
        <v>50.03</v>
      </c>
      <c r="G68">
        <f t="shared" si="7"/>
        <v>45.342578585443597</v>
      </c>
      <c r="H68">
        <f t="shared" si="8"/>
        <v>21.143591634887201</v>
      </c>
    </row>
    <row r="69" spans="1:14">
      <c r="A69">
        <f t="shared" si="5"/>
        <v>47.03</v>
      </c>
      <c r="B69" s="45">
        <v>66</v>
      </c>
      <c r="C69" s="2522">
        <f t="shared" si="6"/>
        <v>1.15191730631626</v>
      </c>
      <c r="D69">
        <v>50.03</v>
      </c>
      <c r="G69">
        <f t="shared" si="7"/>
        <v>45.704679245859303</v>
      </c>
      <c r="H69">
        <f t="shared" si="8"/>
        <v>20.349034253082301</v>
      </c>
    </row>
    <row r="70" spans="1:14">
      <c r="A70">
        <f t="shared" si="5"/>
        <v>47.03</v>
      </c>
      <c r="B70" s="45">
        <v>67</v>
      </c>
      <c r="C70" s="2522">
        <f t="shared" si="6"/>
        <v>1.1693705988362</v>
      </c>
      <c r="D70">
        <v>50.03</v>
      </c>
      <c r="G70">
        <f t="shared" si="7"/>
        <v>46.052857818225597</v>
      </c>
      <c r="H70">
        <f t="shared" si="8"/>
        <v>19.548278358318399</v>
      </c>
    </row>
    <row r="71" spans="1:14">
      <c r="A71">
        <f t="shared" si="5"/>
        <v>47.03</v>
      </c>
      <c r="B71" s="45">
        <v>68</v>
      </c>
      <c r="C71" s="2522">
        <f t="shared" si="6"/>
        <v>1.18682389135614</v>
      </c>
      <c r="D71">
        <v>50.03</v>
      </c>
      <c r="G71">
        <f t="shared" si="7"/>
        <v>46.387008243976403</v>
      </c>
      <c r="H71">
        <f t="shared" si="8"/>
        <v>18.7415678685981</v>
      </c>
    </row>
    <row r="72" spans="1:14">
      <c r="A72">
        <f t="shared" si="5"/>
        <v>47.03</v>
      </c>
      <c r="B72" s="45">
        <v>69</v>
      </c>
      <c r="C72" s="2522">
        <f t="shared" si="6"/>
        <v>1.20427718387609</v>
      </c>
      <c r="D72">
        <v>50.03</v>
      </c>
      <c r="G72">
        <f t="shared" si="7"/>
        <v>46.707028737655001</v>
      </c>
      <c r="H72">
        <f t="shared" si="8"/>
        <v>17.9291485157514</v>
      </c>
    </row>
    <row r="73" spans="1:14">
      <c r="A73">
        <f t="shared" si="5"/>
        <v>47.03</v>
      </c>
      <c r="B73" s="45">
        <v>70</v>
      </c>
      <c r="C73" s="2522">
        <f t="shared" si="6"/>
        <v>1.2217304763960299</v>
      </c>
      <c r="D73">
        <v>50.03</v>
      </c>
      <c r="G73">
        <f t="shared" si="7"/>
        <v>47.012821817918997</v>
      </c>
      <c r="H73">
        <f t="shared" si="8"/>
        <v>17.111267770583201</v>
      </c>
    </row>
    <row r="74" spans="1:14">
      <c r="A74">
        <f t="shared" si="5"/>
        <v>47.03</v>
      </c>
      <c r="B74" s="45">
        <v>71</v>
      </c>
      <c r="C74" s="2522">
        <f t="shared" si="6"/>
        <v>1.2391837689159699</v>
      </c>
      <c r="D74">
        <v>50.03</v>
      </c>
      <c r="G74">
        <f t="shared" si="7"/>
        <v>47.304294337233799</v>
      </c>
      <c r="H74">
        <f t="shared" si="8"/>
        <v>16.288174767491601</v>
      </c>
    </row>
    <row r="75" spans="1:14">
      <c r="A75">
        <f t="shared" si="5"/>
        <v>47.03</v>
      </c>
      <c r="B75" s="45">
        <v>72</v>
      </c>
      <c r="C75" s="2522">
        <f t="shared" si="6"/>
        <v>1.2566370614359199</v>
      </c>
      <c r="D75">
        <v>50.03</v>
      </c>
      <c r="G75">
        <f t="shared" si="7"/>
        <v>47.581357510246498</v>
      </c>
      <c r="H75">
        <f t="shared" si="8"/>
        <v>15.460120228578599</v>
      </c>
      <c r="L75" s="52"/>
      <c r="M75" s="52"/>
      <c r="N75" s="52"/>
    </row>
    <row r="76" spans="1:14">
      <c r="A76">
        <f t="shared" si="5"/>
        <v>47.03</v>
      </c>
      <c r="B76" s="45">
        <v>73</v>
      </c>
      <c r="C76" s="2522">
        <f t="shared" si="6"/>
        <v>1.2740903539558599</v>
      </c>
      <c r="D76">
        <v>50.03</v>
      </c>
      <c r="G76">
        <f t="shared" si="7"/>
        <v>47.843926940830698</v>
      </c>
      <c r="H76">
        <f t="shared" si="8"/>
        <v>14.6273563872785</v>
      </c>
      <c r="L76" s="52"/>
      <c r="M76" s="52"/>
      <c r="N76" s="52"/>
    </row>
    <row r="77" spans="1:14">
      <c r="A77">
        <f t="shared" si="5"/>
        <v>47.03</v>
      </c>
      <c r="B77" s="45">
        <v>74</v>
      </c>
      <c r="C77" s="2522">
        <f t="shared" si="6"/>
        <v>1.2915436464757999</v>
      </c>
      <c r="D77">
        <v>50.03</v>
      </c>
      <c r="G77">
        <f t="shared" si="7"/>
        <v>48.0919226477941</v>
      </c>
      <c r="H77">
        <f t="shared" si="8"/>
        <v>13.790136911524501</v>
      </c>
      <c r="L77" s="3374"/>
      <c r="M77" s="3374"/>
      <c r="N77" s="52"/>
    </row>
    <row r="78" spans="1:14">
      <c r="A78">
        <f t="shared" si="5"/>
        <v>47.03</v>
      </c>
      <c r="B78" s="45">
        <v>75</v>
      </c>
      <c r="C78" s="2522">
        <f t="shared" si="6"/>
        <v>1.3089969389957501</v>
      </c>
      <c r="D78">
        <v>50.03</v>
      </c>
      <c r="G78">
        <f t="shared" si="7"/>
        <v>48.325269089242099</v>
      </c>
      <c r="H78">
        <f t="shared" si="8"/>
        <v>12.948716826479099</v>
      </c>
      <c r="L78" s="52"/>
      <c r="M78" s="52"/>
      <c r="N78" s="52"/>
    </row>
    <row r="79" spans="1:14">
      <c r="A79">
        <f t="shared" si="5"/>
        <v>47.03</v>
      </c>
      <c r="B79" s="45">
        <v>76</v>
      </c>
      <c r="C79" s="2522">
        <f t="shared" si="6"/>
        <v>1.3264502315156901</v>
      </c>
      <c r="D79">
        <v>50.03</v>
      </c>
      <c r="G79">
        <f t="shared" si="7"/>
        <v>48.543895185588099</v>
      </c>
      <c r="H79">
        <f t="shared" si="8"/>
        <v>12.1033524368514</v>
      </c>
      <c r="L79" s="52"/>
      <c r="M79" s="52"/>
      <c r="N79" s="52"/>
    </row>
    <row r="80" spans="1:14">
      <c r="A80">
        <f t="shared" si="5"/>
        <v>47.03</v>
      </c>
      <c r="B80" s="45">
        <v>77</v>
      </c>
      <c r="C80" s="2522">
        <f t="shared" si="6"/>
        <v>1.3439035240356301</v>
      </c>
      <c r="D80">
        <v>50.03</v>
      </c>
      <c r="G80">
        <f t="shared" si="7"/>
        <v>48.747734341205302</v>
      </c>
      <c r="H80">
        <f t="shared" si="8"/>
        <v>11.2543012488236</v>
      </c>
      <c r="L80" s="52"/>
      <c r="M80" s="52"/>
      <c r="N80" s="52"/>
    </row>
    <row r="81" spans="1:12">
      <c r="A81">
        <f t="shared" si="5"/>
        <v>47.03</v>
      </c>
      <c r="B81" s="45">
        <v>78</v>
      </c>
      <c r="C81" s="2522">
        <f t="shared" si="6"/>
        <v>1.3613568165555801</v>
      </c>
      <c r="D81">
        <v>50.03</v>
      </c>
      <c r="G81">
        <f t="shared" si="7"/>
        <v>48.936724464712299</v>
      </c>
      <c r="H81">
        <f t="shared" si="8"/>
        <v>10.401821891612499</v>
      </c>
    </row>
    <row r="82" spans="1:12">
      <c r="A82">
        <f t="shared" si="5"/>
        <v>47.03</v>
      </c>
      <c r="B82" s="45">
        <v>79</v>
      </c>
      <c r="C82" s="2522">
        <f t="shared" si="6"/>
        <v>1.37881010907552</v>
      </c>
      <c r="D82">
        <v>50.03</v>
      </c>
      <c r="G82">
        <f t="shared" si="7"/>
        <v>49.110807987886602</v>
      </c>
      <c r="H82">
        <f t="shared" si="8"/>
        <v>9.5461740386885392</v>
      </c>
    </row>
    <row r="83" spans="1:12">
      <c r="A83">
        <f t="shared" si="5"/>
        <v>47.03</v>
      </c>
      <c r="B83" s="45">
        <v>80</v>
      </c>
      <c r="C83" s="2522">
        <f t="shared" si="6"/>
        <v>1.39626340159546</v>
      </c>
      <c r="D83">
        <v>50.03</v>
      </c>
      <c r="G83">
        <f t="shared" si="7"/>
        <v>49.269931883200798</v>
      </c>
      <c r="H83">
        <f t="shared" si="8"/>
        <v>8.6876183286765301</v>
      </c>
    </row>
    <row r="84" spans="1:12">
      <c r="A84">
        <f t="shared" si="5"/>
        <v>47.03</v>
      </c>
      <c r="B84" s="45">
        <v>81</v>
      </c>
      <c r="C84" s="2522">
        <f t="shared" si="6"/>
        <v>1.41371669411541</v>
      </c>
      <c r="D84">
        <v>50.03</v>
      </c>
      <c r="G84">
        <f t="shared" si="7"/>
        <v>49.414047679974701</v>
      </c>
      <c r="H84">
        <f t="shared" si="8"/>
        <v>7.8264162859627504</v>
      </c>
    </row>
    <row r="85" spans="1:12">
      <c r="A85">
        <f t="shared" si="5"/>
        <v>47.03</v>
      </c>
      <c r="B85" s="45">
        <v>82</v>
      </c>
      <c r="C85" s="2522">
        <f t="shared" si="6"/>
        <v>1.43116998663535</v>
      </c>
      <c r="D85">
        <v>50.03</v>
      </c>
      <c r="G85">
        <f t="shared" si="7"/>
        <v>49.543111479140798</v>
      </c>
      <c r="H85">
        <f t="shared" si="8"/>
        <v>6.9628302410320897</v>
      </c>
    </row>
    <row r="86" spans="1:12">
      <c r="A86">
        <f t="shared" si="5"/>
        <v>47.03</v>
      </c>
      <c r="B86" s="45">
        <v>83</v>
      </c>
      <c r="C86" s="2522">
        <f t="shared" si="6"/>
        <v>1.44862327915529</v>
      </c>
      <c r="D86">
        <v>50.03</v>
      </c>
      <c r="G86">
        <f t="shared" si="7"/>
        <v>49.657083966615303</v>
      </c>
      <c r="H86">
        <f t="shared" si="8"/>
        <v>6.0971232505595303</v>
      </c>
    </row>
    <row r="87" spans="1:12">
      <c r="A87">
        <f t="shared" si="5"/>
        <v>47.03</v>
      </c>
      <c r="B87" s="45">
        <v>84</v>
      </c>
      <c r="C87" s="2522">
        <f t="shared" si="6"/>
        <v>1.46607657167524</v>
      </c>
      <c r="D87">
        <v>50.03</v>
      </c>
      <c r="G87">
        <f t="shared" si="7"/>
        <v>49.755930425274698</v>
      </c>
      <c r="H87">
        <f t="shared" si="8"/>
        <v>5.2295590172806996</v>
      </c>
    </row>
    <row r="88" spans="1:12">
      <c r="A88">
        <f t="shared" si="5"/>
        <v>47.03</v>
      </c>
      <c r="B88" s="45">
        <v>85</v>
      </c>
      <c r="C88" s="2522">
        <f t="shared" si="6"/>
        <v>1.48352986419518</v>
      </c>
      <c r="D88">
        <v>50.03</v>
      </c>
      <c r="G88">
        <f t="shared" si="7"/>
        <v>49.839620745529999</v>
      </c>
      <c r="H88">
        <f t="shared" si="8"/>
        <v>4.3604018096653396</v>
      </c>
    </row>
    <row r="89" spans="1:12">
      <c r="A89">
        <f t="shared" si="5"/>
        <v>47.03</v>
      </c>
      <c r="B89" s="45">
        <v>86</v>
      </c>
      <c r="C89" s="2522">
        <f t="shared" si="6"/>
        <v>1.5009831567151199</v>
      </c>
      <c r="D89">
        <v>50.03</v>
      </c>
      <c r="G89">
        <f t="shared" si="7"/>
        <v>49.908129434499003</v>
      </c>
      <c r="H89">
        <f t="shared" si="8"/>
        <v>3.4899163814185998</v>
      </c>
      <c r="L89" s="3166" t="s">
        <v>12704</v>
      </c>
    </row>
    <row r="90" spans="1:12">
      <c r="A90">
        <f t="shared" si="5"/>
        <v>47.03</v>
      </c>
      <c r="B90" s="45">
        <v>87</v>
      </c>
      <c r="C90" s="2522">
        <f t="shared" si="6"/>
        <v>1.5184364492350699</v>
      </c>
      <c r="D90">
        <v>50.03</v>
      </c>
      <c r="G90">
        <f t="shared" si="7"/>
        <v>49.961435623771301</v>
      </c>
      <c r="H90">
        <f t="shared" si="8"/>
        <v>2.6183678908344898</v>
      </c>
    </row>
    <row r="91" spans="1:12">
      <c r="A91">
        <f t="shared" si="5"/>
        <v>47.03</v>
      </c>
      <c r="B91" s="45">
        <v>88</v>
      </c>
      <c r="C91" s="2522">
        <f t="shared" si="6"/>
        <v>1.5358897417550099</v>
      </c>
      <c r="D91">
        <v>50.03</v>
      </c>
      <c r="G91">
        <f t="shared" si="7"/>
        <v>49.999523075765403</v>
      </c>
      <c r="H91">
        <f t="shared" si="8"/>
        <v>1.7460218200261299</v>
      </c>
    </row>
    <row r="92" spans="1:12">
      <c r="A92">
        <f t="shared" si="5"/>
        <v>47.03</v>
      </c>
      <c r="B92" s="45">
        <v>89</v>
      </c>
      <c r="C92" s="2522">
        <f t="shared" si="6"/>
        <v>1.5533430342749499</v>
      </c>
      <c r="D92">
        <v>50.03</v>
      </c>
      <c r="G92">
        <f t="shared" si="7"/>
        <v>50.022380188674298</v>
      </c>
      <c r="H92">
        <f t="shared" si="8"/>
        <v>0.87314389405728698</v>
      </c>
    </row>
    <row r="93" spans="1:12">
      <c r="A93">
        <f t="shared" si="5"/>
        <v>47.03</v>
      </c>
      <c r="B93" s="45">
        <v>90</v>
      </c>
      <c r="C93" s="2522">
        <f t="shared" si="6"/>
        <v>1.5707963267949001</v>
      </c>
      <c r="D93">
        <v>50.03</v>
      </c>
      <c r="G93">
        <f t="shared" si="7"/>
        <v>50.03</v>
      </c>
      <c r="H93">
        <f t="shared" si="8"/>
        <v>3.0634539680671001E-15</v>
      </c>
    </row>
    <row r="94" spans="1:12">
      <c r="A94">
        <f t="shared" si="5"/>
        <v>47.03</v>
      </c>
      <c r="B94" s="45">
        <v>91</v>
      </c>
      <c r="C94" s="2522">
        <f t="shared" si="6"/>
        <v>1.5882496193148401</v>
      </c>
      <c r="D94">
        <v>50.03</v>
      </c>
      <c r="G94">
        <f t="shared" si="7"/>
        <v>50.022380188674298</v>
      </c>
      <c r="H94">
        <f t="shared" si="8"/>
        <v>-0.87314389405729198</v>
      </c>
    </row>
    <row r="95" spans="1:12">
      <c r="A95">
        <f t="shared" si="5"/>
        <v>47.03</v>
      </c>
      <c r="B95" s="45">
        <v>92</v>
      </c>
      <c r="C95" s="2522">
        <f t="shared" si="6"/>
        <v>1.6057029118347801</v>
      </c>
      <c r="D95">
        <v>50.03</v>
      </c>
      <c r="G95">
        <f t="shared" si="7"/>
        <v>49.999523075765403</v>
      </c>
      <c r="H95">
        <f t="shared" si="8"/>
        <v>-1.7460218200261099</v>
      </c>
    </row>
    <row r="96" spans="1:12">
      <c r="A96">
        <f t="shared" si="5"/>
        <v>47.03</v>
      </c>
      <c r="B96" s="45">
        <v>93</v>
      </c>
      <c r="C96" s="2522">
        <f t="shared" si="6"/>
        <v>1.6231562043547301</v>
      </c>
      <c r="D96">
        <v>50.03</v>
      </c>
      <c r="G96">
        <f t="shared" si="7"/>
        <v>49.961435623771301</v>
      </c>
      <c r="H96">
        <f t="shared" si="8"/>
        <v>-2.6183678908344699</v>
      </c>
    </row>
    <row r="97" spans="1:8">
      <c r="A97">
        <f t="shared" si="5"/>
        <v>47.03</v>
      </c>
      <c r="B97" s="45">
        <v>94</v>
      </c>
      <c r="C97" s="2522">
        <f t="shared" si="6"/>
        <v>1.6406094968746701</v>
      </c>
      <c r="D97">
        <v>50.03</v>
      </c>
      <c r="G97">
        <f t="shared" si="7"/>
        <v>49.908129434499003</v>
      </c>
      <c r="H97">
        <f t="shared" si="8"/>
        <v>-3.4899163814185901</v>
      </c>
    </row>
    <row r="98" spans="1:8">
      <c r="A98">
        <f t="shared" si="5"/>
        <v>47.03</v>
      </c>
      <c r="B98" s="45">
        <v>95</v>
      </c>
      <c r="C98" s="2522">
        <f t="shared" si="6"/>
        <v>1.65806278939461</v>
      </c>
      <c r="D98">
        <v>50.03</v>
      </c>
      <c r="G98">
        <f t="shared" si="7"/>
        <v>49.839620745529999</v>
      </c>
      <c r="H98">
        <f t="shared" si="8"/>
        <v>-4.3604018096653396</v>
      </c>
    </row>
    <row r="99" spans="1:8">
      <c r="A99">
        <f t="shared" si="5"/>
        <v>47.03</v>
      </c>
      <c r="B99" s="45">
        <v>96</v>
      </c>
      <c r="C99" s="2522">
        <f t="shared" si="6"/>
        <v>1.67551608191456</v>
      </c>
      <c r="D99">
        <v>50.03</v>
      </c>
      <c r="G99">
        <f t="shared" si="7"/>
        <v>49.755930425274698</v>
      </c>
      <c r="H99">
        <f t="shared" si="8"/>
        <v>-5.2295590172806996</v>
      </c>
    </row>
    <row r="100" spans="1:8">
      <c r="A100">
        <f t="shared" si="5"/>
        <v>47.03</v>
      </c>
      <c r="B100" s="45">
        <v>97</v>
      </c>
      <c r="C100" s="2522">
        <f t="shared" si="6"/>
        <v>1.6929693744345</v>
      </c>
      <c r="D100">
        <v>50.03</v>
      </c>
      <c r="G100">
        <f t="shared" si="7"/>
        <v>49.657083966615303</v>
      </c>
      <c r="H100">
        <f t="shared" si="8"/>
        <v>-6.0971232505595196</v>
      </c>
    </row>
    <row r="101" spans="1:8">
      <c r="A101">
        <f t="shared" si="5"/>
        <v>47.03</v>
      </c>
      <c r="B101" s="45">
        <v>98</v>
      </c>
      <c r="C101" s="2522">
        <f t="shared" si="6"/>
        <v>1.71042266695444</v>
      </c>
      <c r="D101">
        <v>50.03</v>
      </c>
      <c r="G101">
        <f t="shared" si="7"/>
        <v>49.543111479140798</v>
      </c>
      <c r="H101">
        <f t="shared" si="8"/>
        <v>-6.9628302410320702</v>
      </c>
    </row>
    <row r="102" spans="1:8">
      <c r="A102">
        <f t="shared" si="5"/>
        <v>47.03</v>
      </c>
      <c r="B102" s="45">
        <v>99</v>
      </c>
      <c r="C102" s="2522">
        <f t="shared" si="6"/>
        <v>1.72787595947439</v>
      </c>
      <c r="D102">
        <v>50.03</v>
      </c>
      <c r="G102">
        <f t="shared" si="7"/>
        <v>49.414047679974701</v>
      </c>
      <c r="H102">
        <f t="shared" si="8"/>
        <v>-7.8264162859627602</v>
      </c>
    </row>
    <row r="103" spans="1:8">
      <c r="A103">
        <f t="shared" si="5"/>
        <v>47.03</v>
      </c>
      <c r="B103" s="45">
        <v>100</v>
      </c>
      <c r="C103" s="2522">
        <f t="shared" si="6"/>
        <v>1.74532925199433</v>
      </c>
      <c r="D103">
        <v>50.03</v>
      </c>
      <c r="G103">
        <f t="shared" si="7"/>
        <v>49.269931883200798</v>
      </c>
      <c r="H103">
        <f t="shared" si="8"/>
        <v>-8.6876183286765194</v>
      </c>
    </row>
    <row r="104" spans="1:8">
      <c r="A104">
        <f t="shared" si="5"/>
        <v>47.03</v>
      </c>
      <c r="B104" s="45">
        <v>101</v>
      </c>
      <c r="C104" s="2522">
        <f t="shared" si="6"/>
        <v>1.76278254451427</v>
      </c>
      <c r="D104">
        <v>50.03</v>
      </c>
      <c r="G104">
        <f t="shared" si="7"/>
        <v>49.110807987886602</v>
      </c>
      <c r="H104">
        <f t="shared" si="8"/>
        <v>-9.5461740386885392</v>
      </c>
    </row>
    <row r="105" spans="1:8">
      <c r="A105">
        <f t="shared" si="5"/>
        <v>47.03</v>
      </c>
      <c r="B105" s="45">
        <v>102</v>
      </c>
      <c r="C105" s="2522">
        <f t="shared" si="6"/>
        <v>1.7802358370342199</v>
      </c>
      <c r="D105">
        <v>50.03</v>
      </c>
      <c r="G105">
        <f t="shared" si="7"/>
        <v>48.936724464712299</v>
      </c>
      <c r="H105">
        <f t="shared" si="8"/>
        <v>-10.401821891612499</v>
      </c>
    </row>
    <row r="106" spans="1:8">
      <c r="A106">
        <f t="shared" si="5"/>
        <v>47.03</v>
      </c>
      <c r="B106" s="2525">
        <v>103</v>
      </c>
      <c r="C106" s="2522">
        <f t="shared" si="6"/>
        <v>1.7976891295541599</v>
      </c>
      <c r="D106">
        <f t="shared" ref="D106:D136" si="9">F$106*C106+F$107+A106</f>
        <v>49.904193548387099</v>
      </c>
      <c r="E106" s="2526" t="s">
        <v>6163</v>
      </c>
      <c r="F106" s="2527">
        <f>-2.97*180/31/PI()</f>
        <v>-5.4893053275436898</v>
      </c>
      <c r="G106">
        <f t="shared" si="7"/>
        <v>48.625152300796898</v>
      </c>
      <c r="H106">
        <f t="shared" si="8"/>
        <v>-11.226000954890001</v>
      </c>
    </row>
    <row r="107" spans="1:8">
      <c r="A107">
        <f t="shared" si="5"/>
        <v>47.03</v>
      </c>
      <c r="B107" s="2525">
        <v>104</v>
      </c>
      <c r="C107" s="2522">
        <f t="shared" si="6"/>
        <v>1.8151424220740999</v>
      </c>
      <c r="D107">
        <f t="shared" si="9"/>
        <v>49.808387096774197</v>
      </c>
      <c r="E107" s="2528" t="s">
        <v>5930</v>
      </c>
      <c r="F107" s="2529">
        <f>2.97*102/31+2.97</f>
        <v>12.742258064516101</v>
      </c>
      <c r="G107">
        <f t="shared" si="7"/>
        <v>48.3288651327005</v>
      </c>
      <c r="H107">
        <f t="shared" si="8"/>
        <v>-12.0497394232136</v>
      </c>
    </row>
    <row r="108" spans="1:8">
      <c r="A108">
        <f t="shared" si="5"/>
        <v>47.03</v>
      </c>
      <c r="B108" s="2525">
        <v>105</v>
      </c>
      <c r="C108" s="2522">
        <f t="shared" si="6"/>
        <v>1.8325957145940499</v>
      </c>
      <c r="D108">
        <f t="shared" si="9"/>
        <v>49.712580645161303</v>
      </c>
      <c r="G108">
        <f t="shared" si="7"/>
        <v>48.018665536639404</v>
      </c>
      <c r="H108">
        <f t="shared" si="8"/>
        <v>-12.866562652162701</v>
      </c>
    </row>
    <row r="109" spans="1:8">
      <c r="A109">
        <f t="shared" si="5"/>
        <v>47.03</v>
      </c>
      <c r="B109" s="2525">
        <v>106</v>
      </c>
      <c r="C109" s="2522">
        <f t="shared" si="6"/>
        <v>1.8500490071139899</v>
      </c>
      <c r="D109">
        <f t="shared" si="9"/>
        <v>49.616774193548402</v>
      </c>
      <c r="G109">
        <f t="shared" si="7"/>
        <v>47.694704508278903</v>
      </c>
      <c r="H109">
        <f t="shared" si="8"/>
        <v>-13.6762364428788</v>
      </c>
    </row>
    <row r="110" spans="1:8">
      <c r="A110">
        <f t="shared" si="5"/>
        <v>47.03</v>
      </c>
      <c r="B110" s="2525">
        <v>107</v>
      </c>
      <c r="C110" s="2522">
        <f t="shared" si="6"/>
        <v>1.8675022996339301</v>
      </c>
      <c r="D110">
        <f t="shared" si="9"/>
        <v>49.5209677419355</v>
      </c>
      <c r="G110">
        <f t="shared" si="7"/>
        <v>47.357136971505</v>
      </c>
      <c r="H110">
        <f t="shared" si="8"/>
        <v>-14.4785297582293</v>
      </c>
    </row>
    <row r="111" spans="1:8">
      <c r="A111">
        <f t="shared" si="5"/>
        <v>47.03</v>
      </c>
      <c r="B111" s="2525">
        <v>108</v>
      </c>
      <c r="C111" s="2522">
        <f t="shared" si="6"/>
        <v>1.8849555921538801</v>
      </c>
      <c r="D111">
        <f t="shared" si="9"/>
        <v>49.425161290322599</v>
      </c>
      <c r="G111">
        <f t="shared" si="7"/>
        <v>47.006121714100303</v>
      </c>
      <c r="H111">
        <f t="shared" si="8"/>
        <v>-15.273214788432499</v>
      </c>
    </row>
    <row r="112" spans="1:8">
      <c r="A112">
        <f t="shared" si="5"/>
        <v>47.03</v>
      </c>
      <c r="B112" s="2525">
        <v>109</v>
      </c>
      <c r="C112" s="2522">
        <f t="shared" si="6"/>
        <v>1.9024088846738201</v>
      </c>
      <c r="D112">
        <f t="shared" si="9"/>
        <v>49.329354838709698</v>
      </c>
      <c r="G112">
        <f t="shared" si="7"/>
        <v>46.641821322330003</v>
      </c>
      <c r="H112">
        <f t="shared" si="8"/>
        <v>-16.0600670154009</v>
      </c>
    </row>
    <row r="113" spans="1:15">
      <c r="A113">
        <f t="shared" si="5"/>
        <v>47.03</v>
      </c>
      <c r="B113" s="2525">
        <v>110</v>
      </c>
      <c r="C113" s="2522">
        <f t="shared" si="6"/>
        <v>1.9198621771937601</v>
      </c>
      <c r="D113">
        <f t="shared" si="9"/>
        <v>49.233548387096803</v>
      </c>
      <c r="G113">
        <f t="shared" si="7"/>
        <v>46.2644021144608</v>
      </c>
      <c r="H113">
        <f t="shared" si="8"/>
        <v>-16.838865275786102</v>
      </c>
    </row>
    <row r="114" spans="1:15">
      <c r="A114">
        <f t="shared" si="5"/>
        <v>47.03</v>
      </c>
      <c r="B114" s="2525">
        <v>111</v>
      </c>
      <c r="C114" s="2522">
        <f t="shared" si="6"/>
        <v>1.93731546971371</v>
      </c>
      <c r="D114">
        <f t="shared" si="9"/>
        <v>49.137741935483902</v>
      </c>
      <c r="G114">
        <f t="shared" si="7"/>
        <v>45.874034073238498</v>
      </c>
      <c r="H114">
        <f t="shared" si="8"/>
        <v>-17.609391822705501</v>
      </c>
      <c r="L114" s="52"/>
      <c r="M114" s="52"/>
      <c r="N114" s="52"/>
      <c r="O114" s="52"/>
    </row>
    <row r="115" spans="1:15">
      <c r="A115">
        <f t="shared" si="5"/>
        <v>47.03</v>
      </c>
      <c r="B115" s="2525">
        <v>112</v>
      </c>
      <c r="C115" s="2522">
        <f t="shared" si="6"/>
        <v>1.95476876223365</v>
      </c>
      <c r="D115">
        <f t="shared" si="9"/>
        <v>49.041935483871001</v>
      </c>
      <c r="G115">
        <f t="shared" si="7"/>
        <v>45.470890777351201</v>
      </c>
      <c r="H115">
        <f t="shared" si="8"/>
        <v>-18.371432386135801</v>
      </c>
      <c r="L115" s="52"/>
      <c r="M115" s="52"/>
      <c r="N115" s="52"/>
      <c r="O115" s="52"/>
    </row>
    <row r="116" spans="1:15">
      <c r="A116">
        <f t="shared" si="5"/>
        <v>47.03</v>
      </c>
      <c r="B116" s="2525">
        <v>113</v>
      </c>
      <c r="C116" s="2522">
        <f t="shared" si="6"/>
        <v>1.97222205475359</v>
      </c>
      <c r="D116">
        <f t="shared" si="9"/>
        <v>48.946129032258099</v>
      </c>
      <c r="G116">
        <f t="shared" si="7"/>
        <v>45.055149331903003</v>
      </c>
      <c r="H116">
        <f t="shared" si="8"/>
        <v>-19.124776231955799</v>
      </c>
      <c r="L116" s="3166" t="s">
        <v>12704</v>
      </c>
      <c r="M116" s="52"/>
      <c r="N116" s="52"/>
      <c r="O116" s="52"/>
    </row>
    <row r="117" spans="1:15">
      <c r="A117">
        <f t="shared" si="5"/>
        <v>47.03</v>
      </c>
      <c r="B117" s="2525">
        <v>114</v>
      </c>
      <c r="C117" s="2522">
        <f t="shared" si="6"/>
        <v>1.98967534727354</v>
      </c>
      <c r="D117">
        <f t="shared" si="9"/>
        <v>48.850322580645198</v>
      </c>
      <c r="G117">
        <f t="shared" si="7"/>
        <v>44.626990297924202</v>
      </c>
      <c r="H117">
        <f t="shared" si="8"/>
        <v>-19.869216219621599</v>
      </c>
      <c r="L117" s="3374"/>
      <c r="M117" s="3374"/>
      <c r="N117" s="52"/>
      <c r="O117" s="52"/>
    </row>
    <row r="118" spans="1:15">
      <c r="A118">
        <f t="shared" si="5"/>
        <v>47.03</v>
      </c>
      <c r="B118" s="2525">
        <v>115</v>
      </c>
      <c r="C118" s="2522">
        <f t="shared" si="6"/>
        <v>2.0071286397934802</v>
      </c>
      <c r="D118">
        <f t="shared" si="9"/>
        <v>48.754516129032297</v>
      </c>
      <c r="G118">
        <f t="shared" si="7"/>
        <v>44.186597620945903</v>
      </c>
      <c r="H118">
        <f t="shared" si="8"/>
        <v>-20.6045488584605</v>
      </c>
      <c r="L118" s="52"/>
      <c r="M118" s="52"/>
      <c r="N118" s="52"/>
      <c r="O118" s="52"/>
    </row>
    <row r="119" spans="1:15">
      <c r="A119">
        <f t="shared" si="5"/>
        <v>47.03</v>
      </c>
      <c r="B119" s="2525">
        <v>116</v>
      </c>
      <c r="C119" s="2522">
        <f t="shared" si="6"/>
        <v>2.0245819323134202</v>
      </c>
      <c r="D119">
        <f t="shared" si="9"/>
        <v>48.658709677419402</v>
      </c>
      <c r="G119">
        <f t="shared" si="7"/>
        <v>43.734158558664198</v>
      </c>
      <c r="H119">
        <f t="shared" si="8"/>
        <v>-21.330574362567098</v>
      </c>
      <c r="L119" s="52"/>
      <c r="M119" s="52"/>
      <c r="N119" s="52"/>
      <c r="O119" s="52"/>
    </row>
    <row r="120" spans="1:15">
      <c r="A120">
        <f t="shared" si="5"/>
        <v>47.03</v>
      </c>
      <c r="B120" s="2525">
        <v>117</v>
      </c>
      <c r="C120" s="2522">
        <f t="shared" si="6"/>
        <v>2.04203522483337</v>
      </c>
      <c r="D120">
        <f t="shared" si="9"/>
        <v>48.562903225806501</v>
      </c>
      <c r="G120">
        <f t="shared" si="7"/>
        <v>43.269863607721902</v>
      </c>
      <c r="H120">
        <f t="shared" si="8"/>
        <v>-22.0470967042871</v>
      </c>
      <c r="L120" s="52"/>
      <c r="M120" s="52"/>
      <c r="N120" s="52"/>
      <c r="O120" s="52"/>
    </row>
    <row r="121" spans="1:15">
      <c r="A121">
        <f t="shared" si="5"/>
        <v>47.03</v>
      </c>
      <c r="B121" s="2525">
        <v>118</v>
      </c>
      <c r="C121" s="2522">
        <f t="shared" si="6"/>
        <v>2.05948851735331</v>
      </c>
      <c r="D121">
        <f t="shared" si="9"/>
        <v>48.4670967741935</v>
      </c>
      <c r="G121">
        <f t="shared" si="7"/>
        <v>42.793906429634902</v>
      </c>
      <c r="H121">
        <f t="shared" si="8"/>
        <v>-22.7539236662756</v>
      </c>
      <c r="L121" s="52"/>
      <c r="M121" s="52"/>
      <c r="N121" s="52"/>
      <c r="O121" s="52"/>
    </row>
    <row r="122" spans="1:15">
      <c r="A122">
        <f t="shared" si="5"/>
        <v>47.03</v>
      </c>
      <c r="B122" s="2525">
        <v>119</v>
      </c>
      <c r="C122" s="2522">
        <f t="shared" si="6"/>
        <v>2.0769418098732499</v>
      </c>
      <c r="D122">
        <f t="shared" si="9"/>
        <v>48.371290322580599</v>
      </c>
      <c r="G122">
        <f t="shared" si="7"/>
        <v>42.3064837758902</v>
      </c>
      <c r="H122">
        <f t="shared" si="8"/>
        <v>-23.450866892115599</v>
      </c>
    </row>
    <row r="123" spans="1:15">
      <c r="A123">
        <f t="shared" si="5"/>
        <v>47.03</v>
      </c>
      <c r="B123" s="2525">
        <v>120</v>
      </c>
      <c r="C123" s="2522">
        <f t="shared" si="6"/>
        <v>2.0943951023932001</v>
      </c>
      <c r="D123">
        <f t="shared" si="9"/>
        <v>48.275483870967697</v>
      </c>
      <c r="G123">
        <f t="shared" si="7"/>
        <v>41.807795412243998</v>
      </c>
      <c r="H123">
        <f t="shared" si="8"/>
        <v>-24.137741935483898</v>
      </c>
    </row>
    <row r="124" spans="1:15">
      <c r="A124">
        <f t="shared" si="5"/>
        <v>47.03</v>
      </c>
      <c r="B124" s="2525">
        <v>121</v>
      </c>
      <c r="C124" s="2522">
        <f t="shared" si="6"/>
        <v>2.1118483949131401</v>
      </c>
      <c r="D124">
        <f t="shared" si="9"/>
        <v>48.179677419354803</v>
      </c>
      <c r="G124">
        <f t="shared" si="7"/>
        <v>41.2980440422469</v>
      </c>
      <c r="H124">
        <f t="shared" si="8"/>
        <v>-24.8143683078519</v>
      </c>
    </row>
    <row r="125" spans="1:15">
      <c r="A125">
        <f t="shared" si="5"/>
        <v>47.03</v>
      </c>
      <c r="B125" s="2525">
        <v>122</v>
      </c>
      <c r="C125" s="2522">
        <f t="shared" si="6"/>
        <v>2.1293016874330801</v>
      </c>
      <c r="D125">
        <f t="shared" si="9"/>
        <v>48.083870967741902</v>
      </c>
      <c r="G125">
        <f t="shared" si="7"/>
        <v>40.7774352300248</v>
      </c>
      <c r="H125">
        <f t="shared" si="8"/>
        <v>-25.480569524710202</v>
      </c>
    </row>
    <row r="126" spans="1:15">
      <c r="A126">
        <f t="shared" si="5"/>
        <v>47.03</v>
      </c>
      <c r="B126" s="2525">
        <v>123</v>
      </c>
      <c r="C126" s="2522">
        <f t="shared" si="6"/>
        <v>2.1467549799530299</v>
      </c>
      <c r="D126">
        <f t="shared" si="9"/>
        <v>47.988064516129</v>
      </c>
      <c r="G126">
        <f t="shared" si="7"/>
        <v>40.246177322343598</v>
      </c>
      <c r="H126">
        <f t="shared" si="8"/>
        <v>-26.136173150303399</v>
      </c>
    </row>
    <row r="127" spans="1:15">
      <c r="A127">
        <f t="shared" si="5"/>
        <v>47.03</v>
      </c>
      <c r="B127" s="2525">
        <v>124</v>
      </c>
      <c r="C127" s="2522">
        <f t="shared" si="6"/>
        <v>2.1642082724729699</v>
      </c>
      <c r="D127">
        <f t="shared" si="9"/>
        <v>47.892258064516099</v>
      </c>
      <c r="G127">
        <f t="shared" si="7"/>
        <v>39.704481369986098</v>
      </c>
      <c r="H127">
        <f t="shared" si="8"/>
        <v>-26.781010840867101</v>
      </c>
    </row>
    <row r="128" spans="1:15">
      <c r="A128">
        <f t="shared" si="5"/>
        <v>47.03</v>
      </c>
      <c r="B128" s="2525">
        <v>125</v>
      </c>
      <c r="C128" s="2522">
        <f t="shared" si="6"/>
        <v>2.1816615649929099</v>
      </c>
      <c r="D128">
        <f t="shared" si="9"/>
        <v>47.796451612903198</v>
      </c>
      <c r="G128">
        <f t="shared" si="7"/>
        <v>39.1525610484696</v>
      </c>
      <c r="H128">
        <f t="shared" si="8"/>
        <v>-27.414918386354199</v>
      </c>
    </row>
    <row r="129" spans="1:12">
      <c r="A129">
        <f t="shared" si="5"/>
        <v>47.03</v>
      </c>
      <c r="B129" s="2525">
        <v>126</v>
      </c>
      <c r="C129" s="2522">
        <f t="shared" si="6"/>
        <v>2.1991148575128601</v>
      </c>
      <c r="D129">
        <f t="shared" si="9"/>
        <v>47.700645161290304</v>
      </c>
      <c r="G129">
        <f t="shared" si="7"/>
        <v>38.590632578132997</v>
      </c>
      <c r="H129">
        <f t="shared" si="8"/>
        <v>-28.037735750642799</v>
      </c>
    </row>
    <row r="130" spans="1:12">
      <c r="A130">
        <f t="shared" si="5"/>
        <v>47.03</v>
      </c>
      <c r="B130" s="2525">
        <v>127</v>
      </c>
      <c r="C130" s="2522">
        <f t="shared" si="6"/>
        <v>2.2165681500328001</v>
      </c>
      <c r="D130">
        <f t="shared" si="9"/>
        <v>47.604838709677402</v>
      </c>
      <c r="G130">
        <f t="shared" si="7"/>
        <v>38.018914643622303</v>
      </c>
      <c r="H130">
        <f t="shared" si="8"/>
        <v>-28.649307110214</v>
      </c>
    </row>
    <row r="131" spans="1:12">
      <c r="A131">
        <f t="shared" ref="A131:A194" si="10">52.03-5</f>
        <v>47.03</v>
      </c>
      <c r="B131" s="2525">
        <v>128</v>
      </c>
      <c r="C131" s="2522">
        <f t="shared" ref="C131:C194" si="11">B131*PI()/180</f>
        <v>2.23402144255274</v>
      </c>
      <c r="D131">
        <f t="shared" si="9"/>
        <v>47.509032258064501</v>
      </c>
      <c r="G131">
        <f t="shared" ref="G131:G194" si="12">D131*SIN(C131)</f>
        <v>37.437628312803497</v>
      </c>
      <c r="H131">
        <f t="shared" ref="H131:H194" si="13">D131*COS(C131)</f>
        <v>-29.249480891294301</v>
      </c>
    </row>
    <row r="132" spans="1:12">
      <c r="A132">
        <f t="shared" si="10"/>
        <v>47.03</v>
      </c>
      <c r="B132" s="2525">
        <v>129</v>
      </c>
      <c r="C132" s="2522">
        <f t="shared" si="11"/>
        <v>2.25147473507268</v>
      </c>
      <c r="D132">
        <f t="shared" si="9"/>
        <v>47.413225806451599</v>
      </c>
      <c r="G132">
        <f t="shared" si="12"/>
        <v>36.846996955131303</v>
      </c>
      <c r="H132">
        <f t="shared" si="13"/>
        <v>-29.838109805450401</v>
      </c>
    </row>
    <row r="133" spans="1:12">
      <c r="A133">
        <f t="shared" si="10"/>
        <v>47.03</v>
      </c>
      <c r="B133" s="2525">
        <v>130</v>
      </c>
      <c r="C133" s="2522">
        <f t="shared" si="11"/>
        <v>2.2689280275926298</v>
      </c>
      <c r="D133">
        <f t="shared" si="9"/>
        <v>47.317419354838698</v>
      </c>
      <c r="G133">
        <f t="shared" si="12"/>
        <v>36.247246159504598</v>
      </c>
      <c r="H133">
        <f t="shared" si="13"/>
        <v>-30.4150508836324</v>
      </c>
    </row>
    <row r="134" spans="1:12">
      <c r="A134">
        <f t="shared" si="10"/>
        <v>47.03</v>
      </c>
      <c r="B134" s="2525">
        <v>131</v>
      </c>
      <c r="C134" s="2522">
        <f t="shared" si="11"/>
        <v>2.2863813201125698</v>
      </c>
      <c r="D134">
        <f t="shared" si="9"/>
        <v>47.221612903225797</v>
      </c>
      <c r="G134">
        <f t="shared" si="12"/>
        <v>35.638603651635798</v>
      </c>
      <c r="H134">
        <f t="shared" si="13"/>
        <v>-30.980165508655901</v>
      </c>
    </row>
    <row r="135" spans="1:12">
      <c r="A135">
        <f t="shared" si="10"/>
        <v>47.03</v>
      </c>
      <c r="B135" s="2525">
        <v>132</v>
      </c>
      <c r="C135" s="2522">
        <f t="shared" si="11"/>
        <v>2.3038346126325102</v>
      </c>
      <c r="D135">
        <f t="shared" si="9"/>
        <v>47.125806451612902</v>
      </c>
      <c r="G135">
        <f t="shared" si="12"/>
        <v>35.021299210965303</v>
      </c>
      <c r="H135">
        <f t="shared" si="13"/>
        <v>-31.5333194461179</v>
      </c>
    </row>
    <row r="136" spans="1:12">
      <c r="A136">
        <f t="shared" si="10"/>
        <v>47.03</v>
      </c>
      <c r="B136" s="2525">
        <v>133</v>
      </c>
      <c r="C136" s="2522">
        <f t="shared" si="11"/>
        <v>2.32128790515246</v>
      </c>
      <c r="D136">
        <f t="shared" si="9"/>
        <v>47.03</v>
      </c>
      <c r="G136">
        <f t="shared" si="12"/>
        <v>34.3955645871496</v>
      </c>
      <c r="H136">
        <f t="shared" si="13"/>
        <v>-32.074382873739303</v>
      </c>
    </row>
    <row r="137" spans="1:12">
      <c r="A137">
        <f t="shared" si="10"/>
        <v>47.03</v>
      </c>
      <c r="B137" s="1206">
        <v>134</v>
      </c>
      <c r="C137" s="2522">
        <f t="shared" si="11"/>
        <v>2.3387411976724</v>
      </c>
      <c r="D137">
        <v>47.03</v>
      </c>
      <c r="G137">
        <f t="shared" si="12"/>
        <v>33.830550809926798</v>
      </c>
      <c r="H137">
        <f t="shared" si="13"/>
        <v>-32.669783162686599</v>
      </c>
    </row>
    <row r="138" spans="1:12">
      <c r="A138">
        <f t="shared" si="10"/>
        <v>47.03</v>
      </c>
      <c r="B138" s="1206">
        <v>135</v>
      </c>
      <c r="C138" s="2522">
        <f t="shared" si="11"/>
        <v>2.35619449019234</v>
      </c>
      <c r="D138">
        <v>47.03</v>
      </c>
      <c r="G138">
        <f t="shared" si="12"/>
        <v>33.255231919203297</v>
      </c>
      <c r="H138">
        <f t="shared" si="13"/>
        <v>-33.255231919203297</v>
      </c>
    </row>
    <row r="139" spans="1:12">
      <c r="A139">
        <f t="shared" si="10"/>
        <v>47.03</v>
      </c>
      <c r="B139" s="1206">
        <v>136</v>
      </c>
      <c r="C139" s="2522">
        <f t="shared" si="11"/>
        <v>2.3736477827122902</v>
      </c>
      <c r="D139">
        <v>47.03</v>
      </c>
      <c r="G139">
        <f t="shared" si="12"/>
        <v>32.669783162686599</v>
      </c>
      <c r="H139">
        <f t="shared" si="13"/>
        <v>-33.830550809926798</v>
      </c>
    </row>
    <row r="140" spans="1:12">
      <c r="A140">
        <f t="shared" si="10"/>
        <v>47.03</v>
      </c>
      <c r="B140" s="1206">
        <v>137</v>
      </c>
      <c r="C140" s="2522">
        <f t="shared" si="11"/>
        <v>2.3911010752322301</v>
      </c>
      <c r="D140">
        <v>47.03</v>
      </c>
      <c r="G140">
        <f t="shared" si="12"/>
        <v>32.074382873739303</v>
      </c>
      <c r="H140">
        <f t="shared" si="13"/>
        <v>-34.3955645871496</v>
      </c>
    </row>
    <row r="141" spans="1:12">
      <c r="A141">
        <f t="shared" si="10"/>
        <v>47.03</v>
      </c>
      <c r="B141" s="1206">
        <v>138</v>
      </c>
      <c r="C141" s="2522">
        <f t="shared" si="11"/>
        <v>2.4085543677521701</v>
      </c>
      <c r="D141">
        <v>47.03</v>
      </c>
      <c r="G141">
        <f t="shared" si="12"/>
        <v>31.469212417057101</v>
      </c>
      <c r="H141">
        <f t="shared" si="13"/>
        <v>-34.950101142201802</v>
      </c>
    </row>
    <row r="142" spans="1:12">
      <c r="A142">
        <f t="shared" si="10"/>
        <v>47.03</v>
      </c>
      <c r="B142" s="1206">
        <v>139</v>
      </c>
      <c r="C142" s="2522">
        <f t="shared" si="11"/>
        <v>2.4260076602721199</v>
      </c>
      <c r="D142">
        <v>47.03</v>
      </c>
      <c r="G142">
        <f t="shared" si="12"/>
        <v>30.8544561334236</v>
      </c>
      <c r="H142">
        <f t="shared" si="13"/>
        <v>-35.493991557877003</v>
      </c>
      <c r="L142" s="3166" t="s">
        <v>12704</v>
      </c>
    </row>
    <row r="143" spans="1:12">
      <c r="A143">
        <f t="shared" si="10"/>
        <v>47.03</v>
      </c>
      <c r="B143" s="1206">
        <v>140</v>
      </c>
      <c r="C143" s="2522">
        <f t="shared" si="11"/>
        <v>2.4434609527920599</v>
      </c>
      <c r="D143">
        <v>47.03</v>
      </c>
      <c r="G143">
        <f t="shared" si="12"/>
        <v>30.230301283557999</v>
      </c>
      <c r="H143">
        <f t="shared" si="13"/>
        <v>-36.027070159885497</v>
      </c>
    </row>
    <row r="144" spans="1:12">
      <c r="A144">
        <f t="shared" si="10"/>
        <v>47.03</v>
      </c>
      <c r="B144" s="1206">
        <v>141</v>
      </c>
      <c r="C144" s="2522">
        <f t="shared" si="11"/>
        <v>2.4609142453119999</v>
      </c>
      <c r="D144">
        <v>47.03</v>
      </c>
      <c r="G144">
        <f t="shared" si="12"/>
        <v>29.596937991073901</v>
      </c>
      <c r="H144">
        <f t="shared" si="13"/>
        <v>-36.549174567321302</v>
      </c>
    </row>
    <row r="145" spans="1:14">
      <c r="A145">
        <f t="shared" si="10"/>
        <v>47.03</v>
      </c>
      <c r="B145" s="1206">
        <v>142</v>
      </c>
      <c r="C145" s="2522">
        <f t="shared" si="11"/>
        <v>2.4783675378319501</v>
      </c>
      <c r="D145">
        <v>47.03</v>
      </c>
      <c r="G145">
        <f t="shared" si="12"/>
        <v>28.954559184565699</v>
      </c>
      <c r="H145">
        <f t="shared" si="13"/>
        <v>-37.060145742124099</v>
      </c>
    </row>
    <row r="146" spans="1:14">
      <c r="A146">
        <f t="shared" si="10"/>
        <v>47.03</v>
      </c>
      <c r="B146" s="1206">
        <v>143</v>
      </c>
      <c r="C146" s="2522">
        <f t="shared" si="11"/>
        <v>2.4958208303518901</v>
      </c>
      <c r="D146">
        <v>47.03</v>
      </c>
      <c r="G146">
        <f t="shared" si="12"/>
        <v>28.303360538840799</v>
      </c>
      <c r="H146">
        <f t="shared" si="13"/>
        <v>-37.559828037524198</v>
      </c>
    </row>
    <row r="147" spans="1:14">
      <c r="A147">
        <f t="shared" si="10"/>
        <v>47.03</v>
      </c>
      <c r="B147" s="1206">
        <v>144</v>
      </c>
      <c r="C147" s="2522">
        <f t="shared" si="11"/>
        <v>2.5132741228718301</v>
      </c>
      <c r="D147">
        <v>47.03</v>
      </c>
      <c r="G147">
        <f t="shared" si="12"/>
        <v>27.643540415315002</v>
      </c>
      <c r="H147">
        <f t="shared" si="13"/>
        <v>-38.048069245453803</v>
      </c>
    </row>
    <row r="148" spans="1:14">
      <c r="A148">
        <f t="shared" si="10"/>
        <v>47.03</v>
      </c>
      <c r="B148" s="1206">
        <v>145</v>
      </c>
      <c r="C148" s="2522">
        <f t="shared" si="11"/>
        <v>2.5307274153917798</v>
      </c>
      <c r="D148">
        <v>47.03</v>
      </c>
      <c r="G148">
        <f t="shared" si="12"/>
        <v>26.975299801589699</v>
      </c>
      <c r="H148">
        <f t="shared" si="13"/>
        <v>-38.524720642911298</v>
      </c>
    </row>
    <row r="149" spans="1:14">
      <c r="A149">
        <f t="shared" si="10"/>
        <v>47.03</v>
      </c>
      <c r="B149" s="1206">
        <v>146</v>
      </c>
      <c r="C149" s="2522">
        <f t="shared" si="11"/>
        <v>2.5481807079117198</v>
      </c>
      <c r="D149">
        <v>47.03</v>
      </c>
      <c r="G149">
        <f t="shared" si="12"/>
        <v>26.2988422502292</v>
      </c>
      <c r="H149">
        <f t="shared" si="13"/>
        <v>-38.989637037263599</v>
      </c>
    </row>
    <row r="150" spans="1:14">
      <c r="A150">
        <f t="shared" si="10"/>
        <v>47.03</v>
      </c>
      <c r="B150" s="1206">
        <v>147</v>
      </c>
      <c r="C150" s="2522">
        <f t="shared" si="11"/>
        <v>2.5656340004316598</v>
      </c>
      <c r="D150">
        <v>47.03</v>
      </c>
      <c r="G150">
        <f t="shared" si="12"/>
        <v>25.6143738167567</v>
      </c>
      <c r="H150">
        <f t="shared" si="13"/>
        <v>-39.442676810473301</v>
      </c>
    </row>
    <row r="151" spans="1:14">
      <c r="A151">
        <f t="shared" si="10"/>
        <v>47.03</v>
      </c>
      <c r="B151" s="1206">
        <v>148</v>
      </c>
      <c r="C151" s="2522">
        <f t="shared" si="11"/>
        <v>2.58308729295161</v>
      </c>
      <c r="D151">
        <v>47.03</v>
      </c>
      <c r="G151">
        <f t="shared" si="12"/>
        <v>24.922102996887599</v>
      </c>
      <c r="H151">
        <f t="shared" si="13"/>
        <v>-39.8837019622367</v>
      </c>
    </row>
    <row r="152" spans="1:14">
      <c r="A152">
        <f t="shared" si="10"/>
        <v>47.03</v>
      </c>
      <c r="B152" s="1206">
        <v>149</v>
      </c>
      <c r="C152" s="2522">
        <f t="shared" si="11"/>
        <v>2.60054058547155</v>
      </c>
      <c r="D152">
        <v>47.03</v>
      </c>
      <c r="G152">
        <f t="shared" si="12"/>
        <v>24.2222406630199</v>
      </c>
      <c r="H152">
        <f t="shared" si="13"/>
        <v>-40.312578152020301</v>
      </c>
    </row>
    <row r="153" spans="1:14">
      <c r="A153">
        <f t="shared" si="10"/>
        <v>47.03</v>
      </c>
      <c r="B153" s="1206">
        <v>150</v>
      </c>
      <c r="C153" s="2522">
        <f t="shared" si="11"/>
        <v>2.61799387799149</v>
      </c>
      <c r="D153">
        <v>47.03</v>
      </c>
      <c r="G153">
        <f t="shared" si="12"/>
        <v>23.515000000000001</v>
      </c>
      <c r="H153">
        <f t="shared" si="13"/>
        <v>-40.729174739982199</v>
      </c>
    </row>
    <row r="154" spans="1:14">
      <c r="A154">
        <f t="shared" si="10"/>
        <v>47.03</v>
      </c>
      <c r="B154" s="1206">
        <v>151</v>
      </c>
      <c r="C154" s="2522">
        <f t="shared" si="11"/>
        <v>2.6354471705114402</v>
      </c>
      <c r="D154">
        <v>47.03</v>
      </c>
      <c r="G154">
        <f t="shared" si="12"/>
        <v>22.800596440185199</v>
      </c>
      <c r="H154">
        <f t="shared" si="13"/>
        <v>-41.133364826765799</v>
      </c>
    </row>
    <row r="155" spans="1:14">
      <c r="A155">
        <f t="shared" si="10"/>
        <v>47.03</v>
      </c>
      <c r="B155" s="1206">
        <v>152</v>
      </c>
      <c r="C155" s="2522">
        <f t="shared" si="11"/>
        <v>2.6529004630313802</v>
      </c>
      <c r="D155">
        <v>47.03</v>
      </c>
      <c r="G155">
        <f t="shared" si="12"/>
        <v>22.079247597820501</v>
      </c>
      <c r="H155">
        <f t="shared" si="13"/>
        <v>-41.525025292155298</v>
      </c>
    </row>
    <row r="156" spans="1:14">
      <c r="A156">
        <f t="shared" si="10"/>
        <v>47.03</v>
      </c>
      <c r="B156" s="1206">
        <v>153</v>
      </c>
      <c r="C156" s="2522">
        <f t="shared" si="11"/>
        <v>2.6703537555513202</v>
      </c>
      <c r="D156">
        <v>47.03</v>
      </c>
      <c r="G156">
        <f t="shared" si="12"/>
        <v>21.3511732027509</v>
      </c>
      <c r="H156">
        <f t="shared" si="13"/>
        <v>-41.904036832578903</v>
      </c>
    </row>
    <row r="157" spans="1:14">
      <c r="A157">
        <f t="shared" si="10"/>
        <v>47.03</v>
      </c>
      <c r="B157" s="1206">
        <v>154</v>
      </c>
      <c r="C157" s="2522">
        <f t="shared" si="11"/>
        <v>2.6878070480712699</v>
      </c>
      <c r="D157">
        <v>47.03</v>
      </c>
      <c r="G157">
        <f t="shared" si="12"/>
        <v>20.616595033490299</v>
      </c>
      <c r="H157">
        <f t="shared" si="13"/>
        <v>-42.270283997449802</v>
      </c>
    </row>
    <row r="158" spans="1:14">
      <c r="A158">
        <f t="shared" si="10"/>
        <v>47.03</v>
      </c>
      <c r="B158" s="1206">
        <v>155</v>
      </c>
      <c r="C158" s="2522">
        <f t="shared" si="11"/>
        <v>2.7052603405912099</v>
      </c>
      <c r="D158">
        <v>47.03</v>
      </c>
      <c r="G158">
        <f t="shared" si="12"/>
        <v>19.875736849665099</v>
      </c>
      <c r="H158">
        <f t="shared" si="13"/>
        <v>-42.623655224333604</v>
      </c>
    </row>
    <row r="159" spans="1:14">
      <c r="A159">
        <f t="shared" si="10"/>
        <v>47.03</v>
      </c>
      <c r="B159" s="1206">
        <v>156</v>
      </c>
      <c r="C159" s="2522">
        <f t="shared" si="11"/>
        <v>2.7227136331111499</v>
      </c>
      <c r="D159">
        <v>47.03</v>
      </c>
      <c r="G159">
        <f t="shared" si="12"/>
        <v>19.1288243238549</v>
      </c>
      <c r="H159">
        <f t="shared" si="13"/>
        <v>-42.9640428729315</v>
      </c>
    </row>
    <row r="160" spans="1:14">
      <c r="A160">
        <f t="shared" si="10"/>
        <v>47.03</v>
      </c>
      <c r="B160" s="1206">
        <v>157</v>
      </c>
      <c r="C160" s="2522">
        <f t="shared" si="11"/>
        <v>2.7401669256311001</v>
      </c>
      <c r="D160">
        <v>47.03</v>
      </c>
      <c r="G160">
        <f t="shared" si="12"/>
        <v>18.376084972850599</v>
      </c>
      <c r="H160">
        <f t="shared" si="13"/>
        <v>-43.291343257868299</v>
      </c>
      <c r="L160" s="52"/>
      <c r="M160" s="52"/>
      <c r="N160" s="52"/>
    </row>
    <row r="161" spans="1:14">
      <c r="A161">
        <f t="shared" si="10"/>
        <v>47.03</v>
      </c>
      <c r="B161" s="1206">
        <v>158</v>
      </c>
      <c r="C161" s="2522">
        <f t="shared" si="11"/>
        <v>2.7576202181510401</v>
      </c>
      <c r="D161">
        <v>47.03</v>
      </c>
      <c r="G161">
        <f t="shared" si="12"/>
        <v>17.6177480883504</v>
      </c>
      <c r="H161">
        <f t="shared" si="13"/>
        <v>-43.605456680275999</v>
      </c>
      <c r="L161" s="52"/>
      <c r="M161" s="52"/>
      <c r="N161" s="52"/>
    </row>
    <row r="162" spans="1:14">
      <c r="A162">
        <f t="shared" si="10"/>
        <v>47.03</v>
      </c>
      <c r="B162" s="1206">
        <v>159</v>
      </c>
      <c r="C162" s="2522">
        <f t="shared" si="11"/>
        <v>2.7750735106709801</v>
      </c>
      <c r="D162">
        <v>47.03</v>
      </c>
      <c r="G162">
        <f t="shared" si="12"/>
        <v>16.854044667115499</v>
      </c>
      <c r="H162">
        <f t="shared" si="13"/>
        <v>-43.906287458163398</v>
      </c>
      <c r="L162" s="52"/>
      <c r="M162" s="52"/>
      <c r="N162" s="52"/>
    </row>
    <row r="163" spans="1:14">
      <c r="A163">
        <f t="shared" si="10"/>
        <v>47.03</v>
      </c>
      <c r="B163" s="1206">
        <v>160</v>
      </c>
      <c r="C163" s="2522">
        <f t="shared" si="11"/>
        <v>2.7925268031909298</v>
      </c>
      <c r="D163">
        <v>47.03</v>
      </c>
      <c r="G163">
        <f t="shared" si="12"/>
        <v>16.0852073406062</v>
      </c>
      <c r="H163">
        <f t="shared" si="13"/>
        <v>-44.193743955561303</v>
      </c>
      <c r="L163" s="3374"/>
      <c r="M163" s="3374"/>
      <c r="N163" s="52"/>
    </row>
    <row r="164" spans="1:14">
      <c r="A164">
        <f t="shared" si="10"/>
        <v>47.03</v>
      </c>
      <c r="B164" s="1206">
        <v>161</v>
      </c>
      <c r="C164" s="2522">
        <f t="shared" si="11"/>
        <v>2.8099800957108698</v>
      </c>
      <c r="D164">
        <v>47.03</v>
      </c>
      <c r="G164">
        <f t="shared" si="12"/>
        <v>15.3114703041201</v>
      </c>
      <c r="H164">
        <f t="shared" si="13"/>
        <v>-44.467738610435902</v>
      </c>
      <c r="L164" s="52"/>
      <c r="M164" s="52"/>
      <c r="N164" s="52"/>
    </row>
    <row r="165" spans="1:14">
      <c r="A165">
        <f t="shared" si="10"/>
        <v>47.03</v>
      </c>
      <c r="B165" s="1206">
        <v>162</v>
      </c>
      <c r="C165" s="2522">
        <f t="shared" si="11"/>
        <v>2.8274333882308098</v>
      </c>
      <c r="D165">
        <v>47.03</v>
      </c>
      <c r="G165">
        <f t="shared" si="12"/>
        <v>14.533069245453801</v>
      </c>
      <c r="H165">
        <f t="shared" si="13"/>
        <v>-44.728187961361101</v>
      </c>
      <c r="L165" s="52"/>
      <c r="M165" s="52"/>
      <c r="N165" s="52"/>
    </row>
    <row r="166" spans="1:14">
      <c r="A166">
        <f t="shared" si="10"/>
        <v>47.03</v>
      </c>
      <c r="B166" s="1206">
        <v>163</v>
      </c>
      <c r="C166" s="2522">
        <f t="shared" si="11"/>
        <v>2.84488668075076</v>
      </c>
      <c r="D166">
        <v>47.03</v>
      </c>
      <c r="G166">
        <f t="shared" si="12"/>
        <v>13.7502412731103</v>
      </c>
      <c r="H166">
        <f t="shared" si="13"/>
        <v>-44.975012672941602</v>
      </c>
      <c r="L166" s="52"/>
      <c r="M166" s="52"/>
      <c r="N166" s="52"/>
    </row>
    <row r="167" spans="1:14">
      <c r="A167">
        <f t="shared" si="10"/>
        <v>47.03</v>
      </c>
      <c r="B167" s="1206">
        <v>164</v>
      </c>
      <c r="C167" s="2522">
        <f t="shared" si="11"/>
        <v>2.8623399732707</v>
      </c>
      <c r="D167">
        <v>47.03</v>
      </c>
      <c r="G167">
        <f t="shared" si="12"/>
        <v>12.963224844073499</v>
      </c>
      <c r="H167">
        <f t="shared" si="13"/>
        <v>-45.2081375599791</v>
      </c>
      <c r="L167" s="52"/>
      <c r="M167" s="52"/>
      <c r="N167" s="52"/>
    </row>
    <row r="168" spans="1:14">
      <c r="A168">
        <f t="shared" si="10"/>
        <v>47.03</v>
      </c>
      <c r="B168" s="1206">
        <v>165</v>
      </c>
      <c r="C168" s="2522">
        <f t="shared" si="11"/>
        <v>2.87979326579064</v>
      </c>
      <c r="D168">
        <v>47.03</v>
      </c>
      <c r="G168">
        <f t="shared" si="12"/>
        <v>12.1722596911716</v>
      </c>
      <c r="H168">
        <f t="shared" si="13"/>
        <v>-45.427491610374901</v>
      </c>
    </row>
    <row r="169" spans="1:14">
      <c r="A169">
        <f t="shared" si="10"/>
        <v>47.03</v>
      </c>
      <c r="B169" s="1206">
        <v>166</v>
      </c>
      <c r="C169" s="2522">
        <f t="shared" si="11"/>
        <v>2.8972465583105902</v>
      </c>
      <c r="D169">
        <v>47.03</v>
      </c>
      <c r="G169">
        <f t="shared" si="12"/>
        <v>11.3775867500524</v>
      </c>
      <c r="H169">
        <f t="shared" si="13"/>
        <v>-45.6330080067601</v>
      </c>
    </row>
    <row r="170" spans="1:14">
      <c r="A170">
        <f t="shared" si="10"/>
        <v>47.03</v>
      </c>
      <c r="B170" s="1206">
        <v>167</v>
      </c>
      <c r="C170" s="2522">
        <f t="shared" si="11"/>
        <v>2.9146998508305302</v>
      </c>
      <c r="D170">
        <v>47.03</v>
      </c>
      <c r="G170">
        <f t="shared" si="12"/>
        <v>10.579448085792</v>
      </c>
      <c r="H170">
        <f t="shared" si="13"/>
        <v>-45.824624146849601</v>
      </c>
      <c r="L170" s="3166" t="s">
        <v>12704</v>
      </c>
    </row>
    <row r="171" spans="1:14">
      <c r="A171">
        <f t="shared" si="10"/>
        <v>47.03</v>
      </c>
      <c r="B171" s="1206">
        <v>168</v>
      </c>
      <c r="C171" s="2522">
        <f t="shared" si="11"/>
        <v>2.9321531433504702</v>
      </c>
      <c r="D171">
        <v>47.03</v>
      </c>
      <c r="G171">
        <f t="shared" si="12"/>
        <v>9.7780868191592205</v>
      </c>
      <c r="H171">
        <f t="shared" si="13"/>
        <v>-46.002281662510903</v>
      </c>
    </row>
    <row r="172" spans="1:14">
      <c r="A172">
        <f t="shared" si="10"/>
        <v>47.03</v>
      </c>
      <c r="B172" s="1206">
        <v>169</v>
      </c>
      <c r="C172" s="2522">
        <f t="shared" si="11"/>
        <v>2.9496064358704199</v>
      </c>
      <c r="D172">
        <v>47.03</v>
      </c>
      <c r="G172">
        <f t="shared" si="12"/>
        <v>8.9737470525589096</v>
      </c>
      <c r="H172">
        <f t="shared" si="13"/>
        <v>-46.165926437543597</v>
      </c>
    </row>
    <row r="173" spans="1:14">
      <c r="A173">
        <f t="shared" si="10"/>
        <v>47.03</v>
      </c>
      <c r="B173" s="1206">
        <v>170</v>
      </c>
      <c r="C173" s="2522">
        <f t="shared" si="11"/>
        <v>2.9670597283903599</v>
      </c>
      <c r="D173">
        <v>47.03</v>
      </c>
      <c r="G173">
        <f t="shared" si="12"/>
        <v>8.1666737956757292</v>
      </c>
      <c r="H173">
        <f t="shared" si="13"/>
        <v>-46.315508624164103</v>
      </c>
    </row>
    <row r="174" spans="1:14">
      <c r="A174">
        <f t="shared" si="10"/>
        <v>47.03</v>
      </c>
      <c r="B174" s="1206">
        <v>171</v>
      </c>
      <c r="C174" s="2522">
        <f t="shared" si="11"/>
        <v>2.9845130209102999</v>
      </c>
      <c r="D174">
        <v>47.03</v>
      </c>
      <c r="G174">
        <f t="shared" si="12"/>
        <v>7.3571128908420604</v>
      </c>
      <c r="H174">
        <f t="shared" si="13"/>
        <v>-46.450982658189297</v>
      </c>
    </row>
    <row r="175" spans="1:14">
      <c r="A175">
        <f t="shared" si="10"/>
        <v>47.03</v>
      </c>
      <c r="B175" s="1206">
        <v>172</v>
      </c>
      <c r="C175" s="2522">
        <f t="shared" si="11"/>
        <v>3.0019663134302501</v>
      </c>
      <c r="D175">
        <v>47.03</v>
      </c>
      <c r="G175">
        <f t="shared" si="12"/>
        <v>6.5453109381518901</v>
      </c>
      <c r="H175">
        <f t="shared" si="13"/>
        <v>-46.572307272915999</v>
      </c>
    </row>
    <row r="176" spans="1:14">
      <c r="A176">
        <f t="shared" si="10"/>
        <v>47.03</v>
      </c>
      <c r="B176" s="1206">
        <v>173</v>
      </c>
      <c r="C176" s="2522">
        <f t="shared" si="11"/>
        <v>3.0194196059501901</v>
      </c>
      <c r="D176">
        <v>47.03</v>
      </c>
      <c r="G176">
        <f t="shared" si="12"/>
        <v>5.7315152203440896</v>
      </c>
      <c r="H176">
        <f t="shared" si="13"/>
        <v>-46.679445511691398</v>
      </c>
    </row>
    <row r="177" spans="1:8">
      <c r="A177">
        <f t="shared" si="10"/>
        <v>47.03</v>
      </c>
      <c r="B177" s="1206">
        <v>174</v>
      </c>
      <c r="C177" s="2522">
        <f t="shared" si="11"/>
        <v>3.0368728984701301</v>
      </c>
      <c r="D177">
        <v>47.03</v>
      </c>
      <c r="G177">
        <f t="shared" si="12"/>
        <v>4.9159736274777597</v>
      </c>
      <c r="H177">
        <f t="shared" si="13"/>
        <v>-46.772364739169902</v>
      </c>
    </row>
    <row r="178" spans="1:8">
      <c r="A178">
        <f t="shared" si="10"/>
        <v>47.03</v>
      </c>
      <c r="B178" s="1206">
        <v>175</v>
      </c>
      <c r="C178" s="2522">
        <f t="shared" si="11"/>
        <v>3.0543261909900798</v>
      </c>
      <c r="D178">
        <v>47.03</v>
      </c>
      <c r="G178">
        <f t="shared" si="12"/>
        <v>4.0989345814223901</v>
      </c>
      <c r="H178">
        <f t="shared" si="13"/>
        <v>-46.851036651254802</v>
      </c>
    </row>
    <row r="179" spans="1:8">
      <c r="A179">
        <f t="shared" si="10"/>
        <v>47.03</v>
      </c>
      <c r="B179" s="1206">
        <v>176</v>
      </c>
      <c r="C179" s="2522">
        <f t="shared" si="11"/>
        <v>3.0717794835100198</v>
      </c>
      <c r="D179">
        <v>47.03</v>
      </c>
      <c r="G179">
        <f t="shared" si="12"/>
        <v>3.2806469601862198</v>
      </c>
      <c r="H179">
        <f t="shared" si="13"/>
        <v>-46.915437283719498</v>
      </c>
    </row>
    <row r="180" spans="1:8">
      <c r="A180">
        <f t="shared" si="10"/>
        <v>47.03</v>
      </c>
      <c r="B180" s="1206">
        <v>177</v>
      </c>
      <c r="C180" s="2522">
        <f t="shared" si="11"/>
        <v>3.0892327760299598</v>
      </c>
      <c r="D180">
        <v>47.03</v>
      </c>
      <c r="G180">
        <f t="shared" si="12"/>
        <v>2.4613600221056502</v>
      </c>
      <c r="H180">
        <f t="shared" si="13"/>
        <v>-46.965547019507603</v>
      </c>
    </row>
    <row r="181" spans="1:8">
      <c r="A181">
        <f t="shared" si="10"/>
        <v>47.03</v>
      </c>
      <c r="B181" s="1206">
        <v>178</v>
      </c>
      <c r="C181" s="2522">
        <f t="shared" si="11"/>
        <v>3.10668606854991</v>
      </c>
      <c r="D181">
        <v>47.03</v>
      </c>
      <c r="G181">
        <f t="shared" si="12"/>
        <v>1.6413233299186101</v>
      </c>
      <c r="H181">
        <f t="shared" si="13"/>
        <v>-47.0013505947081</v>
      </c>
    </row>
    <row r="182" spans="1:8">
      <c r="A182">
        <f t="shared" si="10"/>
        <v>47.03</v>
      </c>
      <c r="B182" s="1206">
        <v>179</v>
      </c>
      <c r="C182" s="2522">
        <f t="shared" si="11"/>
        <v>3.12413936106985</v>
      </c>
      <c r="D182">
        <v>47.03</v>
      </c>
      <c r="G182">
        <f t="shared" si="12"/>
        <v>0.82078667474543998</v>
      </c>
      <c r="H182">
        <f t="shared" si="13"/>
        <v>-47.022837103205099</v>
      </c>
    </row>
    <row r="183" spans="1:8">
      <c r="A183">
        <f t="shared" si="10"/>
        <v>47.03</v>
      </c>
      <c r="B183" s="1206">
        <v>180</v>
      </c>
      <c r="C183" s="2522">
        <f t="shared" si="11"/>
        <v>3.14159265358979</v>
      </c>
      <c r="D183">
        <v>47.03</v>
      </c>
      <c r="G183">
        <f t="shared" si="12"/>
        <v>5.7595138963900002E-15</v>
      </c>
      <c r="H183">
        <f t="shared" si="13"/>
        <v>-47.03</v>
      </c>
    </row>
    <row r="184" spans="1:8">
      <c r="A184">
        <f t="shared" si="10"/>
        <v>47.03</v>
      </c>
      <c r="B184" s="1206">
        <v>181</v>
      </c>
      <c r="C184" s="2522">
        <f t="shared" si="11"/>
        <v>3.1590459461097402</v>
      </c>
      <c r="D184">
        <v>47.03</v>
      </c>
      <c r="G184">
        <f t="shared" si="12"/>
        <v>-0.82078667474542899</v>
      </c>
      <c r="H184">
        <f t="shared" si="13"/>
        <v>-47.022837103205099</v>
      </c>
    </row>
    <row r="185" spans="1:8">
      <c r="A185">
        <f t="shared" si="10"/>
        <v>47.03</v>
      </c>
      <c r="B185" s="1206">
        <v>182</v>
      </c>
      <c r="C185" s="2522">
        <f t="shared" si="11"/>
        <v>3.1764992386296802</v>
      </c>
      <c r="D185">
        <v>47.03</v>
      </c>
      <c r="G185">
        <f t="shared" si="12"/>
        <v>-1.6413233299186201</v>
      </c>
      <c r="H185">
        <f t="shared" si="13"/>
        <v>-47.0013505947081</v>
      </c>
    </row>
    <row r="186" spans="1:8">
      <c r="A186">
        <f t="shared" si="10"/>
        <v>47.03</v>
      </c>
      <c r="B186" s="1206">
        <v>183</v>
      </c>
      <c r="C186" s="2522">
        <f t="shared" si="11"/>
        <v>3.1939525311496202</v>
      </c>
      <c r="D186">
        <v>47.03</v>
      </c>
      <c r="G186">
        <f t="shared" si="12"/>
        <v>-2.46136002210564</v>
      </c>
      <c r="H186">
        <f t="shared" si="13"/>
        <v>-46.965547019507603</v>
      </c>
    </row>
    <row r="187" spans="1:8">
      <c r="A187">
        <f t="shared" si="10"/>
        <v>47.03</v>
      </c>
      <c r="B187" s="1206">
        <v>184</v>
      </c>
      <c r="C187" s="2522">
        <f t="shared" si="11"/>
        <v>3.2114058236695699</v>
      </c>
      <c r="D187">
        <v>47.03</v>
      </c>
      <c r="G187">
        <f t="shared" si="12"/>
        <v>-3.2806469601861901</v>
      </c>
      <c r="H187">
        <f t="shared" si="13"/>
        <v>-46.915437283719498</v>
      </c>
    </row>
    <row r="188" spans="1:8">
      <c r="A188">
        <f t="shared" si="10"/>
        <v>47.03</v>
      </c>
      <c r="B188" s="1206">
        <v>185</v>
      </c>
      <c r="C188" s="2522">
        <f t="shared" si="11"/>
        <v>3.2288591161895099</v>
      </c>
      <c r="D188">
        <v>47.03</v>
      </c>
      <c r="G188">
        <f t="shared" si="12"/>
        <v>-4.0989345814223501</v>
      </c>
      <c r="H188">
        <f t="shared" si="13"/>
        <v>-46.851036651254802</v>
      </c>
    </row>
    <row r="189" spans="1:8">
      <c r="A189">
        <f t="shared" si="10"/>
        <v>47.03</v>
      </c>
      <c r="B189" s="1206">
        <v>186</v>
      </c>
      <c r="C189" s="2522">
        <f t="shared" si="11"/>
        <v>3.2463124087094499</v>
      </c>
      <c r="D189">
        <v>47.03</v>
      </c>
      <c r="G189">
        <f t="shared" si="12"/>
        <v>-4.9159736274777197</v>
      </c>
      <c r="H189">
        <f t="shared" si="13"/>
        <v>-46.772364739169902</v>
      </c>
    </row>
    <row r="190" spans="1:8">
      <c r="A190">
        <f t="shared" si="10"/>
        <v>47.03</v>
      </c>
      <c r="B190" s="1206">
        <v>187</v>
      </c>
      <c r="C190" s="2522">
        <f t="shared" si="11"/>
        <v>3.2637657012294001</v>
      </c>
      <c r="D190">
        <v>47.03</v>
      </c>
      <c r="G190">
        <f t="shared" si="12"/>
        <v>-5.7315152203441002</v>
      </c>
      <c r="H190">
        <f t="shared" si="13"/>
        <v>-46.679445511691398</v>
      </c>
    </row>
    <row r="191" spans="1:8">
      <c r="A191">
        <f t="shared" si="10"/>
        <v>47.03</v>
      </c>
      <c r="B191" s="1206">
        <v>188</v>
      </c>
      <c r="C191" s="2522">
        <f t="shared" si="11"/>
        <v>3.2812189937493401</v>
      </c>
      <c r="D191">
        <v>47.03</v>
      </c>
      <c r="G191">
        <f t="shared" si="12"/>
        <v>-6.5453109381518804</v>
      </c>
      <c r="H191">
        <f t="shared" si="13"/>
        <v>-46.572307272915999</v>
      </c>
    </row>
    <row r="192" spans="1:8">
      <c r="A192">
        <f t="shared" si="10"/>
        <v>47.03</v>
      </c>
      <c r="B192" s="1206">
        <v>189</v>
      </c>
      <c r="C192" s="2522">
        <f t="shared" si="11"/>
        <v>3.2986722862692801</v>
      </c>
      <c r="D192">
        <v>47.03</v>
      </c>
      <c r="G192">
        <f t="shared" si="12"/>
        <v>-7.3571128908420498</v>
      </c>
      <c r="H192">
        <f t="shared" si="13"/>
        <v>-46.450982658189297</v>
      </c>
    </row>
    <row r="193" spans="1:12">
      <c r="A193">
        <f t="shared" si="10"/>
        <v>47.03</v>
      </c>
      <c r="B193" s="1206">
        <v>190</v>
      </c>
      <c r="C193" s="2522">
        <f t="shared" si="11"/>
        <v>3.3161255787892299</v>
      </c>
      <c r="D193">
        <v>47.03</v>
      </c>
      <c r="G193">
        <f t="shared" si="12"/>
        <v>-8.1666737956757398</v>
      </c>
      <c r="H193">
        <f t="shared" si="13"/>
        <v>-46.315508624164103</v>
      </c>
    </row>
    <row r="194" spans="1:12">
      <c r="A194">
        <f t="shared" si="10"/>
        <v>47.03</v>
      </c>
      <c r="B194" s="1206">
        <v>191</v>
      </c>
      <c r="C194" s="2522">
        <f t="shared" si="11"/>
        <v>3.3335788713091699</v>
      </c>
      <c r="D194">
        <v>47.03</v>
      </c>
      <c r="G194">
        <f t="shared" si="12"/>
        <v>-8.9737470525589007</v>
      </c>
      <c r="H194">
        <f t="shared" si="13"/>
        <v>-46.165926437543597</v>
      </c>
    </row>
    <row r="195" spans="1:12">
      <c r="A195">
        <f t="shared" ref="A195:A258" si="14">52.03-5</f>
        <v>47.03</v>
      </c>
      <c r="B195" s="1206">
        <v>192</v>
      </c>
      <c r="C195" s="2522">
        <f t="shared" ref="C195:C258" si="15">B195*PI()/180</f>
        <v>3.3510321638291098</v>
      </c>
      <c r="D195">
        <v>47.03</v>
      </c>
      <c r="G195">
        <f t="shared" ref="G195:G258" si="16">D195*SIN(C195)</f>
        <v>-9.7780868191592099</v>
      </c>
      <c r="H195">
        <f t="shared" ref="H195:H258" si="17">D195*COS(C195)</f>
        <v>-46.002281662510903</v>
      </c>
    </row>
    <row r="196" spans="1:12">
      <c r="A196">
        <f t="shared" si="14"/>
        <v>47.03</v>
      </c>
      <c r="B196" s="1206">
        <v>193</v>
      </c>
      <c r="C196" s="2522">
        <f t="shared" si="15"/>
        <v>3.36848545634906</v>
      </c>
      <c r="D196">
        <v>47.03</v>
      </c>
      <c r="G196">
        <f t="shared" si="16"/>
        <v>-10.579448085792</v>
      </c>
      <c r="H196">
        <f t="shared" si="17"/>
        <v>-45.824624146849601</v>
      </c>
    </row>
    <row r="197" spans="1:12">
      <c r="A197">
        <f t="shared" si="14"/>
        <v>47.03</v>
      </c>
      <c r="B197" s="1206">
        <v>194</v>
      </c>
      <c r="C197" s="2522">
        <f t="shared" si="15"/>
        <v>3.385938748869</v>
      </c>
      <c r="D197">
        <v>47.03</v>
      </c>
      <c r="G197">
        <f t="shared" si="16"/>
        <v>-11.3775867500524</v>
      </c>
      <c r="H197">
        <f t="shared" si="17"/>
        <v>-45.6330080067601</v>
      </c>
    </row>
    <row r="198" spans="1:12">
      <c r="A198">
        <f t="shared" si="14"/>
        <v>47.03</v>
      </c>
      <c r="B198" s="1206">
        <v>195</v>
      </c>
      <c r="C198" s="2522">
        <f t="shared" si="15"/>
        <v>3.40339204138894</v>
      </c>
      <c r="D198">
        <v>47.03</v>
      </c>
      <c r="G198">
        <f t="shared" si="16"/>
        <v>-12.172259691171501</v>
      </c>
      <c r="H198">
        <f t="shared" si="17"/>
        <v>-45.427491610374901</v>
      </c>
    </row>
    <row r="199" spans="1:12">
      <c r="A199">
        <f t="shared" si="14"/>
        <v>47.03</v>
      </c>
      <c r="B199" s="1206">
        <v>196</v>
      </c>
      <c r="C199" s="2522">
        <f t="shared" si="15"/>
        <v>3.4208453339088898</v>
      </c>
      <c r="D199">
        <v>47.03</v>
      </c>
      <c r="G199">
        <f t="shared" si="16"/>
        <v>-12.963224844073499</v>
      </c>
      <c r="H199">
        <f t="shared" si="17"/>
        <v>-45.2081375599791</v>
      </c>
    </row>
    <row r="200" spans="1:12">
      <c r="A200">
        <f t="shared" si="14"/>
        <v>47.03</v>
      </c>
      <c r="B200" s="1206">
        <v>197</v>
      </c>
      <c r="C200" s="2522">
        <f t="shared" si="15"/>
        <v>3.4382986264288302</v>
      </c>
      <c r="D200">
        <v>47.03</v>
      </c>
      <c r="G200">
        <f t="shared" si="16"/>
        <v>-13.7502412731103</v>
      </c>
      <c r="H200">
        <f t="shared" si="17"/>
        <v>-44.975012672941602</v>
      </c>
    </row>
    <row r="201" spans="1:12">
      <c r="A201">
        <f t="shared" si="14"/>
        <v>47.03</v>
      </c>
      <c r="B201" s="1206">
        <v>198</v>
      </c>
      <c r="C201" s="2522">
        <f t="shared" si="15"/>
        <v>3.4557519189487702</v>
      </c>
      <c r="D201">
        <v>47.03</v>
      </c>
      <c r="G201">
        <f t="shared" si="16"/>
        <v>-14.533069245453801</v>
      </c>
      <c r="H201">
        <f t="shared" si="17"/>
        <v>-44.728187961361101</v>
      </c>
      <c r="L201" s="3166" t="s">
        <v>12704</v>
      </c>
    </row>
    <row r="202" spans="1:12">
      <c r="A202">
        <f t="shared" si="14"/>
        <v>47.03</v>
      </c>
      <c r="B202" s="1206">
        <v>199</v>
      </c>
      <c r="C202" s="2522">
        <f t="shared" si="15"/>
        <v>3.47320521146872</v>
      </c>
      <c r="D202">
        <v>47.03</v>
      </c>
      <c r="G202">
        <f t="shared" si="16"/>
        <v>-15.3114703041201</v>
      </c>
      <c r="H202">
        <f t="shared" si="17"/>
        <v>-44.467738610435902</v>
      </c>
    </row>
    <row r="203" spans="1:12">
      <c r="A203">
        <f t="shared" si="14"/>
        <v>47.03</v>
      </c>
      <c r="B203" s="1206">
        <v>200</v>
      </c>
      <c r="C203" s="2522">
        <f t="shared" si="15"/>
        <v>3.49065850398866</v>
      </c>
      <c r="D203">
        <v>47.03</v>
      </c>
      <c r="G203">
        <f t="shared" si="16"/>
        <v>-16.0852073406062</v>
      </c>
      <c r="H203">
        <f t="shared" si="17"/>
        <v>-44.193743955561303</v>
      </c>
    </row>
    <row r="204" spans="1:12">
      <c r="A204">
        <f t="shared" si="14"/>
        <v>47.03</v>
      </c>
      <c r="B204" s="1206">
        <v>201</v>
      </c>
      <c r="C204" s="2522">
        <f t="shared" si="15"/>
        <v>3.5081117965085999</v>
      </c>
      <c r="D204">
        <v>47.03</v>
      </c>
      <c r="G204">
        <f t="shared" si="16"/>
        <v>-16.854044667115499</v>
      </c>
      <c r="H204">
        <f t="shared" si="17"/>
        <v>-43.906287458163398</v>
      </c>
    </row>
    <row r="205" spans="1:12">
      <c r="A205">
        <f t="shared" si="14"/>
        <v>47.03</v>
      </c>
      <c r="B205" s="1206">
        <v>202</v>
      </c>
      <c r="C205" s="2522">
        <f t="shared" si="15"/>
        <v>3.5255650890285501</v>
      </c>
      <c r="D205">
        <v>47.03</v>
      </c>
      <c r="G205">
        <f t="shared" si="16"/>
        <v>-17.6177480883503</v>
      </c>
      <c r="H205">
        <f t="shared" si="17"/>
        <v>-43.605456680275999</v>
      </c>
    </row>
    <row r="206" spans="1:12">
      <c r="A206">
        <f t="shared" si="14"/>
        <v>47.03</v>
      </c>
      <c r="B206" s="1206">
        <v>203</v>
      </c>
      <c r="C206" s="2522">
        <f t="shared" si="15"/>
        <v>3.5430183815484901</v>
      </c>
      <c r="D206">
        <v>47.03</v>
      </c>
      <c r="G206">
        <f t="shared" si="16"/>
        <v>-18.376084972850499</v>
      </c>
      <c r="H206">
        <f t="shared" si="17"/>
        <v>-43.291343257868299</v>
      </c>
    </row>
    <row r="207" spans="1:12">
      <c r="A207">
        <f t="shared" si="14"/>
        <v>47.03</v>
      </c>
      <c r="B207" s="1206">
        <v>204</v>
      </c>
      <c r="C207" s="2522">
        <f t="shared" si="15"/>
        <v>3.5604716740684301</v>
      </c>
      <c r="D207">
        <v>47.03</v>
      </c>
      <c r="G207">
        <f t="shared" si="16"/>
        <v>-19.1288243238549</v>
      </c>
      <c r="H207">
        <f t="shared" si="17"/>
        <v>-42.9640428729315</v>
      </c>
    </row>
    <row r="208" spans="1:12">
      <c r="A208">
        <f t="shared" si="14"/>
        <v>47.03</v>
      </c>
      <c r="B208" s="1206">
        <v>205</v>
      </c>
      <c r="C208" s="2522">
        <f t="shared" si="15"/>
        <v>3.5779249665883799</v>
      </c>
      <c r="D208">
        <v>47.03</v>
      </c>
      <c r="G208">
        <f t="shared" si="16"/>
        <v>-19.875736849665099</v>
      </c>
      <c r="H208">
        <f t="shared" si="17"/>
        <v>-42.623655224333703</v>
      </c>
    </row>
    <row r="209" spans="1:14">
      <c r="A209">
        <f t="shared" si="14"/>
        <v>47.03</v>
      </c>
      <c r="B209" s="1206">
        <v>206</v>
      </c>
      <c r="C209" s="2522">
        <f t="shared" si="15"/>
        <v>3.5953782591083199</v>
      </c>
      <c r="D209">
        <v>47.03</v>
      </c>
      <c r="G209">
        <f t="shared" si="16"/>
        <v>-20.616595033490299</v>
      </c>
      <c r="H209">
        <f t="shared" si="17"/>
        <v>-42.270283997449802</v>
      </c>
    </row>
    <row r="210" spans="1:14">
      <c r="A210">
        <f t="shared" si="14"/>
        <v>47.03</v>
      </c>
      <c r="B210" s="1206">
        <v>207</v>
      </c>
      <c r="C210" s="2522">
        <f t="shared" si="15"/>
        <v>3.6128315516282599</v>
      </c>
      <c r="D210">
        <v>47.03</v>
      </c>
      <c r="G210">
        <f t="shared" si="16"/>
        <v>-21.3511732027509</v>
      </c>
      <c r="H210">
        <f t="shared" si="17"/>
        <v>-41.904036832579003</v>
      </c>
      <c r="L210" s="52"/>
      <c r="M210" s="52"/>
      <c r="N210" s="52"/>
    </row>
    <row r="211" spans="1:14">
      <c r="A211">
        <f t="shared" si="14"/>
        <v>47.03</v>
      </c>
      <c r="B211" s="1206">
        <v>208</v>
      </c>
      <c r="C211" s="2522">
        <f t="shared" si="15"/>
        <v>3.6302848441482101</v>
      </c>
      <c r="D211">
        <v>47.03</v>
      </c>
      <c r="G211">
        <f t="shared" si="16"/>
        <v>-22.079247597820402</v>
      </c>
      <c r="H211">
        <f t="shared" si="17"/>
        <v>-41.525025292155298</v>
      </c>
      <c r="L211" s="52"/>
      <c r="M211" s="52"/>
      <c r="N211" s="52"/>
    </row>
    <row r="212" spans="1:14">
      <c r="A212">
        <f t="shared" si="14"/>
        <v>47.03</v>
      </c>
      <c r="B212" s="1206">
        <v>209</v>
      </c>
      <c r="C212" s="2522">
        <f t="shared" si="15"/>
        <v>3.6477381366681501</v>
      </c>
      <c r="D212">
        <v>47.03</v>
      </c>
      <c r="G212">
        <f t="shared" si="16"/>
        <v>-22.800596440185199</v>
      </c>
      <c r="H212">
        <f t="shared" si="17"/>
        <v>-41.133364826765799</v>
      </c>
      <c r="L212" s="52"/>
      <c r="M212" s="52"/>
      <c r="N212" s="52"/>
    </row>
    <row r="213" spans="1:14">
      <c r="A213">
        <f t="shared" si="14"/>
        <v>47.03</v>
      </c>
      <c r="B213" s="1206">
        <v>210</v>
      </c>
      <c r="C213" s="2522">
        <f t="shared" si="15"/>
        <v>3.66519142918809</v>
      </c>
      <c r="D213">
        <v>47.03</v>
      </c>
      <c r="G213">
        <f t="shared" si="16"/>
        <v>-23.515000000000001</v>
      </c>
      <c r="H213">
        <f t="shared" si="17"/>
        <v>-40.729174739982099</v>
      </c>
      <c r="L213" s="52"/>
      <c r="M213" s="52"/>
      <c r="N213" s="52"/>
    </row>
    <row r="214" spans="1:14">
      <c r="A214">
        <f t="shared" si="14"/>
        <v>47.03</v>
      </c>
      <c r="B214" s="1206">
        <v>211</v>
      </c>
      <c r="C214" s="2522">
        <f t="shared" si="15"/>
        <v>3.6826447217080398</v>
      </c>
      <c r="D214">
        <v>47.03</v>
      </c>
      <c r="G214">
        <f t="shared" si="16"/>
        <v>-24.2222406630198</v>
      </c>
      <c r="H214">
        <f t="shared" si="17"/>
        <v>-40.312578152020301</v>
      </c>
      <c r="L214" s="3374"/>
      <c r="M214" s="3374"/>
      <c r="N214" s="52"/>
    </row>
    <row r="215" spans="1:14">
      <c r="A215">
        <f t="shared" si="14"/>
        <v>47.03</v>
      </c>
      <c r="B215" s="1206">
        <v>212</v>
      </c>
      <c r="C215" s="2522">
        <f t="shared" si="15"/>
        <v>3.7000980142279798</v>
      </c>
      <c r="D215">
        <v>47.03</v>
      </c>
      <c r="G215">
        <f t="shared" si="16"/>
        <v>-24.922102996887599</v>
      </c>
      <c r="H215">
        <f t="shared" si="17"/>
        <v>-39.8837019622367</v>
      </c>
      <c r="L215" s="52"/>
      <c r="M215" s="52"/>
      <c r="N215" s="52"/>
    </row>
    <row r="216" spans="1:14">
      <c r="A216">
        <f t="shared" si="14"/>
        <v>47.03</v>
      </c>
      <c r="B216" s="1206">
        <v>213</v>
      </c>
      <c r="C216" s="2522">
        <f t="shared" si="15"/>
        <v>3.7175513067479198</v>
      </c>
      <c r="D216">
        <v>47.03</v>
      </c>
      <c r="G216">
        <f t="shared" si="16"/>
        <v>-25.6143738167567</v>
      </c>
      <c r="H216">
        <f t="shared" si="17"/>
        <v>-39.442676810473301</v>
      </c>
      <c r="L216" s="52"/>
      <c r="M216" s="52"/>
      <c r="N216" s="52"/>
    </row>
    <row r="217" spans="1:14">
      <c r="A217">
        <f t="shared" si="14"/>
        <v>47.03</v>
      </c>
      <c r="B217" s="1206">
        <v>214</v>
      </c>
      <c r="C217" s="2522">
        <f t="shared" si="15"/>
        <v>3.7350045992678602</v>
      </c>
      <c r="D217">
        <v>47.03</v>
      </c>
      <c r="G217">
        <f t="shared" si="16"/>
        <v>-26.2988422502292</v>
      </c>
      <c r="H217">
        <f t="shared" si="17"/>
        <v>-38.989637037263599</v>
      </c>
      <c r="L217" s="52"/>
      <c r="M217" s="52"/>
      <c r="N217" s="52"/>
    </row>
    <row r="218" spans="1:14">
      <c r="A218">
        <f t="shared" si="14"/>
        <v>47.03</v>
      </c>
      <c r="B218" s="1206">
        <v>215</v>
      </c>
      <c r="C218" s="2522">
        <f t="shared" si="15"/>
        <v>3.75245789178781</v>
      </c>
      <c r="D218">
        <v>47.03</v>
      </c>
      <c r="G218">
        <f t="shared" si="16"/>
        <v>-26.975299801589699</v>
      </c>
      <c r="H218">
        <f t="shared" si="17"/>
        <v>-38.524720642911298</v>
      </c>
    </row>
    <row r="219" spans="1:14">
      <c r="A219">
        <f t="shared" si="14"/>
        <v>47.03</v>
      </c>
      <c r="B219" s="1206">
        <v>216</v>
      </c>
      <c r="C219" s="2522">
        <f t="shared" si="15"/>
        <v>3.76991118430775</v>
      </c>
      <c r="D219">
        <v>47.03</v>
      </c>
      <c r="G219">
        <f t="shared" si="16"/>
        <v>-27.643540415315002</v>
      </c>
      <c r="H219">
        <f t="shared" si="17"/>
        <v>-38.048069245453803</v>
      </c>
    </row>
    <row r="220" spans="1:14">
      <c r="A220">
        <f t="shared" si="14"/>
        <v>47.03</v>
      </c>
      <c r="B220" s="1206">
        <v>217</v>
      </c>
      <c r="C220" s="2522">
        <f t="shared" si="15"/>
        <v>3.78736447682769</v>
      </c>
      <c r="D220">
        <v>47.03</v>
      </c>
      <c r="G220">
        <f t="shared" si="16"/>
        <v>-28.303360538840799</v>
      </c>
      <c r="H220">
        <f t="shared" si="17"/>
        <v>-37.559828037524198</v>
      </c>
    </row>
    <row r="221" spans="1:14">
      <c r="A221">
        <f t="shared" si="14"/>
        <v>47.03</v>
      </c>
      <c r="B221" s="1206">
        <v>218</v>
      </c>
      <c r="C221" s="2522">
        <f t="shared" si="15"/>
        <v>3.8048177693476402</v>
      </c>
      <c r="D221">
        <v>47.03</v>
      </c>
      <c r="G221">
        <f t="shared" si="16"/>
        <v>-28.954559184565699</v>
      </c>
      <c r="H221">
        <f t="shared" si="17"/>
        <v>-37.060145742124099</v>
      </c>
    </row>
    <row r="222" spans="1:14">
      <c r="A222">
        <f t="shared" si="14"/>
        <v>47.03</v>
      </c>
      <c r="B222" s="1206">
        <v>219</v>
      </c>
      <c r="C222" s="2522">
        <f t="shared" si="15"/>
        <v>3.8222710618675801</v>
      </c>
      <c r="D222">
        <v>47.03</v>
      </c>
      <c r="G222">
        <f t="shared" si="16"/>
        <v>-29.596937991073901</v>
      </c>
      <c r="H222">
        <f t="shared" si="17"/>
        <v>-36.549174567321302</v>
      </c>
    </row>
    <row r="223" spans="1:14">
      <c r="A223">
        <f t="shared" si="14"/>
        <v>47.03</v>
      </c>
      <c r="B223" s="1206">
        <v>220</v>
      </c>
      <c r="C223" s="2522">
        <f t="shared" si="15"/>
        <v>3.8397243543875201</v>
      </c>
      <c r="D223">
        <v>47.03</v>
      </c>
      <c r="G223">
        <f t="shared" si="16"/>
        <v>-30.2303012835579</v>
      </c>
      <c r="H223">
        <f t="shared" si="17"/>
        <v>-36.027070159885497</v>
      </c>
    </row>
    <row r="224" spans="1:14">
      <c r="A224">
        <f t="shared" si="14"/>
        <v>47.03</v>
      </c>
      <c r="B224" s="1206">
        <v>221</v>
      </c>
      <c r="C224" s="2522">
        <f t="shared" si="15"/>
        <v>3.8571776469074699</v>
      </c>
      <c r="D224">
        <v>47.03</v>
      </c>
      <c r="G224">
        <f t="shared" si="16"/>
        <v>-30.8544561334236</v>
      </c>
      <c r="H224">
        <f t="shared" si="17"/>
        <v>-35.493991557877003</v>
      </c>
    </row>
    <row r="225" spans="1:12">
      <c r="A225">
        <f t="shared" si="14"/>
        <v>47.03</v>
      </c>
      <c r="B225" s="1206">
        <v>222</v>
      </c>
      <c r="C225" s="2522">
        <f t="shared" si="15"/>
        <v>3.8746309394274099</v>
      </c>
      <c r="D225">
        <v>47.03</v>
      </c>
      <c r="G225">
        <f t="shared" si="16"/>
        <v>-31.469212417057101</v>
      </c>
      <c r="H225">
        <f t="shared" si="17"/>
        <v>-34.950101142201902</v>
      </c>
    </row>
    <row r="226" spans="1:12">
      <c r="A226">
        <f t="shared" si="14"/>
        <v>47.03</v>
      </c>
      <c r="B226" s="1206">
        <v>223</v>
      </c>
      <c r="C226" s="2522">
        <f t="shared" si="15"/>
        <v>3.8920842319473499</v>
      </c>
      <c r="D226">
        <v>47.03</v>
      </c>
      <c r="G226">
        <f t="shared" si="16"/>
        <v>-32.074382873739303</v>
      </c>
      <c r="H226">
        <f t="shared" si="17"/>
        <v>-34.3955645871496</v>
      </c>
    </row>
    <row r="227" spans="1:12">
      <c r="A227">
        <f t="shared" si="14"/>
        <v>47.03</v>
      </c>
      <c r="B227" s="1206">
        <v>224</v>
      </c>
      <c r="C227" s="2522">
        <f t="shared" si="15"/>
        <v>3.9095375244673001</v>
      </c>
      <c r="D227">
        <v>47.03</v>
      </c>
      <c r="G227">
        <f t="shared" si="16"/>
        <v>-32.669783162686599</v>
      </c>
      <c r="H227">
        <f t="shared" si="17"/>
        <v>-33.830550809926798</v>
      </c>
    </row>
    <row r="228" spans="1:12">
      <c r="A228">
        <f t="shared" si="14"/>
        <v>47.03</v>
      </c>
      <c r="B228" s="1206">
        <v>225</v>
      </c>
      <c r="C228" s="2522">
        <f t="shared" si="15"/>
        <v>3.9269908169872401</v>
      </c>
      <c r="D228">
        <v>47.03</v>
      </c>
      <c r="G228">
        <f t="shared" si="16"/>
        <v>-33.255231919203297</v>
      </c>
      <c r="H228">
        <f t="shared" si="17"/>
        <v>-33.255231919203297</v>
      </c>
    </row>
    <row r="229" spans="1:12">
      <c r="A229">
        <f t="shared" si="14"/>
        <v>47.03</v>
      </c>
      <c r="B229" s="1206">
        <v>226</v>
      </c>
      <c r="C229" s="2522">
        <f t="shared" si="15"/>
        <v>3.9444441095071801</v>
      </c>
      <c r="D229">
        <v>47.03</v>
      </c>
      <c r="G229">
        <f t="shared" si="16"/>
        <v>-33.830550809926699</v>
      </c>
      <c r="H229">
        <f t="shared" si="17"/>
        <v>-32.669783162686699</v>
      </c>
    </row>
    <row r="230" spans="1:12">
      <c r="A230">
        <f t="shared" si="14"/>
        <v>47.03</v>
      </c>
      <c r="B230" s="1206">
        <v>227</v>
      </c>
      <c r="C230" s="2522">
        <f t="shared" si="15"/>
        <v>3.9618974020271298</v>
      </c>
      <c r="D230">
        <v>47.03</v>
      </c>
      <c r="G230">
        <f t="shared" si="16"/>
        <v>-34.3955645871496</v>
      </c>
      <c r="H230">
        <f t="shared" si="17"/>
        <v>-32.074382873739303</v>
      </c>
    </row>
    <row r="231" spans="1:12">
      <c r="A231">
        <f t="shared" si="14"/>
        <v>47.03</v>
      </c>
      <c r="B231" s="1206">
        <v>228</v>
      </c>
      <c r="C231" s="2522">
        <f t="shared" si="15"/>
        <v>3.9793506945470698</v>
      </c>
      <c r="D231">
        <v>47.03</v>
      </c>
      <c r="G231">
        <f t="shared" si="16"/>
        <v>-34.950101142201802</v>
      </c>
      <c r="H231">
        <f t="shared" si="17"/>
        <v>-31.469212417057101</v>
      </c>
    </row>
    <row r="232" spans="1:12">
      <c r="A232">
        <f t="shared" si="14"/>
        <v>47.03</v>
      </c>
      <c r="B232" s="1206">
        <v>229</v>
      </c>
      <c r="C232" s="2522">
        <f t="shared" si="15"/>
        <v>3.9968039870670098</v>
      </c>
      <c r="D232">
        <v>47.03</v>
      </c>
      <c r="G232">
        <f t="shared" si="16"/>
        <v>-35.493991557877003</v>
      </c>
      <c r="H232">
        <f t="shared" si="17"/>
        <v>-30.8544561334236</v>
      </c>
    </row>
    <row r="233" spans="1:12">
      <c r="A233">
        <f t="shared" si="14"/>
        <v>47.03</v>
      </c>
      <c r="B233" s="1206">
        <v>230</v>
      </c>
      <c r="C233" s="2522">
        <f t="shared" si="15"/>
        <v>4.0142572795869604</v>
      </c>
      <c r="D233">
        <v>47.03</v>
      </c>
      <c r="G233">
        <f t="shared" si="16"/>
        <v>-36.027070159885497</v>
      </c>
      <c r="H233">
        <f t="shared" si="17"/>
        <v>-30.230301283557999</v>
      </c>
    </row>
    <row r="234" spans="1:12">
      <c r="A234">
        <f t="shared" si="14"/>
        <v>47.03</v>
      </c>
      <c r="B234" s="1206">
        <v>231</v>
      </c>
      <c r="C234" s="2522">
        <f t="shared" si="15"/>
        <v>4.0317105721069</v>
      </c>
      <c r="D234">
        <v>47.03</v>
      </c>
      <c r="G234">
        <f t="shared" si="16"/>
        <v>-36.549174567321401</v>
      </c>
      <c r="H234">
        <f t="shared" si="17"/>
        <v>-29.596937991073801</v>
      </c>
    </row>
    <row r="235" spans="1:12">
      <c r="A235">
        <f t="shared" si="14"/>
        <v>47.03</v>
      </c>
      <c r="B235" s="1206">
        <v>232</v>
      </c>
      <c r="C235" s="2522">
        <f t="shared" si="15"/>
        <v>4.0491638646268404</v>
      </c>
      <c r="D235">
        <v>47.03</v>
      </c>
      <c r="G235">
        <f t="shared" si="16"/>
        <v>-37.060145742124099</v>
      </c>
      <c r="H235">
        <f t="shared" si="17"/>
        <v>-28.954559184565699</v>
      </c>
      <c r="L235" s="3166" t="s">
        <v>12704</v>
      </c>
    </row>
    <row r="236" spans="1:12">
      <c r="A236">
        <f t="shared" si="14"/>
        <v>47.03</v>
      </c>
      <c r="B236" s="1206">
        <v>233</v>
      </c>
      <c r="C236" s="2522">
        <f t="shared" si="15"/>
        <v>4.0666171571467897</v>
      </c>
      <c r="D236">
        <v>47.03</v>
      </c>
      <c r="G236">
        <f t="shared" si="16"/>
        <v>-37.559828037524198</v>
      </c>
      <c r="H236">
        <f t="shared" si="17"/>
        <v>-28.303360538840799</v>
      </c>
    </row>
    <row r="237" spans="1:12">
      <c r="A237">
        <f t="shared" si="14"/>
        <v>47.03</v>
      </c>
      <c r="B237" s="1206">
        <v>234</v>
      </c>
      <c r="C237" s="2522">
        <f t="shared" si="15"/>
        <v>4.0840704496667302</v>
      </c>
      <c r="D237">
        <v>47.03</v>
      </c>
      <c r="G237">
        <f t="shared" si="16"/>
        <v>-38.048069245453803</v>
      </c>
      <c r="H237">
        <f t="shared" si="17"/>
        <v>-27.643540415315002</v>
      </c>
    </row>
    <row r="238" spans="1:12">
      <c r="A238">
        <f t="shared" si="14"/>
        <v>47.03</v>
      </c>
      <c r="B238" s="1206">
        <v>235</v>
      </c>
      <c r="C238" s="2522">
        <f t="shared" si="15"/>
        <v>4.1015237421866697</v>
      </c>
      <c r="D238">
        <v>47.03</v>
      </c>
      <c r="G238">
        <f t="shared" si="16"/>
        <v>-38.524720642911298</v>
      </c>
      <c r="H238">
        <f t="shared" si="17"/>
        <v>-26.975299801589699</v>
      </c>
    </row>
    <row r="239" spans="1:12">
      <c r="A239">
        <f t="shared" si="14"/>
        <v>47.03</v>
      </c>
      <c r="B239" s="1206">
        <v>236</v>
      </c>
      <c r="C239" s="2522">
        <f t="shared" si="15"/>
        <v>4.1189770347066199</v>
      </c>
      <c r="D239">
        <v>47.03</v>
      </c>
      <c r="G239">
        <f t="shared" si="16"/>
        <v>-38.989637037263599</v>
      </c>
      <c r="H239">
        <f t="shared" si="17"/>
        <v>-26.2988422502292</v>
      </c>
    </row>
    <row r="240" spans="1:12">
      <c r="A240">
        <f t="shared" si="14"/>
        <v>47.03</v>
      </c>
      <c r="B240" s="1206">
        <v>237</v>
      </c>
      <c r="C240" s="2522">
        <f t="shared" si="15"/>
        <v>4.1364303272265603</v>
      </c>
      <c r="D240">
        <v>47.03</v>
      </c>
      <c r="G240">
        <f t="shared" si="16"/>
        <v>-39.442676810473301</v>
      </c>
      <c r="H240">
        <f t="shared" si="17"/>
        <v>-25.6143738167567</v>
      </c>
    </row>
    <row r="241" spans="1:8">
      <c r="A241">
        <f t="shared" si="14"/>
        <v>47.03</v>
      </c>
      <c r="B241" s="1206">
        <v>238</v>
      </c>
      <c r="C241" s="2522">
        <f t="shared" si="15"/>
        <v>4.1538836197464999</v>
      </c>
      <c r="D241">
        <v>47.03</v>
      </c>
      <c r="G241">
        <f t="shared" si="16"/>
        <v>-39.8837019622367</v>
      </c>
      <c r="H241">
        <f t="shared" si="17"/>
        <v>-24.922102996887599</v>
      </c>
    </row>
    <row r="242" spans="1:8">
      <c r="A242">
        <f t="shared" si="14"/>
        <v>47.03</v>
      </c>
      <c r="B242" s="1206">
        <v>239</v>
      </c>
      <c r="C242" s="2522">
        <f t="shared" si="15"/>
        <v>4.1713369122664501</v>
      </c>
      <c r="D242">
        <v>47.03</v>
      </c>
      <c r="G242">
        <f t="shared" si="16"/>
        <v>-40.312578152020301</v>
      </c>
      <c r="H242">
        <f t="shared" si="17"/>
        <v>-24.2222406630199</v>
      </c>
    </row>
    <row r="243" spans="1:8">
      <c r="A243">
        <f t="shared" si="14"/>
        <v>47.03</v>
      </c>
      <c r="B243" s="1206">
        <v>240</v>
      </c>
      <c r="C243" s="2522">
        <f t="shared" si="15"/>
        <v>4.1887902047863896</v>
      </c>
      <c r="D243">
        <v>47.03</v>
      </c>
      <c r="G243">
        <f t="shared" si="16"/>
        <v>-40.729174739982099</v>
      </c>
      <c r="H243">
        <f t="shared" si="17"/>
        <v>-23.515000000000001</v>
      </c>
    </row>
    <row r="244" spans="1:8">
      <c r="A244">
        <f t="shared" si="14"/>
        <v>47.03</v>
      </c>
      <c r="B244" s="1206">
        <v>241</v>
      </c>
      <c r="C244" s="2522">
        <f t="shared" si="15"/>
        <v>4.2062434973063301</v>
      </c>
      <c r="D244">
        <v>47.03</v>
      </c>
      <c r="G244">
        <f t="shared" si="16"/>
        <v>-41.133364826765799</v>
      </c>
      <c r="H244">
        <f t="shared" si="17"/>
        <v>-22.800596440185199</v>
      </c>
    </row>
    <row r="245" spans="1:8">
      <c r="A245">
        <f t="shared" si="14"/>
        <v>47.03</v>
      </c>
      <c r="B245" s="1206">
        <v>242</v>
      </c>
      <c r="C245" s="2522">
        <f t="shared" si="15"/>
        <v>4.2236967898262803</v>
      </c>
      <c r="D245">
        <v>47.03</v>
      </c>
      <c r="G245">
        <f t="shared" si="16"/>
        <v>-41.525025292155298</v>
      </c>
      <c r="H245">
        <f t="shared" si="17"/>
        <v>-22.079247597820402</v>
      </c>
    </row>
    <row r="246" spans="1:8">
      <c r="A246">
        <f t="shared" si="14"/>
        <v>47.03</v>
      </c>
      <c r="B246" s="1206">
        <v>243</v>
      </c>
      <c r="C246" s="2522">
        <f t="shared" si="15"/>
        <v>4.2411500823462198</v>
      </c>
      <c r="D246">
        <v>47.03</v>
      </c>
      <c r="G246">
        <f t="shared" si="16"/>
        <v>-41.904036832578903</v>
      </c>
      <c r="H246">
        <f t="shared" si="17"/>
        <v>-21.3511732027509</v>
      </c>
    </row>
    <row r="247" spans="1:8">
      <c r="A247">
        <f t="shared" si="14"/>
        <v>47.03</v>
      </c>
      <c r="B247" s="1206">
        <v>244</v>
      </c>
      <c r="C247" s="2522">
        <f t="shared" si="15"/>
        <v>4.2586033748661603</v>
      </c>
      <c r="D247">
        <v>47.03</v>
      </c>
      <c r="G247">
        <f t="shared" si="16"/>
        <v>-42.270283997449802</v>
      </c>
      <c r="H247">
        <f t="shared" si="17"/>
        <v>-20.616595033490299</v>
      </c>
    </row>
    <row r="248" spans="1:8">
      <c r="A248">
        <f t="shared" si="14"/>
        <v>47.03</v>
      </c>
      <c r="B248" s="1206">
        <v>245</v>
      </c>
      <c r="C248" s="2522">
        <f t="shared" si="15"/>
        <v>4.2760566673861096</v>
      </c>
      <c r="D248">
        <v>47.03</v>
      </c>
      <c r="G248">
        <f t="shared" si="16"/>
        <v>-42.623655224333604</v>
      </c>
      <c r="H248">
        <f t="shared" si="17"/>
        <v>-19.875736849665099</v>
      </c>
    </row>
    <row r="249" spans="1:8">
      <c r="A249">
        <f t="shared" si="14"/>
        <v>47.03</v>
      </c>
      <c r="B249" s="1206">
        <v>246</v>
      </c>
      <c r="C249" s="2522">
        <f t="shared" si="15"/>
        <v>4.29350995990605</v>
      </c>
      <c r="D249">
        <v>47.03</v>
      </c>
      <c r="G249">
        <f t="shared" si="16"/>
        <v>-42.9640428729315</v>
      </c>
      <c r="H249">
        <f t="shared" si="17"/>
        <v>-19.1288243238549</v>
      </c>
    </row>
    <row r="250" spans="1:8">
      <c r="A250">
        <f t="shared" si="14"/>
        <v>47.03</v>
      </c>
      <c r="B250" s="1206">
        <v>247</v>
      </c>
      <c r="C250" s="2522">
        <f t="shared" si="15"/>
        <v>4.3109632524259904</v>
      </c>
      <c r="D250">
        <v>47.03</v>
      </c>
      <c r="G250">
        <f t="shared" si="16"/>
        <v>-43.291343257868299</v>
      </c>
      <c r="H250">
        <f t="shared" si="17"/>
        <v>-18.376084972850499</v>
      </c>
    </row>
    <row r="251" spans="1:8">
      <c r="A251">
        <f t="shared" si="14"/>
        <v>47.03</v>
      </c>
      <c r="B251" s="1206">
        <v>248</v>
      </c>
      <c r="C251" s="2522">
        <f t="shared" si="15"/>
        <v>4.3284165449459397</v>
      </c>
      <c r="D251">
        <v>47.03</v>
      </c>
      <c r="G251">
        <f t="shared" si="16"/>
        <v>-43.605456680275999</v>
      </c>
      <c r="H251">
        <f t="shared" si="17"/>
        <v>-17.6177480883504</v>
      </c>
    </row>
    <row r="252" spans="1:8">
      <c r="A252">
        <f t="shared" si="14"/>
        <v>47.03</v>
      </c>
      <c r="B252" s="1206">
        <v>249</v>
      </c>
      <c r="C252" s="2522">
        <f t="shared" si="15"/>
        <v>4.3458698374658802</v>
      </c>
      <c r="D252">
        <v>47.03</v>
      </c>
      <c r="G252">
        <f t="shared" si="16"/>
        <v>-43.906287458163398</v>
      </c>
      <c r="H252">
        <f t="shared" si="17"/>
        <v>-16.854044667115499</v>
      </c>
    </row>
    <row r="253" spans="1:8">
      <c r="A253">
        <f t="shared" si="14"/>
        <v>47.03</v>
      </c>
      <c r="B253" s="1206">
        <v>250</v>
      </c>
      <c r="C253" s="2522">
        <f t="shared" si="15"/>
        <v>4.3633231299858197</v>
      </c>
      <c r="D253">
        <v>47.03</v>
      </c>
      <c r="G253">
        <f t="shared" si="16"/>
        <v>-44.193743955561303</v>
      </c>
      <c r="H253">
        <f t="shared" si="17"/>
        <v>-16.0852073406062</v>
      </c>
    </row>
    <row r="254" spans="1:8">
      <c r="A254">
        <f t="shared" si="14"/>
        <v>47.03</v>
      </c>
      <c r="B254" s="1206">
        <v>251</v>
      </c>
      <c r="C254" s="2522">
        <f t="shared" si="15"/>
        <v>4.3807764225057699</v>
      </c>
      <c r="D254">
        <v>47.03</v>
      </c>
      <c r="G254">
        <f t="shared" si="16"/>
        <v>-44.467738610435902</v>
      </c>
      <c r="H254">
        <f t="shared" si="17"/>
        <v>-15.3114703041201</v>
      </c>
    </row>
    <row r="255" spans="1:8">
      <c r="A255">
        <f t="shared" si="14"/>
        <v>47.03</v>
      </c>
      <c r="B255" s="1206">
        <v>252</v>
      </c>
      <c r="C255" s="2522">
        <f t="shared" si="15"/>
        <v>4.3982297150257104</v>
      </c>
      <c r="D255">
        <v>47.03</v>
      </c>
      <c r="G255">
        <f t="shared" si="16"/>
        <v>-44.728187961361101</v>
      </c>
      <c r="H255">
        <f t="shared" si="17"/>
        <v>-14.533069245453801</v>
      </c>
    </row>
    <row r="256" spans="1:8">
      <c r="A256">
        <f t="shared" si="14"/>
        <v>47.03</v>
      </c>
      <c r="B256" s="1206">
        <v>253</v>
      </c>
      <c r="C256" s="2522">
        <f t="shared" si="15"/>
        <v>4.4156830075456499</v>
      </c>
      <c r="D256">
        <v>47.03</v>
      </c>
      <c r="G256">
        <f t="shared" si="16"/>
        <v>-44.975012672941602</v>
      </c>
      <c r="H256">
        <f t="shared" si="17"/>
        <v>-13.7502412731103</v>
      </c>
    </row>
    <row r="257" spans="1:14">
      <c r="A257">
        <f t="shared" si="14"/>
        <v>47.03</v>
      </c>
      <c r="B257" s="1206">
        <v>254</v>
      </c>
      <c r="C257" s="2522">
        <f t="shared" si="15"/>
        <v>4.4331363000656001</v>
      </c>
      <c r="D257">
        <v>47.03</v>
      </c>
      <c r="G257">
        <f t="shared" si="16"/>
        <v>-45.2081375599791</v>
      </c>
      <c r="H257">
        <f t="shared" si="17"/>
        <v>-12.963224844073499</v>
      </c>
    </row>
    <row r="258" spans="1:14">
      <c r="A258">
        <f t="shared" si="14"/>
        <v>47.03</v>
      </c>
      <c r="B258" s="1206">
        <v>255</v>
      </c>
      <c r="C258" s="2522">
        <f t="shared" si="15"/>
        <v>4.4505895925855397</v>
      </c>
      <c r="D258">
        <v>47.03</v>
      </c>
      <c r="G258">
        <f t="shared" si="16"/>
        <v>-45.427491610374901</v>
      </c>
      <c r="H258">
        <f t="shared" si="17"/>
        <v>-12.172259691171501</v>
      </c>
    </row>
    <row r="259" spans="1:14">
      <c r="A259">
        <f t="shared" ref="A259:A322" si="18">52.03-5</f>
        <v>47.03</v>
      </c>
      <c r="B259" s="1206">
        <v>256</v>
      </c>
      <c r="C259" s="2522">
        <f t="shared" ref="C259:C322" si="19">B259*PI()/180</f>
        <v>4.4680428851054801</v>
      </c>
      <c r="D259">
        <v>47.03</v>
      </c>
      <c r="G259">
        <f t="shared" ref="G259:G322" si="20">D259*SIN(C259)</f>
        <v>-45.6330080067601</v>
      </c>
      <c r="H259">
        <f t="shared" ref="H259:H322" si="21">D259*COS(C259)</f>
        <v>-11.3775867500524</v>
      </c>
    </row>
    <row r="260" spans="1:14">
      <c r="A260">
        <f t="shared" si="18"/>
        <v>47.03</v>
      </c>
      <c r="B260" s="1206">
        <v>257</v>
      </c>
      <c r="C260" s="2522">
        <f t="shared" si="19"/>
        <v>4.4854961776254303</v>
      </c>
      <c r="D260">
        <v>47.03</v>
      </c>
      <c r="G260">
        <f t="shared" si="20"/>
        <v>-45.824624146849601</v>
      </c>
      <c r="H260">
        <f t="shared" si="21"/>
        <v>-10.579448085792</v>
      </c>
    </row>
    <row r="261" spans="1:14">
      <c r="A261">
        <f t="shared" si="18"/>
        <v>47.03</v>
      </c>
      <c r="B261" s="1206">
        <v>258</v>
      </c>
      <c r="C261" s="2522">
        <f t="shared" si="19"/>
        <v>4.5029494701453698</v>
      </c>
      <c r="D261">
        <v>47.03</v>
      </c>
      <c r="G261">
        <f t="shared" si="20"/>
        <v>-46.002281662510903</v>
      </c>
      <c r="H261">
        <f t="shared" si="21"/>
        <v>-9.7780868191592401</v>
      </c>
      <c r="L261" s="52"/>
      <c r="M261" s="52"/>
      <c r="N261" s="52"/>
    </row>
    <row r="262" spans="1:14">
      <c r="A262">
        <f t="shared" si="18"/>
        <v>47.03</v>
      </c>
      <c r="B262" s="1206">
        <v>259</v>
      </c>
      <c r="C262" s="2522">
        <f t="shared" si="19"/>
        <v>4.5204027626653103</v>
      </c>
      <c r="D262">
        <v>47.03</v>
      </c>
      <c r="G262">
        <f t="shared" si="20"/>
        <v>-46.165926437543597</v>
      </c>
      <c r="H262">
        <f t="shared" si="21"/>
        <v>-8.9737470525589291</v>
      </c>
      <c r="L262" s="52"/>
      <c r="M262" s="52"/>
      <c r="N262" s="52"/>
    </row>
    <row r="263" spans="1:14">
      <c r="A263">
        <f t="shared" si="18"/>
        <v>47.03</v>
      </c>
      <c r="B263" s="1206">
        <v>260</v>
      </c>
      <c r="C263" s="2522">
        <f t="shared" si="19"/>
        <v>4.5378560551852596</v>
      </c>
      <c r="D263">
        <v>47.03</v>
      </c>
      <c r="G263">
        <f t="shared" si="20"/>
        <v>-46.315508624164103</v>
      </c>
      <c r="H263">
        <f t="shared" si="21"/>
        <v>-8.1666737956757292</v>
      </c>
      <c r="L263" s="52"/>
      <c r="M263" s="52"/>
      <c r="N263" s="52"/>
    </row>
    <row r="264" spans="1:14">
      <c r="A264">
        <f t="shared" si="18"/>
        <v>47.03</v>
      </c>
      <c r="B264" s="1206">
        <v>261</v>
      </c>
      <c r="C264" s="2522">
        <f t="shared" si="19"/>
        <v>4.5553093477052</v>
      </c>
      <c r="D264">
        <v>47.03</v>
      </c>
      <c r="G264">
        <f t="shared" si="20"/>
        <v>-46.450982658189297</v>
      </c>
      <c r="H264">
        <f t="shared" si="21"/>
        <v>-7.3571128908420702</v>
      </c>
      <c r="L264" s="3374"/>
      <c r="M264" s="3374"/>
      <c r="N264" s="52"/>
    </row>
    <row r="265" spans="1:14">
      <c r="A265">
        <f t="shared" si="18"/>
        <v>47.03</v>
      </c>
      <c r="B265" s="1206">
        <v>262</v>
      </c>
      <c r="C265" s="2522">
        <f t="shared" si="19"/>
        <v>4.5727626402251396</v>
      </c>
      <c r="D265">
        <v>47.03</v>
      </c>
      <c r="G265">
        <f t="shared" si="20"/>
        <v>-46.572307272916099</v>
      </c>
      <c r="H265">
        <f t="shared" si="21"/>
        <v>-6.5453109381518502</v>
      </c>
      <c r="L265" s="52"/>
      <c r="M265" s="52"/>
      <c r="N265" s="52"/>
    </row>
    <row r="266" spans="1:14">
      <c r="A266">
        <f t="shared" si="18"/>
        <v>47.03</v>
      </c>
      <c r="B266" s="1206">
        <v>263</v>
      </c>
      <c r="C266" s="2522">
        <f t="shared" si="19"/>
        <v>4.5902159327450898</v>
      </c>
      <c r="D266">
        <v>47.03</v>
      </c>
      <c r="G266">
        <f t="shared" si="20"/>
        <v>-46.679445511691398</v>
      </c>
      <c r="H266">
        <f t="shared" si="21"/>
        <v>-5.73151522034407</v>
      </c>
      <c r="L266" s="52"/>
      <c r="M266" s="52"/>
      <c r="N266" s="52"/>
    </row>
    <row r="267" spans="1:14">
      <c r="A267">
        <f t="shared" si="18"/>
        <v>47.03</v>
      </c>
      <c r="B267" s="1206">
        <v>264</v>
      </c>
      <c r="C267" s="2522">
        <f t="shared" si="19"/>
        <v>4.6076692252650302</v>
      </c>
      <c r="D267">
        <v>47.03</v>
      </c>
      <c r="G267">
        <f t="shared" si="20"/>
        <v>-46.772364739169902</v>
      </c>
      <c r="H267">
        <f t="shared" si="21"/>
        <v>-4.9159736274777401</v>
      </c>
      <c r="L267" s="52"/>
      <c r="M267" s="52"/>
      <c r="N267" s="52"/>
    </row>
    <row r="268" spans="1:14">
      <c r="A268">
        <f t="shared" si="18"/>
        <v>47.03</v>
      </c>
      <c r="B268" s="1206">
        <v>265</v>
      </c>
      <c r="C268" s="2522">
        <f t="shared" si="19"/>
        <v>4.6251225177849697</v>
      </c>
      <c r="D268">
        <v>47.03</v>
      </c>
      <c r="G268">
        <f t="shared" si="20"/>
        <v>-46.851036651254802</v>
      </c>
      <c r="H268">
        <f t="shared" si="21"/>
        <v>-4.0989345814223697</v>
      </c>
      <c r="L268" s="3166" t="s">
        <v>12704</v>
      </c>
    </row>
    <row r="269" spans="1:14">
      <c r="A269">
        <f t="shared" si="18"/>
        <v>47.03</v>
      </c>
      <c r="B269" s="1206">
        <v>266</v>
      </c>
      <c r="C269" s="2522">
        <f t="shared" si="19"/>
        <v>4.6425758103049199</v>
      </c>
      <c r="D269">
        <v>47.03</v>
      </c>
      <c r="G269">
        <f t="shared" si="20"/>
        <v>-46.915437283719498</v>
      </c>
      <c r="H269">
        <f t="shared" si="21"/>
        <v>-3.28064696018623</v>
      </c>
    </row>
    <row r="270" spans="1:14">
      <c r="A270">
        <f t="shared" si="18"/>
        <v>47.03</v>
      </c>
      <c r="B270" s="1206">
        <v>267</v>
      </c>
      <c r="C270" s="2522">
        <f t="shared" si="19"/>
        <v>4.6600291028248604</v>
      </c>
      <c r="D270">
        <v>47.03</v>
      </c>
      <c r="G270">
        <f t="shared" si="20"/>
        <v>-46.965547019507603</v>
      </c>
      <c r="H270">
        <f t="shared" si="21"/>
        <v>-2.4613600221056702</v>
      </c>
    </row>
    <row r="271" spans="1:14">
      <c r="A271">
        <f t="shared" si="18"/>
        <v>47.03</v>
      </c>
      <c r="B271" s="1206">
        <v>268</v>
      </c>
      <c r="C271" s="2522">
        <f t="shared" si="19"/>
        <v>4.6774823953447999</v>
      </c>
      <c r="D271">
        <v>47.03</v>
      </c>
      <c r="G271">
        <f t="shared" si="20"/>
        <v>-47.0013505947081</v>
      </c>
      <c r="H271">
        <f t="shared" si="21"/>
        <v>-1.64132332991865</v>
      </c>
    </row>
    <row r="272" spans="1:14">
      <c r="A272">
        <f t="shared" si="18"/>
        <v>47.03</v>
      </c>
      <c r="B272" s="1206">
        <v>269</v>
      </c>
      <c r="C272" s="2522">
        <f t="shared" si="19"/>
        <v>4.6949356878647501</v>
      </c>
      <c r="D272">
        <v>47.03</v>
      </c>
      <c r="G272">
        <f t="shared" si="20"/>
        <v>-47.022837103205099</v>
      </c>
      <c r="H272">
        <f t="shared" si="21"/>
        <v>-0.82078667474544298</v>
      </c>
    </row>
    <row r="273" spans="1:8">
      <c r="A273">
        <f t="shared" si="18"/>
        <v>47.03</v>
      </c>
      <c r="B273" s="1206">
        <v>270</v>
      </c>
      <c r="C273" s="2522">
        <f t="shared" si="19"/>
        <v>4.7123889803846897</v>
      </c>
      <c r="D273">
        <v>47.03</v>
      </c>
      <c r="G273">
        <f t="shared" si="20"/>
        <v>-47.03</v>
      </c>
      <c r="H273">
        <f t="shared" si="21"/>
        <v>-8.6392708445850003E-15</v>
      </c>
    </row>
    <row r="274" spans="1:8">
      <c r="A274">
        <f t="shared" si="18"/>
        <v>47.03</v>
      </c>
      <c r="B274" s="1206">
        <v>271</v>
      </c>
      <c r="C274" s="2522">
        <f t="shared" si="19"/>
        <v>4.7298422729046301</v>
      </c>
      <c r="D274">
        <v>47.03</v>
      </c>
      <c r="G274">
        <f t="shared" si="20"/>
        <v>-47.022837103205099</v>
      </c>
      <c r="H274">
        <f t="shared" si="21"/>
        <v>0.82078667474542599</v>
      </c>
    </row>
    <row r="275" spans="1:8">
      <c r="A275">
        <f t="shared" si="18"/>
        <v>47.03</v>
      </c>
      <c r="B275" s="1206">
        <v>272</v>
      </c>
      <c r="C275" s="2522">
        <f t="shared" si="19"/>
        <v>4.7472955654245803</v>
      </c>
      <c r="D275">
        <v>47.03</v>
      </c>
      <c r="G275">
        <f t="shared" si="20"/>
        <v>-47.0013505947081</v>
      </c>
      <c r="H275">
        <f t="shared" si="21"/>
        <v>1.6413233299186401</v>
      </c>
    </row>
    <row r="276" spans="1:8">
      <c r="A276">
        <f t="shared" si="18"/>
        <v>47.03</v>
      </c>
      <c r="B276" s="1206">
        <v>273</v>
      </c>
      <c r="C276" s="2522">
        <f t="shared" si="19"/>
        <v>4.7647488579445199</v>
      </c>
      <c r="D276">
        <v>47.03</v>
      </c>
      <c r="G276">
        <f t="shared" si="20"/>
        <v>-46.965547019507603</v>
      </c>
      <c r="H276">
        <f t="shared" si="21"/>
        <v>2.4613600221056502</v>
      </c>
    </row>
    <row r="277" spans="1:8">
      <c r="A277">
        <f t="shared" si="18"/>
        <v>47.03</v>
      </c>
      <c r="B277" s="1206">
        <v>274</v>
      </c>
      <c r="C277" s="2522">
        <f t="shared" si="19"/>
        <v>4.7822021504644603</v>
      </c>
      <c r="D277">
        <v>47.03</v>
      </c>
      <c r="G277">
        <f t="shared" si="20"/>
        <v>-46.915437283719498</v>
      </c>
      <c r="H277">
        <f t="shared" si="21"/>
        <v>3.28064696018621</v>
      </c>
    </row>
    <row r="278" spans="1:8">
      <c r="A278">
        <f t="shared" si="18"/>
        <v>47.03</v>
      </c>
      <c r="B278" s="1206">
        <v>275</v>
      </c>
      <c r="C278" s="2522">
        <f t="shared" si="19"/>
        <v>4.7996554429844096</v>
      </c>
      <c r="D278">
        <v>47.03</v>
      </c>
      <c r="G278">
        <f t="shared" si="20"/>
        <v>-46.851036651254802</v>
      </c>
      <c r="H278">
        <f t="shared" si="21"/>
        <v>4.0989345814223501</v>
      </c>
    </row>
    <row r="279" spans="1:8">
      <c r="A279">
        <f t="shared" si="18"/>
        <v>47.03</v>
      </c>
      <c r="B279" s="1206">
        <v>276</v>
      </c>
      <c r="C279" s="2522">
        <f t="shared" si="19"/>
        <v>4.81710873550435</v>
      </c>
      <c r="D279">
        <v>47.03</v>
      </c>
      <c r="G279">
        <f t="shared" si="20"/>
        <v>-46.772364739169902</v>
      </c>
      <c r="H279">
        <f t="shared" si="21"/>
        <v>4.9159736274777197</v>
      </c>
    </row>
    <row r="280" spans="1:8">
      <c r="A280">
        <f t="shared" si="18"/>
        <v>47.03</v>
      </c>
      <c r="B280" s="1206">
        <v>277</v>
      </c>
      <c r="C280" s="2522">
        <f t="shared" si="19"/>
        <v>4.8345620280242896</v>
      </c>
      <c r="D280">
        <v>47.03</v>
      </c>
      <c r="G280">
        <f t="shared" si="20"/>
        <v>-46.679445511691398</v>
      </c>
      <c r="H280">
        <f t="shared" si="21"/>
        <v>5.7315152203441002</v>
      </c>
    </row>
    <row r="281" spans="1:8">
      <c r="A281">
        <f t="shared" si="18"/>
        <v>47.03</v>
      </c>
      <c r="B281" s="1206">
        <v>278</v>
      </c>
      <c r="C281" s="2522">
        <f t="shared" si="19"/>
        <v>4.8520153205442398</v>
      </c>
      <c r="D281">
        <v>47.03</v>
      </c>
      <c r="G281">
        <f t="shared" si="20"/>
        <v>-46.572307272916099</v>
      </c>
      <c r="H281">
        <f t="shared" si="21"/>
        <v>6.5453109381518804</v>
      </c>
    </row>
    <row r="282" spans="1:8">
      <c r="A282">
        <f t="shared" si="18"/>
        <v>47.03</v>
      </c>
      <c r="B282" s="1206">
        <v>279</v>
      </c>
      <c r="C282" s="2522">
        <f t="shared" si="19"/>
        <v>4.8694686130641802</v>
      </c>
      <c r="D282">
        <v>47.03</v>
      </c>
      <c r="G282">
        <f t="shared" si="20"/>
        <v>-46.450982658189297</v>
      </c>
      <c r="H282">
        <f t="shared" si="21"/>
        <v>7.3571128908420498</v>
      </c>
    </row>
    <row r="283" spans="1:8">
      <c r="A283">
        <f t="shared" si="18"/>
        <v>47.03</v>
      </c>
      <c r="B283" s="1206">
        <v>280</v>
      </c>
      <c r="C283" s="2522">
        <f t="shared" si="19"/>
        <v>4.8869219055841198</v>
      </c>
      <c r="D283">
        <v>47.03</v>
      </c>
      <c r="G283">
        <f t="shared" si="20"/>
        <v>-46.315508624164202</v>
      </c>
      <c r="H283">
        <f t="shared" si="21"/>
        <v>8.1666737956757203</v>
      </c>
    </row>
    <row r="284" spans="1:8">
      <c r="A284">
        <f t="shared" si="18"/>
        <v>47.03</v>
      </c>
      <c r="B284" s="1206">
        <v>281</v>
      </c>
      <c r="C284" s="2522">
        <f t="shared" si="19"/>
        <v>4.90437519810407</v>
      </c>
      <c r="D284">
        <v>47.03</v>
      </c>
      <c r="G284">
        <f t="shared" si="20"/>
        <v>-46.165926437543597</v>
      </c>
      <c r="H284">
        <f t="shared" si="21"/>
        <v>8.9737470525588794</v>
      </c>
    </row>
    <row r="285" spans="1:8">
      <c r="A285">
        <f t="shared" si="18"/>
        <v>47.03</v>
      </c>
      <c r="B285" s="1206">
        <v>282</v>
      </c>
      <c r="C285" s="2522">
        <f t="shared" si="19"/>
        <v>4.9218284906240104</v>
      </c>
      <c r="D285">
        <v>47.03</v>
      </c>
      <c r="G285">
        <f t="shared" si="20"/>
        <v>-46.002281662510903</v>
      </c>
      <c r="H285">
        <f t="shared" si="21"/>
        <v>9.7780868191591797</v>
      </c>
    </row>
    <row r="286" spans="1:8">
      <c r="A286">
        <f t="shared" si="18"/>
        <v>47.03</v>
      </c>
      <c r="B286" s="1206">
        <v>283</v>
      </c>
      <c r="C286" s="2522">
        <f t="shared" si="19"/>
        <v>4.9392817831439499</v>
      </c>
      <c r="D286">
        <v>47.03</v>
      </c>
      <c r="G286">
        <f t="shared" si="20"/>
        <v>-45.824624146849601</v>
      </c>
      <c r="H286">
        <f t="shared" si="21"/>
        <v>10.579448085792</v>
      </c>
    </row>
    <row r="287" spans="1:8">
      <c r="A287">
        <f t="shared" si="18"/>
        <v>47.03</v>
      </c>
      <c r="B287" s="1206">
        <v>284</v>
      </c>
      <c r="C287" s="2522">
        <f t="shared" si="19"/>
        <v>4.9567350756639001</v>
      </c>
      <c r="D287">
        <v>47.03</v>
      </c>
      <c r="G287">
        <f t="shared" si="20"/>
        <v>-45.6330080067601</v>
      </c>
      <c r="H287">
        <f t="shared" si="21"/>
        <v>11.3775867500524</v>
      </c>
    </row>
    <row r="288" spans="1:8">
      <c r="A288">
        <f t="shared" si="18"/>
        <v>47.03</v>
      </c>
      <c r="B288" s="1206">
        <v>285</v>
      </c>
      <c r="C288" s="2522">
        <f t="shared" si="19"/>
        <v>4.9741883681838397</v>
      </c>
      <c r="D288">
        <v>47.03</v>
      </c>
      <c r="G288">
        <f t="shared" si="20"/>
        <v>-45.427491610374901</v>
      </c>
      <c r="H288">
        <f t="shared" si="21"/>
        <v>12.1722596911716</v>
      </c>
    </row>
    <row r="289" spans="1:12">
      <c r="A289">
        <f t="shared" si="18"/>
        <v>47.03</v>
      </c>
      <c r="B289" s="1206">
        <v>286</v>
      </c>
      <c r="C289" s="2522">
        <f t="shared" si="19"/>
        <v>4.9916416607037801</v>
      </c>
      <c r="D289">
        <v>47.03</v>
      </c>
      <c r="G289">
        <f t="shared" si="20"/>
        <v>-45.2081375599791</v>
      </c>
      <c r="H289">
        <f t="shared" si="21"/>
        <v>12.963224844073499</v>
      </c>
    </row>
    <row r="290" spans="1:12">
      <c r="A290">
        <f t="shared" si="18"/>
        <v>47.03</v>
      </c>
      <c r="B290" s="1206">
        <v>287</v>
      </c>
      <c r="C290" s="2522">
        <f t="shared" si="19"/>
        <v>5.0090949532237303</v>
      </c>
      <c r="D290">
        <v>47.03</v>
      </c>
      <c r="G290">
        <f t="shared" si="20"/>
        <v>-44.975012672941602</v>
      </c>
      <c r="H290">
        <f t="shared" si="21"/>
        <v>13.7502412731103</v>
      </c>
    </row>
    <row r="291" spans="1:12">
      <c r="A291">
        <f t="shared" si="18"/>
        <v>47.03</v>
      </c>
      <c r="B291" s="1206">
        <v>288</v>
      </c>
      <c r="C291" s="2522">
        <f t="shared" si="19"/>
        <v>5.0265482457436699</v>
      </c>
      <c r="D291">
        <v>47.03</v>
      </c>
      <c r="G291">
        <f t="shared" si="20"/>
        <v>-44.728187961361101</v>
      </c>
      <c r="H291">
        <f t="shared" si="21"/>
        <v>14.533069245453801</v>
      </c>
    </row>
    <row r="292" spans="1:12">
      <c r="A292">
        <f t="shared" si="18"/>
        <v>47.03</v>
      </c>
      <c r="B292" s="1206">
        <v>289</v>
      </c>
      <c r="C292" s="2522">
        <f t="shared" si="19"/>
        <v>5.0440015382636103</v>
      </c>
      <c r="D292">
        <v>47.03</v>
      </c>
      <c r="G292">
        <f t="shared" si="20"/>
        <v>-44.467738610435902</v>
      </c>
      <c r="H292">
        <f t="shared" si="21"/>
        <v>15.3114703041201</v>
      </c>
    </row>
    <row r="293" spans="1:12">
      <c r="A293">
        <f t="shared" si="18"/>
        <v>47.03</v>
      </c>
      <c r="B293" s="1206">
        <v>290</v>
      </c>
      <c r="C293" s="2522">
        <f t="shared" si="19"/>
        <v>5.0614548307835596</v>
      </c>
      <c r="D293">
        <v>47.03</v>
      </c>
      <c r="G293">
        <f t="shared" si="20"/>
        <v>-44.193743955561303</v>
      </c>
      <c r="H293">
        <f t="shared" si="21"/>
        <v>16.0852073406062</v>
      </c>
    </row>
    <row r="294" spans="1:12">
      <c r="A294">
        <f t="shared" si="18"/>
        <v>47.03</v>
      </c>
      <c r="B294" s="1206">
        <v>291</v>
      </c>
      <c r="C294" s="2522">
        <f t="shared" si="19"/>
        <v>5.0789081233035001</v>
      </c>
      <c r="D294">
        <v>47.03</v>
      </c>
      <c r="G294">
        <f t="shared" si="20"/>
        <v>-43.906287458163398</v>
      </c>
      <c r="H294">
        <f t="shared" si="21"/>
        <v>16.854044667115399</v>
      </c>
    </row>
    <row r="295" spans="1:12">
      <c r="A295">
        <f t="shared" si="18"/>
        <v>47.03</v>
      </c>
      <c r="B295" s="1206">
        <v>292</v>
      </c>
      <c r="C295" s="2522">
        <f t="shared" si="19"/>
        <v>5.0963614158234396</v>
      </c>
      <c r="D295">
        <v>47.03</v>
      </c>
      <c r="G295">
        <f t="shared" si="20"/>
        <v>-43.605456680275999</v>
      </c>
      <c r="H295">
        <f t="shared" si="21"/>
        <v>17.6177480883503</v>
      </c>
    </row>
    <row r="296" spans="1:12">
      <c r="A296">
        <f t="shared" si="18"/>
        <v>47.03</v>
      </c>
      <c r="B296" s="1206">
        <v>293</v>
      </c>
      <c r="C296" s="2522">
        <f t="shared" si="19"/>
        <v>5.1138147083433898</v>
      </c>
      <c r="D296">
        <v>47.03</v>
      </c>
      <c r="G296">
        <f t="shared" si="20"/>
        <v>-43.291343257868299</v>
      </c>
      <c r="H296">
        <f t="shared" si="21"/>
        <v>18.376084972850499</v>
      </c>
      <c r="L296" s="3166" t="s">
        <v>12704</v>
      </c>
    </row>
    <row r="297" spans="1:12">
      <c r="A297">
        <f t="shared" si="18"/>
        <v>47.03</v>
      </c>
      <c r="B297" s="1206">
        <v>294</v>
      </c>
      <c r="C297" s="2522">
        <f t="shared" si="19"/>
        <v>5.1312680008633302</v>
      </c>
      <c r="D297">
        <v>47.03</v>
      </c>
      <c r="G297">
        <f t="shared" si="20"/>
        <v>-42.9640428729315</v>
      </c>
      <c r="H297">
        <f t="shared" si="21"/>
        <v>19.1288243238549</v>
      </c>
    </row>
    <row r="298" spans="1:12">
      <c r="A298">
        <f t="shared" si="18"/>
        <v>47.03</v>
      </c>
      <c r="B298" s="1206">
        <v>295</v>
      </c>
      <c r="C298" s="2522">
        <f t="shared" si="19"/>
        <v>5.1487212933832698</v>
      </c>
      <c r="D298">
        <v>47.03</v>
      </c>
      <c r="G298">
        <f t="shared" si="20"/>
        <v>-42.623655224333604</v>
      </c>
      <c r="H298">
        <f t="shared" si="21"/>
        <v>19.875736849665099</v>
      </c>
    </row>
    <row r="299" spans="1:12">
      <c r="A299">
        <f t="shared" si="18"/>
        <v>47.03</v>
      </c>
      <c r="B299" s="1206">
        <v>296</v>
      </c>
      <c r="C299" s="2522">
        <f t="shared" si="19"/>
        <v>5.16617458590322</v>
      </c>
      <c r="D299">
        <v>47.03</v>
      </c>
      <c r="G299">
        <f t="shared" si="20"/>
        <v>-42.270283997449802</v>
      </c>
      <c r="H299">
        <f t="shared" si="21"/>
        <v>20.616595033490299</v>
      </c>
    </row>
    <row r="300" spans="1:12">
      <c r="A300">
        <f t="shared" si="18"/>
        <v>47.03</v>
      </c>
      <c r="B300" s="1206">
        <v>297</v>
      </c>
      <c r="C300" s="2522">
        <f t="shared" si="19"/>
        <v>5.1836278784231604</v>
      </c>
      <c r="D300">
        <v>47.03</v>
      </c>
      <c r="G300">
        <f t="shared" si="20"/>
        <v>-41.904036832578903</v>
      </c>
      <c r="H300">
        <f t="shared" si="21"/>
        <v>21.3511732027509</v>
      </c>
    </row>
    <row r="301" spans="1:12">
      <c r="A301">
        <f t="shared" si="18"/>
        <v>47.03</v>
      </c>
      <c r="B301" s="1206">
        <v>298</v>
      </c>
      <c r="C301" s="2522">
        <f t="shared" si="19"/>
        <v>5.2010811709431</v>
      </c>
      <c r="D301">
        <v>47.03</v>
      </c>
      <c r="G301">
        <f t="shared" si="20"/>
        <v>-41.525025292155298</v>
      </c>
      <c r="H301">
        <f t="shared" si="21"/>
        <v>22.079247597820402</v>
      </c>
    </row>
    <row r="302" spans="1:12">
      <c r="A302">
        <f t="shared" si="18"/>
        <v>47.03</v>
      </c>
      <c r="B302" s="1206">
        <v>299</v>
      </c>
      <c r="C302" s="2522">
        <f t="shared" si="19"/>
        <v>5.2185344634630404</v>
      </c>
      <c r="D302">
        <v>47.03</v>
      </c>
      <c r="G302">
        <f t="shared" si="20"/>
        <v>-41.133364826765799</v>
      </c>
      <c r="H302">
        <f t="shared" si="21"/>
        <v>22.800596440185199</v>
      </c>
    </row>
    <row r="303" spans="1:12">
      <c r="A303">
        <f t="shared" si="18"/>
        <v>47.03</v>
      </c>
      <c r="B303" s="1206">
        <v>300</v>
      </c>
      <c r="C303" s="2522">
        <f t="shared" si="19"/>
        <v>5.2359877559829897</v>
      </c>
      <c r="D303">
        <v>47.03</v>
      </c>
      <c r="G303">
        <f t="shared" si="20"/>
        <v>-40.729174739982099</v>
      </c>
      <c r="H303">
        <f t="shared" si="21"/>
        <v>23.515000000000001</v>
      </c>
    </row>
    <row r="304" spans="1:12">
      <c r="A304">
        <f t="shared" si="18"/>
        <v>47.03</v>
      </c>
      <c r="B304" s="1206">
        <v>301</v>
      </c>
      <c r="C304" s="2522">
        <f t="shared" si="19"/>
        <v>5.2534410485029301</v>
      </c>
      <c r="D304">
        <v>47.03</v>
      </c>
      <c r="G304">
        <f t="shared" si="20"/>
        <v>-40.312578152020301</v>
      </c>
      <c r="H304">
        <f t="shared" si="21"/>
        <v>24.2222406630198</v>
      </c>
    </row>
    <row r="305" spans="1:14">
      <c r="A305">
        <f t="shared" si="18"/>
        <v>47.03</v>
      </c>
      <c r="B305" s="1206">
        <v>302</v>
      </c>
      <c r="C305" s="2522">
        <f t="shared" si="19"/>
        <v>5.2708943410228803</v>
      </c>
      <c r="D305">
        <v>47.03</v>
      </c>
      <c r="G305">
        <f t="shared" si="20"/>
        <v>-39.8837019622367</v>
      </c>
      <c r="H305">
        <f t="shared" si="21"/>
        <v>24.922102996887599</v>
      </c>
    </row>
    <row r="306" spans="1:14">
      <c r="A306">
        <f t="shared" si="18"/>
        <v>47.03</v>
      </c>
      <c r="B306" s="1206">
        <v>303</v>
      </c>
      <c r="C306" s="2522">
        <f t="shared" si="19"/>
        <v>5.2883476335428199</v>
      </c>
      <c r="D306">
        <v>47.03</v>
      </c>
      <c r="G306">
        <f t="shared" si="20"/>
        <v>-39.442676810473301</v>
      </c>
      <c r="H306">
        <f t="shared" si="21"/>
        <v>25.6143738167567</v>
      </c>
    </row>
    <row r="307" spans="1:14">
      <c r="A307">
        <f t="shared" si="18"/>
        <v>47.03</v>
      </c>
      <c r="B307" s="1206">
        <v>304</v>
      </c>
      <c r="C307" s="2522">
        <f t="shared" si="19"/>
        <v>5.3058009260627603</v>
      </c>
      <c r="D307">
        <v>47.03</v>
      </c>
      <c r="G307">
        <f t="shared" si="20"/>
        <v>-38.989637037263599</v>
      </c>
      <c r="H307">
        <f t="shared" si="21"/>
        <v>26.2988422502292</v>
      </c>
    </row>
    <row r="308" spans="1:14">
      <c r="A308">
        <f t="shared" si="18"/>
        <v>47.03</v>
      </c>
      <c r="B308" s="1206">
        <v>305</v>
      </c>
      <c r="C308" s="2522">
        <f t="shared" si="19"/>
        <v>5.3232542185827096</v>
      </c>
      <c r="D308">
        <v>47.03</v>
      </c>
      <c r="G308">
        <f t="shared" si="20"/>
        <v>-38.524720642911298</v>
      </c>
      <c r="H308">
        <f t="shared" si="21"/>
        <v>26.975299801589699</v>
      </c>
    </row>
    <row r="309" spans="1:14">
      <c r="A309">
        <f t="shared" si="18"/>
        <v>47.03</v>
      </c>
      <c r="B309" s="1206">
        <v>306</v>
      </c>
      <c r="C309" s="2522">
        <f t="shared" si="19"/>
        <v>5.3407075111026501</v>
      </c>
      <c r="D309">
        <v>47.03</v>
      </c>
      <c r="G309">
        <f t="shared" si="20"/>
        <v>-38.048069245453803</v>
      </c>
      <c r="H309">
        <f t="shared" si="21"/>
        <v>27.643540415315002</v>
      </c>
      <c r="L309" s="52"/>
      <c r="M309" s="52"/>
      <c r="N309" s="52"/>
    </row>
    <row r="310" spans="1:14">
      <c r="A310">
        <f t="shared" si="18"/>
        <v>47.03</v>
      </c>
      <c r="B310" s="1206">
        <v>307</v>
      </c>
      <c r="C310" s="2522">
        <f t="shared" si="19"/>
        <v>5.3581608036225896</v>
      </c>
      <c r="D310">
        <v>47.03</v>
      </c>
      <c r="G310">
        <f t="shared" si="20"/>
        <v>-37.559828037524198</v>
      </c>
      <c r="H310">
        <f t="shared" si="21"/>
        <v>28.303360538840799</v>
      </c>
      <c r="L310" s="52"/>
      <c r="M310" s="52"/>
      <c r="N310" s="52"/>
    </row>
    <row r="311" spans="1:14">
      <c r="A311">
        <f t="shared" si="18"/>
        <v>47.03</v>
      </c>
      <c r="B311" s="1206">
        <v>308</v>
      </c>
      <c r="C311" s="2522">
        <f t="shared" si="19"/>
        <v>5.3756140961425398</v>
      </c>
      <c r="D311">
        <v>47.03</v>
      </c>
      <c r="G311">
        <f t="shared" si="20"/>
        <v>-37.060145742124099</v>
      </c>
      <c r="H311">
        <f t="shared" si="21"/>
        <v>28.954559184565699</v>
      </c>
      <c r="L311" s="52"/>
      <c r="M311" s="52"/>
      <c r="N311" s="52"/>
    </row>
    <row r="312" spans="1:14">
      <c r="A312">
        <f t="shared" si="18"/>
        <v>47.03</v>
      </c>
      <c r="B312" s="1206">
        <v>309</v>
      </c>
      <c r="C312" s="2522">
        <f t="shared" si="19"/>
        <v>5.3930673886624803</v>
      </c>
      <c r="D312">
        <v>47.03</v>
      </c>
      <c r="G312">
        <f t="shared" si="20"/>
        <v>-36.549174567321302</v>
      </c>
      <c r="H312">
        <f t="shared" si="21"/>
        <v>29.596937991073901</v>
      </c>
      <c r="L312" s="3374"/>
      <c r="M312" s="3374"/>
      <c r="N312" s="52"/>
    </row>
    <row r="313" spans="1:14">
      <c r="A313">
        <f t="shared" si="18"/>
        <v>47.03</v>
      </c>
      <c r="B313" s="1206">
        <v>310</v>
      </c>
      <c r="C313" s="2522">
        <f t="shared" si="19"/>
        <v>5.4105206811824198</v>
      </c>
      <c r="D313">
        <v>47.03</v>
      </c>
      <c r="G313">
        <f t="shared" si="20"/>
        <v>-36.027070159885497</v>
      </c>
      <c r="H313">
        <f t="shared" si="21"/>
        <v>30.2303012835579</v>
      </c>
      <c r="L313" s="52"/>
      <c r="M313" s="52"/>
      <c r="N313" s="52"/>
    </row>
    <row r="314" spans="1:14">
      <c r="A314">
        <f t="shared" si="18"/>
        <v>47.03</v>
      </c>
      <c r="B314" s="1206">
        <v>311</v>
      </c>
      <c r="C314" s="2522">
        <f t="shared" si="19"/>
        <v>5.4279739737023602</v>
      </c>
      <c r="D314">
        <v>47.03</v>
      </c>
      <c r="G314">
        <f t="shared" si="20"/>
        <v>-35.493991557877003</v>
      </c>
      <c r="H314">
        <f t="shared" si="21"/>
        <v>30.854456133423501</v>
      </c>
      <c r="L314" s="52"/>
      <c r="M314" s="52"/>
      <c r="N314" s="52"/>
    </row>
    <row r="315" spans="1:14">
      <c r="A315">
        <f t="shared" si="18"/>
        <v>47.03</v>
      </c>
      <c r="B315" s="1206">
        <v>312</v>
      </c>
      <c r="C315" s="2522">
        <f t="shared" si="19"/>
        <v>5.4454272662223104</v>
      </c>
      <c r="D315">
        <v>47.03</v>
      </c>
      <c r="G315">
        <f t="shared" si="20"/>
        <v>-34.950101142201902</v>
      </c>
      <c r="H315">
        <f t="shared" si="21"/>
        <v>31.469212417057101</v>
      </c>
      <c r="L315" s="52"/>
      <c r="M315" s="52"/>
      <c r="N315" s="52"/>
    </row>
    <row r="316" spans="1:14">
      <c r="A316">
        <f t="shared" si="18"/>
        <v>47.03</v>
      </c>
      <c r="B316" s="1206">
        <v>313</v>
      </c>
      <c r="C316" s="2522">
        <f t="shared" si="19"/>
        <v>5.46288055874225</v>
      </c>
      <c r="D316">
        <v>47.03</v>
      </c>
      <c r="G316">
        <f t="shared" si="20"/>
        <v>-34.3955645871496</v>
      </c>
      <c r="H316">
        <f t="shared" si="21"/>
        <v>32.074382873739303</v>
      </c>
      <c r="L316" s="52"/>
      <c r="M316" s="52"/>
      <c r="N316" s="52"/>
    </row>
    <row r="317" spans="1:14">
      <c r="A317">
        <f t="shared" si="18"/>
        <v>47.03</v>
      </c>
      <c r="B317" s="1206">
        <v>314</v>
      </c>
      <c r="C317" s="2522">
        <f t="shared" si="19"/>
        <v>5.4803338512621904</v>
      </c>
      <c r="D317">
        <v>47.03</v>
      </c>
      <c r="G317">
        <f t="shared" si="20"/>
        <v>-33.830550809926798</v>
      </c>
      <c r="H317">
        <f t="shared" si="21"/>
        <v>32.669783162686599</v>
      </c>
      <c r="L317" s="52"/>
      <c r="M317" s="52"/>
      <c r="N317" s="52"/>
    </row>
    <row r="318" spans="1:14">
      <c r="A318">
        <f t="shared" si="18"/>
        <v>47.03</v>
      </c>
      <c r="B318" s="1206">
        <v>315</v>
      </c>
      <c r="C318" s="2522">
        <f t="shared" si="19"/>
        <v>5.4977871437821397</v>
      </c>
      <c r="D318">
        <v>47.03</v>
      </c>
      <c r="G318">
        <f t="shared" si="20"/>
        <v>-33.255231919203297</v>
      </c>
      <c r="H318">
        <f t="shared" si="21"/>
        <v>33.255231919203297</v>
      </c>
      <c r="L318" s="52"/>
      <c r="M318" s="52"/>
      <c r="N318" s="52"/>
    </row>
    <row r="319" spans="1:14">
      <c r="A319">
        <f t="shared" si="18"/>
        <v>47.03</v>
      </c>
      <c r="B319" s="1206">
        <v>316</v>
      </c>
      <c r="C319" s="2522">
        <f t="shared" si="19"/>
        <v>5.5152404363020802</v>
      </c>
      <c r="D319">
        <v>47.03</v>
      </c>
      <c r="G319">
        <f t="shared" si="20"/>
        <v>-32.669783162686699</v>
      </c>
      <c r="H319">
        <f t="shared" si="21"/>
        <v>33.830550809926699</v>
      </c>
    </row>
    <row r="320" spans="1:14">
      <c r="A320">
        <f t="shared" si="18"/>
        <v>47.03</v>
      </c>
      <c r="B320" s="1206">
        <v>317</v>
      </c>
      <c r="C320" s="2522">
        <f t="shared" si="19"/>
        <v>5.5326937288220304</v>
      </c>
      <c r="D320">
        <v>47.03</v>
      </c>
      <c r="G320">
        <f t="shared" si="20"/>
        <v>-32.074382873739303</v>
      </c>
      <c r="H320">
        <f t="shared" si="21"/>
        <v>34.3955645871496</v>
      </c>
    </row>
    <row r="321" spans="1:8">
      <c r="A321">
        <f t="shared" si="18"/>
        <v>47.03</v>
      </c>
      <c r="B321" s="1206">
        <v>318</v>
      </c>
      <c r="C321" s="2522">
        <f t="shared" si="19"/>
        <v>5.5501470213419699</v>
      </c>
      <c r="D321">
        <v>47.03</v>
      </c>
      <c r="G321">
        <f t="shared" si="20"/>
        <v>-31.469212417057101</v>
      </c>
      <c r="H321">
        <f t="shared" si="21"/>
        <v>34.950101142201902</v>
      </c>
    </row>
    <row r="322" spans="1:8">
      <c r="A322">
        <f t="shared" si="18"/>
        <v>47.03</v>
      </c>
      <c r="B322" s="1206">
        <v>319</v>
      </c>
      <c r="C322" s="2522">
        <f t="shared" si="19"/>
        <v>5.5676003138619103</v>
      </c>
      <c r="D322">
        <v>47.03</v>
      </c>
      <c r="G322">
        <f t="shared" si="20"/>
        <v>-30.8544561334236</v>
      </c>
      <c r="H322">
        <f t="shared" si="21"/>
        <v>35.493991557877003</v>
      </c>
    </row>
    <row r="323" spans="1:8">
      <c r="A323">
        <f t="shared" ref="A323:A363" si="22">52.03-5</f>
        <v>47.03</v>
      </c>
      <c r="B323" s="1206">
        <v>320</v>
      </c>
      <c r="C323" s="2522">
        <f t="shared" ref="C323:C363" si="23">B323*PI()/180</f>
        <v>5.5850536063818499</v>
      </c>
      <c r="D323">
        <v>47.03</v>
      </c>
      <c r="G323">
        <f t="shared" ref="G323:G362" si="24">D323*SIN(C323)</f>
        <v>-30.230301283557999</v>
      </c>
      <c r="H323">
        <f t="shared" ref="H323:H363" si="25">D323*COS(C323)</f>
        <v>36.027070159885497</v>
      </c>
    </row>
    <row r="324" spans="1:8">
      <c r="A324">
        <f t="shared" si="22"/>
        <v>47.03</v>
      </c>
      <c r="B324" s="1206">
        <v>321</v>
      </c>
      <c r="C324" s="2522">
        <f t="shared" si="23"/>
        <v>5.6025068989018001</v>
      </c>
      <c r="D324">
        <v>47.03</v>
      </c>
      <c r="G324">
        <f t="shared" si="24"/>
        <v>-29.596937991073901</v>
      </c>
      <c r="H324">
        <f t="shared" si="25"/>
        <v>36.549174567321302</v>
      </c>
    </row>
    <row r="325" spans="1:8">
      <c r="A325">
        <f t="shared" si="22"/>
        <v>47.03</v>
      </c>
      <c r="B325" s="1206">
        <v>322</v>
      </c>
      <c r="C325" s="2522">
        <f t="shared" si="23"/>
        <v>5.6199601914217396</v>
      </c>
      <c r="D325">
        <v>47.03</v>
      </c>
      <c r="G325">
        <f t="shared" si="24"/>
        <v>-28.954559184565699</v>
      </c>
      <c r="H325">
        <f t="shared" si="25"/>
        <v>37.060145742124099</v>
      </c>
    </row>
    <row r="326" spans="1:8">
      <c r="A326">
        <f t="shared" si="22"/>
        <v>47.03</v>
      </c>
      <c r="B326" s="1206">
        <v>323</v>
      </c>
      <c r="C326" s="2522">
        <f t="shared" si="23"/>
        <v>5.6374134839416801</v>
      </c>
      <c r="D326">
        <v>47.03</v>
      </c>
      <c r="G326">
        <f t="shared" si="24"/>
        <v>-28.303360538840799</v>
      </c>
      <c r="H326">
        <f t="shared" si="25"/>
        <v>37.559828037524198</v>
      </c>
    </row>
    <row r="327" spans="1:8">
      <c r="A327">
        <f t="shared" si="22"/>
        <v>47.03</v>
      </c>
      <c r="B327" s="1206">
        <v>324</v>
      </c>
      <c r="C327" s="2522">
        <f t="shared" si="23"/>
        <v>5.6548667764616303</v>
      </c>
      <c r="D327">
        <v>47.03</v>
      </c>
      <c r="G327">
        <f t="shared" si="24"/>
        <v>-27.643540415315002</v>
      </c>
      <c r="H327">
        <f t="shared" si="25"/>
        <v>38.048069245453803</v>
      </c>
    </row>
    <row r="328" spans="1:8">
      <c r="A328">
        <f t="shared" si="22"/>
        <v>47.03</v>
      </c>
      <c r="B328" s="1206">
        <v>325</v>
      </c>
      <c r="C328" s="2522">
        <f t="shared" si="23"/>
        <v>5.6723200689815698</v>
      </c>
      <c r="D328">
        <v>47.03</v>
      </c>
      <c r="G328">
        <f t="shared" si="24"/>
        <v>-26.975299801589699</v>
      </c>
      <c r="H328">
        <f t="shared" si="25"/>
        <v>38.524720642911298</v>
      </c>
    </row>
    <row r="329" spans="1:8">
      <c r="A329">
        <f t="shared" si="22"/>
        <v>47.03</v>
      </c>
      <c r="B329" s="1206">
        <v>326</v>
      </c>
      <c r="C329" s="2522">
        <f t="shared" si="23"/>
        <v>5.6897733615015103</v>
      </c>
      <c r="D329">
        <v>47.03</v>
      </c>
      <c r="G329">
        <f t="shared" si="24"/>
        <v>-26.2988422502292</v>
      </c>
      <c r="H329">
        <f t="shared" si="25"/>
        <v>38.989637037263599</v>
      </c>
    </row>
    <row r="330" spans="1:8">
      <c r="A330">
        <f t="shared" si="22"/>
        <v>47.03</v>
      </c>
      <c r="B330" s="1206">
        <v>327</v>
      </c>
      <c r="C330" s="2522">
        <f t="shared" si="23"/>
        <v>5.7072266540214596</v>
      </c>
      <c r="D330">
        <v>47.03</v>
      </c>
      <c r="G330">
        <f t="shared" si="24"/>
        <v>-25.6143738167567</v>
      </c>
      <c r="H330">
        <f t="shared" si="25"/>
        <v>39.442676810473301</v>
      </c>
    </row>
    <row r="331" spans="1:8">
      <c r="A331">
        <f t="shared" si="22"/>
        <v>47.03</v>
      </c>
      <c r="B331" s="1206">
        <v>328</v>
      </c>
      <c r="C331" s="2522">
        <f t="shared" si="23"/>
        <v>5.7246799465414</v>
      </c>
      <c r="D331">
        <v>47.03</v>
      </c>
      <c r="G331">
        <f t="shared" si="24"/>
        <v>-24.922102996887698</v>
      </c>
      <c r="H331">
        <f t="shared" si="25"/>
        <v>39.8837019622367</v>
      </c>
    </row>
    <row r="332" spans="1:8">
      <c r="A332">
        <f t="shared" si="22"/>
        <v>47.03</v>
      </c>
      <c r="B332" s="1206">
        <v>329</v>
      </c>
      <c r="C332" s="2522">
        <f t="shared" si="23"/>
        <v>5.7421332390613404</v>
      </c>
      <c r="D332">
        <v>47.03</v>
      </c>
      <c r="G332">
        <f t="shared" si="24"/>
        <v>-24.2222406630199</v>
      </c>
      <c r="H332">
        <f t="shared" si="25"/>
        <v>40.312578152020301</v>
      </c>
    </row>
    <row r="333" spans="1:8">
      <c r="A333">
        <f t="shared" si="22"/>
        <v>47.03</v>
      </c>
      <c r="B333" s="1206">
        <v>330</v>
      </c>
      <c r="C333" s="2522">
        <f t="shared" si="23"/>
        <v>5.7595865315812897</v>
      </c>
      <c r="D333">
        <v>47.03</v>
      </c>
      <c r="G333">
        <f t="shared" si="24"/>
        <v>-23.515000000000001</v>
      </c>
      <c r="H333">
        <f t="shared" si="25"/>
        <v>40.729174739982099</v>
      </c>
    </row>
    <row r="334" spans="1:8">
      <c r="A334">
        <f t="shared" si="22"/>
        <v>47.03</v>
      </c>
      <c r="B334" s="1206">
        <v>331</v>
      </c>
      <c r="C334" s="2522">
        <f t="shared" si="23"/>
        <v>5.7770398241012302</v>
      </c>
      <c r="D334">
        <v>47.03</v>
      </c>
      <c r="G334">
        <f t="shared" si="24"/>
        <v>-22.800596440185199</v>
      </c>
      <c r="H334">
        <f t="shared" si="25"/>
        <v>41.133364826765799</v>
      </c>
    </row>
    <row r="335" spans="1:8">
      <c r="A335">
        <f t="shared" si="22"/>
        <v>47.03</v>
      </c>
      <c r="B335" s="1206">
        <v>332</v>
      </c>
      <c r="C335" s="2522">
        <f t="shared" si="23"/>
        <v>5.7944931166211697</v>
      </c>
      <c r="D335">
        <v>47.03</v>
      </c>
      <c r="G335">
        <f t="shared" si="24"/>
        <v>-22.079247597820402</v>
      </c>
      <c r="H335">
        <f t="shared" si="25"/>
        <v>41.525025292155298</v>
      </c>
    </row>
    <row r="336" spans="1:8">
      <c r="A336">
        <f t="shared" si="22"/>
        <v>47.03</v>
      </c>
      <c r="B336" s="1206">
        <v>333</v>
      </c>
      <c r="C336" s="2522">
        <f t="shared" si="23"/>
        <v>5.8119464091411199</v>
      </c>
      <c r="D336">
        <v>47.03</v>
      </c>
      <c r="G336">
        <f t="shared" si="24"/>
        <v>-21.3511732027509</v>
      </c>
      <c r="H336">
        <f t="shared" si="25"/>
        <v>41.904036832578903</v>
      </c>
    </row>
    <row r="337" spans="1:14">
      <c r="A337">
        <f t="shared" si="22"/>
        <v>47.03</v>
      </c>
      <c r="B337" s="1206">
        <v>334</v>
      </c>
      <c r="C337" s="2522">
        <f t="shared" si="23"/>
        <v>5.8293997016610604</v>
      </c>
      <c r="D337">
        <v>47.03</v>
      </c>
      <c r="G337">
        <f t="shared" si="24"/>
        <v>-20.616595033490299</v>
      </c>
      <c r="H337">
        <f t="shared" si="25"/>
        <v>42.270283997449802</v>
      </c>
    </row>
    <row r="338" spans="1:14">
      <c r="A338">
        <f t="shared" si="22"/>
        <v>47.03</v>
      </c>
      <c r="B338" s="1206">
        <v>335</v>
      </c>
      <c r="C338" s="2522">
        <f t="shared" si="23"/>
        <v>5.8468529941809999</v>
      </c>
      <c r="D338">
        <v>47.03</v>
      </c>
      <c r="G338">
        <f t="shared" si="24"/>
        <v>-19.875736849665099</v>
      </c>
      <c r="H338">
        <f t="shared" si="25"/>
        <v>42.623655224333604</v>
      </c>
    </row>
    <row r="339" spans="1:14">
      <c r="A339">
        <f t="shared" si="22"/>
        <v>47.03</v>
      </c>
      <c r="B339" s="1206">
        <v>336</v>
      </c>
      <c r="C339" s="2522">
        <f t="shared" si="23"/>
        <v>5.8643062867009501</v>
      </c>
      <c r="D339">
        <v>47.03</v>
      </c>
      <c r="G339">
        <f t="shared" si="24"/>
        <v>-19.1288243238549</v>
      </c>
      <c r="H339">
        <f t="shared" si="25"/>
        <v>42.9640428729315</v>
      </c>
      <c r="K339" s="52"/>
      <c r="L339" s="52"/>
      <c r="M339" s="52"/>
      <c r="N339" s="52"/>
    </row>
    <row r="340" spans="1:14">
      <c r="A340">
        <f t="shared" si="22"/>
        <v>47.03</v>
      </c>
      <c r="B340" s="1206">
        <v>337</v>
      </c>
      <c r="C340" s="2522">
        <f t="shared" si="23"/>
        <v>5.8817595792208897</v>
      </c>
      <c r="D340">
        <v>47.03</v>
      </c>
      <c r="G340">
        <f t="shared" si="24"/>
        <v>-18.376084972850599</v>
      </c>
      <c r="H340">
        <f t="shared" si="25"/>
        <v>43.291343257868199</v>
      </c>
      <c r="K340" s="52"/>
      <c r="L340" s="52"/>
      <c r="M340" s="52"/>
      <c r="N340" s="52"/>
    </row>
    <row r="341" spans="1:14">
      <c r="A341">
        <f t="shared" si="22"/>
        <v>47.03</v>
      </c>
      <c r="B341" s="1206">
        <v>338</v>
      </c>
      <c r="C341" s="2522">
        <f t="shared" si="23"/>
        <v>5.8992128717408301</v>
      </c>
      <c r="D341">
        <v>47.03</v>
      </c>
      <c r="G341">
        <f t="shared" si="24"/>
        <v>-17.6177480883504</v>
      </c>
      <c r="H341">
        <f t="shared" si="25"/>
        <v>43.605456680275999</v>
      </c>
      <c r="K341" s="52"/>
      <c r="L341" s="52"/>
      <c r="M341" s="52"/>
      <c r="N341" s="52"/>
    </row>
    <row r="342" spans="1:14">
      <c r="A342">
        <f t="shared" si="22"/>
        <v>47.03</v>
      </c>
      <c r="B342" s="1206">
        <v>339</v>
      </c>
      <c r="C342" s="2522">
        <f t="shared" si="23"/>
        <v>5.9166661642607803</v>
      </c>
      <c r="D342">
        <v>47.03</v>
      </c>
      <c r="G342">
        <f t="shared" si="24"/>
        <v>-16.854044667115499</v>
      </c>
      <c r="H342">
        <f t="shared" si="25"/>
        <v>43.906287458163398</v>
      </c>
      <c r="K342" s="52"/>
      <c r="L342" s="3374"/>
      <c r="M342" s="3374"/>
      <c r="N342" s="52"/>
    </row>
    <row r="343" spans="1:14">
      <c r="A343">
        <f t="shared" si="22"/>
        <v>47.03</v>
      </c>
      <c r="B343" s="1206">
        <v>340</v>
      </c>
      <c r="C343" s="2522">
        <f t="shared" si="23"/>
        <v>5.9341194567807198</v>
      </c>
      <c r="D343">
        <v>47.03</v>
      </c>
      <c r="G343">
        <f t="shared" si="24"/>
        <v>-16.0852073406062</v>
      </c>
      <c r="H343">
        <f t="shared" si="25"/>
        <v>44.193743955561303</v>
      </c>
      <c r="K343" s="52"/>
      <c r="L343" s="52"/>
      <c r="M343" s="52"/>
      <c r="N343" s="52"/>
    </row>
    <row r="344" spans="1:14">
      <c r="A344">
        <f t="shared" si="22"/>
        <v>47.03</v>
      </c>
      <c r="B344" s="1206">
        <v>341</v>
      </c>
      <c r="C344" s="2522">
        <f t="shared" si="23"/>
        <v>5.9515727493006603</v>
      </c>
      <c r="D344">
        <v>47.03</v>
      </c>
      <c r="G344">
        <f t="shared" si="24"/>
        <v>-15.3114703041201</v>
      </c>
      <c r="H344">
        <f t="shared" si="25"/>
        <v>44.467738610435902</v>
      </c>
      <c r="K344" s="52"/>
      <c r="L344" s="3166" t="s">
        <v>12704</v>
      </c>
      <c r="M344" s="52"/>
      <c r="N344" s="52"/>
    </row>
    <row r="345" spans="1:14">
      <c r="A345">
        <f t="shared" si="22"/>
        <v>47.03</v>
      </c>
      <c r="B345" s="1206">
        <v>342</v>
      </c>
      <c r="C345" s="2522">
        <f t="shared" si="23"/>
        <v>5.9690260418206096</v>
      </c>
      <c r="D345">
        <v>47.03</v>
      </c>
      <c r="G345">
        <f t="shared" si="24"/>
        <v>-14.533069245453801</v>
      </c>
      <c r="H345">
        <f t="shared" si="25"/>
        <v>44.728187961361101</v>
      </c>
      <c r="K345" s="52"/>
      <c r="L345" s="52"/>
      <c r="M345" s="52"/>
      <c r="N345" s="52"/>
    </row>
    <row r="346" spans="1:14">
      <c r="A346">
        <f t="shared" si="22"/>
        <v>47.03</v>
      </c>
      <c r="B346" s="1206">
        <v>343</v>
      </c>
      <c r="C346" s="2522">
        <f t="shared" si="23"/>
        <v>5.98647933434055</v>
      </c>
      <c r="D346">
        <v>47.03</v>
      </c>
      <c r="G346">
        <f t="shared" si="24"/>
        <v>-13.7502412731103</v>
      </c>
      <c r="H346">
        <f t="shared" si="25"/>
        <v>44.975012672941602</v>
      </c>
      <c r="K346" s="52"/>
      <c r="L346" s="52"/>
      <c r="M346" s="52"/>
      <c r="N346" s="52"/>
    </row>
    <row r="347" spans="1:14">
      <c r="A347">
        <f t="shared" si="22"/>
        <v>47.03</v>
      </c>
      <c r="B347" s="1206">
        <v>344</v>
      </c>
      <c r="C347" s="2522">
        <f t="shared" si="23"/>
        <v>6.0039326268604896</v>
      </c>
      <c r="D347">
        <v>47.03</v>
      </c>
      <c r="G347">
        <f t="shared" si="24"/>
        <v>-12.963224844073499</v>
      </c>
      <c r="H347">
        <f t="shared" si="25"/>
        <v>45.2081375599791</v>
      </c>
      <c r="K347" s="52"/>
      <c r="L347" s="52"/>
      <c r="M347" s="52"/>
      <c r="N347" s="52"/>
    </row>
    <row r="348" spans="1:14">
      <c r="A348">
        <f t="shared" si="22"/>
        <v>47.03</v>
      </c>
      <c r="B348" s="1206">
        <v>345</v>
      </c>
      <c r="C348" s="2522">
        <f t="shared" si="23"/>
        <v>6.0213859193804398</v>
      </c>
      <c r="D348">
        <v>47.03</v>
      </c>
      <c r="G348">
        <f t="shared" si="24"/>
        <v>-12.172259691171501</v>
      </c>
      <c r="H348">
        <f t="shared" si="25"/>
        <v>45.427491610374901</v>
      </c>
      <c r="K348" s="52"/>
      <c r="L348" s="52"/>
      <c r="M348" s="52"/>
      <c r="N348" s="52"/>
    </row>
    <row r="349" spans="1:14">
      <c r="A349">
        <f t="shared" si="22"/>
        <v>47.03</v>
      </c>
      <c r="B349" s="1206">
        <v>346</v>
      </c>
      <c r="C349" s="2522">
        <f t="shared" si="23"/>
        <v>6.0388392119003802</v>
      </c>
      <c r="D349">
        <v>47.03</v>
      </c>
      <c r="G349">
        <f t="shared" si="24"/>
        <v>-11.3775867500524</v>
      </c>
      <c r="H349">
        <f t="shared" si="25"/>
        <v>45.6330080067601</v>
      </c>
      <c r="K349" s="52"/>
      <c r="L349" s="52"/>
      <c r="M349" s="52"/>
      <c r="N349" s="52"/>
    </row>
    <row r="350" spans="1:14">
      <c r="A350">
        <f t="shared" si="22"/>
        <v>47.03</v>
      </c>
      <c r="B350" s="1206">
        <v>347</v>
      </c>
      <c r="C350" s="2522">
        <f t="shared" si="23"/>
        <v>6.0562925044203197</v>
      </c>
      <c r="D350">
        <v>47.03</v>
      </c>
      <c r="G350">
        <f t="shared" si="24"/>
        <v>-10.579448085792</v>
      </c>
      <c r="H350">
        <f t="shared" si="25"/>
        <v>45.824624146849601</v>
      </c>
    </row>
    <row r="351" spans="1:14">
      <c r="A351">
        <f t="shared" si="22"/>
        <v>47.03</v>
      </c>
      <c r="B351" s="1206">
        <v>348</v>
      </c>
      <c r="C351" s="2522">
        <f t="shared" si="23"/>
        <v>6.0737457969402699</v>
      </c>
      <c r="D351">
        <v>47.03</v>
      </c>
      <c r="G351">
        <f t="shared" si="24"/>
        <v>-9.7780868191592507</v>
      </c>
      <c r="H351">
        <f t="shared" si="25"/>
        <v>46.002281662510903</v>
      </c>
    </row>
    <row r="352" spans="1:14">
      <c r="A352">
        <f t="shared" si="22"/>
        <v>47.03</v>
      </c>
      <c r="B352" s="1206">
        <v>349</v>
      </c>
      <c r="C352" s="2522">
        <f t="shared" si="23"/>
        <v>6.0911990894602104</v>
      </c>
      <c r="D352">
        <v>47.03</v>
      </c>
      <c r="G352">
        <f t="shared" si="24"/>
        <v>-8.9737470525589007</v>
      </c>
      <c r="H352">
        <f t="shared" si="25"/>
        <v>46.165926437543597</v>
      </c>
    </row>
    <row r="353" spans="1:8">
      <c r="A353">
        <f t="shared" si="22"/>
        <v>47.03</v>
      </c>
      <c r="B353" s="1206">
        <v>350</v>
      </c>
      <c r="C353" s="2522">
        <f t="shared" si="23"/>
        <v>6.1086523819801499</v>
      </c>
      <c r="D353">
        <v>47.03</v>
      </c>
      <c r="G353">
        <f t="shared" si="24"/>
        <v>-8.1666737956757807</v>
      </c>
      <c r="H353">
        <f t="shared" si="25"/>
        <v>46.315508624164103</v>
      </c>
    </row>
    <row r="354" spans="1:8">
      <c r="A354">
        <f t="shared" si="22"/>
        <v>47.03</v>
      </c>
      <c r="B354" s="1206">
        <v>351</v>
      </c>
      <c r="C354" s="2522">
        <f t="shared" si="23"/>
        <v>6.1261056745001001</v>
      </c>
      <c r="D354">
        <v>47.03</v>
      </c>
      <c r="G354">
        <f t="shared" si="24"/>
        <v>-7.3571128908420702</v>
      </c>
      <c r="H354">
        <f t="shared" si="25"/>
        <v>46.450982658189297</v>
      </c>
    </row>
    <row r="355" spans="1:8">
      <c r="A355">
        <f t="shared" si="22"/>
        <v>47.03</v>
      </c>
      <c r="B355" s="1206">
        <v>352</v>
      </c>
      <c r="C355" s="2522">
        <f t="shared" si="23"/>
        <v>6.1435589670200397</v>
      </c>
      <c r="D355">
        <v>47.03</v>
      </c>
      <c r="G355">
        <f t="shared" si="24"/>
        <v>-6.5453109381518999</v>
      </c>
      <c r="H355">
        <f t="shared" si="25"/>
        <v>46.572307272915999</v>
      </c>
    </row>
    <row r="356" spans="1:8">
      <c r="A356">
        <f t="shared" si="22"/>
        <v>47.03</v>
      </c>
      <c r="B356" s="1206">
        <v>353</v>
      </c>
      <c r="C356" s="2522">
        <f t="shared" si="23"/>
        <v>6.1610122595399801</v>
      </c>
      <c r="D356">
        <v>47.03</v>
      </c>
      <c r="G356">
        <f t="shared" si="24"/>
        <v>-5.7315152203441198</v>
      </c>
      <c r="H356">
        <f t="shared" si="25"/>
        <v>46.679445511691398</v>
      </c>
    </row>
    <row r="357" spans="1:8">
      <c r="A357">
        <f t="shared" si="22"/>
        <v>47.03</v>
      </c>
      <c r="B357" s="1206">
        <v>354</v>
      </c>
      <c r="C357" s="2522">
        <f t="shared" si="23"/>
        <v>6.1784655520599303</v>
      </c>
      <c r="D357">
        <v>47.03</v>
      </c>
      <c r="G357">
        <f t="shared" si="24"/>
        <v>-4.9159736274777401</v>
      </c>
      <c r="H357">
        <f t="shared" si="25"/>
        <v>46.772364739169902</v>
      </c>
    </row>
    <row r="358" spans="1:8">
      <c r="A358">
        <f t="shared" si="22"/>
        <v>47.03</v>
      </c>
      <c r="B358" s="1206">
        <v>355</v>
      </c>
      <c r="C358" s="2522">
        <f t="shared" si="23"/>
        <v>6.1959188445798699</v>
      </c>
      <c r="D358">
        <v>47.03</v>
      </c>
      <c r="G358">
        <f t="shared" si="24"/>
        <v>-4.0989345814223697</v>
      </c>
      <c r="H358">
        <f t="shared" si="25"/>
        <v>46.851036651254802</v>
      </c>
    </row>
    <row r="359" spans="1:8">
      <c r="A359">
        <f t="shared" si="22"/>
        <v>47.03</v>
      </c>
      <c r="B359" s="1206">
        <v>356</v>
      </c>
      <c r="C359" s="2522">
        <f t="shared" si="23"/>
        <v>6.2133721370998103</v>
      </c>
      <c r="D359">
        <v>47.03</v>
      </c>
      <c r="G359">
        <f t="shared" si="24"/>
        <v>-3.2806469601861901</v>
      </c>
      <c r="H359">
        <f t="shared" si="25"/>
        <v>46.915437283719498</v>
      </c>
    </row>
    <row r="360" spans="1:8">
      <c r="A360">
        <f t="shared" si="22"/>
        <v>47.03</v>
      </c>
      <c r="B360" s="1206">
        <v>357</v>
      </c>
      <c r="C360" s="2522">
        <f t="shared" si="23"/>
        <v>6.2308254296197596</v>
      </c>
      <c r="D360">
        <v>47.03</v>
      </c>
      <c r="G360">
        <f t="shared" si="24"/>
        <v>-2.4613600221056702</v>
      </c>
      <c r="H360">
        <f t="shared" si="25"/>
        <v>46.965547019507603</v>
      </c>
    </row>
    <row r="361" spans="1:8">
      <c r="A361">
        <f t="shared" si="22"/>
        <v>47.03</v>
      </c>
      <c r="B361" s="1206">
        <v>358</v>
      </c>
      <c r="C361" s="2522">
        <f t="shared" si="23"/>
        <v>6.2482787221397</v>
      </c>
      <c r="D361">
        <v>47.03</v>
      </c>
      <c r="G361">
        <f t="shared" si="24"/>
        <v>-1.6413233299186101</v>
      </c>
      <c r="H361">
        <f t="shared" si="25"/>
        <v>47.0013505947081</v>
      </c>
    </row>
    <row r="362" spans="1:8">
      <c r="A362">
        <f t="shared" si="22"/>
        <v>47.03</v>
      </c>
      <c r="B362" s="1206">
        <v>359</v>
      </c>
      <c r="C362" s="2522">
        <f t="shared" si="23"/>
        <v>6.2657320146596396</v>
      </c>
      <c r="D362">
        <v>47.03</v>
      </c>
      <c r="G362">
        <f t="shared" si="24"/>
        <v>-0.82078667474548805</v>
      </c>
      <c r="H362">
        <f t="shared" si="25"/>
        <v>47.022837103205099</v>
      </c>
    </row>
    <row r="363" spans="1:8">
      <c r="A363">
        <f t="shared" si="22"/>
        <v>47.03</v>
      </c>
      <c r="B363" s="1206">
        <v>360</v>
      </c>
      <c r="C363" s="2522">
        <f t="shared" si="23"/>
        <v>6.2831853071795898</v>
      </c>
      <c r="D363">
        <v>47.03</v>
      </c>
      <c r="G363">
        <v>0</v>
      </c>
      <c r="H363">
        <f t="shared" si="25"/>
        <v>47.03</v>
      </c>
    </row>
  </sheetData>
  <mergeCells count="10">
    <mergeCell ref="L163:M163"/>
    <mergeCell ref="L214:M214"/>
    <mergeCell ref="L264:M264"/>
    <mergeCell ref="L312:M312"/>
    <mergeCell ref="L342:M342"/>
    <mergeCell ref="D1:M1"/>
    <mergeCell ref="J5:N6"/>
    <mergeCell ref="L28:M28"/>
    <mergeCell ref="L77:M77"/>
    <mergeCell ref="L117:M117"/>
  </mergeCells>
  <phoneticPr fontId="378" type="noConversion"/>
  <hyperlinks>
    <hyperlink ref="L32" location="总目录!A1" display="返回目录"/>
    <hyperlink ref="L60" location="总目录!A1" display="返回目录"/>
    <hyperlink ref="L89" location="总目录!A1" display="返回目录"/>
    <hyperlink ref="L116" location="总目录!A1" display="返回目录"/>
    <hyperlink ref="L142" location="总目录!A1" display="返回目录"/>
    <hyperlink ref="L170" location="总目录!A1" display="返回目录"/>
    <hyperlink ref="L201" location="总目录!A1" display="返回目录"/>
    <hyperlink ref="L235" location="总目录!A1" display="返回目录"/>
    <hyperlink ref="L268" location="总目录!A1" display="返回目录"/>
    <hyperlink ref="L296" location="总目录!A1" display="返回目录"/>
    <hyperlink ref="L344" location="总目录!A1" display="返回目录"/>
  </hyperlinks>
  <pageMargins left="0.75" right="0.75" top="1" bottom="1" header="0.5" footer="0.5"/>
  <pageSetup paperSize="9" orientation="portrait"/>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43"/>
  <sheetViews>
    <sheetView topLeftCell="A16" zoomScale="85" zoomScaleNormal="85" workbookViewId="0">
      <selection activeCell="J24" sqref="J24"/>
    </sheetView>
  </sheetViews>
  <sheetFormatPr defaultColWidth="8.75" defaultRowHeight="16.5"/>
  <cols>
    <col min="1" max="1" width="25.625" style="67" customWidth="1"/>
    <col min="2" max="3" width="9.5" style="67" customWidth="1"/>
    <col min="4" max="4" width="25.625" style="67" customWidth="1"/>
    <col min="5" max="5" width="10.25" style="67" customWidth="1"/>
    <col min="6" max="6" width="25.625" customWidth="1"/>
    <col min="7" max="7" width="10.75" customWidth="1"/>
    <col min="8" max="8" width="22.75" customWidth="1"/>
    <col min="9" max="9" width="13.75" customWidth="1"/>
    <col min="10" max="10" width="21" customWidth="1"/>
    <col min="11" max="11" width="18.75" customWidth="1"/>
  </cols>
  <sheetData>
    <row r="1" spans="1:14" ht="38.25" customHeight="1">
      <c r="A1" s="3375" t="s">
        <v>6164</v>
      </c>
      <c r="B1" s="3375"/>
      <c r="C1" s="3375"/>
      <c r="D1" s="3375"/>
      <c r="E1" s="3375"/>
      <c r="F1" s="3375"/>
      <c r="G1" s="3375"/>
      <c r="H1" s="3375"/>
      <c r="I1" s="3375"/>
      <c r="L1" s="221"/>
      <c r="M1" s="221"/>
    </row>
    <row r="2" spans="1:14" ht="25.5" customHeight="1">
      <c r="A2" s="2504" t="s">
        <v>6165</v>
      </c>
      <c r="B2" s="2505" t="s">
        <v>6166</v>
      </c>
      <c r="C2" s="2505"/>
      <c r="D2" s="2504" t="s">
        <v>6167</v>
      </c>
      <c r="E2" s="2505" t="s">
        <v>6166</v>
      </c>
      <c r="F2" s="2504" t="s">
        <v>6168</v>
      </c>
      <c r="G2" s="2505" t="s">
        <v>6166</v>
      </c>
      <c r="H2" s="2505" t="s">
        <v>6169</v>
      </c>
      <c r="I2" s="2505" t="s">
        <v>6166</v>
      </c>
      <c r="J2" s="3376" t="s">
        <v>6170</v>
      </c>
      <c r="K2" s="3376"/>
    </row>
    <row r="3" spans="1:14">
      <c r="A3" s="2506" t="s">
        <v>6171</v>
      </c>
      <c r="B3" s="2507" t="s">
        <v>6172</v>
      </c>
      <c r="C3" s="2507"/>
      <c r="D3" s="2508" t="s">
        <v>6173</v>
      </c>
      <c r="E3" s="2507">
        <v>8.9</v>
      </c>
      <c r="F3" s="2509" t="s">
        <v>6174</v>
      </c>
      <c r="G3" s="2507">
        <v>2.7</v>
      </c>
      <c r="H3" s="2509" t="s">
        <v>6175</v>
      </c>
      <c r="I3" s="2507">
        <v>1.74</v>
      </c>
      <c r="J3" s="2517" t="s">
        <v>6176</v>
      </c>
      <c r="K3" s="2518" t="s">
        <v>6177</v>
      </c>
    </row>
    <row r="4" spans="1:14">
      <c r="A4" s="2506" t="s">
        <v>6178</v>
      </c>
      <c r="B4" s="2507" t="s">
        <v>6179</v>
      </c>
      <c r="C4" s="2507"/>
      <c r="D4" s="2508" t="s">
        <v>6180</v>
      </c>
      <c r="E4" s="2507">
        <v>8.5</v>
      </c>
      <c r="F4" s="2509" t="s">
        <v>6181</v>
      </c>
      <c r="G4" s="2507">
        <v>2.68</v>
      </c>
      <c r="H4" s="2509" t="s">
        <v>6182</v>
      </c>
      <c r="I4" s="2507">
        <v>1.76</v>
      </c>
      <c r="J4" s="2519" t="s">
        <v>6183</v>
      </c>
      <c r="K4" s="2520">
        <v>1.35</v>
      </c>
      <c r="L4" s="3176"/>
      <c r="M4" s="3161"/>
      <c r="N4" s="52"/>
    </row>
    <row r="5" spans="1:14">
      <c r="A5" s="2506" t="s">
        <v>6184</v>
      </c>
      <c r="B5" s="2507" t="s">
        <v>6185</v>
      </c>
      <c r="C5" s="2507"/>
      <c r="D5" s="2508" t="s">
        <v>6186</v>
      </c>
      <c r="E5" s="2507">
        <v>8.6999999999999993</v>
      </c>
      <c r="F5" s="2508" t="s">
        <v>6187</v>
      </c>
      <c r="G5" s="2507">
        <v>2.67</v>
      </c>
      <c r="H5" s="2508" t="s">
        <v>6188</v>
      </c>
      <c r="I5" s="2507">
        <v>1.78</v>
      </c>
      <c r="J5" s="2519" t="s">
        <v>6189</v>
      </c>
      <c r="K5" s="2520">
        <v>2.15</v>
      </c>
      <c r="L5" s="52"/>
      <c r="M5" s="52"/>
      <c r="N5" s="52"/>
    </row>
    <row r="6" spans="1:14" ht="24">
      <c r="A6" s="2506" t="s">
        <v>6190</v>
      </c>
      <c r="B6" s="2507">
        <v>7.8</v>
      </c>
      <c r="C6" s="2507"/>
      <c r="D6" s="2508" t="s">
        <v>6191</v>
      </c>
      <c r="E6" s="2507">
        <v>8.8000000000000007</v>
      </c>
      <c r="F6" s="2508" t="s">
        <v>6192</v>
      </c>
      <c r="G6" s="2507">
        <v>2.65</v>
      </c>
      <c r="H6" s="2508" t="s">
        <v>6193</v>
      </c>
      <c r="I6" s="2507">
        <v>1.79</v>
      </c>
      <c r="J6" s="2519" t="s">
        <v>6194</v>
      </c>
      <c r="K6" s="2520">
        <v>1.3</v>
      </c>
      <c r="L6" s="52"/>
      <c r="M6" s="52"/>
      <c r="N6" s="52"/>
    </row>
    <row r="7" spans="1:14">
      <c r="A7" s="2506" t="s">
        <v>6195</v>
      </c>
      <c r="B7" s="2507">
        <v>7.87</v>
      </c>
      <c r="C7" s="2507"/>
      <c r="D7" s="2508" t="s">
        <v>6196</v>
      </c>
      <c r="E7" s="2507">
        <v>8.5</v>
      </c>
      <c r="F7" s="2508" t="s">
        <v>6197</v>
      </c>
      <c r="G7" s="2507">
        <v>2.64</v>
      </c>
      <c r="H7" s="2508" t="s">
        <v>6198</v>
      </c>
      <c r="I7" s="2507">
        <v>1.8</v>
      </c>
      <c r="J7" s="2519" t="s">
        <v>6199</v>
      </c>
      <c r="K7" s="2520">
        <v>1.425</v>
      </c>
      <c r="L7" s="52"/>
      <c r="M7" s="52"/>
      <c r="N7" s="52"/>
    </row>
    <row r="8" spans="1:14">
      <c r="A8" s="2506" t="s">
        <v>6200</v>
      </c>
      <c r="B8" s="2507">
        <v>7.85</v>
      </c>
      <c r="C8" s="2507"/>
      <c r="D8" s="2508" t="s">
        <v>6201</v>
      </c>
      <c r="E8" s="2507">
        <v>8.6999999999999993</v>
      </c>
      <c r="F8" s="2508" t="s">
        <v>6202</v>
      </c>
      <c r="G8" s="2507">
        <v>2.73</v>
      </c>
      <c r="H8" s="2509" t="s">
        <v>6203</v>
      </c>
      <c r="I8" s="2507">
        <v>1.8</v>
      </c>
      <c r="J8" s="2519" t="s">
        <v>6204</v>
      </c>
      <c r="K8" s="2520">
        <v>1.45</v>
      </c>
    </row>
    <row r="9" spans="1:14">
      <c r="A9" s="2506" t="s">
        <v>6205</v>
      </c>
      <c r="B9" s="2507">
        <v>7.85</v>
      </c>
      <c r="C9" s="2507"/>
      <c r="D9" s="2508" t="s">
        <v>6206</v>
      </c>
      <c r="E9" s="2507">
        <v>8.8000000000000007</v>
      </c>
      <c r="F9" s="2510" t="s">
        <v>6207</v>
      </c>
      <c r="G9" s="2507">
        <v>2.76</v>
      </c>
      <c r="H9" s="2510" t="s">
        <v>6208</v>
      </c>
      <c r="I9" s="2507">
        <v>4.5</v>
      </c>
      <c r="J9" s="2519" t="s">
        <v>6209</v>
      </c>
      <c r="K9" s="2520">
        <v>1.8</v>
      </c>
    </row>
    <row r="10" spans="1:14">
      <c r="A10" s="2506" t="s">
        <v>6210</v>
      </c>
      <c r="B10" s="2507">
        <v>7.85</v>
      </c>
      <c r="C10" s="2507"/>
      <c r="D10" s="2508" t="s">
        <v>6211</v>
      </c>
      <c r="E10" s="2507">
        <v>8.5399999999999991</v>
      </c>
      <c r="F10" s="2508" t="s">
        <v>6212</v>
      </c>
      <c r="G10" s="2507">
        <v>2.73</v>
      </c>
      <c r="H10" s="2509" t="s">
        <v>6213</v>
      </c>
      <c r="I10" s="2507">
        <v>4.45</v>
      </c>
      <c r="J10" s="2519" t="s">
        <v>6214</v>
      </c>
      <c r="K10" s="2520">
        <v>1.1299999999999999</v>
      </c>
    </row>
    <row r="11" spans="1:14">
      <c r="A11" s="2506" t="s">
        <v>6215</v>
      </c>
      <c r="B11" s="2507">
        <v>7.85</v>
      </c>
      <c r="C11" s="2507"/>
      <c r="D11" s="2508" t="s">
        <v>6216</v>
      </c>
      <c r="E11" s="2507">
        <v>8.5</v>
      </c>
      <c r="F11" s="3381" t="s">
        <v>6217</v>
      </c>
      <c r="G11" s="3379">
        <v>2.8</v>
      </c>
      <c r="H11" s="2508" t="s">
        <v>6218</v>
      </c>
      <c r="I11" s="2507">
        <v>4.4000000000000004</v>
      </c>
      <c r="J11" s="2519" t="s">
        <v>6219</v>
      </c>
      <c r="K11" s="2520">
        <v>0.93</v>
      </c>
    </row>
    <row r="12" spans="1:14">
      <c r="A12" s="2506" t="s">
        <v>6220</v>
      </c>
      <c r="B12" s="2507">
        <v>7.81</v>
      </c>
      <c r="C12" s="2507"/>
      <c r="D12" s="2508" t="s">
        <v>6221</v>
      </c>
      <c r="E12" s="2507">
        <v>8.6</v>
      </c>
      <c r="F12" s="3381"/>
      <c r="G12" s="3379"/>
      <c r="H12" s="2508" t="s">
        <v>6222</v>
      </c>
      <c r="I12" s="2507">
        <v>4.46</v>
      </c>
      <c r="J12" s="2519" t="s">
        <v>6223</v>
      </c>
      <c r="K12" s="2520">
        <v>1.41</v>
      </c>
    </row>
    <row r="13" spans="1:14">
      <c r="A13" s="2512" t="s">
        <v>6224</v>
      </c>
      <c r="B13" s="2507">
        <v>7.74</v>
      </c>
      <c r="C13" s="2507"/>
      <c r="D13" s="3378" t="s">
        <v>6225</v>
      </c>
      <c r="E13" s="3379">
        <v>8.5</v>
      </c>
      <c r="F13" s="2508" t="s">
        <v>6226</v>
      </c>
      <c r="G13" s="2507">
        <v>2.78</v>
      </c>
      <c r="H13" s="2508" t="s">
        <v>6227</v>
      </c>
      <c r="I13" s="2507">
        <v>4.5599999999999996</v>
      </c>
      <c r="J13" s="2519" t="s">
        <v>6228</v>
      </c>
      <c r="K13" s="2520">
        <v>1.44</v>
      </c>
    </row>
    <row r="14" spans="1:14">
      <c r="A14" s="2512" t="s">
        <v>6229</v>
      </c>
      <c r="B14" s="2507">
        <v>7.82</v>
      </c>
      <c r="C14" s="2507"/>
      <c r="D14" s="3378"/>
      <c r="E14" s="3379"/>
      <c r="F14" s="2508" t="s">
        <v>6230</v>
      </c>
      <c r="G14" s="2507">
        <v>2.84</v>
      </c>
      <c r="H14" s="2508" t="s">
        <v>6231</v>
      </c>
      <c r="I14" s="2507">
        <v>4.8899999999999997</v>
      </c>
      <c r="J14" s="2519" t="s">
        <v>6232</v>
      </c>
      <c r="K14" s="2520"/>
    </row>
    <row r="15" spans="1:14">
      <c r="A15" s="2512" t="s">
        <v>6233</v>
      </c>
      <c r="B15" s="2507">
        <v>7.8</v>
      </c>
      <c r="C15" s="2507"/>
      <c r="D15" s="2509" t="s">
        <v>6234</v>
      </c>
      <c r="E15" s="2507">
        <v>8.5</v>
      </c>
      <c r="F15" s="2509" t="s">
        <v>6235</v>
      </c>
      <c r="G15" s="2507">
        <v>2.7</v>
      </c>
      <c r="H15" s="2508" t="s">
        <v>6236</v>
      </c>
      <c r="I15" s="2507">
        <v>4.55</v>
      </c>
      <c r="J15" s="2519" t="s">
        <v>6237</v>
      </c>
      <c r="K15" s="2520">
        <v>1.8</v>
      </c>
    </row>
    <row r="16" spans="1:14" ht="15" customHeight="1">
      <c r="A16" s="3377" t="s">
        <v>6238</v>
      </c>
      <c r="B16" s="3379">
        <v>7.85</v>
      </c>
      <c r="C16" s="2511"/>
      <c r="D16" s="2509" t="s">
        <v>6239</v>
      </c>
      <c r="E16" s="2507">
        <v>8.5</v>
      </c>
      <c r="F16" s="2508" t="s">
        <v>6240</v>
      </c>
      <c r="G16" s="2507">
        <v>2.65</v>
      </c>
      <c r="H16" s="2508" t="s">
        <v>6241</v>
      </c>
      <c r="I16" s="2507">
        <v>4.43</v>
      </c>
      <c r="J16" s="2519" t="s">
        <v>6242</v>
      </c>
      <c r="K16" s="2520">
        <v>1.2</v>
      </c>
    </row>
    <row r="17" spans="1:11" ht="15" customHeight="1">
      <c r="A17" s="3377"/>
      <c r="B17" s="3379"/>
      <c r="C17" s="2511"/>
      <c r="D17" s="2508" t="s">
        <v>6243</v>
      </c>
      <c r="E17" s="2507" t="s">
        <v>6244</v>
      </c>
      <c r="F17" s="2508" t="s">
        <v>6245</v>
      </c>
      <c r="G17" s="2507">
        <v>2.77</v>
      </c>
      <c r="H17" s="2508" t="s">
        <v>6246</v>
      </c>
      <c r="I17" s="2507">
        <v>4.4000000000000004</v>
      </c>
      <c r="J17" s="2519" t="s">
        <v>6247</v>
      </c>
      <c r="K17" s="2520">
        <v>1.4</v>
      </c>
    </row>
    <row r="18" spans="1:11" ht="15" customHeight="1">
      <c r="A18" s="3377"/>
      <c r="B18" s="3379"/>
      <c r="C18" s="2511"/>
      <c r="D18" s="2508" t="s">
        <v>6248</v>
      </c>
      <c r="E18" s="2507">
        <v>8.69</v>
      </c>
      <c r="F18" s="2508" t="s">
        <v>6249</v>
      </c>
      <c r="G18" s="2507">
        <v>2.8</v>
      </c>
      <c r="H18" s="2508" t="s">
        <v>6250</v>
      </c>
      <c r="I18" s="2507">
        <v>4.4800000000000004</v>
      </c>
      <c r="J18" s="2519" t="s">
        <v>6251</v>
      </c>
      <c r="K18" s="2520">
        <v>0.38</v>
      </c>
    </row>
    <row r="19" spans="1:11">
      <c r="A19" s="2506" t="s">
        <v>6252</v>
      </c>
      <c r="B19" s="2507">
        <v>7.8</v>
      </c>
      <c r="C19" s="2507"/>
      <c r="D19" s="2508" t="s">
        <v>6253</v>
      </c>
      <c r="E19" s="2507">
        <v>8.82</v>
      </c>
      <c r="F19" s="2509" t="s">
        <v>227</v>
      </c>
      <c r="G19" s="2507">
        <v>2.85</v>
      </c>
      <c r="H19" s="2508" t="s">
        <v>6254</v>
      </c>
      <c r="I19" s="2507">
        <v>4.5199999999999996</v>
      </c>
      <c r="J19" s="2519" t="s">
        <v>6255</v>
      </c>
      <c r="K19" s="2520">
        <v>1.44</v>
      </c>
    </row>
    <row r="20" spans="1:11">
      <c r="A20" s="2506" t="s">
        <v>6256</v>
      </c>
      <c r="B20" s="2507">
        <v>7.65</v>
      </c>
      <c r="C20" s="2507"/>
      <c r="D20" s="3378" t="s">
        <v>6257</v>
      </c>
      <c r="E20" s="3379">
        <v>8.8000000000000007</v>
      </c>
      <c r="F20" s="2508" t="s">
        <v>6258</v>
      </c>
      <c r="G20" s="2507">
        <v>2.75</v>
      </c>
      <c r="H20" s="2508" t="s">
        <v>6259</v>
      </c>
      <c r="I20" s="2507">
        <v>4.53</v>
      </c>
      <c r="J20" s="2519" t="s">
        <v>1565</v>
      </c>
      <c r="K20" s="2520">
        <v>1.38</v>
      </c>
    </row>
    <row r="21" spans="1:11">
      <c r="A21" s="2506" t="s">
        <v>6260</v>
      </c>
      <c r="B21" s="2507" t="s">
        <v>6261</v>
      </c>
      <c r="C21" s="2507"/>
      <c r="D21" s="3378"/>
      <c r="E21" s="3379"/>
      <c r="F21" s="2513"/>
      <c r="G21" s="2514"/>
      <c r="H21" s="2509" t="s">
        <v>6262</v>
      </c>
      <c r="I21" s="2507">
        <v>8.85</v>
      </c>
      <c r="J21" s="2517" t="s">
        <v>6263</v>
      </c>
      <c r="K21" s="2518">
        <v>1.18</v>
      </c>
    </row>
    <row r="22" spans="1:11">
      <c r="A22" s="2506" t="s">
        <v>6264</v>
      </c>
      <c r="B22" s="2507">
        <v>8.6999999999999993</v>
      </c>
      <c r="C22" s="2507"/>
      <c r="D22" s="2508" t="s">
        <v>6265</v>
      </c>
      <c r="E22" s="2507">
        <v>8.9</v>
      </c>
      <c r="F22" s="2513"/>
      <c r="G22" s="2514"/>
      <c r="H22" s="2509" t="s">
        <v>6266</v>
      </c>
      <c r="I22" s="2507">
        <v>8.85</v>
      </c>
    </row>
    <row r="23" spans="1:11">
      <c r="A23" s="2506" t="s">
        <v>6267</v>
      </c>
      <c r="B23" s="2507">
        <v>7.82</v>
      </c>
      <c r="C23" s="2507"/>
      <c r="D23" s="2508" t="s">
        <v>6268</v>
      </c>
      <c r="E23" s="2507" t="s">
        <v>6269</v>
      </c>
      <c r="F23" s="2513"/>
      <c r="G23" s="2514"/>
      <c r="H23" s="2509" t="s">
        <v>6270</v>
      </c>
      <c r="I23" s="2507">
        <v>8.7200000000000006</v>
      </c>
    </row>
    <row r="24" spans="1:11">
      <c r="A24" s="2506" t="s">
        <v>6271</v>
      </c>
      <c r="B24" s="2507">
        <v>7.81</v>
      </c>
      <c r="C24" s="2507"/>
      <c r="D24" s="2508" t="s">
        <v>6272</v>
      </c>
      <c r="E24" s="2507">
        <v>8.1999999999999993</v>
      </c>
      <c r="F24" s="2513"/>
      <c r="G24" s="2514"/>
      <c r="H24" s="2510" t="s">
        <v>6273</v>
      </c>
      <c r="I24" s="2507">
        <v>7.15</v>
      </c>
      <c r="J24" s="3160" t="s">
        <v>12716</v>
      </c>
    </row>
    <row r="25" spans="1:11" ht="15" customHeight="1">
      <c r="A25" s="3377" t="s">
        <v>6274</v>
      </c>
      <c r="B25" s="3379">
        <v>7.75</v>
      </c>
      <c r="C25" s="2511"/>
      <c r="D25" s="2508" t="s">
        <v>6275</v>
      </c>
      <c r="E25" s="2507">
        <v>7.8</v>
      </c>
      <c r="F25" s="2513"/>
      <c r="G25" s="2514"/>
      <c r="H25" s="2509" t="s">
        <v>6276</v>
      </c>
      <c r="I25" s="2507">
        <v>6.86</v>
      </c>
    </row>
    <row r="26" spans="1:11">
      <c r="A26" s="3377"/>
      <c r="B26" s="3379"/>
      <c r="C26" s="2511"/>
      <c r="D26" s="2508" t="s">
        <v>6277</v>
      </c>
      <c r="E26" s="2507">
        <v>7.6</v>
      </c>
      <c r="F26" s="2513"/>
      <c r="G26" s="2514"/>
      <c r="H26" s="2508" t="s">
        <v>6278</v>
      </c>
      <c r="I26" s="2507">
        <v>6.9</v>
      </c>
    </row>
    <row r="27" spans="1:11">
      <c r="A27" s="3377"/>
      <c r="B27" s="3379"/>
      <c r="C27" s="2511"/>
      <c r="D27" s="2508" t="s">
        <v>6279</v>
      </c>
      <c r="E27" s="2507">
        <v>7.5</v>
      </c>
      <c r="F27" s="2513"/>
      <c r="G27" s="2514"/>
      <c r="H27" s="2508" t="s">
        <v>6280</v>
      </c>
      <c r="I27" s="2507">
        <v>6.75</v>
      </c>
    </row>
    <row r="28" spans="1:11">
      <c r="A28" s="3377"/>
      <c r="B28" s="3379"/>
      <c r="C28" s="2511"/>
      <c r="D28" s="2508" t="s">
        <v>6281</v>
      </c>
      <c r="E28" s="2507">
        <v>7.46</v>
      </c>
      <c r="F28" s="2513"/>
      <c r="G28" s="2514"/>
      <c r="H28" s="2509" t="s">
        <v>6282</v>
      </c>
      <c r="I28" s="2507">
        <v>11.37</v>
      </c>
    </row>
    <row r="29" spans="1:11">
      <c r="A29" s="2512" t="s">
        <v>6283</v>
      </c>
      <c r="B29" s="2507">
        <v>7.7</v>
      </c>
      <c r="C29" s="2507"/>
      <c r="D29" s="2509" t="s">
        <v>6284</v>
      </c>
      <c r="E29" s="2507">
        <v>8.3000000000000007</v>
      </c>
      <c r="F29" s="2513"/>
      <c r="G29" s="2514"/>
      <c r="H29" s="2509" t="s">
        <v>6285</v>
      </c>
      <c r="I29" s="2507">
        <v>11.33</v>
      </c>
    </row>
    <row r="30" spans="1:11" ht="15" customHeight="1">
      <c r="A30" s="3378" t="s">
        <v>6286</v>
      </c>
      <c r="B30" s="3379">
        <v>7.85</v>
      </c>
      <c r="C30" s="2511"/>
      <c r="D30" s="2508" t="s">
        <v>6287</v>
      </c>
      <c r="E30" s="2507">
        <v>8.8000000000000007</v>
      </c>
      <c r="F30" s="2513"/>
      <c r="G30" s="2514"/>
      <c r="H30" s="2513"/>
      <c r="I30" s="2514"/>
    </row>
    <row r="31" spans="1:11">
      <c r="A31" s="3378"/>
      <c r="B31" s="3379"/>
      <c r="C31" s="2511"/>
      <c r="D31" s="2508" t="s">
        <v>6288</v>
      </c>
      <c r="E31" s="2507">
        <v>8.4700000000000006</v>
      </c>
      <c r="F31" s="2513"/>
      <c r="G31" s="2514"/>
      <c r="H31" s="2513"/>
      <c r="I31" s="2514"/>
    </row>
    <row r="32" spans="1:11">
      <c r="A32" s="2508" t="s">
        <v>6289</v>
      </c>
      <c r="B32" s="2507">
        <v>7.52</v>
      </c>
      <c r="C32" s="2507"/>
      <c r="D32" s="2508" t="s">
        <v>6290</v>
      </c>
      <c r="E32" s="2507">
        <v>8.6</v>
      </c>
      <c r="F32" s="2513"/>
      <c r="G32" s="2514"/>
      <c r="H32" s="2513"/>
      <c r="I32" s="2514"/>
    </row>
    <row r="33" spans="1:13">
      <c r="A33" s="2508" t="s">
        <v>6291</v>
      </c>
      <c r="B33" s="2507">
        <v>7.9</v>
      </c>
      <c r="C33" s="2507"/>
      <c r="D33" s="2508" t="s">
        <v>6292</v>
      </c>
      <c r="E33" s="2507">
        <v>8.9</v>
      </c>
      <c r="F33" s="2513"/>
      <c r="G33" s="2514"/>
      <c r="H33" s="2513"/>
      <c r="I33" s="2514"/>
    </row>
    <row r="34" spans="1:13">
      <c r="A34" s="2508" t="s">
        <v>6293</v>
      </c>
      <c r="B34" s="2507">
        <v>8.5</v>
      </c>
      <c r="C34" s="2507"/>
      <c r="D34" s="2508" t="s">
        <v>6294</v>
      </c>
      <c r="E34" s="2507">
        <v>8.9</v>
      </c>
      <c r="F34" s="2513"/>
      <c r="G34" s="2514"/>
      <c r="H34" s="2513"/>
      <c r="I34" s="2514"/>
    </row>
    <row r="35" spans="1:13">
      <c r="A35" s="2508" t="s">
        <v>6295</v>
      </c>
      <c r="B35" s="2507">
        <v>8</v>
      </c>
      <c r="C35" s="2507"/>
      <c r="D35" s="2508" t="s">
        <v>6296</v>
      </c>
      <c r="E35" s="2507">
        <v>8.8000000000000007</v>
      </c>
      <c r="F35" s="2513"/>
      <c r="G35" s="2514"/>
      <c r="H35" s="2513"/>
      <c r="I35" s="2514"/>
    </row>
    <row r="36" spans="1:13">
      <c r="A36" s="2515"/>
      <c r="B36" s="2516"/>
      <c r="C36" s="2516"/>
      <c r="D36" s="2508" t="s">
        <v>6297</v>
      </c>
      <c r="E36" s="2507">
        <v>8.6</v>
      </c>
      <c r="F36" s="2513"/>
      <c r="G36" s="2514"/>
      <c r="H36" s="2513"/>
      <c r="I36" s="2514"/>
    </row>
    <row r="37" spans="1:13" ht="15" customHeight="1">
      <c r="A37" s="2515"/>
      <c r="B37" s="2516"/>
      <c r="C37" s="2516"/>
      <c r="D37" s="3380" t="s">
        <v>6298</v>
      </c>
      <c r="E37" s="3379" t="s">
        <v>6299</v>
      </c>
      <c r="F37" s="2513"/>
      <c r="G37" s="2514"/>
      <c r="H37" s="2513"/>
      <c r="I37" s="2514"/>
    </row>
    <row r="38" spans="1:13">
      <c r="A38" s="2515"/>
      <c r="B38" s="2516"/>
      <c r="C38" s="2516"/>
      <c r="D38" s="3380"/>
      <c r="E38" s="3379"/>
      <c r="F38" s="2513"/>
      <c r="G38" s="2514"/>
      <c r="H38" s="2513"/>
      <c r="I38" s="2514"/>
    </row>
    <row r="39" spans="1:13">
      <c r="A39" s="2515"/>
      <c r="B39" s="2516"/>
      <c r="C39" s="2516"/>
      <c r="D39" s="2508" t="s">
        <v>6300</v>
      </c>
      <c r="E39" s="2507">
        <v>8.4</v>
      </c>
      <c r="F39" s="2513"/>
      <c r="G39" s="2514"/>
      <c r="H39" s="2513"/>
      <c r="I39" s="2514"/>
    </row>
    <row r="40" spans="1:13">
      <c r="A40" s="2515"/>
      <c r="B40" s="2516"/>
      <c r="C40" s="2516"/>
      <c r="D40" s="2508" t="s">
        <v>6301</v>
      </c>
      <c r="E40" s="2507">
        <v>8.6</v>
      </c>
      <c r="F40" s="2513"/>
      <c r="G40" s="2514"/>
      <c r="H40" s="2513"/>
      <c r="I40" s="2514"/>
      <c r="L40" s="52"/>
      <c r="M40" s="52"/>
    </row>
    <row r="41" spans="1:13">
      <c r="A41" s="2515"/>
      <c r="B41" s="2516"/>
      <c r="C41" s="2516"/>
      <c r="D41" s="2508" t="s">
        <v>6302</v>
      </c>
      <c r="E41" s="2507">
        <v>8.6999999999999993</v>
      </c>
      <c r="F41" s="2513"/>
      <c r="G41" s="2514"/>
      <c r="H41" s="2513"/>
      <c r="I41" s="2514"/>
      <c r="L41" s="52"/>
      <c r="M41" s="52"/>
    </row>
    <row r="42" spans="1:13">
      <c r="A42" s="2515"/>
      <c r="B42" s="2516"/>
      <c r="C42" s="2516"/>
      <c r="D42" s="2508" t="s">
        <v>6303</v>
      </c>
      <c r="E42" s="2507">
        <v>8.5</v>
      </c>
      <c r="F42" s="2513"/>
      <c r="G42" s="2514"/>
      <c r="H42" s="2513"/>
      <c r="I42" s="2514"/>
      <c r="J42" s="3160" t="s">
        <v>12716</v>
      </c>
      <c r="L42" s="3161"/>
      <c r="M42" s="3161"/>
    </row>
    <row r="43" spans="1:13">
      <c r="L43" s="52"/>
      <c r="M43" s="52"/>
    </row>
  </sheetData>
  <mergeCells count="16">
    <mergeCell ref="D37:D38"/>
    <mergeCell ref="E13:E14"/>
    <mergeCell ref="E20:E21"/>
    <mergeCell ref="E37:E38"/>
    <mergeCell ref="F11:F12"/>
    <mergeCell ref="A1:I1"/>
    <mergeCell ref="J2:K2"/>
    <mergeCell ref="A16:A18"/>
    <mergeCell ref="A25:A28"/>
    <mergeCell ref="A30:A31"/>
    <mergeCell ref="B16:B18"/>
    <mergeCell ref="B25:B28"/>
    <mergeCell ref="B30:B31"/>
    <mergeCell ref="D13:D14"/>
    <mergeCell ref="D20:D21"/>
    <mergeCell ref="G11:G12"/>
  </mergeCells>
  <phoneticPr fontId="378" type="noConversion"/>
  <hyperlinks>
    <hyperlink ref="J24" location="总目录!A1" display="总目录!A1"/>
    <hyperlink ref="J42" location="总目录!A1" display="总目录!A1"/>
  </hyperlinks>
  <pageMargins left="0.45902777777777798" right="0.45902777777777798" top="0.13888888888888901" bottom="0.13888888888888901" header="0.12916666666666701" footer="0.13888888888888901"/>
  <pageSetup paperSize="9" scale="83" orientation="landscape" verticalDpi="300"/>
  <headerFooter scaleWithDoc="0"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zoomScale="85" zoomScaleNormal="85" workbookViewId="0">
      <selection activeCell="N10" sqref="N10"/>
    </sheetView>
  </sheetViews>
  <sheetFormatPr defaultColWidth="8" defaultRowHeight="15.75"/>
  <cols>
    <col min="1" max="11" width="8" style="2499"/>
    <col min="12" max="12" width="6.75" style="2499"/>
    <col min="13" max="16384" width="8" style="2499"/>
  </cols>
  <sheetData>
    <row r="1" spans="1:15" ht="45" customHeight="1">
      <c r="A1" s="3382" t="s">
        <v>69</v>
      </c>
      <c r="B1" s="3382"/>
      <c r="C1" s="3382"/>
      <c r="D1" s="3382"/>
      <c r="E1" s="3382"/>
      <c r="F1" s="3382"/>
      <c r="G1" s="3382"/>
      <c r="H1" s="3382"/>
      <c r="I1" s="3382"/>
      <c r="J1" s="3382"/>
      <c r="K1" s="3382"/>
      <c r="L1" s="3382"/>
    </row>
    <row r="2" spans="1:15">
      <c r="B2" s="2500" t="s">
        <v>6304</v>
      </c>
    </row>
    <row r="4" spans="1:15">
      <c r="B4" s="2499" t="s">
        <v>6305</v>
      </c>
      <c r="K4" s="2499" t="s">
        <v>6306</v>
      </c>
      <c r="L4" s="2501">
        <f>L13/1000*((L7+L9)*L5*L10+L7*L6*L11+(L8+L9)*L6*L12+1.1*L9*(L5+L6)*L10)</f>
        <v>2.8028</v>
      </c>
      <c r="N4" s="3374"/>
      <c r="O4" s="3374"/>
    </row>
    <row r="5" spans="1:15">
      <c r="B5" s="2499" t="s">
        <v>6307</v>
      </c>
      <c r="L5" s="2502">
        <v>5</v>
      </c>
    </row>
    <row r="6" spans="1:15">
      <c r="B6" s="2499" t="s">
        <v>6308</v>
      </c>
      <c r="L6" s="2502">
        <v>7</v>
      </c>
    </row>
    <row r="7" spans="1:15">
      <c r="B7" s="2499" t="s">
        <v>6309</v>
      </c>
      <c r="L7" s="2502">
        <v>26</v>
      </c>
    </row>
    <row r="8" spans="1:15">
      <c r="B8" s="2499" t="s">
        <v>6310</v>
      </c>
      <c r="L8" s="2502">
        <v>180</v>
      </c>
    </row>
    <row r="9" spans="1:15">
      <c r="B9" s="2499" t="s">
        <v>6311</v>
      </c>
      <c r="L9" s="2502">
        <v>2</v>
      </c>
    </row>
    <row r="10" spans="1:15">
      <c r="B10" s="2499" t="s">
        <v>6312</v>
      </c>
      <c r="L10" s="2502">
        <v>0.1</v>
      </c>
      <c r="N10" s="3166" t="s">
        <v>12704</v>
      </c>
    </row>
    <row r="11" spans="1:15">
      <c r="B11" s="2499" t="s">
        <v>6313</v>
      </c>
      <c r="L11" s="2502">
        <v>0.08</v>
      </c>
    </row>
    <row r="12" spans="1:15">
      <c r="B12" s="2499" t="s">
        <v>6314</v>
      </c>
      <c r="L12" s="2502">
        <v>0.2</v>
      </c>
    </row>
    <row r="13" spans="1:15">
      <c r="B13" s="2499" t="s">
        <v>6315</v>
      </c>
      <c r="L13" s="2502">
        <v>9.8000000000000007</v>
      </c>
    </row>
    <row r="14" spans="1:15">
      <c r="B14" s="2499" t="s">
        <v>6316</v>
      </c>
      <c r="K14" s="2499" t="s">
        <v>6306</v>
      </c>
      <c r="L14" s="2501">
        <f>L4*L15/60*1.1*1/L16</f>
        <v>1.02769333333333</v>
      </c>
    </row>
    <row r="15" spans="1:15">
      <c r="B15" s="2499" t="s">
        <v>6317</v>
      </c>
      <c r="L15" s="2502">
        <v>15</v>
      </c>
    </row>
    <row r="16" spans="1:15">
      <c r="B16" s="2499" t="s">
        <v>6318</v>
      </c>
      <c r="L16" s="2502">
        <v>0.75</v>
      </c>
    </row>
    <row r="18" spans="2:14">
      <c r="B18" s="2499" t="s">
        <v>6319</v>
      </c>
      <c r="K18" s="2499" t="s">
        <v>6306</v>
      </c>
      <c r="L18" s="2503">
        <f>L4*0.6</f>
        <v>1.6816800000000001</v>
      </c>
    </row>
    <row r="20" spans="2:14">
      <c r="B20" s="2499" t="s">
        <v>6320</v>
      </c>
    </row>
    <row r="21" spans="2:14">
      <c r="B21" s="2499" t="s">
        <v>6321</v>
      </c>
    </row>
    <row r="22" spans="2:14">
      <c r="B22" s="2499" t="s">
        <v>6322</v>
      </c>
    </row>
    <row r="31" spans="2:14">
      <c r="N31" s="3166" t="s">
        <v>12704</v>
      </c>
    </row>
    <row r="36" spans="14:15">
      <c r="N36" s="3161"/>
      <c r="O36" s="3161"/>
    </row>
  </sheetData>
  <mergeCells count="2">
    <mergeCell ref="A1:L1"/>
    <mergeCell ref="N4:O4"/>
  </mergeCells>
  <phoneticPr fontId="378" type="noConversion"/>
  <hyperlinks>
    <hyperlink ref="N10" location="总目录!A1" display="返回目录"/>
    <hyperlink ref="N31" location="总目录!A1" display="返回目录"/>
  </hyperlinks>
  <pageMargins left="0.69930555555555596" right="0.69930555555555596" top="0.75" bottom="0.75" header="0.3" footer="0.3"/>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9"/>
  <sheetViews>
    <sheetView showGridLines="0" zoomScale="85" zoomScaleNormal="85" workbookViewId="0">
      <selection activeCell="C29" sqref="C29"/>
    </sheetView>
  </sheetViews>
  <sheetFormatPr defaultColWidth="8.875" defaultRowHeight="15"/>
  <cols>
    <col min="1" max="1" width="1.25" style="2483" customWidth="1"/>
    <col min="2" max="2" width="8.875" style="2483"/>
    <col min="3" max="3" width="21.375" style="2483" customWidth="1"/>
    <col min="4" max="4" width="5.625" style="2484" customWidth="1"/>
    <col min="5" max="5" width="9.375" style="2485" customWidth="1"/>
    <col min="6" max="6" width="8.875" style="2483"/>
    <col min="7" max="7" width="0.875" style="2483" customWidth="1"/>
    <col min="8" max="16384" width="8.875" style="2483"/>
  </cols>
  <sheetData>
    <row r="1" spans="2:6" ht="8.25" customHeight="1"/>
    <row r="2" spans="2:6" ht="23.25">
      <c r="B2" s="3383" t="s">
        <v>6323</v>
      </c>
      <c r="C2" s="3384"/>
      <c r="D2" s="3384"/>
      <c r="E2" s="3384"/>
      <c r="F2" s="3384"/>
    </row>
    <row r="4" spans="2:6" ht="20.100000000000001" customHeight="1">
      <c r="B4" s="3385" t="s">
        <v>6324</v>
      </c>
      <c r="C4" s="2486" t="s">
        <v>6325</v>
      </c>
      <c r="D4" s="2487" t="s">
        <v>6326</v>
      </c>
      <c r="E4" s="2488">
        <v>20</v>
      </c>
      <c r="F4" s="2489" t="s">
        <v>2044</v>
      </c>
    </row>
    <row r="5" spans="2:6" ht="20.100000000000001" customHeight="1">
      <c r="B5" s="3386"/>
      <c r="C5" s="2490" t="s">
        <v>6327</v>
      </c>
      <c r="D5" s="2487" t="s">
        <v>5928</v>
      </c>
      <c r="E5" s="2488">
        <v>2.5</v>
      </c>
      <c r="F5" s="2489"/>
    </row>
    <row r="6" spans="2:6" ht="20.100000000000001" customHeight="1">
      <c r="B6" s="3386"/>
      <c r="C6" s="2486" t="s">
        <v>6328</v>
      </c>
      <c r="D6" s="2487" t="s">
        <v>4554</v>
      </c>
      <c r="E6" s="2488">
        <v>0.16400000000000001</v>
      </c>
      <c r="F6" s="2489" t="s">
        <v>6088</v>
      </c>
    </row>
    <row r="7" spans="2:6" ht="20.100000000000001" customHeight="1">
      <c r="B7" s="3386"/>
      <c r="C7" s="2486" t="s">
        <v>6329</v>
      </c>
      <c r="D7" s="2491" t="s">
        <v>6330</v>
      </c>
      <c r="E7" s="2488">
        <v>0.85</v>
      </c>
      <c r="F7" s="2489"/>
    </row>
    <row r="8" spans="2:6" ht="20.100000000000001" customHeight="1">
      <c r="B8" s="3386"/>
      <c r="C8" s="2486" t="s">
        <v>6331</v>
      </c>
      <c r="D8" s="2491" t="s">
        <v>6332</v>
      </c>
      <c r="E8" s="2488">
        <v>0.9</v>
      </c>
      <c r="F8" s="2489"/>
    </row>
    <row r="9" spans="2:6" ht="20.100000000000001" customHeight="1">
      <c r="B9" s="3386"/>
      <c r="C9" s="2486" t="s">
        <v>6333</v>
      </c>
      <c r="D9" s="2487" t="s">
        <v>6334</v>
      </c>
      <c r="E9" s="2488">
        <v>22</v>
      </c>
      <c r="F9" s="2489"/>
    </row>
    <row r="10" spans="2:6" ht="20.100000000000001" customHeight="1">
      <c r="B10" s="3386"/>
      <c r="C10" s="2486" t="s">
        <v>6335</v>
      </c>
      <c r="D10" s="2487" t="s">
        <v>6336</v>
      </c>
      <c r="E10" s="2488">
        <v>23</v>
      </c>
      <c r="F10" s="2489"/>
    </row>
    <row r="11" spans="2:6" ht="20.100000000000001" customHeight="1">
      <c r="B11" s="3386"/>
      <c r="C11" s="2486" t="s">
        <v>6337</v>
      </c>
      <c r="D11" s="2487" t="s">
        <v>6338</v>
      </c>
      <c r="E11" s="2488">
        <v>1000</v>
      </c>
      <c r="F11" s="2489" t="s">
        <v>6339</v>
      </c>
    </row>
    <row r="12" spans="2:6" ht="20.100000000000001" customHeight="1">
      <c r="B12" s="3386"/>
      <c r="C12" s="2486" t="s">
        <v>6340</v>
      </c>
      <c r="D12" s="2487" t="s">
        <v>6341</v>
      </c>
      <c r="E12" s="2488">
        <v>200</v>
      </c>
      <c r="F12" s="2489" t="s">
        <v>6339</v>
      </c>
    </row>
    <row r="13" spans="2:6" ht="20.100000000000001" customHeight="1">
      <c r="B13" s="3386"/>
      <c r="C13" s="2486" t="s">
        <v>6342</v>
      </c>
      <c r="D13" s="2487" t="s">
        <v>6343</v>
      </c>
      <c r="E13" s="2492">
        <v>150</v>
      </c>
      <c r="F13" s="2489" t="s">
        <v>6339</v>
      </c>
    </row>
    <row r="14" spans="2:6" ht="20.100000000000001" customHeight="1">
      <c r="B14" s="3386"/>
      <c r="C14" s="2486" t="s">
        <v>6344</v>
      </c>
      <c r="D14" s="2487" t="s">
        <v>6345</v>
      </c>
      <c r="E14" s="2492">
        <v>0.2</v>
      </c>
      <c r="F14" s="2489" t="s">
        <v>6346</v>
      </c>
    </row>
    <row r="15" spans="2:6" ht="20.100000000000001" customHeight="1">
      <c r="B15" s="3387"/>
      <c r="C15" s="2486" t="s">
        <v>6347</v>
      </c>
      <c r="D15" s="2491" t="s">
        <v>6348</v>
      </c>
      <c r="E15" s="2492">
        <v>0.25</v>
      </c>
      <c r="F15" s="2489"/>
    </row>
    <row r="16" spans="2:6" s="2482" customFormat="1" ht="6" customHeight="1">
      <c r="B16" s="2493"/>
      <c r="C16" s="2493"/>
      <c r="D16" s="2494"/>
      <c r="E16" s="2495"/>
      <c r="F16" s="2493"/>
    </row>
    <row r="17" spans="2:8" ht="20.100000000000001" customHeight="1">
      <c r="B17" s="3385" t="s">
        <v>6349</v>
      </c>
      <c r="C17" s="2486" t="s">
        <v>6350</v>
      </c>
      <c r="D17" s="2487" t="s">
        <v>6351</v>
      </c>
      <c r="E17" s="2496">
        <f>E4/E5</f>
        <v>8</v>
      </c>
      <c r="F17" s="2489" t="s">
        <v>2044</v>
      </c>
    </row>
    <row r="18" spans="2:8" ht="20.100000000000001" customHeight="1">
      <c r="B18" s="3386"/>
      <c r="C18" s="2486" t="s">
        <v>6352</v>
      </c>
      <c r="D18" s="2487" t="s">
        <v>6353</v>
      </c>
      <c r="E18" s="2496">
        <f>E17/(E6*3.142)</f>
        <v>15.5252984738632</v>
      </c>
      <c r="F18" s="2489" t="s">
        <v>2016</v>
      </c>
    </row>
    <row r="19" spans="2:8" ht="20.100000000000001" customHeight="1">
      <c r="B19" s="3386"/>
      <c r="C19" s="2486" t="s">
        <v>6354</v>
      </c>
      <c r="D19" s="2487" t="s">
        <v>5899</v>
      </c>
      <c r="E19" s="2496">
        <f>E17/60/E14</f>
        <v>0.66666666666666696</v>
      </c>
      <c r="F19" s="2489" t="s">
        <v>6105</v>
      </c>
    </row>
    <row r="20" spans="2:8" ht="20.100000000000001" customHeight="1">
      <c r="B20" s="3386"/>
      <c r="C20" s="2486" t="s">
        <v>6355</v>
      </c>
      <c r="D20" s="2487" t="s">
        <v>6356</v>
      </c>
      <c r="E20" s="2496">
        <f>E18*3.142/60</f>
        <v>0.81300813008130102</v>
      </c>
      <c r="F20" s="2489" t="s">
        <v>6357</v>
      </c>
    </row>
    <row r="21" spans="2:8" ht="20.100000000000001" customHeight="1">
      <c r="B21" s="3386"/>
      <c r="C21" s="2486" t="s">
        <v>2014</v>
      </c>
      <c r="D21" s="2487" t="s">
        <v>6358</v>
      </c>
      <c r="E21" s="2497">
        <f>E18*E10/E9</f>
        <v>16.230993859038801</v>
      </c>
      <c r="F21" s="2489" t="s">
        <v>2016</v>
      </c>
    </row>
    <row r="22" spans="2:8" ht="20.100000000000001" customHeight="1">
      <c r="B22" s="3386"/>
      <c r="C22" s="2486" t="s">
        <v>6359</v>
      </c>
      <c r="D22" s="2487" t="s">
        <v>787</v>
      </c>
      <c r="E22" s="2496">
        <f>(E11*E19/5+E12*E19)*E6/2</f>
        <v>21.866666666666699</v>
      </c>
      <c r="F22" s="2489" t="s">
        <v>6360</v>
      </c>
      <c r="H22" s="1229"/>
    </row>
    <row r="23" spans="2:8" ht="20.100000000000001" customHeight="1">
      <c r="B23" s="3386"/>
      <c r="C23" s="2486" t="s">
        <v>6361</v>
      </c>
      <c r="D23" s="2487" t="s">
        <v>6362</v>
      </c>
      <c r="E23" s="2496">
        <f>0.5*E13*E20*(E6/2)^2</f>
        <v>0.41</v>
      </c>
      <c r="F23" s="2489" t="s">
        <v>6360</v>
      </c>
    </row>
    <row r="24" spans="2:8" ht="20.100000000000001" customHeight="1">
      <c r="B24" s="3386"/>
      <c r="C24" s="2490" t="s">
        <v>6363</v>
      </c>
      <c r="D24" s="2487" t="s">
        <v>6364</v>
      </c>
      <c r="E24" s="2496">
        <f>E15*(E11+E12)*10*E6/2</f>
        <v>246</v>
      </c>
      <c r="F24" s="2489" t="s">
        <v>6360</v>
      </c>
    </row>
    <row r="25" spans="2:8" ht="20.100000000000001" customHeight="1">
      <c r="B25" s="3386"/>
      <c r="C25" s="2486" t="s">
        <v>6365</v>
      </c>
      <c r="D25" s="2487" t="s">
        <v>6366</v>
      </c>
      <c r="E25" s="2496">
        <f>SUM(E22:E24)</f>
        <v>268.27666666666698</v>
      </c>
      <c r="F25" s="2489" t="s">
        <v>6360</v>
      </c>
    </row>
    <row r="26" spans="2:8" ht="20.100000000000001" customHeight="1">
      <c r="B26" s="3386"/>
      <c r="C26" s="2486" t="s">
        <v>6367</v>
      </c>
      <c r="D26" s="2487" t="s">
        <v>6368</v>
      </c>
      <c r="E26" s="2497">
        <f>E25*E9/(E10*E7*E8)</f>
        <v>335.441129108648</v>
      </c>
      <c r="F26" s="2489" t="s">
        <v>6360</v>
      </c>
    </row>
    <row r="27" spans="2:8" ht="20.100000000000001" customHeight="1">
      <c r="B27" s="3387"/>
      <c r="C27" s="2486" t="s">
        <v>6369</v>
      </c>
      <c r="D27" s="2487" t="s">
        <v>6370</v>
      </c>
      <c r="E27" s="2497">
        <f>E26*E21/9550</f>
        <v>0.57010920488287897</v>
      </c>
      <c r="F27" s="2489" t="s">
        <v>2003</v>
      </c>
    </row>
    <row r="28" spans="2:8" ht="20.100000000000001" customHeight="1">
      <c r="E28" s="2483"/>
      <c r="H28" s="2498"/>
    </row>
    <row r="29" spans="2:8">
      <c r="C29" s="3166" t="s">
        <v>12704</v>
      </c>
      <c r="E29" s="3368"/>
      <c r="F29" s="3368"/>
    </row>
  </sheetData>
  <mergeCells count="4">
    <mergeCell ref="B2:F2"/>
    <mergeCell ref="B4:B15"/>
    <mergeCell ref="B17:B27"/>
    <mergeCell ref="E29:F29"/>
  </mergeCells>
  <phoneticPr fontId="378" type="noConversion"/>
  <hyperlinks>
    <hyperlink ref="C29" location="总目录!A1" display="返回目录"/>
  </hyperlinks>
  <pageMargins left="0.75" right="0.75" top="1" bottom="1" header="0.5" footer="0.5"/>
  <pageSetup paperSize="9" scale="49" orientation="portrait"/>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workbookViewId="0">
      <selection activeCell="C20" sqref="C20"/>
    </sheetView>
  </sheetViews>
  <sheetFormatPr defaultColWidth="8.75" defaultRowHeight="16.5"/>
  <cols>
    <col min="1" max="1" width="14.125" customWidth="1"/>
    <col min="2" max="3" width="10.625" customWidth="1"/>
  </cols>
  <sheetData>
    <row r="1" spans="1:3" ht="8.25" customHeight="1"/>
    <row r="2" spans="1:3" ht="28.5" customHeight="1">
      <c r="A2" s="3388" t="s">
        <v>38</v>
      </c>
      <c r="B2" s="3388"/>
      <c r="C2" s="3388"/>
    </row>
    <row r="3" spans="1:3" ht="18.75" customHeight="1">
      <c r="A3" s="3391" t="s">
        <v>6371</v>
      </c>
      <c r="B3" s="3389" t="s">
        <v>6372</v>
      </c>
      <c r="C3" s="3390"/>
    </row>
    <row r="4" spans="1:3" ht="19.5" customHeight="1">
      <c r="A4" s="3392"/>
      <c r="B4" s="2471" t="s">
        <v>6373</v>
      </c>
      <c r="C4" s="2472" t="s">
        <v>6374</v>
      </c>
    </row>
    <row r="5" spans="1:3" ht="19.5" customHeight="1">
      <c r="A5" s="2473" t="s">
        <v>6375</v>
      </c>
      <c r="B5" s="2474">
        <v>2.65</v>
      </c>
      <c r="C5" s="2475">
        <v>2.6</v>
      </c>
    </row>
    <row r="6" spans="1:3" ht="19.5" customHeight="1">
      <c r="A6" s="2476" t="s">
        <v>6376</v>
      </c>
      <c r="B6" s="2477">
        <v>3.25</v>
      </c>
      <c r="C6" s="2478">
        <v>3.2</v>
      </c>
    </row>
    <row r="7" spans="1:3" ht="19.5" customHeight="1">
      <c r="A7" s="2476" t="s">
        <v>6377</v>
      </c>
      <c r="B7" s="2477">
        <v>3.75</v>
      </c>
      <c r="C7" s="2478">
        <v>3.7</v>
      </c>
    </row>
    <row r="8" spans="1:3" ht="19.5" customHeight="1">
      <c r="A8" s="2476" t="s">
        <v>6378</v>
      </c>
      <c r="B8" s="2477">
        <v>5.0999999999999996</v>
      </c>
      <c r="C8" s="2478">
        <v>5</v>
      </c>
    </row>
    <row r="9" spans="1:3" ht="19.5" customHeight="1">
      <c r="A9" s="2476" t="s">
        <v>6379</v>
      </c>
      <c r="B9" s="2477">
        <v>6.6</v>
      </c>
      <c r="C9" s="2478">
        <v>6.5</v>
      </c>
    </row>
    <row r="10" spans="1:3" ht="19.5" customHeight="1">
      <c r="A10" s="2476" t="s">
        <v>6380</v>
      </c>
      <c r="B10" s="2477">
        <v>8</v>
      </c>
      <c r="C10" s="2478">
        <v>7.9</v>
      </c>
    </row>
    <row r="11" spans="1:3" ht="19.5" customHeight="1">
      <c r="A11" s="2476" t="s">
        <v>6381</v>
      </c>
      <c r="B11" s="2477">
        <v>9.4</v>
      </c>
      <c r="C11" s="2478">
        <v>9.3000000000000007</v>
      </c>
    </row>
    <row r="12" spans="1:3" ht="19.5" customHeight="1">
      <c r="A12" s="2476" t="s">
        <v>6382</v>
      </c>
      <c r="B12" s="2477">
        <v>10.7</v>
      </c>
      <c r="C12" s="2478">
        <v>10.5</v>
      </c>
    </row>
    <row r="13" spans="1:3" ht="19.5" customHeight="1">
      <c r="A13" s="2476" t="s">
        <v>6383</v>
      </c>
      <c r="B13" s="2477">
        <v>12.3</v>
      </c>
      <c r="C13" s="2478">
        <v>12</v>
      </c>
    </row>
    <row r="14" spans="1:3" ht="19.5" customHeight="1">
      <c r="A14" s="2476" t="s">
        <v>6384</v>
      </c>
      <c r="B14" s="2477">
        <v>13.7</v>
      </c>
      <c r="C14" s="2478">
        <v>13.5</v>
      </c>
    </row>
    <row r="15" spans="1:3" ht="19.5" customHeight="1">
      <c r="A15" s="2476" t="s">
        <v>6385</v>
      </c>
      <c r="B15" s="2477">
        <v>16.7</v>
      </c>
      <c r="C15" s="2478">
        <v>16.5</v>
      </c>
    </row>
    <row r="16" spans="1:3" ht="19.5" customHeight="1">
      <c r="A16" s="2476" t="s">
        <v>6386</v>
      </c>
      <c r="B16" s="2477">
        <v>19.5</v>
      </c>
      <c r="C16" s="2478">
        <v>19.3</v>
      </c>
    </row>
    <row r="17" spans="1:3" ht="19.5" customHeight="1">
      <c r="A17" s="2476" t="s">
        <v>6387</v>
      </c>
      <c r="B17" s="2477">
        <v>22.4</v>
      </c>
      <c r="C17" s="2478">
        <v>22</v>
      </c>
    </row>
    <row r="18" spans="1:3" ht="19.5" customHeight="1">
      <c r="A18" s="2476" t="s">
        <v>6388</v>
      </c>
      <c r="B18" s="2477">
        <v>25</v>
      </c>
      <c r="C18" s="2478">
        <v>24.8</v>
      </c>
    </row>
    <row r="19" spans="1:3" ht="19.5" customHeight="1">
      <c r="A19" s="2479" t="s">
        <v>6389</v>
      </c>
      <c r="B19" s="2480">
        <v>28.3</v>
      </c>
      <c r="C19" s="2481">
        <v>28</v>
      </c>
    </row>
    <row r="20" spans="1:3" ht="14.25" customHeight="1">
      <c r="C20" s="3166" t="s">
        <v>12704</v>
      </c>
    </row>
  </sheetData>
  <mergeCells count="3">
    <mergeCell ref="A2:C2"/>
    <mergeCell ref="B3:C3"/>
    <mergeCell ref="A3:A4"/>
  </mergeCells>
  <phoneticPr fontId="378" type="noConversion"/>
  <hyperlinks>
    <hyperlink ref="C20" location="总目录!A1" display="返回目录"/>
  </hyperlinks>
  <pageMargins left="0.75" right="0.75" top="1" bottom="1" header="0.5" footer="0.5"/>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topLeftCell="A76" zoomScale="115" zoomScaleNormal="115" workbookViewId="0">
      <selection activeCell="K3" sqref="K3"/>
    </sheetView>
  </sheetViews>
  <sheetFormatPr defaultColWidth="8.75" defaultRowHeight="16.5"/>
  <cols>
    <col min="1" max="1" width="8.75" style="56"/>
    <col min="2" max="2" width="20.5" style="1229" customWidth="1"/>
    <col min="3" max="3" width="6.25" style="1229" customWidth="1"/>
    <col min="4" max="4" width="8.75" style="1229" customWidth="1"/>
    <col min="5" max="5" width="12.75" style="1229"/>
    <col min="6" max="7" width="8.75" style="1229"/>
    <col min="8" max="8" width="11.5" style="1229" customWidth="1"/>
    <col min="9" max="16384" width="8.75" style="1229"/>
  </cols>
  <sheetData>
    <row r="1" spans="1:18" ht="42" customHeight="1">
      <c r="A1" s="3393" t="s">
        <v>6390</v>
      </c>
      <c r="B1" s="3394"/>
      <c r="C1" s="3393"/>
      <c r="D1" s="3394"/>
      <c r="E1" s="3393"/>
      <c r="F1" s="3393"/>
      <c r="G1" s="3393"/>
      <c r="H1" s="3393"/>
      <c r="I1" s="3393"/>
      <c r="J1" s="3393"/>
      <c r="K1" s="3393"/>
      <c r="L1" s="3393"/>
      <c r="M1" s="3393"/>
      <c r="N1" s="3393"/>
    </row>
    <row r="2" spans="1:18" ht="34.9" customHeight="1">
      <c r="A2" s="2425"/>
      <c r="B2" s="2425" t="s">
        <v>6391</v>
      </c>
      <c r="C2" s="2425" t="s">
        <v>6392</v>
      </c>
      <c r="D2" s="2425" t="s">
        <v>6393</v>
      </c>
      <c r="E2" s="2425" t="s">
        <v>6394</v>
      </c>
      <c r="F2" s="2425"/>
      <c r="G2" s="2425"/>
      <c r="H2" s="2425"/>
      <c r="I2" s="2425"/>
      <c r="J2" s="2425"/>
      <c r="K2" s="2425"/>
      <c r="L2" s="2425"/>
      <c r="M2" s="2425"/>
      <c r="N2" s="2425"/>
    </row>
    <row r="3" spans="1:18" ht="19.5">
      <c r="A3" s="3399" t="s">
        <v>6395</v>
      </c>
      <c r="B3" s="2426" t="s">
        <v>6396</v>
      </c>
      <c r="C3" s="2427" t="s">
        <v>6392</v>
      </c>
      <c r="D3" s="2427" t="s">
        <v>6397</v>
      </c>
      <c r="E3" s="2428" t="s">
        <v>6394</v>
      </c>
      <c r="F3" s="3368" t="s">
        <v>12710</v>
      </c>
      <c r="G3" s="3368"/>
      <c r="H3" s="2429"/>
      <c r="I3" s="2429"/>
      <c r="J3" s="2429"/>
      <c r="K3" s="2429"/>
      <c r="L3" s="2429"/>
      <c r="M3" s="2429"/>
      <c r="N3" s="2429"/>
    </row>
    <row r="4" spans="1:18" ht="19.5">
      <c r="A4" s="3399"/>
      <c r="B4" s="2430" t="s">
        <v>6398</v>
      </c>
      <c r="C4" s="2431" t="s">
        <v>6088</v>
      </c>
      <c r="D4" s="2432">
        <v>50</v>
      </c>
      <c r="E4" s="2433" t="s">
        <v>6399</v>
      </c>
      <c r="F4" s="2434"/>
      <c r="G4" s="2435"/>
      <c r="H4" s="2435"/>
      <c r="I4" s="2435"/>
      <c r="J4" s="2435"/>
      <c r="K4" s="2429"/>
      <c r="L4" s="2429"/>
      <c r="M4" s="2429"/>
      <c r="N4" s="2429"/>
      <c r="O4" s="2429"/>
      <c r="P4" s="2429"/>
      <c r="Q4" s="2429"/>
      <c r="R4" s="2429"/>
    </row>
    <row r="5" spans="1:18" ht="19.149999999999999" customHeight="1">
      <c r="A5" s="3399"/>
      <c r="B5" s="2436" t="s">
        <v>6400</v>
      </c>
      <c r="C5" s="571"/>
      <c r="D5" s="2437">
        <v>3000</v>
      </c>
      <c r="E5" s="2438" t="s">
        <v>6401</v>
      </c>
    </row>
    <row r="6" spans="1:18" ht="19.149999999999999" customHeight="1">
      <c r="A6" s="3399"/>
      <c r="B6" s="2439" t="s">
        <v>6402</v>
      </c>
      <c r="C6" s="2440" t="s">
        <v>6403</v>
      </c>
      <c r="D6" s="2437">
        <v>1</v>
      </c>
      <c r="E6" s="2438" t="s">
        <v>6404</v>
      </c>
    </row>
    <row r="7" spans="1:18">
      <c r="A7" s="3399"/>
      <c r="B7" s="2436" t="s">
        <v>6405</v>
      </c>
      <c r="C7" s="571" t="s">
        <v>6406</v>
      </c>
      <c r="D7" s="2437">
        <v>0.72</v>
      </c>
      <c r="E7" s="2438" t="s">
        <v>6407</v>
      </c>
    </row>
    <row r="8" spans="1:18" ht="19.5">
      <c r="A8" s="3399"/>
      <c r="B8" s="2439" t="s">
        <v>6408</v>
      </c>
      <c r="C8" s="2440" t="s">
        <v>6409</v>
      </c>
      <c r="D8" s="2441">
        <v>1</v>
      </c>
      <c r="E8" s="2438" t="s">
        <v>6127</v>
      </c>
      <c r="H8" s="2442" t="s">
        <v>6410</v>
      </c>
      <c r="I8" s="2442" t="s">
        <v>6411</v>
      </c>
      <c r="J8" s="2442">
        <v>7890</v>
      </c>
      <c r="K8" s="2442" t="s">
        <v>6412</v>
      </c>
    </row>
    <row r="9" spans="1:18" ht="19.5">
      <c r="A9" s="3399"/>
      <c r="B9" s="2436" t="s">
        <v>6413</v>
      </c>
      <c r="C9" s="571" t="s">
        <v>6414</v>
      </c>
      <c r="D9" s="2437">
        <v>0.02</v>
      </c>
      <c r="E9" s="2438" t="s">
        <v>6407</v>
      </c>
      <c r="H9" s="2442" t="s">
        <v>6415</v>
      </c>
      <c r="I9" s="2442" t="s">
        <v>6416</v>
      </c>
      <c r="J9" s="2442">
        <v>2800</v>
      </c>
      <c r="K9" s="2442" t="s">
        <v>6412</v>
      </c>
    </row>
    <row r="10" spans="1:18">
      <c r="A10" s="3399"/>
      <c r="B10" s="2439" t="s">
        <v>6417</v>
      </c>
      <c r="C10" s="2440" t="s">
        <v>6418</v>
      </c>
      <c r="D10" s="2443">
        <f>(D8*60*D6)/D5</f>
        <v>0.02</v>
      </c>
      <c r="E10" s="2438" t="s">
        <v>6407</v>
      </c>
      <c r="H10" s="571" t="s">
        <v>6419</v>
      </c>
      <c r="I10" s="571" t="s">
        <v>6420</v>
      </c>
      <c r="J10" s="571">
        <v>8500</v>
      </c>
      <c r="K10" s="571" t="s">
        <v>6412</v>
      </c>
    </row>
    <row r="11" spans="1:18">
      <c r="A11" s="3399"/>
      <c r="B11" s="2436" t="s">
        <v>6421</v>
      </c>
      <c r="C11" s="571" t="s">
        <v>6422</v>
      </c>
      <c r="D11" s="571">
        <v>0.9</v>
      </c>
      <c r="E11" s="2438"/>
    </row>
    <row r="12" spans="1:18">
      <c r="A12" s="3399"/>
      <c r="B12" s="2439" t="s">
        <v>6423</v>
      </c>
      <c r="C12" s="2440" t="s">
        <v>6424</v>
      </c>
      <c r="D12" s="571">
        <v>1.0000000000000001E-5</v>
      </c>
      <c r="E12" s="2438" t="s">
        <v>6425</v>
      </c>
    </row>
    <row r="13" spans="1:18">
      <c r="A13" s="3399"/>
      <c r="B13" s="2436" t="s">
        <v>1461</v>
      </c>
      <c r="C13" s="571" t="s">
        <v>6426</v>
      </c>
      <c r="D13" s="571">
        <v>0.02</v>
      </c>
      <c r="E13" s="2438"/>
    </row>
    <row r="14" spans="1:18">
      <c r="A14" s="3399"/>
      <c r="B14" s="2439" t="s">
        <v>6427</v>
      </c>
      <c r="C14" s="2440" t="s">
        <v>5932</v>
      </c>
      <c r="D14" s="2437">
        <v>15</v>
      </c>
      <c r="E14" s="2438" t="s">
        <v>6109</v>
      </c>
    </row>
    <row r="15" spans="1:18">
      <c r="A15" s="3399"/>
      <c r="B15" s="2436" t="s">
        <v>6428</v>
      </c>
      <c r="C15" s="571" t="s">
        <v>6429</v>
      </c>
      <c r="D15" s="571">
        <v>9.8000000000000007</v>
      </c>
      <c r="E15" s="2438" t="s">
        <v>6430</v>
      </c>
    </row>
    <row r="16" spans="1:18">
      <c r="A16" s="3399"/>
      <c r="B16" s="2439" t="s">
        <v>6120</v>
      </c>
      <c r="C16" s="2440" t="s">
        <v>6431</v>
      </c>
      <c r="D16" s="2437">
        <v>0.15</v>
      </c>
      <c r="E16" s="2438" t="s">
        <v>6346</v>
      </c>
    </row>
    <row r="17" spans="1:19">
      <c r="A17" s="3399"/>
      <c r="B17" s="2436" t="s">
        <v>6123</v>
      </c>
      <c r="C17" s="571" t="s">
        <v>6432</v>
      </c>
      <c r="D17" s="2437">
        <v>0.56999999999999995</v>
      </c>
      <c r="E17" s="2438" t="s">
        <v>6346</v>
      </c>
    </row>
    <row r="18" spans="1:19">
      <c r="A18" s="3399"/>
      <c r="B18" s="2439" t="s">
        <v>6433</v>
      </c>
      <c r="C18" s="2440" t="s">
        <v>6434</v>
      </c>
      <c r="D18" s="2437">
        <v>0.15</v>
      </c>
      <c r="E18" s="2438" t="s">
        <v>6346</v>
      </c>
    </row>
    <row r="19" spans="1:19">
      <c r="A19" s="3399"/>
      <c r="B19" s="2444" t="s">
        <v>6435</v>
      </c>
      <c r="C19" s="2445" t="s">
        <v>6436</v>
      </c>
      <c r="D19" s="2446">
        <f>D16+D18+D17</f>
        <v>0.87</v>
      </c>
      <c r="E19" s="2447"/>
    </row>
    <row r="20" spans="1:19">
      <c r="A20" s="3399"/>
      <c r="B20" s="2448" t="s">
        <v>6437</v>
      </c>
      <c r="C20" s="2449" t="s">
        <v>6438</v>
      </c>
      <c r="D20" s="2450">
        <v>1.4</v>
      </c>
      <c r="E20" s="2451" t="s">
        <v>6346</v>
      </c>
    </row>
    <row r="21" spans="1:19" s="2424" customFormat="1" ht="33" customHeight="1">
      <c r="A21" s="2452"/>
    </row>
    <row r="22" spans="1:19" ht="39" customHeight="1">
      <c r="A22" s="3395" t="s">
        <v>6439</v>
      </c>
      <c r="B22" s="3396"/>
      <c r="C22" s="3396"/>
      <c r="D22" s="3396"/>
      <c r="E22" s="3396"/>
    </row>
    <row r="23" spans="1:19">
      <c r="B23" s="2453" t="s">
        <v>6440</v>
      </c>
      <c r="C23" s="2454"/>
      <c r="D23" s="2454"/>
      <c r="E23" s="2454"/>
    </row>
    <row r="24" spans="1:19">
      <c r="B24" s="571" t="s">
        <v>6441</v>
      </c>
      <c r="C24" s="571" t="s">
        <v>6442</v>
      </c>
      <c r="E24" s="2077">
        <f>J8*3.14*D9*D9/4*D7</f>
        <v>1.7837711999999999</v>
      </c>
      <c r="F24" s="571" t="s">
        <v>6399</v>
      </c>
    </row>
    <row r="25" spans="1:19">
      <c r="B25" s="571" t="s">
        <v>6443</v>
      </c>
      <c r="C25" s="571" t="s">
        <v>6444</v>
      </c>
      <c r="E25" s="571">
        <f>D12+E24*D9*D9/8+D4*D10*D10/4/3.14/3.14</f>
        <v>6.06308524298754E-4</v>
      </c>
      <c r="F25" s="571" t="s">
        <v>6425</v>
      </c>
    </row>
    <row r="26" spans="1:19">
      <c r="B26" s="571" t="s">
        <v>6445</v>
      </c>
      <c r="C26" s="571" t="s">
        <v>6446</v>
      </c>
      <c r="E26" s="571">
        <v>1.4E-5</v>
      </c>
      <c r="F26" s="571" t="s">
        <v>6425</v>
      </c>
    </row>
    <row r="27" spans="1:19">
      <c r="B27" s="571"/>
      <c r="C27" s="571"/>
      <c r="E27" s="571"/>
      <c r="F27" s="571"/>
    </row>
    <row r="28" spans="1:19">
      <c r="B28" s="2455" t="s">
        <v>6447</v>
      </c>
      <c r="C28" s="2455" t="s">
        <v>6448</v>
      </c>
      <c r="E28" s="2455">
        <f>E25/E26</f>
        <v>43.307751735625303</v>
      </c>
      <c r="F28" s="2455" t="s">
        <v>6449</v>
      </c>
      <c r="M28" s="2470" t="s">
        <v>6450</v>
      </c>
      <c r="N28" s="2470"/>
      <c r="O28" s="2470"/>
      <c r="P28" s="2470"/>
      <c r="Q28" s="2470"/>
      <c r="R28" s="2470"/>
      <c r="S28" s="2470"/>
    </row>
    <row r="29" spans="1:19" s="2424" customFormat="1">
      <c r="A29" s="2452"/>
      <c r="M29" s="2404"/>
      <c r="N29" s="2404"/>
      <c r="O29" s="2404"/>
      <c r="P29" s="2404"/>
      <c r="Q29" s="2404"/>
      <c r="R29" s="2404"/>
      <c r="S29" s="2404"/>
    </row>
    <row r="30" spans="1:19">
      <c r="B30" s="3398" t="s">
        <v>6451</v>
      </c>
      <c r="C30" s="571" t="s">
        <v>5899</v>
      </c>
      <c r="D30" s="2456" t="s">
        <v>5934</v>
      </c>
      <c r="E30" s="571" t="s">
        <v>6452</v>
      </c>
      <c r="F30" s="571"/>
    </row>
    <row r="31" spans="1:19">
      <c r="B31" s="3398"/>
      <c r="C31" s="571"/>
      <c r="D31" s="2456" t="s">
        <v>5934</v>
      </c>
      <c r="E31" s="2457">
        <f>D8/D16</f>
        <v>6.6666666666666696</v>
      </c>
      <c r="F31" s="571" t="s">
        <v>6105</v>
      </c>
    </row>
    <row r="32" spans="1:19" s="2424" customFormat="1">
      <c r="A32" s="2458"/>
      <c r="B32" s="589"/>
      <c r="D32" s="2456"/>
      <c r="E32" s="2459"/>
      <c r="F32" s="2460"/>
    </row>
    <row r="33" spans="1:10">
      <c r="B33" s="3398" t="s">
        <v>6453</v>
      </c>
      <c r="C33" s="571" t="s">
        <v>6454</v>
      </c>
      <c r="D33" s="2456" t="s">
        <v>5934</v>
      </c>
      <c r="E33" s="3397" t="s">
        <v>6455</v>
      </c>
      <c r="F33" s="3397"/>
    </row>
    <row r="34" spans="1:10">
      <c r="B34" s="3398"/>
      <c r="C34" s="571"/>
      <c r="D34" s="2461" t="s">
        <v>5934</v>
      </c>
      <c r="E34" s="2457">
        <f>D4*E31+D4*D15*D13</f>
        <v>343.13333333333298</v>
      </c>
      <c r="F34" s="571" t="s">
        <v>2001</v>
      </c>
      <c r="G34" s="2462"/>
    </row>
    <row r="35" spans="1:10" s="2424" customFormat="1">
      <c r="A35" s="73"/>
      <c r="B35" s="589"/>
      <c r="D35" s="2463"/>
      <c r="E35" s="2464"/>
    </row>
    <row r="36" spans="1:10">
      <c r="B36" s="3398" t="s">
        <v>6456</v>
      </c>
      <c r="C36" s="571" t="s">
        <v>6457</v>
      </c>
      <c r="D36" s="571" t="s">
        <v>5934</v>
      </c>
      <c r="E36" s="3398" t="s">
        <v>6458</v>
      </c>
      <c r="F36" s="3398"/>
    </row>
    <row r="37" spans="1:10">
      <c r="B37" s="3398"/>
      <c r="C37" s="571"/>
      <c r="D37" s="571" t="s">
        <v>5934</v>
      </c>
      <c r="E37" s="2465">
        <f>D4*D15*D13</f>
        <v>9.8000000000000007</v>
      </c>
      <c r="F37" s="571" t="s">
        <v>2001</v>
      </c>
      <c r="I37" s="3368" t="s">
        <v>12710</v>
      </c>
      <c r="J37" s="3368"/>
    </row>
    <row r="38" spans="1:10" s="2424" customFormat="1">
      <c r="A38" s="2452"/>
    </row>
    <row r="39" spans="1:10">
      <c r="B39" s="3398" t="s">
        <v>6459</v>
      </c>
      <c r="C39" s="571" t="s">
        <v>6460</v>
      </c>
      <c r="D39" s="2466" t="s">
        <v>5934</v>
      </c>
      <c r="E39" s="3398" t="s">
        <v>6461</v>
      </c>
      <c r="F39" s="3398"/>
    </row>
    <row r="40" spans="1:10" customFormat="1">
      <c r="A40" s="56"/>
      <c r="B40" s="3398"/>
      <c r="C40" s="571"/>
      <c r="D40" s="2466" t="s">
        <v>5934</v>
      </c>
      <c r="E40" s="2457">
        <f>D4*E31-D4*D15*D13</f>
        <v>323.53333333333302</v>
      </c>
      <c r="F40" s="571" t="s">
        <v>2001</v>
      </c>
    </row>
    <row r="41" spans="1:10" s="2424" customFormat="1">
      <c r="A41" s="73"/>
      <c r="D41" s="1248"/>
      <c r="E41" s="2464"/>
    </row>
    <row r="42" spans="1:10">
      <c r="B42" s="2467" t="s">
        <v>6462</v>
      </c>
      <c r="C42" s="2467" t="s">
        <v>6463</v>
      </c>
      <c r="E42" s="2468">
        <f>D10*(D13*D15*D4+D14)/2/3.14/D11</f>
        <v>8.7756546355272497E-2</v>
      </c>
      <c r="F42" s="2467" t="s">
        <v>2001</v>
      </c>
    </row>
    <row r="43" spans="1:10" s="2424" customFormat="1">
      <c r="A43" s="2452"/>
      <c r="E43" s="2464"/>
    </row>
    <row r="44" spans="1:10" s="2424" customFormat="1">
      <c r="A44" s="2452"/>
      <c r="D44" s="2463"/>
      <c r="E44" s="2464"/>
    </row>
    <row r="45" spans="1:10">
      <c r="B45" s="571"/>
      <c r="C45" s="571"/>
      <c r="D45" s="571"/>
      <c r="E45" s="571"/>
    </row>
    <row r="46" spans="1:10">
      <c r="B46" s="571" t="s">
        <v>6464</v>
      </c>
      <c r="C46" s="571" t="s">
        <v>6465</v>
      </c>
      <c r="D46" s="2443">
        <f>E34</f>
        <v>343.13333333333298</v>
      </c>
      <c r="E46" s="571" t="s">
        <v>2001</v>
      </c>
    </row>
    <row r="47" spans="1:10">
      <c r="B47" s="571"/>
      <c r="C47" s="571"/>
      <c r="D47" s="571"/>
      <c r="E47" s="571"/>
    </row>
    <row r="48" spans="1:10">
      <c r="B48" s="571" t="s">
        <v>6466</v>
      </c>
      <c r="C48" s="571" t="s">
        <v>6467</v>
      </c>
      <c r="D48" s="2466" t="e">
        <f>SQRT((E34*E34*D16+E42*E42*D17+D39*D39*D18)/D20)</f>
        <v>#VALUE!</v>
      </c>
      <c r="E48" s="571" t="s">
        <v>2001</v>
      </c>
    </row>
    <row r="49" spans="2:10">
      <c r="B49" s="571"/>
      <c r="C49" s="571"/>
      <c r="D49" s="571"/>
      <c r="E49" s="571"/>
      <c r="F49" s="2399" t="s">
        <v>6468</v>
      </c>
      <c r="G49" s="2399"/>
    </row>
    <row r="50" spans="2:10">
      <c r="B50" s="571" t="s">
        <v>6469</v>
      </c>
      <c r="C50" s="571" t="s">
        <v>6109</v>
      </c>
      <c r="D50" s="2469">
        <f>D8/D10</f>
        <v>50</v>
      </c>
      <c r="E50" s="571" t="s">
        <v>6470</v>
      </c>
    </row>
    <row r="51" spans="2:10">
      <c r="B51" s="571" t="s">
        <v>2033</v>
      </c>
      <c r="C51" s="571" t="s">
        <v>6109</v>
      </c>
      <c r="D51" s="2077">
        <f>D50*60</f>
        <v>3000</v>
      </c>
      <c r="E51" s="571" t="s">
        <v>1997</v>
      </c>
    </row>
    <row r="61" spans="2:10">
      <c r="I61" s="3368" t="s">
        <v>12710</v>
      </c>
      <c r="J61" s="3368"/>
    </row>
    <row r="95" spans="3:4">
      <c r="C95" s="3368" t="s">
        <v>12710</v>
      </c>
      <c r="D95" s="3368"/>
    </row>
  </sheetData>
  <mergeCells count="14">
    <mergeCell ref="I61:J61"/>
    <mergeCell ref="C95:D95"/>
    <mergeCell ref="A1:N1"/>
    <mergeCell ref="A22:E22"/>
    <mergeCell ref="E33:F33"/>
    <mergeCell ref="E36:F36"/>
    <mergeCell ref="E39:F39"/>
    <mergeCell ref="A3:A20"/>
    <mergeCell ref="B30:B31"/>
    <mergeCell ref="B33:B34"/>
    <mergeCell ref="B36:B37"/>
    <mergeCell ref="B39:B40"/>
    <mergeCell ref="F3:G3"/>
    <mergeCell ref="I37:J37"/>
  </mergeCells>
  <phoneticPr fontId="378" type="noConversion"/>
  <hyperlinks>
    <hyperlink ref="F3:G3" location="齿轮齿条电机选型!A1" display="返回目录"/>
    <hyperlink ref="I37:J37" location="齿轮齿条电机选型!A1" display="返回目录"/>
    <hyperlink ref="I61:J61" location="齿轮齿条电机选型!A1" display="返回目录"/>
    <hyperlink ref="C95:D95" location="齿轮齿条电机选型!A1" display="返回目录"/>
  </hyperlinks>
  <pageMargins left="0.75" right="0.75" top="1" bottom="1" header="0.5" footer="0.5"/>
  <pageSetup paperSize="9" orientation="portrait"/>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46"/>
  <sheetViews>
    <sheetView zoomScale="115" zoomScaleNormal="115" workbookViewId="0">
      <selection activeCell="D8" sqref="D8:E8"/>
    </sheetView>
  </sheetViews>
  <sheetFormatPr defaultColWidth="9" defaultRowHeight="16.5"/>
  <cols>
    <col min="1" max="1" width="30.75" style="2406" customWidth="1"/>
    <col min="2" max="2" width="25.375" style="2406" customWidth="1"/>
    <col min="3" max="3" width="15.5" style="2406" customWidth="1"/>
    <col min="4" max="255" width="9" style="2406"/>
    <col min="256" max="16384" width="9" style="95"/>
  </cols>
  <sheetData>
    <row r="1" spans="1:11" ht="49.15" customHeight="1">
      <c r="A1" s="3400" t="s">
        <v>6471</v>
      </c>
      <c r="B1" s="3401"/>
      <c r="C1" s="3401"/>
    </row>
    <row r="2" spans="1:11" s="95" customFormat="1" ht="13.15" customHeight="1">
      <c r="A2" s="2407"/>
      <c r="B2" s="2407"/>
    </row>
    <row r="3" spans="1:11" ht="22.15" customHeight="1">
      <c r="A3" s="2408" t="s">
        <v>6472</v>
      </c>
      <c r="B3" s="2409">
        <v>0.75</v>
      </c>
      <c r="C3" s="2410" t="s">
        <v>6473</v>
      </c>
    </row>
    <row r="4" spans="1:11" ht="16.149999999999999" customHeight="1">
      <c r="A4" s="2408" t="s">
        <v>6474</v>
      </c>
      <c r="B4" s="2409">
        <v>1380</v>
      </c>
      <c r="C4" s="2410" t="s">
        <v>6473</v>
      </c>
    </row>
    <row r="5" spans="1:11" ht="19.149999999999999" customHeight="1">
      <c r="A5" s="2408" t="s">
        <v>6402</v>
      </c>
      <c r="B5" s="2409">
        <v>30</v>
      </c>
      <c r="C5" s="2410"/>
    </row>
    <row r="6" spans="1:11" ht="19.899999999999999" customHeight="1">
      <c r="A6" s="2408" t="s">
        <v>6475</v>
      </c>
      <c r="B6" s="2411">
        <f>9550*B3/B4*B5</f>
        <v>155.70652173913001</v>
      </c>
      <c r="C6" s="2412" t="s">
        <v>6476</v>
      </c>
    </row>
    <row r="7" spans="1:11" s="95" customFormat="1" ht="19.5">
      <c r="A7" s="2413"/>
      <c r="B7" s="2414"/>
    </row>
    <row r="8" spans="1:11" s="2405" customFormat="1" ht="24" customHeight="1">
      <c r="A8" s="2415" t="s">
        <v>6477</v>
      </c>
      <c r="B8" s="2416"/>
      <c r="D8" s="3361" t="s">
        <v>12710</v>
      </c>
      <c r="E8" s="3361"/>
    </row>
    <row r="9" spans="1:11" ht="16.149999999999999" customHeight="1">
      <c r="A9" s="2417" t="s">
        <v>6478</v>
      </c>
      <c r="B9" s="2418"/>
    </row>
    <row r="10" spans="1:11" ht="19.5">
      <c r="A10" s="2419" t="s">
        <v>6479</v>
      </c>
      <c r="B10" s="2420"/>
    </row>
    <row r="11" spans="1:11" ht="19.5">
      <c r="A11" s="2415" t="s">
        <v>6480</v>
      </c>
      <c r="B11" s="2421"/>
    </row>
    <row r="12" spans="1:11" ht="30" customHeight="1">
      <c r="A12" s="2422" t="s">
        <v>6481</v>
      </c>
    </row>
    <row r="13" spans="1:11">
      <c r="A13" s="2423"/>
      <c r="B13" s="2423"/>
      <c r="C13" s="2423"/>
      <c r="D13" s="2423"/>
      <c r="E13" s="2423"/>
      <c r="F13" s="2423"/>
      <c r="G13" s="2423"/>
      <c r="H13" s="2423"/>
      <c r="I13" s="2423"/>
      <c r="J13" s="2423"/>
      <c r="K13" s="2423"/>
    </row>
    <row r="14" spans="1:11">
      <c r="A14" s="2423"/>
      <c r="B14" s="2423"/>
      <c r="C14" s="2423"/>
      <c r="D14" s="2423"/>
      <c r="E14" s="2423"/>
      <c r="F14" s="2423"/>
      <c r="G14" s="2423"/>
      <c r="H14" s="2423"/>
      <c r="I14" s="2423"/>
      <c r="J14" s="2423"/>
      <c r="K14" s="2423"/>
    </row>
    <row r="15" spans="1:11">
      <c r="A15" s="2423"/>
      <c r="B15" s="2423"/>
      <c r="C15" s="2423"/>
      <c r="D15" s="2423"/>
      <c r="E15" s="2423"/>
      <c r="F15" s="2423"/>
      <c r="G15" s="2423"/>
      <c r="H15" s="2423"/>
      <c r="I15" s="2423"/>
      <c r="J15" s="2423"/>
      <c r="K15" s="2423"/>
    </row>
    <row r="16" spans="1:11">
      <c r="A16" s="2423"/>
      <c r="B16" s="2423"/>
      <c r="C16" s="2423"/>
      <c r="D16" s="2423"/>
      <c r="E16" s="2423"/>
      <c r="F16" s="2423"/>
      <c r="G16" s="2423"/>
      <c r="H16" s="2423"/>
      <c r="I16" s="2423"/>
      <c r="J16" s="2423"/>
      <c r="K16" s="2423"/>
    </row>
    <row r="17" spans="1:11">
      <c r="A17" s="2423"/>
      <c r="B17" s="2423"/>
      <c r="C17" s="2423"/>
      <c r="D17" s="2423"/>
      <c r="E17" s="2423"/>
      <c r="F17" s="2423"/>
      <c r="G17" s="2423"/>
      <c r="H17" s="2423"/>
      <c r="I17" s="2423"/>
      <c r="J17" s="2423"/>
      <c r="K17" s="2423"/>
    </row>
    <row r="18" spans="1:11">
      <c r="A18" s="2423"/>
      <c r="B18" s="2423"/>
      <c r="C18" s="2423"/>
      <c r="D18" s="2423"/>
      <c r="E18" s="2423"/>
      <c r="F18" s="2423"/>
      <c r="G18" s="2423"/>
      <c r="H18" s="2423"/>
      <c r="I18" s="2423"/>
      <c r="J18" s="2423"/>
      <c r="K18" s="2423"/>
    </row>
    <row r="19" spans="1:11">
      <c r="A19" s="2423"/>
      <c r="B19" s="2423"/>
      <c r="C19" s="2423"/>
      <c r="D19" s="2423"/>
      <c r="E19" s="2423"/>
      <c r="F19" s="2423"/>
      <c r="G19" s="2423"/>
      <c r="H19" s="2423"/>
      <c r="I19" s="2423"/>
      <c r="J19" s="2423"/>
      <c r="K19" s="2423"/>
    </row>
    <row r="20" spans="1:11">
      <c r="A20" s="2423"/>
      <c r="B20" s="2423"/>
      <c r="C20" s="2423"/>
      <c r="D20" s="2423"/>
      <c r="E20" s="2423"/>
      <c r="F20" s="2423"/>
      <c r="G20" s="2423"/>
      <c r="H20" s="2423"/>
      <c r="I20" s="2423"/>
      <c r="J20" s="2423"/>
      <c r="K20" s="2423"/>
    </row>
    <row r="21" spans="1:11">
      <c r="A21" s="2423"/>
      <c r="B21" s="2423"/>
      <c r="C21" s="2423"/>
      <c r="D21" s="2423"/>
      <c r="E21" s="2423"/>
      <c r="F21" s="2423"/>
      <c r="G21" s="2423"/>
      <c r="H21" s="2423"/>
      <c r="I21" s="2423"/>
      <c r="J21" s="2423"/>
      <c r="K21" s="2423"/>
    </row>
    <row r="22" spans="1:11">
      <c r="A22" s="2423"/>
      <c r="B22" s="2423"/>
      <c r="C22" s="2423"/>
      <c r="D22" s="2423"/>
      <c r="E22" s="2423"/>
      <c r="F22" s="2423"/>
      <c r="G22" s="2423"/>
      <c r="H22" s="2423"/>
      <c r="I22" s="2423"/>
      <c r="J22" s="2423"/>
      <c r="K22" s="2423"/>
    </row>
    <row r="23" spans="1:11">
      <c r="A23" s="2423"/>
      <c r="B23" s="2423"/>
      <c r="C23" s="2423"/>
      <c r="D23" s="2423"/>
      <c r="E23" s="2423"/>
      <c r="F23" s="2423"/>
      <c r="G23" s="2423"/>
      <c r="H23" s="2423"/>
      <c r="I23" s="2423"/>
      <c r="J23" s="2423"/>
      <c r="K23" s="2423"/>
    </row>
    <row r="24" spans="1:11">
      <c r="A24" s="2423"/>
      <c r="B24" s="2423"/>
      <c r="C24" s="2423"/>
      <c r="D24" s="2423"/>
      <c r="E24" s="2423"/>
      <c r="F24" s="2423"/>
      <c r="G24" s="2423"/>
      <c r="H24" s="2423"/>
      <c r="I24" s="2423"/>
      <c r="J24" s="2423"/>
      <c r="K24" s="2423"/>
    </row>
    <row r="25" spans="1:11">
      <c r="A25" s="2423"/>
      <c r="B25" s="2423"/>
      <c r="C25" s="2423"/>
      <c r="D25" s="2423"/>
      <c r="E25" s="2423"/>
      <c r="F25" s="2423"/>
      <c r="G25" s="2423"/>
      <c r="H25" s="2423"/>
      <c r="I25" s="2423"/>
      <c r="J25" s="2423"/>
      <c r="K25" s="2423"/>
    </row>
    <row r="26" spans="1:11">
      <c r="A26" s="2423"/>
      <c r="B26" s="2423"/>
      <c r="C26" s="2423"/>
      <c r="D26" s="2423"/>
      <c r="E26" s="2423"/>
      <c r="F26" s="2423"/>
      <c r="G26" s="2423"/>
      <c r="H26" s="2423"/>
      <c r="I26" s="2423"/>
      <c r="J26" s="2423"/>
      <c r="K26" s="2423"/>
    </row>
    <row r="27" spans="1:11">
      <c r="A27" s="2423"/>
      <c r="B27" s="2423"/>
      <c r="C27" s="2423"/>
      <c r="D27" s="2423"/>
      <c r="E27" s="2423"/>
      <c r="F27" s="2423"/>
      <c r="G27" s="2423"/>
      <c r="H27" s="2423"/>
      <c r="I27" s="2423"/>
      <c r="J27" s="2423"/>
      <c r="K27" s="2423"/>
    </row>
    <row r="28" spans="1:11">
      <c r="A28" s="2423"/>
      <c r="B28" s="2423"/>
      <c r="C28" s="2423"/>
      <c r="D28" s="2423"/>
      <c r="E28" s="2423"/>
      <c r="F28" s="2423"/>
      <c r="G28" s="2423"/>
      <c r="H28" s="2423"/>
      <c r="I28" s="2423"/>
      <c r="J28" s="2423"/>
      <c r="K28" s="2423"/>
    </row>
    <row r="29" spans="1:11">
      <c r="A29" s="2423"/>
      <c r="B29" s="2423"/>
      <c r="C29" s="2423"/>
      <c r="D29" s="2423"/>
      <c r="E29" s="2423"/>
      <c r="F29" s="2423"/>
      <c r="G29" s="2423"/>
      <c r="H29" s="2423"/>
      <c r="I29" s="2423"/>
      <c r="J29" s="2423"/>
      <c r="K29" s="2423"/>
    </row>
    <row r="30" spans="1:11">
      <c r="A30" s="2423"/>
      <c r="B30" s="2423"/>
      <c r="C30" s="2423"/>
      <c r="D30" s="2423"/>
      <c r="E30" s="2423"/>
      <c r="F30" s="2423"/>
      <c r="G30" s="2423"/>
      <c r="H30" s="2423"/>
      <c r="I30" s="2423"/>
      <c r="J30" s="2423"/>
      <c r="K30" s="2423"/>
    </row>
    <row r="31" spans="1:11">
      <c r="A31" s="2423"/>
      <c r="B31" s="2423"/>
      <c r="C31" s="2423"/>
      <c r="D31" s="2423"/>
      <c r="E31" s="2423"/>
      <c r="F31" s="2423"/>
      <c r="G31" s="2423"/>
      <c r="H31" s="2423"/>
      <c r="I31" s="2423"/>
      <c r="J31" s="2423"/>
      <c r="K31" s="2423"/>
    </row>
    <row r="32" spans="1:11">
      <c r="A32" s="2423"/>
      <c r="B32" s="2423"/>
      <c r="C32" s="2423"/>
      <c r="D32" s="2423"/>
      <c r="E32" s="2423"/>
      <c r="F32" s="2423"/>
      <c r="G32" s="2423"/>
      <c r="H32" s="2423"/>
      <c r="I32" s="2423"/>
      <c r="J32" s="2423"/>
      <c r="K32" s="2423"/>
    </row>
    <row r="33" spans="1:11">
      <c r="A33" s="2423"/>
      <c r="B33" s="2423"/>
      <c r="C33" s="2423"/>
      <c r="D33" s="2423"/>
      <c r="E33" s="2423"/>
      <c r="F33" s="2423"/>
      <c r="G33" s="2423"/>
      <c r="H33" s="2423"/>
      <c r="I33" s="2423"/>
      <c r="J33" s="2423"/>
      <c r="K33" s="2423"/>
    </row>
    <row r="34" spans="1:11">
      <c r="A34" s="2423"/>
      <c r="B34" s="2423"/>
      <c r="C34" s="2423"/>
      <c r="D34" s="2423"/>
      <c r="E34" s="2423"/>
      <c r="F34" s="2423"/>
      <c r="G34" s="2423"/>
      <c r="H34" s="2423"/>
      <c r="I34" s="2423"/>
      <c r="J34" s="2423"/>
      <c r="K34" s="2423"/>
    </row>
    <row r="35" spans="1:11">
      <c r="A35" s="2423"/>
      <c r="B35" s="2423"/>
      <c r="C35" s="2423"/>
      <c r="D35" s="2423"/>
      <c r="E35" s="2423"/>
      <c r="F35" s="2423"/>
      <c r="G35" s="2423"/>
      <c r="H35" s="2423"/>
      <c r="I35" s="2423"/>
      <c r="J35" s="2423"/>
      <c r="K35" s="2423"/>
    </row>
    <row r="36" spans="1:11">
      <c r="A36" s="2423"/>
      <c r="B36" s="2423"/>
      <c r="C36" s="2423"/>
      <c r="D36" s="2423"/>
      <c r="E36" s="2423"/>
      <c r="F36" s="2423"/>
      <c r="G36" s="2423"/>
      <c r="H36" s="2423"/>
      <c r="I36" s="2423"/>
      <c r="J36" s="2423"/>
      <c r="K36" s="2423"/>
    </row>
    <row r="37" spans="1:11">
      <c r="A37" s="2423"/>
      <c r="B37" s="2423"/>
      <c r="C37" s="2423"/>
      <c r="D37" s="2423"/>
      <c r="E37" s="2423"/>
      <c r="F37" s="2423"/>
      <c r="G37" s="2423"/>
      <c r="H37" s="2423"/>
      <c r="I37" s="2423"/>
      <c r="J37" s="2423"/>
      <c r="K37" s="2423"/>
    </row>
    <row r="38" spans="1:11">
      <c r="A38" s="2423"/>
      <c r="B38" s="2423"/>
      <c r="C38" s="2423"/>
      <c r="D38" s="2423"/>
      <c r="E38" s="2423"/>
      <c r="F38" s="2423"/>
      <c r="G38" s="2423"/>
      <c r="H38" s="2423"/>
      <c r="I38" s="2423"/>
      <c r="J38" s="2423"/>
      <c r="K38" s="2423"/>
    </row>
    <row r="39" spans="1:11">
      <c r="A39" s="2423"/>
      <c r="B39" s="2423"/>
      <c r="C39" s="2423"/>
      <c r="D39" s="2423"/>
      <c r="E39" s="2423"/>
      <c r="F39" s="2423"/>
      <c r="G39" s="2423"/>
      <c r="H39" s="2423"/>
      <c r="I39" s="2423"/>
      <c r="J39" s="2423"/>
      <c r="K39" s="2423"/>
    </row>
    <row r="40" spans="1:11">
      <c r="A40" s="2423"/>
      <c r="B40" s="2423"/>
      <c r="C40" s="2423"/>
      <c r="D40" s="2423"/>
      <c r="E40" s="2423"/>
      <c r="F40" s="2423"/>
      <c r="G40" s="2423"/>
      <c r="H40" s="2423"/>
      <c r="I40" s="2423"/>
      <c r="J40" s="2423"/>
      <c r="K40" s="2423"/>
    </row>
    <row r="41" spans="1:11">
      <c r="A41" s="2423"/>
      <c r="B41" s="2423"/>
      <c r="C41" s="2423"/>
      <c r="D41" s="2423"/>
      <c r="E41" s="2423"/>
      <c r="F41" s="2423"/>
      <c r="G41" s="2423"/>
      <c r="H41" s="2423"/>
      <c r="I41" s="2423"/>
      <c r="J41" s="2423"/>
      <c r="K41" s="2423"/>
    </row>
    <row r="42" spans="1:11">
      <c r="A42" s="2423"/>
      <c r="B42" s="2423"/>
      <c r="C42" s="2423"/>
      <c r="D42" s="2423"/>
      <c r="E42" s="2423"/>
      <c r="F42" s="2423"/>
      <c r="G42" s="2423"/>
      <c r="H42" s="2423"/>
      <c r="I42" s="2423"/>
      <c r="J42" s="2423"/>
      <c r="K42" s="2423"/>
    </row>
    <row r="43" spans="1:11">
      <c r="A43" s="2423"/>
      <c r="B43" s="2423"/>
      <c r="C43" s="2423"/>
      <c r="D43" s="2423"/>
      <c r="E43" s="2423"/>
      <c r="F43" s="2423"/>
      <c r="G43" s="2423"/>
      <c r="H43" s="2423"/>
      <c r="I43" s="2423"/>
      <c r="J43" s="2423"/>
      <c r="K43" s="2423"/>
    </row>
    <row r="44" spans="1:11">
      <c r="A44" s="2423"/>
      <c r="B44" s="2423"/>
      <c r="C44" s="2423"/>
      <c r="D44" s="2423"/>
      <c r="E44" s="2423"/>
      <c r="F44" s="2423"/>
      <c r="G44" s="2423"/>
      <c r="H44" s="2423"/>
      <c r="I44" s="2423"/>
      <c r="J44" s="2423"/>
      <c r="K44" s="2423"/>
    </row>
    <row r="45" spans="1:11">
      <c r="A45" s="2423"/>
      <c r="B45" s="2423"/>
      <c r="C45" s="2423"/>
      <c r="D45" s="2423"/>
      <c r="E45" s="2423"/>
      <c r="F45" s="2423"/>
      <c r="G45" s="2423"/>
      <c r="H45" s="2423"/>
      <c r="I45" s="2423"/>
      <c r="J45" s="2423"/>
      <c r="K45" s="2423"/>
    </row>
    <row r="46" spans="1:11">
      <c r="A46" s="2423"/>
      <c r="B46" s="2423"/>
      <c r="C46" s="2423"/>
      <c r="D46" s="2423"/>
      <c r="E46" s="2423"/>
      <c r="F46" s="2423"/>
      <c r="G46" s="2423"/>
      <c r="H46" s="2423"/>
      <c r="I46" s="2423"/>
      <c r="J46" s="2423"/>
      <c r="K46" s="2423"/>
    </row>
    <row r="47" spans="1:11">
      <c r="A47" s="2423"/>
      <c r="B47" s="2423"/>
      <c r="C47" s="2423"/>
      <c r="D47" s="2423"/>
      <c r="E47" s="2423"/>
      <c r="F47" s="2423"/>
      <c r="G47" s="2423"/>
      <c r="H47" s="2423"/>
      <c r="I47" s="2423"/>
      <c r="J47" s="2423"/>
      <c r="K47" s="2423"/>
    </row>
    <row r="48" spans="1:11">
      <c r="A48" s="2423"/>
      <c r="B48" s="2423"/>
      <c r="C48" s="2423"/>
      <c r="D48" s="2423"/>
      <c r="E48" s="2423"/>
      <c r="F48" s="2423"/>
      <c r="G48" s="2423"/>
      <c r="H48" s="2423"/>
      <c r="I48" s="2423"/>
      <c r="J48" s="2423"/>
      <c r="K48" s="2423"/>
    </row>
    <row r="49" spans="1:11">
      <c r="A49" s="2423"/>
      <c r="B49" s="2423"/>
      <c r="C49" s="2423"/>
      <c r="D49" s="2423"/>
      <c r="E49" s="2423"/>
      <c r="F49" s="2423"/>
      <c r="G49" s="2423"/>
      <c r="H49" s="2423"/>
      <c r="I49" s="2423"/>
      <c r="J49" s="2423"/>
      <c r="K49" s="2423"/>
    </row>
    <row r="50" spans="1:11">
      <c r="A50" s="2423"/>
      <c r="B50" s="2423"/>
      <c r="C50" s="2423"/>
      <c r="D50" s="2423"/>
      <c r="E50" s="2423"/>
      <c r="F50" s="2423"/>
      <c r="G50" s="2423"/>
      <c r="H50" s="2423"/>
      <c r="I50" s="2423"/>
      <c r="J50" s="2423"/>
      <c r="K50" s="2423"/>
    </row>
    <row r="51" spans="1:11">
      <c r="A51" s="2423"/>
      <c r="B51" s="2423"/>
      <c r="C51" s="2423"/>
      <c r="D51" s="2423"/>
      <c r="E51" s="2423"/>
      <c r="F51" s="2423"/>
      <c r="G51" s="2423"/>
      <c r="H51" s="2423"/>
      <c r="I51" s="2423"/>
      <c r="J51" s="2423"/>
      <c r="K51" s="2423"/>
    </row>
    <row r="52" spans="1:11">
      <c r="A52" s="2423"/>
      <c r="B52" s="2423"/>
      <c r="C52" s="2423"/>
      <c r="D52" s="2423"/>
      <c r="E52" s="2423"/>
      <c r="F52" s="2423"/>
      <c r="G52" s="2423"/>
      <c r="H52" s="2423"/>
      <c r="I52" s="2423"/>
      <c r="J52" s="2423"/>
      <c r="K52" s="2423"/>
    </row>
    <row r="53" spans="1:11">
      <c r="A53" s="2423"/>
      <c r="B53" s="2423"/>
      <c r="C53" s="2423"/>
      <c r="D53" s="2423"/>
      <c r="E53" s="2423"/>
      <c r="F53" s="2423"/>
      <c r="G53" s="2423"/>
      <c r="H53" s="2423"/>
      <c r="I53" s="2423"/>
      <c r="J53" s="2423"/>
      <c r="K53" s="2423"/>
    </row>
    <row r="54" spans="1:11">
      <c r="A54" s="2423"/>
      <c r="B54" s="2423"/>
      <c r="C54" s="2423"/>
      <c r="D54" s="2423"/>
      <c r="E54" s="2423"/>
      <c r="F54" s="2423"/>
      <c r="G54" s="2423"/>
      <c r="H54" s="2423"/>
      <c r="I54" s="2423"/>
      <c r="J54" s="2423"/>
      <c r="K54" s="2423"/>
    </row>
    <row r="55" spans="1:11">
      <c r="A55" s="2423"/>
      <c r="B55" s="2423"/>
      <c r="C55" s="2423"/>
      <c r="D55" s="2423"/>
      <c r="E55" s="2423"/>
      <c r="F55" s="2423"/>
      <c r="G55" s="2423"/>
      <c r="H55" s="2423"/>
      <c r="I55" s="2423"/>
      <c r="J55" s="2423"/>
      <c r="K55" s="2423"/>
    </row>
    <row r="56" spans="1:11">
      <c r="A56" s="2423"/>
      <c r="B56" s="2423"/>
      <c r="C56" s="2423"/>
      <c r="D56" s="2423"/>
      <c r="E56" s="2423"/>
      <c r="F56" s="2423"/>
      <c r="G56" s="2423"/>
      <c r="H56" s="2423"/>
      <c r="I56" s="2423"/>
      <c r="J56" s="2423"/>
      <c r="K56" s="2423"/>
    </row>
    <row r="57" spans="1:11">
      <c r="A57" s="2423"/>
      <c r="B57" s="2423"/>
      <c r="C57" s="2423"/>
      <c r="D57" s="2423"/>
      <c r="E57" s="2423"/>
      <c r="F57" s="2423"/>
      <c r="G57" s="2423"/>
      <c r="H57" s="2423"/>
      <c r="I57" s="2423"/>
      <c r="J57" s="2423"/>
      <c r="K57" s="2423"/>
    </row>
    <row r="58" spans="1:11">
      <c r="A58" s="2423"/>
      <c r="B58" s="2423"/>
      <c r="C58" s="2423"/>
      <c r="D58" s="2423"/>
      <c r="E58" s="2423"/>
      <c r="F58" s="2423"/>
      <c r="G58" s="2423"/>
      <c r="H58" s="2423"/>
      <c r="I58" s="2423"/>
      <c r="J58" s="2423"/>
      <c r="K58" s="2423"/>
    </row>
    <row r="59" spans="1:11">
      <c r="A59" s="2423"/>
      <c r="B59" s="2423"/>
      <c r="C59" s="2423"/>
      <c r="D59" s="2423"/>
      <c r="E59" s="2423"/>
      <c r="F59" s="2423"/>
      <c r="G59" s="2423"/>
      <c r="H59" s="2423"/>
      <c r="I59" s="2423"/>
      <c r="J59" s="2423"/>
      <c r="K59" s="2423"/>
    </row>
    <row r="60" spans="1:11">
      <c r="A60" s="2423"/>
      <c r="B60" s="2423"/>
      <c r="C60" s="2423"/>
      <c r="D60" s="2423"/>
      <c r="E60" s="2423"/>
      <c r="F60" s="2423"/>
      <c r="G60" s="2423"/>
      <c r="H60" s="2423"/>
      <c r="I60" s="2423"/>
      <c r="J60" s="2423"/>
      <c r="K60" s="2423"/>
    </row>
    <row r="61" spans="1:11">
      <c r="A61" s="2423"/>
      <c r="B61" s="2423"/>
      <c r="C61" s="2423"/>
      <c r="D61" s="2423"/>
      <c r="E61" s="2423"/>
      <c r="F61" s="2423"/>
      <c r="G61" s="2423"/>
      <c r="H61" s="2423"/>
      <c r="I61" s="2423"/>
      <c r="J61" s="2423"/>
      <c r="K61" s="2423"/>
    </row>
    <row r="62" spans="1:11">
      <c r="A62" s="2423"/>
      <c r="B62" s="2423"/>
      <c r="C62" s="2423"/>
      <c r="D62" s="2423"/>
      <c r="E62" s="2423"/>
      <c r="F62" s="2423"/>
      <c r="G62" s="2423"/>
      <c r="H62" s="2423"/>
      <c r="I62" s="2423"/>
      <c r="J62" s="2423"/>
      <c r="K62" s="2423"/>
    </row>
    <row r="63" spans="1:11">
      <c r="A63" s="2423"/>
      <c r="B63" s="2423"/>
      <c r="C63" s="2423"/>
      <c r="D63" s="2423"/>
      <c r="E63" s="2423"/>
      <c r="F63" s="2423"/>
      <c r="G63" s="2423"/>
      <c r="H63" s="2423"/>
      <c r="I63" s="2423"/>
      <c r="J63" s="2423"/>
      <c r="K63" s="2423"/>
    </row>
    <row r="64" spans="1:11">
      <c r="A64" s="2423"/>
      <c r="B64" s="2423"/>
      <c r="C64" s="2423"/>
      <c r="D64" s="2423"/>
      <c r="E64" s="2423"/>
      <c r="F64" s="2423"/>
      <c r="G64" s="2423"/>
      <c r="H64" s="2423"/>
      <c r="I64" s="2423"/>
      <c r="J64" s="2423"/>
      <c r="K64" s="2423"/>
    </row>
    <row r="65" spans="1:11">
      <c r="A65" s="2423"/>
      <c r="B65" s="2423"/>
      <c r="C65" s="2423"/>
      <c r="D65" s="2423"/>
      <c r="E65" s="2423"/>
      <c r="F65" s="2423"/>
      <c r="G65" s="2423"/>
      <c r="H65" s="2423"/>
      <c r="I65" s="2423"/>
      <c r="J65" s="2423"/>
      <c r="K65" s="2423"/>
    </row>
    <row r="66" spans="1:11">
      <c r="A66" s="2423"/>
      <c r="B66" s="2423"/>
      <c r="C66" s="2423"/>
      <c r="D66" s="2423"/>
      <c r="E66" s="2423"/>
      <c r="F66" s="2423"/>
      <c r="G66" s="2423"/>
      <c r="H66" s="2423"/>
      <c r="I66" s="2423"/>
      <c r="J66" s="2423"/>
      <c r="K66" s="2423"/>
    </row>
    <row r="67" spans="1:11">
      <c r="A67" s="2423"/>
      <c r="B67" s="2423"/>
      <c r="C67" s="2423"/>
      <c r="D67" s="2423"/>
      <c r="E67" s="2423"/>
      <c r="F67" s="2423"/>
      <c r="G67" s="2423"/>
      <c r="H67" s="2423"/>
      <c r="I67" s="2423"/>
      <c r="J67" s="2423"/>
      <c r="K67" s="2423"/>
    </row>
    <row r="68" spans="1:11">
      <c r="A68" s="2423"/>
      <c r="B68" s="2423"/>
      <c r="C68" s="2423"/>
      <c r="D68" s="2423"/>
      <c r="E68" s="2423"/>
      <c r="F68" s="2423"/>
      <c r="G68" s="2423"/>
      <c r="H68" s="2423"/>
      <c r="I68" s="2423"/>
      <c r="J68" s="2423"/>
      <c r="K68" s="2423"/>
    </row>
    <row r="69" spans="1:11">
      <c r="A69" s="2423"/>
      <c r="B69" s="2423"/>
      <c r="C69" s="2423"/>
      <c r="D69" s="2423"/>
      <c r="E69" s="2423"/>
      <c r="F69" s="2423"/>
      <c r="G69" s="2423"/>
      <c r="H69" s="2423"/>
      <c r="I69" s="2423"/>
      <c r="J69" s="2423"/>
      <c r="K69" s="2423"/>
    </row>
    <row r="70" spans="1:11">
      <c r="A70" s="2423"/>
      <c r="B70" s="2423"/>
      <c r="C70" s="2423"/>
      <c r="D70" s="2423"/>
      <c r="E70" s="2423"/>
      <c r="F70" s="2423"/>
      <c r="G70" s="2423"/>
      <c r="H70" s="2423"/>
      <c r="I70" s="2423"/>
      <c r="J70" s="2423"/>
      <c r="K70" s="2423"/>
    </row>
    <row r="71" spans="1:11">
      <c r="A71" s="2423"/>
      <c r="B71" s="2423"/>
      <c r="C71" s="2423"/>
      <c r="D71" s="2423"/>
      <c r="E71" s="2423"/>
      <c r="F71" s="2423"/>
      <c r="G71" s="2423"/>
      <c r="H71" s="2423"/>
      <c r="I71" s="2423"/>
      <c r="J71" s="2423"/>
      <c r="K71" s="2423"/>
    </row>
    <row r="72" spans="1:11">
      <c r="A72" s="2423"/>
      <c r="B72" s="2423"/>
      <c r="C72" s="2423"/>
      <c r="D72" s="2423"/>
      <c r="E72" s="2423"/>
      <c r="F72" s="2423"/>
      <c r="G72" s="2423"/>
      <c r="H72" s="2423"/>
      <c r="I72" s="2423"/>
      <c r="J72" s="2423"/>
      <c r="K72" s="2423"/>
    </row>
    <row r="73" spans="1:11">
      <c r="A73" s="2423"/>
      <c r="B73" s="2423"/>
      <c r="C73" s="2423"/>
      <c r="D73" s="2423"/>
      <c r="E73" s="2423"/>
      <c r="F73" s="2423"/>
      <c r="G73" s="2423"/>
      <c r="H73" s="2423"/>
      <c r="I73" s="2423"/>
      <c r="J73" s="2423"/>
      <c r="K73" s="2423"/>
    </row>
    <row r="74" spans="1:11">
      <c r="A74" s="2423"/>
      <c r="B74" s="2423"/>
      <c r="C74" s="2423"/>
      <c r="D74" s="2423"/>
      <c r="E74" s="2423"/>
      <c r="F74" s="2423"/>
      <c r="G74" s="2423"/>
      <c r="H74" s="2423"/>
      <c r="I74" s="2423"/>
      <c r="J74" s="2423"/>
      <c r="K74" s="2423"/>
    </row>
    <row r="75" spans="1:11">
      <c r="A75" s="2423"/>
      <c r="B75" s="2423"/>
      <c r="C75" s="2423"/>
      <c r="D75" s="2423"/>
      <c r="E75" s="2423"/>
      <c r="F75" s="2423"/>
      <c r="G75" s="2423"/>
      <c r="H75" s="2423"/>
      <c r="I75" s="2423"/>
      <c r="J75" s="2423"/>
      <c r="K75" s="2423"/>
    </row>
    <row r="76" spans="1:11">
      <c r="A76" s="2423"/>
      <c r="B76" s="2423"/>
      <c r="C76" s="2423"/>
      <c r="D76" s="2423"/>
      <c r="E76" s="2423"/>
      <c r="F76" s="2423"/>
      <c r="G76" s="2423"/>
      <c r="H76" s="2423"/>
      <c r="I76" s="2423"/>
      <c r="J76" s="2423"/>
      <c r="K76" s="2423"/>
    </row>
    <row r="77" spans="1:11">
      <c r="A77" s="2423"/>
      <c r="B77" s="2423"/>
      <c r="C77" s="2423"/>
      <c r="D77" s="2423"/>
      <c r="E77" s="2423"/>
      <c r="F77" s="2423"/>
      <c r="G77" s="2423"/>
      <c r="H77" s="2423"/>
      <c r="I77" s="2423"/>
      <c r="J77" s="2423"/>
      <c r="K77" s="2423"/>
    </row>
    <row r="78" spans="1:11">
      <c r="A78" s="2423"/>
      <c r="B78" s="2423"/>
      <c r="C78" s="2423"/>
      <c r="D78" s="2423"/>
      <c r="E78" s="2423"/>
      <c r="F78" s="2423"/>
      <c r="G78" s="2423"/>
      <c r="H78" s="2423"/>
      <c r="I78" s="2423"/>
      <c r="J78" s="2423"/>
      <c r="K78" s="2423"/>
    </row>
    <row r="79" spans="1:11">
      <c r="A79" s="2423"/>
      <c r="B79" s="2423"/>
      <c r="C79" s="2423"/>
      <c r="D79" s="2423"/>
      <c r="E79" s="2423"/>
      <c r="F79" s="2423"/>
      <c r="G79" s="2423"/>
      <c r="H79" s="2423"/>
      <c r="I79" s="2423"/>
      <c r="J79" s="2423"/>
      <c r="K79" s="2423"/>
    </row>
    <row r="80" spans="1:11">
      <c r="A80" s="2423"/>
      <c r="B80" s="2423"/>
      <c r="C80" s="2423"/>
      <c r="D80" s="2423"/>
      <c r="E80" s="2423"/>
      <c r="F80" s="2423"/>
    </row>
    <row r="81" spans="1:6">
      <c r="A81" s="2423"/>
      <c r="B81" s="2423"/>
      <c r="C81" s="2423"/>
      <c r="D81" s="2423"/>
      <c r="E81" s="2423"/>
      <c r="F81" s="2423"/>
    </row>
    <row r="82" spans="1:6">
      <c r="A82" s="2423"/>
      <c r="B82" s="2423"/>
      <c r="C82" s="2423"/>
      <c r="D82" s="2423"/>
      <c r="E82" s="2423"/>
      <c r="F82" s="2423"/>
    </row>
    <row r="83" spans="1:6">
      <c r="A83" s="2423"/>
      <c r="B83" s="2423"/>
      <c r="C83" s="2423"/>
      <c r="D83" s="2423"/>
      <c r="E83" s="2423"/>
      <c r="F83" s="2423"/>
    </row>
    <row r="84" spans="1:6">
      <c r="A84" s="2423"/>
      <c r="B84" s="2423"/>
      <c r="C84" s="2423"/>
      <c r="D84" s="2423"/>
      <c r="E84" s="2423"/>
      <c r="F84" s="2423"/>
    </row>
    <row r="85" spans="1:6">
      <c r="A85" s="2423"/>
      <c r="B85" s="2423"/>
      <c r="C85" s="2423"/>
      <c r="D85" s="2423"/>
      <c r="E85" s="2423"/>
      <c r="F85" s="2423"/>
    </row>
    <row r="86" spans="1:6">
      <c r="A86" s="2423"/>
      <c r="B86" s="2423"/>
      <c r="C86" s="2423"/>
      <c r="D86" s="2423"/>
      <c r="E86" s="2423"/>
      <c r="F86" s="2423"/>
    </row>
    <row r="87" spans="1:6">
      <c r="A87" s="2423"/>
      <c r="B87" s="2423"/>
      <c r="C87" s="2423"/>
      <c r="D87" s="2423"/>
      <c r="E87" s="2423"/>
      <c r="F87" s="2423"/>
    </row>
    <row r="88" spans="1:6">
      <c r="A88" s="2423"/>
      <c r="B88" s="2423"/>
      <c r="C88" s="2423"/>
      <c r="D88" s="2423"/>
      <c r="E88" s="2423"/>
      <c r="F88" s="2423"/>
    </row>
    <row r="89" spans="1:6">
      <c r="A89" s="2423"/>
      <c r="B89" s="2423"/>
      <c r="C89" s="2423"/>
      <c r="D89" s="2423"/>
      <c r="E89" s="2423"/>
      <c r="F89" s="2423"/>
    </row>
    <row r="90" spans="1:6">
      <c r="A90" s="2423"/>
      <c r="B90" s="2423"/>
      <c r="C90" s="2423"/>
      <c r="D90" s="2423"/>
      <c r="E90" s="2423"/>
      <c r="F90" s="2423"/>
    </row>
    <row r="91" spans="1:6">
      <c r="A91" s="2423"/>
      <c r="B91" s="2423"/>
      <c r="C91" s="2423"/>
      <c r="D91" s="2423"/>
      <c r="E91" s="2423"/>
      <c r="F91" s="2423"/>
    </row>
    <row r="92" spans="1:6">
      <c r="A92" s="2423"/>
      <c r="B92" s="2423"/>
      <c r="C92" s="2423"/>
      <c r="D92" s="2423"/>
      <c r="E92" s="2423"/>
      <c r="F92" s="2423"/>
    </row>
    <row r="93" spans="1:6">
      <c r="A93" s="2423"/>
      <c r="B93" s="2423"/>
      <c r="C93" s="2423"/>
      <c r="D93" s="2423"/>
      <c r="E93" s="2423"/>
      <c r="F93" s="2423"/>
    </row>
    <row r="94" spans="1:6">
      <c r="A94" s="2423"/>
      <c r="B94" s="2423"/>
      <c r="C94" s="2423"/>
      <c r="D94" s="2423"/>
      <c r="E94" s="2423"/>
      <c r="F94" s="2423"/>
    </row>
    <row r="95" spans="1:6">
      <c r="A95" s="2423"/>
      <c r="B95" s="2423"/>
      <c r="C95" s="2423"/>
      <c r="D95" s="2423"/>
      <c r="E95" s="2423"/>
      <c r="F95" s="2423"/>
    </row>
    <row r="96" spans="1:6">
      <c r="A96" s="2423"/>
      <c r="B96" s="2423"/>
      <c r="C96" s="2423"/>
      <c r="D96" s="2423"/>
      <c r="E96" s="2423"/>
      <c r="F96" s="2423"/>
    </row>
    <row r="97" spans="1:6">
      <c r="A97" s="2423"/>
      <c r="B97" s="2423"/>
      <c r="C97" s="2423"/>
      <c r="D97" s="2423"/>
      <c r="E97" s="2423"/>
      <c r="F97" s="2423"/>
    </row>
    <row r="98" spans="1:6">
      <c r="A98" s="2423"/>
      <c r="B98" s="2423"/>
      <c r="C98" s="2423"/>
      <c r="D98" s="2423"/>
      <c r="E98" s="2423"/>
      <c r="F98" s="2423"/>
    </row>
    <row r="99" spans="1:6">
      <c r="A99" s="2423"/>
      <c r="B99" s="2423"/>
      <c r="C99" s="2423"/>
      <c r="D99" s="2423"/>
      <c r="E99" s="2423"/>
      <c r="F99" s="2423"/>
    </row>
    <row r="100" spans="1:6">
      <c r="A100" s="2423"/>
      <c r="B100" s="2423"/>
      <c r="C100" s="2423"/>
      <c r="D100" s="2423"/>
      <c r="E100" s="2423"/>
      <c r="F100" s="2423"/>
    </row>
    <row r="101" spans="1:6">
      <c r="A101" s="2423"/>
      <c r="B101" s="2423"/>
      <c r="C101" s="2423"/>
      <c r="D101" s="2423"/>
      <c r="E101" s="2423"/>
      <c r="F101" s="2423"/>
    </row>
    <row r="102" spans="1:6">
      <c r="A102" s="2423"/>
      <c r="B102" s="2423"/>
      <c r="C102" s="2423"/>
      <c r="D102" s="2423"/>
      <c r="E102" s="2423"/>
      <c r="F102" s="2423"/>
    </row>
    <row r="103" spans="1:6">
      <c r="A103" s="2423"/>
      <c r="B103" s="2423"/>
      <c r="C103" s="2423"/>
      <c r="D103" s="2423"/>
      <c r="E103" s="2423"/>
      <c r="F103" s="2423"/>
    </row>
    <row r="104" spans="1:6">
      <c r="A104" s="2423"/>
      <c r="B104" s="2423"/>
      <c r="C104" s="2423"/>
      <c r="D104" s="2423"/>
      <c r="E104" s="2423"/>
      <c r="F104" s="2423"/>
    </row>
    <row r="105" spans="1:6">
      <c r="A105" s="2423"/>
      <c r="B105" s="2423"/>
      <c r="C105" s="2423"/>
      <c r="D105" s="2423"/>
      <c r="E105" s="2423"/>
      <c r="F105" s="2423"/>
    </row>
    <row r="106" spans="1:6">
      <c r="A106" s="2423"/>
      <c r="B106" s="2423"/>
      <c r="C106" s="2423"/>
      <c r="D106" s="2423"/>
      <c r="E106" s="2423"/>
      <c r="F106" s="2423"/>
    </row>
    <row r="107" spans="1:6">
      <c r="A107" s="2423"/>
      <c r="B107" s="2423"/>
      <c r="C107" s="2423"/>
      <c r="D107" s="2423"/>
      <c r="E107" s="2423"/>
      <c r="F107" s="2423"/>
    </row>
    <row r="108" spans="1:6">
      <c r="A108" s="2423"/>
      <c r="B108" s="2423"/>
      <c r="C108" s="2423"/>
      <c r="D108" s="2423"/>
      <c r="E108" s="2423"/>
      <c r="F108" s="2423"/>
    </row>
    <row r="109" spans="1:6">
      <c r="A109" s="2423"/>
      <c r="B109" s="2423"/>
      <c r="C109" s="2423"/>
      <c r="D109" s="2423"/>
      <c r="E109" s="2423"/>
      <c r="F109" s="2423"/>
    </row>
    <row r="110" spans="1:6">
      <c r="A110" s="2423"/>
      <c r="B110" s="2423"/>
      <c r="C110" s="2423"/>
      <c r="D110" s="2423"/>
      <c r="E110" s="2423"/>
      <c r="F110" s="2423"/>
    </row>
    <row r="111" spans="1:6">
      <c r="A111" s="2423"/>
      <c r="B111" s="2423"/>
      <c r="C111" s="2423"/>
      <c r="D111" s="2423"/>
      <c r="E111" s="2423"/>
      <c r="F111" s="2423"/>
    </row>
    <row r="112" spans="1:6">
      <c r="A112" s="2423"/>
      <c r="B112" s="2423"/>
      <c r="C112" s="2423"/>
      <c r="D112" s="2423"/>
      <c r="E112" s="2423"/>
      <c r="F112" s="2423"/>
    </row>
    <row r="113" spans="1:6">
      <c r="A113" s="2423"/>
      <c r="B113" s="2423"/>
      <c r="C113" s="2423"/>
      <c r="D113" s="2423"/>
      <c r="E113" s="2423"/>
      <c r="F113" s="2423"/>
    </row>
    <row r="114" spans="1:6">
      <c r="A114" s="2423"/>
      <c r="B114" s="2423"/>
      <c r="C114" s="2423"/>
      <c r="D114" s="2423"/>
      <c r="E114" s="2423"/>
      <c r="F114" s="2423"/>
    </row>
    <row r="115" spans="1:6">
      <c r="A115" s="2423"/>
      <c r="B115" s="2423"/>
      <c r="C115" s="2423"/>
      <c r="D115" s="2423"/>
      <c r="E115" s="2423"/>
      <c r="F115" s="2423"/>
    </row>
    <row r="116" spans="1:6">
      <c r="A116" s="2423"/>
      <c r="B116" s="2423"/>
      <c r="C116" s="2423"/>
      <c r="D116" s="2423"/>
      <c r="E116" s="2423"/>
      <c r="F116" s="2423"/>
    </row>
    <row r="117" spans="1:6">
      <c r="A117" s="2423"/>
      <c r="B117" s="2423"/>
      <c r="C117" s="2423"/>
      <c r="D117" s="2423"/>
      <c r="E117" s="2423"/>
      <c r="F117" s="2423"/>
    </row>
    <row r="118" spans="1:6">
      <c r="A118" s="2423"/>
      <c r="B118" s="2423"/>
      <c r="C118" s="2423"/>
      <c r="D118" s="2423"/>
      <c r="E118" s="2423"/>
      <c r="F118" s="2423"/>
    </row>
    <row r="119" spans="1:6">
      <c r="A119" s="2423"/>
      <c r="B119" s="2423"/>
      <c r="C119" s="2423"/>
      <c r="D119" s="2423"/>
      <c r="E119" s="2423"/>
      <c r="F119" s="2423"/>
    </row>
    <row r="120" spans="1:6">
      <c r="A120" s="2423"/>
      <c r="B120" s="2423"/>
      <c r="C120" s="2423"/>
      <c r="D120" s="2423"/>
      <c r="E120" s="2423"/>
      <c r="F120" s="2423"/>
    </row>
    <row r="121" spans="1:6">
      <c r="A121" s="2423"/>
      <c r="B121" s="2423"/>
      <c r="C121" s="2423"/>
      <c r="D121" s="2423"/>
      <c r="E121" s="2423"/>
      <c r="F121" s="2423"/>
    </row>
    <row r="122" spans="1:6">
      <c r="A122" s="2423"/>
      <c r="B122" s="2423"/>
      <c r="C122" s="2423"/>
      <c r="D122" s="2423"/>
      <c r="E122" s="2423"/>
      <c r="F122" s="2423"/>
    </row>
    <row r="123" spans="1:6">
      <c r="A123" s="2423"/>
      <c r="B123" s="2423"/>
      <c r="C123" s="2423"/>
      <c r="D123" s="2423"/>
      <c r="E123" s="2423"/>
      <c r="F123" s="2423"/>
    </row>
    <row r="124" spans="1:6">
      <c r="A124" s="2423"/>
      <c r="B124" s="2423"/>
      <c r="C124" s="2423"/>
      <c r="D124" s="2423"/>
      <c r="E124" s="2423"/>
      <c r="F124" s="2423"/>
    </row>
    <row r="125" spans="1:6">
      <c r="A125" s="2423"/>
      <c r="B125" s="2423"/>
      <c r="C125" s="2423"/>
      <c r="D125" s="2423"/>
      <c r="E125" s="2423"/>
      <c r="F125" s="2423"/>
    </row>
    <row r="126" spans="1:6">
      <c r="A126" s="2423"/>
      <c r="B126" s="2423"/>
      <c r="C126" s="2423"/>
      <c r="D126" s="2423"/>
      <c r="E126" s="2423"/>
      <c r="F126" s="2423"/>
    </row>
    <row r="127" spans="1:6">
      <c r="A127" s="2423"/>
      <c r="B127" s="2423"/>
      <c r="C127" s="2423"/>
      <c r="D127" s="2423"/>
      <c r="E127" s="2423"/>
      <c r="F127" s="2423"/>
    </row>
    <row r="128" spans="1:6">
      <c r="A128" s="2423"/>
      <c r="B128" s="2423"/>
      <c r="C128" s="2423"/>
      <c r="D128" s="2423"/>
      <c r="E128" s="2423"/>
      <c r="F128" s="2423"/>
    </row>
    <row r="129" spans="1:6">
      <c r="A129" s="2423"/>
      <c r="B129" s="2423"/>
      <c r="C129" s="2423"/>
      <c r="D129" s="2423"/>
      <c r="E129" s="2423"/>
      <c r="F129" s="2423"/>
    </row>
    <row r="130" spans="1:6">
      <c r="A130" s="2423"/>
      <c r="B130" s="2423"/>
      <c r="C130" s="2423"/>
      <c r="D130" s="2423"/>
      <c r="E130" s="2423"/>
      <c r="F130" s="2423"/>
    </row>
    <row r="131" spans="1:6">
      <c r="A131" s="2423"/>
      <c r="B131" s="2423"/>
      <c r="C131" s="2423"/>
      <c r="D131" s="2423"/>
      <c r="E131" s="2423"/>
      <c r="F131" s="2423"/>
    </row>
    <row r="132" spans="1:6">
      <c r="A132" s="2423"/>
      <c r="B132" s="2423"/>
      <c r="C132" s="2423"/>
      <c r="D132" s="2423"/>
      <c r="E132" s="2423"/>
      <c r="F132" s="2423"/>
    </row>
    <row r="133" spans="1:6">
      <c r="A133" s="2423"/>
      <c r="B133" s="2423"/>
      <c r="C133" s="2423"/>
      <c r="D133" s="2423"/>
      <c r="E133" s="2423"/>
      <c r="F133" s="2423"/>
    </row>
    <row r="134" spans="1:6">
      <c r="A134" s="2423"/>
      <c r="B134" s="2423"/>
      <c r="C134" s="2423"/>
      <c r="D134" s="2423"/>
      <c r="E134" s="2423"/>
      <c r="F134" s="2423"/>
    </row>
    <row r="135" spans="1:6">
      <c r="A135" s="2423"/>
      <c r="B135" s="2423"/>
      <c r="C135" s="2423"/>
      <c r="D135" s="2423"/>
      <c r="E135" s="2423"/>
      <c r="F135" s="2423"/>
    </row>
    <row r="136" spans="1:6">
      <c r="A136" s="2423"/>
      <c r="B136" s="2423"/>
      <c r="C136" s="2423"/>
      <c r="D136" s="2423"/>
      <c r="E136" s="2423"/>
      <c r="F136" s="2423"/>
    </row>
    <row r="137" spans="1:6">
      <c r="A137" s="2423"/>
      <c r="B137" s="2423"/>
      <c r="C137" s="2423"/>
      <c r="D137" s="2423"/>
      <c r="E137" s="2423"/>
      <c r="F137" s="2423"/>
    </row>
    <row r="138" spans="1:6">
      <c r="A138" s="2423"/>
      <c r="B138" s="2423"/>
      <c r="C138" s="2423"/>
      <c r="D138" s="2423"/>
      <c r="E138" s="2423"/>
      <c r="F138" s="2423"/>
    </row>
    <row r="139" spans="1:6">
      <c r="A139" s="2423"/>
      <c r="B139" s="2423"/>
      <c r="C139" s="2423"/>
      <c r="D139" s="2423"/>
      <c r="E139" s="2423"/>
      <c r="F139" s="2423"/>
    </row>
    <row r="140" spans="1:6">
      <c r="A140" s="2423"/>
      <c r="B140" s="2423"/>
      <c r="C140" s="2423"/>
      <c r="D140" s="2423"/>
      <c r="E140" s="2423"/>
      <c r="F140" s="2423"/>
    </row>
    <row r="141" spans="1:6">
      <c r="A141" s="2423"/>
      <c r="B141" s="2423"/>
      <c r="C141" s="2423"/>
      <c r="D141" s="2423"/>
      <c r="E141" s="2423"/>
      <c r="F141" s="2423"/>
    </row>
    <row r="142" spans="1:6">
      <c r="A142" s="2423"/>
      <c r="B142" s="2423"/>
      <c r="C142" s="2423"/>
      <c r="D142" s="2423"/>
      <c r="E142" s="2423"/>
      <c r="F142" s="2423"/>
    </row>
    <row r="143" spans="1:6">
      <c r="A143" s="2423"/>
      <c r="B143" s="2423"/>
      <c r="C143" s="2423"/>
      <c r="D143" s="2423"/>
      <c r="E143" s="2423"/>
      <c r="F143" s="2423"/>
    </row>
    <row r="144" spans="1:6">
      <c r="A144" s="2423"/>
      <c r="B144" s="2423"/>
      <c r="C144" s="2423"/>
      <c r="D144" s="2423"/>
      <c r="E144" s="2423"/>
      <c r="F144" s="2423"/>
    </row>
    <row r="145" spans="1:6">
      <c r="A145" s="2423"/>
      <c r="B145" s="2423"/>
      <c r="C145" s="2423"/>
      <c r="D145" s="2423"/>
      <c r="E145" s="2423"/>
      <c r="F145" s="2423"/>
    </row>
    <row r="146" spans="1:6">
      <c r="A146" s="2423"/>
      <c r="B146" s="2423"/>
      <c r="C146" s="2423"/>
      <c r="D146" s="2423"/>
      <c r="E146" s="2423"/>
      <c r="F146" s="2423"/>
    </row>
  </sheetData>
  <mergeCells count="2">
    <mergeCell ref="A1:C1"/>
    <mergeCell ref="D8:E8"/>
  </mergeCells>
  <phoneticPr fontId="378" type="noConversion"/>
  <hyperlinks>
    <hyperlink ref="D8:E8" location="总目录!A1" display="返回目录"/>
  </hyperlinks>
  <pageMargins left="0.75" right="0.75" top="1" bottom="1" header="0.50902777777777797" footer="0.50902777777777797"/>
  <pageSetup paperSize="9" orientation="portrait" horizontalDpi="180" verticalDpi="180"/>
  <headerFooter scaleWithDoc="0"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6"/>
  <sheetViews>
    <sheetView topLeftCell="A28" workbookViewId="0">
      <selection activeCell="K3" sqref="K3"/>
    </sheetView>
  </sheetViews>
  <sheetFormatPr defaultColWidth="8.75" defaultRowHeight="16.5"/>
  <cols>
    <col min="1" max="1" width="15.75" style="95" customWidth="1"/>
    <col min="2" max="3" width="9.25" style="95" customWidth="1"/>
    <col min="4" max="16384" width="8.75" style="95"/>
  </cols>
  <sheetData>
    <row r="1" spans="1:4">
      <c r="A1" s="2397" t="s">
        <v>6482</v>
      </c>
      <c r="B1" s="506" t="s">
        <v>6483</v>
      </c>
      <c r="C1" s="506" t="s">
        <v>6397</v>
      </c>
      <c r="D1" s="506" t="s">
        <v>6394</v>
      </c>
    </row>
    <row r="2" spans="1:4">
      <c r="A2" s="86" t="s">
        <v>6398</v>
      </c>
      <c r="B2" s="506" t="s">
        <v>6484</v>
      </c>
      <c r="C2" s="88">
        <v>2</v>
      </c>
      <c r="D2" s="506" t="s">
        <v>6399</v>
      </c>
    </row>
    <row r="3" spans="1:4">
      <c r="A3" s="86" t="s">
        <v>6485</v>
      </c>
      <c r="B3" s="506" t="s">
        <v>6486</v>
      </c>
      <c r="C3" s="88">
        <v>0.05</v>
      </c>
      <c r="D3" s="506" t="s">
        <v>6407</v>
      </c>
    </row>
    <row r="4" spans="1:4">
      <c r="A4" s="86" t="s">
        <v>6487</v>
      </c>
      <c r="B4" s="506" t="s">
        <v>6488</v>
      </c>
      <c r="C4" s="88">
        <v>0.5</v>
      </c>
      <c r="D4" s="506" t="s">
        <v>6399</v>
      </c>
    </row>
    <row r="5" spans="1:4">
      <c r="A5" s="506" t="s">
        <v>6489</v>
      </c>
      <c r="B5" s="506" t="s">
        <v>6422</v>
      </c>
      <c r="C5" s="506">
        <v>0.8</v>
      </c>
      <c r="D5" s="506"/>
    </row>
    <row r="6" spans="1:4">
      <c r="A6" s="86" t="s">
        <v>6423</v>
      </c>
      <c r="B6" s="506" t="s">
        <v>6424</v>
      </c>
      <c r="C6" s="88">
        <v>0</v>
      </c>
      <c r="D6" s="506" t="s">
        <v>6425</v>
      </c>
    </row>
    <row r="7" spans="1:4">
      <c r="A7" s="506" t="s">
        <v>1461</v>
      </c>
      <c r="B7" s="506" t="s">
        <v>6426</v>
      </c>
      <c r="C7" s="506">
        <v>0.1</v>
      </c>
      <c r="D7" s="506"/>
    </row>
    <row r="8" spans="1:4">
      <c r="A8" s="506" t="s">
        <v>6427</v>
      </c>
      <c r="B8" s="506" t="s">
        <v>5932</v>
      </c>
      <c r="C8" s="506">
        <v>0</v>
      </c>
      <c r="D8" s="506" t="s">
        <v>6109</v>
      </c>
    </row>
    <row r="9" spans="1:4">
      <c r="A9" s="506" t="s">
        <v>6428</v>
      </c>
      <c r="B9" s="506" t="s">
        <v>6429</v>
      </c>
      <c r="C9" s="506">
        <v>9.8000000000000007</v>
      </c>
      <c r="D9" s="506" t="s">
        <v>6430</v>
      </c>
    </row>
    <row r="10" spans="1:4">
      <c r="A10" s="2397" t="s">
        <v>6490</v>
      </c>
      <c r="B10" s="506"/>
      <c r="C10" s="506"/>
      <c r="D10" s="506"/>
    </row>
    <row r="11" spans="1:4">
      <c r="A11" s="638" t="s">
        <v>6491</v>
      </c>
      <c r="B11" s="506" t="s">
        <v>6492</v>
      </c>
      <c r="C11" s="88">
        <v>1</v>
      </c>
      <c r="D11" s="506" t="s">
        <v>6407</v>
      </c>
    </row>
    <row r="12" spans="1:4">
      <c r="A12" s="638" t="s">
        <v>6120</v>
      </c>
      <c r="B12" s="506" t="s">
        <v>6431</v>
      </c>
      <c r="C12" s="88">
        <v>0.1</v>
      </c>
      <c r="D12" s="506" t="s">
        <v>6346</v>
      </c>
    </row>
    <row r="13" spans="1:4">
      <c r="A13" s="638" t="s">
        <v>6123</v>
      </c>
      <c r="B13" s="506" t="s">
        <v>6432</v>
      </c>
      <c r="C13" s="88">
        <v>0.8</v>
      </c>
      <c r="D13" s="506" t="s">
        <v>6346</v>
      </c>
    </row>
    <row r="14" spans="1:4">
      <c r="A14" s="638" t="s">
        <v>6433</v>
      </c>
      <c r="B14" s="506" t="s">
        <v>6434</v>
      </c>
      <c r="C14" s="88">
        <v>0.1</v>
      </c>
      <c r="D14" s="506" t="s">
        <v>6346</v>
      </c>
    </row>
    <row r="15" spans="1:4">
      <c r="A15" s="638" t="s">
        <v>6437</v>
      </c>
      <c r="B15" s="506" t="s">
        <v>6438</v>
      </c>
      <c r="C15" s="88">
        <v>2</v>
      </c>
      <c r="D15" s="506" t="s">
        <v>6346</v>
      </c>
    </row>
    <row r="16" spans="1:4">
      <c r="A16" s="2397" t="s">
        <v>6440</v>
      </c>
      <c r="B16" s="506"/>
      <c r="C16" s="506"/>
      <c r="D16" s="506"/>
    </row>
    <row r="17" spans="1:18">
      <c r="A17" s="506" t="s">
        <v>6443</v>
      </c>
      <c r="B17" s="506" t="s">
        <v>6444</v>
      </c>
      <c r="C17" s="506">
        <f>C6+C2*C3*C3/4+C4*C3*C3*2/8</f>
        <v>1.5625000000000001E-3</v>
      </c>
      <c r="D17" s="506" t="s">
        <v>6425</v>
      </c>
    </row>
    <row r="18" spans="1:18">
      <c r="A18" s="506"/>
      <c r="B18" s="506"/>
      <c r="C18" s="506"/>
      <c r="D18" s="506"/>
    </row>
    <row r="19" spans="1:18">
      <c r="A19" s="506" t="s">
        <v>6445</v>
      </c>
      <c r="B19" s="506" t="s">
        <v>6446</v>
      </c>
      <c r="C19" s="88">
        <v>8.7000000000000001E-5</v>
      </c>
      <c r="D19" s="506" t="s">
        <v>6425</v>
      </c>
    </row>
    <row r="20" spans="1:18">
      <c r="A20" s="506"/>
      <c r="B20" s="506"/>
      <c r="C20" s="506"/>
      <c r="D20" s="506"/>
    </row>
    <row r="21" spans="1:18">
      <c r="A21" s="506" t="s">
        <v>6447</v>
      </c>
      <c r="B21" s="506" t="s">
        <v>6448</v>
      </c>
      <c r="C21" s="506">
        <f>C17/C19</f>
        <v>17.959770114942501</v>
      </c>
      <c r="D21" s="506" t="s">
        <v>6449</v>
      </c>
      <c r="E21" s="2404"/>
      <c r="F21" s="2404"/>
      <c r="G21" s="2404"/>
      <c r="H21" s="2404"/>
      <c r="I21" s="2404"/>
      <c r="J21" s="2404"/>
      <c r="K21" s="2404"/>
    </row>
    <row r="22" spans="1:18">
      <c r="A22" s="506"/>
      <c r="B22" s="506"/>
      <c r="C22" s="506"/>
      <c r="D22" s="506"/>
    </row>
    <row r="23" spans="1:18">
      <c r="A23" s="506" t="s">
        <v>6128</v>
      </c>
      <c r="B23" s="506" t="s">
        <v>6409</v>
      </c>
      <c r="C23" s="2400">
        <f>C11/(0.5*C12+C13+0.5*C14)</f>
        <v>1.1111111111111101</v>
      </c>
      <c r="D23" s="506" t="s">
        <v>6127</v>
      </c>
      <c r="Q23" s="3162" t="s">
        <v>12704</v>
      </c>
    </row>
    <row r="24" spans="1:18">
      <c r="A24" s="506"/>
      <c r="B24" s="506"/>
      <c r="C24" s="506"/>
      <c r="D24" s="506"/>
    </row>
    <row r="25" spans="1:18">
      <c r="A25" s="506" t="s">
        <v>6469</v>
      </c>
      <c r="B25" s="506" t="s">
        <v>6109</v>
      </c>
      <c r="C25" s="2401">
        <f>C23/3.14/C3</f>
        <v>7.0771408351026199</v>
      </c>
      <c r="D25" s="506" t="s">
        <v>6470</v>
      </c>
      <c r="Q25" s="3374"/>
      <c r="R25" s="3374"/>
    </row>
    <row r="26" spans="1:18">
      <c r="A26" s="506" t="s">
        <v>2033</v>
      </c>
      <c r="B26" s="506" t="s">
        <v>6109</v>
      </c>
      <c r="C26" s="2398">
        <f>C25*60</f>
        <v>424.628450106157</v>
      </c>
      <c r="D26" s="506" t="s">
        <v>1997</v>
      </c>
    </row>
    <row r="27" spans="1:18">
      <c r="A27" s="506"/>
      <c r="B27" s="506"/>
      <c r="C27" s="2398"/>
      <c r="D27" s="506"/>
    </row>
    <row r="28" spans="1:18">
      <c r="A28" s="506" t="s">
        <v>6462</v>
      </c>
      <c r="B28" s="506" t="s">
        <v>6463</v>
      </c>
      <c r="C28" s="2400">
        <f>C3*(C7*C9*C2+C8)/2/C5</f>
        <v>6.1249999999999999E-2</v>
      </c>
      <c r="D28" s="506" t="s">
        <v>2001</v>
      </c>
    </row>
    <row r="29" spans="1:18">
      <c r="A29" s="506"/>
      <c r="B29" s="506"/>
      <c r="C29" s="506"/>
      <c r="D29" s="506"/>
    </row>
    <row r="30" spans="1:18">
      <c r="A30" s="506" t="s">
        <v>6453</v>
      </c>
      <c r="B30" s="506" t="s">
        <v>6454</v>
      </c>
      <c r="C30" s="2400">
        <f>(C17+C19)*2*3.14*C25/C12+C28</f>
        <v>0.79436111111111096</v>
      </c>
      <c r="D30" s="506" t="s">
        <v>2001</v>
      </c>
    </row>
    <row r="31" spans="1:18">
      <c r="A31" s="506"/>
      <c r="B31" s="506"/>
      <c r="C31" s="506"/>
      <c r="D31" s="506"/>
    </row>
    <row r="32" spans="1:18">
      <c r="A32" s="506" t="s">
        <v>6459</v>
      </c>
      <c r="B32" s="506" t="s">
        <v>6460</v>
      </c>
      <c r="C32" s="2400">
        <f>(C17+C19)*2*3.14*C25/C14-C28</f>
        <v>0.67186111111111102</v>
      </c>
      <c r="D32" s="506" t="s">
        <v>2001</v>
      </c>
    </row>
    <row r="33" spans="1:12">
      <c r="A33" s="506"/>
      <c r="B33" s="506"/>
      <c r="C33" s="506"/>
      <c r="D33" s="506"/>
    </row>
    <row r="34" spans="1:12">
      <c r="A34" s="506" t="s">
        <v>6464</v>
      </c>
      <c r="B34" s="506" t="s">
        <v>6465</v>
      </c>
      <c r="C34" s="506"/>
      <c r="D34" s="506" t="s">
        <v>2001</v>
      </c>
      <c r="E34" s="2404"/>
      <c r="F34" s="2404"/>
      <c r="G34" s="131"/>
      <c r="H34" s="131"/>
      <c r="I34" s="131"/>
      <c r="J34" s="131"/>
      <c r="K34" s="131"/>
      <c r="L34" s="131"/>
    </row>
    <row r="35" spans="1:12">
      <c r="A35" s="506"/>
      <c r="B35" s="506"/>
      <c r="C35" s="506"/>
      <c r="D35" s="506"/>
    </row>
    <row r="36" spans="1:12">
      <c r="A36" s="506" t="s">
        <v>6466</v>
      </c>
      <c r="B36" s="506" t="s">
        <v>6467</v>
      </c>
      <c r="C36" s="2400">
        <f>SQRT((C30*C30*C12+C28*C28*C13+C32*C32*C14)/C15)</f>
        <v>0.23584098747557999</v>
      </c>
      <c r="D36" s="506" t="s">
        <v>2001</v>
      </c>
    </row>
    <row r="54" spans="17:18">
      <c r="Q54" s="3162" t="s">
        <v>12704</v>
      </c>
    </row>
    <row r="56" spans="17:18">
      <c r="Q56" s="3374"/>
      <c r="R56" s="3374"/>
    </row>
  </sheetData>
  <mergeCells count="2">
    <mergeCell ref="Q25:R25"/>
    <mergeCell ref="Q56:R56"/>
  </mergeCells>
  <phoneticPr fontId="378" type="noConversion"/>
  <hyperlinks>
    <hyperlink ref="Q23" location="总目录!A1" display="返回目录"/>
    <hyperlink ref="Q54" location="总目录!A1" display="返回目录"/>
  </hyperlinks>
  <pageMargins left="0.75" right="0.75" top="1" bottom="1" header="0.5" footer="0.5"/>
  <pageSetup paperSize="9" orientation="portrait"/>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2"/>
  <sheetViews>
    <sheetView topLeftCell="A112" zoomScale="85" zoomScaleNormal="85" workbookViewId="0">
      <selection activeCell="K3" sqref="K3"/>
    </sheetView>
  </sheetViews>
  <sheetFormatPr defaultColWidth="8.75" defaultRowHeight="16.5"/>
  <cols>
    <col min="1" max="1" width="15.75" style="95" customWidth="1"/>
    <col min="2" max="3" width="9.25" style="95" customWidth="1"/>
    <col min="4" max="16384" width="8.75" style="95"/>
  </cols>
  <sheetData>
    <row r="1" spans="1:16" ht="85.15" customHeight="1">
      <c r="A1" s="3402" t="s">
        <v>6493</v>
      </c>
      <c r="B1" s="3403"/>
      <c r="C1" s="3403"/>
      <c r="D1" s="3403"/>
      <c r="E1" s="3403"/>
      <c r="F1" s="3403"/>
      <c r="G1" s="3403"/>
      <c r="H1" s="3403"/>
      <c r="I1" s="3403"/>
      <c r="J1" s="3403"/>
      <c r="K1" s="3403"/>
      <c r="L1" s="3403"/>
      <c r="M1" s="3403"/>
      <c r="N1" s="3403"/>
      <c r="O1" s="3403"/>
      <c r="P1" s="3403"/>
    </row>
    <row r="2" spans="1:16">
      <c r="A2" s="2397" t="s">
        <v>6396</v>
      </c>
      <c r="B2" s="506" t="s">
        <v>6483</v>
      </c>
      <c r="C2" s="506" t="s">
        <v>6397</v>
      </c>
      <c r="D2" s="506" t="s">
        <v>6394</v>
      </c>
    </row>
    <row r="3" spans="1:16">
      <c r="A3" s="86" t="s">
        <v>6398</v>
      </c>
      <c r="B3" s="506" t="s">
        <v>6484</v>
      </c>
      <c r="C3" s="88">
        <v>10</v>
      </c>
      <c r="D3" s="506" t="s">
        <v>6399</v>
      </c>
      <c r="F3" s="3159"/>
      <c r="G3" s="3162" t="s">
        <v>12704</v>
      </c>
    </row>
    <row r="4" spans="1:16">
      <c r="A4" s="506" t="s">
        <v>6410</v>
      </c>
      <c r="B4" s="506" t="s">
        <v>6411</v>
      </c>
      <c r="C4" s="506">
        <v>7900</v>
      </c>
      <c r="D4" s="506" t="s">
        <v>6412</v>
      </c>
    </row>
    <row r="5" spans="1:16">
      <c r="A5" s="506" t="s">
        <v>6415</v>
      </c>
      <c r="B5" s="506" t="s">
        <v>6416</v>
      </c>
      <c r="C5" s="506">
        <v>2800</v>
      </c>
      <c r="D5" s="506" t="s">
        <v>6412</v>
      </c>
    </row>
    <row r="6" spans="1:16">
      <c r="A6" s="506" t="s">
        <v>6419</v>
      </c>
      <c r="B6" s="506" t="s">
        <v>6420</v>
      </c>
      <c r="C6" s="506">
        <v>8500</v>
      </c>
      <c r="D6" s="506" t="s">
        <v>6412</v>
      </c>
    </row>
    <row r="7" spans="1:16">
      <c r="A7" s="86" t="s">
        <v>6405</v>
      </c>
      <c r="B7" s="506" t="s">
        <v>6406</v>
      </c>
      <c r="C7" s="88">
        <v>0.5</v>
      </c>
      <c r="D7" s="506" t="s">
        <v>6407</v>
      </c>
    </row>
    <row r="8" spans="1:16">
      <c r="A8" s="86" t="s">
        <v>6413</v>
      </c>
      <c r="B8" s="506" t="s">
        <v>6414</v>
      </c>
      <c r="C8" s="88">
        <v>0.02</v>
      </c>
      <c r="D8" s="506" t="s">
        <v>6407</v>
      </c>
    </row>
    <row r="9" spans="1:16">
      <c r="A9" s="86" t="s">
        <v>6417</v>
      </c>
      <c r="B9" s="506" t="s">
        <v>6418</v>
      </c>
      <c r="C9" s="88">
        <v>0.02</v>
      </c>
      <c r="D9" s="506" t="s">
        <v>6407</v>
      </c>
    </row>
    <row r="10" spans="1:16">
      <c r="A10" s="506" t="s">
        <v>6421</v>
      </c>
      <c r="B10" s="506" t="s">
        <v>6422</v>
      </c>
      <c r="C10" s="506">
        <v>0.9</v>
      </c>
      <c r="D10" s="506"/>
    </row>
    <row r="11" spans="1:16">
      <c r="A11" s="86" t="s">
        <v>6423</v>
      </c>
      <c r="B11" s="506" t="s">
        <v>6424</v>
      </c>
      <c r="C11" s="88">
        <v>1.0000000000000001E-5</v>
      </c>
      <c r="D11" s="506" t="s">
        <v>6425</v>
      </c>
    </row>
    <row r="12" spans="1:16">
      <c r="A12" s="506" t="s">
        <v>1461</v>
      </c>
      <c r="B12" s="506" t="s">
        <v>6426</v>
      </c>
      <c r="C12" s="506">
        <v>0.1</v>
      </c>
      <c r="D12" s="506"/>
    </row>
    <row r="13" spans="1:16">
      <c r="A13" s="506" t="s">
        <v>6427</v>
      </c>
      <c r="B13" s="506" t="s">
        <v>5932</v>
      </c>
      <c r="C13" s="633">
        <v>0</v>
      </c>
      <c r="D13" s="506" t="s">
        <v>6109</v>
      </c>
    </row>
    <row r="14" spans="1:16">
      <c r="A14" s="506" t="s">
        <v>6428</v>
      </c>
      <c r="B14" s="506" t="s">
        <v>6429</v>
      </c>
      <c r="C14" s="506">
        <v>9.8000000000000007</v>
      </c>
      <c r="D14" s="506" t="s">
        <v>6430</v>
      </c>
    </row>
    <row r="15" spans="1:16">
      <c r="A15" s="2397" t="s">
        <v>6490</v>
      </c>
      <c r="B15" s="506"/>
      <c r="C15" s="506"/>
      <c r="D15" s="506"/>
    </row>
    <row r="16" spans="1:16">
      <c r="A16" s="638" t="s">
        <v>6491</v>
      </c>
      <c r="B16" s="506" t="s">
        <v>6492</v>
      </c>
      <c r="C16" s="88">
        <v>0.3</v>
      </c>
      <c r="D16" s="506" t="s">
        <v>6407</v>
      </c>
    </row>
    <row r="17" spans="1:11">
      <c r="A17" s="638" t="s">
        <v>6120</v>
      </c>
      <c r="B17" s="506" t="s">
        <v>6431</v>
      </c>
      <c r="C17" s="88">
        <v>0.1</v>
      </c>
      <c r="D17" s="506" t="s">
        <v>6346</v>
      </c>
    </row>
    <row r="18" spans="1:11">
      <c r="A18" s="638" t="s">
        <v>6123</v>
      </c>
      <c r="B18" s="506" t="s">
        <v>6432</v>
      </c>
      <c r="C18" s="88">
        <v>0.8</v>
      </c>
      <c r="D18" s="506" t="s">
        <v>6346</v>
      </c>
    </row>
    <row r="19" spans="1:11">
      <c r="A19" s="638" t="s">
        <v>6433</v>
      </c>
      <c r="B19" s="506" t="s">
        <v>6434</v>
      </c>
      <c r="C19" s="88">
        <v>0.1</v>
      </c>
      <c r="D19" s="506" t="s">
        <v>6346</v>
      </c>
    </row>
    <row r="20" spans="1:11">
      <c r="A20" s="638" t="s">
        <v>6437</v>
      </c>
      <c r="B20" s="506" t="s">
        <v>6438</v>
      </c>
      <c r="C20" s="88">
        <v>2</v>
      </c>
      <c r="D20" s="506" t="s">
        <v>6346</v>
      </c>
    </row>
    <row r="21" spans="1:11">
      <c r="A21" s="2397" t="s">
        <v>6440</v>
      </c>
      <c r="B21" s="506"/>
      <c r="C21" s="506"/>
      <c r="D21" s="506"/>
    </row>
    <row r="22" spans="1:11">
      <c r="A22" s="506" t="s">
        <v>6441</v>
      </c>
      <c r="B22" s="506" t="s">
        <v>6442</v>
      </c>
      <c r="C22" s="2398">
        <f>C4*3.14*C8*C8/4*C7</f>
        <v>1.2403</v>
      </c>
      <c r="D22" s="506" t="s">
        <v>6399</v>
      </c>
    </row>
    <row r="23" spans="1:11">
      <c r="A23" s="506"/>
      <c r="B23" s="506"/>
      <c r="C23" s="506"/>
      <c r="D23" s="506"/>
    </row>
    <row r="24" spans="1:11">
      <c r="A24" s="506" t="s">
        <v>6443</v>
      </c>
      <c r="B24" s="506" t="s">
        <v>6444</v>
      </c>
      <c r="C24" s="506">
        <f>C11+C22*C8*C8/8+C3*C9*C9/4/3.14/3.14</f>
        <v>1.73438992859751E-4</v>
      </c>
      <c r="D24" s="506" t="s">
        <v>6425</v>
      </c>
    </row>
    <row r="25" spans="1:11">
      <c r="A25" s="506"/>
      <c r="B25" s="506"/>
      <c r="C25" s="506"/>
      <c r="D25" s="506"/>
    </row>
    <row r="26" spans="1:11">
      <c r="A26" s="506" t="s">
        <v>6445</v>
      </c>
      <c r="B26" s="506" t="s">
        <v>6446</v>
      </c>
      <c r="C26" s="88">
        <v>1.4E-5</v>
      </c>
      <c r="D26" s="506" t="s">
        <v>6425</v>
      </c>
    </row>
    <row r="27" spans="1:11">
      <c r="A27" s="506"/>
      <c r="B27" s="506"/>
      <c r="C27" s="506"/>
      <c r="D27" s="506"/>
    </row>
    <row r="28" spans="1:11">
      <c r="A28" s="506" t="s">
        <v>6447</v>
      </c>
      <c r="B28" s="506" t="s">
        <v>6448</v>
      </c>
      <c r="C28" s="506">
        <f>C24/C26</f>
        <v>12.3884994899822</v>
      </c>
      <c r="D28" s="506" t="s">
        <v>6449</v>
      </c>
      <c r="E28" s="2399" t="s">
        <v>6450</v>
      </c>
      <c r="F28" s="2399"/>
      <c r="G28" s="2399"/>
      <c r="H28" s="2399"/>
      <c r="I28" s="2399"/>
      <c r="J28" s="2399"/>
      <c r="K28" s="2399"/>
    </row>
    <row r="29" spans="1:11">
      <c r="A29" s="506"/>
      <c r="B29" s="506"/>
      <c r="C29" s="506"/>
      <c r="D29" s="506"/>
    </row>
    <row r="30" spans="1:11">
      <c r="A30" s="506" t="s">
        <v>6128</v>
      </c>
      <c r="B30" s="506" t="s">
        <v>6409</v>
      </c>
      <c r="C30" s="2400">
        <f>C16/(0.5*C17+C18+0.5*C19)</f>
        <v>0.33333333333333298</v>
      </c>
      <c r="D30" s="506" t="s">
        <v>6127</v>
      </c>
    </row>
    <row r="31" spans="1:11">
      <c r="A31" s="506"/>
      <c r="B31" s="506"/>
      <c r="C31" s="506"/>
      <c r="D31" s="506"/>
    </row>
    <row r="32" spans="1:11">
      <c r="A32" s="506" t="s">
        <v>6469</v>
      </c>
      <c r="B32" s="506" t="s">
        <v>6109</v>
      </c>
      <c r="C32" s="2401">
        <f>C30/C9</f>
        <v>16.6666666666667</v>
      </c>
      <c r="D32" s="506" t="s">
        <v>6470</v>
      </c>
    </row>
    <row r="33" spans="1:9">
      <c r="A33" s="506" t="s">
        <v>2033</v>
      </c>
      <c r="B33" s="506" t="s">
        <v>6109</v>
      </c>
      <c r="C33" s="2398">
        <f>C32*60</f>
        <v>1000</v>
      </c>
      <c r="D33" s="506" t="s">
        <v>1997</v>
      </c>
    </row>
    <row r="34" spans="1:9">
      <c r="A34" s="506"/>
      <c r="B34" s="506"/>
      <c r="C34" s="2398"/>
      <c r="D34" s="506"/>
    </row>
    <row r="35" spans="1:9">
      <c r="A35" s="506" t="s">
        <v>6462</v>
      </c>
      <c r="B35" s="506" t="s">
        <v>6463</v>
      </c>
      <c r="C35" s="2400">
        <f>C9*(C12*C14*C3+C13)/2/3.14/C10</f>
        <v>3.46779900920028E-2</v>
      </c>
      <c r="D35" s="506" t="s">
        <v>2001</v>
      </c>
    </row>
    <row r="36" spans="1:9">
      <c r="A36" s="506"/>
      <c r="B36" s="506"/>
      <c r="C36" s="506"/>
      <c r="D36" s="506"/>
    </row>
    <row r="37" spans="1:9">
      <c r="A37" s="506" t="s">
        <v>6453</v>
      </c>
      <c r="B37" s="506" t="s">
        <v>6454</v>
      </c>
      <c r="C37" s="2400">
        <f>(C24+C26)*2*3.14*C32/C17+C35</f>
        <v>0.23086413595187499</v>
      </c>
      <c r="D37" s="506" t="s">
        <v>2001</v>
      </c>
      <c r="F37" s="3159"/>
      <c r="G37" s="3162" t="s">
        <v>12704</v>
      </c>
    </row>
    <row r="38" spans="1:9">
      <c r="A38" s="506"/>
      <c r="B38" s="506"/>
      <c r="C38" s="506"/>
      <c r="D38" s="506"/>
    </row>
    <row r="39" spans="1:9">
      <c r="A39" s="506" t="s">
        <v>6459</v>
      </c>
      <c r="B39" s="506" t="s">
        <v>6460</v>
      </c>
      <c r="C39" s="2400">
        <f>(C24+C26)*2*3.14*C32/C19-C35</f>
        <v>0.16150815576787</v>
      </c>
      <c r="D39" s="506" t="s">
        <v>2001</v>
      </c>
    </row>
    <row r="40" spans="1:9">
      <c r="A40" s="506"/>
      <c r="B40" s="506"/>
      <c r="C40" s="506"/>
      <c r="D40" s="506"/>
    </row>
    <row r="41" spans="1:9">
      <c r="A41" s="506" t="s">
        <v>6464</v>
      </c>
      <c r="B41" s="506" t="s">
        <v>6465</v>
      </c>
      <c r="C41" s="506"/>
      <c r="D41" s="506" t="s">
        <v>2001</v>
      </c>
      <c r="E41" s="2399" t="s">
        <v>6468</v>
      </c>
      <c r="F41" s="2399"/>
    </row>
    <row r="42" spans="1:9">
      <c r="A42" s="506"/>
      <c r="B42" s="506"/>
      <c r="C42" s="506"/>
      <c r="D42" s="506"/>
    </row>
    <row r="43" spans="1:9">
      <c r="A43" s="506" t="s">
        <v>6466</v>
      </c>
      <c r="B43" s="506" t="s">
        <v>6467</v>
      </c>
      <c r="C43" s="2400">
        <f>SQRT((C37*C37*C17+C35*C35*C18+C39*C39*C19)/C20)</f>
        <v>6.6709683563524996E-2</v>
      </c>
      <c r="D43" s="506" t="s">
        <v>2001</v>
      </c>
    </row>
    <row r="44" spans="1:9" ht="22.15" customHeight="1"/>
    <row r="45" spans="1:9" s="2402" customFormat="1" ht="16.149999999999999" customHeight="1">
      <c r="A45" s="2403"/>
    </row>
    <row r="46" spans="1:9" ht="52.15" customHeight="1">
      <c r="A46" s="3404" t="s">
        <v>6494</v>
      </c>
      <c r="B46" s="3405"/>
      <c r="C46" s="3405"/>
      <c r="D46" s="3405"/>
      <c r="E46" s="3405"/>
      <c r="F46" s="3405"/>
      <c r="G46" s="3405"/>
      <c r="H46" s="3405"/>
      <c r="I46" s="3405"/>
    </row>
    <row r="92" spans="12:13">
      <c r="L92" s="3159"/>
      <c r="M92" s="3162" t="s">
        <v>12704</v>
      </c>
    </row>
    <row r="139" spans="13:14">
      <c r="N139" s="3162" t="s">
        <v>12704</v>
      </c>
    </row>
    <row r="142" spans="13:14">
      <c r="M142" s="3161"/>
      <c r="N142" s="3161"/>
    </row>
  </sheetData>
  <mergeCells count="2">
    <mergeCell ref="A1:P1"/>
    <mergeCell ref="A46:I46"/>
  </mergeCells>
  <phoneticPr fontId="378" type="noConversion"/>
  <hyperlinks>
    <hyperlink ref="G3" location="总目录!A1" display="返回目录"/>
    <hyperlink ref="G37" location="总目录!A1" display="返回目录"/>
    <hyperlink ref="M92" location="总目录!A1" display="返回目录"/>
    <hyperlink ref="N139" location="总目录!A1" display="返回目录"/>
  </hyperlinks>
  <pageMargins left="0.75" right="0.75" top="1" bottom="1" header="0.5" footer="0.5"/>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4"/>
  <sheetViews>
    <sheetView showGridLines="0" topLeftCell="A40" zoomScale="85" zoomScaleNormal="85" workbookViewId="0">
      <selection activeCell="K3" sqref="K3"/>
    </sheetView>
  </sheetViews>
  <sheetFormatPr defaultColWidth="8.75" defaultRowHeight="16.5"/>
  <cols>
    <col min="1" max="1" width="15.75" style="95" customWidth="1"/>
    <col min="2" max="3" width="9.25" style="95" customWidth="1"/>
    <col min="4" max="16384" width="8.75" style="95"/>
  </cols>
  <sheetData>
    <row r="1" spans="1:13" ht="67.150000000000006" customHeight="1">
      <c r="A1" s="3406" t="s">
        <v>6495</v>
      </c>
      <c r="B1" s="3407"/>
      <c r="C1" s="3407"/>
      <c r="D1" s="3407"/>
      <c r="E1" s="3407"/>
      <c r="F1" s="3407"/>
      <c r="G1" s="3407"/>
      <c r="H1" s="3407"/>
      <c r="I1" s="3407"/>
      <c r="J1" s="3407"/>
      <c r="K1" s="3407"/>
      <c r="L1" s="3407"/>
      <c r="M1" s="3407"/>
    </row>
    <row r="2" spans="1:13">
      <c r="A2" s="2397" t="s">
        <v>6396</v>
      </c>
      <c r="B2" s="506" t="s">
        <v>6483</v>
      </c>
      <c r="C2" s="506" t="s">
        <v>6397</v>
      </c>
      <c r="D2" s="506" t="s">
        <v>6394</v>
      </c>
    </row>
    <row r="3" spans="1:13">
      <c r="A3" s="86" t="s">
        <v>6398</v>
      </c>
      <c r="B3" s="506" t="s">
        <v>6484</v>
      </c>
      <c r="C3" s="88">
        <v>20</v>
      </c>
      <c r="D3" s="506" t="s">
        <v>6399</v>
      </c>
    </row>
    <row r="4" spans="1:13">
      <c r="A4" s="506" t="s">
        <v>6410</v>
      </c>
      <c r="B4" s="506" t="s">
        <v>6411</v>
      </c>
      <c r="C4" s="506">
        <v>7900</v>
      </c>
      <c r="D4" s="506" t="s">
        <v>6412</v>
      </c>
    </row>
    <row r="5" spans="1:13">
      <c r="A5" s="506" t="s">
        <v>6415</v>
      </c>
      <c r="B5" s="506" t="s">
        <v>6416</v>
      </c>
      <c r="C5" s="506">
        <v>2800</v>
      </c>
      <c r="D5" s="506" t="s">
        <v>6412</v>
      </c>
    </row>
    <row r="6" spans="1:13">
      <c r="A6" s="506" t="s">
        <v>6419</v>
      </c>
      <c r="B6" s="506" t="s">
        <v>6420</v>
      </c>
      <c r="C6" s="506">
        <v>8500</v>
      </c>
      <c r="D6" s="506" t="s">
        <v>6412</v>
      </c>
    </row>
    <row r="7" spans="1:13">
      <c r="A7" s="86" t="s">
        <v>6405</v>
      </c>
      <c r="B7" s="506" t="s">
        <v>6406</v>
      </c>
      <c r="C7" s="88">
        <v>0.12</v>
      </c>
      <c r="D7" s="506" t="s">
        <v>6407</v>
      </c>
    </row>
    <row r="8" spans="1:13">
      <c r="A8" s="86" t="s">
        <v>6413</v>
      </c>
      <c r="B8" s="506" t="s">
        <v>6414</v>
      </c>
      <c r="C8" s="88">
        <v>1.4999999999999999E-2</v>
      </c>
      <c r="D8" s="506" t="s">
        <v>6407</v>
      </c>
    </row>
    <row r="9" spans="1:13">
      <c r="A9" s="86" t="s">
        <v>6417</v>
      </c>
      <c r="B9" s="506" t="s">
        <v>6418</v>
      </c>
      <c r="C9" s="88">
        <v>5.0000000000000001E-3</v>
      </c>
      <c r="D9" s="506" t="s">
        <v>6407</v>
      </c>
    </row>
    <row r="10" spans="1:13">
      <c r="A10" s="506" t="s">
        <v>6421</v>
      </c>
      <c r="B10" s="506" t="s">
        <v>6422</v>
      </c>
      <c r="C10" s="506">
        <v>0.9</v>
      </c>
      <c r="D10" s="506"/>
    </row>
    <row r="11" spans="1:13">
      <c r="A11" s="86" t="s">
        <v>6423</v>
      </c>
      <c r="B11" s="506" t="s">
        <v>6424</v>
      </c>
      <c r="C11" s="88">
        <v>1.0000000000000001E-5</v>
      </c>
      <c r="D11" s="506" t="s">
        <v>6425</v>
      </c>
    </row>
    <row r="12" spans="1:13">
      <c r="A12" s="506" t="s">
        <v>1461</v>
      </c>
      <c r="B12" s="506" t="s">
        <v>6426</v>
      </c>
      <c r="C12" s="506">
        <v>0.3</v>
      </c>
      <c r="D12" s="506"/>
    </row>
    <row r="13" spans="1:13">
      <c r="A13" s="506" t="s">
        <v>6427</v>
      </c>
      <c r="B13" s="506" t="s">
        <v>5932</v>
      </c>
      <c r="C13" s="506">
        <v>10</v>
      </c>
      <c r="D13" s="506" t="s">
        <v>6109</v>
      </c>
    </row>
    <row r="14" spans="1:13">
      <c r="A14" s="506" t="s">
        <v>6428</v>
      </c>
      <c r="B14" s="506" t="s">
        <v>6429</v>
      </c>
      <c r="C14" s="506">
        <v>9.8000000000000007</v>
      </c>
      <c r="D14" s="506" t="s">
        <v>6430</v>
      </c>
    </row>
    <row r="15" spans="1:13">
      <c r="A15" s="2397" t="s">
        <v>6490</v>
      </c>
      <c r="B15" s="506"/>
      <c r="C15" s="506"/>
      <c r="D15" s="506"/>
    </row>
    <row r="16" spans="1:13">
      <c r="A16" s="638" t="s">
        <v>6491</v>
      </c>
      <c r="B16" s="506" t="s">
        <v>6492</v>
      </c>
      <c r="C16" s="88">
        <v>0.1</v>
      </c>
      <c r="D16" s="506" t="s">
        <v>6407</v>
      </c>
    </row>
    <row r="17" spans="1:20">
      <c r="A17" s="638" t="s">
        <v>6120</v>
      </c>
      <c r="B17" s="506" t="s">
        <v>6431</v>
      </c>
      <c r="C17" s="88">
        <v>0.1</v>
      </c>
      <c r="D17" s="506" t="s">
        <v>6346</v>
      </c>
    </row>
    <row r="18" spans="1:20">
      <c r="A18" s="638" t="s">
        <v>6123</v>
      </c>
      <c r="B18" s="506" t="s">
        <v>6432</v>
      </c>
      <c r="C18" s="88">
        <v>60</v>
      </c>
      <c r="D18" s="506" t="s">
        <v>6346</v>
      </c>
    </row>
    <row r="19" spans="1:20">
      <c r="A19" s="638" t="s">
        <v>6433</v>
      </c>
      <c r="B19" s="506" t="s">
        <v>6434</v>
      </c>
      <c r="C19" s="88">
        <v>0.1</v>
      </c>
      <c r="D19" s="506" t="s">
        <v>6346</v>
      </c>
    </row>
    <row r="20" spans="1:20">
      <c r="A20" s="638" t="s">
        <v>6437</v>
      </c>
      <c r="B20" s="506" t="s">
        <v>6438</v>
      </c>
      <c r="C20" s="88">
        <v>5</v>
      </c>
      <c r="D20" s="506" t="s">
        <v>6346</v>
      </c>
    </row>
    <row r="21" spans="1:20">
      <c r="A21" s="2397" t="s">
        <v>6440</v>
      </c>
      <c r="B21" s="506"/>
      <c r="C21" s="506"/>
      <c r="D21" s="506"/>
    </row>
    <row r="22" spans="1:20">
      <c r="A22" s="506" t="s">
        <v>6441</v>
      </c>
      <c r="B22" s="506" t="s">
        <v>6442</v>
      </c>
      <c r="C22" s="2398">
        <f>C4*3.14*C8*C8/4*C7</f>
        <v>0.16744049999999999</v>
      </c>
      <c r="D22" s="506" t="s">
        <v>6399</v>
      </c>
    </row>
    <row r="23" spans="1:20">
      <c r="A23" s="506"/>
      <c r="B23" s="506"/>
      <c r="C23" s="506"/>
      <c r="D23" s="506"/>
    </row>
    <row r="24" spans="1:20">
      <c r="A24" s="506" t="s">
        <v>6443</v>
      </c>
      <c r="B24" s="506" t="s">
        <v>6444</v>
      </c>
      <c r="C24" s="506">
        <f>C11+C22*C8*C8/8+C3*C9*C9/4/3.14/3.14</f>
        <v>2.7387263169968901E-5</v>
      </c>
      <c r="D24" s="506" t="s">
        <v>6425</v>
      </c>
    </row>
    <row r="25" spans="1:20">
      <c r="A25" s="506"/>
      <c r="B25" s="506"/>
      <c r="C25" s="506"/>
      <c r="D25" s="506"/>
    </row>
    <row r="26" spans="1:20">
      <c r="A26" s="506" t="s">
        <v>6445</v>
      </c>
      <c r="B26" s="506" t="s">
        <v>6446</v>
      </c>
      <c r="C26" s="88">
        <v>1.4E-5</v>
      </c>
      <c r="D26" s="506" t="s">
        <v>6425</v>
      </c>
    </row>
    <row r="27" spans="1:20">
      <c r="A27" s="506"/>
      <c r="B27" s="506"/>
      <c r="C27" s="506"/>
      <c r="D27" s="506"/>
    </row>
    <row r="28" spans="1:20">
      <c r="A28" s="506" t="s">
        <v>6447</v>
      </c>
      <c r="B28" s="506" t="s">
        <v>6448</v>
      </c>
      <c r="C28" s="506">
        <f>C24/C26</f>
        <v>1.9562330835691999</v>
      </c>
      <c r="D28" s="506" t="s">
        <v>6449</v>
      </c>
      <c r="E28" s="2399" t="s">
        <v>6450</v>
      </c>
      <c r="F28" s="2399"/>
      <c r="G28" s="2399"/>
      <c r="H28" s="2399"/>
      <c r="I28" s="2399"/>
      <c r="J28" s="2399"/>
      <c r="K28" s="2399"/>
      <c r="S28" s="3162" t="s">
        <v>12704</v>
      </c>
    </row>
    <row r="29" spans="1:20">
      <c r="A29" s="506"/>
      <c r="B29" s="506"/>
      <c r="C29" s="506"/>
      <c r="D29" s="506"/>
    </row>
    <row r="30" spans="1:20">
      <c r="A30" s="506" t="s">
        <v>6128</v>
      </c>
      <c r="B30" s="506" t="s">
        <v>6409</v>
      </c>
      <c r="C30" s="2400">
        <f>C16/(0.5*C17+C18+0.5*C19)</f>
        <v>1.66389351081531E-3</v>
      </c>
      <c r="D30" s="506" t="s">
        <v>6127</v>
      </c>
    </row>
    <row r="31" spans="1:20">
      <c r="A31" s="506"/>
      <c r="B31" s="506"/>
      <c r="C31" s="506"/>
      <c r="D31" s="506"/>
      <c r="S31" s="3374"/>
      <c r="T31" s="3374"/>
    </row>
    <row r="32" spans="1:20">
      <c r="A32" s="506" t="s">
        <v>6469</v>
      </c>
      <c r="B32" s="506" t="s">
        <v>6109</v>
      </c>
      <c r="C32" s="2401">
        <f>C30/C9</f>
        <v>0.33277870216306199</v>
      </c>
      <c r="D32" s="506" t="s">
        <v>6470</v>
      </c>
    </row>
    <row r="33" spans="1:6">
      <c r="A33" s="506" t="s">
        <v>2033</v>
      </c>
      <c r="B33" s="506" t="s">
        <v>6109</v>
      </c>
      <c r="C33" s="2398">
        <f>C32*60</f>
        <v>19.966722129783701</v>
      </c>
      <c r="D33" s="506" t="s">
        <v>1997</v>
      </c>
    </row>
    <row r="34" spans="1:6">
      <c r="A34" s="506"/>
      <c r="B34" s="506"/>
      <c r="C34" s="2398"/>
      <c r="D34" s="506"/>
    </row>
    <row r="35" spans="1:6">
      <c r="A35" s="506" t="s">
        <v>6462</v>
      </c>
      <c r="B35" s="506" t="s">
        <v>6463</v>
      </c>
      <c r="C35" s="2400">
        <f>C9*(C12*C14*C3+C13)/2/3.14/C10</f>
        <v>6.0863411181882501E-2</v>
      </c>
      <c r="D35" s="506" t="s">
        <v>2001</v>
      </c>
    </row>
    <row r="36" spans="1:6">
      <c r="A36" s="506"/>
      <c r="B36" s="506"/>
      <c r="C36" s="506"/>
      <c r="D36" s="506"/>
    </row>
    <row r="37" spans="1:6">
      <c r="A37" s="506" t="s">
        <v>6453</v>
      </c>
      <c r="B37" s="506" t="s">
        <v>6454</v>
      </c>
      <c r="C37" s="2400">
        <f>(C24+C26)*2*3.14*C32/C17+C35</f>
        <v>6.1728343004536099E-2</v>
      </c>
      <c r="D37" s="506" t="s">
        <v>2001</v>
      </c>
    </row>
    <row r="38" spans="1:6">
      <c r="A38" s="506"/>
      <c r="B38" s="506"/>
      <c r="C38" s="506"/>
      <c r="D38" s="506"/>
    </row>
    <row r="39" spans="1:6">
      <c r="A39" s="506" t="s">
        <v>6459</v>
      </c>
      <c r="B39" s="506" t="s">
        <v>6460</v>
      </c>
      <c r="C39" s="2400">
        <f>(C24+C26)*2*3.14*C32/C19-C35</f>
        <v>-5.9998479359228897E-2</v>
      </c>
      <c r="D39" s="506" t="s">
        <v>2001</v>
      </c>
    </row>
    <row r="40" spans="1:6">
      <c r="A40" s="506"/>
      <c r="B40" s="506"/>
      <c r="C40" s="506"/>
      <c r="D40" s="506"/>
    </row>
    <row r="41" spans="1:6">
      <c r="A41" s="506" t="s">
        <v>6464</v>
      </c>
      <c r="B41" s="506" t="s">
        <v>6465</v>
      </c>
      <c r="C41" s="506"/>
      <c r="D41" s="506" t="s">
        <v>2001</v>
      </c>
      <c r="E41" s="2399" t="s">
        <v>6468</v>
      </c>
      <c r="F41" s="2399"/>
    </row>
    <row r="42" spans="1:6">
      <c r="A42" s="506"/>
      <c r="B42" s="506"/>
      <c r="C42" s="506"/>
      <c r="D42" s="506"/>
    </row>
    <row r="43" spans="1:6">
      <c r="A43" s="506" t="s">
        <v>6466</v>
      </c>
      <c r="B43" s="506" t="s">
        <v>6467</v>
      </c>
      <c r="C43" s="2400">
        <f>SQRT((C37*C37*C17+C35*C35*C18+C39*C39*C19)/C20)</f>
        <v>0.211188214551497</v>
      </c>
      <c r="D43" s="506" t="s">
        <v>2001</v>
      </c>
    </row>
    <row r="64" spans="20:21">
      <c r="T64" s="3368" t="s">
        <v>12704</v>
      </c>
      <c r="U64" s="3368"/>
    </row>
  </sheetData>
  <mergeCells count="3">
    <mergeCell ref="A1:M1"/>
    <mergeCell ref="S31:T31"/>
    <mergeCell ref="T64:U64"/>
  </mergeCells>
  <phoneticPr fontId="378" type="noConversion"/>
  <hyperlinks>
    <hyperlink ref="S28" location="总目录!A1" display="返回目录"/>
    <hyperlink ref="T64:U64" location="总目录!A1" display="返回目录"/>
  </hyperlinks>
  <pageMargins left="0.75" right="0.75" top="1" bottom="1" header="0.5" footer="0.5"/>
  <pageSetup paperSize="9" orientation="portrait"/>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88"/>
  <sheetViews>
    <sheetView workbookViewId="0">
      <selection activeCell="T27" sqref="T27:U27"/>
    </sheetView>
  </sheetViews>
  <sheetFormatPr defaultColWidth="8.75" defaultRowHeight="16.5"/>
  <cols>
    <col min="1" max="1" width="0.625" customWidth="1"/>
    <col min="2" max="4" width="7.625" customWidth="1"/>
    <col min="5" max="5" width="7.625" style="2243" customWidth="1"/>
    <col min="6" max="6" width="7.875" customWidth="1"/>
    <col min="7" max="10" width="7.625" customWidth="1"/>
    <col min="11" max="11" width="5.625" customWidth="1"/>
    <col min="12" max="12" width="7.625" customWidth="1"/>
    <col min="13" max="13" width="7.625" style="2243" customWidth="1"/>
    <col min="14" max="14" width="7.875" customWidth="1"/>
    <col min="15" max="20" width="7.625" customWidth="1"/>
    <col min="21" max="21" width="5.625" customWidth="1"/>
    <col min="22" max="29" width="7.625" customWidth="1"/>
    <col min="30" max="30" width="0.125" customWidth="1"/>
    <col min="31" max="31" width="0.125" hidden="1" customWidth="1"/>
    <col min="32" max="38" width="7.625" customWidth="1"/>
  </cols>
  <sheetData>
    <row r="1" spans="2:22" ht="39" customHeight="1">
      <c r="B1" s="3408" t="s">
        <v>6496</v>
      </c>
      <c r="C1" s="3409"/>
      <c r="D1" s="3409"/>
      <c r="E1" s="3409"/>
      <c r="F1" s="3409"/>
      <c r="G1" s="3409"/>
      <c r="H1" s="3409"/>
      <c r="I1" s="3409"/>
      <c r="J1" s="3409"/>
      <c r="K1" s="3409"/>
      <c r="L1" s="3409"/>
      <c r="M1" s="3409"/>
      <c r="N1" s="3409"/>
      <c r="O1" s="3409"/>
      <c r="P1" s="3409"/>
      <c r="Q1" s="3409"/>
      <c r="R1" s="3409"/>
      <c r="S1" s="3409"/>
    </row>
    <row r="2" spans="2:22">
      <c r="C2" s="3410" t="s">
        <v>6497</v>
      </c>
      <c r="D2" s="3411"/>
      <c r="E2" s="3411"/>
      <c r="F2" s="3411"/>
      <c r="G2" s="3411"/>
      <c r="H2" s="3411"/>
      <c r="I2" s="3411"/>
      <c r="J2" s="3411"/>
      <c r="K2" s="3413" t="s">
        <v>578</v>
      </c>
      <c r="L2" s="2333" t="s">
        <v>6498</v>
      </c>
      <c r="M2" s="2333"/>
      <c r="N2" s="2333"/>
      <c r="O2" s="2333"/>
      <c r="P2" s="2333" t="s">
        <v>6499</v>
      </c>
      <c r="Q2" s="2333"/>
      <c r="R2" s="2333"/>
      <c r="S2" s="2333"/>
    </row>
    <row r="3" spans="2:22">
      <c r="C3" s="2244" t="s">
        <v>6500</v>
      </c>
      <c r="D3" s="2245"/>
      <c r="E3" s="2246" t="s">
        <v>6501</v>
      </c>
      <c r="F3" s="2246" t="s">
        <v>6502</v>
      </c>
      <c r="G3" s="2246" t="s">
        <v>6503</v>
      </c>
      <c r="H3" s="2246" t="s">
        <v>6504</v>
      </c>
      <c r="I3" s="2246" t="s">
        <v>6505</v>
      </c>
      <c r="J3" s="2334" t="s">
        <v>6506</v>
      </c>
      <c r="K3" s="3414"/>
      <c r="L3" s="2333" t="s">
        <v>6507</v>
      </c>
      <c r="M3" s="2335"/>
      <c r="N3" s="2336"/>
      <c r="O3" s="2333"/>
      <c r="P3" s="2333" t="s">
        <v>6508</v>
      </c>
      <c r="Q3" s="2333"/>
      <c r="R3" s="2333" t="s">
        <v>6509</v>
      </c>
      <c r="S3" s="2333" t="s">
        <v>6510</v>
      </c>
    </row>
    <row r="4" spans="2:22">
      <c r="C4" s="2247" t="s">
        <v>6511</v>
      </c>
      <c r="D4" s="2248"/>
      <c r="E4" s="2249" t="s">
        <v>6512</v>
      </c>
      <c r="F4" s="2249" t="s">
        <v>6513</v>
      </c>
      <c r="G4" s="2249" t="s">
        <v>6514</v>
      </c>
      <c r="H4" s="2249" t="s">
        <v>6515</v>
      </c>
      <c r="I4" s="2249" t="s">
        <v>6516</v>
      </c>
      <c r="J4" s="2337" t="s">
        <v>6517</v>
      </c>
      <c r="K4" s="3414"/>
      <c r="L4" s="2251"/>
      <c r="M4" s="2333" t="s">
        <v>6518</v>
      </c>
      <c r="N4" s="2243" t="s">
        <v>6519</v>
      </c>
      <c r="P4" s="2252"/>
      <c r="Q4" s="2252"/>
      <c r="R4" s="2252"/>
      <c r="S4" s="2252"/>
    </row>
    <row r="5" spans="2:22" ht="0.75" customHeight="1">
      <c r="C5" s="2250"/>
      <c r="D5" s="2251"/>
      <c r="E5" s="2252"/>
      <c r="F5" s="2252"/>
      <c r="G5" s="2252"/>
      <c r="H5" s="2252"/>
      <c r="I5" s="2252"/>
      <c r="J5" s="2252"/>
      <c r="K5" s="3414"/>
      <c r="L5" s="2338"/>
      <c r="M5" s="2338"/>
      <c r="N5" s="2339"/>
      <c r="O5" s="2339"/>
      <c r="P5" s="2339"/>
      <c r="Q5" s="2339"/>
      <c r="R5" s="2339"/>
      <c r="S5" s="2383"/>
    </row>
    <row r="6" spans="2:22">
      <c r="C6" s="3410" t="s">
        <v>6520</v>
      </c>
      <c r="D6" s="3411"/>
      <c r="E6" s="3411"/>
      <c r="F6" s="3411"/>
      <c r="G6" s="3411"/>
      <c r="H6" s="3411"/>
      <c r="I6" s="3411"/>
      <c r="J6" s="3411"/>
      <c r="K6" s="3414"/>
      <c r="L6" s="3411" t="s">
        <v>6521</v>
      </c>
      <c r="M6" s="3411"/>
      <c r="N6" s="3411"/>
      <c r="O6" s="3411"/>
      <c r="P6" s="3411"/>
      <c r="Q6" s="3411"/>
      <c r="R6" s="3411"/>
      <c r="S6" s="3412"/>
    </row>
    <row r="7" spans="2:22" ht="15.75" customHeight="1">
      <c r="C7" s="2253" t="s">
        <v>6522</v>
      </c>
      <c r="D7" s="2245"/>
      <c r="E7" s="2254">
        <v>8030</v>
      </c>
      <c r="F7" s="2255" t="s">
        <v>6523</v>
      </c>
      <c r="G7" s="2256"/>
      <c r="H7" s="2257" t="s">
        <v>6524</v>
      </c>
      <c r="I7" s="2246"/>
      <c r="J7" s="2340">
        <f>E8/E9</f>
        <v>11.136363636363599</v>
      </c>
      <c r="K7" s="3414" t="s">
        <v>585</v>
      </c>
      <c r="L7" s="2341" t="s">
        <v>6522</v>
      </c>
      <c r="M7" s="2245"/>
      <c r="N7" s="2254">
        <v>8000</v>
      </c>
      <c r="O7" s="2255" t="s">
        <v>6523</v>
      </c>
      <c r="P7" s="2256"/>
      <c r="Q7" s="2257" t="s">
        <v>6524</v>
      </c>
      <c r="R7" s="2246"/>
      <c r="S7" s="2384">
        <f>N8/N9</f>
        <v>8.4285714285714306</v>
      </c>
    </row>
    <row r="8" spans="2:22">
      <c r="C8" s="2258" t="s">
        <v>6525</v>
      </c>
      <c r="D8" s="2259"/>
      <c r="E8" s="2260">
        <v>24.5</v>
      </c>
      <c r="F8" s="2261" t="s">
        <v>2040</v>
      </c>
      <c r="G8" s="1129"/>
      <c r="H8" s="2262" t="s">
        <v>6526</v>
      </c>
      <c r="I8" s="2249"/>
      <c r="J8" s="2342">
        <f>((4*J7-1)/(4*J7-4))+(0.615/J7)</f>
        <v>1.12921552118605</v>
      </c>
      <c r="K8" s="3415"/>
      <c r="L8" s="2343" t="s">
        <v>6525</v>
      </c>
      <c r="M8" s="2259"/>
      <c r="N8" s="2260">
        <v>5.9</v>
      </c>
      <c r="O8" s="2261" t="s">
        <v>2040</v>
      </c>
      <c r="P8" s="1129"/>
      <c r="Q8" s="2262" t="s">
        <v>6526</v>
      </c>
      <c r="R8" s="2249"/>
      <c r="S8" s="2372">
        <f>((4*S7-1)/(4*S7-4))+(0.615/S7)</f>
        <v>1.17392764015645</v>
      </c>
    </row>
    <row r="9" spans="2:22">
      <c r="C9" s="2263" t="s">
        <v>6527</v>
      </c>
      <c r="D9" s="2264"/>
      <c r="E9" s="2260">
        <v>2.2000000000000002</v>
      </c>
      <c r="F9" s="2261" t="s">
        <v>2040</v>
      </c>
      <c r="G9" s="1129"/>
      <c r="H9" s="2265"/>
      <c r="I9" s="654"/>
      <c r="J9" s="2344"/>
      <c r="K9" s="3415"/>
      <c r="L9" s="2345" t="s">
        <v>6527</v>
      </c>
      <c r="M9" s="2264"/>
      <c r="N9" s="2260">
        <v>0.7</v>
      </c>
      <c r="O9" s="2261" t="s">
        <v>2040</v>
      </c>
      <c r="P9" s="1129"/>
      <c r="Q9" s="2265"/>
      <c r="R9" s="654"/>
      <c r="S9" s="2373"/>
    </row>
    <row r="10" spans="2:22" ht="16.5" customHeight="1">
      <c r="C10" s="2266" t="s">
        <v>6528</v>
      </c>
      <c r="D10" s="2267"/>
      <c r="E10" s="2268">
        <v>30.25</v>
      </c>
      <c r="F10" s="2269"/>
      <c r="G10" s="1129"/>
      <c r="H10" s="2270" t="s">
        <v>6529</v>
      </c>
      <c r="I10" s="2346"/>
      <c r="J10" s="2347">
        <v>50</v>
      </c>
      <c r="K10" s="3415"/>
      <c r="L10" s="2348" t="s">
        <v>6528</v>
      </c>
      <c r="M10" s="2267"/>
      <c r="N10" s="2268">
        <v>4</v>
      </c>
      <c r="O10" s="2269"/>
      <c r="P10" s="1129"/>
      <c r="Q10" s="2270" t="s">
        <v>6529</v>
      </c>
      <c r="R10" s="2346"/>
      <c r="S10" s="2385">
        <v>50</v>
      </c>
    </row>
    <row r="11" spans="2:22" ht="15.75" customHeight="1">
      <c r="C11" s="2271" t="s">
        <v>6530</v>
      </c>
      <c r="D11" s="2272"/>
      <c r="E11" s="2273">
        <f>E7*E9^4/(8*E8^3*E10)</f>
        <v>5.2855799879302001E-2</v>
      </c>
      <c r="F11" s="2274" t="s">
        <v>6531</v>
      </c>
      <c r="G11" s="2275">
        <f>E11*9.80665</f>
        <v>0.51833832988635697</v>
      </c>
      <c r="H11" s="2276" t="s">
        <v>6532</v>
      </c>
      <c r="I11" s="2349"/>
      <c r="J11" s="2350" t="s">
        <v>6533</v>
      </c>
      <c r="K11" s="3414" t="s">
        <v>6534</v>
      </c>
      <c r="L11" s="2351" t="s">
        <v>6530</v>
      </c>
      <c r="M11" s="2272"/>
      <c r="N11" s="2273">
        <f>N7*N9^4/(8*N8^3*N10)</f>
        <v>0.29226454506059502</v>
      </c>
      <c r="O11" s="2274" t="s">
        <v>6531</v>
      </c>
      <c r="P11" s="2275">
        <f>N11*9.80665</f>
        <v>2.86613610081849</v>
      </c>
      <c r="Q11" s="2276" t="s">
        <v>6532</v>
      </c>
      <c r="R11" s="2349"/>
      <c r="S11" s="2377" t="s">
        <v>6533</v>
      </c>
    </row>
    <row r="12" spans="2:22">
      <c r="C12" s="2277" t="s">
        <v>6535</v>
      </c>
      <c r="D12" s="950"/>
      <c r="E12" s="2278">
        <f>(3.1415926*E9*E9*E9*J10)/(8*J8*E8)</f>
        <v>7.5570970887753903</v>
      </c>
      <c r="F12" s="2279" t="s">
        <v>6536</v>
      </c>
      <c r="G12" s="2280">
        <f>E12*9.80665</f>
        <v>74.109806165639199</v>
      </c>
      <c r="H12" s="2261" t="s">
        <v>6109</v>
      </c>
      <c r="I12" s="654"/>
      <c r="J12" s="2352" t="s">
        <v>6537</v>
      </c>
      <c r="K12" s="3415"/>
      <c r="L12" s="2353" t="s">
        <v>6535</v>
      </c>
      <c r="M12" s="950"/>
      <c r="N12" s="2278">
        <f>(3.1415926*N9*N9*N9*S10)/(8*S8*N8)</f>
        <v>0.97236801065356804</v>
      </c>
      <c r="O12" s="2279" t="s">
        <v>6536</v>
      </c>
      <c r="P12" s="2280">
        <f>N12*9.80665</f>
        <v>9.5356727516758095</v>
      </c>
      <c r="Q12" s="2261" t="s">
        <v>6109</v>
      </c>
      <c r="R12" s="654"/>
      <c r="S12" s="2379" t="s">
        <v>6537</v>
      </c>
    </row>
    <row r="13" spans="2:22" ht="16.5" customHeight="1">
      <c r="C13" s="2281" t="s">
        <v>6538</v>
      </c>
      <c r="D13" s="1059"/>
      <c r="E13" s="1059"/>
      <c r="F13" s="2282" t="s">
        <v>2040</v>
      </c>
      <c r="G13" s="2283">
        <f>(8*E8*E8*E8*E12*E10)/(E7*E9*E9*E9*E9)</f>
        <v>142.97573976805299</v>
      </c>
      <c r="H13" s="2284" t="s">
        <v>2040</v>
      </c>
      <c r="I13" s="149"/>
      <c r="J13" s="2354">
        <f>E10*E9</f>
        <v>66.55</v>
      </c>
      <c r="K13" s="3415"/>
      <c r="L13" s="2355" t="s">
        <v>6538</v>
      </c>
      <c r="M13" s="1059"/>
      <c r="N13" s="1059"/>
      <c r="O13" s="2282" t="s">
        <v>2040</v>
      </c>
      <c r="P13" s="2283">
        <f>(8*N8*N8*N8*N12*N10)/(N7*N9*N9*N9*N9)</f>
        <v>3.32701323881748</v>
      </c>
      <c r="Q13" s="2284" t="s">
        <v>2040</v>
      </c>
      <c r="R13" s="149"/>
      <c r="S13" s="2386">
        <f>N10*N9+N9</f>
        <v>3.5</v>
      </c>
    </row>
    <row r="14" spans="2:22" ht="0.75" customHeight="1">
      <c r="C14" s="2285"/>
      <c r="D14" s="149"/>
      <c r="E14" s="149"/>
      <c r="F14" s="2286"/>
      <c r="G14" s="2287"/>
      <c r="H14" s="2288"/>
      <c r="I14" s="149"/>
      <c r="J14" s="2356"/>
      <c r="K14" s="3415"/>
      <c r="L14" s="2357"/>
      <c r="M14" s="149"/>
      <c r="N14" s="149"/>
      <c r="O14" s="2286"/>
      <c r="P14" s="2287"/>
      <c r="Q14" s="2288"/>
      <c r="R14" s="149"/>
      <c r="S14" s="2387"/>
    </row>
    <row r="15" spans="2:22">
      <c r="C15" s="3410" t="s">
        <v>6539</v>
      </c>
      <c r="D15" s="3411"/>
      <c r="E15" s="3411"/>
      <c r="F15" s="3411"/>
      <c r="G15" s="3411"/>
      <c r="H15" s="3411"/>
      <c r="I15" s="3411"/>
      <c r="J15" s="3411"/>
      <c r="K15" s="3415"/>
      <c r="L15" s="3411" t="s">
        <v>6540</v>
      </c>
      <c r="M15" s="3411"/>
      <c r="N15" s="3411"/>
      <c r="O15" s="3411"/>
      <c r="P15" s="3411"/>
      <c r="Q15" s="3411"/>
      <c r="R15" s="3411"/>
      <c r="S15" s="3412"/>
    </row>
    <row r="16" spans="2:22" ht="15.75" customHeight="1">
      <c r="C16" s="2253" t="s">
        <v>6522</v>
      </c>
      <c r="D16" s="2245"/>
      <c r="E16" s="2254">
        <v>8030</v>
      </c>
      <c r="F16" s="2289" t="s">
        <v>6523</v>
      </c>
      <c r="G16" s="2256"/>
      <c r="H16" s="2257" t="s">
        <v>6524</v>
      </c>
      <c r="I16" s="2246"/>
      <c r="J16" s="2340">
        <f>E17/E18</f>
        <v>11.6521739130435</v>
      </c>
      <c r="K16" s="3414" t="s">
        <v>6541</v>
      </c>
      <c r="L16" s="2341" t="s">
        <v>6522</v>
      </c>
      <c r="M16" s="2245"/>
      <c r="N16" s="2254">
        <v>8030</v>
      </c>
      <c r="O16" s="2289" t="s">
        <v>6523</v>
      </c>
      <c r="P16" s="2256"/>
      <c r="Q16" s="2257" t="s">
        <v>6524</v>
      </c>
      <c r="R16" s="2246"/>
      <c r="S16" s="2384">
        <f>N17/N18</f>
        <v>12.159090909090899</v>
      </c>
      <c r="U16" s="65" t="s">
        <v>6542</v>
      </c>
      <c r="V16" s="65" t="s">
        <v>6543</v>
      </c>
    </row>
    <row r="17" spans="2:21">
      <c r="C17" s="2258" t="s">
        <v>6525</v>
      </c>
      <c r="D17" s="2259"/>
      <c r="E17" s="2260">
        <v>26.8</v>
      </c>
      <c r="F17" s="2261" t="s">
        <v>2040</v>
      </c>
      <c r="G17" s="1129"/>
      <c r="H17" s="2262" t="s">
        <v>6526</v>
      </c>
      <c r="I17" s="2249"/>
      <c r="J17" s="2342">
        <f>((4*J16-1)/(4*J16-4))+(0.615/J16)</f>
        <v>1.12318801401157</v>
      </c>
      <c r="K17" s="3415"/>
      <c r="L17" s="2343" t="s">
        <v>6525</v>
      </c>
      <c r="M17" s="2259"/>
      <c r="N17" s="2260">
        <v>26.75</v>
      </c>
      <c r="O17" s="2261" t="s">
        <v>2040</v>
      </c>
      <c r="P17" s="1129"/>
      <c r="Q17" s="2262" t="s">
        <v>6526</v>
      </c>
      <c r="R17" s="2249"/>
      <c r="S17" s="2372">
        <f>((4*S16-1)/(4*S16-4))+(0.615/S16)</f>
        <v>1.1177892152197499</v>
      </c>
    </row>
    <row r="18" spans="2:21" ht="16.5" customHeight="1">
      <c r="C18" s="2263" t="s">
        <v>6527</v>
      </c>
      <c r="D18" s="2264"/>
      <c r="E18" s="2260">
        <v>2.2999999999999998</v>
      </c>
      <c r="F18" s="2261" t="s">
        <v>2040</v>
      </c>
      <c r="G18" s="1129"/>
      <c r="H18" s="2265"/>
      <c r="I18" s="654"/>
      <c r="J18" s="2344"/>
      <c r="K18" s="3415"/>
      <c r="L18" s="2345" t="s">
        <v>6527</v>
      </c>
      <c r="M18" s="2264"/>
      <c r="N18" s="2260">
        <v>2.2000000000000002</v>
      </c>
      <c r="O18" s="2261" t="s">
        <v>2040</v>
      </c>
      <c r="P18" s="1129"/>
      <c r="Q18" s="2265"/>
      <c r="R18" s="654"/>
      <c r="S18" s="2373"/>
    </row>
    <row r="19" spans="2:21" ht="16.5" customHeight="1">
      <c r="C19" s="2266" t="s">
        <v>6528</v>
      </c>
      <c r="D19" s="2267"/>
      <c r="E19" s="2268">
        <v>26.25</v>
      </c>
      <c r="F19" s="2269"/>
      <c r="G19" s="1129"/>
      <c r="H19" s="2270" t="s">
        <v>6529</v>
      </c>
      <c r="I19" s="2346"/>
      <c r="J19" s="2347">
        <v>50</v>
      </c>
      <c r="K19" s="3415"/>
      <c r="L19" s="2348" t="s">
        <v>6528</v>
      </c>
      <c r="M19" s="2267"/>
      <c r="N19" s="2268">
        <v>20.25</v>
      </c>
      <c r="O19" s="2269"/>
      <c r="P19" s="1129"/>
      <c r="Q19" s="2270" t="s">
        <v>6529</v>
      </c>
      <c r="R19" s="2346"/>
      <c r="S19" s="2385">
        <v>50</v>
      </c>
    </row>
    <row r="20" spans="2:21" ht="15.75" customHeight="1">
      <c r="C20" s="2271" t="s">
        <v>6530</v>
      </c>
      <c r="D20" s="2272"/>
      <c r="E20" s="2273">
        <f>E16*E18^4/(8*E17^3*E19)</f>
        <v>5.55908369376584E-2</v>
      </c>
      <c r="F20" s="2274" t="s">
        <v>6531</v>
      </c>
      <c r="G20" s="2275">
        <f>E20*9.80665</f>
        <v>0.54515988105468705</v>
      </c>
      <c r="H20" s="2276" t="s">
        <v>6532</v>
      </c>
      <c r="I20" s="2349"/>
      <c r="J20" s="2350" t="s">
        <v>6533</v>
      </c>
      <c r="K20" s="3414" t="s">
        <v>6544</v>
      </c>
      <c r="L20" s="2351" t="s">
        <v>6530</v>
      </c>
      <c r="M20" s="2272"/>
      <c r="N20" s="2273">
        <f>N16*N18^4/(8*N17^3*N19)</f>
        <v>6.0662442818963602E-2</v>
      </c>
      <c r="O20" s="2274" t="s">
        <v>6531</v>
      </c>
      <c r="P20" s="2326">
        <f>N20*9.80665</f>
        <v>0.59489534487058904</v>
      </c>
      <c r="Q20" s="2276" t="s">
        <v>6532</v>
      </c>
      <c r="R20" s="2349"/>
      <c r="S20" s="2377" t="s">
        <v>6533</v>
      </c>
    </row>
    <row r="21" spans="2:21" ht="16.5" customHeight="1">
      <c r="C21" s="2277" t="s">
        <v>6535</v>
      </c>
      <c r="D21" s="950"/>
      <c r="E21" s="2278">
        <f>(3.1415926*E18*E18*E18*J19)/(8*J17*E17)</f>
        <v>7.9364472926992402</v>
      </c>
      <c r="F21" s="2279" t="s">
        <v>6536</v>
      </c>
      <c r="G21" s="2280">
        <f>E21*9.80665</f>
        <v>77.829960842949006</v>
      </c>
      <c r="H21" s="2261" t="s">
        <v>6109</v>
      </c>
      <c r="I21" s="654"/>
      <c r="J21" s="2352" t="s">
        <v>6537</v>
      </c>
      <c r="K21" s="3415"/>
      <c r="L21" s="2353" t="s">
        <v>6535</v>
      </c>
      <c r="M21" s="950"/>
      <c r="N21" s="2278">
        <f>(3.1415926*N18*N18*N18*S19)/(8*S17*N17)</f>
        <v>6.9922061436309297</v>
      </c>
      <c r="O21" s="2279" t="s">
        <v>6536</v>
      </c>
      <c r="P21" s="2329">
        <f>N21*9.80665</f>
        <v>68.570118378438195</v>
      </c>
      <c r="Q21" s="2261" t="s">
        <v>6109</v>
      </c>
      <c r="R21" s="654"/>
      <c r="S21" s="2379" t="s">
        <v>6537</v>
      </c>
    </row>
    <row r="22" spans="2:21" ht="16.5" customHeight="1">
      <c r="C22" s="2281" t="s">
        <v>6538</v>
      </c>
      <c r="D22" s="1059"/>
      <c r="E22" s="1059"/>
      <c r="F22" s="2282" t="s">
        <v>2040</v>
      </c>
      <c r="G22" s="2283">
        <f>(8*E17*E17*E17*E21*E19)/(E16*E18*E18*E18*E18)</f>
        <v>142.76538598617401</v>
      </c>
      <c r="H22" s="2284" t="s">
        <v>2040</v>
      </c>
      <c r="I22" s="149"/>
      <c r="J22" s="2354">
        <f>E19*E18</f>
        <v>60.375</v>
      </c>
      <c r="K22" s="3415"/>
      <c r="L22" s="2355" t="s">
        <v>6538</v>
      </c>
      <c r="M22" s="1059"/>
      <c r="N22" s="1059"/>
      <c r="O22" s="2282" t="s">
        <v>2040</v>
      </c>
      <c r="P22" s="2330">
        <f>(8*N17*N17*N17*N21*N19)/(N16*N18*N18*N18*N18)</f>
        <v>115.26417036151901</v>
      </c>
      <c r="Q22" s="2284" t="s">
        <v>2040</v>
      </c>
      <c r="R22" s="149"/>
      <c r="S22" s="2386">
        <f>N19*N18</f>
        <v>44.55</v>
      </c>
    </row>
    <row r="23" spans="2:21" ht="0.75" customHeight="1">
      <c r="C23" s="2285"/>
      <c r="D23" s="149"/>
      <c r="E23" s="149"/>
      <c r="F23" s="2286"/>
      <c r="G23" s="2287"/>
      <c r="H23" s="2288"/>
      <c r="I23" s="149"/>
      <c r="J23" s="2356"/>
      <c r="K23" s="3415"/>
      <c r="L23" s="2357"/>
      <c r="M23" s="149"/>
      <c r="N23" s="149"/>
      <c r="O23" s="2286"/>
      <c r="P23" s="2287"/>
      <c r="Q23" s="2288"/>
      <c r="R23" s="149"/>
      <c r="S23" s="2387"/>
    </row>
    <row r="24" spans="2:21">
      <c r="C24" s="3410" t="s">
        <v>6545</v>
      </c>
      <c r="D24" s="3411"/>
      <c r="E24" s="3411"/>
      <c r="F24" s="3411"/>
      <c r="G24" s="3411"/>
      <c r="H24" s="3411"/>
      <c r="I24" s="3411"/>
      <c r="J24" s="3411"/>
      <c r="K24" s="3415"/>
      <c r="L24" s="3411" t="s">
        <v>6546</v>
      </c>
      <c r="M24" s="3411"/>
      <c r="N24" s="3411"/>
      <c r="O24" s="3411"/>
      <c r="P24" s="3411"/>
      <c r="Q24" s="3411"/>
      <c r="R24" s="3411"/>
      <c r="S24" s="3412"/>
    </row>
    <row r="25" spans="2:21">
      <c r="C25" s="2253" t="s">
        <v>6522</v>
      </c>
      <c r="D25" s="2245"/>
      <c r="E25" s="2254">
        <v>8030</v>
      </c>
      <c r="F25" s="2289" t="s">
        <v>6523</v>
      </c>
      <c r="G25" s="2256"/>
      <c r="H25" s="2257" t="s">
        <v>6524</v>
      </c>
      <c r="I25" s="2246"/>
      <c r="J25" s="2340">
        <f>E26/E27</f>
        <v>11.25</v>
      </c>
      <c r="K25" s="3414" t="s">
        <v>6547</v>
      </c>
      <c r="L25" s="2341" t="s">
        <v>6522</v>
      </c>
      <c r="M25" s="2245"/>
      <c r="N25" s="2254">
        <v>8140</v>
      </c>
      <c r="O25" s="2289" t="s">
        <v>6523</v>
      </c>
      <c r="P25" s="2256"/>
      <c r="Q25" s="2257" t="s">
        <v>6524</v>
      </c>
      <c r="R25" s="2246"/>
      <c r="S25" s="2384">
        <f>N26/N27</f>
        <v>12.159090909090899</v>
      </c>
    </row>
    <row r="26" spans="2:21">
      <c r="C26" s="2258" t="s">
        <v>6525</v>
      </c>
      <c r="D26" s="2259"/>
      <c r="E26" s="2260">
        <v>27</v>
      </c>
      <c r="F26" s="2261" t="s">
        <v>2040</v>
      </c>
      <c r="G26" s="1129"/>
      <c r="H26" s="2262" t="s">
        <v>6526</v>
      </c>
      <c r="I26" s="2249"/>
      <c r="J26" s="2342">
        <f>((4*J25-1)/(4*J25-4))+(0.615/J25)</f>
        <v>1.12783739837398</v>
      </c>
      <c r="K26" s="3414"/>
      <c r="L26" s="2343" t="s">
        <v>6525</v>
      </c>
      <c r="M26" s="2259"/>
      <c r="N26" s="2260">
        <v>26.75</v>
      </c>
      <c r="O26" s="2261" t="s">
        <v>2040</v>
      </c>
      <c r="P26" s="1129"/>
      <c r="Q26" s="2262" t="s">
        <v>6526</v>
      </c>
      <c r="R26" s="2249"/>
      <c r="S26" s="2372">
        <f>((4*S25-1)/(4*S25-4))+(0.615/S25)</f>
        <v>1.1177892152197499</v>
      </c>
    </row>
    <row r="27" spans="2:21">
      <c r="C27" s="2263" t="s">
        <v>6527</v>
      </c>
      <c r="D27" s="2264"/>
      <c r="E27" s="2260">
        <v>2.4</v>
      </c>
      <c r="F27" s="2261" t="s">
        <v>2040</v>
      </c>
      <c r="G27" s="1129"/>
      <c r="H27" s="2265"/>
      <c r="I27" s="654"/>
      <c r="J27" s="2344"/>
      <c r="K27" s="3414"/>
      <c r="L27" s="2345" t="s">
        <v>6527</v>
      </c>
      <c r="M27" s="2264"/>
      <c r="N27" s="2260">
        <v>2.2000000000000002</v>
      </c>
      <c r="O27" s="2261" t="s">
        <v>2040</v>
      </c>
      <c r="P27" s="1129"/>
      <c r="Q27" s="2265"/>
      <c r="R27" s="654"/>
      <c r="S27" s="2373"/>
      <c r="T27" s="3368" t="s">
        <v>12710</v>
      </c>
      <c r="U27" s="3368"/>
    </row>
    <row r="28" spans="2:21" ht="16.5" customHeight="1">
      <c r="C28" s="2266" t="s">
        <v>6528</v>
      </c>
      <c r="D28" s="2267"/>
      <c r="E28" s="2268">
        <v>27.25</v>
      </c>
      <c r="F28" s="2269"/>
      <c r="G28" s="1129"/>
      <c r="H28" s="2270" t="s">
        <v>6529</v>
      </c>
      <c r="I28" s="2346"/>
      <c r="J28" s="2347">
        <v>50</v>
      </c>
      <c r="K28" s="3414"/>
      <c r="L28" s="2348" t="s">
        <v>6528</v>
      </c>
      <c r="M28" s="2267"/>
      <c r="N28" s="2268">
        <v>20.25</v>
      </c>
      <c r="O28" s="2269"/>
      <c r="P28" s="1129"/>
      <c r="Q28" s="2270" t="s">
        <v>6529</v>
      </c>
      <c r="R28" s="2346"/>
      <c r="S28" s="2385">
        <v>50</v>
      </c>
    </row>
    <row r="29" spans="2:21">
      <c r="C29" s="2271" t="s">
        <v>6530</v>
      </c>
      <c r="D29" s="2272"/>
      <c r="E29" s="2273">
        <f>E25*E27^4/(8*E26^3*E28)</f>
        <v>6.2088722769660598E-2</v>
      </c>
      <c r="F29" s="2274" t="s">
        <v>6531</v>
      </c>
      <c r="G29" s="2275">
        <f>E29*9.80665</f>
        <v>0.60888237314909199</v>
      </c>
      <c r="H29" s="2276" t="s">
        <v>6532</v>
      </c>
      <c r="I29" s="2349"/>
      <c r="J29" s="2350" t="s">
        <v>6533</v>
      </c>
      <c r="K29" s="3430"/>
      <c r="L29" s="2351" t="s">
        <v>6530</v>
      </c>
      <c r="M29" s="2272"/>
      <c r="N29" s="2273">
        <f>N25*N27^4/(8*N26^3*N28)</f>
        <v>6.1493435186346701E-2</v>
      </c>
      <c r="O29" s="2274" t="s">
        <v>6531</v>
      </c>
      <c r="P29" s="2275">
        <f>N29*9.80665</f>
        <v>0.60304459617018602</v>
      </c>
      <c r="Q29" s="2276" t="s">
        <v>6532</v>
      </c>
      <c r="R29" s="2349"/>
      <c r="S29" s="2377" t="s">
        <v>6533</v>
      </c>
    </row>
    <row r="30" spans="2:21">
      <c r="C30" s="2277" t="s">
        <v>6535</v>
      </c>
      <c r="D30" s="950"/>
      <c r="E30" s="2278">
        <f>(3.1415926*E27*E27*E27*J28)/(8*J26*E26)</f>
        <v>8.9136043320550105</v>
      </c>
      <c r="F30" s="2279" t="s">
        <v>6536</v>
      </c>
      <c r="G30" s="2280">
        <f>E30*9.80665</f>
        <v>87.412597922947299</v>
      </c>
      <c r="H30" s="2261" t="s">
        <v>6109</v>
      </c>
      <c r="I30" s="654"/>
      <c r="J30" s="2352" t="s">
        <v>6537</v>
      </c>
      <c r="K30" s="3430"/>
      <c r="L30" s="2353" t="s">
        <v>6535</v>
      </c>
      <c r="M30" s="950"/>
      <c r="N30" s="2278">
        <f>(3.1415926*N27*N27*N27*S28)/(8*S26*N26)</f>
        <v>6.9922061436309297</v>
      </c>
      <c r="O30" s="2279" t="s">
        <v>6536</v>
      </c>
      <c r="P30" s="2280">
        <f>N30*9.80665</f>
        <v>68.570118378438195</v>
      </c>
      <c r="Q30" s="2261" t="s">
        <v>6109</v>
      </c>
      <c r="R30" s="654"/>
      <c r="S30" s="2379" t="s">
        <v>6537</v>
      </c>
    </row>
    <row r="31" spans="2:21">
      <c r="C31" s="2290" t="s">
        <v>6538</v>
      </c>
      <c r="D31" s="1034"/>
      <c r="E31" s="1034"/>
      <c r="F31" s="2291" t="s">
        <v>2040</v>
      </c>
      <c r="G31" s="2292">
        <f>(8*E26*E26*E26*E30*E28)/(E25*E27*E27*E27*E27)</f>
        <v>143.56237227045401</v>
      </c>
      <c r="H31" s="2293" t="s">
        <v>2040</v>
      </c>
      <c r="I31" s="654"/>
      <c r="J31" s="2358">
        <f>E28*E27</f>
        <v>65.400000000000006</v>
      </c>
      <c r="K31" s="3430"/>
      <c r="L31" s="2359" t="s">
        <v>6538</v>
      </c>
      <c r="M31" s="1034"/>
      <c r="N31" s="1034"/>
      <c r="O31" s="2291" t="s">
        <v>2040</v>
      </c>
      <c r="P31" s="2292">
        <f>(8*N26*N26*N26*N30*N28)/(N25*N27*N27*N27*N27)</f>
        <v>113.70654643771501</v>
      </c>
      <c r="Q31" s="2293" t="s">
        <v>2040</v>
      </c>
      <c r="R31" s="654"/>
      <c r="S31" s="2388">
        <f>N28*N27</f>
        <v>44.55</v>
      </c>
    </row>
    <row r="32" spans="2:21" ht="33" customHeight="1">
      <c r="B32" s="3416" t="s">
        <v>6548</v>
      </c>
      <c r="C32" s="3417"/>
      <c r="D32" s="3417"/>
      <c r="E32" s="3417"/>
      <c r="F32" s="3417"/>
      <c r="G32" s="3417"/>
      <c r="H32" s="3417"/>
      <c r="I32" s="3417"/>
      <c r="J32" s="3417"/>
      <c r="K32" s="3417"/>
      <c r="L32" s="3417"/>
      <c r="M32" s="3417"/>
      <c r="N32" s="3417"/>
      <c r="O32" s="3417"/>
      <c r="P32" s="3417"/>
      <c r="Q32" s="3417"/>
      <c r="R32" s="3417"/>
      <c r="S32" s="3417"/>
      <c r="T32" s="3417"/>
      <c r="U32" s="3418"/>
    </row>
    <row r="33" spans="2:21">
      <c r="B33" s="3419" t="s">
        <v>6549</v>
      </c>
      <c r="C33" s="3420"/>
      <c r="D33" s="3420"/>
      <c r="E33" s="3420"/>
      <c r="F33" s="3420"/>
      <c r="G33" s="3420"/>
      <c r="H33" s="3420"/>
      <c r="I33" s="3420"/>
      <c r="J33" s="3420"/>
      <c r="K33" s="3421"/>
      <c r="L33" s="3422" t="s">
        <v>6550</v>
      </c>
      <c r="M33" s="3423"/>
      <c r="N33" s="3423"/>
      <c r="O33" s="3423"/>
      <c r="P33" s="3423"/>
      <c r="Q33" s="3423"/>
      <c r="R33" s="3423"/>
      <c r="S33" s="3423"/>
      <c r="T33" s="3423"/>
      <c r="U33" s="3424"/>
    </row>
    <row r="34" spans="2:21">
      <c r="B34" s="2294" t="s">
        <v>6551</v>
      </c>
      <c r="C34" s="2295"/>
      <c r="D34" s="2296" t="s">
        <v>6552</v>
      </c>
      <c r="E34" s="2297">
        <v>60</v>
      </c>
      <c r="F34" s="2298" t="s">
        <v>6523</v>
      </c>
      <c r="G34" s="2294" t="s">
        <v>6553</v>
      </c>
      <c r="H34" s="2295"/>
      <c r="I34" s="2296" t="s">
        <v>6345</v>
      </c>
      <c r="J34" s="2360">
        <f>E39+E47</f>
        <v>7.0212328030438904</v>
      </c>
      <c r="K34" s="2361" t="s">
        <v>2040</v>
      </c>
      <c r="L34" s="2294" t="s">
        <v>6551</v>
      </c>
      <c r="M34" s="2295"/>
      <c r="N34" s="2296" t="s">
        <v>6552</v>
      </c>
      <c r="O34" s="2297">
        <f t="shared" ref="O34:O36" si="0">E34</f>
        <v>60</v>
      </c>
      <c r="P34" s="2298" t="s">
        <v>6523</v>
      </c>
      <c r="Q34" s="2294" t="s">
        <v>6553</v>
      </c>
      <c r="R34" s="2295"/>
      <c r="S34" s="2296" t="s">
        <v>6345</v>
      </c>
      <c r="T34" s="2360">
        <f>O39+O47</f>
        <v>7.0679749330182302</v>
      </c>
      <c r="U34" s="2361" t="s">
        <v>2040</v>
      </c>
    </row>
    <row r="35" spans="2:21">
      <c r="B35" s="2294" t="s">
        <v>6551</v>
      </c>
      <c r="C35" s="2295"/>
      <c r="D35" s="2299" t="s">
        <v>6554</v>
      </c>
      <c r="E35" s="2300">
        <v>75</v>
      </c>
      <c r="F35" s="2298" t="s">
        <v>6523</v>
      </c>
      <c r="G35" s="2301" t="s">
        <v>6555</v>
      </c>
      <c r="H35" s="2302"/>
      <c r="I35" s="2303" t="s">
        <v>6556</v>
      </c>
      <c r="J35" s="2362">
        <f>(E47*E41+(E42+1)*E39)</f>
        <v>26.4268335654764</v>
      </c>
      <c r="K35" s="2363" t="s">
        <v>2040</v>
      </c>
      <c r="L35" s="2294" t="s">
        <v>6551</v>
      </c>
      <c r="M35" s="2295"/>
      <c r="N35" s="2299" t="s">
        <v>6554</v>
      </c>
      <c r="O35" s="2300">
        <f t="shared" si="0"/>
        <v>75</v>
      </c>
      <c r="P35" s="2298" t="s">
        <v>6523</v>
      </c>
      <c r="Q35" s="2301" t="s">
        <v>6555</v>
      </c>
      <c r="R35" s="2302"/>
      <c r="S35" s="2303" t="s">
        <v>6556</v>
      </c>
      <c r="T35" s="2362">
        <f>(O47*O41+(O42+1)*O39)</f>
        <v>48.857170605947097</v>
      </c>
      <c r="U35" s="2363" t="s">
        <v>2040</v>
      </c>
    </row>
    <row r="36" spans="2:21">
      <c r="B36" s="2301" t="s">
        <v>6557</v>
      </c>
      <c r="C36" s="2302"/>
      <c r="D36" s="2303" t="s">
        <v>5933</v>
      </c>
      <c r="E36" s="2304">
        <v>8030</v>
      </c>
      <c r="F36" s="2305" t="s">
        <v>6523</v>
      </c>
      <c r="G36" s="2301"/>
      <c r="H36" s="2306" t="s">
        <v>6558</v>
      </c>
      <c r="I36" s="2303" t="s">
        <v>6556</v>
      </c>
      <c r="J36" s="2364">
        <f>(E47*E41+(E42-0.5)*E39)</f>
        <v>21.5046930811578</v>
      </c>
      <c r="K36" s="2363" t="s">
        <v>2040</v>
      </c>
      <c r="L36" s="2301" t="s">
        <v>6557</v>
      </c>
      <c r="M36" s="2302"/>
      <c r="N36" s="2303" t="s">
        <v>5933</v>
      </c>
      <c r="O36" s="2304">
        <f t="shared" si="0"/>
        <v>8030</v>
      </c>
      <c r="P36" s="2305" t="s">
        <v>6523</v>
      </c>
      <c r="Q36" s="2301"/>
      <c r="R36" s="2306" t="s">
        <v>6558</v>
      </c>
      <c r="S36" s="2303" t="s">
        <v>6556</v>
      </c>
      <c r="T36" s="2364">
        <f>(O47*O41+(O42-0.5)*O39)</f>
        <v>42.857170605947097</v>
      </c>
      <c r="U36" s="2363" t="s">
        <v>2040</v>
      </c>
    </row>
    <row r="37" spans="2:21">
      <c r="B37" s="2301" t="s">
        <v>6559</v>
      </c>
      <c r="C37" s="2302"/>
      <c r="D37" s="2303" t="s">
        <v>5930</v>
      </c>
      <c r="E37" s="2307">
        <v>5.75</v>
      </c>
      <c r="F37" s="2308"/>
      <c r="G37" s="2301"/>
      <c r="H37" s="2279" t="s">
        <v>6560</v>
      </c>
      <c r="I37" s="2303" t="s">
        <v>6556</v>
      </c>
      <c r="J37" s="2362">
        <f>E39*E41</f>
        <v>7.7499831116894198</v>
      </c>
      <c r="K37" s="2363" t="s">
        <v>2040</v>
      </c>
      <c r="L37" s="2301" t="s">
        <v>6559</v>
      </c>
      <c r="M37" s="2302"/>
      <c r="N37" s="2303" t="s">
        <v>5930</v>
      </c>
      <c r="O37" s="2307">
        <v>5.75</v>
      </c>
      <c r="P37" s="2308"/>
      <c r="Q37" s="2301"/>
      <c r="R37" s="2279" t="s">
        <v>6560</v>
      </c>
      <c r="S37" s="2303" t="s">
        <v>6556</v>
      </c>
      <c r="T37" s="2362">
        <f>O39*O41</f>
        <v>20.8586877883609</v>
      </c>
      <c r="U37" s="2363" t="s">
        <v>2040</v>
      </c>
    </row>
    <row r="38" spans="2:21">
      <c r="B38" s="2301" t="s">
        <v>6561</v>
      </c>
      <c r="C38" s="2302"/>
      <c r="D38" s="2303" t="s">
        <v>6163</v>
      </c>
      <c r="E38" s="2309">
        <f>((4*E37-1)/(4*E37-4))+(0.615/E37)</f>
        <v>1.2648512585812399</v>
      </c>
      <c r="F38" s="2305"/>
      <c r="G38" s="2301" t="s">
        <v>6562</v>
      </c>
      <c r="H38" s="2302"/>
      <c r="I38" s="2303" t="s">
        <v>6563</v>
      </c>
      <c r="J38" s="2362">
        <f>J35/E40</f>
        <v>1.1489927637163599</v>
      </c>
      <c r="K38" s="1029"/>
      <c r="L38" s="2301" t="s">
        <v>6561</v>
      </c>
      <c r="M38" s="2302"/>
      <c r="N38" s="2303" t="s">
        <v>6163</v>
      </c>
      <c r="O38" s="2309">
        <f>((4*O37-1)/(4*O37-4))+(0.615/O37)</f>
        <v>1.2648512585812399</v>
      </c>
      <c r="P38" s="2365"/>
      <c r="Q38" s="2301" t="s">
        <v>6562</v>
      </c>
      <c r="R38" s="2302"/>
      <c r="S38" s="2303" t="s">
        <v>6563</v>
      </c>
      <c r="T38" s="2362">
        <f>T35/O40</f>
        <v>2.1242248089542199</v>
      </c>
      <c r="U38" s="1029"/>
    </row>
    <row r="39" spans="2:21">
      <c r="B39" s="2301" t="s">
        <v>6564</v>
      </c>
      <c r="C39" s="2302"/>
      <c r="D39" s="2303" t="s">
        <v>6565</v>
      </c>
      <c r="E39" s="2310">
        <f>1.6*((E38*E44*E37)/E34)^(1/2)</f>
        <v>3.28142698954575</v>
      </c>
      <c r="F39" s="2305" t="s">
        <v>2040</v>
      </c>
      <c r="G39" s="2301"/>
      <c r="H39" s="2279" t="s">
        <v>6566</v>
      </c>
      <c r="I39" s="2303" t="s">
        <v>6563</v>
      </c>
      <c r="J39" s="2364">
        <f>J36/E40</f>
        <v>0.93498665570251105</v>
      </c>
      <c r="K39" s="1029"/>
      <c r="L39" s="2301" t="s">
        <v>6564</v>
      </c>
      <c r="M39" s="2302"/>
      <c r="N39" s="2303" t="s">
        <v>6565</v>
      </c>
      <c r="O39" s="2366">
        <v>4</v>
      </c>
      <c r="P39" s="2305" t="s">
        <v>2040</v>
      </c>
      <c r="Q39" s="2301"/>
      <c r="R39" s="2279" t="s">
        <v>6566</v>
      </c>
      <c r="S39" s="2303" t="s">
        <v>6563</v>
      </c>
      <c r="T39" s="2364">
        <f>T36/O40</f>
        <v>1.8633552437368299</v>
      </c>
      <c r="U39" s="1029"/>
    </row>
    <row r="40" spans="2:21">
      <c r="B40" s="2301" t="s">
        <v>6567</v>
      </c>
      <c r="C40" s="2302"/>
      <c r="D40" s="2303" t="s">
        <v>732</v>
      </c>
      <c r="E40" s="2311">
        <v>23</v>
      </c>
      <c r="F40" s="2305" t="s">
        <v>2040</v>
      </c>
      <c r="G40" s="2301"/>
      <c r="H40" s="2279" t="s">
        <v>6560</v>
      </c>
      <c r="I40" s="2303" t="s">
        <v>6563</v>
      </c>
      <c r="J40" s="2362">
        <f>J37/E40</f>
        <v>0.33695578746475702</v>
      </c>
      <c r="K40" s="1029"/>
      <c r="L40" s="2301" t="s">
        <v>6567</v>
      </c>
      <c r="M40" s="2302"/>
      <c r="N40" s="2303" t="s">
        <v>732</v>
      </c>
      <c r="O40" s="2311">
        <v>23</v>
      </c>
      <c r="P40" s="2305" t="s">
        <v>2040</v>
      </c>
      <c r="Q40" s="2301"/>
      <c r="R40" s="2279" t="s">
        <v>6560</v>
      </c>
      <c r="S40" s="2303" t="s">
        <v>6563</v>
      </c>
      <c r="T40" s="2362">
        <f>T37/O40</f>
        <v>0.90689946905917196</v>
      </c>
      <c r="U40" s="1029"/>
    </row>
    <row r="41" spans="2:21">
      <c r="B41" s="2301" t="s">
        <v>6568</v>
      </c>
      <c r="C41" s="2302"/>
      <c r="D41" s="2303" t="s">
        <v>6569</v>
      </c>
      <c r="E41" s="2310">
        <f>((J43-J42)*E36*E39*E39*E39*E39)/(8*(E44-E43)*E40*E40*E40)</f>
        <v>2.3617722217742401</v>
      </c>
      <c r="F41" s="2312"/>
      <c r="G41" s="2301"/>
      <c r="H41" s="2313" t="s">
        <v>6570</v>
      </c>
      <c r="I41" s="950"/>
      <c r="J41" s="2367"/>
      <c r="K41" s="1029"/>
      <c r="L41" s="2301" t="s">
        <v>6568</v>
      </c>
      <c r="M41" s="2302"/>
      <c r="N41" s="2303" t="s">
        <v>6569</v>
      </c>
      <c r="O41" s="2310">
        <f>((T43-T42)*O36*O39*O39*O39*O39)/(8*(O44-O43)*O40*O40*O40)</f>
        <v>5.2146719470902401</v>
      </c>
      <c r="P41" s="2312"/>
      <c r="Q41" s="2301"/>
      <c r="R41" s="2313" t="s">
        <v>6570</v>
      </c>
      <c r="S41" s="950"/>
      <c r="T41" s="2367"/>
      <c r="U41" s="1029"/>
    </row>
    <row r="42" spans="2:21">
      <c r="B42" s="2301" t="s">
        <v>6571</v>
      </c>
      <c r="C42" s="2302"/>
      <c r="D42" s="2303" t="s">
        <v>6358</v>
      </c>
      <c r="E42" s="2310">
        <f>E41+2</f>
        <v>4.3617722217742401</v>
      </c>
      <c r="F42" s="2312"/>
      <c r="G42" s="2301" t="s">
        <v>6572</v>
      </c>
      <c r="H42" s="2302"/>
      <c r="I42" s="2303" t="s">
        <v>719</v>
      </c>
      <c r="J42" s="2368">
        <v>7</v>
      </c>
      <c r="K42" s="2363" t="s">
        <v>2040</v>
      </c>
      <c r="L42" s="2301" t="s">
        <v>6571</v>
      </c>
      <c r="M42" s="2302"/>
      <c r="N42" s="2303" t="s">
        <v>6358</v>
      </c>
      <c r="O42" s="2310">
        <f>O41+2</f>
        <v>7.2146719470902401</v>
      </c>
      <c r="P42" s="2312"/>
      <c r="Q42" s="2301" t="s">
        <v>6572</v>
      </c>
      <c r="R42" s="2302"/>
      <c r="S42" s="2303" t="s">
        <v>719</v>
      </c>
      <c r="T42" s="2368">
        <v>7</v>
      </c>
      <c r="U42" s="2363" t="s">
        <v>2040</v>
      </c>
    </row>
    <row r="43" spans="2:21">
      <c r="B43" s="2301" t="s">
        <v>6573</v>
      </c>
      <c r="C43" s="2302"/>
      <c r="D43" s="2303" t="s">
        <v>6411</v>
      </c>
      <c r="E43" s="2311">
        <v>26.6</v>
      </c>
      <c r="F43" s="2314" t="s">
        <v>6536</v>
      </c>
      <c r="G43" s="2301" t="s">
        <v>6574</v>
      </c>
      <c r="H43" s="2302"/>
      <c r="I43" s="2303" t="s">
        <v>6575</v>
      </c>
      <c r="J43" s="2368">
        <v>9</v>
      </c>
      <c r="K43" s="2363" t="s">
        <v>2040</v>
      </c>
      <c r="L43" s="2301" t="s">
        <v>6573</v>
      </c>
      <c r="M43" s="2302"/>
      <c r="N43" s="2303" t="s">
        <v>6411</v>
      </c>
      <c r="O43" s="2311">
        <v>26.6</v>
      </c>
      <c r="P43" s="2314" t="s">
        <v>6536</v>
      </c>
      <c r="Q43" s="2301" t="s">
        <v>6574</v>
      </c>
      <c r="R43" s="2302"/>
      <c r="S43" s="2303" t="s">
        <v>6575</v>
      </c>
      <c r="T43" s="2368">
        <v>9</v>
      </c>
      <c r="U43" s="2363" t="s">
        <v>2040</v>
      </c>
    </row>
    <row r="44" spans="2:21">
      <c r="B44" s="2301" t="s">
        <v>6576</v>
      </c>
      <c r="C44" s="950"/>
      <c r="D44" s="2303" t="s">
        <v>6416</v>
      </c>
      <c r="E44" s="2311">
        <v>34.700000000000003</v>
      </c>
      <c r="F44" s="2314" t="s">
        <v>6536</v>
      </c>
      <c r="G44" s="2301" t="s">
        <v>6577</v>
      </c>
      <c r="H44" s="2302"/>
      <c r="I44" s="2303" t="s">
        <v>1481</v>
      </c>
      <c r="J44" s="2364">
        <f>E45/E48</f>
        <v>8.8325694851497101</v>
      </c>
      <c r="K44" s="2363" t="s">
        <v>2040</v>
      </c>
      <c r="L44" s="2301" t="s">
        <v>6576</v>
      </c>
      <c r="M44" s="950"/>
      <c r="N44" s="2303" t="s">
        <v>6416</v>
      </c>
      <c r="O44" s="2311">
        <v>34.700000000000003</v>
      </c>
      <c r="P44" s="2314" t="s">
        <v>6536</v>
      </c>
      <c r="Q44" s="2301" t="s">
        <v>6577</v>
      </c>
      <c r="R44" s="2302"/>
      <c r="S44" s="2303" t="s">
        <v>1481</v>
      </c>
      <c r="T44" s="2364">
        <f>O45/O48</f>
        <v>15.998482817586201</v>
      </c>
      <c r="U44" s="2363" t="s">
        <v>2040</v>
      </c>
    </row>
    <row r="45" spans="2:21">
      <c r="B45" s="2301" t="s">
        <v>6578</v>
      </c>
      <c r="C45" s="2302"/>
      <c r="D45" s="2303" t="s">
        <v>6420</v>
      </c>
      <c r="E45" s="2310">
        <f>(3.1415926*E39*E39*E39*E35)/(8*E38*E40)</f>
        <v>35.771906414856304</v>
      </c>
      <c r="F45" s="2314" t="s">
        <v>6536</v>
      </c>
      <c r="G45" s="2301" t="s">
        <v>6579</v>
      </c>
      <c r="H45" s="2302"/>
      <c r="I45" s="2303" t="s">
        <v>6580</v>
      </c>
      <c r="J45" s="2369" t="s">
        <v>6581</v>
      </c>
      <c r="K45" s="2363" t="s">
        <v>2040</v>
      </c>
      <c r="L45" s="2301" t="s">
        <v>6578</v>
      </c>
      <c r="M45" s="2302"/>
      <c r="N45" s="2303" t="s">
        <v>6420</v>
      </c>
      <c r="O45" s="2310">
        <f>(3.1415926*O39*O39*O39*E35)/(8*O38*O40)</f>
        <v>64.793855411224101</v>
      </c>
      <c r="P45" s="2314" t="s">
        <v>6536</v>
      </c>
      <c r="Q45" s="2301" t="s">
        <v>6579</v>
      </c>
      <c r="R45" s="2302"/>
      <c r="S45" s="2303" t="s">
        <v>6580</v>
      </c>
      <c r="T45" s="2369" t="s">
        <v>6581</v>
      </c>
      <c r="U45" s="2363" t="s">
        <v>2040</v>
      </c>
    </row>
    <row r="46" spans="2:21">
      <c r="B46" s="2301" t="s">
        <v>6582</v>
      </c>
      <c r="C46" s="2302"/>
      <c r="D46" s="2303" t="s">
        <v>6583</v>
      </c>
      <c r="E46" s="2310">
        <f>(8*E40*E40*E40*E45)/(E36*E39*E39*E39*E39)</f>
        <v>3.73980581349814</v>
      </c>
      <c r="F46" s="2305" t="s">
        <v>2040</v>
      </c>
      <c r="G46" s="2301" t="s">
        <v>6584</v>
      </c>
      <c r="H46" s="2302"/>
      <c r="I46" s="2303" t="s">
        <v>6585</v>
      </c>
      <c r="J46" s="2369" t="s">
        <v>6586</v>
      </c>
      <c r="K46" s="2363" t="s">
        <v>2040</v>
      </c>
      <c r="L46" s="2301" t="s">
        <v>6582</v>
      </c>
      <c r="M46" s="2302"/>
      <c r="N46" s="2303" t="s">
        <v>6583</v>
      </c>
      <c r="O46" s="2310">
        <f>(8*O40*O40*O40*O45)/(O36*O39*O39*O39*O39)</f>
        <v>3.0679749330182302</v>
      </c>
      <c r="P46" s="2305" t="s">
        <v>2040</v>
      </c>
      <c r="Q46" s="2301" t="s">
        <v>6584</v>
      </c>
      <c r="R46" s="2302"/>
      <c r="S46" s="2303" t="s">
        <v>6585</v>
      </c>
      <c r="T46" s="2369" t="s">
        <v>6586</v>
      </c>
      <c r="U46" s="2363" t="s">
        <v>2040</v>
      </c>
    </row>
    <row r="47" spans="2:21">
      <c r="B47" s="2301" t="s">
        <v>6587</v>
      </c>
      <c r="C47" s="2302"/>
      <c r="D47" s="2313" t="s">
        <v>6588</v>
      </c>
      <c r="E47" s="2310">
        <f>E46</f>
        <v>3.73980581349814</v>
      </c>
      <c r="F47" s="2305" t="s">
        <v>2040</v>
      </c>
      <c r="G47" s="2301" t="s">
        <v>6589</v>
      </c>
      <c r="H47" s="2302"/>
      <c r="I47" s="2303" t="s">
        <v>6590</v>
      </c>
      <c r="J47" s="2369" t="s">
        <v>6591</v>
      </c>
      <c r="K47" s="2363" t="s">
        <v>2040</v>
      </c>
      <c r="L47" s="2301" t="s">
        <v>6587</v>
      </c>
      <c r="M47" s="2302"/>
      <c r="N47" s="2313" t="s">
        <v>6588</v>
      </c>
      <c r="O47" s="2310">
        <f>O46</f>
        <v>3.0679749330182302</v>
      </c>
      <c r="P47" s="2305" t="s">
        <v>2040</v>
      </c>
      <c r="Q47" s="2301" t="s">
        <v>6589</v>
      </c>
      <c r="R47" s="2302"/>
      <c r="S47" s="2303" t="s">
        <v>6590</v>
      </c>
      <c r="T47" s="2369" t="s">
        <v>6591</v>
      </c>
      <c r="U47" s="2363" t="s">
        <v>2040</v>
      </c>
    </row>
    <row r="48" spans="2:21">
      <c r="B48" s="2301" t="s">
        <v>6592</v>
      </c>
      <c r="C48" s="2302"/>
      <c r="D48" s="2303" t="s">
        <v>6593</v>
      </c>
      <c r="E48" s="2309">
        <f>(E36*E39*E39*E39*E39)/(8*E40*E40*E40*E41)</f>
        <v>4.05</v>
      </c>
      <c r="F48" s="2305" t="s">
        <v>6531</v>
      </c>
      <c r="G48" s="2301" t="s">
        <v>6594</v>
      </c>
      <c r="H48" s="2302"/>
      <c r="I48" s="2303" t="s">
        <v>6595</v>
      </c>
      <c r="J48" s="2364">
        <f>J34/(3.1415926*E40)</f>
        <v>9.7170776196980793E-2</v>
      </c>
      <c r="K48" s="1029"/>
      <c r="L48" s="2301" t="s">
        <v>6592</v>
      </c>
      <c r="M48" s="2302"/>
      <c r="N48" s="2303" t="s">
        <v>6593</v>
      </c>
      <c r="O48" s="2309">
        <f>(O36*O39*O39*O39*O39)/(8*O40*O40*O40*O41)</f>
        <v>4.05</v>
      </c>
      <c r="P48" s="2305" t="s">
        <v>6531</v>
      </c>
      <c r="Q48" s="2301" t="s">
        <v>6594</v>
      </c>
      <c r="R48" s="2302"/>
      <c r="S48" s="2303" t="s">
        <v>6595</v>
      </c>
      <c r="T48" s="2364">
        <f>T34/(3.1415926*O40)</f>
        <v>9.7817666732890302E-2</v>
      </c>
      <c r="U48" s="1029"/>
    </row>
    <row r="49" spans="2:21">
      <c r="B49" s="2247" t="s">
        <v>6596</v>
      </c>
      <c r="C49" s="2248"/>
      <c r="D49" s="2315" t="s">
        <v>6597</v>
      </c>
      <c r="E49" s="2316">
        <f>E47-E44/(E48*E41)</f>
        <v>0.11206341074796</v>
      </c>
      <c r="F49" s="2317" t="s">
        <v>2040</v>
      </c>
      <c r="G49" s="2247" t="s">
        <v>6598</v>
      </c>
      <c r="H49" s="1059"/>
      <c r="I49" s="1059"/>
      <c r="J49" s="1059"/>
      <c r="K49" s="1060"/>
      <c r="L49" s="2247" t="s">
        <v>6596</v>
      </c>
      <c r="M49" s="2248"/>
      <c r="N49" s="2315" t="s">
        <v>6597</v>
      </c>
      <c r="O49" s="2316">
        <f>O47-O44/(O48*O41)</f>
        <v>1.42493749528473</v>
      </c>
      <c r="P49" s="2317" t="s">
        <v>2040</v>
      </c>
      <c r="Q49" s="2247" t="s">
        <v>6598</v>
      </c>
      <c r="R49" s="1059"/>
      <c r="S49" s="1059"/>
      <c r="T49" s="1059"/>
      <c r="U49" s="1060"/>
    </row>
    <row r="50" spans="2:21">
      <c r="E50" s="65"/>
      <c r="F50" s="2318"/>
      <c r="K50" s="62"/>
      <c r="M50"/>
      <c r="P50" s="67"/>
    </row>
    <row r="51" spans="2:21">
      <c r="B51" s="3425" t="s">
        <v>6599</v>
      </c>
      <c r="C51" s="3426"/>
      <c r="D51" s="3426"/>
      <c r="E51" s="3426"/>
      <c r="F51" s="3426"/>
      <c r="G51" s="3426"/>
      <c r="H51" s="3426"/>
      <c r="I51" s="3427"/>
      <c r="J51" s="2370"/>
      <c r="L51" s="3422" t="s">
        <v>6600</v>
      </c>
      <c r="M51" s="3423"/>
      <c r="N51" s="3423"/>
      <c r="O51" s="3423"/>
      <c r="P51" s="3423"/>
      <c r="Q51" s="3423"/>
      <c r="R51" s="3423"/>
      <c r="S51" s="3423"/>
      <c r="T51" s="3423"/>
      <c r="U51" s="3424"/>
    </row>
    <row r="52" spans="2:21">
      <c r="B52" s="2244" t="s">
        <v>6601</v>
      </c>
      <c r="C52" s="2245"/>
      <c r="D52" s="2254">
        <v>8030</v>
      </c>
      <c r="E52" s="2319" t="s">
        <v>6523</v>
      </c>
      <c r="F52" s="2256"/>
      <c r="G52" s="2320" t="s">
        <v>6524</v>
      </c>
      <c r="H52" s="2296"/>
      <c r="I52" s="2371">
        <f>D53/D54</f>
        <v>12.181818181818199</v>
      </c>
      <c r="J52" s="1150"/>
      <c r="L52" s="2294" t="s">
        <v>6551</v>
      </c>
      <c r="M52" s="2295"/>
      <c r="N52" s="2296" t="s">
        <v>6552</v>
      </c>
      <c r="O52" s="2297">
        <f t="shared" ref="O52:O54" si="1">E34</f>
        <v>60</v>
      </c>
      <c r="P52" s="2298" t="s">
        <v>6523</v>
      </c>
      <c r="Q52" s="2294" t="s">
        <v>6553</v>
      </c>
      <c r="R52" s="2295"/>
      <c r="S52" s="2296" t="s">
        <v>6345</v>
      </c>
      <c r="T52" s="2360">
        <f>O57+O65</f>
        <v>7.0679749330182302</v>
      </c>
      <c r="U52" s="2361" t="s">
        <v>2040</v>
      </c>
    </row>
    <row r="53" spans="2:21">
      <c r="B53" s="2258" t="s">
        <v>6525</v>
      </c>
      <c r="C53" s="2259"/>
      <c r="D53" s="2260">
        <v>26.8</v>
      </c>
      <c r="E53" s="2321" t="s">
        <v>2040</v>
      </c>
      <c r="F53" s="1129"/>
      <c r="G53" s="2262" t="s">
        <v>6526</v>
      </c>
      <c r="H53" s="2249"/>
      <c r="I53" s="2372">
        <f>((4*I52-1)/(4*I52-4))+(0.615/I52)</f>
        <v>1.11755824535857</v>
      </c>
      <c r="J53" s="1150"/>
      <c r="L53" s="2294" t="s">
        <v>6551</v>
      </c>
      <c r="M53" s="2295"/>
      <c r="N53" s="2299" t="s">
        <v>6554</v>
      </c>
      <c r="O53" s="2300">
        <f t="shared" si="1"/>
        <v>75</v>
      </c>
      <c r="P53" s="2298" t="s">
        <v>6523</v>
      </c>
      <c r="Q53" s="2301" t="s">
        <v>6555</v>
      </c>
      <c r="R53" s="2302"/>
      <c r="S53" s="2303" t="s">
        <v>6556</v>
      </c>
      <c r="T53" s="2362">
        <f>(O65*O59+(O60+1)*O57)</f>
        <v>54.407849598109401</v>
      </c>
      <c r="U53" s="2363" t="s">
        <v>2040</v>
      </c>
    </row>
    <row r="54" spans="2:21">
      <c r="B54" s="2263" t="s">
        <v>6527</v>
      </c>
      <c r="C54" s="2264"/>
      <c r="D54" s="2260">
        <v>2.2000000000000002</v>
      </c>
      <c r="E54" s="2321" t="s">
        <v>2040</v>
      </c>
      <c r="F54" s="1129"/>
      <c r="G54" s="2265"/>
      <c r="H54" s="654"/>
      <c r="I54" s="2373"/>
      <c r="J54" s="2374"/>
      <c r="L54" s="2301" t="s">
        <v>6557</v>
      </c>
      <c r="M54" s="2302"/>
      <c r="N54" s="2303" t="s">
        <v>5933</v>
      </c>
      <c r="O54" s="2304">
        <f t="shared" si="1"/>
        <v>8030</v>
      </c>
      <c r="P54" s="2305" t="s">
        <v>6523</v>
      </c>
      <c r="Q54" s="2301"/>
      <c r="R54" s="2306" t="s">
        <v>6558</v>
      </c>
      <c r="S54" s="2303" t="s">
        <v>6556</v>
      </c>
      <c r="T54" s="2364">
        <f>(O65*O59+(O60-0.5)*O57)</f>
        <v>48.407849598109401</v>
      </c>
      <c r="U54" s="2363" t="s">
        <v>2040</v>
      </c>
    </row>
    <row r="55" spans="2:21">
      <c r="B55" s="2266" t="s">
        <v>6528</v>
      </c>
      <c r="C55" s="2267"/>
      <c r="D55" s="2268">
        <v>28.25</v>
      </c>
      <c r="E55" s="2322"/>
      <c r="F55" s="1129"/>
      <c r="G55" s="2323" t="s">
        <v>6529</v>
      </c>
      <c r="H55" s="2324"/>
      <c r="I55" s="2375">
        <v>75</v>
      </c>
      <c r="J55" s="2376"/>
      <c r="L55" s="2301" t="s">
        <v>6559</v>
      </c>
      <c r="M55" s="2302"/>
      <c r="N55" s="2303" t="s">
        <v>5930</v>
      </c>
      <c r="O55" s="2307">
        <v>5.75</v>
      </c>
      <c r="P55" s="2308"/>
      <c r="Q55" s="2301"/>
      <c r="R55" s="2279" t="s">
        <v>6560</v>
      </c>
      <c r="S55" s="2303" t="s">
        <v>6556</v>
      </c>
      <c r="T55" s="2362">
        <f>O57*O59</f>
        <v>24</v>
      </c>
      <c r="U55" s="2363" t="s">
        <v>2040</v>
      </c>
    </row>
    <row r="56" spans="2:21">
      <c r="B56" s="2271" t="s">
        <v>6530</v>
      </c>
      <c r="C56" s="2272"/>
      <c r="D56" s="2273">
        <f>D52*D54^4/(8*D53^3*D55)</f>
        <v>4.3240772826185797E-2</v>
      </c>
      <c r="E56" s="2325" t="s">
        <v>6531</v>
      </c>
      <c r="F56" s="2326">
        <f>D56*9.80665</f>
        <v>0.424047124835915</v>
      </c>
      <c r="G56" s="2276" t="s">
        <v>6532</v>
      </c>
      <c r="H56" s="2327"/>
      <c r="I56" s="2377" t="s">
        <v>6533</v>
      </c>
      <c r="J56" s="2378"/>
      <c r="L56" s="2301" t="s">
        <v>6561</v>
      </c>
      <c r="M56" s="2302"/>
      <c r="N56" s="2303" t="s">
        <v>6163</v>
      </c>
      <c r="O56" s="2309">
        <f>((4*O55-1)/(4*O55-4))+(0.615/O55)</f>
        <v>1.2648512585812399</v>
      </c>
      <c r="P56" s="2365"/>
      <c r="Q56" s="2301" t="s">
        <v>6562</v>
      </c>
      <c r="R56" s="2302"/>
      <c r="S56" s="2303" t="s">
        <v>6563</v>
      </c>
      <c r="T56" s="2362">
        <f>T53/O58</f>
        <v>2.3655586781786702</v>
      </c>
      <c r="U56" s="1029"/>
    </row>
    <row r="57" spans="2:21">
      <c r="B57" s="2277" t="s">
        <v>6535</v>
      </c>
      <c r="C57" s="950"/>
      <c r="D57" s="2278">
        <f>(3.1415926*D54*D54*D54*I55)/(8*I53*D53)</f>
        <v>10.4709050875671</v>
      </c>
      <c r="E57" s="2328" t="s">
        <v>6536</v>
      </c>
      <c r="F57" s="2329">
        <f>D57*9.80665</f>
        <v>102.68450137699</v>
      </c>
      <c r="G57" s="2261" t="s">
        <v>6109</v>
      </c>
      <c r="H57" s="654"/>
      <c r="I57" s="2379" t="s">
        <v>6537</v>
      </c>
      <c r="J57" s="2380"/>
      <c r="L57" s="2301" t="s">
        <v>6564</v>
      </c>
      <c r="M57" s="2302"/>
      <c r="N57" s="2303" t="s">
        <v>6565</v>
      </c>
      <c r="O57" s="2311">
        <v>4</v>
      </c>
      <c r="P57" s="2305" t="s">
        <v>2040</v>
      </c>
      <c r="Q57" s="2301"/>
      <c r="R57" s="2279" t="s">
        <v>6566</v>
      </c>
      <c r="S57" s="2303" t="s">
        <v>6563</v>
      </c>
      <c r="T57" s="2364">
        <f>T54/O58</f>
        <v>2.1046891129612799</v>
      </c>
      <c r="U57" s="1029"/>
    </row>
    <row r="58" spans="2:21">
      <c r="B58" s="2281" t="s">
        <v>6538</v>
      </c>
      <c r="C58" s="1059"/>
      <c r="D58" s="1059"/>
      <c r="E58" s="149"/>
      <c r="F58" s="2330">
        <f>(8*D53*D53*D53*D57*D55)/(D52*D54*D54*D54*D54)</f>
        <v>242.15351399145399</v>
      </c>
      <c r="G58" s="2284" t="s">
        <v>2040</v>
      </c>
      <c r="H58" s="149"/>
      <c r="I58" s="2381">
        <f>D55*D54</f>
        <v>62.15</v>
      </c>
      <c r="J58" s="2380"/>
      <c r="L58" s="2301" t="s">
        <v>6567</v>
      </c>
      <c r="M58" s="2302"/>
      <c r="N58" s="2303" t="s">
        <v>732</v>
      </c>
      <c r="O58" s="2311">
        <v>23</v>
      </c>
      <c r="P58" s="2305" t="s">
        <v>2040</v>
      </c>
      <c r="Q58" s="2301"/>
      <c r="R58" s="2279" t="s">
        <v>6560</v>
      </c>
      <c r="S58" s="2303" t="s">
        <v>6563</v>
      </c>
      <c r="T58" s="2362">
        <f>T55/O58</f>
        <v>1.0434782608695701</v>
      </c>
      <c r="U58" s="1029"/>
    </row>
    <row r="59" spans="2:21">
      <c r="E59" s="65"/>
      <c r="F59" s="2318"/>
      <c r="J59" s="2382"/>
      <c r="L59" s="2301" t="s">
        <v>6568</v>
      </c>
      <c r="M59" s="2302"/>
      <c r="N59" s="2303" t="s">
        <v>6569</v>
      </c>
      <c r="O59" s="2311">
        <v>6</v>
      </c>
      <c r="P59" s="2312"/>
      <c r="Q59" s="2301"/>
      <c r="R59" s="2313" t="s">
        <v>6570</v>
      </c>
      <c r="S59" s="950"/>
      <c r="T59" s="2367"/>
      <c r="U59" s="1029"/>
    </row>
    <row r="60" spans="2:21">
      <c r="B60" s="2331" t="s">
        <v>6602</v>
      </c>
      <c r="E60" s="65"/>
      <c r="F60" s="2318"/>
      <c r="L60" s="2301" t="s">
        <v>6571</v>
      </c>
      <c r="M60" s="2302"/>
      <c r="N60" s="2303" t="s">
        <v>6358</v>
      </c>
      <c r="O60" s="2310">
        <f>O59+2</f>
        <v>8</v>
      </c>
      <c r="P60" s="2312"/>
      <c r="Q60" s="2301" t="s">
        <v>6572</v>
      </c>
      <c r="R60" s="2302"/>
      <c r="S60" s="2303" t="s">
        <v>719</v>
      </c>
      <c r="T60" s="2368">
        <f>O61/O66</f>
        <v>7.5570252179327504</v>
      </c>
      <c r="U60" s="2363" t="s">
        <v>2040</v>
      </c>
    </row>
    <row r="61" spans="2:21">
      <c r="B61" s="2332" t="s">
        <v>6603</v>
      </c>
      <c r="E61" s="65"/>
      <c r="F61" s="2318"/>
      <c r="L61" s="2301" t="s">
        <v>6573</v>
      </c>
      <c r="M61" s="2302"/>
      <c r="N61" s="2303" t="s">
        <v>6411</v>
      </c>
      <c r="O61" s="2311">
        <v>26.6</v>
      </c>
      <c r="P61" s="2314" t="s">
        <v>6536</v>
      </c>
      <c r="Q61" s="2301" t="s">
        <v>6574</v>
      </c>
      <c r="R61" s="2302"/>
      <c r="S61" s="2303" t="s">
        <v>6575</v>
      </c>
      <c r="T61" s="2368">
        <f>O62/O66</f>
        <v>9.8582246264010003</v>
      </c>
      <c r="U61" s="2363" t="s">
        <v>2040</v>
      </c>
    </row>
    <row r="62" spans="2:21">
      <c r="E62" s="65"/>
      <c r="F62" s="2318"/>
      <c r="L62" s="2301" t="s">
        <v>6576</v>
      </c>
      <c r="M62" s="950"/>
      <c r="N62" s="2303" t="s">
        <v>6416</v>
      </c>
      <c r="O62" s="2311">
        <v>34.700000000000003</v>
      </c>
      <c r="P62" s="2314" t="s">
        <v>6536</v>
      </c>
      <c r="Q62" s="2301" t="s">
        <v>6577</v>
      </c>
      <c r="R62" s="2302"/>
      <c r="S62" s="2303" t="s">
        <v>1481</v>
      </c>
      <c r="T62" s="2364">
        <f>O63/O66</f>
        <v>18.407849598109401</v>
      </c>
      <c r="U62" s="2363" t="s">
        <v>2040</v>
      </c>
    </row>
    <row r="63" spans="2:21">
      <c r="B63" s="3428" t="s">
        <v>6604</v>
      </c>
      <c r="C63" s="3426"/>
      <c r="D63" s="3426"/>
      <c r="E63" s="3426"/>
      <c r="F63" s="3426"/>
      <c r="G63" s="3426"/>
      <c r="H63" s="3426"/>
      <c r="I63" s="3427"/>
      <c r="L63" s="2301" t="s">
        <v>6578</v>
      </c>
      <c r="M63" s="2302"/>
      <c r="N63" s="2303" t="s">
        <v>6420</v>
      </c>
      <c r="O63" s="2310">
        <f>(3.1415926*O57*O57*O57*E35)/(8*O56*O58)</f>
        <v>64.793855411224101</v>
      </c>
      <c r="P63" s="2314" t="s">
        <v>6536</v>
      </c>
      <c r="Q63" s="2301" t="s">
        <v>6579</v>
      </c>
      <c r="R63" s="2302"/>
      <c r="S63" s="2303" t="s">
        <v>6580</v>
      </c>
      <c r="T63" s="2389">
        <f>T54-T60</f>
        <v>40.850824380176597</v>
      </c>
      <c r="U63" s="2363" t="s">
        <v>2040</v>
      </c>
    </row>
    <row r="64" spans="2:21">
      <c r="B64" s="2244" t="s">
        <v>6601</v>
      </c>
      <c r="C64" s="2245"/>
      <c r="D64" s="2254">
        <v>8000</v>
      </c>
      <c r="E64" s="2319" t="s">
        <v>6523</v>
      </c>
      <c r="F64" s="2256"/>
      <c r="G64" s="2320" t="s">
        <v>6524</v>
      </c>
      <c r="H64" s="2296"/>
      <c r="I64" s="2371">
        <f>D65/D66</f>
        <v>12.181818181818199</v>
      </c>
      <c r="L64" s="2301" t="s">
        <v>6582</v>
      </c>
      <c r="M64" s="2302"/>
      <c r="N64" s="2303" t="s">
        <v>6583</v>
      </c>
      <c r="O64" s="2310">
        <f>(8*O58*O58*O58*O63)/(O54*O57*O57*O57*O57)</f>
        <v>3.0679749330182302</v>
      </c>
      <c r="P64" s="2305" t="s">
        <v>2040</v>
      </c>
      <c r="Q64" s="2301" t="s">
        <v>6584</v>
      </c>
      <c r="R64" s="2302"/>
      <c r="S64" s="2303" t="s">
        <v>6585</v>
      </c>
      <c r="T64" s="2389">
        <f>T54-T61</f>
        <v>38.549624971708397</v>
      </c>
      <c r="U64" s="2363" t="s">
        <v>2040</v>
      </c>
    </row>
    <row r="65" spans="2:21">
      <c r="B65" s="2258" t="s">
        <v>6525</v>
      </c>
      <c r="C65" s="2259"/>
      <c r="D65" s="2260">
        <v>26.8</v>
      </c>
      <c r="E65" s="2321" t="s">
        <v>2040</v>
      </c>
      <c r="F65" s="1129"/>
      <c r="G65" s="2262" t="s">
        <v>6526</v>
      </c>
      <c r="H65" s="2249"/>
      <c r="I65" s="2372">
        <f>((4*I64-1)/(4*I64-4))+(0.615/I64)</f>
        <v>1.11755824535857</v>
      </c>
      <c r="L65" s="2301" t="s">
        <v>6587</v>
      </c>
      <c r="M65" s="2302"/>
      <c r="N65" s="2313" t="s">
        <v>6588</v>
      </c>
      <c r="O65" s="2310">
        <f>O64</f>
        <v>3.0679749330182302</v>
      </c>
      <c r="P65" s="2305" t="s">
        <v>2040</v>
      </c>
      <c r="Q65" s="2301" t="s">
        <v>6589</v>
      </c>
      <c r="R65" s="2302"/>
      <c r="S65" s="2303" t="s">
        <v>6590</v>
      </c>
      <c r="T65" s="2389">
        <f>(O60-0.5)*O57</f>
        <v>30</v>
      </c>
      <c r="U65" s="2363" t="s">
        <v>2040</v>
      </c>
    </row>
    <row r="66" spans="2:21">
      <c r="B66" s="2263" t="s">
        <v>6527</v>
      </c>
      <c r="C66" s="2264"/>
      <c r="D66" s="2260">
        <v>2.2000000000000002</v>
      </c>
      <c r="E66" s="2321" t="s">
        <v>2040</v>
      </c>
      <c r="F66" s="1129"/>
      <c r="G66" s="2265"/>
      <c r="H66" s="654"/>
      <c r="I66" s="2373"/>
      <c r="L66" s="2301" t="s">
        <v>6592</v>
      </c>
      <c r="M66" s="2302"/>
      <c r="N66" s="2303" t="s">
        <v>6593</v>
      </c>
      <c r="O66" s="2309">
        <f>(O54*O57*O57*O57*O57)/(8*O58*O58*O58*O59)</f>
        <v>3.5199035642859098</v>
      </c>
      <c r="P66" s="2305" t="s">
        <v>6531</v>
      </c>
      <c r="Q66" s="2301" t="s">
        <v>6594</v>
      </c>
      <c r="R66" s="2302"/>
      <c r="S66" s="2303" t="s">
        <v>6595</v>
      </c>
      <c r="T66" s="2364">
        <f>T52/(3.1415926*O58)</f>
        <v>9.7817666732890302E-2</v>
      </c>
      <c r="U66" s="1029"/>
    </row>
    <row r="67" spans="2:21">
      <c r="B67" s="2266" t="s">
        <v>6528</v>
      </c>
      <c r="C67" s="2267"/>
      <c r="D67" s="2268">
        <v>28.25</v>
      </c>
      <c r="E67" s="2322"/>
      <c r="F67" s="1129"/>
      <c r="G67" s="2323" t="s">
        <v>6529</v>
      </c>
      <c r="H67" s="2324"/>
      <c r="I67" s="2375">
        <v>75</v>
      </c>
      <c r="L67" s="2247" t="s">
        <v>6596</v>
      </c>
      <c r="M67" s="2248"/>
      <c r="N67" s="2315" t="s">
        <v>6597</v>
      </c>
      <c r="O67" s="2316">
        <f>O65-O62/(O66*O59)</f>
        <v>1.42493749528473</v>
      </c>
      <c r="P67" s="2317" t="s">
        <v>2040</v>
      </c>
      <c r="Q67" s="2247" t="s">
        <v>6598</v>
      </c>
      <c r="R67" s="1059"/>
      <c r="S67" s="1059"/>
      <c r="T67" s="1059"/>
      <c r="U67" s="1060"/>
    </row>
    <row r="68" spans="2:21">
      <c r="B68" s="2271" t="s">
        <v>6530</v>
      </c>
      <c r="C68" s="2272"/>
      <c r="D68" s="2273">
        <f>D64*D66^4/(8*D65^3*D67)</f>
        <v>4.3079225729699397E-2</v>
      </c>
      <c r="E68" s="2325" t="s">
        <v>6531</v>
      </c>
      <c r="F68" s="2326">
        <f>D68*9.80665</f>
        <v>0.422462889002157</v>
      </c>
      <c r="G68" s="2276" t="s">
        <v>6532</v>
      </c>
      <c r="H68" s="2327"/>
      <c r="I68" s="2377" t="s">
        <v>6533</v>
      </c>
      <c r="M68"/>
      <c r="P68" s="67"/>
    </row>
    <row r="69" spans="2:21">
      <c r="B69" s="2277" t="s">
        <v>6535</v>
      </c>
      <c r="C69" s="950"/>
      <c r="D69" s="2278">
        <f>(3.1415926*D66*D66*D66*I67)/(8*I65*D65)</f>
        <v>10.4709050875671</v>
      </c>
      <c r="E69" s="2328" t="s">
        <v>6536</v>
      </c>
      <c r="F69" s="2329">
        <f>D69*9.80665</f>
        <v>102.68450137699</v>
      </c>
      <c r="G69" s="2261" t="s">
        <v>6109</v>
      </c>
      <c r="H69" s="654"/>
      <c r="I69" s="2379" t="s">
        <v>6537</v>
      </c>
    </row>
    <row r="70" spans="2:21">
      <c r="B70" s="2281" t="s">
        <v>6538</v>
      </c>
      <c r="C70" s="1059"/>
      <c r="D70" s="1059"/>
      <c r="E70" s="149"/>
      <c r="F70" s="2330">
        <f>(8*D65*D65*D65*D69*D67)/(D64*D66*D66*D66*D66)</f>
        <v>243.06158966892201</v>
      </c>
      <c r="G70" s="2284" t="s">
        <v>2040</v>
      </c>
      <c r="H70" s="149"/>
      <c r="I70" s="2381">
        <f>D67*D66</f>
        <v>62.15</v>
      </c>
    </row>
    <row r="71" spans="2:21">
      <c r="S71" s="3368" t="s">
        <v>12710</v>
      </c>
      <c r="T71" s="3368"/>
    </row>
    <row r="72" spans="2:21">
      <c r="B72" s="3429" t="s">
        <v>6605</v>
      </c>
      <c r="C72" s="3426"/>
      <c r="D72" s="3426"/>
      <c r="E72" s="3426"/>
      <c r="F72" s="3426"/>
      <c r="G72" s="3426"/>
      <c r="H72" s="3426"/>
      <c r="I72" s="3427"/>
      <c r="J72" s="2318" t="s">
        <v>2040</v>
      </c>
      <c r="N72" s="2318" t="s">
        <v>6109</v>
      </c>
      <c r="O72" s="2318" t="s">
        <v>6606</v>
      </c>
    </row>
    <row r="73" spans="2:21">
      <c r="B73" s="2244" t="s">
        <v>6601</v>
      </c>
      <c r="C73" s="2245"/>
      <c r="D73" s="2254">
        <v>8000</v>
      </c>
      <c r="E73" s="2319" t="s">
        <v>6523</v>
      </c>
      <c r="F73" s="2256"/>
      <c r="G73" s="2320" t="s">
        <v>6524</v>
      </c>
      <c r="H73" s="2296"/>
      <c r="I73" s="2371"/>
      <c r="J73">
        <v>0</v>
      </c>
      <c r="K73">
        <v>0</v>
      </c>
      <c r="L73">
        <v>0</v>
      </c>
      <c r="M73">
        <v>0</v>
      </c>
      <c r="N73" s="2393">
        <f t="shared" ref="N73:N78" si="2">(K73+L73+M73)/3</f>
        <v>0</v>
      </c>
      <c r="O73" s="2394">
        <v>0</v>
      </c>
    </row>
    <row r="74" spans="2:21">
      <c r="B74" s="2258" t="s">
        <v>6607</v>
      </c>
      <c r="C74" s="2259"/>
      <c r="D74" s="2260">
        <v>1.9</v>
      </c>
      <c r="E74" s="2321" t="s">
        <v>2040</v>
      </c>
      <c r="F74" s="2256"/>
      <c r="G74" s="2390"/>
      <c r="H74" s="2391"/>
      <c r="I74" s="2395"/>
      <c r="J74">
        <v>10</v>
      </c>
      <c r="K74">
        <v>4.2</v>
      </c>
      <c r="L74">
        <v>4.0999999999999996</v>
      </c>
      <c r="M74">
        <v>4.2</v>
      </c>
      <c r="N74" s="2393">
        <f t="shared" si="2"/>
        <v>4.1666666666666696</v>
      </c>
      <c r="O74" s="2394">
        <f t="shared" ref="O74:O78" si="3">N74/J74</f>
        <v>0.41666666666666702</v>
      </c>
    </row>
    <row r="75" spans="2:21">
      <c r="B75" s="2258" t="s">
        <v>6608</v>
      </c>
      <c r="C75" s="2259"/>
      <c r="D75" s="2260">
        <v>2.4</v>
      </c>
      <c r="E75" s="2321" t="s">
        <v>2040</v>
      </c>
      <c r="F75" s="1129"/>
      <c r="G75" s="2262" t="s">
        <v>6526</v>
      </c>
      <c r="H75" s="2249"/>
      <c r="I75" s="2372"/>
      <c r="J75">
        <v>20</v>
      </c>
      <c r="K75">
        <v>8.4</v>
      </c>
      <c r="L75">
        <v>8.3000000000000007</v>
      </c>
      <c r="M75">
        <v>8.4</v>
      </c>
      <c r="N75" s="2393">
        <f t="shared" si="2"/>
        <v>8.3666666666666707</v>
      </c>
      <c r="O75" s="2394">
        <f t="shared" si="3"/>
        <v>0.418333333333333</v>
      </c>
    </row>
    <row r="76" spans="2:21">
      <c r="B76" s="2263" t="s">
        <v>6527</v>
      </c>
      <c r="C76" s="2264"/>
      <c r="D76" s="2260">
        <v>0.3</v>
      </c>
      <c r="E76" s="2321" t="s">
        <v>2040</v>
      </c>
      <c r="F76" s="1129"/>
      <c r="G76" s="2265"/>
      <c r="H76" s="654"/>
      <c r="I76" s="2373"/>
      <c r="J76">
        <v>30</v>
      </c>
      <c r="K76">
        <v>12.6</v>
      </c>
      <c r="L76">
        <v>12.6</v>
      </c>
      <c r="M76">
        <v>12.7</v>
      </c>
      <c r="N76" s="2393">
        <f t="shared" si="2"/>
        <v>12.633333333333301</v>
      </c>
      <c r="O76" s="2394">
        <f t="shared" si="3"/>
        <v>0.42111111111111099</v>
      </c>
    </row>
    <row r="77" spans="2:21">
      <c r="B77" s="2266" t="s">
        <v>6528</v>
      </c>
      <c r="C77" s="2267"/>
      <c r="D77" s="2268">
        <v>2.5</v>
      </c>
      <c r="E77" s="2322"/>
      <c r="F77" s="1129"/>
      <c r="G77" s="2323" t="s">
        <v>6529</v>
      </c>
      <c r="H77" s="2324"/>
      <c r="I77" s="2375">
        <v>75</v>
      </c>
      <c r="J77">
        <v>40</v>
      </c>
      <c r="K77">
        <v>16.899999999999999</v>
      </c>
      <c r="L77">
        <v>16.899999999999999</v>
      </c>
      <c r="M77">
        <v>16.899999999999999</v>
      </c>
      <c r="N77" s="2393">
        <f t="shared" si="2"/>
        <v>16.899999999999999</v>
      </c>
      <c r="O77" s="2394">
        <f t="shared" si="3"/>
        <v>0.42249999999999999</v>
      </c>
    </row>
    <row r="78" spans="2:21">
      <c r="B78" s="2271" t="s">
        <v>6530</v>
      </c>
      <c r="C78" s="2272"/>
      <c r="D78" s="2273">
        <f>D73*D76^4/(16*D77*(D74^2+D75^2)*(D74+D75))</f>
        <v>4.0207490506564698E-2</v>
      </c>
      <c r="E78" s="2325" t="s">
        <v>6531</v>
      </c>
      <c r="F78" s="2326">
        <f>D78*9.80665</f>
        <v>0.394300786776203</v>
      </c>
      <c r="G78" s="2276" t="s">
        <v>6532</v>
      </c>
      <c r="H78" s="2327"/>
      <c r="I78" s="2377" t="s">
        <v>6533</v>
      </c>
      <c r="J78">
        <v>50</v>
      </c>
      <c r="K78">
        <v>21.1</v>
      </c>
      <c r="L78">
        <v>21.1</v>
      </c>
      <c r="M78">
        <v>21.1</v>
      </c>
      <c r="N78" s="2393">
        <f t="shared" si="2"/>
        <v>21.1</v>
      </c>
      <c r="O78" s="2394">
        <f t="shared" si="3"/>
        <v>0.42199999999999999</v>
      </c>
    </row>
    <row r="79" spans="2:21">
      <c r="B79" s="2277" t="s">
        <v>6535</v>
      </c>
      <c r="C79" s="950"/>
      <c r="D79" s="2278" t="e">
        <f>(3.1415926*D76*D76*D76*I77)/(8*I75*D75)</f>
        <v>#DIV/0!</v>
      </c>
      <c r="E79" s="2328" t="s">
        <v>6536</v>
      </c>
      <c r="F79" s="2329"/>
      <c r="G79" s="2261" t="s">
        <v>6109</v>
      </c>
      <c r="H79" s="654"/>
      <c r="I79" s="2379" t="s">
        <v>6537</v>
      </c>
      <c r="K79" s="2396" t="s">
        <v>6609</v>
      </c>
      <c r="L79" s="2396" t="s">
        <v>6610</v>
      </c>
      <c r="M79" s="2396" t="s">
        <v>6611</v>
      </c>
      <c r="O79" s="2394">
        <f>(O74+O75+O76+O77+O78)/5</f>
        <v>0.42012222222222201</v>
      </c>
    </row>
    <row r="80" spans="2:21">
      <c r="B80" s="2281" t="s">
        <v>6538</v>
      </c>
      <c r="C80" s="1059"/>
      <c r="D80" s="1059"/>
      <c r="E80" s="149"/>
      <c r="F80" s="2330"/>
      <c r="G80" s="2284" t="s">
        <v>2040</v>
      </c>
      <c r="H80" s="149"/>
      <c r="I80" s="2381"/>
      <c r="M80"/>
      <c r="N80" s="2393"/>
      <c r="O80" s="2394"/>
    </row>
    <row r="81" spans="2:20">
      <c r="B81" s="3429" t="s">
        <v>6612</v>
      </c>
      <c r="C81" s="3426"/>
      <c r="D81" s="3426"/>
      <c r="E81" s="3426"/>
      <c r="F81" s="3426"/>
      <c r="G81" s="3426"/>
      <c r="H81" s="3426"/>
      <c r="I81" s="3427"/>
    </row>
    <row r="82" spans="2:20">
      <c r="B82" s="2244" t="s">
        <v>6601</v>
      </c>
      <c r="C82" s="2245"/>
      <c r="D82" s="2254">
        <v>8030</v>
      </c>
      <c r="E82" s="2319" t="s">
        <v>6523</v>
      </c>
      <c r="F82" s="2256"/>
      <c r="G82" s="2320" t="s">
        <v>6524</v>
      </c>
      <c r="H82" s="2296"/>
      <c r="I82" s="2371">
        <f>D83/D84</f>
        <v>5.8571428571428603</v>
      </c>
      <c r="M82"/>
      <c r="N82" s="2393"/>
      <c r="O82" s="2394"/>
    </row>
    <row r="83" spans="2:20">
      <c r="B83" s="2258" t="s">
        <v>6525</v>
      </c>
      <c r="C83" s="2259"/>
      <c r="D83" s="2260">
        <v>20.5</v>
      </c>
      <c r="E83" s="2321" t="s">
        <v>2040</v>
      </c>
      <c r="F83" s="1129"/>
      <c r="G83" s="2262" t="s">
        <v>6526</v>
      </c>
      <c r="H83" s="2249"/>
      <c r="I83" s="2372">
        <f>((4*I82-1)/(4*I82-4))+(0.615/I82)</f>
        <v>1.25941176470588</v>
      </c>
    </row>
    <row r="84" spans="2:20">
      <c r="B84" s="2263" t="s">
        <v>6527</v>
      </c>
      <c r="C84" s="2264"/>
      <c r="D84" s="2260">
        <v>3.5</v>
      </c>
      <c r="E84" s="2321" t="s">
        <v>2040</v>
      </c>
      <c r="F84" s="1129"/>
      <c r="G84" s="2265"/>
      <c r="H84" s="654"/>
      <c r="I84" s="2373"/>
    </row>
    <row r="85" spans="2:20">
      <c r="B85" s="2266" t="s">
        <v>6528</v>
      </c>
      <c r="C85" s="2267"/>
      <c r="D85" s="2268">
        <v>1.5</v>
      </c>
      <c r="E85" s="2322"/>
      <c r="F85" s="1129"/>
      <c r="G85" s="2323" t="s">
        <v>6529</v>
      </c>
      <c r="H85" s="2324"/>
      <c r="I85" s="2375">
        <v>75</v>
      </c>
      <c r="J85" s="65"/>
    </row>
    <row r="86" spans="2:20">
      <c r="B86" s="2271" t="s">
        <v>6530</v>
      </c>
      <c r="C86" s="2272"/>
      <c r="D86" s="2273">
        <f>D82*D84^4/(8*D83^3*D85)</f>
        <v>11.655875325856201</v>
      </c>
      <c r="E86" s="2325" t="s">
        <v>6531</v>
      </c>
      <c r="F86" s="2392">
        <f>D86*9.80665</f>
        <v>114.305089764307</v>
      </c>
      <c r="G86" s="2276" t="s">
        <v>6532</v>
      </c>
      <c r="H86" s="2327"/>
      <c r="I86" s="2377" t="s">
        <v>6533</v>
      </c>
      <c r="J86" s="65"/>
    </row>
    <row r="87" spans="2:20">
      <c r="B87" s="2277" t="s">
        <v>6535</v>
      </c>
      <c r="C87" s="950"/>
      <c r="D87" s="2278">
        <f>(3.1415926*D84*D84*D84*I85)/(8*I83*D83)</f>
        <v>48.910676278002903</v>
      </c>
      <c r="E87" s="2328" t="s">
        <v>6536</v>
      </c>
      <c r="F87" s="2329">
        <f>D87*9.80665</f>
        <v>479.649883521677</v>
      </c>
      <c r="G87" s="2261" t="s">
        <v>6109</v>
      </c>
      <c r="H87" s="654"/>
      <c r="I87" s="2379" t="s">
        <v>6537</v>
      </c>
      <c r="J87" s="65"/>
    </row>
    <row r="88" spans="2:20">
      <c r="B88" s="2281" t="s">
        <v>6538</v>
      </c>
      <c r="C88" s="1059"/>
      <c r="D88" s="1059"/>
      <c r="E88" s="149"/>
      <c r="F88" s="2330">
        <f>(8*D83*D83*D83*D87*D85)/(D82*D84*D84*D84*D84)</f>
        <v>4.1962250719604599</v>
      </c>
      <c r="G88" s="2284" t="s">
        <v>2040</v>
      </c>
      <c r="H88" s="149"/>
      <c r="I88" s="2381">
        <f>D85*D84</f>
        <v>5.25</v>
      </c>
      <c r="S88" s="3368" t="s">
        <v>12710</v>
      </c>
      <c r="T88" s="3368"/>
    </row>
  </sheetData>
  <mergeCells count="26">
    <mergeCell ref="S88:T88"/>
    <mergeCell ref="K16:K19"/>
    <mergeCell ref="K20:K24"/>
    <mergeCell ref="K25:K28"/>
    <mergeCell ref="K29:K31"/>
    <mergeCell ref="T27:U27"/>
    <mergeCell ref="B51:I51"/>
    <mergeCell ref="L51:U51"/>
    <mergeCell ref="B63:I63"/>
    <mergeCell ref="B72:I72"/>
    <mergeCell ref="B81:I81"/>
    <mergeCell ref="S71:T71"/>
    <mergeCell ref="C24:J24"/>
    <mergeCell ref="L24:S24"/>
    <mergeCell ref="B32:U32"/>
    <mergeCell ref="B33:K33"/>
    <mergeCell ref="L33:U33"/>
    <mergeCell ref="B1:S1"/>
    <mergeCell ref="C2:J2"/>
    <mergeCell ref="C6:J6"/>
    <mergeCell ref="L6:S6"/>
    <mergeCell ref="C15:J15"/>
    <mergeCell ref="L15:S15"/>
    <mergeCell ref="K2:K6"/>
    <mergeCell ref="K7:K10"/>
    <mergeCell ref="K11:K15"/>
  </mergeCells>
  <phoneticPr fontId="378" type="noConversion"/>
  <hyperlinks>
    <hyperlink ref="T27:U27" location="总目录!A1" display="返回目录"/>
    <hyperlink ref="S71:T71" location="总目录!A1" display="返回目录"/>
    <hyperlink ref="S88:T88" location="总目录!A1" display="返回目录"/>
  </hyperlinks>
  <pageMargins left="0.55000000000000004" right="0.55000000000000004" top="0.78888888888888897" bottom="0.97916666666666696" header="0.30902777777777801" footer="0.50902777777777797"/>
  <pageSetup paperSize="9" orientation="landscape"/>
  <headerFooter scaleWithDoc="0"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
  <sheetViews>
    <sheetView zoomScale="75" zoomScaleNormal="75" workbookViewId="0">
      <selection activeCell="P2" sqref="P2:Q2"/>
    </sheetView>
  </sheetViews>
  <sheetFormatPr defaultColWidth="8.75" defaultRowHeight="16.5"/>
  <cols>
    <col min="1" max="1" width="16.25" style="95" customWidth="1"/>
    <col min="2" max="2" width="8.75" style="95"/>
    <col min="3" max="3" width="24" style="95" customWidth="1"/>
    <col min="4" max="16384" width="8.75" style="95"/>
  </cols>
  <sheetData>
    <row r="1" spans="1:17" ht="23.25" customHeight="1"/>
    <row r="2" spans="1:17" ht="29.25" customHeight="1">
      <c r="A2" s="3431" t="s">
        <v>6613</v>
      </c>
      <c r="B2" s="3432"/>
      <c r="C2" s="1015" t="s">
        <v>6614</v>
      </c>
      <c r="D2" s="2215">
        <v>30</v>
      </c>
      <c r="E2" s="2216">
        <v>14</v>
      </c>
      <c r="F2" s="2215">
        <v>14</v>
      </c>
      <c r="G2" s="2217">
        <v>20</v>
      </c>
      <c r="H2" s="2215">
        <v>14</v>
      </c>
      <c r="I2" s="2232">
        <v>14</v>
      </c>
      <c r="J2" s="2215">
        <v>14</v>
      </c>
      <c r="K2" s="2233">
        <v>14</v>
      </c>
      <c r="L2" s="2234">
        <v>14</v>
      </c>
      <c r="M2" s="2235">
        <v>14</v>
      </c>
      <c r="N2" s="2234">
        <v>14</v>
      </c>
      <c r="P2" s="3368" t="s">
        <v>12710</v>
      </c>
      <c r="Q2" s="3368"/>
    </row>
    <row r="3" spans="1:17" ht="25.5" customHeight="1">
      <c r="A3" s="2218"/>
      <c r="B3" s="2219"/>
      <c r="C3" s="996"/>
      <c r="D3" s="3433" t="s">
        <v>6615</v>
      </c>
      <c r="E3" s="3433"/>
      <c r="F3" s="3433"/>
      <c r="G3" s="3433"/>
      <c r="H3" s="3433"/>
      <c r="I3" s="3433"/>
      <c r="J3" s="3433"/>
      <c r="K3" s="3433"/>
      <c r="L3" s="3433"/>
      <c r="M3" s="3433"/>
      <c r="N3" s="3434"/>
    </row>
    <row r="4" spans="1:17" ht="27" customHeight="1">
      <c r="A4" s="3439" t="s">
        <v>6616</v>
      </c>
      <c r="B4" s="3440"/>
      <c r="C4" s="606" t="s">
        <v>6617</v>
      </c>
      <c r="D4" s="2220" t="s">
        <v>6618</v>
      </c>
      <c r="E4" s="2110" t="s">
        <v>6619</v>
      </c>
      <c r="F4" s="2109" t="s">
        <v>6620</v>
      </c>
      <c r="G4" s="2111" t="s">
        <v>6621</v>
      </c>
      <c r="H4" s="2109" t="s">
        <v>6622</v>
      </c>
      <c r="I4" s="1651" t="s">
        <v>6623</v>
      </c>
      <c r="J4" s="2109" t="s">
        <v>6624</v>
      </c>
      <c r="K4" s="2236" t="s">
        <v>6625</v>
      </c>
      <c r="L4" s="2109" t="s">
        <v>6626</v>
      </c>
      <c r="M4" s="2131" t="s">
        <v>6627</v>
      </c>
      <c r="N4" s="2109" t="s">
        <v>6628</v>
      </c>
    </row>
    <row r="5" spans="1:17" ht="27" customHeight="1">
      <c r="A5" s="3441"/>
      <c r="B5" s="3442"/>
      <c r="C5" s="606" t="s">
        <v>6629</v>
      </c>
      <c r="D5" s="2221">
        <v>9.5250000000000004</v>
      </c>
      <c r="E5" s="2110">
        <v>12.7</v>
      </c>
      <c r="F5" s="2109">
        <v>12.7</v>
      </c>
      <c r="G5" s="2111">
        <v>15.875</v>
      </c>
      <c r="H5" s="2109">
        <v>15.875</v>
      </c>
      <c r="I5" s="1651">
        <v>19.05</v>
      </c>
      <c r="J5" s="2109">
        <v>19.05</v>
      </c>
      <c r="K5" s="2236">
        <v>25.4</v>
      </c>
      <c r="L5" s="2109">
        <v>25.4</v>
      </c>
      <c r="M5" s="2131">
        <v>31.75</v>
      </c>
      <c r="N5" s="2109">
        <v>31.75</v>
      </c>
    </row>
    <row r="6" spans="1:17" ht="24.75" customHeight="1">
      <c r="A6" s="3443"/>
      <c r="B6" s="3444"/>
      <c r="C6" s="606" t="s">
        <v>6630</v>
      </c>
      <c r="D6" s="2222">
        <v>6.35</v>
      </c>
      <c r="E6" s="2223">
        <v>7.92</v>
      </c>
      <c r="F6" s="2224">
        <v>8.51</v>
      </c>
      <c r="G6" s="2225">
        <v>10.16</v>
      </c>
      <c r="H6" s="2224">
        <v>10.16</v>
      </c>
      <c r="I6" s="2099">
        <v>11.91</v>
      </c>
      <c r="J6" s="2224">
        <v>12.07</v>
      </c>
      <c r="K6" s="2237">
        <v>15.88</v>
      </c>
      <c r="L6" s="2238">
        <v>15.88</v>
      </c>
      <c r="M6" s="2239">
        <v>19.05</v>
      </c>
      <c r="N6" s="2238">
        <v>19.05</v>
      </c>
    </row>
    <row r="7" spans="1:17" ht="25.5" customHeight="1">
      <c r="A7" s="2226" t="s">
        <v>6631</v>
      </c>
      <c r="B7" s="2226" t="s">
        <v>6392</v>
      </c>
      <c r="C7" s="2226" t="s">
        <v>6632</v>
      </c>
      <c r="D7" s="3435" t="s">
        <v>6633</v>
      </c>
      <c r="E7" s="3433"/>
      <c r="F7" s="3433"/>
      <c r="G7" s="3433"/>
      <c r="H7" s="3433"/>
      <c r="I7" s="3433"/>
      <c r="J7" s="3433"/>
      <c r="K7" s="3433"/>
      <c r="L7" s="3433"/>
      <c r="M7" s="3433"/>
      <c r="N7" s="3434"/>
    </row>
    <row r="8" spans="1:17" ht="30" customHeight="1">
      <c r="A8" s="2226" t="s">
        <v>6634</v>
      </c>
      <c r="B8" s="2226" t="s">
        <v>6635</v>
      </c>
      <c r="C8" s="2226"/>
      <c r="D8" s="2227">
        <f t="shared" ref="D8:N8" si="0">0.008*D6*(D2*D2+180)</f>
        <v>54.863999999999997</v>
      </c>
      <c r="E8" s="2228">
        <f t="shared" si="0"/>
        <v>23.823360000000001</v>
      </c>
      <c r="F8" s="2229">
        <f t="shared" si="0"/>
        <v>25.59808</v>
      </c>
      <c r="G8" s="2230">
        <f t="shared" si="0"/>
        <v>47.142400000000002</v>
      </c>
      <c r="H8" s="2229">
        <f t="shared" si="0"/>
        <v>30.56128</v>
      </c>
      <c r="I8" s="2240">
        <f t="shared" si="0"/>
        <v>35.825279999999999</v>
      </c>
      <c r="J8" s="2229">
        <f t="shared" si="0"/>
        <v>36.306559999999998</v>
      </c>
      <c r="K8" s="2241">
        <f t="shared" si="0"/>
        <v>47.767040000000001</v>
      </c>
      <c r="L8" s="2229">
        <f t="shared" si="0"/>
        <v>47.767040000000001</v>
      </c>
      <c r="M8" s="2242">
        <f t="shared" si="0"/>
        <v>57.302399999999999</v>
      </c>
      <c r="N8" s="2229">
        <f t="shared" si="0"/>
        <v>57.302399999999999</v>
      </c>
    </row>
    <row r="9" spans="1:17" ht="35.25" customHeight="1">
      <c r="A9" s="2226" t="s">
        <v>6636</v>
      </c>
      <c r="B9" s="2226" t="s">
        <v>6637</v>
      </c>
      <c r="C9" s="2226"/>
      <c r="D9" s="2227">
        <f t="shared" ref="D9:N9" si="1">0.505*D6+0.069*POWER(D6,1/3)</f>
        <v>3.3345233650327901</v>
      </c>
      <c r="E9" s="2228">
        <f t="shared" si="1"/>
        <v>4.1371384580909396</v>
      </c>
      <c r="F9" s="2229">
        <f t="shared" si="1"/>
        <v>4.4384223017670097</v>
      </c>
      <c r="G9" s="2230">
        <f t="shared" si="1"/>
        <v>5.2802446343308196</v>
      </c>
      <c r="H9" s="2229">
        <f t="shared" si="1"/>
        <v>5.2802446343308196</v>
      </c>
      <c r="I9" s="2240">
        <f t="shared" si="1"/>
        <v>6.1721246476081504</v>
      </c>
      <c r="J9" s="2229">
        <f t="shared" si="1"/>
        <v>6.2536271351236099</v>
      </c>
      <c r="K9" s="2241">
        <f t="shared" si="1"/>
        <v>8.1928333408907701</v>
      </c>
      <c r="L9" s="2229">
        <f t="shared" si="1"/>
        <v>8.1928333408907701</v>
      </c>
      <c r="M9" s="2242">
        <f t="shared" si="1"/>
        <v>9.8045310808152806</v>
      </c>
      <c r="N9" s="2229">
        <f t="shared" si="1"/>
        <v>9.8045310808152806</v>
      </c>
    </row>
    <row r="10" spans="1:17" ht="45" customHeight="1">
      <c r="A10" s="2226" t="s">
        <v>6638</v>
      </c>
      <c r="B10" s="2226" t="s">
        <v>6639</v>
      </c>
      <c r="C10" s="2226"/>
      <c r="D10" s="2227">
        <f t="shared" ref="D10:N10" si="2">120-90/D2</f>
        <v>117</v>
      </c>
      <c r="E10" s="2228">
        <f t="shared" si="2"/>
        <v>113.571428571429</v>
      </c>
      <c r="F10" s="2229">
        <f t="shared" si="2"/>
        <v>113.571428571429</v>
      </c>
      <c r="G10" s="2230">
        <f t="shared" si="2"/>
        <v>115.5</v>
      </c>
      <c r="H10" s="2229">
        <f t="shared" si="2"/>
        <v>113.571428571429</v>
      </c>
      <c r="I10" s="2240">
        <f t="shared" si="2"/>
        <v>113.571428571429</v>
      </c>
      <c r="J10" s="2229">
        <f t="shared" si="2"/>
        <v>113.571428571429</v>
      </c>
      <c r="K10" s="2241">
        <f t="shared" si="2"/>
        <v>113.571428571429</v>
      </c>
      <c r="L10" s="2229">
        <f t="shared" si="2"/>
        <v>113.571428571429</v>
      </c>
      <c r="M10" s="2242">
        <f t="shared" si="2"/>
        <v>113.571428571429</v>
      </c>
      <c r="N10" s="2229">
        <f t="shared" si="2"/>
        <v>113.571428571429</v>
      </c>
    </row>
    <row r="11" spans="1:17" ht="25.5" customHeight="1">
      <c r="A11" s="2226" t="s">
        <v>6631</v>
      </c>
      <c r="B11" s="2231" t="s">
        <v>6392</v>
      </c>
      <c r="C11" s="2226" t="s">
        <v>6640</v>
      </c>
      <c r="D11" s="3436" t="s">
        <v>6641</v>
      </c>
      <c r="E11" s="3437"/>
      <c r="F11" s="3437"/>
      <c r="G11" s="3437"/>
      <c r="H11" s="3437"/>
      <c r="I11" s="3437"/>
      <c r="J11" s="3437"/>
      <c r="K11" s="3437"/>
      <c r="L11" s="3437"/>
      <c r="M11" s="3437"/>
      <c r="N11" s="3438"/>
    </row>
    <row r="12" spans="1:17" ht="30" customHeight="1">
      <c r="A12" s="2226" t="s">
        <v>6634</v>
      </c>
      <c r="B12" s="2226" t="s">
        <v>6635</v>
      </c>
      <c r="C12" s="2226"/>
      <c r="D12" s="2227">
        <f t="shared" ref="D12:N12" si="3">0.12*D6*(D2+2)</f>
        <v>24.384</v>
      </c>
      <c r="E12" s="2228">
        <f t="shared" si="3"/>
        <v>15.2064</v>
      </c>
      <c r="F12" s="2229">
        <f t="shared" si="3"/>
        <v>16.339200000000002</v>
      </c>
      <c r="G12" s="2230">
        <f t="shared" si="3"/>
        <v>26.822399999999998</v>
      </c>
      <c r="H12" s="2229">
        <f t="shared" si="3"/>
        <v>19.507200000000001</v>
      </c>
      <c r="I12" s="2240">
        <f t="shared" si="3"/>
        <v>22.8672</v>
      </c>
      <c r="J12" s="2229">
        <f t="shared" si="3"/>
        <v>23.174399999999999</v>
      </c>
      <c r="K12" s="2241">
        <f t="shared" si="3"/>
        <v>30.489599999999999</v>
      </c>
      <c r="L12" s="2229">
        <f t="shared" si="3"/>
        <v>30.489599999999999</v>
      </c>
      <c r="M12" s="2242">
        <f t="shared" si="3"/>
        <v>36.576000000000001</v>
      </c>
      <c r="N12" s="2229">
        <f t="shared" si="3"/>
        <v>36.576000000000001</v>
      </c>
    </row>
    <row r="13" spans="1:17" ht="35.25" customHeight="1">
      <c r="A13" s="2226" t="s">
        <v>6636</v>
      </c>
      <c r="B13" s="2226" t="s">
        <v>6637</v>
      </c>
      <c r="C13" s="2226"/>
      <c r="D13" s="2227">
        <f t="shared" ref="D13:N13" si="4">0.505*D6</f>
        <v>3.20675</v>
      </c>
      <c r="E13" s="2228">
        <f t="shared" si="4"/>
        <v>3.9996</v>
      </c>
      <c r="F13" s="2229">
        <f t="shared" si="4"/>
        <v>4.2975500000000002</v>
      </c>
      <c r="G13" s="2230">
        <f t="shared" si="4"/>
        <v>5.1307999999999998</v>
      </c>
      <c r="H13" s="2229">
        <f t="shared" si="4"/>
        <v>5.1307999999999998</v>
      </c>
      <c r="I13" s="2240">
        <f t="shared" si="4"/>
        <v>6.0145499999999998</v>
      </c>
      <c r="J13" s="2229">
        <f t="shared" si="4"/>
        <v>6.0953499999999998</v>
      </c>
      <c r="K13" s="2241">
        <f t="shared" si="4"/>
        <v>8.0193999999999992</v>
      </c>
      <c r="L13" s="2229">
        <f t="shared" si="4"/>
        <v>8.0193999999999992</v>
      </c>
      <c r="M13" s="2242">
        <f t="shared" si="4"/>
        <v>9.6202500000000004</v>
      </c>
      <c r="N13" s="2229">
        <f t="shared" si="4"/>
        <v>9.6202500000000004</v>
      </c>
    </row>
    <row r="14" spans="1:17" ht="45" customHeight="1">
      <c r="A14" s="2226" t="s">
        <v>6638</v>
      </c>
      <c r="B14" s="2226" t="s">
        <v>6639</v>
      </c>
      <c r="C14" s="2226"/>
      <c r="D14" s="2227">
        <f t="shared" ref="D14:N14" si="5">140-90/D2</f>
        <v>137</v>
      </c>
      <c r="E14" s="2228">
        <f t="shared" si="5"/>
        <v>133.57142857142901</v>
      </c>
      <c r="F14" s="2229">
        <f t="shared" si="5"/>
        <v>133.57142857142901</v>
      </c>
      <c r="G14" s="2230">
        <f t="shared" si="5"/>
        <v>135.5</v>
      </c>
      <c r="H14" s="2229">
        <f t="shared" si="5"/>
        <v>133.57142857142901</v>
      </c>
      <c r="I14" s="2240">
        <f t="shared" si="5"/>
        <v>133.57142857142901</v>
      </c>
      <c r="J14" s="2229">
        <f t="shared" si="5"/>
        <v>133.57142857142901</v>
      </c>
      <c r="K14" s="2241">
        <f t="shared" si="5"/>
        <v>133.57142857142901</v>
      </c>
      <c r="L14" s="2229">
        <f t="shared" si="5"/>
        <v>133.57142857142901</v>
      </c>
      <c r="M14" s="2242">
        <f t="shared" si="5"/>
        <v>133.57142857142901</v>
      </c>
      <c r="N14" s="2229">
        <f t="shared" si="5"/>
        <v>133.57142857142901</v>
      </c>
    </row>
    <row r="15" spans="1:17" ht="25.5" customHeight="1"/>
  </sheetData>
  <mergeCells count="6">
    <mergeCell ref="P2:Q2"/>
    <mergeCell ref="A2:B2"/>
    <mergeCell ref="D3:N3"/>
    <mergeCell ref="D7:N7"/>
    <mergeCell ref="D11:N11"/>
    <mergeCell ref="A4:B6"/>
  </mergeCells>
  <phoneticPr fontId="378" type="noConversion"/>
  <hyperlinks>
    <hyperlink ref="P2:Q2" location="总目录!A1" display="返回目录"/>
  </hyperlinks>
  <pageMargins left="0.75" right="0.75" top="1" bottom="1" header="0.5" footer="0.5"/>
  <pageSetup paperSize="9" orientation="portrait"/>
  <headerFooter scaleWithDoc="0"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topLeftCell="A13" workbookViewId="0">
      <selection activeCell="T20" sqref="T20"/>
    </sheetView>
  </sheetViews>
  <sheetFormatPr defaultColWidth="8.75" defaultRowHeight="16.5"/>
  <cols>
    <col min="1" max="1" width="3.5" style="95" customWidth="1"/>
    <col min="2" max="2" width="3" style="95" customWidth="1"/>
    <col min="3" max="3" width="8.5" style="95" customWidth="1"/>
    <col min="4" max="4" width="6.25" style="95" customWidth="1"/>
    <col min="5" max="5" width="22" style="95" customWidth="1"/>
    <col min="6" max="6" width="7.5" style="95" customWidth="1"/>
    <col min="7" max="7" width="7.75" style="2152" customWidth="1"/>
    <col min="8" max="17" width="7.75" style="204" customWidth="1"/>
    <col min="18" max="16384" width="8.75" style="95"/>
  </cols>
  <sheetData>
    <row r="1" spans="1:21" ht="39" customHeight="1">
      <c r="A1" s="3446" t="s">
        <v>6642</v>
      </c>
      <c r="B1" s="3447"/>
      <c r="C1" s="3447"/>
      <c r="D1" s="3447"/>
      <c r="E1" s="3447"/>
      <c r="F1" s="3447"/>
      <c r="G1" s="3447"/>
      <c r="H1" s="3447"/>
      <c r="I1" s="3447"/>
      <c r="J1" s="3447"/>
      <c r="K1" s="3447"/>
      <c r="L1" s="3447"/>
      <c r="M1" s="3447"/>
      <c r="N1" s="3447"/>
      <c r="O1" s="3447"/>
      <c r="P1" s="3447"/>
      <c r="Q1" s="3447"/>
      <c r="R1" s="3447"/>
    </row>
    <row r="2" spans="1:21" ht="7.9" customHeight="1">
      <c r="A2" s="2153"/>
      <c r="B2" s="2153"/>
      <c r="C2" s="2153"/>
      <c r="D2" s="2153"/>
      <c r="E2" s="2153"/>
      <c r="F2" s="2153"/>
      <c r="G2" s="2153"/>
      <c r="H2" s="2153"/>
      <c r="I2" s="2153"/>
      <c r="J2" s="2153"/>
      <c r="K2" s="2153"/>
      <c r="L2" s="2153"/>
      <c r="M2" s="2153"/>
      <c r="N2" s="2153"/>
      <c r="O2" s="2153"/>
      <c r="P2" s="2153"/>
      <c r="Q2" s="2153"/>
      <c r="R2" s="2153"/>
    </row>
    <row r="3" spans="1:21" ht="24.75" customHeight="1">
      <c r="A3" s="3448" t="s">
        <v>6643</v>
      </c>
      <c r="B3" s="3448"/>
      <c r="C3" s="3448"/>
      <c r="D3" s="3448"/>
      <c r="E3" s="3449"/>
      <c r="F3" s="2154" t="s">
        <v>6644</v>
      </c>
      <c r="G3" s="2155">
        <v>36</v>
      </c>
      <c r="H3" s="2155">
        <v>36</v>
      </c>
      <c r="I3" s="2155">
        <v>30</v>
      </c>
      <c r="J3" s="2155">
        <v>18</v>
      </c>
      <c r="K3" s="2155">
        <v>16</v>
      </c>
      <c r="L3" s="2155">
        <v>17</v>
      </c>
      <c r="M3" s="2155">
        <v>20</v>
      </c>
      <c r="N3" s="2155">
        <v>20</v>
      </c>
      <c r="O3" s="2155">
        <v>20</v>
      </c>
      <c r="P3" s="2155">
        <v>20</v>
      </c>
      <c r="Q3" s="2155">
        <v>15</v>
      </c>
      <c r="R3" s="2155">
        <v>15</v>
      </c>
    </row>
    <row r="4" spans="1:21" ht="7.15" customHeight="1">
      <c r="A4" s="2156"/>
      <c r="B4" s="2156"/>
      <c r="C4" s="2156"/>
      <c r="D4" s="2156"/>
      <c r="E4" s="2156"/>
      <c r="F4" s="2156"/>
      <c r="G4" s="2156"/>
      <c r="H4" s="2156"/>
      <c r="I4" s="2156"/>
      <c r="J4" s="2156"/>
      <c r="K4" s="2156"/>
      <c r="L4" s="2156"/>
      <c r="M4" s="2156"/>
      <c r="N4" s="2156"/>
      <c r="O4" s="2156"/>
      <c r="P4" s="2156"/>
      <c r="Q4" s="2156"/>
    </row>
    <row r="5" spans="1:21" ht="21" customHeight="1">
      <c r="A5" s="3450" t="s">
        <v>6645</v>
      </c>
      <c r="B5" s="3451"/>
      <c r="C5" s="3451"/>
      <c r="D5" s="2157" t="s">
        <v>6392</v>
      </c>
      <c r="E5" s="2157" t="s">
        <v>1632</v>
      </c>
      <c r="F5" s="2158" t="s">
        <v>6646</v>
      </c>
      <c r="G5" s="2159" t="s">
        <v>6618</v>
      </c>
      <c r="H5" s="2159" t="s">
        <v>6619</v>
      </c>
      <c r="I5" s="2159" t="s">
        <v>6620</v>
      </c>
      <c r="J5" s="2159" t="s">
        <v>6621</v>
      </c>
      <c r="K5" s="2159" t="s">
        <v>6622</v>
      </c>
      <c r="L5" s="2159" t="s">
        <v>6623</v>
      </c>
      <c r="M5" s="2159" t="s">
        <v>6624</v>
      </c>
      <c r="N5" s="2159" t="s">
        <v>6625</v>
      </c>
      <c r="O5" s="2159" t="s">
        <v>6626</v>
      </c>
      <c r="P5" s="2159" t="s">
        <v>6627</v>
      </c>
      <c r="Q5" s="2159" t="s">
        <v>6628</v>
      </c>
      <c r="R5" s="2159" t="s">
        <v>6647</v>
      </c>
      <c r="T5" s="3374"/>
      <c r="U5" s="3374"/>
    </row>
    <row r="6" spans="1:21" ht="24.75" customHeight="1">
      <c r="A6" s="3453" t="s">
        <v>6616</v>
      </c>
      <c r="B6" s="3453" t="s">
        <v>6648</v>
      </c>
      <c r="C6" s="2137" t="s">
        <v>6553</v>
      </c>
      <c r="D6" s="2137" t="s">
        <v>6370</v>
      </c>
      <c r="E6" s="2137"/>
      <c r="F6" s="2160" t="s">
        <v>6370</v>
      </c>
      <c r="G6" s="36">
        <v>9.5250000000000004</v>
      </c>
      <c r="H6" s="37">
        <v>12.7</v>
      </c>
      <c r="I6" s="37">
        <v>12.7</v>
      </c>
      <c r="J6" s="37">
        <v>15.875</v>
      </c>
      <c r="K6" s="37">
        <v>15.875</v>
      </c>
      <c r="L6" s="37">
        <v>19.05</v>
      </c>
      <c r="M6" s="37">
        <v>19.05</v>
      </c>
      <c r="N6" s="37">
        <v>25.4</v>
      </c>
      <c r="O6" s="37">
        <v>25.4</v>
      </c>
      <c r="P6" s="37">
        <v>31.75</v>
      </c>
      <c r="Q6" s="37">
        <v>31.75</v>
      </c>
      <c r="R6" s="37">
        <v>38.1</v>
      </c>
    </row>
    <row r="7" spans="1:21" ht="24.75" customHeight="1">
      <c r="A7" s="3454"/>
      <c r="B7" s="3454"/>
      <c r="C7" s="2157" t="s">
        <v>6649</v>
      </c>
      <c r="D7" s="2157" t="s">
        <v>6650</v>
      </c>
      <c r="E7" s="2157"/>
      <c r="F7" s="2161" t="s">
        <v>6650</v>
      </c>
      <c r="G7" s="2162">
        <v>6.35</v>
      </c>
      <c r="H7" s="2163">
        <v>7.92</v>
      </c>
      <c r="I7" s="2163">
        <v>8.51</v>
      </c>
      <c r="J7" s="2163">
        <v>10.16</v>
      </c>
      <c r="K7" s="2163">
        <v>10.16</v>
      </c>
      <c r="L7" s="2194">
        <v>11.91</v>
      </c>
      <c r="M7" s="2163">
        <v>12.07</v>
      </c>
      <c r="N7" s="2195">
        <v>15.88</v>
      </c>
      <c r="O7" s="2159">
        <v>15.88</v>
      </c>
      <c r="P7" s="2159">
        <v>19.05</v>
      </c>
      <c r="Q7" s="2159">
        <v>19.05</v>
      </c>
      <c r="R7" s="2159">
        <v>25.4</v>
      </c>
    </row>
    <row r="8" spans="1:21" ht="24.75" customHeight="1">
      <c r="A8" s="3454"/>
      <c r="B8" s="3454"/>
      <c r="C8" s="2137" t="s">
        <v>6651</v>
      </c>
      <c r="D8" s="2137" t="s">
        <v>6652</v>
      </c>
      <c r="E8" s="2137"/>
      <c r="F8" s="2160" t="s">
        <v>6652</v>
      </c>
      <c r="G8" s="2164">
        <v>10.24</v>
      </c>
      <c r="H8" s="2165">
        <v>14.38</v>
      </c>
      <c r="I8" s="2165">
        <v>13.92</v>
      </c>
      <c r="J8" s="2165">
        <v>18.11</v>
      </c>
      <c r="K8" s="2165">
        <v>16.59</v>
      </c>
      <c r="L8" s="891">
        <v>22.78</v>
      </c>
      <c r="M8" s="2165">
        <v>19.46</v>
      </c>
      <c r="N8" s="2196">
        <v>29.29</v>
      </c>
      <c r="O8" s="37">
        <v>31.88</v>
      </c>
      <c r="P8" s="37">
        <v>35.76</v>
      </c>
      <c r="Q8" s="37">
        <v>36.450000000000003</v>
      </c>
      <c r="R8" s="37">
        <v>48.36</v>
      </c>
      <c r="T8" s="3166" t="s">
        <v>12704</v>
      </c>
    </row>
    <row r="9" spans="1:21" ht="24.75" customHeight="1">
      <c r="A9" s="3454"/>
      <c r="B9" s="3454"/>
      <c r="C9" s="2157" t="s">
        <v>6653</v>
      </c>
      <c r="D9" s="2157" t="s">
        <v>6654</v>
      </c>
      <c r="E9" s="2157"/>
      <c r="F9" s="2161" t="s">
        <v>6654</v>
      </c>
      <c r="G9" s="2162">
        <v>5.72</v>
      </c>
      <c r="H9" s="2163">
        <v>7.85</v>
      </c>
      <c r="I9" s="2163">
        <v>7.75</v>
      </c>
      <c r="J9" s="2163">
        <v>9.4</v>
      </c>
      <c r="K9" s="2197">
        <v>9.65</v>
      </c>
      <c r="L9" s="2163">
        <v>12.57</v>
      </c>
      <c r="M9" s="2163">
        <v>11.68</v>
      </c>
      <c r="N9" s="2195">
        <v>15.75</v>
      </c>
      <c r="O9" s="2159">
        <v>17.02</v>
      </c>
      <c r="P9" s="2159">
        <v>18.899999999999999</v>
      </c>
      <c r="Q9" s="2159">
        <v>19.559999999999999</v>
      </c>
      <c r="R9" s="2159">
        <v>25.4</v>
      </c>
    </row>
    <row r="10" spans="1:21" ht="24.75" customHeight="1">
      <c r="A10" s="3455"/>
      <c r="B10" s="3455"/>
      <c r="C10" s="2137" t="s">
        <v>6655</v>
      </c>
      <c r="D10" s="2137" t="s">
        <v>6656</v>
      </c>
      <c r="E10" s="2137"/>
      <c r="F10" s="2160" t="s">
        <v>6656</v>
      </c>
      <c r="G10" s="2166">
        <v>8.26</v>
      </c>
      <c r="H10" s="2167">
        <v>12.07</v>
      </c>
      <c r="I10" s="891">
        <v>11.81</v>
      </c>
      <c r="J10" s="2167">
        <v>15.09</v>
      </c>
      <c r="K10" s="2167">
        <v>14.73</v>
      </c>
      <c r="L10" s="2167">
        <v>18.079999999999998</v>
      </c>
      <c r="M10" s="2167">
        <v>16.13</v>
      </c>
      <c r="N10" s="2198">
        <v>24.13</v>
      </c>
      <c r="O10" s="891">
        <v>21.08</v>
      </c>
      <c r="P10" s="2199">
        <v>30.18</v>
      </c>
      <c r="Q10" s="2199">
        <v>26.42</v>
      </c>
      <c r="R10" s="2199">
        <v>33.4</v>
      </c>
    </row>
    <row r="11" spans="1:21" ht="48.75" customHeight="1">
      <c r="A11" s="3456" t="s">
        <v>6657</v>
      </c>
      <c r="B11" s="3451" t="s">
        <v>6658</v>
      </c>
      <c r="C11" s="3451"/>
      <c r="D11" s="2157" t="s">
        <v>6565</v>
      </c>
      <c r="E11" s="2157"/>
      <c r="F11" s="3461" t="s">
        <v>6659</v>
      </c>
      <c r="G11" s="2168">
        <f t="shared" ref="G11:R11" si="0">G6/(SIN(PI()/G3))</f>
        <v>109.287118665005</v>
      </c>
      <c r="H11" s="2169">
        <f t="shared" si="0"/>
        <v>145.716158220007</v>
      </c>
      <c r="I11" s="2169">
        <f t="shared" si="0"/>
        <v>121.498007365521</v>
      </c>
      <c r="J11" s="2169">
        <f t="shared" si="0"/>
        <v>91.420481419905201</v>
      </c>
      <c r="K11" s="2169">
        <f t="shared" si="0"/>
        <v>81.372565465792803</v>
      </c>
      <c r="L11" s="2169">
        <f t="shared" si="0"/>
        <v>103.67374144087201</v>
      </c>
      <c r="M11" s="2169">
        <f t="shared" si="0"/>
        <v>121.776233869569</v>
      </c>
      <c r="N11" s="2169">
        <f t="shared" si="0"/>
        <v>162.368311826091</v>
      </c>
      <c r="O11" s="2169">
        <f t="shared" si="0"/>
        <v>162.368311826091</v>
      </c>
      <c r="P11" s="2169">
        <f t="shared" si="0"/>
        <v>202.96038978261399</v>
      </c>
      <c r="Q11" s="2208">
        <f t="shared" si="0"/>
        <v>152.70906544562601</v>
      </c>
      <c r="R11" s="2208">
        <f t="shared" si="0"/>
        <v>183.250878534751</v>
      </c>
    </row>
    <row r="12" spans="1:21" ht="30" customHeight="1">
      <c r="A12" s="3457"/>
      <c r="B12" s="3451" t="s">
        <v>6660</v>
      </c>
      <c r="C12" s="3451"/>
      <c r="D12" s="3460" t="s">
        <v>6661</v>
      </c>
      <c r="E12" s="2157" t="s">
        <v>6662</v>
      </c>
      <c r="F12" s="3462"/>
      <c r="G12" s="2171">
        <f t="shared" ref="G12:R12" si="1">G11+1.25*G6-G7</f>
        <v>114.843368665005</v>
      </c>
      <c r="H12" s="2164">
        <f t="shared" si="1"/>
        <v>153.67115822000699</v>
      </c>
      <c r="I12" s="2164">
        <f t="shared" si="1"/>
        <v>128.86300736552101</v>
      </c>
      <c r="J12" s="2164">
        <f t="shared" si="1"/>
        <v>101.10423141990501</v>
      </c>
      <c r="K12" s="2164">
        <f t="shared" si="1"/>
        <v>91.056315465792807</v>
      </c>
      <c r="L12" s="2164">
        <f t="shared" si="1"/>
        <v>115.576241440872</v>
      </c>
      <c r="M12" s="2164">
        <f t="shared" si="1"/>
        <v>133.51873386956899</v>
      </c>
      <c r="N12" s="2164">
        <f t="shared" si="1"/>
        <v>178.23831182609101</v>
      </c>
      <c r="O12" s="2164">
        <f t="shared" si="1"/>
        <v>178.23831182609101</v>
      </c>
      <c r="P12" s="2164">
        <f t="shared" si="1"/>
        <v>223.597889782614</v>
      </c>
      <c r="Q12" s="2209">
        <f t="shared" si="1"/>
        <v>173.346565445626</v>
      </c>
      <c r="R12" s="2209">
        <f t="shared" si="1"/>
        <v>205.47587853475099</v>
      </c>
    </row>
    <row r="13" spans="1:21" ht="30.75" customHeight="1">
      <c r="A13" s="3457"/>
      <c r="B13" s="3451"/>
      <c r="C13" s="3451"/>
      <c r="D13" s="3460"/>
      <c r="E13" s="2157" t="s">
        <v>6663</v>
      </c>
      <c r="F13" s="3462"/>
      <c r="G13" s="2172">
        <f t="shared" ref="G13:R13" si="2">G11+(1-1.6/G3)*G6-G7</f>
        <v>112.038785331672</v>
      </c>
      <c r="H13" s="2162">
        <f t="shared" si="2"/>
        <v>149.931713775563</v>
      </c>
      <c r="I13" s="2162">
        <f t="shared" si="2"/>
        <v>125.01067403218801</v>
      </c>
      <c r="J13" s="2162">
        <f t="shared" si="2"/>
        <v>95.724370308794093</v>
      </c>
      <c r="K13" s="2162">
        <f t="shared" si="2"/>
        <v>85.500065465792801</v>
      </c>
      <c r="L13" s="2162">
        <f t="shared" si="2"/>
        <v>109.020800264401</v>
      </c>
      <c r="M13" s="2162">
        <f t="shared" si="2"/>
        <v>127.232233869569</v>
      </c>
      <c r="N13" s="2162">
        <f t="shared" si="2"/>
        <v>169.856311826091</v>
      </c>
      <c r="O13" s="2162">
        <f t="shared" si="2"/>
        <v>169.856311826091</v>
      </c>
      <c r="P13" s="2162">
        <f t="shared" si="2"/>
        <v>213.12038978261401</v>
      </c>
      <c r="Q13" s="2210">
        <f t="shared" si="2"/>
        <v>162.022398778959</v>
      </c>
      <c r="R13" s="2210">
        <f t="shared" si="2"/>
        <v>191.88687853475099</v>
      </c>
    </row>
    <row r="14" spans="1:21" ht="43.5" customHeight="1">
      <c r="A14" s="3457"/>
      <c r="B14" s="3451"/>
      <c r="C14" s="3451"/>
      <c r="D14" s="3460"/>
      <c r="E14" s="2170" t="s">
        <v>6664</v>
      </c>
      <c r="F14" s="3462"/>
      <c r="G14" s="2173">
        <f t="shared" ref="G14:R14" si="3">G6*(0.54+1/(TAN(PI()/G3)))</f>
        <v>114.014748183802</v>
      </c>
      <c r="H14" s="2174">
        <f t="shared" si="3"/>
        <v>152.01966424506901</v>
      </c>
      <c r="I14" s="2174">
        <f t="shared" si="3"/>
        <v>127.690428568627</v>
      </c>
      <c r="J14" s="2174">
        <f t="shared" si="3"/>
        <v>98.604098886431103</v>
      </c>
      <c r="K14" s="2174">
        <f t="shared" si="3"/>
        <v>88.381514437497799</v>
      </c>
      <c r="L14" s="2174">
        <f t="shared" si="3"/>
        <v>112.195498979961</v>
      </c>
      <c r="M14" s="2174">
        <f t="shared" si="3"/>
        <v>130.56396635455999</v>
      </c>
      <c r="N14" s="2174">
        <f t="shared" si="3"/>
        <v>174.08528847274599</v>
      </c>
      <c r="O14" s="2174">
        <f t="shared" si="3"/>
        <v>174.08528847274599</v>
      </c>
      <c r="P14" s="2174">
        <f t="shared" si="3"/>
        <v>217.606610590933</v>
      </c>
      <c r="Q14" s="2211">
        <f t="shared" si="3"/>
        <v>166.517005975941</v>
      </c>
      <c r="R14" s="2211">
        <f t="shared" si="3"/>
        <v>199.82040717112901</v>
      </c>
    </row>
    <row r="15" spans="1:21" ht="23.25" customHeight="1">
      <c r="A15" s="3457"/>
      <c r="B15" s="3451" t="s">
        <v>6665</v>
      </c>
      <c r="C15" s="3451"/>
      <c r="D15" s="2157" t="s">
        <v>6666</v>
      </c>
      <c r="E15" s="2157" t="s">
        <v>6667</v>
      </c>
      <c r="F15" s="2158"/>
      <c r="G15" s="2172">
        <f t="shared" ref="G15:R15" si="4">G11-G7</f>
        <v>102.937118665005</v>
      </c>
      <c r="H15" s="2162">
        <f t="shared" si="4"/>
        <v>137.79615822000699</v>
      </c>
      <c r="I15" s="2162">
        <f t="shared" si="4"/>
        <v>112.988007365521</v>
      </c>
      <c r="J15" s="2162">
        <f t="shared" si="4"/>
        <v>81.260481419905204</v>
      </c>
      <c r="K15" s="2162">
        <f t="shared" si="4"/>
        <v>71.212565465792807</v>
      </c>
      <c r="L15" s="2162">
        <f t="shared" si="4"/>
        <v>91.763741440871897</v>
      </c>
      <c r="M15" s="2162">
        <f t="shared" si="4"/>
        <v>109.706233869569</v>
      </c>
      <c r="N15" s="2162">
        <f t="shared" si="4"/>
        <v>146.48831182609101</v>
      </c>
      <c r="O15" s="2162">
        <f t="shared" si="4"/>
        <v>146.48831182609101</v>
      </c>
      <c r="P15" s="2162">
        <f t="shared" si="4"/>
        <v>183.910389782614</v>
      </c>
      <c r="Q15" s="2210">
        <f t="shared" si="4"/>
        <v>133.659065445626</v>
      </c>
      <c r="R15" s="2210">
        <f t="shared" si="4"/>
        <v>157.85087853475099</v>
      </c>
    </row>
    <row r="16" spans="1:21" ht="36" customHeight="1">
      <c r="A16" s="3458"/>
      <c r="B16" s="3463" t="s">
        <v>6668</v>
      </c>
      <c r="C16" s="3464"/>
      <c r="D16" s="2175" t="s">
        <v>6669</v>
      </c>
      <c r="E16" s="2175" t="s">
        <v>6670</v>
      </c>
      <c r="F16" s="2176"/>
      <c r="G16" s="2177">
        <f t="shared" ref="G16:R16" si="5">G6*TAN(PI()/2-PI()/G3)-1.04*G10-0.76</f>
        <v>99.520848183801803</v>
      </c>
      <c r="H16" s="2178">
        <f t="shared" si="5"/>
        <v>131.848864245069</v>
      </c>
      <c r="I16" s="2178">
        <f t="shared" si="5"/>
        <v>107.79002856862699</v>
      </c>
      <c r="J16" s="2178">
        <f t="shared" si="5"/>
        <v>73.577998886431104</v>
      </c>
      <c r="K16" s="2178">
        <f t="shared" si="5"/>
        <v>63.729814437497801</v>
      </c>
      <c r="L16" s="2178">
        <f t="shared" si="5"/>
        <v>82.345298979961299</v>
      </c>
      <c r="M16" s="2178">
        <f t="shared" si="5"/>
        <v>102.74176635456</v>
      </c>
      <c r="N16" s="2178">
        <f t="shared" si="5"/>
        <v>134.51408847274601</v>
      </c>
      <c r="O16" s="2178">
        <f t="shared" si="5"/>
        <v>137.68608847274601</v>
      </c>
      <c r="P16" s="2178">
        <f t="shared" si="5"/>
        <v>168.31441059093299</v>
      </c>
      <c r="Q16" s="2212">
        <f t="shared" si="5"/>
        <v>121.13520597594101</v>
      </c>
      <c r="R16" s="2212">
        <f t="shared" si="5"/>
        <v>143.75040717112901</v>
      </c>
    </row>
    <row r="17" spans="1:21" ht="26.25" customHeight="1">
      <c r="A17" s="2179"/>
      <c r="B17" s="2179"/>
      <c r="C17" s="2179"/>
      <c r="D17" s="2179"/>
      <c r="E17" s="2179"/>
      <c r="F17" s="2179"/>
      <c r="G17" s="2180"/>
      <c r="H17" s="2181"/>
      <c r="I17" s="2181"/>
      <c r="J17" s="2181"/>
      <c r="K17" s="2181"/>
      <c r="L17" s="2181"/>
      <c r="M17" s="2181"/>
      <c r="N17" s="2181"/>
      <c r="O17" s="2181"/>
      <c r="P17" s="2181"/>
      <c r="Q17" s="2181"/>
      <c r="R17" s="2181"/>
    </row>
    <row r="18" spans="1:21" ht="24.75" customHeight="1">
      <c r="A18" s="2182" t="s">
        <v>6671</v>
      </c>
      <c r="B18" s="2183"/>
      <c r="C18" s="2183"/>
      <c r="D18" s="2183"/>
      <c r="E18" s="2183"/>
      <c r="F18" s="2183"/>
      <c r="G18" s="2184"/>
      <c r="H18" s="2184"/>
      <c r="I18" s="2184"/>
      <c r="J18" s="2184"/>
      <c r="K18" s="2184"/>
      <c r="L18" s="2184"/>
      <c r="M18" s="2184"/>
      <c r="N18" s="2184"/>
      <c r="O18" s="2184"/>
      <c r="P18" s="2184"/>
      <c r="Q18" s="2213"/>
      <c r="R18" s="2213"/>
    </row>
    <row r="19" spans="1:21" ht="23.25" customHeight="1">
      <c r="A19" s="3465" t="s">
        <v>6672</v>
      </c>
      <c r="B19" s="3452"/>
      <c r="C19" s="3452"/>
      <c r="D19" s="506" t="s">
        <v>6392</v>
      </c>
      <c r="E19" s="3452" t="s">
        <v>1632</v>
      </c>
      <c r="F19" s="3452"/>
      <c r="G19" s="2185" t="s">
        <v>6618</v>
      </c>
      <c r="H19" s="2186" t="s">
        <v>6619</v>
      </c>
      <c r="I19" s="2185" t="s">
        <v>6620</v>
      </c>
      <c r="J19" s="2200" t="s">
        <v>6621</v>
      </c>
      <c r="K19" s="2185" t="s">
        <v>6622</v>
      </c>
      <c r="L19" s="2201" t="s">
        <v>6623</v>
      </c>
      <c r="M19" s="2185" t="s">
        <v>6624</v>
      </c>
      <c r="N19" s="2202" t="s">
        <v>6625</v>
      </c>
      <c r="O19" s="2185" t="s">
        <v>6626</v>
      </c>
      <c r="P19" s="2203" t="s">
        <v>6627</v>
      </c>
      <c r="Q19" s="2185" t="s">
        <v>6628</v>
      </c>
      <c r="R19" s="2201" t="s">
        <v>6647</v>
      </c>
    </row>
    <row r="20" spans="1:21" ht="30" customHeight="1">
      <c r="A20" s="3459" t="s">
        <v>6673</v>
      </c>
      <c r="B20" s="3452" t="s">
        <v>6674</v>
      </c>
      <c r="C20" s="3452"/>
      <c r="D20" s="3452" t="s">
        <v>6675</v>
      </c>
      <c r="E20" s="3445" t="s">
        <v>6676</v>
      </c>
      <c r="F20" s="3445"/>
      <c r="G20" s="2187">
        <f t="shared" ref="G20:R20" si="6">IF(MOD(G3,2)=0,G11+G7,G11*COS(PI()/2/G3)+G7)</f>
        <v>115.637118665005</v>
      </c>
      <c r="H20" s="2188">
        <f t="shared" si="6"/>
        <v>153.63615822000699</v>
      </c>
      <c r="I20" s="2187">
        <f t="shared" si="6"/>
        <v>130.008007365521</v>
      </c>
      <c r="J20" s="2204">
        <f t="shared" si="6"/>
        <v>101.580481419905</v>
      </c>
      <c r="K20" s="2187">
        <f t="shared" si="6"/>
        <v>91.5325654657928</v>
      </c>
      <c r="L20" s="2205">
        <f t="shared" si="6"/>
        <v>115.14148753705101</v>
      </c>
      <c r="M20" s="2187">
        <f t="shared" si="6"/>
        <v>133.84623386956901</v>
      </c>
      <c r="N20" s="2206">
        <f t="shared" si="6"/>
        <v>178.248311826091</v>
      </c>
      <c r="O20" s="2187">
        <f t="shared" si="6"/>
        <v>178.248311826091</v>
      </c>
      <c r="P20" s="2207">
        <f t="shared" si="6"/>
        <v>222.010389782614</v>
      </c>
      <c r="Q20" s="2187">
        <f t="shared" si="6"/>
        <v>170.92250920690199</v>
      </c>
      <c r="R20" s="2205">
        <f t="shared" si="6"/>
        <v>207.647011048282</v>
      </c>
      <c r="T20" s="3166" t="s">
        <v>12704</v>
      </c>
    </row>
    <row r="21" spans="1:21" ht="40.5" customHeight="1">
      <c r="A21" s="3459"/>
      <c r="B21" s="3452" t="s">
        <v>6677</v>
      </c>
      <c r="C21" s="3452"/>
      <c r="D21" s="3452"/>
      <c r="E21" s="3445" t="s">
        <v>6678</v>
      </c>
      <c r="F21" s="3445"/>
      <c r="G21" s="2187">
        <f t="shared" ref="G21:R21" si="7">IF(MOD(G3,2)=0,G11+G7,G11*COS(PI()/2/G3)+G7)</f>
        <v>115.637118665005</v>
      </c>
      <c r="H21" s="2188">
        <f t="shared" si="7"/>
        <v>153.63615822000699</v>
      </c>
      <c r="I21" s="2187">
        <f t="shared" si="7"/>
        <v>130.008007365521</v>
      </c>
      <c r="J21" s="2204">
        <f t="shared" si="7"/>
        <v>101.580481419905</v>
      </c>
      <c r="K21" s="2187">
        <f t="shared" si="7"/>
        <v>91.5325654657928</v>
      </c>
      <c r="L21" s="2205">
        <f t="shared" si="7"/>
        <v>115.14148753705101</v>
      </c>
      <c r="M21" s="2187">
        <f t="shared" si="7"/>
        <v>133.84623386956901</v>
      </c>
      <c r="N21" s="2206">
        <f t="shared" si="7"/>
        <v>178.248311826091</v>
      </c>
      <c r="O21" s="2187">
        <f t="shared" si="7"/>
        <v>178.248311826091</v>
      </c>
      <c r="P21" s="2207">
        <f t="shared" si="7"/>
        <v>222.010389782614</v>
      </c>
      <c r="Q21" s="2187">
        <f t="shared" si="7"/>
        <v>170.92250920690199</v>
      </c>
      <c r="R21" s="2205">
        <f t="shared" si="7"/>
        <v>207.647011048282</v>
      </c>
    </row>
    <row r="22" spans="1:21">
      <c r="A22" s="2189"/>
      <c r="B22" s="131"/>
      <c r="C22" s="131"/>
      <c r="D22" s="131"/>
      <c r="E22" s="131"/>
      <c r="F22" s="131"/>
      <c r="G22" s="2190"/>
      <c r="H22" s="479"/>
      <c r="I22" s="479"/>
      <c r="J22" s="479"/>
      <c r="K22" s="479"/>
      <c r="L22" s="479"/>
      <c r="M22" s="479"/>
      <c r="N22" s="479"/>
      <c r="O22" s="479"/>
      <c r="P22" s="479"/>
      <c r="Q22" s="2044"/>
      <c r="R22" s="2044"/>
    </row>
    <row r="23" spans="1:21">
      <c r="A23" s="2189"/>
      <c r="B23" s="131"/>
      <c r="C23" s="131"/>
      <c r="D23" s="131"/>
      <c r="E23" s="131"/>
      <c r="F23" s="131"/>
      <c r="G23" s="2190"/>
      <c r="H23" s="479"/>
      <c r="I23" s="479"/>
      <c r="J23" s="479"/>
      <c r="K23" s="479"/>
      <c r="L23" s="479"/>
      <c r="M23" s="479"/>
      <c r="N23" s="479"/>
      <c r="O23" s="479"/>
      <c r="P23" s="479"/>
      <c r="Q23" s="2044"/>
      <c r="R23" s="2044"/>
    </row>
    <row r="24" spans="1:21">
      <c r="A24" s="2191"/>
      <c r="B24" s="116"/>
      <c r="C24" s="116"/>
      <c r="D24" s="116"/>
      <c r="E24" s="116"/>
      <c r="F24" s="116"/>
      <c r="G24" s="2192"/>
      <c r="H24" s="2193"/>
      <c r="I24" s="2193"/>
      <c r="J24" s="2193"/>
      <c r="K24" s="2193"/>
      <c r="L24" s="2193"/>
      <c r="M24" s="2193"/>
      <c r="N24" s="2193"/>
      <c r="O24" s="2193"/>
      <c r="P24" s="2193"/>
      <c r="Q24" s="2214"/>
      <c r="R24" s="2214"/>
      <c r="T24" s="3374"/>
      <c r="U24" s="3374"/>
    </row>
  </sheetData>
  <mergeCells count="22">
    <mergeCell ref="T5:U5"/>
    <mergeCell ref="T24:U24"/>
    <mergeCell ref="B21:C21"/>
    <mergeCell ref="E21:F21"/>
    <mergeCell ref="A6:A10"/>
    <mergeCell ref="A11:A16"/>
    <mergeCell ref="A20:A21"/>
    <mergeCell ref="B6:B10"/>
    <mergeCell ref="D12:D14"/>
    <mergeCell ref="D20:D21"/>
    <mergeCell ref="F11:F14"/>
    <mergeCell ref="B12:C14"/>
    <mergeCell ref="B16:C16"/>
    <mergeCell ref="A19:C19"/>
    <mergeCell ref="E19:F19"/>
    <mergeCell ref="B20:C20"/>
    <mergeCell ref="E20:F20"/>
    <mergeCell ref="A1:R1"/>
    <mergeCell ref="A3:E3"/>
    <mergeCell ref="A5:C5"/>
    <mergeCell ref="B11:C11"/>
    <mergeCell ref="B15:C15"/>
  </mergeCells>
  <phoneticPr fontId="378" type="noConversion"/>
  <hyperlinks>
    <hyperlink ref="T8" location="总目录!A1" display="返回目录"/>
    <hyperlink ref="T20" location="总目录!A1" display="返回目录"/>
  </hyperlinks>
  <pageMargins left="0.45902777777777798" right="0.50902777777777797" top="1" bottom="1" header="0.5" footer="0.5"/>
  <pageSetup paperSize="9" orientation="landscape"/>
  <headerFooter scaleWithDoc="0"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topLeftCell="A7" zoomScale="85" zoomScaleNormal="85" workbookViewId="0">
      <selection activeCell="Q21" sqref="Q21"/>
    </sheetView>
  </sheetViews>
  <sheetFormatPr defaultColWidth="8.75" defaultRowHeight="16.5"/>
  <cols>
    <col min="1" max="1" width="6.375" style="2140" customWidth="1"/>
    <col min="2" max="2" width="5.5" style="2140" customWidth="1"/>
    <col min="3" max="4" width="7.625" style="2140" customWidth="1"/>
    <col min="5" max="5" width="9" style="2140"/>
    <col min="6" max="6" width="8.25" style="2140" customWidth="1"/>
    <col min="7" max="15" width="7.625" style="2140" customWidth="1"/>
    <col min="16" max="32" width="9" style="2140"/>
    <col min="33" max="16384" width="8.75" style="2140"/>
  </cols>
  <sheetData>
    <row r="1" spans="1:18" ht="399.75" customHeight="1"/>
    <row r="2" spans="1:18" ht="24.75" customHeight="1">
      <c r="A2" s="2141" t="s">
        <v>6679</v>
      </c>
      <c r="B2" s="2142"/>
    </row>
    <row r="3" spans="1:18" ht="14.25" customHeight="1">
      <c r="A3" s="3469" t="s">
        <v>6680</v>
      </c>
      <c r="B3" s="3466" t="s">
        <v>6617</v>
      </c>
      <c r="C3" s="2143" t="s">
        <v>6553</v>
      </c>
      <c r="D3" s="2143" t="s">
        <v>6651</v>
      </c>
      <c r="E3" s="2143" t="s">
        <v>6681</v>
      </c>
      <c r="F3" s="3470" t="s">
        <v>6653</v>
      </c>
      <c r="G3" s="2144" t="s">
        <v>6682</v>
      </c>
      <c r="H3" s="3466" t="s">
        <v>6683</v>
      </c>
      <c r="I3" s="3467"/>
      <c r="J3" s="3468"/>
      <c r="K3" s="2151" t="s">
        <v>6655</v>
      </c>
      <c r="L3" s="3466" t="s">
        <v>6684</v>
      </c>
      <c r="M3" s="3467"/>
      <c r="N3" s="3468"/>
      <c r="O3" s="2143" t="s">
        <v>6685</v>
      </c>
    </row>
    <row r="4" spans="1:18">
      <c r="A4" s="3469"/>
      <c r="B4" s="3466"/>
      <c r="C4" s="2145"/>
      <c r="D4" s="2145"/>
      <c r="E4" s="2145"/>
      <c r="F4" s="3471"/>
      <c r="G4" s="2145"/>
      <c r="H4" s="2145" t="s">
        <v>6686</v>
      </c>
      <c r="I4" s="2145" t="s">
        <v>6687</v>
      </c>
      <c r="J4" s="2145" t="s">
        <v>6688</v>
      </c>
      <c r="K4" s="2145"/>
      <c r="L4" s="2145" t="s">
        <v>6686</v>
      </c>
      <c r="M4" s="2145" t="s">
        <v>6687</v>
      </c>
      <c r="N4" s="2145" t="s">
        <v>6688</v>
      </c>
      <c r="O4" s="2145"/>
      <c r="Q4" s="3374"/>
      <c r="R4" s="3374"/>
    </row>
    <row r="5" spans="1:18">
      <c r="A5" s="3469"/>
      <c r="B5" s="3466"/>
      <c r="C5" s="2146" t="s">
        <v>6689</v>
      </c>
      <c r="D5" s="2146" t="s">
        <v>6652</v>
      </c>
      <c r="E5" s="2146" t="s">
        <v>6650</v>
      </c>
      <c r="F5" s="2146" t="s">
        <v>6690</v>
      </c>
      <c r="G5" s="2146" t="s">
        <v>6691</v>
      </c>
      <c r="H5" s="2146" t="s">
        <v>6692</v>
      </c>
      <c r="I5" s="2146" t="s">
        <v>6693</v>
      </c>
      <c r="J5" s="2146" t="s">
        <v>6694</v>
      </c>
      <c r="K5" s="2146" t="s">
        <v>6695</v>
      </c>
      <c r="L5" s="2146" t="s">
        <v>6696</v>
      </c>
      <c r="M5" s="2146" t="s">
        <v>6696</v>
      </c>
      <c r="N5" s="2146" t="s">
        <v>6696</v>
      </c>
      <c r="O5" s="2146" t="s">
        <v>6697</v>
      </c>
    </row>
    <row r="6" spans="1:18">
      <c r="A6" s="3469"/>
      <c r="B6" s="3466"/>
      <c r="C6" s="2147" t="s">
        <v>2040</v>
      </c>
      <c r="D6" s="2147" t="s">
        <v>2040</v>
      </c>
      <c r="E6" s="2147" t="s">
        <v>2040</v>
      </c>
      <c r="F6" s="2147" t="s">
        <v>2040</v>
      </c>
      <c r="G6" s="2147" t="s">
        <v>2040</v>
      </c>
      <c r="H6" s="2147" t="s">
        <v>2040</v>
      </c>
      <c r="I6" s="2147" t="s">
        <v>2040</v>
      </c>
      <c r="J6" s="2147" t="s">
        <v>2040</v>
      </c>
      <c r="K6" s="2147" t="s">
        <v>2040</v>
      </c>
      <c r="L6" s="2147" t="s">
        <v>6698</v>
      </c>
      <c r="M6" s="2147" t="s">
        <v>6698</v>
      </c>
      <c r="N6" s="2147" t="s">
        <v>6698</v>
      </c>
      <c r="O6" s="2147" t="s">
        <v>6699</v>
      </c>
      <c r="Q6" s="3166" t="s">
        <v>12704</v>
      </c>
    </row>
    <row r="7" spans="1:18">
      <c r="A7" s="2148" t="s">
        <v>6700</v>
      </c>
      <c r="B7" s="2149" t="s">
        <v>6618</v>
      </c>
      <c r="C7" s="2150">
        <v>9.5250000000000004</v>
      </c>
      <c r="D7" s="2150">
        <v>10.24</v>
      </c>
      <c r="E7" s="2150">
        <v>6.35</v>
      </c>
      <c r="F7" s="2150">
        <v>5.72</v>
      </c>
      <c r="G7" s="2150">
        <v>3.82</v>
      </c>
      <c r="H7" s="2150">
        <v>13.5</v>
      </c>
      <c r="I7" s="2150">
        <v>23.8</v>
      </c>
      <c r="J7" s="2150">
        <v>34</v>
      </c>
      <c r="K7" s="2150">
        <v>8.26</v>
      </c>
      <c r="L7" s="2150">
        <v>8.82</v>
      </c>
      <c r="M7" s="2150">
        <v>17.64</v>
      </c>
      <c r="N7" s="2150">
        <v>26.46</v>
      </c>
      <c r="O7" s="2150">
        <v>0.4</v>
      </c>
    </row>
    <row r="8" spans="1:18">
      <c r="A8" s="2148" t="s">
        <v>6701</v>
      </c>
      <c r="B8" s="2149" t="s">
        <v>6619</v>
      </c>
      <c r="C8" s="2149">
        <v>12.7</v>
      </c>
      <c r="D8" s="2149">
        <v>14.38</v>
      </c>
      <c r="E8" s="2149">
        <v>7.92</v>
      </c>
      <c r="F8" s="2149">
        <v>7.85</v>
      </c>
      <c r="G8" s="2149">
        <v>3.96</v>
      </c>
      <c r="H8" s="2149">
        <v>17.8</v>
      </c>
      <c r="I8" s="2149">
        <v>32.299999999999997</v>
      </c>
      <c r="J8" s="2149">
        <v>46.7</v>
      </c>
      <c r="K8" s="2149">
        <v>12.07</v>
      </c>
      <c r="L8" s="2149">
        <v>13.72</v>
      </c>
      <c r="M8" s="2149">
        <v>27.44</v>
      </c>
      <c r="N8" s="2149">
        <v>41.16</v>
      </c>
      <c r="O8" s="2149">
        <v>0.6</v>
      </c>
    </row>
    <row r="9" spans="1:18">
      <c r="A9" s="2148" t="s">
        <v>6620</v>
      </c>
      <c r="B9" s="2149" t="s">
        <v>6620</v>
      </c>
      <c r="C9" s="2149">
        <v>12.7</v>
      </c>
      <c r="D9" s="2149">
        <v>13.92</v>
      </c>
      <c r="E9" s="2149">
        <v>8.51</v>
      </c>
      <c r="F9" s="2149">
        <v>7.75</v>
      </c>
      <c r="G9" s="2149">
        <v>4.45</v>
      </c>
      <c r="H9" s="2149">
        <v>17</v>
      </c>
      <c r="I9" s="2149">
        <v>31</v>
      </c>
      <c r="J9" s="2149">
        <v>44.9</v>
      </c>
      <c r="K9" s="2149">
        <v>11.81</v>
      </c>
      <c r="L9" s="2149">
        <v>17.8</v>
      </c>
      <c r="M9" s="2149">
        <v>31.1</v>
      </c>
      <c r="N9" s="2149">
        <v>44.5</v>
      </c>
      <c r="O9" s="2149">
        <v>0.7</v>
      </c>
    </row>
    <row r="10" spans="1:18">
      <c r="A10" s="2148" t="s">
        <v>6702</v>
      </c>
      <c r="B10" s="2149" t="s">
        <v>6621</v>
      </c>
      <c r="C10" s="2149">
        <v>15.875</v>
      </c>
      <c r="D10" s="2149">
        <v>18.11</v>
      </c>
      <c r="E10" s="2149">
        <v>10.16</v>
      </c>
      <c r="F10" s="2149">
        <v>9.4</v>
      </c>
      <c r="G10" s="2149">
        <v>5.08</v>
      </c>
      <c r="H10" s="2149">
        <v>21.8</v>
      </c>
      <c r="I10" s="2149">
        <v>39.9</v>
      </c>
      <c r="J10" s="2149">
        <v>57.9</v>
      </c>
      <c r="K10" s="2149">
        <v>15.09</v>
      </c>
      <c r="L10" s="2149">
        <v>21.8</v>
      </c>
      <c r="M10" s="2149">
        <v>43.6</v>
      </c>
      <c r="N10" s="2149">
        <v>65.400000000000006</v>
      </c>
      <c r="O10" s="2149">
        <v>1</v>
      </c>
    </row>
    <row r="11" spans="1:18">
      <c r="A11" s="2148" t="s">
        <v>6702</v>
      </c>
      <c r="B11" s="2149" t="s">
        <v>6622</v>
      </c>
      <c r="C11" s="2149">
        <v>15.875</v>
      </c>
      <c r="D11" s="2149">
        <v>16.59</v>
      </c>
      <c r="E11" s="2149">
        <v>10.16</v>
      </c>
      <c r="F11" s="2149">
        <v>9.65</v>
      </c>
      <c r="G11" s="2149">
        <v>5.08</v>
      </c>
      <c r="H11" s="2149">
        <v>19.600000000000001</v>
      </c>
      <c r="I11" s="2149">
        <v>36.200000000000003</v>
      </c>
      <c r="J11" s="2149">
        <v>52.8</v>
      </c>
      <c r="K11" s="2149">
        <v>14.73</v>
      </c>
      <c r="L11" s="2149">
        <v>22.2</v>
      </c>
      <c r="M11" s="2149">
        <v>44.5</v>
      </c>
      <c r="N11" s="2149">
        <v>66.7</v>
      </c>
      <c r="O11" s="2149">
        <v>0.95</v>
      </c>
    </row>
    <row r="12" spans="1:18">
      <c r="A12" s="2148" t="s">
        <v>6703</v>
      </c>
      <c r="B12" s="2149" t="s">
        <v>6623</v>
      </c>
      <c r="C12" s="2149">
        <v>19.05</v>
      </c>
      <c r="D12" s="2149">
        <v>22.78</v>
      </c>
      <c r="E12" s="2149">
        <v>11.91</v>
      </c>
      <c r="F12" s="2149">
        <v>12.57</v>
      </c>
      <c r="G12" s="2149">
        <v>5.94</v>
      </c>
      <c r="H12" s="2149">
        <v>26.9</v>
      </c>
      <c r="I12" s="2149">
        <v>49.8</v>
      </c>
      <c r="J12" s="2149">
        <v>72.599999999999994</v>
      </c>
      <c r="K12" s="2149">
        <v>18.079999999999998</v>
      </c>
      <c r="L12" s="2149">
        <v>31.1</v>
      </c>
      <c r="M12" s="2149">
        <v>62.3</v>
      </c>
      <c r="N12" s="2149">
        <v>93.4</v>
      </c>
      <c r="O12" s="2149">
        <v>1.5</v>
      </c>
    </row>
    <row r="13" spans="1:18">
      <c r="A13" s="2148" t="s">
        <v>6703</v>
      </c>
      <c r="B13" s="2149" t="s">
        <v>6624</v>
      </c>
      <c r="C13" s="2149">
        <v>19.05</v>
      </c>
      <c r="D13" s="2149">
        <v>19.46</v>
      </c>
      <c r="E13" s="2149">
        <v>12.07</v>
      </c>
      <c r="F13" s="2149">
        <v>11.68</v>
      </c>
      <c r="G13" s="2149">
        <v>5.72</v>
      </c>
      <c r="H13" s="2149">
        <v>22.7</v>
      </c>
      <c r="I13" s="2149">
        <v>42.2</v>
      </c>
      <c r="J13" s="2149">
        <v>61.7</v>
      </c>
      <c r="K13" s="2149">
        <v>16.13</v>
      </c>
      <c r="L13" s="2149">
        <v>28.9</v>
      </c>
      <c r="M13" s="2149">
        <v>57.8</v>
      </c>
      <c r="N13" s="2149">
        <v>86.7</v>
      </c>
      <c r="O13" s="2149">
        <v>1.25</v>
      </c>
    </row>
    <row r="14" spans="1:18">
      <c r="A14" s="2148" t="s">
        <v>6704</v>
      </c>
      <c r="B14" s="2149" t="s">
        <v>6625</v>
      </c>
      <c r="C14" s="2149">
        <v>25.4</v>
      </c>
      <c r="D14" s="2149">
        <v>29.29</v>
      </c>
      <c r="E14" s="2149">
        <v>15.88</v>
      </c>
      <c r="F14" s="2149">
        <v>15.75</v>
      </c>
      <c r="G14" s="2149">
        <v>7.92</v>
      </c>
      <c r="H14" s="2149">
        <v>33.5</v>
      </c>
      <c r="I14" s="2149">
        <v>62.7</v>
      </c>
      <c r="J14" s="2149">
        <v>91.7</v>
      </c>
      <c r="K14" s="2149">
        <v>24.13</v>
      </c>
      <c r="L14" s="2149">
        <v>55.6</v>
      </c>
      <c r="M14" s="2149">
        <v>111.2</v>
      </c>
      <c r="N14" s="2149">
        <v>166.8</v>
      </c>
      <c r="O14" s="2149">
        <v>2.6</v>
      </c>
    </row>
    <row r="15" spans="1:18">
      <c r="A15" s="2148" t="s">
        <v>6704</v>
      </c>
      <c r="B15" s="2149" t="s">
        <v>6626</v>
      </c>
      <c r="C15" s="2149">
        <v>25.4</v>
      </c>
      <c r="D15" s="2149">
        <v>31.88</v>
      </c>
      <c r="E15" s="2149">
        <v>15.88</v>
      </c>
      <c r="F15" s="2149">
        <v>17.02</v>
      </c>
      <c r="G15" s="2149">
        <v>8.2799999999999994</v>
      </c>
      <c r="H15" s="2149">
        <v>36.1</v>
      </c>
      <c r="I15" s="2149">
        <v>68</v>
      </c>
      <c r="J15" s="2149">
        <v>99.9</v>
      </c>
      <c r="K15" s="2149">
        <v>21.08</v>
      </c>
      <c r="L15" s="2149">
        <v>60</v>
      </c>
      <c r="M15" s="2149">
        <v>106</v>
      </c>
      <c r="N15" s="2149">
        <v>160</v>
      </c>
      <c r="O15" s="2149">
        <v>2.7</v>
      </c>
    </row>
    <row r="16" spans="1:18">
      <c r="A16" s="2148" t="s">
        <v>6705</v>
      </c>
      <c r="B16" s="2149" t="s">
        <v>6627</v>
      </c>
      <c r="C16" s="2149">
        <v>31.75</v>
      </c>
      <c r="D16" s="2149">
        <v>35.76</v>
      </c>
      <c r="E16" s="2149">
        <v>19.05</v>
      </c>
      <c r="F16" s="2149">
        <v>18.899999999999999</v>
      </c>
      <c r="G16" s="2149">
        <v>9.5299999999999994</v>
      </c>
      <c r="H16" s="2149">
        <v>41.1</v>
      </c>
      <c r="I16" s="2149">
        <v>77</v>
      </c>
      <c r="J16" s="2149">
        <v>113</v>
      </c>
      <c r="K16" s="2149">
        <v>30.18</v>
      </c>
      <c r="L16" s="2149">
        <v>86.7</v>
      </c>
      <c r="M16" s="2149">
        <v>174.5</v>
      </c>
      <c r="N16" s="2149">
        <v>260.2</v>
      </c>
      <c r="O16" s="2149">
        <v>3.8</v>
      </c>
    </row>
    <row r="17" spans="1:18">
      <c r="A17" s="2148" t="s">
        <v>6705</v>
      </c>
      <c r="B17" s="2149" t="s">
        <v>6628</v>
      </c>
      <c r="C17" s="2149">
        <v>31.75</v>
      </c>
      <c r="D17" s="2149">
        <v>36.450000000000003</v>
      </c>
      <c r="E17" s="2149">
        <v>19.05</v>
      </c>
      <c r="F17" s="2149">
        <v>19.579999999999998</v>
      </c>
      <c r="G17" s="2149">
        <v>10.19</v>
      </c>
      <c r="H17" s="2149">
        <v>43.2</v>
      </c>
      <c r="I17" s="2149">
        <v>79</v>
      </c>
      <c r="J17" s="2149">
        <v>116</v>
      </c>
      <c r="K17" s="2149">
        <v>26.4</v>
      </c>
      <c r="L17" s="2149">
        <v>95</v>
      </c>
      <c r="M17" s="2149">
        <v>170</v>
      </c>
      <c r="N17" s="2149">
        <v>250</v>
      </c>
      <c r="O17" s="2149">
        <v>3.6</v>
      </c>
    </row>
    <row r="18" spans="1:18">
      <c r="A18" s="2148" t="s">
        <v>6706</v>
      </c>
      <c r="B18" s="2149" t="s">
        <v>6707</v>
      </c>
      <c r="C18" s="2149">
        <v>38.1</v>
      </c>
      <c r="D18" s="2149">
        <v>45.44</v>
      </c>
      <c r="E18" s="2149">
        <v>22.23</v>
      </c>
      <c r="F18" s="2149">
        <v>25.22</v>
      </c>
      <c r="G18" s="2149">
        <v>11.1</v>
      </c>
      <c r="H18" s="2149">
        <v>50.8</v>
      </c>
      <c r="I18" s="2149">
        <v>96.3</v>
      </c>
      <c r="J18" s="2149">
        <v>141.69999999999999</v>
      </c>
      <c r="K18" s="2149">
        <v>36.200000000000003</v>
      </c>
      <c r="L18" s="2149">
        <v>124.6</v>
      </c>
      <c r="M18" s="2149">
        <v>249.1</v>
      </c>
      <c r="N18" s="2149">
        <v>373.7</v>
      </c>
      <c r="O18" s="2149">
        <v>5.6</v>
      </c>
    </row>
    <row r="19" spans="1:18">
      <c r="A19" s="2148" t="s">
        <v>6706</v>
      </c>
      <c r="B19" s="2149" t="s">
        <v>6647</v>
      </c>
      <c r="C19" s="2149">
        <v>38.1</v>
      </c>
      <c r="D19" s="2149">
        <v>48.36</v>
      </c>
      <c r="E19" s="2149">
        <v>25.4</v>
      </c>
      <c r="F19" s="2149">
        <v>25.4</v>
      </c>
      <c r="G19" s="2149">
        <v>14.63</v>
      </c>
      <c r="H19" s="2149">
        <v>53.4</v>
      </c>
      <c r="I19" s="2149">
        <v>101</v>
      </c>
      <c r="J19" s="2149">
        <v>150</v>
      </c>
      <c r="K19" s="2149">
        <v>33.4</v>
      </c>
      <c r="L19" s="2149">
        <v>160</v>
      </c>
      <c r="M19" s="2149">
        <v>280</v>
      </c>
      <c r="N19" s="2149">
        <v>425</v>
      </c>
      <c r="O19" s="2149">
        <v>6.7</v>
      </c>
    </row>
    <row r="20" spans="1:18">
      <c r="A20" s="2148" t="s">
        <v>6708</v>
      </c>
      <c r="B20" s="2149" t="s">
        <v>6709</v>
      </c>
      <c r="C20" s="2149">
        <v>44.45</v>
      </c>
      <c r="D20" s="2149">
        <v>48.87</v>
      </c>
      <c r="E20" s="2149">
        <v>25.4</v>
      </c>
      <c r="F20" s="2149">
        <v>25.22</v>
      </c>
      <c r="G20" s="2149">
        <v>12.7</v>
      </c>
      <c r="H20" s="2149">
        <v>54.9</v>
      </c>
      <c r="I20" s="2149">
        <v>103.6</v>
      </c>
      <c r="J20" s="2149">
        <v>152.4</v>
      </c>
      <c r="K20" s="2149">
        <v>42.24</v>
      </c>
      <c r="L20" s="2149">
        <v>169</v>
      </c>
      <c r="M20" s="2149">
        <v>338.1</v>
      </c>
      <c r="N20" s="2149">
        <v>507.1</v>
      </c>
      <c r="O20" s="2149">
        <v>7.5</v>
      </c>
    </row>
    <row r="21" spans="1:18">
      <c r="A21" s="2148" t="s">
        <v>6708</v>
      </c>
      <c r="B21" s="2149" t="s">
        <v>6710</v>
      </c>
      <c r="C21" s="2149">
        <v>44.45</v>
      </c>
      <c r="D21" s="2149">
        <v>59.56</v>
      </c>
      <c r="E21" s="2149">
        <v>27.94</v>
      </c>
      <c r="F21" s="2149">
        <v>30.99</v>
      </c>
      <c r="G21" s="2149">
        <v>15.9</v>
      </c>
      <c r="H21" s="2149">
        <v>65.099999999999994</v>
      </c>
      <c r="I21" s="2149">
        <v>124</v>
      </c>
      <c r="J21" s="2149">
        <v>184</v>
      </c>
      <c r="K21" s="2149">
        <v>37</v>
      </c>
      <c r="L21" s="2149">
        <v>200</v>
      </c>
      <c r="M21" s="2149">
        <v>360</v>
      </c>
      <c r="N21" s="2149">
        <v>530</v>
      </c>
      <c r="O21" s="2149">
        <v>8.3000000000000007</v>
      </c>
      <c r="Q21" s="3166" t="s">
        <v>12704</v>
      </c>
    </row>
    <row r="22" spans="1:18">
      <c r="A22" s="2148" t="s">
        <v>6711</v>
      </c>
      <c r="B22" s="2149" t="s">
        <v>6712</v>
      </c>
      <c r="C22" s="2149">
        <v>50.8</v>
      </c>
      <c r="D22" s="2149">
        <v>58.55</v>
      </c>
      <c r="E22" s="2149">
        <v>28.58</v>
      </c>
      <c r="F22" s="2149">
        <v>31.55</v>
      </c>
      <c r="G22" s="2149">
        <v>14.27</v>
      </c>
      <c r="H22" s="2149">
        <v>65.5</v>
      </c>
      <c r="I22" s="2149">
        <v>124.2</v>
      </c>
      <c r="J22" s="2149">
        <v>182.9</v>
      </c>
      <c r="K22" s="2149">
        <v>48.26</v>
      </c>
      <c r="L22" s="2149">
        <v>222.4</v>
      </c>
      <c r="M22" s="2149">
        <v>444.8</v>
      </c>
      <c r="N22" s="2149">
        <v>667.2</v>
      </c>
      <c r="O22" s="2149">
        <v>10.1</v>
      </c>
    </row>
    <row r="23" spans="1:18">
      <c r="A23" s="2148" t="s">
        <v>6711</v>
      </c>
      <c r="B23" s="2149" t="s">
        <v>6713</v>
      </c>
      <c r="C23" s="2149">
        <v>50.8</v>
      </c>
      <c r="D23" s="2149">
        <v>58.55</v>
      </c>
      <c r="E23" s="2149">
        <v>29.21</v>
      </c>
      <c r="F23" s="2149">
        <v>30.99</v>
      </c>
      <c r="G23" s="2149">
        <v>17.809999999999999</v>
      </c>
      <c r="H23" s="2149">
        <v>67.400000000000006</v>
      </c>
      <c r="I23" s="2149">
        <v>126</v>
      </c>
      <c r="J23" s="2149">
        <v>184</v>
      </c>
      <c r="K23" s="2149">
        <v>42.2</v>
      </c>
      <c r="L23" s="2149">
        <v>250</v>
      </c>
      <c r="M23" s="2149">
        <v>450</v>
      </c>
      <c r="N23" s="2149">
        <v>670</v>
      </c>
      <c r="O23" s="2149">
        <v>10.5</v>
      </c>
      <c r="Q23" s="3374"/>
      <c r="R23" s="3374"/>
    </row>
  </sheetData>
  <mergeCells count="7">
    <mergeCell ref="Q4:R4"/>
    <mergeCell ref="Q23:R23"/>
    <mergeCell ref="H3:J3"/>
    <mergeCell ref="L3:N3"/>
    <mergeCell ref="A3:A6"/>
    <mergeCell ref="B3:B6"/>
    <mergeCell ref="F3:F4"/>
  </mergeCells>
  <phoneticPr fontId="378" type="noConversion"/>
  <hyperlinks>
    <hyperlink ref="Q6" location="总目录!A1" display="返回目录"/>
    <hyperlink ref="Q21" location="总目录!A1" display="返回目录"/>
  </hyperlinks>
  <pageMargins left="0.75" right="0.75" top="1" bottom="1" header="0.5" footer="0.5"/>
  <pageSetup paperSize="9" orientation="landscape"/>
  <headerFooter scaleWithDoc="0"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
  <sheetViews>
    <sheetView zoomScale="84" zoomScaleNormal="84" workbookViewId="0">
      <selection activeCell="N14" sqref="N14"/>
    </sheetView>
  </sheetViews>
  <sheetFormatPr defaultColWidth="8.75" defaultRowHeight="16.5"/>
  <cols>
    <col min="1" max="1" width="26" style="2101" customWidth="1"/>
    <col min="2" max="2" width="32.375" style="2102" customWidth="1"/>
    <col min="3" max="3" width="8" style="2102" customWidth="1"/>
    <col min="4" max="14" width="7.75" style="2103" customWidth="1"/>
    <col min="15" max="33" width="9" style="2102"/>
    <col min="34" max="16384" width="8.75" style="2102"/>
  </cols>
  <sheetData>
    <row r="1" spans="1:16" ht="49.15" customHeight="1">
      <c r="A1" s="3472" t="s">
        <v>6714</v>
      </c>
      <c r="B1" s="3472"/>
      <c r="C1" s="3472"/>
      <c r="D1" s="3472"/>
      <c r="E1" s="3472"/>
      <c r="F1" s="3472"/>
      <c r="G1" s="3472"/>
      <c r="H1" s="3472"/>
      <c r="I1" s="3472"/>
      <c r="J1" s="3472"/>
      <c r="K1" s="3472"/>
      <c r="L1" s="3472"/>
      <c r="M1" s="3472"/>
      <c r="N1" s="3472"/>
    </row>
    <row r="2" spans="1:16" ht="24.75" customHeight="1">
      <c r="A2" s="2104" t="s">
        <v>6715</v>
      </c>
      <c r="B2" s="2105" t="s">
        <v>6716</v>
      </c>
      <c r="C2" s="2106"/>
      <c r="D2" s="3473" t="s">
        <v>6679</v>
      </c>
      <c r="E2" s="3474"/>
      <c r="F2" s="3474"/>
      <c r="G2" s="3474"/>
      <c r="H2" s="3474"/>
      <c r="I2" s="3474"/>
      <c r="J2" s="3474"/>
      <c r="K2" s="3474"/>
      <c r="L2" s="3474"/>
      <c r="M2" s="3474"/>
      <c r="N2" s="3474"/>
    </row>
    <row r="3" spans="1:16" ht="27" customHeight="1">
      <c r="A3" s="2107" t="s">
        <v>6617</v>
      </c>
      <c r="B3" s="2108"/>
      <c r="C3" s="2109" t="s">
        <v>6717</v>
      </c>
      <c r="D3" s="2109" t="s">
        <v>6618</v>
      </c>
      <c r="E3" s="2110" t="s">
        <v>6619</v>
      </c>
      <c r="F3" s="2109" t="s">
        <v>6620</v>
      </c>
      <c r="G3" s="2111" t="s">
        <v>6621</v>
      </c>
      <c r="H3" s="2109" t="s">
        <v>6622</v>
      </c>
      <c r="I3" s="1651" t="s">
        <v>6623</v>
      </c>
      <c r="J3" s="2109" t="s">
        <v>6624</v>
      </c>
      <c r="K3" s="606" t="s">
        <v>6625</v>
      </c>
      <c r="L3" s="2109" t="s">
        <v>6626</v>
      </c>
      <c r="M3" s="2131" t="s">
        <v>6627</v>
      </c>
      <c r="N3" s="2109" t="s">
        <v>6628</v>
      </c>
    </row>
    <row r="4" spans="1:16" ht="27" customHeight="1">
      <c r="A4" s="2107" t="s">
        <v>6629</v>
      </c>
      <c r="B4" s="2108"/>
      <c r="C4" s="2112">
        <v>6.35</v>
      </c>
      <c r="D4" s="2112">
        <v>9.5250000000000004</v>
      </c>
      <c r="E4" s="2110">
        <v>12.7</v>
      </c>
      <c r="F4" s="2109">
        <v>12.7</v>
      </c>
      <c r="G4" s="2111">
        <v>15.875</v>
      </c>
      <c r="H4" s="2109">
        <v>15.875</v>
      </c>
      <c r="I4" s="1651">
        <v>19.05</v>
      </c>
      <c r="J4" s="2109">
        <v>19.05</v>
      </c>
      <c r="K4" s="606">
        <v>25.4</v>
      </c>
      <c r="L4" s="2109">
        <v>25.4</v>
      </c>
      <c r="M4" s="2131">
        <v>31.75</v>
      </c>
      <c r="N4" s="2109">
        <v>31.75</v>
      </c>
    </row>
    <row r="5" spans="1:16" ht="35.25" customHeight="1">
      <c r="A5" s="2107" t="s">
        <v>6630</v>
      </c>
      <c r="B5" s="2108"/>
      <c r="C5" s="2113">
        <v>3.3</v>
      </c>
      <c r="D5" s="2113">
        <v>6.35</v>
      </c>
      <c r="E5" s="2114">
        <v>7.92</v>
      </c>
      <c r="F5" s="2115">
        <v>8.51</v>
      </c>
      <c r="G5" s="2116">
        <v>10.16</v>
      </c>
      <c r="H5" s="2115">
        <v>10.16</v>
      </c>
      <c r="I5" s="1650">
        <v>11.91</v>
      </c>
      <c r="J5" s="2115">
        <v>12.07</v>
      </c>
      <c r="K5" s="2132">
        <v>15.88</v>
      </c>
      <c r="L5" s="2109">
        <v>15.88</v>
      </c>
      <c r="M5" s="2131">
        <v>19.05</v>
      </c>
      <c r="N5" s="2109">
        <v>19.05</v>
      </c>
    </row>
    <row r="6" spans="1:16" ht="27" customHeight="1">
      <c r="A6" s="2117" t="s">
        <v>6718</v>
      </c>
      <c r="B6" s="2118"/>
      <c r="C6" s="2119">
        <v>24</v>
      </c>
      <c r="D6" s="2119">
        <v>12</v>
      </c>
      <c r="E6" s="2120">
        <v>30</v>
      </c>
      <c r="F6" s="2119">
        <v>30</v>
      </c>
      <c r="G6" s="2121">
        <v>18</v>
      </c>
      <c r="H6" s="2119">
        <v>19</v>
      </c>
      <c r="I6" s="2133">
        <v>18</v>
      </c>
      <c r="J6" s="2119">
        <v>22</v>
      </c>
      <c r="K6" s="2134">
        <v>14</v>
      </c>
      <c r="L6" s="2135"/>
      <c r="M6" s="2136"/>
      <c r="N6" s="2135"/>
    </row>
    <row r="7" spans="1:16" ht="27" customHeight="1">
      <c r="A7" s="2117" t="s">
        <v>6719</v>
      </c>
      <c r="B7" s="2118"/>
      <c r="C7" s="2119">
        <v>31</v>
      </c>
      <c r="D7" s="2119">
        <v>12</v>
      </c>
      <c r="E7" s="2120">
        <v>30</v>
      </c>
      <c r="F7" s="2119">
        <v>30</v>
      </c>
      <c r="G7" s="2121">
        <v>18</v>
      </c>
      <c r="H7" s="2119">
        <v>29</v>
      </c>
      <c r="I7" s="2133">
        <v>18</v>
      </c>
      <c r="J7" s="2119">
        <v>48</v>
      </c>
      <c r="K7" s="2134">
        <v>28</v>
      </c>
      <c r="L7" s="2135"/>
      <c r="M7" s="2136"/>
      <c r="N7" s="2135"/>
    </row>
    <row r="8" spans="1:16" ht="32.25" customHeight="1">
      <c r="A8" s="2107" t="s">
        <v>6720</v>
      </c>
      <c r="B8" s="2118"/>
      <c r="C8" s="2119">
        <v>102</v>
      </c>
      <c r="D8" s="2119">
        <v>130</v>
      </c>
      <c r="E8" s="2120">
        <v>317</v>
      </c>
      <c r="F8" s="2119">
        <v>300</v>
      </c>
      <c r="G8" s="2121">
        <v>298</v>
      </c>
      <c r="H8" s="2119">
        <v>250</v>
      </c>
      <c r="I8" s="2133">
        <v>396</v>
      </c>
      <c r="J8" s="2119">
        <v>650</v>
      </c>
      <c r="K8" s="2134">
        <v>672</v>
      </c>
      <c r="L8" s="2135"/>
      <c r="M8" s="2136"/>
      <c r="N8" s="2135"/>
    </row>
    <row r="9" spans="1:16" ht="57" customHeight="1">
      <c r="A9" s="2117" t="s">
        <v>6721</v>
      </c>
      <c r="B9" s="2118"/>
      <c r="C9" s="2122">
        <f>C8/C4</f>
        <v>16.062992125984302</v>
      </c>
      <c r="D9" s="2122">
        <f t="shared" ref="D9:K9" si="0">D8/D4</f>
        <v>13.6482939632546</v>
      </c>
      <c r="E9" s="2122">
        <f t="shared" si="0"/>
        <v>24.960629921259802</v>
      </c>
      <c r="F9" s="2122">
        <f t="shared" si="0"/>
        <v>23.6220472440945</v>
      </c>
      <c r="G9" s="2122">
        <f t="shared" si="0"/>
        <v>18.771653543307099</v>
      </c>
      <c r="H9" s="2122">
        <f t="shared" si="0"/>
        <v>15.748031496063</v>
      </c>
      <c r="I9" s="2122">
        <f t="shared" si="0"/>
        <v>20.787401574803098</v>
      </c>
      <c r="J9" s="2122">
        <f t="shared" si="0"/>
        <v>34.120734908136498</v>
      </c>
      <c r="K9" s="2122">
        <f t="shared" si="0"/>
        <v>26.456692913385801</v>
      </c>
      <c r="L9" s="2137"/>
      <c r="M9" s="2138"/>
      <c r="N9" s="2137"/>
    </row>
    <row r="10" spans="1:16" ht="39.75" customHeight="1">
      <c r="A10" s="2117" t="s">
        <v>6722</v>
      </c>
      <c r="B10" s="2123"/>
      <c r="C10" s="2122">
        <f>((C7-C6)/(2*PI()))^2</f>
        <v>1.2411844996186401</v>
      </c>
      <c r="D10" s="2122">
        <f t="shared" ref="D10:N10" si="1">((D7-D6)/(2*PI()))^2</f>
        <v>0</v>
      </c>
      <c r="E10" s="2122">
        <f t="shared" si="1"/>
        <v>0</v>
      </c>
      <c r="F10" s="2122">
        <f t="shared" si="1"/>
        <v>0</v>
      </c>
      <c r="G10" s="2122">
        <f t="shared" si="1"/>
        <v>0</v>
      </c>
      <c r="H10" s="2122">
        <f t="shared" si="1"/>
        <v>2.5330295910584399</v>
      </c>
      <c r="I10" s="2122">
        <f t="shared" si="1"/>
        <v>0</v>
      </c>
      <c r="J10" s="2122">
        <f t="shared" si="1"/>
        <v>17.123280035555101</v>
      </c>
      <c r="K10" s="2122">
        <f t="shared" si="1"/>
        <v>4.9647379984745497</v>
      </c>
      <c r="L10" s="2122">
        <f t="shared" si="1"/>
        <v>0</v>
      </c>
      <c r="M10" s="2122">
        <f t="shared" si="1"/>
        <v>0</v>
      </c>
      <c r="N10" s="2122">
        <f t="shared" si="1"/>
        <v>0</v>
      </c>
    </row>
    <row r="11" spans="1:16" ht="64.5" customHeight="1">
      <c r="A11" s="2117" t="s">
        <v>6723</v>
      </c>
      <c r="B11" s="2123"/>
      <c r="C11" s="2122">
        <f>2*C9+(C6+C7)/2+C10/C9</f>
        <v>59.703254071307498</v>
      </c>
      <c r="D11" s="2124">
        <f t="shared" ref="D11:K11" si="2">2*D9+(D6+D7)/2+D10/D9</f>
        <v>39.296587926509197</v>
      </c>
      <c r="E11" s="2125">
        <f t="shared" si="2"/>
        <v>79.921259842519703</v>
      </c>
      <c r="F11" s="2124">
        <f t="shared" si="2"/>
        <v>77.244094488189006</v>
      </c>
      <c r="G11" s="2126">
        <f t="shared" si="2"/>
        <v>55.543307086614199</v>
      </c>
      <c r="H11" s="2124">
        <f t="shared" si="2"/>
        <v>55.656910371158197</v>
      </c>
      <c r="I11" s="2139">
        <f t="shared" si="2"/>
        <v>59.574803149606304</v>
      </c>
      <c r="J11" s="2124">
        <f t="shared" si="2"/>
        <v>103.743313638853</v>
      </c>
      <c r="K11" s="2124">
        <f t="shared" si="2"/>
        <v>74.101041102309196</v>
      </c>
      <c r="L11" s="2137"/>
      <c r="M11" s="2138"/>
      <c r="N11" s="2137"/>
    </row>
    <row r="12" spans="1:16" ht="36" customHeight="1">
      <c r="A12" s="2117" t="s">
        <v>6724</v>
      </c>
      <c r="B12" s="2123" t="s">
        <v>6725</v>
      </c>
      <c r="C12" s="2127">
        <f>INT(C11+0.5)</f>
        <v>60</v>
      </c>
      <c r="D12" s="2127">
        <f t="shared" ref="D12:K12" si="3">INT(D11+0.5)</f>
        <v>39</v>
      </c>
      <c r="E12" s="2127">
        <f t="shared" si="3"/>
        <v>80</v>
      </c>
      <c r="F12" s="2127">
        <f t="shared" si="3"/>
        <v>77</v>
      </c>
      <c r="G12" s="2127">
        <f t="shared" si="3"/>
        <v>56</v>
      </c>
      <c r="H12" s="2127">
        <f t="shared" si="3"/>
        <v>56</v>
      </c>
      <c r="I12" s="2127">
        <f t="shared" si="3"/>
        <v>60</v>
      </c>
      <c r="J12" s="2127">
        <f t="shared" si="3"/>
        <v>104</v>
      </c>
      <c r="K12" s="2127">
        <f t="shared" si="3"/>
        <v>74</v>
      </c>
      <c r="L12" s="2137"/>
      <c r="M12" s="2138"/>
      <c r="N12" s="2137"/>
    </row>
    <row r="13" spans="1:16" ht="36" customHeight="1">
      <c r="A13" s="2128" t="s">
        <v>6726</v>
      </c>
      <c r="B13" s="2129" t="s">
        <v>6727</v>
      </c>
      <c r="C13" s="2122">
        <f>C12*C4</f>
        <v>381</v>
      </c>
      <c r="D13" s="2124">
        <f>D12*D4</f>
        <v>371.47500000000002</v>
      </c>
      <c r="E13" s="2124">
        <f t="shared" ref="E13:K13" si="4">E12*E4</f>
        <v>1016</v>
      </c>
      <c r="F13" s="2124">
        <f t="shared" si="4"/>
        <v>977.9</v>
      </c>
      <c r="G13" s="2124">
        <f t="shared" si="4"/>
        <v>889</v>
      </c>
      <c r="H13" s="2124">
        <f t="shared" si="4"/>
        <v>889</v>
      </c>
      <c r="I13" s="2124">
        <f t="shared" si="4"/>
        <v>1143</v>
      </c>
      <c r="J13" s="2124">
        <f t="shared" si="4"/>
        <v>1981.2</v>
      </c>
      <c r="K13" s="2124">
        <f t="shared" si="4"/>
        <v>1879.6</v>
      </c>
      <c r="L13" s="2137"/>
      <c r="M13" s="2138"/>
      <c r="N13" s="2137"/>
      <c r="P13" s="2102" t="s">
        <v>272</v>
      </c>
    </row>
    <row r="14" spans="1:16" ht="33" customHeight="1">
      <c r="A14" s="2130" t="s">
        <v>6728</v>
      </c>
      <c r="L14" s="3368"/>
      <c r="M14" s="3368"/>
      <c r="N14" s="3166" t="s">
        <v>12704</v>
      </c>
    </row>
  </sheetData>
  <mergeCells count="3">
    <mergeCell ref="A1:N1"/>
    <mergeCell ref="D2:N2"/>
    <mergeCell ref="L14:M14"/>
  </mergeCells>
  <phoneticPr fontId="378" type="noConversion"/>
  <hyperlinks>
    <hyperlink ref="N14" location="总目录!A1" display="返回目录"/>
  </hyperlinks>
  <pageMargins left="0.75" right="0.75" top="1" bottom="1" header="0.5" footer="0.5"/>
  <pageSetup paperSize="9" orientation="portrait"/>
  <headerFooter scaleWithDoc="0"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zoomScale="85" zoomScaleNormal="85" workbookViewId="0">
      <selection activeCell="P17" sqref="P17"/>
    </sheetView>
  </sheetViews>
  <sheetFormatPr defaultColWidth="8.75" defaultRowHeight="16.5"/>
  <cols>
    <col min="1" max="1" width="3.75" style="95" customWidth="1"/>
    <col min="2" max="2" width="11.25" style="95" customWidth="1"/>
    <col min="3" max="3" width="4.375" style="95" customWidth="1"/>
    <col min="4" max="4" width="8.75" style="95" customWidth="1"/>
    <col min="5" max="5" width="7.5" style="95" customWidth="1"/>
    <col min="6" max="6" width="19.75" style="95" customWidth="1"/>
    <col min="7" max="7" width="8.75" style="95"/>
    <col min="8" max="8" width="7.625" style="95" customWidth="1"/>
    <col min="9" max="10" width="7.375" style="95" customWidth="1"/>
    <col min="11" max="11" width="6.875" style="95" customWidth="1"/>
    <col min="12" max="12" width="8.5" style="95" customWidth="1"/>
    <col min="13" max="13" width="7.25" style="95" customWidth="1"/>
    <col min="14" max="16384" width="8.75" style="95"/>
  </cols>
  <sheetData>
    <row r="1" spans="1:18" ht="146.25" customHeight="1"/>
    <row r="2" spans="1:18" ht="21" customHeight="1">
      <c r="A2" s="3476" t="s">
        <v>6617</v>
      </c>
      <c r="B2" s="3477"/>
      <c r="C2" s="3477"/>
      <c r="D2" s="3477"/>
      <c r="E2" s="3477"/>
      <c r="F2" s="3478"/>
      <c r="G2" s="2070" t="s">
        <v>6618</v>
      </c>
      <c r="H2" s="2071" t="s">
        <v>6619</v>
      </c>
      <c r="I2" s="2070" t="s">
        <v>6620</v>
      </c>
      <c r="J2" s="2083" t="s">
        <v>6621</v>
      </c>
      <c r="K2" s="2070" t="s">
        <v>6622</v>
      </c>
      <c r="L2" s="2084" t="s">
        <v>6623</v>
      </c>
      <c r="M2" s="2070" t="s">
        <v>6624</v>
      </c>
      <c r="N2" s="2085" t="s">
        <v>6625</v>
      </c>
      <c r="O2" s="2070" t="s">
        <v>6626</v>
      </c>
      <c r="P2" s="2086" t="s">
        <v>6627</v>
      </c>
      <c r="Q2" s="2097" t="s">
        <v>6628</v>
      </c>
      <c r="R2" s="1651" t="s">
        <v>6729</v>
      </c>
    </row>
    <row r="3" spans="1:18" ht="24.75" customHeight="1">
      <c r="A3" s="3479" t="s">
        <v>6616</v>
      </c>
      <c r="B3" s="3480"/>
      <c r="C3" s="3480"/>
      <c r="D3" s="3475" t="s">
        <v>6553</v>
      </c>
      <c r="E3" s="3475"/>
      <c r="F3" s="972" t="s">
        <v>6370</v>
      </c>
      <c r="G3" s="2070">
        <v>9.5250000000000004</v>
      </c>
      <c r="H3" s="2071">
        <v>12.7</v>
      </c>
      <c r="I3" s="2070">
        <v>12.7</v>
      </c>
      <c r="J3" s="2083">
        <v>15.875</v>
      </c>
      <c r="K3" s="2070">
        <v>15.875</v>
      </c>
      <c r="L3" s="2084">
        <v>19.05</v>
      </c>
      <c r="M3" s="2070">
        <v>19.05</v>
      </c>
      <c r="N3" s="2085">
        <v>25.4</v>
      </c>
      <c r="O3" s="2070">
        <v>25.4</v>
      </c>
      <c r="P3" s="2086">
        <v>31.75</v>
      </c>
      <c r="Q3" s="2097">
        <v>31.75</v>
      </c>
      <c r="R3" s="1651">
        <v>38.1</v>
      </c>
    </row>
    <row r="4" spans="1:18" ht="24.75" customHeight="1">
      <c r="A4" s="3479"/>
      <c r="B4" s="3480"/>
      <c r="C4" s="3480"/>
      <c r="D4" s="3475" t="s">
        <v>6649</v>
      </c>
      <c r="E4" s="3475"/>
      <c r="F4" s="972" t="s">
        <v>6650</v>
      </c>
      <c r="G4" s="2072">
        <v>6.35</v>
      </c>
      <c r="H4" s="2073">
        <v>7.92</v>
      </c>
      <c r="I4" s="2072">
        <v>8.51</v>
      </c>
      <c r="J4" s="2087">
        <v>10.16</v>
      </c>
      <c r="K4" s="2072">
        <v>10.16</v>
      </c>
      <c r="L4" s="2088">
        <v>11.91</v>
      </c>
      <c r="M4" s="2072">
        <v>12.07</v>
      </c>
      <c r="N4" s="2089">
        <v>15.88</v>
      </c>
      <c r="O4" s="2070">
        <v>15.88</v>
      </c>
      <c r="P4" s="2086">
        <v>19.05</v>
      </c>
      <c r="Q4" s="2097">
        <v>19.05</v>
      </c>
      <c r="R4" s="1651">
        <v>25.4</v>
      </c>
    </row>
    <row r="5" spans="1:18" ht="24.75" customHeight="1">
      <c r="A5" s="3479"/>
      <c r="B5" s="3480"/>
      <c r="C5" s="3480"/>
      <c r="D5" s="3475" t="s">
        <v>6651</v>
      </c>
      <c r="E5" s="3475"/>
      <c r="F5" s="972" t="s">
        <v>6652</v>
      </c>
      <c r="G5" s="2072">
        <v>10.24</v>
      </c>
      <c r="H5" s="2073">
        <v>14.38</v>
      </c>
      <c r="I5" s="2072">
        <v>13.92</v>
      </c>
      <c r="J5" s="2087">
        <v>18.11</v>
      </c>
      <c r="K5" s="2072">
        <v>16.59</v>
      </c>
      <c r="L5" s="2088">
        <v>22.78</v>
      </c>
      <c r="M5" s="2072">
        <v>19.46</v>
      </c>
      <c r="N5" s="968">
        <v>29.29</v>
      </c>
      <c r="O5" s="2070">
        <v>31.88</v>
      </c>
      <c r="P5" s="2086">
        <v>35.76</v>
      </c>
      <c r="Q5" s="2097">
        <v>36.450000000000003</v>
      </c>
      <c r="R5" s="1651">
        <v>48.36</v>
      </c>
    </row>
    <row r="6" spans="1:18" ht="24.75" customHeight="1">
      <c r="A6" s="3479"/>
      <c r="B6" s="3480"/>
      <c r="C6" s="3480"/>
      <c r="D6" s="3475" t="s">
        <v>6653</v>
      </c>
      <c r="E6" s="3475"/>
      <c r="F6" s="972" t="s">
        <v>6654</v>
      </c>
      <c r="G6" s="2072">
        <v>5.72</v>
      </c>
      <c r="H6" s="2073">
        <v>7.85</v>
      </c>
      <c r="I6" s="2072">
        <v>7.75</v>
      </c>
      <c r="J6" s="2087">
        <v>9.4</v>
      </c>
      <c r="K6" s="2090">
        <v>9.65</v>
      </c>
      <c r="L6" s="2091">
        <v>12.57</v>
      </c>
      <c r="M6" s="2072">
        <v>11.68</v>
      </c>
      <c r="N6" s="2089">
        <v>15.75</v>
      </c>
      <c r="O6" s="2070">
        <v>17.02</v>
      </c>
      <c r="P6" s="2086">
        <v>18.899999999999999</v>
      </c>
      <c r="Q6" s="2097">
        <v>19.559999999999999</v>
      </c>
      <c r="R6" s="1651">
        <v>25.4</v>
      </c>
    </row>
    <row r="7" spans="1:18" ht="24.75" customHeight="1">
      <c r="A7" s="3479"/>
      <c r="B7" s="3480"/>
      <c r="C7" s="3480"/>
      <c r="D7" s="3475" t="s">
        <v>6655</v>
      </c>
      <c r="E7" s="3475"/>
      <c r="F7" s="972" t="s">
        <v>6656</v>
      </c>
      <c r="G7" s="2072">
        <v>8.26</v>
      </c>
      <c r="H7" s="2073">
        <v>12.07</v>
      </c>
      <c r="I7" s="2090">
        <v>11.81</v>
      </c>
      <c r="J7" s="2087">
        <v>15.09</v>
      </c>
      <c r="K7" s="2072">
        <v>14.73</v>
      </c>
      <c r="L7" s="2091">
        <v>18.079999999999998</v>
      </c>
      <c r="M7" s="2072">
        <v>16.13</v>
      </c>
      <c r="N7" s="2089">
        <v>24.13</v>
      </c>
      <c r="O7" s="2090">
        <v>21.08</v>
      </c>
      <c r="P7" s="2092">
        <v>30.18</v>
      </c>
      <c r="Q7" s="2098">
        <v>26.42</v>
      </c>
      <c r="R7" s="2099">
        <v>33.4</v>
      </c>
    </row>
    <row r="8" spans="1:18" ht="26.25" customHeight="1">
      <c r="A8" s="2074" t="s">
        <v>50</v>
      </c>
      <c r="B8" s="2075"/>
      <c r="C8" s="2075"/>
      <c r="D8" s="2075"/>
      <c r="E8" s="2075"/>
      <c r="F8" s="2075"/>
      <c r="G8" s="2075"/>
      <c r="H8" s="2075"/>
      <c r="I8" s="2075"/>
      <c r="J8" s="2075"/>
      <c r="K8" s="2075"/>
      <c r="L8" s="2075"/>
      <c r="M8" s="2075"/>
      <c r="N8" s="2075"/>
      <c r="O8" s="2075"/>
      <c r="P8" s="2075"/>
      <c r="Q8" s="2075"/>
    </row>
    <row r="9" spans="1:18" ht="20.25" customHeight="1">
      <c r="A9" s="3487" t="s">
        <v>6645</v>
      </c>
      <c r="B9" s="3488"/>
      <c r="C9" s="506" t="s">
        <v>6392</v>
      </c>
      <c r="D9" s="3435" t="s">
        <v>1632</v>
      </c>
      <c r="E9" s="3434"/>
      <c r="F9" s="506" t="s">
        <v>6730</v>
      </c>
      <c r="G9" s="2070" t="s">
        <v>6618</v>
      </c>
      <c r="H9" s="2071" t="s">
        <v>6619</v>
      </c>
      <c r="I9" s="2070" t="s">
        <v>6620</v>
      </c>
      <c r="J9" s="2083" t="s">
        <v>6621</v>
      </c>
      <c r="K9" s="2070" t="s">
        <v>6622</v>
      </c>
      <c r="L9" s="2084" t="s">
        <v>6623</v>
      </c>
      <c r="M9" s="2070" t="s">
        <v>6624</v>
      </c>
      <c r="N9" s="2085" t="s">
        <v>6625</v>
      </c>
      <c r="O9" s="2070" t="s">
        <v>6626</v>
      </c>
      <c r="P9" s="2086" t="s">
        <v>6627</v>
      </c>
      <c r="Q9" s="2097" t="s">
        <v>6628</v>
      </c>
      <c r="R9" s="1651" t="s">
        <v>6729</v>
      </c>
    </row>
    <row r="10" spans="1:18" ht="20.25" customHeight="1">
      <c r="A10" s="3487"/>
      <c r="B10" s="3488"/>
      <c r="C10" s="506"/>
      <c r="D10" s="506" t="s">
        <v>6731</v>
      </c>
      <c r="E10" s="506" t="s">
        <v>6732</v>
      </c>
      <c r="F10" s="506"/>
      <c r="G10" s="3452" t="s">
        <v>6731</v>
      </c>
      <c r="H10" s="3452"/>
      <c r="I10" s="3452"/>
      <c r="J10" s="996" t="s">
        <v>6732</v>
      </c>
      <c r="K10" s="997"/>
      <c r="L10" s="997"/>
      <c r="M10" s="997"/>
      <c r="N10" s="997"/>
      <c r="O10" s="997"/>
      <c r="P10" s="997"/>
      <c r="Q10" s="2100"/>
    </row>
    <row r="11" spans="1:18" ht="24" customHeight="1">
      <c r="A11" s="3489" t="s">
        <v>6733</v>
      </c>
      <c r="B11" s="2076" t="s">
        <v>6686</v>
      </c>
      <c r="C11" s="3490" t="s">
        <v>6734</v>
      </c>
      <c r="D11" s="2076" t="s">
        <v>6735</v>
      </c>
      <c r="E11" s="2076" t="s">
        <v>6736</v>
      </c>
      <c r="F11" s="3485" t="s">
        <v>6737</v>
      </c>
      <c r="G11" s="2077">
        <f t="shared" ref="G11:R11" si="0">IF(G3&gt;12.7,G6*0.95,G6*0.93)</f>
        <v>5.3196000000000003</v>
      </c>
      <c r="H11" s="2078">
        <f t="shared" si="0"/>
        <v>7.3005000000000004</v>
      </c>
      <c r="I11" s="2077">
        <f t="shared" si="0"/>
        <v>7.2074999999999996</v>
      </c>
      <c r="J11" s="2093">
        <f t="shared" si="0"/>
        <v>8.93</v>
      </c>
      <c r="K11" s="2077">
        <f t="shared" si="0"/>
        <v>9.1675000000000004</v>
      </c>
      <c r="L11" s="2094">
        <f t="shared" si="0"/>
        <v>11.9415</v>
      </c>
      <c r="M11" s="2077">
        <f t="shared" si="0"/>
        <v>11.096</v>
      </c>
      <c r="N11" s="2095">
        <f t="shared" si="0"/>
        <v>14.9625</v>
      </c>
      <c r="O11" s="2077">
        <f t="shared" si="0"/>
        <v>16.169</v>
      </c>
      <c r="P11" s="2096">
        <f t="shared" si="0"/>
        <v>17.954999999999998</v>
      </c>
      <c r="Q11" s="2077">
        <f t="shared" si="0"/>
        <v>18.582000000000001</v>
      </c>
      <c r="R11" s="2077">
        <f t="shared" si="0"/>
        <v>24.13</v>
      </c>
    </row>
    <row r="12" spans="1:18" ht="20.25" customHeight="1">
      <c r="A12" s="3481"/>
      <c r="B12" s="506" t="s">
        <v>6738</v>
      </c>
      <c r="C12" s="3491"/>
      <c r="D12" s="506" t="s">
        <v>6739</v>
      </c>
      <c r="E12" s="506" t="s">
        <v>6735</v>
      </c>
      <c r="F12" s="3486"/>
      <c r="G12" s="2077">
        <f t="shared" ref="G12:R12" si="1">IF(G3&gt;12.7,G6*0.93,G6*0.91)</f>
        <v>5.2051999999999996</v>
      </c>
      <c r="H12" s="2078">
        <f t="shared" si="1"/>
        <v>7.1435000000000004</v>
      </c>
      <c r="I12" s="2077">
        <f t="shared" si="1"/>
        <v>7.0525000000000002</v>
      </c>
      <c r="J12" s="2093">
        <f t="shared" si="1"/>
        <v>8.7420000000000009</v>
      </c>
      <c r="K12" s="2077">
        <f t="shared" si="1"/>
        <v>8.9745000000000008</v>
      </c>
      <c r="L12" s="2094">
        <f t="shared" si="1"/>
        <v>11.690099999999999</v>
      </c>
      <c r="M12" s="2077">
        <f t="shared" si="1"/>
        <v>10.862399999999999</v>
      </c>
      <c r="N12" s="2095">
        <f t="shared" si="1"/>
        <v>14.647500000000001</v>
      </c>
      <c r="O12" s="2077">
        <f t="shared" si="1"/>
        <v>15.8286</v>
      </c>
      <c r="P12" s="2096">
        <f t="shared" si="1"/>
        <v>17.577000000000002</v>
      </c>
      <c r="Q12" s="2077">
        <f t="shared" si="1"/>
        <v>18.190799999999999</v>
      </c>
      <c r="R12" s="2077">
        <f t="shared" si="1"/>
        <v>23.622</v>
      </c>
    </row>
    <row r="13" spans="1:18" ht="24.75" customHeight="1">
      <c r="A13" s="2079" t="s">
        <v>6740</v>
      </c>
      <c r="B13" s="1013"/>
      <c r="C13" s="468"/>
      <c r="D13" s="3482" t="s">
        <v>6741</v>
      </c>
      <c r="E13" s="3482"/>
      <c r="F13" s="2080" t="s">
        <v>6742</v>
      </c>
      <c r="G13" s="2077">
        <f t="shared" ref="G13:R13" si="2">G3*0.13</f>
        <v>1.2382500000000001</v>
      </c>
      <c r="H13" s="2078">
        <f t="shared" si="2"/>
        <v>1.651</v>
      </c>
      <c r="I13" s="2077">
        <f t="shared" si="2"/>
        <v>1.651</v>
      </c>
      <c r="J13" s="2093">
        <f t="shared" si="2"/>
        <v>2.0637500000000002</v>
      </c>
      <c r="K13" s="2077">
        <f t="shared" si="2"/>
        <v>2.0637500000000002</v>
      </c>
      <c r="L13" s="2094">
        <f t="shared" si="2"/>
        <v>2.4765000000000001</v>
      </c>
      <c r="M13" s="2077">
        <f t="shared" si="2"/>
        <v>2.4765000000000001</v>
      </c>
      <c r="N13" s="2095">
        <f t="shared" si="2"/>
        <v>3.302</v>
      </c>
      <c r="O13" s="2077">
        <f t="shared" si="2"/>
        <v>3.302</v>
      </c>
      <c r="P13" s="2096">
        <f t="shared" si="2"/>
        <v>4.1275000000000004</v>
      </c>
      <c r="Q13" s="2077">
        <f t="shared" si="2"/>
        <v>4.1275000000000004</v>
      </c>
      <c r="R13" s="2077">
        <f t="shared" si="2"/>
        <v>4.9530000000000003</v>
      </c>
    </row>
    <row r="14" spans="1:18" ht="24.75" customHeight="1">
      <c r="A14" s="3481" t="s">
        <v>6743</v>
      </c>
      <c r="B14" s="3482"/>
      <c r="C14" s="506" t="s">
        <v>6744</v>
      </c>
      <c r="D14" s="3482" t="s">
        <v>6745</v>
      </c>
      <c r="E14" s="3482"/>
      <c r="F14" s="506"/>
      <c r="G14" s="2077">
        <f t="shared" ref="G14:R14" si="3">G3</f>
        <v>9.5250000000000004</v>
      </c>
      <c r="H14" s="2078">
        <f t="shared" si="3"/>
        <v>12.7</v>
      </c>
      <c r="I14" s="2077">
        <f t="shared" si="3"/>
        <v>12.7</v>
      </c>
      <c r="J14" s="2093">
        <f t="shared" si="3"/>
        <v>15.875</v>
      </c>
      <c r="K14" s="2077">
        <f t="shared" si="3"/>
        <v>15.875</v>
      </c>
      <c r="L14" s="2094">
        <f t="shared" si="3"/>
        <v>19.05</v>
      </c>
      <c r="M14" s="2077">
        <f t="shared" si="3"/>
        <v>19.05</v>
      </c>
      <c r="N14" s="2095">
        <f t="shared" si="3"/>
        <v>25.4</v>
      </c>
      <c r="O14" s="2077">
        <f t="shared" si="3"/>
        <v>25.4</v>
      </c>
      <c r="P14" s="2096">
        <f t="shared" si="3"/>
        <v>31.75</v>
      </c>
      <c r="Q14" s="2077">
        <f t="shared" si="3"/>
        <v>31.75</v>
      </c>
      <c r="R14" s="2077">
        <f t="shared" si="3"/>
        <v>38.1</v>
      </c>
    </row>
    <row r="15" spans="1:18" ht="21" customHeight="1">
      <c r="A15" s="3481" t="s">
        <v>6746</v>
      </c>
      <c r="B15" s="3482"/>
      <c r="C15" s="506" t="s">
        <v>6088</v>
      </c>
      <c r="D15" s="3435" t="s">
        <v>6088</v>
      </c>
      <c r="E15" s="3434"/>
      <c r="F15" s="506" t="s">
        <v>6747</v>
      </c>
      <c r="G15" s="2077">
        <v>2</v>
      </c>
      <c r="H15" s="2078">
        <v>2</v>
      </c>
      <c r="I15" s="2077">
        <v>2</v>
      </c>
      <c r="J15" s="2093">
        <v>2</v>
      </c>
      <c r="K15" s="2077">
        <v>2</v>
      </c>
      <c r="L15" s="2094">
        <v>2</v>
      </c>
      <c r="M15" s="2077">
        <v>2</v>
      </c>
      <c r="N15" s="2095">
        <v>2</v>
      </c>
      <c r="O15" s="2077">
        <v>2</v>
      </c>
      <c r="P15" s="2096">
        <v>2</v>
      </c>
      <c r="Q15" s="2077">
        <v>3</v>
      </c>
      <c r="R15" s="2077">
        <v>2</v>
      </c>
    </row>
    <row r="16" spans="1:18" ht="20.25" customHeight="1">
      <c r="A16" s="3483" t="s">
        <v>6748</v>
      </c>
      <c r="B16" s="3484"/>
      <c r="C16" s="2081" t="s">
        <v>6749</v>
      </c>
      <c r="D16" s="3484" t="s">
        <v>6750</v>
      </c>
      <c r="E16" s="3484"/>
      <c r="F16" s="2081" t="s">
        <v>6751</v>
      </c>
      <c r="G16" s="2077">
        <f t="shared" ref="G16:R16" si="4">(G15-1)*G5+G12</f>
        <v>15.4452</v>
      </c>
      <c r="H16" s="2078">
        <f t="shared" si="4"/>
        <v>21.523499999999999</v>
      </c>
      <c r="I16" s="2077">
        <f t="shared" si="4"/>
        <v>20.9725</v>
      </c>
      <c r="J16" s="2093">
        <f t="shared" si="4"/>
        <v>26.852</v>
      </c>
      <c r="K16" s="2077">
        <f t="shared" si="4"/>
        <v>25.564499999999999</v>
      </c>
      <c r="L16" s="2094">
        <f t="shared" si="4"/>
        <v>34.470100000000002</v>
      </c>
      <c r="M16" s="2077">
        <f t="shared" si="4"/>
        <v>30.322399999999998</v>
      </c>
      <c r="N16" s="2095">
        <f t="shared" si="4"/>
        <v>43.9375</v>
      </c>
      <c r="O16" s="2077">
        <f t="shared" si="4"/>
        <v>47.708599999999997</v>
      </c>
      <c r="P16" s="2096">
        <f t="shared" si="4"/>
        <v>53.337000000000003</v>
      </c>
      <c r="Q16" s="2077">
        <f t="shared" si="4"/>
        <v>91.090800000000002</v>
      </c>
      <c r="R16" s="2077">
        <f t="shared" si="4"/>
        <v>71.981999999999999</v>
      </c>
    </row>
    <row r="17" spans="8:18" ht="25.5" customHeight="1">
      <c r="H17" s="2082"/>
      <c r="I17" s="2082"/>
      <c r="J17" s="2082"/>
      <c r="K17" s="2082"/>
      <c r="L17" s="2082"/>
      <c r="M17" s="2082"/>
      <c r="P17" s="3166" t="s">
        <v>12704</v>
      </c>
      <c r="Q17" s="3368"/>
      <c r="R17" s="3368"/>
    </row>
  </sheetData>
  <mergeCells count="21">
    <mergeCell ref="G10:I10"/>
    <mergeCell ref="Q17:R17"/>
    <mergeCell ref="A15:B15"/>
    <mergeCell ref="D15:E15"/>
    <mergeCell ref="A16:B16"/>
    <mergeCell ref="D16:E16"/>
    <mergeCell ref="D13:E13"/>
    <mergeCell ref="A14:B14"/>
    <mergeCell ref="D14:E14"/>
    <mergeCell ref="F11:F12"/>
    <mergeCell ref="A9:B10"/>
    <mergeCell ref="A11:A12"/>
    <mergeCell ref="C11:C12"/>
    <mergeCell ref="D7:E7"/>
    <mergeCell ref="D9:E9"/>
    <mergeCell ref="A2:F2"/>
    <mergeCell ref="D3:E3"/>
    <mergeCell ref="D4:E4"/>
    <mergeCell ref="D5:E5"/>
    <mergeCell ref="D6:E6"/>
    <mergeCell ref="A3:C7"/>
  </mergeCells>
  <phoneticPr fontId="378" type="noConversion"/>
  <hyperlinks>
    <hyperlink ref="P17" location="总目录!A1" display="返回目录"/>
  </hyperlinks>
  <pageMargins left="0.75" right="0.75" top="1" bottom="1" header="0.5" footer="0.5"/>
  <headerFooter scaleWithDoc="0"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
  <sheetViews>
    <sheetView zoomScale="75" zoomScaleNormal="75" workbookViewId="0">
      <selection activeCell="U26" sqref="U26:V26"/>
    </sheetView>
  </sheetViews>
  <sheetFormatPr defaultColWidth="8.75" defaultRowHeight="16.5"/>
  <cols>
    <col min="2" max="2" width="6.875" customWidth="1"/>
    <col min="4" max="4" width="2.25" customWidth="1"/>
    <col min="5" max="5" width="8.375" customWidth="1"/>
    <col min="6" max="6" width="0.375" hidden="1" customWidth="1"/>
    <col min="7" max="7" width="8.375" customWidth="1"/>
    <col min="8" max="8" width="0.375" customWidth="1"/>
    <col min="10" max="10" width="5.25" customWidth="1"/>
    <col min="12" max="12" width="2.25" customWidth="1"/>
    <col min="13" max="13" width="7.5" customWidth="1"/>
    <col min="14" max="14" width="0.125" hidden="1" customWidth="1"/>
    <col min="15" max="15" width="8.25" customWidth="1"/>
    <col min="16" max="16" width="0.125" hidden="1" customWidth="1"/>
    <col min="18" max="18" width="7.125" customWidth="1"/>
    <col min="20" max="20" width="2.375" customWidth="1"/>
    <col min="21" max="21" width="7.25" customWidth="1"/>
    <col min="22" max="22" width="0.375" hidden="1" customWidth="1"/>
    <col min="23" max="23" width="8.25" customWidth="1"/>
    <col min="24" max="24" width="5.625" customWidth="1"/>
  </cols>
  <sheetData>
    <row r="1" spans="1:24" s="67" customFormat="1" ht="51" customHeight="1">
      <c r="A1" s="3492" t="s">
        <v>6752</v>
      </c>
      <c r="B1" s="3493"/>
      <c r="C1" s="3493"/>
      <c r="D1" s="3493"/>
      <c r="E1" s="3493"/>
      <c r="F1" s="3493"/>
      <c r="G1" s="3493"/>
      <c r="H1" s="3493"/>
      <c r="I1" s="3493"/>
      <c r="J1" s="3493"/>
      <c r="K1" s="3493"/>
      <c r="L1" s="3493"/>
      <c r="M1" s="3493"/>
      <c r="N1" s="3493"/>
      <c r="O1" s="3493"/>
      <c r="P1" s="3493"/>
      <c r="Q1" s="3493"/>
      <c r="R1" s="3493"/>
      <c r="S1" s="3493"/>
      <c r="T1" s="3493"/>
      <c r="U1" s="3493"/>
      <c r="V1" s="3493"/>
      <c r="W1" s="3493"/>
      <c r="X1" s="3494"/>
    </row>
    <row r="2" spans="1:24" ht="16.899999999999999" customHeight="1">
      <c r="A2" s="2067"/>
      <c r="B2" s="2068"/>
      <c r="C2" s="2068"/>
      <c r="D2" s="2068"/>
      <c r="E2" s="2068"/>
      <c r="F2" s="2068"/>
      <c r="G2" s="2068"/>
      <c r="H2" s="2068"/>
      <c r="I2" s="2068"/>
      <c r="J2" s="2068"/>
      <c r="K2" s="2068"/>
      <c r="L2" s="2068"/>
      <c r="M2" s="2068"/>
      <c r="N2" s="2068"/>
      <c r="O2" s="2068"/>
      <c r="P2" s="2068"/>
      <c r="Q2" s="2068"/>
      <c r="R2" s="2068"/>
      <c r="S2" s="2068"/>
      <c r="T2" s="2068"/>
      <c r="U2" s="2068"/>
      <c r="V2" s="2068"/>
      <c r="W2" s="2068"/>
      <c r="X2" s="2069"/>
    </row>
    <row r="3" spans="1:24" ht="23.25" customHeight="1">
      <c r="A3" s="3548" t="s">
        <v>6753</v>
      </c>
      <c r="B3" s="3549"/>
      <c r="C3" s="3495" t="s">
        <v>6754</v>
      </c>
      <c r="D3" s="3496"/>
      <c r="E3" s="3496"/>
      <c r="F3" s="3496"/>
      <c r="G3" s="3496"/>
      <c r="H3" s="3496"/>
      <c r="I3" s="3552" t="s">
        <v>6755</v>
      </c>
      <c r="J3" s="3553"/>
      <c r="K3" s="3497" t="s">
        <v>6754</v>
      </c>
      <c r="L3" s="3498"/>
      <c r="M3" s="3498"/>
      <c r="N3" s="3498"/>
      <c r="O3" s="3498"/>
      <c r="P3" s="3498"/>
      <c r="Q3" s="3556" t="s">
        <v>6756</v>
      </c>
      <c r="R3" s="3557"/>
      <c r="S3" s="3499" t="s">
        <v>6754</v>
      </c>
      <c r="T3" s="3499"/>
      <c r="U3" s="3499"/>
      <c r="V3" s="3499"/>
      <c r="W3" s="3499"/>
      <c r="X3" s="3500"/>
    </row>
    <row r="4" spans="1:24" ht="21">
      <c r="A4" s="3550"/>
      <c r="B4" s="3551"/>
      <c r="C4" s="3501" t="s">
        <v>6757</v>
      </c>
      <c r="D4" s="3502"/>
      <c r="E4" s="3503" t="s">
        <v>5229</v>
      </c>
      <c r="F4" s="3502"/>
      <c r="G4" s="3503" t="s">
        <v>5228</v>
      </c>
      <c r="H4" s="3501"/>
      <c r="I4" s="3554"/>
      <c r="J4" s="3555"/>
      <c r="K4" s="3504" t="s">
        <v>6757</v>
      </c>
      <c r="L4" s="3505"/>
      <c r="M4" s="3506" t="s">
        <v>5229</v>
      </c>
      <c r="N4" s="3505"/>
      <c r="O4" s="3506" t="s">
        <v>5228</v>
      </c>
      <c r="P4" s="3504"/>
      <c r="Q4" s="3558"/>
      <c r="R4" s="3559"/>
      <c r="S4" s="3507" t="s">
        <v>6757</v>
      </c>
      <c r="T4" s="3507"/>
      <c r="U4" s="3508" t="s">
        <v>5229</v>
      </c>
      <c r="V4" s="3507"/>
      <c r="W4" s="3508" t="s">
        <v>5228</v>
      </c>
      <c r="X4" s="3509"/>
    </row>
    <row r="5" spans="1:24" s="2066" customFormat="1" ht="21">
      <c r="A5" s="3525" t="s">
        <v>6758</v>
      </c>
      <c r="B5" s="3526"/>
      <c r="C5" s="3527" t="s">
        <v>6759</v>
      </c>
      <c r="D5" s="3526"/>
      <c r="E5" s="3528">
        <v>1.425</v>
      </c>
      <c r="F5" s="3529"/>
      <c r="G5" s="3528">
        <v>1.5820000000000001</v>
      </c>
      <c r="H5" s="3530"/>
      <c r="I5" s="3531" t="s">
        <v>6760</v>
      </c>
      <c r="J5" s="3526"/>
      <c r="K5" s="3527" t="s">
        <v>6761</v>
      </c>
      <c r="L5" s="3526"/>
      <c r="M5" s="3527">
        <v>1.47</v>
      </c>
      <c r="N5" s="3526"/>
      <c r="O5" s="3527">
        <v>1.61</v>
      </c>
      <c r="P5" s="3532"/>
      <c r="Q5" s="3533" t="s">
        <v>6762</v>
      </c>
      <c r="R5" s="3510"/>
      <c r="S5" s="3510" t="s">
        <v>6763</v>
      </c>
      <c r="T5" s="3510"/>
      <c r="U5" s="3510">
        <v>8.4</v>
      </c>
      <c r="V5" s="3510"/>
      <c r="W5" s="3510">
        <v>8.6999999999999993</v>
      </c>
      <c r="X5" s="3511"/>
    </row>
    <row r="6" spans="1:24" s="2066" customFormat="1" ht="21">
      <c r="A6" s="3512" t="s">
        <v>6764</v>
      </c>
      <c r="B6" s="3513"/>
      <c r="C6" s="3514" t="s">
        <v>6765</v>
      </c>
      <c r="D6" s="3513"/>
      <c r="E6" s="3515">
        <v>1.69</v>
      </c>
      <c r="F6" s="3516"/>
      <c r="G6" s="3515">
        <v>1.87</v>
      </c>
      <c r="H6" s="3517"/>
      <c r="I6" s="3518" t="s">
        <v>6766</v>
      </c>
      <c r="J6" s="3519"/>
      <c r="K6" s="3520" t="s">
        <v>6767</v>
      </c>
      <c r="L6" s="3519"/>
      <c r="M6" s="3520">
        <v>1.75</v>
      </c>
      <c r="N6" s="3519"/>
      <c r="O6" s="3520">
        <v>1.91</v>
      </c>
      <c r="P6" s="3521"/>
      <c r="Q6" s="3522" t="s">
        <v>6768</v>
      </c>
      <c r="R6" s="3523"/>
      <c r="S6" s="3523" t="s">
        <v>6769</v>
      </c>
      <c r="T6" s="3523"/>
      <c r="U6" s="3523">
        <v>11.1</v>
      </c>
      <c r="V6" s="3523"/>
      <c r="W6" s="3523">
        <v>11.4</v>
      </c>
      <c r="X6" s="3524"/>
    </row>
    <row r="7" spans="1:24" s="2066" customFormat="1" ht="21">
      <c r="A7" s="3525" t="s">
        <v>6770</v>
      </c>
      <c r="B7" s="3526"/>
      <c r="C7" s="3527" t="s">
        <v>6771</v>
      </c>
      <c r="D7" s="3526"/>
      <c r="E7" s="3528">
        <v>1.94</v>
      </c>
      <c r="F7" s="3529"/>
      <c r="G7" s="3528">
        <v>2.15</v>
      </c>
      <c r="H7" s="3530"/>
      <c r="I7" s="3531" t="s">
        <v>6772</v>
      </c>
      <c r="J7" s="3526"/>
      <c r="K7" s="3527" t="s">
        <v>6771</v>
      </c>
      <c r="L7" s="3526"/>
      <c r="M7" s="3527">
        <v>2.02</v>
      </c>
      <c r="N7" s="3526"/>
      <c r="O7" s="3527">
        <v>2.19</v>
      </c>
      <c r="P7" s="3532"/>
      <c r="Q7" s="3533" t="s">
        <v>6773</v>
      </c>
      <c r="R7" s="3510"/>
      <c r="S7" s="3510" t="s">
        <v>6774</v>
      </c>
      <c r="T7" s="3510"/>
      <c r="U7" s="3510">
        <v>14.3</v>
      </c>
      <c r="V7" s="3510"/>
      <c r="W7" s="3510">
        <v>14.8</v>
      </c>
      <c r="X7" s="3511"/>
    </row>
    <row r="8" spans="1:24" s="2066" customFormat="1" ht="21">
      <c r="A8" s="3512" t="s">
        <v>6775</v>
      </c>
      <c r="B8" s="3513"/>
      <c r="C8" s="3514" t="s">
        <v>6776</v>
      </c>
      <c r="D8" s="3513"/>
      <c r="E8" s="3515">
        <v>2.157</v>
      </c>
      <c r="F8" s="3516"/>
      <c r="G8" s="3515">
        <v>2.3849999999999998</v>
      </c>
      <c r="H8" s="3517"/>
      <c r="I8" s="3518" t="s">
        <v>6777</v>
      </c>
      <c r="J8" s="3519"/>
      <c r="K8" s="3520" t="s">
        <v>6778</v>
      </c>
      <c r="L8" s="3519"/>
      <c r="M8" s="3520">
        <v>2.27</v>
      </c>
      <c r="N8" s="3519"/>
      <c r="O8" s="3520">
        <v>2.46</v>
      </c>
      <c r="P8" s="3521"/>
      <c r="Q8" s="3522" t="s">
        <v>6779</v>
      </c>
      <c r="R8" s="3523"/>
      <c r="S8" s="3523" t="s">
        <v>6780</v>
      </c>
      <c r="T8" s="3523"/>
      <c r="U8" s="3523">
        <v>17.899999999999999</v>
      </c>
      <c r="V8" s="3523"/>
      <c r="W8" s="3523">
        <v>18.3</v>
      </c>
      <c r="X8" s="3524"/>
    </row>
    <row r="9" spans="1:24" s="2066" customFormat="1" ht="21">
      <c r="A9" s="3525" t="s">
        <v>6781</v>
      </c>
      <c r="B9" s="3526"/>
      <c r="C9" s="3527" t="s">
        <v>6782</v>
      </c>
      <c r="D9" s="3526"/>
      <c r="E9" s="3528">
        <v>2.6419999999999999</v>
      </c>
      <c r="F9" s="3529"/>
      <c r="G9" s="3528">
        <v>2.895</v>
      </c>
      <c r="H9" s="3530"/>
      <c r="I9" s="3531" t="s">
        <v>6783</v>
      </c>
      <c r="J9" s="3526"/>
      <c r="K9" s="3527" t="s">
        <v>6784</v>
      </c>
      <c r="L9" s="3526"/>
      <c r="M9" s="3527">
        <v>2.82</v>
      </c>
      <c r="N9" s="3526"/>
      <c r="O9" s="3527">
        <v>3.01</v>
      </c>
      <c r="P9" s="3532"/>
      <c r="Q9" s="3533" t="s">
        <v>6785</v>
      </c>
      <c r="R9" s="3510"/>
      <c r="S9" s="3510" t="s">
        <v>6786</v>
      </c>
      <c r="T9" s="3510"/>
      <c r="U9" s="3510">
        <v>23</v>
      </c>
      <c r="V9" s="3510"/>
      <c r="W9" s="3510">
        <v>23.7</v>
      </c>
      <c r="X9" s="3511"/>
    </row>
    <row r="10" spans="1:24" s="2066" customFormat="1" ht="21">
      <c r="A10" s="3512" t="s">
        <v>6787</v>
      </c>
      <c r="B10" s="3513"/>
      <c r="C10" s="3514" t="s">
        <v>6788</v>
      </c>
      <c r="D10" s="3513"/>
      <c r="E10" s="3515">
        <v>3.302</v>
      </c>
      <c r="F10" s="3516"/>
      <c r="G10" s="3515">
        <v>3.53</v>
      </c>
      <c r="H10" s="3517"/>
      <c r="I10" s="3518" t="s">
        <v>6789</v>
      </c>
      <c r="J10" s="3519"/>
      <c r="K10" s="3520" t="s">
        <v>6790</v>
      </c>
      <c r="L10" s="3519"/>
      <c r="M10" s="3520">
        <v>3.4</v>
      </c>
      <c r="N10" s="3519"/>
      <c r="O10" s="3520">
        <v>3.6</v>
      </c>
      <c r="P10" s="3521"/>
      <c r="Q10" s="3522" t="s">
        <v>6791</v>
      </c>
      <c r="R10" s="3523"/>
      <c r="S10" s="3523" t="s">
        <v>6792</v>
      </c>
      <c r="T10" s="3523"/>
      <c r="U10" s="3523">
        <v>29</v>
      </c>
      <c r="V10" s="3523"/>
      <c r="W10" s="3523">
        <v>29.7</v>
      </c>
      <c r="X10" s="3524"/>
    </row>
    <row r="11" spans="1:24" s="2066" customFormat="1" ht="21">
      <c r="A11" s="3525" t="s">
        <v>6793</v>
      </c>
      <c r="B11" s="3526"/>
      <c r="C11" s="3527" t="s">
        <v>6794</v>
      </c>
      <c r="D11" s="3526"/>
      <c r="E11" s="3528">
        <v>3.6829999999999998</v>
      </c>
      <c r="F11" s="3529"/>
      <c r="G11" s="3528">
        <v>3.9620000000000002</v>
      </c>
      <c r="H11" s="3530"/>
      <c r="I11" s="3531" t="s">
        <v>6795</v>
      </c>
      <c r="J11" s="3526"/>
      <c r="K11" s="3527" t="s">
        <v>6796</v>
      </c>
      <c r="L11" s="3526"/>
      <c r="M11" s="3527">
        <v>3.96</v>
      </c>
      <c r="N11" s="3526"/>
      <c r="O11" s="3527">
        <v>4.18</v>
      </c>
      <c r="P11" s="3532"/>
      <c r="Q11" s="3533" t="s">
        <v>6797</v>
      </c>
      <c r="R11" s="3510"/>
      <c r="S11" s="3510" t="s">
        <v>6798</v>
      </c>
      <c r="T11" s="3510"/>
      <c r="U11" s="3510">
        <v>37.700000000000003</v>
      </c>
      <c r="V11" s="3510"/>
      <c r="W11" s="3510">
        <v>38.4</v>
      </c>
      <c r="X11" s="3511"/>
    </row>
    <row r="12" spans="1:24" s="2066" customFormat="1" ht="21">
      <c r="A12" s="3512" t="s">
        <v>6799</v>
      </c>
      <c r="B12" s="3513"/>
      <c r="C12" s="3514" t="s">
        <v>6800</v>
      </c>
      <c r="D12" s="3513"/>
      <c r="E12" s="3515">
        <v>4.34</v>
      </c>
      <c r="F12" s="3516"/>
      <c r="G12" s="3515">
        <v>4.59</v>
      </c>
      <c r="H12" s="3517"/>
      <c r="I12" s="3518" t="s">
        <v>6801</v>
      </c>
      <c r="J12" s="3519"/>
      <c r="K12" s="3520" t="s">
        <v>6802</v>
      </c>
      <c r="L12" s="3519"/>
      <c r="M12" s="3520">
        <v>4.5</v>
      </c>
      <c r="N12" s="3519"/>
      <c r="O12" s="3520">
        <v>4.72</v>
      </c>
      <c r="P12" s="3521"/>
      <c r="Q12" s="3522" t="s">
        <v>6803</v>
      </c>
      <c r="R12" s="3523"/>
      <c r="S12" s="3523" t="s">
        <v>6804</v>
      </c>
      <c r="T12" s="3523"/>
      <c r="U12" s="3523">
        <v>44</v>
      </c>
      <c r="V12" s="3523"/>
      <c r="W12" s="3523">
        <v>44.5</v>
      </c>
      <c r="X12" s="3524"/>
    </row>
    <row r="13" spans="1:24" s="2066" customFormat="1" ht="21">
      <c r="A13" s="3525" t="s">
        <v>6805</v>
      </c>
      <c r="B13" s="3526"/>
      <c r="C13" s="3527" t="s">
        <v>6806</v>
      </c>
      <c r="D13" s="3526"/>
      <c r="E13" s="3528">
        <v>4.9790000000000001</v>
      </c>
      <c r="F13" s="3529"/>
      <c r="G13" s="3528">
        <v>5.2569999999999997</v>
      </c>
      <c r="H13" s="3530"/>
      <c r="I13" s="3531" t="s">
        <v>6807</v>
      </c>
      <c r="J13" s="3526"/>
      <c r="K13" s="3527" t="s">
        <v>6808</v>
      </c>
      <c r="L13" s="3526"/>
      <c r="M13" s="3527">
        <v>5.36</v>
      </c>
      <c r="N13" s="3526"/>
      <c r="O13" s="3527">
        <v>5.6</v>
      </c>
      <c r="P13" s="3532"/>
      <c r="Q13" s="3533" t="s">
        <v>6809</v>
      </c>
      <c r="R13" s="3510"/>
      <c r="S13" s="3510" t="s">
        <v>6810</v>
      </c>
      <c r="T13" s="3510"/>
      <c r="U13" s="3510">
        <v>56</v>
      </c>
      <c r="V13" s="3510"/>
      <c r="W13" s="3510">
        <v>56.6</v>
      </c>
      <c r="X13" s="3511"/>
    </row>
    <row r="14" spans="1:24" s="2066" customFormat="1" ht="21">
      <c r="A14" s="3512" t="s">
        <v>6811</v>
      </c>
      <c r="B14" s="3513"/>
      <c r="C14" s="3514" t="s">
        <v>6812</v>
      </c>
      <c r="D14" s="3513"/>
      <c r="E14" s="3515">
        <v>6.4009999999999998</v>
      </c>
      <c r="F14" s="3516"/>
      <c r="G14" s="3515">
        <v>6.7309999999999999</v>
      </c>
      <c r="H14" s="3517"/>
      <c r="I14" s="3518" t="s">
        <v>6813</v>
      </c>
      <c r="J14" s="3519"/>
      <c r="K14" s="3520" t="s">
        <v>6814</v>
      </c>
      <c r="L14" s="3519"/>
      <c r="M14" s="3520">
        <v>6.78</v>
      </c>
      <c r="N14" s="3519"/>
      <c r="O14" s="3520">
        <v>7</v>
      </c>
      <c r="P14" s="3521"/>
      <c r="Q14" s="3534" t="s">
        <v>6815</v>
      </c>
      <c r="R14" s="3523"/>
      <c r="S14" s="3523"/>
      <c r="T14" s="3523"/>
      <c r="U14" s="3523"/>
      <c r="V14" s="3523"/>
      <c r="W14" s="3523"/>
      <c r="X14" s="3524"/>
    </row>
    <row r="15" spans="1:24" s="2066" customFormat="1" ht="21">
      <c r="A15" s="3525" t="s">
        <v>6816</v>
      </c>
      <c r="B15" s="3526"/>
      <c r="C15" s="3527" t="s">
        <v>6817</v>
      </c>
      <c r="D15" s="3526"/>
      <c r="E15" s="3528">
        <v>7.798</v>
      </c>
      <c r="F15" s="3529"/>
      <c r="G15" s="3528">
        <v>8.1530000000000005</v>
      </c>
      <c r="H15" s="3530"/>
      <c r="I15" s="3531" t="s">
        <v>6818</v>
      </c>
      <c r="J15" s="3526"/>
      <c r="K15" s="3527" t="s">
        <v>6819</v>
      </c>
      <c r="L15" s="3526"/>
      <c r="M15" s="3527">
        <v>8.3800000000000008</v>
      </c>
      <c r="N15" s="3526"/>
      <c r="O15" s="3527">
        <v>8.6300000000000008</v>
      </c>
      <c r="P15" s="3532"/>
      <c r="Q15" s="3537" t="s">
        <v>6820</v>
      </c>
      <c r="R15" s="3535"/>
      <c r="S15" s="3535" t="s">
        <v>6821</v>
      </c>
      <c r="T15" s="3535"/>
      <c r="U15" s="3535">
        <v>8.3000000000000007</v>
      </c>
      <c r="V15" s="3535"/>
      <c r="W15" s="3535">
        <v>8.5</v>
      </c>
      <c r="X15" s="3536"/>
    </row>
    <row r="16" spans="1:24" s="2066" customFormat="1" ht="21">
      <c r="A16" s="3512" t="s">
        <v>6822</v>
      </c>
      <c r="B16" s="3513"/>
      <c r="C16" s="3514" t="s">
        <v>6823</v>
      </c>
      <c r="D16" s="3513"/>
      <c r="E16" s="3515">
        <v>9.1440000000000001</v>
      </c>
      <c r="F16" s="3516"/>
      <c r="G16" s="3515">
        <v>9.5500000000000007</v>
      </c>
      <c r="H16" s="3517"/>
      <c r="I16" s="3518" t="s">
        <v>6824</v>
      </c>
      <c r="J16" s="3519"/>
      <c r="K16" s="3520" t="s">
        <v>6825</v>
      </c>
      <c r="L16" s="3519"/>
      <c r="M16" s="3520">
        <v>9.73</v>
      </c>
      <c r="N16" s="3519"/>
      <c r="O16" s="3520">
        <v>10</v>
      </c>
      <c r="P16" s="3521"/>
      <c r="Q16" s="3522" t="s">
        <v>6826</v>
      </c>
      <c r="R16" s="3523"/>
      <c r="S16" s="3523" t="s">
        <v>6769</v>
      </c>
      <c r="T16" s="3523"/>
      <c r="U16" s="3523">
        <v>11.1</v>
      </c>
      <c r="V16" s="3523"/>
      <c r="W16" s="3523">
        <v>11.35</v>
      </c>
      <c r="X16" s="3524"/>
    </row>
    <row r="17" spans="1:24" s="2066" customFormat="1" ht="21">
      <c r="A17" s="3525" t="s">
        <v>6827</v>
      </c>
      <c r="B17" s="3526"/>
      <c r="C17" s="3527" t="s">
        <v>6828</v>
      </c>
      <c r="D17" s="3526"/>
      <c r="E17" s="3528">
        <v>10.592000000000001</v>
      </c>
      <c r="F17" s="3529"/>
      <c r="G17" s="3528">
        <v>11.202999999999999</v>
      </c>
      <c r="H17" s="3530"/>
      <c r="I17" s="3531" t="s">
        <v>6829</v>
      </c>
      <c r="J17" s="3526"/>
      <c r="K17" s="3527" t="s">
        <v>6830</v>
      </c>
      <c r="L17" s="3526"/>
      <c r="M17" s="3527">
        <v>11.3</v>
      </c>
      <c r="N17" s="3526"/>
      <c r="O17" s="3527">
        <v>11.6</v>
      </c>
      <c r="P17" s="3532"/>
      <c r="Q17" s="3533" t="s">
        <v>6831</v>
      </c>
      <c r="R17" s="3510"/>
      <c r="S17" s="3510" t="s">
        <v>6832</v>
      </c>
      <c r="T17" s="3510"/>
      <c r="U17" s="3510">
        <v>14.5</v>
      </c>
      <c r="V17" s="3510"/>
      <c r="W17" s="3510">
        <v>14.85</v>
      </c>
      <c r="X17" s="3511"/>
    </row>
    <row r="18" spans="1:24" s="2066" customFormat="1" ht="21">
      <c r="A18" s="3512" t="s">
        <v>6833</v>
      </c>
      <c r="B18" s="3513"/>
      <c r="C18" s="3514" t="s">
        <v>6834</v>
      </c>
      <c r="D18" s="3513"/>
      <c r="E18" s="3515">
        <v>11.989000000000001</v>
      </c>
      <c r="F18" s="3516"/>
      <c r="G18" s="3515">
        <v>12.446</v>
      </c>
      <c r="H18" s="3517"/>
      <c r="I18" s="3518" t="s">
        <v>6835</v>
      </c>
      <c r="J18" s="3519"/>
      <c r="K18" s="3520" t="s">
        <v>6836</v>
      </c>
      <c r="L18" s="3519"/>
      <c r="M18" s="3520">
        <v>12.7</v>
      </c>
      <c r="N18" s="3519"/>
      <c r="O18" s="3520">
        <v>13</v>
      </c>
      <c r="P18" s="3521"/>
      <c r="Q18" s="3522" t="s">
        <v>6837</v>
      </c>
      <c r="R18" s="3523"/>
      <c r="S18" s="3523" t="s">
        <v>6838</v>
      </c>
      <c r="T18" s="3523"/>
      <c r="U18" s="3523">
        <v>18.100000000000001</v>
      </c>
      <c r="V18" s="3523"/>
      <c r="W18" s="3523">
        <v>18.5</v>
      </c>
      <c r="X18" s="3524"/>
    </row>
    <row r="19" spans="1:24" s="2066" customFormat="1" ht="21">
      <c r="A19" s="3525" t="s">
        <v>6839</v>
      </c>
      <c r="B19" s="3526"/>
      <c r="C19" s="3527" t="s">
        <v>6840</v>
      </c>
      <c r="D19" s="3526"/>
      <c r="E19" s="3528">
        <v>13.385999999999999</v>
      </c>
      <c r="F19" s="3529"/>
      <c r="G19" s="3528">
        <v>13.868</v>
      </c>
      <c r="H19" s="3530"/>
      <c r="I19" s="3531" t="s">
        <v>6841</v>
      </c>
      <c r="J19" s="3526"/>
      <c r="K19" s="3527" t="s">
        <v>6832</v>
      </c>
      <c r="L19" s="3526"/>
      <c r="M19" s="3527">
        <v>14.3</v>
      </c>
      <c r="N19" s="3526"/>
      <c r="O19" s="3527">
        <v>14.68</v>
      </c>
      <c r="P19" s="3532"/>
      <c r="Q19" s="3533" t="s">
        <v>6842</v>
      </c>
      <c r="R19" s="3510"/>
      <c r="S19" s="3510" t="s">
        <v>6843</v>
      </c>
      <c r="T19" s="3510"/>
      <c r="U19" s="3510">
        <v>23.5</v>
      </c>
      <c r="V19" s="3510"/>
      <c r="W19" s="3510">
        <v>24</v>
      </c>
      <c r="X19" s="3511"/>
    </row>
    <row r="20" spans="1:24" s="2066" customFormat="1" ht="21">
      <c r="A20" s="3512" t="s">
        <v>6844</v>
      </c>
      <c r="B20" s="3513"/>
      <c r="C20" s="3514" t="s">
        <v>6845</v>
      </c>
      <c r="D20" s="3513"/>
      <c r="E20" s="3515">
        <v>16.306999999999999</v>
      </c>
      <c r="F20" s="3516"/>
      <c r="G20" s="3515">
        <v>16.84</v>
      </c>
      <c r="H20" s="3517"/>
      <c r="I20" s="3518" t="s">
        <v>6846</v>
      </c>
      <c r="J20" s="3519"/>
      <c r="K20" s="3520" t="s">
        <v>6847</v>
      </c>
      <c r="L20" s="3519"/>
      <c r="M20" s="3520">
        <v>17.3</v>
      </c>
      <c r="N20" s="3519"/>
      <c r="O20" s="3520">
        <v>17.68</v>
      </c>
      <c r="P20" s="3521"/>
      <c r="Q20" s="3522" t="s">
        <v>6848</v>
      </c>
      <c r="R20" s="3523"/>
      <c r="S20" s="3523" t="s">
        <v>6849</v>
      </c>
      <c r="T20" s="3523"/>
      <c r="U20" s="3523">
        <v>29.7</v>
      </c>
      <c r="V20" s="3523"/>
      <c r="W20" s="3523">
        <v>30.15</v>
      </c>
      <c r="X20" s="3524"/>
    </row>
    <row r="21" spans="1:24" s="2066" customFormat="1" ht="21">
      <c r="A21" s="3525" t="s">
        <v>6850</v>
      </c>
      <c r="B21" s="3526"/>
      <c r="C21" s="3527" t="s">
        <v>6851</v>
      </c>
      <c r="D21" s="3526"/>
      <c r="E21" s="3528">
        <v>19.177</v>
      </c>
      <c r="F21" s="3529"/>
      <c r="G21" s="3528">
        <v>19.760999999999999</v>
      </c>
      <c r="H21" s="3530"/>
      <c r="I21" s="3531" t="s">
        <v>6852</v>
      </c>
      <c r="J21" s="3526"/>
      <c r="K21" s="3527" t="s">
        <v>6853</v>
      </c>
      <c r="L21" s="3526"/>
      <c r="M21" s="3527">
        <v>20.27</v>
      </c>
      <c r="N21" s="3526"/>
      <c r="O21" s="3527">
        <v>20.67</v>
      </c>
      <c r="P21" s="3532"/>
      <c r="Q21" s="3533" t="s">
        <v>6854</v>
      </c>
      <c r="R21" s="3510"/>
      <c r="S21" s="3510" t="s">
        <v>6855</v>
      </c>
      <c r="T21" s="3510"/>
      <c r="U21" s="3510">
        <v>38.200000000000003</v>
      </c>
      <c r="V21" s="3510"/>
      <c r="W21" s="3510">
        <v>38.799999999999997</v>
      </c>
      <c r="X21" s="3511"/>
    </row>
    <row r="22" spans="1:24" s="2066" customFormat="1" ht="21">
      <c r="A22" s="3512" t="s">
        <v>6856</v>
      </c>
      <c r="B22" s="3513"/>
      <c r="C22" s="3514" t="s">
        <v>6857</v>
      </c>
      <c r="D22" s="3513"/>
      <c r="E22" s="3515">
        <v>21.971</v>
      </c>
      <c r="F22" s="3516"/>
      <c r="G22" s="3515">
        <v>22.606000000000002</v>
      </c>
      <c r="H22" s="3517"/>
      <c r="I22" s="3518" t="s">
        <v>6858</v>
      </c>
      <c r="J22" s="3519"/>
      <c r="K22" s="3520" t="s">
        <v>6859</v>
      </c>
      <c r="L22" s="3519"/>
      <c r="M22" s="3520">
        <v>23.1</v>
      </c>
      <c r="N22" s="3519"/>
      <c r="O22" s="3520">
        <v>23.57</v>
      </c>
      <c r="P22" s="3521"/>
      <c r="Q22" s="3522" t="s">
        <v>6860</v>
      </c>
      <c r="R22" s="3523"/>
      <c r="S22" s="3523" t="s">
        <v>6804</v>
      </c>
      <c r="T22" s="3523"/>
      <c r="U22" s="3523">
        <v>44</v>
      </c>
      <c r="V22" s="3523"/>
      <c r="W22" s="3523">
        <v>44.7</v>
      </c>
      <c r="X22" s="3524"/>
    </row>
    <row r="23" spans="1:24" s="2066" customFormat="1" ht="21">
      <c r="A23" s="3560"/>
      <c r="B23" s="3561"/>
      <c r="C23" s="3562"/>
      <c r="D23" s="3561"/>
      <c r="E23" s="3563"/>
      <c r="F23" s="3564"/>
      <c r="G23" s="3563"/>
      <c r="H23" s="3565"/>
      <c r="I23" s="3566"/>
      <c r="J23" s="3561"/>
      <c r="K23" s="3562"/>
      <c r="L23" s="3561"/>
      <c r="M23" s="3562"/>
      <c r="N23" s="3561"/>
      <c r="O23" s="3562"/>
      <c r="P23" s="3567"/>
      <c r="Q23" s="3568"/>
      <c r="R23" s="3538"/>
      <c r="S23" s="3538"/>
      <c r="T23" s="3538"/>
      <c r="U23" s="3538"/>
      <c r="V23" s="3538"/>
      <c r="W23" s="3538"/>
      <c r="X23" s="3539"/>
    </row>
    <row r="24" spans="1:24" ht="21">
      <c r="A24" s="3540" t="s">
        <v>6861</v>
      </c>
      <c r="B24" s="3541"/>
      <c r="C24" s="3542"/>
      <c r="D24" s="3542"/>
      <c r="E24" s="3542"/>
      <c r="F24" s="3542"/>
      <c r="G24" s="3542"/>
      <c r="H24" s="3542"/>
      <c r="I24" s="3542"/>
      <c r="J24" s="3542"/>
      <c r="K24" s="3542"/>
      <c r="L24" s="3542"/>
      <c r="M24" s="3542"/>
      <c r="N24" s="3542"/>
      <c r="O24" s="3542"/>
      <c r="P24" s="3542"/>
      <c r="Q24" s="3542"/>
      <c r="R24" s="3542"/>
      <c r="S24" s="3542"/>
      <c r="T24" s="3542"/>
      <c r="U24" s="3542"/>
      <c r="V24" s="3542"/>
      <c r="W24" s="3542"/>
      <c r="X24" s="3543"/>
    </row>
    <row r="25" spans="1:24" ht="21">
      <c r="A25" s="3544" t="s">
        <v>6862</v>
      </c>
      <c r="B25" s="3545"/>
      <c r="C25" s="3546"/>
      <c r="D25" s="3546"/>
      <c r="E25" s="3546"/>
      <c r="F25" s="3546"/>
      <c r="G25" s="3546"/>
      <c r="H25" s="3546"/>
      <c r="I25" s="3546"/>
      <c r="J25" s="3546"/>
      <c r="K25" s="3546"/>
      <c r="L25" s="3546"/>
      <c r="M25" s="3546"/>
      <c r="N25" s="3546"/>
      <c r="O25" s="3546"/>
      <c r="P25" s="3546"/>
      <c r="Q25" s="3546"/>
      <c r="R25" s="3546"/>
      <c r="S25" s="3546"/>
      <c r="T25" s="3546"/>
      <c r="U25" s="3546"/>
      <c r="V25" s="3546"/>
      <c r="W25" s="3546"/>
      <c r="X25" s="3547"/>
    </row>
    <row r="26" spans="1:24">
      <c r="A26" s="3368" t="s">
        <v>12710</v>
      </c>
      <c r="B26" s="3368"/>
      <c r="U26" s="3368" t="s">
        <v>12710</v>
      </c>
      <c r="V26" s="3368"/>
    </row>
  </sheetData>
  <mergeCells count="248">
    <mergeCell ref="S23:T23"/>
    <mergeCell ref="U23:V23"/>
    <mergeCell ref="W23:X23"/>
    <mergeCell ref="A24:X24"/>
    <mergeCell ref="A25:X25"/>
    <mergeCell ref="A3:B4"/>
    <mergeCell ref="I3:J4"/>
    <mergeCell ref="Q3:R4"/>
    <mergeCell ref="U26:V26"/>
    <mergeCell ref="A26:B26"/>
    <mergeCell ref="A23:B23"/>
    <mergeCell ref="C23:D23"/>
    <mergeCell ref="E23:F23"/>
    <mergeCell ref="G23:H23"/>
    <mergeCell ref="I23:J23"/>
    <mergeCell ref="K23:L23"/>
    <mergeCell ref="M23:N23"/>
    <mergeCell ref="O23:P23"/>
    <mergeCell ref="Q23:R23"/>
    <mergeCell ref="S21:T21"/>
    <mergeCell ref="U21:V21"/>
    <mergeCell ref="W21:X21"/>
    <mergeCell ref="A22:B22"/>
    <mergeCell ref="C22:D22"/>
    <mergeCell ref="W22:X22"/>
    <mergeCell ref="A21:B21"/>
    <mergeCell ref="C21:D21"/>
    <mergeCell ref="E21:F21"/>
    <mergeCell ref="G21:H21"/>
    <mergeCell ref="I21:J21"/>
    <mergeCell ref="K21:L21"/>
    <mergeCell ref="M21:N21"/>
    <mergeCell ref="O21:P21"/>
    <mergeCell ref="Q21:R21"/>
    <mergeCell ref="E22:F22"/>
    <mergeCell ref="G22:H22"/>
    <mergeCell ref="I22:J22"/>
    <mergeCell ref="K22:L22"/>
    <mergeCell ref="M22:N22"/>
    <mergeCell ref="O22:P22"/>
    <mergeCell ref="Q22:R22"/>
    <mergeCell ref="S22:T22"/>
    <mergeCell ref="U22:V22"/>
    <mergeCell ref="S19:T19"/>
    <mergeCell ref="U19:V19"/>
    <mergeCell ref="W19:X19"/>
    <mergeCell ref="A20:B20"/>
    <mergeCell ref="C20:D20"/>
    <mergeCell ref="E20:F20"/>
    <mergeCell ref="G20:H20"/>
    <mergeCell ref="I20:J20"/>
    <mergeCell ref="K20:L20"/>
    <mergeCell ref="M20:N20"/>
    <mergeCell ref="O20:P20"/>
    <mergeCell ref="Q20:R20"/>
    <mergeCell ref="S20:T20"/>
    <mergeCell ref="U20:V20"/>
    <mergeCell ref="W20:X20"/>
    <mergeCell ref="A19:B19"/>
    <mergeCell ref="C19:D19"/>
    <mergeCell ref="E19:F19"/>
    <mergeCell ref="G19:H19"/>
    <mergeCell ref="I19:J19"/>
    <mergeCell ref="K19:L19"/>
    <mergeCell ref="M19:N19"/>
    <mergeCell ref="O19:P19"/>
    <mergeCell ref="Q19:R19"/>
    <mergeCell ref="S17:T17"/>
    <mergeCell ref="U17:V17"/>
    <mergeCell ref="W17:X17"/>
    <mergeCell ref="A18:B18"/>
    <mergeCell ref="C18:D18"/>
    <mergeCell ref="E18:F18"/>
    <mergeCell ref="G18:H18"/>
    <mergeCell ref="I18:J18"/>
    <mergeCell ref="K18:L18"/>
    <mergeCell ref="M18:N18"/>
    <mergeCell ref="O18:P18"/>
    <mergeCell ref="Q18:R18"/>
    <mergeCell ref="S18:T18"/>
    <mergeCell ref="U18:V18"/>
    <mergeCell ref="W18:X18"/>
    <mergeCell ref="A17:B17"/>
    <mergeCell ref="C17:D17"/>
    <mergeCell ref="E17:F17"/>
    <mergeCell ref="G17:H17"/>
    <mergeCell ref="I17:J17"/>
    <mergeCell ref="K17:L17"/>
    <mergeCell ref="M17:N17"/>
    <mergeCell ref="O17:P17"/>
    <mergeCell ref="Q17:R17"/>
    <mergeCell ref="S15:T15"/>
    <mergeCell ref="U15:V15"/>
    <mergeCell ref="W15:X15"/>
    <mergeCell ref="A16:B16"/>
    <mergeCell ref="C16:D16"/>
    <mergeCell ref="E16:F16"/>
    <mergeCell ref="G16:H16"/>
    <mergeCell ref="I16:J16"/>
    <mergeCell ref="K16:L16"/>
    <mergeCell ref="M16:N16"/>
    <mergeCell ref="O16:P16"/>
    <mergeCell ref="Q16:R16"/>
    <mergeCell ref="S16:T16"/>
    <mergeCell ref="U16:V16"/>
    <mergeCell ref="W16:X16"/>
    <mergeCell ref="A15:B15"/>
    <mergeCell ref="C15:D15"/>
    <mergeCell ref="E15:F15"/>
    <mergeCell ref="G15:H15"/>
    <mergeCell ref="I15:J15"/>
    <mergeCell ref="K15:L15"/>
    <mergeCell ref="M15:N15"/>
    <mergeCell ref="O15:P15"/>
    <mergeCell ref="Q15:R15"/>
    <mergeCell ref="S13:T13"/>
    <mergeCell ref="U13:V13"/>
    <mergeCell ref="W13:X13"/>
    <mergeCell ref="A14:B14"/>
    <mergeCell ref="C14:D14"/>
    <mergeCell ref="E14:F14"/>
    <mergeCell ref="G14:H14"/>
    <mergeCell ref="I14:J14"/>
    <mergeCell ref="K14:L14"/>
    <mergeCell ref="M14:N14"/>
    <mergeCell ref="O14:P14"/>
    <mergeCell ref="Q14:R14"/>
    <mergeCell ref="S14:T14"/>
    <mergeCell ref="U14:V14"/>
    <mergeCell ref="W14:X14"/>
    <mergeCell ref="A13:B13"/>
    <mergeCell ref="C13:D13"/>
    <mergeCell ref="E13:F13"/>
    <mergeCell ref="G13:H13"/>
    <mergeCell ref="I13:J13"/>
    <mergeCell ref="K13:L13"/>
    <mergeCell ref="M13:N13"/>
    <mergeCell ref="O13:P13"/>
    <mergeCell ref="Q13:R13"/>
    <mergeCell ref="S11:T11"/>
    <mergeCell ref="U11:V11"/>
    <mergeCell ref="W11:X11"/>
    <mergeCell ref="A12:B12"/>
    <mergeCell ref="C12:D12"/>
    <mergeCell ref="E12:F12"/>
    <mergeCell ref="G12:H12"/>
    <mergeCell ref="I12:J12"/>
    <mergeCell ref="K12:L12"/>
    <mergeCell ref="M12:N12"/>
    <mergeCell ref="O12:P12"/>
    <mergeCell ref="Q12:R12"/>
    <mergeCell ref="S12:T12"/>
    <mergeCell ref="U12:V12"/>
    <mergeCell ref="W12:X12"/>
    <mergeCell ref="A11:B11"/>
    <mergeCell ref="C11:D11"/>
    <mergeCell ref="E11:F11"/>
    <mergeCell ref="G11:H11"/>
    <mergeCell ref="I11:J11"/>
    <mergeCell ref="K11:L11"/>
    <mergeCell ref="M11:N11"/>
    <mergeCell ref="O11:P11"/>
    <mergeCell ref="Q11:R11"/>
    <mergeCell ref="S9:T9"/>
    <mergeCell ref="U9:V9"/>
    <mergeCell ref="W9:X9"/>
    <mergeCell ref="A10:B10"/>
    <mergeCell ref="C10:D10"/>
    <mergeCell ref="E10:F10"/>
    <mergeCell ref="G10:H10"/>
    <mergeCell ref="I10:J10"/>
    <mergeCell ref="K10:L10"/>
    <mergeCell ref="M10:N10"/>
    <mergeCell ref="O10:P10"/>
    <mergeCell ref="Q10:R10"/>
    <mergeCell ref="S10:T10"/>
    <mergeCell ref="U10:V10"/>
    <mergeCell ref="W10:X10"/>
    <mergeCell ref="A9:B9"/>
    <mergeCell ref="C9:D9"/>
    <mergeCell ref="E9:F9"/>
    <mergeCell ref="G9:H9"/>
    <mergeCell ref="I9:J9"/>
    <mergeCell ref="K9:L9"/>
    <mergeCell ref="M9:N9"/>
    <mergeCell ref="O9:P9"/>
    <mergeCell ref="Q9:R9"/>
    <mergeCell ref="S7:T7"/>
    <mergeCell ref="U7:V7"/>
    <mergeCell ref="W7:X7"/>
    <mergeCell ref="A8:B8"/>
    <mergeCell ref="C8:D8"/>
    <mergeCell ref="E8:F8"/>
    <mergeCell ref="G8:H8"/>
    <mergeCell ref="I8:J8"/>
    <mergeCell ref="K8:L8"/>
    <mergeCell ref="M8:N8"/>
    <mergeCell ref="O8:P8"/>
    <mergeCell ref="Q8:R8"/>
    <mergeCell ref="S8:T8"/>
    <mergeCell ref="U8:V8"/>
    <mergeCell ref="W8:X8"/>
    <mergeCell ref="A7:B7"/>
    <mergeCell ref="C7:D7"/>
    <mergeCell ref="E7:F7"/>
    <mergeCell ref="G7:H7"/>
    <mergeCell ref="I7:J7"/>
    <mergeCell ref="K7:L7"/>
    <mergeCell ref="M7:N7"/>
    <mergeCell ref="O7:P7"/>
    <mergeCell ref="Q7:R7"/>
    <mergeCell ref="S5:T5"/>
    <mergeCell ref="U5:V5"/>
    <mergeCell ref="W5:X5"/>
    <mergeCell ref="A6:B6"/>
    <mergeCell ref="C6:D6"/>
    <mergeCell ref="E6:F6"/>
    <mergeCell ref="G6:H6"/>
    <mergeCell ref="I6:J6"/>
    <mergeCell ref="K6:L6"/>
    <mergeCell ref="M6:N6"/>
    <mergeCell ref="O6:P6"/>
    <mergeCell ref="Q6:R6"/>
    <mergeCell ref="S6:T6"/>
    <mergeCell ref="U6:V6"/>
    <mergeCell ref="W6:X6"/>
    <mergeCell ref="A5:B5"/>
    <mergeCell ref="C5:D5"/>
    <mergeCell ref="E5:F5"/>
    <mergeCell ref="G5:H5"/>
    <mergeCell ref="I5:J5"/>
    <mergeCell ref="K5:L5"/>
    <mergeCell ref="M5:N5"/>
    <mergeCell ref="O5:P5"/>
    <mergeCell ref="Q5:R5"/>
    <mergeCell ref="A1:X1"/>
    <mergeCell ref="C3:H3"/>
    <mergeCell ref="K3:P3"/>
    <mergeCell ref="S3:X3"/>
    <mergeCell ref="C4:D4"/>
    <mergeCell ref="E4:F4"/>
    <mergeCell ref="G4:H4"/>
    <mergeCell ref="K4:L4"/>
    <mergeCell ref="M4:N4"/>
    <mergeCell ref="O4:P4"/>
    <mergeCell ref="S4:T4"/>
    <mergeCell ref="U4:V4"/>
    <mergeCell ref="W4:X4"/>
  </mergeCells>
  <phoneticPr fontId="378" type="noConversion"/>
  <hyperlinks>
    <hyperlink ref="U26:V26" location="齿轮齿条电机选型!A1" display="返回目录"/>
    <hyperlink ref="A26:B26" location="齿轮齿条电机选型!A1" display="返回目录"/>
  </hyperlinks>
  <printOptions horizontalCentered="1" verticalCentered="1"/>
  <pageMargins left="0" right="0" top="0.38888888888888901" bottom="0.38888888888888901" header="0" footer="0"/>
  <pageSetup paperSize="9" orientation="landscape"/>
  <headerFooter scaleWithDoc="0"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workbookViewId="0">
      <selection activeCell="K3" sqref="K3"/>
    </sheetView>
  </sheetViews>
  <sheetFormatPr defaultColWidth="8.75" defaultRowHeight="16.5"/>
  <cols>
    <col min="1" max="8" width="13.375" style="95" customWidth="1"/>
    <col min="9" max="16384" width="8.75" style="95"/>
  </cols>
  <sheetData>
    <row r="1" spans="1:8">
      <c r="A1" s="2046"/>
      <c r="B1" s="2047"/>
      <c r="C1" s="2047"/>
      <c r="D1" s="2048"/>
      <c r="E1" s="2049"/>
      <c r="F1" s="2050"/>
      <c r="G1" s="2050"/>
      <c r="H1" s="2051"/>
    </row>
    <row r="2" spans="1:8">
      <c r="A2" s="2052"/>
      <c r="B2" s="2053"/>
      <c r="C2" s="2053"/>
      <c r="D2" s="2054" t="s">
        <v>6863</v>
      </c>
      <c r="F2" s="2055" t="s">
        <v>6864</v>
      </c>
      <c r="H2" s="3162" t="s">
        <v>12704</v>
      </c>
    </row>
    <row r="3" spans="1:8">
      <c r="A3" s="2052"/>
      <c r="B3" s="2053"/>
      <c r="C3" s="2053"/>
      <c r="D3" s="2054" t="s">
        <v>6865</v>
      </c>
      <c r="F3" s="2055" t="s">
        <v>6866</v>
      </c>
      <c r="H3" s="2056"/>
    </row>
    <row r="4" spans="1:8">
      <c r="A4" s="2057"/>
      <c r="B4" s="2058"/>
      <c r="C4" s="2058"/>
      <c r="D4" s="2059" t="s">
        <v>6867</v>
      </c>
      <c r="F4" s="2060" t="s">
        <v>6868</v>
      </c>
      <c r="H4" s="2062"/>
    </row>
    <row r="5" spans="1:8" ht="16.5" customHeight="1">
      <c r="A5" s="2063" t="s">
        <v>6869</v>
      </c>
      <c r="B5" s="2064" t="s">
        <v>6870</v>
      </c>
      <c r="C5" s="2063" t="s">
        <v>6869</v>
      </c>
      <c r="D5" s="2064" t="s">
        <v>6870</v>
      </c>
      <c r="E5" s="2063" t="s">
        <v>6869</v>
      </c>
      <c r="F5" s="2064" t="s">
        <v>6870</v>
      </c>
      <c r="G5" s="2063" t="s">
        <v>6869</v>
      </c>
      <c r="H5" s="2064" t="s">
        <v>6870</v>
      </c>
    </row>
    <row r="6" spans="1:8" ht="16.5" customHeight="1">
      <c r="A6" s="2065" t="s">
        <v>6871</v>
      </c>
      <c r="B6" s="2064">
        <v>965</v>
      </c>
      <c r="C6" s="2065" t="s">
        <v>6872</v>
      </c>
      <c r="D6" s="2064">
        <v>1905</v>
      </c>
      <c r="E6" s="2065" t="s">
        <v>6873</v>
      </c>
      <c r="F6" s="2064">
        <v>2794</v>
      </c>
      <c r="G6" s="2065" t="s">
        <v>6874</v>
      </c>
      <c r="H6" s="2064">
        <v>4064</v>
      </c>
    </row>
    <row r="7" spans="1:8" ht="16.5" customHeight="1">
      <c r="A7" s="2065" t="s">
        <v>6875</v>
      </c>
      <c r="B7" s="2064">
        <v>1092</v>
      </c>
      <c r="C7" s="2065" t="s">
        <v>6876</v>
      </c>
      <c r="D7" s="2064">
        <v>1981</v>
      </c>
      <c r="E7" s="2065" t="s">
        <v>6877</v>
      </c>
      <c r="F7" s="2064">
        <v>2819</v>
      </c>
      <c r="G7" s="2065" t="s">
        <v>6878</v>
      </c>
      <c r="H7" s="2064">
        <v>4216</v>
      </c>
    </row>
    <row r="8" spans="1:8" ht="16.5" customHeight="1">
      <c r="A8" s="2065" t="s">
        <v>6879</v>
      </c>
      <c r="B8" s="2064">
        <v>1194</v>
      </c>
      <c r="C8" s="2065" t="s">
        <v>6880</v>
      </c>
      <c r="D8" s="2064">
        <v>2032</v>
      </c>
      <c r="E8" s="2065" t="s">
        <v>6881</v>
      </c>
      <c r="F8" s="2064">
        <v>2845</v>
      </c>
      <c r="G8" s="2065" t="s">
        <v>6882</v>
      </c>
      <c r="H8" s="2064">
        <v>4267</v>
      </c>
    </row>
    <row r="9" spans="1:8" ht="16.5" customHeight="1">
      <c r="A9" s="2065" t="s">
        <v>6883</v>
      </c>
      <c r="B9" s="2064">
        <v>1219</v>
      </c>
      <c r="C9" s="2065" t="s">
        <v>6884</v>
      </c>
      <c r="D9" s="2064">
        <v>2057</v>
      </c>
      <c r="E9" s="2065" t="s">
        <v>6885</v>
      </c>
      <c r="F9" s="2064">
        <v>2896</v>
      </c>
      <c r="G9" s="2065" t="s">
        <v>6886</v>
      </c>
      <c r="H9" s="2064">
        <v>4394</v>
      </c>
    </row>
    <row r="10" spans="1:8" ht="16.5" customHeight="1">
      <c r="A10" s="2065" t="s">
        <v>6887</v>
      </c>
      <c r="B10" s="2064">
        <v>1245</v>
      </c>
      <c r="C10" s="2065" t="s">
        <v>6888</v>
      </c>
      <c r="D10" s="2064">
        <v>2108</v>
      </c>
      <c r="E10" s="2065" t="s">
        <v>6889</v>
      </c>
      <c r="F10" s="2064">
        <v>2921</v>
      </c>
      <c r="G10" s="2065" t="s">
        <v>6890</v>
      </c>
      <c r="H10" s="2064">
        <v>4572</v>
      </c>
    </row>
    <row r="11" spans="1:8" ht="16.5" customHeight="1">
      <c r="A11" s="2065" t="s">
        <v>6891</v>
      </c>
      <c r="B11" s="2064">
        <v>1270</v>
      </c>
      <c r="C11" s="2065" t="s">
        <v>6892</v>
      </c>
      <c r="D11" s="2064">
        <v>2134</v>
      </c>
      <c r="E11" s="2065" t="s">
        <v>6893</v>
      </c>
      <c r="F11" s="2064">
        <v>2946</v>
      </c>
      <c r="G11" s="2065" t="s">
        <v>6894</v>
      </c>
      <c r="H11" s="2064">
        <v>4699</v>
      </c>
    </row>
    <row r="12" spans="1:8" ht="16.5" customHeight="1">
      <c r="A12" s="2065" t="s">
        <v>6895</v>
      </c>
      <c r="B12" s="2064">
        <v>1295</v>
      </c>
      <c r="C12" s="2065" t="s">
        <v>6896</v>
      </c>
      <c r="D12" s="2064">
        <v>2159</v>
      </c>
      <c r="E12" s="2065" t="s">
        <v>6897</v>
      </c>
      <c r="F12" s="2064">
        <v>2972</v>
      </c>
      <c r="G12" s="2065" t="s">
        <v>6898</v>
      </c>
      <c r="H12" s="2064">
        <v>4750</v>
      </c>
    </row>
    <row r="13" spans="1:8" ht="16.5" customHeight="1">
      <c r="A13" s="2065" t="s">
        <v>6899</v>
      </c>
      <c r="B13" s="2064">
        <v>1346</v>
      </c>
      <c r="C13" s="2065" t="s">
        <v>6900</v>
      </c>
      <c r="D13" s="2064">
        <v>2184</v>
      </c>
      <c r="E13" s="2065" t="s">
        <v>6901</v>
      </c>
      <c r="F13" s="2064">
        <v>3048</v>
      </c>
      <c r="G13" s="2065" t="s">
        <v>6902</v>
      </c>
      <c r="H13" s="2064">
        <v>4826</v>
      </c>
    </row>
    <row r="14" spans="1:8" ht="16.5" customHeight="1">
      <c r="A14" s="2065" t="s">
        <v>6903</v>
      </c>
      <c r="B14" s="2064">
        <v>1372</v>
      </c>
      <c r="C14" s="2065" t="s">
        <v>6904</v>
      </c>
      <c r="D14" s="2064">
        <v>2210</v>
      </c>
      <c r="E14" s="2065" t="s">
        <v>6905</v>
      </c>
      <c r="F14" s="2064">
        <v>3099</v>
      </c>
      <c r="G14" s="2065" t="s">
        <v>6906</v>
      </c>
      <c r="H14" s="2064">
        <v>5029</v>
      </c>
    </row>
    <row r="15" spans="1:8" ht="16.5" customHeight="1">
      <c r="A15" s="2065" t="s">
        <v>6907</v>
      </c>
      <c r="B15" s="2064">
        <v>1448</v>
      </c>
      <c r="C15" s="2065" t="s">
        <v>6908</v>
      </c>
      <c r="D15" s="2064">
        <v>2235</v>
      </c>
      <c r="E15" s="2065" t="s">
        <v>6909</v>
      </c>
      <c r="F15" s="2064">
        <v>3200</v>
      </c>
      <c r="G15" s="2065" t="s">
        <v>6910</v>
      </c>
      <c r="H15" s="2064">
        <v>5080</v>
      </c>
    </row>
    <row r="16" spans="1:8" ht="16.5" customHeight="1">
      <c r="A16" s="2065" t="s">
        <v>6911</v>
      </c>
      <c r="B16" s="2064">
        <v>1499</v>
      </c>
      <c r="C16" s="2065" t="s">
        <v>6912</v>
      </c>
      <c r="D16" s="2064">
        <v>2261</v>
      </c>
      <c r="E16" s="2065" t="s">
        <v>6913</v>
      </c>
      <c r="F16" s="2064">
        <v>3302</v>
      </c>
      <c r="G16" s="2065" t="s">
        <v>6914</v>
      </c>
      <c r="H16" s="2064">
        <v>5182</v>
      </c>
    </row>
    <row r="17" spans="1:8" ht="16.5" customHeight="1">
      <c r="A17" s="2065" t="s">
        <v>579</v>
      </c>
      <c r="B17" s="2064">
        <v>1524</v>
      </c>
      <c r="C17" s="2065" t="s">
        <v>6915</v>
      </c>
      <c r="D17" s="2064">
        <v>2286</v>
      </c>
      <c r="E17" s="2065" t="s">
        <v>6916</v>
      </c>
      <c r="F17" s="2064">
        <v>3353</v>
      </c>
      <c r="G17" s="2065" t="s">
        <v>6917</v>
      </c>
      <c r="H17" s="2064">
        <v>5283</v>
      </c>
    </row>
    <row r="18" spans="1:8" ht="16.5" customHeight="1">
      <c r="A18" s="2065" t="s">
        <v>6918</v>
      </c>
      <c r="B18" s="2064">
        <v>1575</v>
      </c>
      <c r="C18" s="2065" t="s">
        <v>6919</v>
      </c>
      <c r="D18" s="2064">
        <v>2311</v>
      </c>
      <c r="E18" s="2065" t="s">
        <v>6920</v>
      </c>
      <c r="F18" s="2064">
        <v>3454</v>
      </c>
      <c r="G18" s="2065" t="s">
        <v>6921</v>
      </c>
      <c r="H18" s="2064">
        <v>5334</v>
      </c>
    </row>
    <row r="19" spans="1:8" ht="16.5" customHeight="1">
      <c r="A19" s="2065" t="s">
        <v>6922</v>
      </c>
      <c r="B19" s="2064">
        <v>1600</v>
      </c>
      <c r="C19" s="2065" t="s">
        <v>6923</v>
      </c>
      <c r="D19" s="2064">
        <v>2337</v>
      </c>
      <c r="E19" s="2065" t="s">
        <v>6924</v>
      </c>
      <c r="F19" s="2064">
        <v>3505</v>
      </c>
      <c r="G19" s="2065" t="s">
        <v>6925</v>
      </c>
      <c r="H19" s="2064">
        <v>5588</v>
      </c>
    </row>
    <row r="20" spans="1:8" ht="16.5" customHeight="1">
      <c r="A20" s="2065" t="s">
        <v>6926</v>
      </c>
      <c r="B20" s="2064">
        <v>1626</v>
      </c>
      <c r="C20" s="2065" t="s">
        <v>6927</v>
      </c>
      <c r="D20" s="2064">
        <v>2362</v>
      </c>
      <c r="E20" s="2065" t="s">
        <v>6928</v>
      </c>
      <c r="F20" s="2064">
        <v>3556</v>
      </c>
      <c r="G20" s="2065" t="s">
        <v>6929</v>
      </c>
      <c r="H20" s="2064">
        <v>5715</v>
      </c>
    </row>
    <row r="21" spans="1:8" ht="16.5" customHeight="1">
      <c r="A21" s="2065" t="s">
        <v>6930</v>
      </c>
      <c r="B21" s="2064">
        <v>1651</v>
      </c>
      <c r="C21" s="2065" t="s">
        <v>6931</v>
      </c>
      <c r="D21" s="2064">
        <v>2413</v>
      </c>
      <c r="E21" s="2065" t="s">
        <v>6932</v>
      </c>
      <c r="F21" s="2064">
        <v>3607</v>
      </c>
      <c r="G21" s="2065" t="s">
        <v>6933</v>
      </c>
      <c r="H21" s="2064">
        <v>6045</v>
      </c>
    </row>
    <row r="22" spans="1:8" ht="16.5" customHeight="1">
      <c r="A22" s="2065" t="s">
        <v>6934</v>
      </c>
      <c r="B22" s="2064">
        <v>1676</v>
      </c>
      <c r="C22" s="2065" t="s">
        <v>6935</v>
      </c>
      <c r="D22" s="2064">
        <v>2438</v>
      </c>
      <c r="E22" s="2065" t="s">
        <v>6936</v>
      </c>
      <c r="F22" s="2064">
        <v>3658</v>
      </c>
      <c r="G22" s="2065" t="s">
        <v>6937</v>
      </c>
      <c r="H22" s="2064">
        <v>6096</v>
      </c>
    </row>
    <row r="23" spans="1:8" ht="16.5" customHeight="1">
      <c r="A23" s="2065" t="s">
        <v>6938</v>
      </c>
      <c r="B23" s="2064">
        <v>1702</v>
      </c>
      <c r="C23" s="2065" t="s">
        <v>6939</v>
      </c>
      <c r="D23" s="2064">
        <v>2515</v>
      </c>
      <c r="E23" s="2065" t="s">
        <v>6940</v>
      </c>
      <c r="F23" s="2064">
        <v>3708</v>
      </c>
      <c r="G23" s="2065" t="s">
        <v>6941</v>
      </c>
      <c r="H23" s="2064">
        <v>6706</v>
      </c>
    </row>
    <row r="24" spans="1:8" ht="16.5" customHeight="1">
      <c r="A24" s="2065" t="s">
        <v>6942</v>
      </c>
      <c r="B24" s="2064">
        <v>1727</v>
      </c>
      <c r="C24" s="2065" t="s">
        <v>3935</v>
      </c>
      <c r="D24" s="2064">
        <v>2565</v>
      </c>
      <c r="E24" s="2065" t="s">
        <v>6943</v>
      </c>
      <c r="F24" s="2064">
        <v>3759</v>
      </c>
      <c r="G24" s="2065" t="s">
        <v>6944</v>
      </c>
      <c r="H24" s="2064">
        <v>7112</v>
      </c>
    </row>
    <row r="25" spans="1:8" ht="16.5" customHeight="1">
      <c r="A25" s="2065" t="s">
        <v>6945</v>
      </c>
      <c r="B25" s="2064">
        <v>1753</v>
      </c>
      <c r="C25" s="2065" t="s">
        <v>3934</v>
      </c>
      <c r="D25" s="2064">
        <v>2591</v>
      </c>
      <c r="E25" s="2065" t="s">
        <v>6946</v>
      </c>
      <c r="F25" s="2064">
        <v>3785</v>
      </c>
      <c r="G25" s="2065" t="s">
        <v>6947</v>
      </c>
      <c r="H25" s="2064">
        <v>7493</v>
      </c>
    </row>
    <row r="26" spans="1:8" ht="16.5" customHeight="1">
      <c r="A26" s="2065" t="s">
        <v>6948</v>
      </c>
      <c r="B26" s="2064">
        <v>1778</v>
      </c>
      <c r="C26" s="2065" t="s">
        <v>6949</v>
      </c>
      <c r="D26" s="2064">
        <v>2642</v>
      </c>
      <c r="E26" s="2065" t="s">
        <v>6950</v>
      </c>
      <c r="F26" s="2064">
        <v>3810</v>
      </c>
      <c r="G26" s="2065" t="s">
        <v>6951</v>
      </c>
      <c r="H26" s="2064">
        <v>8128</v>
      </c>
    </row>
    <row r="27" spans="1:8" ht="16.5" customHeight="1">
      <c r="A27" s="2065" t="s">
        <v>6952</v>
      </c>
      <c r="B27" s="2064">
        <v>1803</v>
      </c>
      <c r="C27" s="2065" t="s">
        <v>6953</v>
      </c>
      <c r="D27" s="2064">
        <v>2667</v>
      </c>
      <c r="E27" s="2065" t="s">
        <v>6954</v>
      </c>
      <c r="F27" s="2064">
        <v>3861</v>
      </c>
      <c r="G27" s="2065" t="s">
        <v>6955</v>
      </c>
      <c r="H27" s="2064">
        <v>8331</v>
      </c>
    </row>
    <row r="28" spans="1:8" ht="16.5" customHeight="1">
      <c r="A28" s="2065" t="s">
        <v>6956</v>
      </c>
      <c r="B28" s="2064">
        <v>1829</v>
      </c>
      <c r="C28" s="2065" t="s">
        <v>6957</v>
      </c>
      <c r="D28" s="2064">
        <v>2692</v>
      </c>
      <c r="E28" s="2065" t="s">
        <v>6958</v>
      </c>
      <c r="F28" s="2064">
        <v>3886</v>
      </c>
      <c r="G28" s="2065" t="s">
        <v>6959</v>
      </c>
      <c r="H28" s="2064">
        <v>10617</v>
      </c>
    </row>
    <row r="29" spans="1:8" ht="16.5" customHeight="1">
      <c r="A29" s="2065" t="s">
        <v>6960</v>
      </c>
      <c r="B29" s="2064">
        <v>1880</v>
      </c>
      <c r="C29" s="2065" t="s">
        <v>6961</v>
      </c>
      <c r="D29" s="2064">
        <v>2743</v>
      </c>
      <c r="E29" s="2065" t="s">
        <v>6962</v>
      </c>
      <c r="F29" s="2064">
        <v>4013</v>
      </c>
      <c r="G29" s="2065" t="s">
        <v>6963</v>
      </c>
      <c r="H29" s="2064">
        <v>16713</v>
      </c>
    </row>
  </sheetData>
  <phoneticPr fontId="378" type="noConversion"/>
  <hyperlinks>
    <hyperlink ref="H2" location="总目录!A1" display="返回目录"/>
  </hyperlinks>
  <pageMargins left="0.75" right="0.75" top="1" bottom="1" header="0.5" footer="0.5"/>
  <headerFooter scaleWithDoc="0"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workbookViewId="0">
      <selection activeCell="K3" sqref="K3"/>
    </sheetView>
  </sheetViews>
  <sheetFormatPr defaultColWidth="8.75" defaultRowHeight="16.5"/>
  <cols>
    <col min="1" max="8" width="11.375" style="95" customWidth="1"/>
    <col min="9" max="16384" width="8.75" style="95"/>
  </cols>
  <sheetData>
    <row r="1" spans="1:8">
      <c r="A1" s="3569"/>
      <c r="B1" s="3570"/>
      <c r="C1" s="3570"/>
      <c r="D1" s="3571"/>
      <c r="E1" s="2049"/>
      <c r="F1" s="2050"/>
      <c r="G1" s="2050"/>
      <c r="H1" s="2051"/>
    </row>
    <row r="2" spans="1:8">
      <c r="A2" s="3572"/>
      <c r="B2" s="3573"/>
      <c r="C2" s="3573"/>
      <c r="D2" s="3574"/>
      <c r="E2" s="2055" t="s">
        <v>6964</v>
      </c>
      <c r="F2" s="2055" t="s">
        <v>6965</v>
      </c>
      <c r="H2" s="3162" t="s">
        <v>12704</v>
      </c>
    </row>
    <row r="3" spans="1:8">
      <c r="A3" s="3572"/>
      <c r="B3" s="3573"/>
      <c r="C3" s="3573"/>
      <c r="D3" s="3574"/>
      <c r="E3" s="2055" t="s">
        <v>6966</v>
      </c>
      <c r="F3" s="2055" t="s">
        <v>6967</v>
      </c>
      <c r="H3" s="2056"/>
    </row>
    <row r="4" spans="1:8">
      <c r="A4" s="3575"/>
      <c r="B4" s="3576"/>
      <c r="C4" s="3576"/>
      <c r="D4" s="3577"/>
      <c r="E4" s="2060" t="s">
        <v>6867</v>
      </c>
      <c r="F4" s="2060" t="s">
        <v>6968</v>
      </c>
      <c r="G4" s="2061"/>
      <c r="H4" s="2062"/>
    </row>
    <row r="5" spans="1:8">
      <c r="A5" s="2063" t="s">
        <v>6869</v>
      </c>
      <c r="B5" s="2064" t="s">
        <v>6870</v>
      </c>
      <c r="C5" s="2063" t="s">
        <v>6869</v>
      </c>
      <c r="D5" s="2064" t="s">
        <v>6870</v>
      </c>
      <c r="E5" s="2063" t="s">
        <v>6869</v>
      </c>
      <c r="F5" s="2064" t="s">
        <v>6870</v>
      </c>
      <c r="G5" s="2063" t="s">
        <v>6869</v>
      </c>
      <c r="H5" s="2064" t="s">
        <v>6870</v>
      </c>
    </row>
    <row r="6" spans="1:8">
      <c r="A6" s="2065" t="s">
        <v>6969</v>
      </c>
      <c r="B6" s="2064">
        <v>584</v>
      </c>
      <c r="C6" s="2065" t="s">
        <v>6970</v>
      </c>
      <c r="D6" s="2064">
        <v>1321</v>
      </c>
      <c r="E6" s="2065" t="s">
        <v>6971</v>
      </c>
      <c r="F6" s="2064">
        <v>2261</v>
      </c>
      <c r="G6" s="2065" t="s">
        <v>6972</v>
      </c>
      <c r="H6" s="2064">
        <v>3353</v>
      </c>
    </row>
    <row r="7" spans="1:8">
      <c r="A7" s="2065" t="s">
        <v>6973</v>
      </c>
      <c r="B7" s="2064">
        <v>610</v>
      </c>
      <c r="C7" s="2065" t="s">
        <v>6974</v>
      </c>
      <c r="D7" s="2064">
        <v>1346</v>
      </c>
      <c r="E7" s="2065" t="s">
        <v>6975</v>
      </c>
      <c r="F7" s="2064">
        <v>2286</v>
      </c>
      <c r="G7" s="2065" t="s">
        <v>6976</v>
      </c>
      <c r="H7" s="2064">
        <v>3454</v>
      </c>
    </row>
    <row r="8" spans="1:8">
      <c r="A8" s="2065" t="s">
        <v>6977</v>
      </c>
      <c r="B8" s="2064">
        <v>635</v>
      </c>
      <c r="C8" s="2065" t="s">
        <v>6978</v>
      </c>
      <c r="D8" s="2064">
        <v>1359</v>
      </c>
      <c r="E8" s="2065" t="s">
        <v>6979</v>
      </c>
      <c r="F8" s="2064">
        <v>2311</v>
      </c>
      <c r="G8" s="2065" t="s">
        <v>6980</v>
      </c>
      <c r="H8" s="2064">
        <v>3556</v>
      </c>
    </row>
    <row r="9" spans="1:8">
      <c r="A9" s="2065" t="s">
        <v>6981</v>
      </c>
      <c r="B9" s="2064">
        <v>660</v>
      </c>
      <c r="C9" s="2065" t="s">
        <v>6982</v>
      </c>
      <c r="D9" s="2064">
        <v>1397</v>
      </c>
      <c r="E9" s="2065" t="s">
        <v>6983</v>
      </c>
      <c r="F9" s="2064">
        <v>2337</v>
      </c>
      <c r="G9" s="2065" t="s">
        <v>6984</v>
      </c>
      <c r="H9" s="2064">
        <v>3607</v>
      </c>
    </row>
    <row r="10" spans="1:8">
      <c r="A10" s="2065" t="s">
        <v>6985</v>
      </c>
      <c r="B10" s="2064">
        <v>673</v>
      </c>
      <c r="C10" s="2065" t="s">
        <v>6986</v>
      </c>
      <c r="D10" s="2064">
        <v>1422</v>
      </c>
      <c r="E10" s="2065" t="s">
        <v>6987</v>
      </c>
      <c r="F10" s="2064">
        <v>2362</v>
      </c>
      <c r="G10" s="2065" t="s">
        <v>6988</v>
      </c>
      <c r="H10" s="2064">
        <v>3708</v>
      </c>
    </row>
    <row r="11" spans="1:8">
      <c r="A11" s="2065" t="s">
        <v>6989</v>
      </c>
      <c r="B11" s="2064">
        <v>686</v>
      </c>
      <c r="C11" s="2065" t="s">
        <v>6990</v>
      </c>
      <c r="D11" s="2064">
        <v>1448</v>
      </c>
      <c r="E11" s="2065" t="s">
        <v>6991</v>
      </c>
      <c r="F11" s="2064">
        <v>2388</v>
      </c>
      <c r="G11" s="2065" t="s">
        <v>6992</v>
      </c>
      <c r="H11" s="2064">
        <v>3810</v>
      </c>
    </row>
    <row r="12" spans="1:8">
      <c r="A12" s="2065" t="s">
        <v>6993</v>
      </c>
      <c r="B12" s="2064">
        <v>711</v>
      </c>
      <c r="C12" s="2065" t="s">
        <v>6994</v>
      </c>
      <c r="D12" s="2064">
        <v>1473</v>
      </c>
      <c r="E12" s="2065" t="s">
        <v>6995</v>
      </c>
      <c r="F12" s="2064">
        <v>2400</v>
      </c>
      <c r="G12" s="2065" t="s">
        <v>6996</v>
      </c>
      <c r="H12" s="2064">
        <v>3835</v>
      </c>
    </row>
    <row r="13" spans="1:8">
      <c r="A13" s="2065" t="s">
        <v>6997</v>
      </c>
      <c r="B13" s="2064">
        <v>737</v>
      </c>
      <c r="C13" s="2065" t="s">
        <v>6998</v>
      </c>
      <c r="D13" s="2064">
        <v>1499</v>
      </c>
      <c r="E13" s="2065" t="s">
        <v>6999</v>
      </c>
      <c r="F13" s="2064">
        <v>2413</v>
      </c>
      <c r="G13" s="2065" t="s">
        <v>7000</v>
      </c>
      <c r="H13" s="2064">
        <v>3861</v>
      </c>
    </row>
    <row r="14" spans="1:8">
      <c r="A14" s="2065" t="s">
        <v>7001</v>
      </c>
      <c r="B14" s="2064">
        <v>787</v>
      </c>
      <c r="C14" s="2065" t="s">
        <v>7002</v>
      </c>
      <c r="D14" s="2064">
        <v>1524</v>
      </c>
      <c r="E14" s="2065" t="s">
        <v>7003</v>
      </c>
      <c r="F14" s="2064">
        <v>2438</v>
      </c>
      <c r="G14" s="2065" t="s">
        <v>7004</v>
      </c>
      <c r="H14" s="2064">
        <v>3937</v>
      </c>
    </row>
    <row r="15" spans="1:8">
      <c r="A15" s="2065" t="s">
        <v>7005</v>
      </c>
      <c r="B15" s="2064">
        <v>813</v>
      </c>
      <c r="C15" s="2065" t="s">
        <v>7006</v>
      </c>
      <c r="D15" s="2064">
        <v>1575</v>
      </c>
      <c r="E15" s="2065" t="s">
        <v>7007</v>
      </c>
      <c r="F15" s="2064">
        <v>2451</v>
      </c>
      <c r="G15" s="2065" t="s">
        <v>7008</v>
      </c>
      <c r="H15" s="2064">
        <v>4013</v>
      </c>
    </row>
    <row r="16" spans="1:8">
      <c r="A16" s="2065" t="s">
        <v>7009</v>
      </c>
      <c r="B16" s="2064">
        <v>838</v>
      </c>
      <c r="C16" s="2065" t="s">
        <v>7010</v>
      </c>
      <c r="D16" s="2064">
        <v>1600</v>
      </c>
      <c r="E16" s="2065" t="s">
        <v>7011</v>
      </c>
      <c r="F16" s="2064">
        <v>2489</v>
      </c>
      <c r="G16" s="2065" t="s">
        <v>7012</v>
      </c>
      <c r="H16" s="2064">
        <v>4064</v>
      </c>
    </row>
    <row r="17" spans="1:8">
      <c r="A17" s="2065" t="s">
        <v>7013</v>
      </c>
      <c r="B17" s="2064">
        <v>876</v>
      </c>
      <c r="C17" s="2065" t="s">
        <v>7014</v>
      </c>
      <c r="D17" s="2064">
        <v>1626</v>
      </c>
      <c r="E17" s="2065" t="s">
        <v>7015</v>
      </c>
      <c r="F17" s="2064">
        <v>2515</v>
      </c>
      <c r="G17" s="2065" t="s">
        <v>7016</v>
      </c>
      <c r="H17" s="2064">
        <v>4115</v>
      </c>
    </row>
    <row r="18" spans="1:8">
      <c r="A18" s="2065" t="s">
        <v>7017</v>
      </c>
      <c r="B18" s="2064">
        <v>889</v>
      </c>
      <c r="C18" s="2065" t="s">
        <v>7018</v>
      </c>
      <c r="D18" s="2064">
        <v>1651</v>
      </c>
      <c r="E18" s="2065" t="s">
        <v>7019</v>
      </c>
      <c r="F18" s="2064">
        <v>2565</v>
      </c>
      <c r="G18" s="2065" t="s">
        <v>7020</v>
      </c>
      <c r="H18" s="2064">
        <v>4166</v>
      </c>
    </row>
    <row r="19" spans="1:8">
      <c r="A19" s="2065" t="s">
        <v>7021</v>
      </c>
      <c r="B19" s="2064">
        <v>940</v>
      </c>
      <c r="C19" s="2065" t="s">
        <v>7022</v>
      </c>
      <c r="D19" s="2064">
        <v>1676</v>
      </c>
      <c r="E19" s="2065" t="s">
        <v>7023</v>
      </c>
      <c r="F19" s="2064">
        <v>2616</v>
      </c>
      <c r="G19" s="2065" t="s">
        <v>7024</v>
      </c>
      <c r="H19" s="2064">
        <v>4242</v>
      </c>
    </row>
    <row r="20" spans="1:8">
      <c r="A20" s="2065" t="s">
        <v>7025</v>
      </c>
      <c r="B20" s="2064">
        <v>953</v>
      </c>
      <c r="C20" s="2065" t="s">
        <v>7026</v>
      </c>
      <c r="D20" s="2064">
        <v>1702</v>
      </c>
      <c r="E20" s="2065" t="s">
        <v>7027</v>
      </c>
      <c r="F20" s="2064">
        <v>2642</v>
      </c>
      <c r="G20" s="2065" t="s">
        <v>7028</v>
      </c>
      <c r="H20" s="2064">
        <v>4267</v>
      </c>
    </row>
    <row r="21" spans="1:8">
      <c r="A21" s="2065" t="s">
        <v>7029</v>
      </c>
      <c r="B21" s="2064">
        <v>965</v>
      </c>
      <c r="C21" s="2065" t="s">
        <v>7030</v>
      </c>
      <c r="D21" s="2064">
        <v>1727</v>
      </c>
      <c r="E21" s="2065" t="s">
        <v>7031</v>
      </c>
      <c r="F21" s="2064">
        <v>2692</v>
      </c>
      <c r="G21" s="2065" t="s">
        <v>7032</v>
      </c>
      <c r="H21" s="2064">
        <v>4394</v>
      </c>
    </row>
    <row r="22" spans="1:8">
      <c r="A22" s="2065" t="s">
        <v>7033</v>
      </c>
      <c r="B22" s="2064">
        <v>991</v>
      </c>
      <c r="C22" s="2065" t="s">
        <v>7034</v>
      </c>
      <c r="D22" s="2064">
        <v>1765</v>
      </c>
      <c r="E22" s="2065" t="s">
        <v>7035</v>
      </c>
      <c r="F22" s="2064">
        <v>2743</v>
      </c>
      <c r="G22" s="2065" t="s">
        <v>7036</v>
      </c>
      <c r="H22" s="2064">
        <v>4547</v>
      </c>
    </row>
    <row r="23" spans="1:8">
      <c r="A23" s="2065" t="s">
        <v>7037</v>
      </c>
      <c r="B23" s="2064">
        <v>1016</v>
      </c>
      <c r="C23" s="2065" t="s">
        <v>7038</v>
      </c>
      <c r="D23" s="2064">
        <v>1778</v>
      </c>
      <c r="E23" s="2065" t="s">
        <v>7039</v>
      </c>
      <c r="F23" s="2064">
        <v>2769</v>
      </c>
      <c r="G23" s="2065" t="s">
        <v>7040</v>
      </c>
      <c r="H23" s="2064">
        <v>4572</v>
      </c>
    </row>
    <row r="24" spans="1:8">
      <c r="A24" s="2065" t="s">
        <v>7041</v>
      </c>
      <c r="B24" s="2064">
        <v>1041</v>
      </c>
      <c r="C24" s="2065" t="s">
        <v>7042</v>
      </c>
      <c r="D24" s="2064">
        <v>1803</v>
      </c>
      <c r="E24" s="2065" t="s">
        <v>7043</v>
      </c>
      <c r="F24" s="2064">
        <v>2794</v>
      </c>
      <c r="G24" s="2065" t="s">
        <v>7044</v>
      </c>
      <c r="H24" s="2064">
        <v>4750</v>
      </c>
    </row>
    <row r="25" spans="1:8">
      <c r="A25" s="2065" t="s">
        <v>7045</v>
      </c>
      <c r="B25" s="2064">
        <v>1054</v>
      </c>
      <c r="C25" s="2065" t="s">
        <v>7046</v>
      </c>
      <c r="D25" s="2064">
        <v>1854</v>
      </c>
      <c r="E25" s="2065" t="s">
        <v>7047</v>
      </c>
      <c r="F25" s="2064">
        <v>2819</v>
      </c>
      <c r="G25" s="2065" t="s">
        <v>7048</v>
      </c>
      <c r="H25" s="2064">
        <v>4851</v>
      </c>
    </row>
    <row r="26" spans="1:8">
      <c r="A26" s="2065" t="s">
        <v>7049</v>
      </c>
      <c r="B26" s="2064">
        <v>1067</v>
      </c>
      <c r="C26" s="2065" t="s">
        <v>7050</v>
      </c>
      <c r="D26" s="2064">
        <v>1880</v>
      </c>
      <c r="E26" s="2065" t="s">
        <v>7051</v>
      </c>
      <c r="F26" s="2064">
        <v>2896</v>
      </c>
      <c r="G26" s="2065" t="s">
        <v>7052</v>
      </c>
      <c r="H26" s="2064">
        <v>5283</v>
      </c>
    </row>
    <row r="27" spans="1:8">
      <c r="A27" s="2065" t="s">
        <v>7053</v>
      </c>
      <c r="B27" s="2064">
        <v>1092</v>
      </c>
      <c r="C27" s="2065" t="s">
        <v>7054</v>
      </c>
      <c r="D27" s="2064">
        <v>1981</v>
      </c>
      <c r="E27" s="2065" t="s">
        <v>7055</v>
      </c>
      <c r="F27" s="2064">
        <v>2946</v>
      </c>
      <c r="G27" s="2065" t="s">
        <v>7056</v>
      </c>
      <c r="H27" s="2064">
        <v>5740</v>
      </c>
    </row>
    <row r="28" spans="1:8">
      <c r="A28" s="2065" t="s">
        <v>7057</v>
      </c>
      <c r="B28" s="2064">
        <v>1118</v>
      </c>
      <c r="C28" s="2065" t="s">
        <v>7058</v>
      </c>
      <c r="D28" s="2064">
        <v>2007</v>
      </c>
      <c r="E28" s="2065" t="s">
        <v>7059</v>
      </c>
      <c r="F28" s="2064">
        <v>2972</v>
      </c>
      <c r="G28" s="2065" t="s">
        <v>7060</v>
      </c>
      <c r="H28" s="2064">
        <v>5994</v>
      </c>
    </row>
    <row r="29" spans="1:8">
      <c r="A29" s="2065" t="s">
        <v>7061</v>
      </c>
      <c r="B29" s="2064">
        <v>1143</v>
      </c>
      <c r="C29" s="2065" t="s">
        <v>7062</v>
      </c>
      <c r="D29" s="2064">
        <v>2057</v>
      </c>
      <c r="E29" s="2065" t="s">
        <v>7063</v>
      </c>
      <c r="F29" s="2064">
        <v>2997</v>
      </c>
      <c r="G29" s="2065" t="s">
        <v>7064</v>
      </c>
      <c r="H29" s="2064">
        <v>6045</v>
      </c>
    </row>
    <row r="30" spans="1:8">
      <c r="A30" s="2065" t="s">
        <v>7065</v>
      </c>
      <c r="B30" s="2064">
        <v>1156</v>
      </c>
      <c r="C30" s="2065" t="s">
        <v>7066</v>
      </c>
      <c r="D30" s="2064">
        <v>2083</v>
      </c>
      <c r="E30" s="2065" t="s">
        <v>7067</v>
      </c>
      <c r="F30" s="2064">
        <v>3023</v>
      </c>
      <c r="G30" s="2065" t="s">
        <v>7037</v>
      </c>
      <c r="H30" s="2064">
        <v>6096</v>
      </c>
    </row>
    <row r="31" spans="1:8">
      <c r="A31" s="2065" t="s">
        <v>7068</v>
      </c>
      <c r="B31" s="2064">
        <v>1168</v>
      </c>
      <c r="C31" s="2065" t="s">
        <v>7069</v>
      </c>
      <c r="D31" s="2064">
        <v>2108</v>
      </c>
      <c r="E31" s="2065" t="s">
        <v>7070</v>
      </c>
      <c r="F31" s="2064">
        <v>3048</v>
      </c>
      <c r="G31" s="2065" t="s">
        <v>7071</v>
      </c>
      <c r="H31" s="2064">
        <v>6299</v>
      </c>
    </row>
    <row r="32" spans="1:8">
      <c r="A32" s="2065" t="s">
        <v>7072</v>
      </c>
      <c r="B32" s="2064">
        <v>1219</v>
      </c>
      <c r="C32" s="2065" t="s">
        <v>7073</v>
      </c>
      <c r="D32" s="2064">
        <v>2159</v>
      </c>
      <c r="E32" s="2065" t="s">
        <v>7074</v>
      </c>
      <c r="F32" s="2064">
        <v>3175</v>
      </c>
      <c r="G32" s="2065" t="s">
        <v>7075</v>
      </c>
      <c r="H32" s="2064">
        <v>7112</v>
      </c>
    </row>
    <row r="33" spans="1:8">
      <c r="A33" s="2065" t="s">
        <v>7076</v>
      </c>
      <c r="B33" s="2064">
        <v>1245</v>
      </c>
      <c r="C33" s="2065" t="s">
        <v>7077</v>
      </c>
      <c r="D33" s="2064">
        <v>2184</v>
      </c>
      <c r="E33" s="2065" t="s">
        <v>7078</v>
      </c>
      <c r="F33" s="2064">
        <v>3200</v>
      </c>
      <c r="G33" s="2065" t="s">
        <v>7079</v>
      </c>
      <c r="H33" s="2064">
        <v>7569</v>
      </c>
    </row>
    <row r="34" spans="1:8">
      <c r="A34" s="2065" t="s">
        <v>7080</v>
      </c>
      <c r="B34" s="2064">
        <v>1270</v>
      </c>
      <c r="C34" s="2065" t="s">
        <v>7081</v>
      </c>
      <c r="D34" s="2064">
        <v>2235</v>
      </c>
      <c r="E34" s="2065" t="s">
        <v>7082</v>
      </c>
      <c r="F34" s="2064">
        <v>3251</v>
      </c>
      <c r="G34" s="2065" t="s">
        <v>7083</v>
      </c>
      <c r="H34" s="2064">
        <v>8763</v>
      </c>
    </row>
  </sheetData>
  <mergeCells count="1">
    <mergeCell ref="A1:D4"/>
  </mergeCells>
  <phoneticPr fontId="378" type="noConversion"/>
  <hyperlinks>
    <hyperlink ref="H2" location="总目录!A1" display="返回目录"/>
  </hyperlinks>
  <pageMargins left="0.75" right="0.75" top="1" bottom="1" header="0.5" footer="0.5"/>
  <headerFooter scaleWithDoc="0"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topLeftCell="A10" workbookViewId="0">
      <selection activeCell="K3" sqref="K3"/>
    </sheetView>
  </sheetViews>
  <sheetFormatPr defaultColWidth="8.75" defaultRowHeight="16.5"/>
  <cols>
    <col min="1" max="4" width="8.75" style="95"/>
    <col min="5" max="5" width="10.875" style="95" customWidth="1"/>
    <col min="6" max="16384" width="8.75" style="95"/>
  </cols>
  <sheetData>
    <row r="1" spans="1:8">
      <c r="A1" s="3569"/>
      <c r="B1" s="3570"/>
      <c r="C1" s="3570"/>
      <c r="D1" s="3571"/>
      <c r="E1" s="2049"/>
      <c r="F1" s="2050"/>
      <c r="G1" s="2050"/>
      <c r="H1" s="2051"/>
    </row>
    <row r="2" spans="1:8">
      <c r="A2" s="3572"/>
      <c r="B2" s="3573"/>
      <c r="C2" s="3573"/>
      <c r="D2" s="3574"/>
      <c r="E2" s="2054" t="s">
        <v>7084</v>
      </c>
      <c r="F2" s="2055" t="s">
        <v>7085</v>
      </c>
      <c r="H2" s="2056"/>
    </row>
    <row r="3" spans="1:8">
      <c r="A3" s="3572"/>
      <c r="B3" s="3573"/>
      <c r="C3" s="3573"/>
      <c r="D3" s="3574"/>
      <c r="E3" s="2054" t="s">
        <v>7086</v>
      </c>
      <c r="F3" s="2055" t="s">
        <v>7087</v>
      </c>
      <c r="H3" s="2056"/>
    </row>
    <row r="4" spans="1:8">
      <c r="A4" s="3575"/>
      <c r="B4" s="3576"/>
      <c r="C4" s="3576"/>
      <c r="D4" s="3577"/>
      <c r="E4" s="2059" t="s">
        <v>6867</v>
      </c>
      <c r="F4" s="2060" t="s">
        <v>7088</v>
      </c>
      <c r="G4" s="2061"/>
      <c r="H4" s="2062"/>
    </row>
    <row r="5" spans="1:8">
      <c r="A5" s="2063" t="s">
        <v>6869</v>
      </c>
      <c r="B5" s="2064" t="s">
        <v>6870</v>
      </c>
      <c r="C5" s="2063" t="s">
        <v>6869</v>
      </c>
      <c r="D5" s="2064" t="s">
        <v>6870</v>
      </c>
      <c r="E5" s="2063" t="s">
        <v>6869</v>
      </c>
      <c r="F5" s="2064" t="s">
        <v>6870</v>
      </c>
      <c r="G5" s="2063" t="s">
        <v>6869</v>
      </c>
      <c r="H5" s="2064" t="s">
        <v>6870</v>
      </c>
    </row>
    <row r="6" spans="1:8">
      <c r="A6" s="2065" t="s">
        <v>7089</v>
      </c>
      <c r="B6" s="2064">
        <v>381</v>
      </c>
      <c r="C6" s="2065" t="s">
        <v>7090</v>
      </c>
      <c r="D6" s="2064">
        <v>1067</v>
      </c>
      <c r="E6" s="2065" t="s">
        <v>7091</v>
      </c>
      <c r="F6" s="2064">
        <v>1829</v>
      </c>
      <c r="G6" s="2065" t="s">
        <v>7092</v>
      </c>
      <c r="H6" s="2064">
        <v>2438</v>
      </c>
    </row>
    <row r="7" spans="1:8">
      <c r="A7" s="2065" t="s">
        <v>7093</v>
      </c>
      <c r="B7" s="2064">
        <v>457</v>
      </c>
      <c r="C7" s="2065" t="s">
        <v>7094</v>
      </c>
      <c r="D7" s="2064">
        <v>1092</v>
      </c>
      <c r="E7" s="2065" t="s">
        <v>7095</v>
      </c>
      <c r="F7" s="2064">
        <v>1880</v>
      </c>
      <c r="G7" s="2065" t="s">
        <v>7096</v>
      </c>
      <c r="H7" s="2064">
        <v>2489</v>
      </c>
    </row>
    <row r="8" spans="1:8">
      <c r="A8" s="2065" t="s">
        <v>641</v>
      </c>
      <c r="B8" s="2064">
        <v>508</v>
      </c>
      <c r="C8" s="2065" t="s">
        <v>7097</v>
      </c>
      <c r="D8" s="2064">
        <v>1105</v>
      </c>
      <c r="E8" s="2065" t="s">
        <v>7098</v>
      </c>
      <c r="F8" s="2064">
        <v>1905</v>
      </c>
      <c r="G8" s="2065" t="s">
        <v>155</v>
      </c>
      <c r="H8" s="2064">
        <v>2515</v>
      </c>
    </row>
    <row r="9" spans="1:8">
      <c r="A9" s="2065" t="s">
        <v>7099</v>
      </c>
      <c r="B9" s="2064">
        <v>559</v>
      </c>
      <c r="C9" s="2065" t="s">
        <v>7100</v>
      </c>
      <c r="D9" s="2064">
        <v>1118</v>
      </c>
      <c r="E9" s="2065" t="s">
        <v>7101</v>
      </c>
      <c r="F9" s="2064">
        <v>1930</v>
      </c>
      <c r="G9" s="2065" t="s">
        <v>7102</v>
      </c>
      <c r="H9" s="2064">
        <v>2565</v>
      </c>
    </row>
    <row r="10" spans="1:8">
      <c r="A10" s="2065" t="s">
        <v>7103</v>
      </c>
      <c r="B10" s="2064">
        <v>584</v>
      </c>
      <c r="C10" s="2065" t="s">
        <v>7104</v>
      </c>
      <c r="D10" s="2064">
        <v>1143</v>
      </c>
      <c r="E10" s="2065" t="s">
        <v>7105</v>
      </c>
      <c r="F10" s="2064">
        <v>1956</v>
      </c>
      <c r="G10" s="2065" t="s">
        <v>7106</v>
      </c>
      <c r="H10" s="2064">
        <v>2591</v>
      </c>
    </row>
    <row r="11" spans="1:8">
      <c r="A11" s="2065" t="s">
        <v>7107</v>
      </c>
      <c r="B11" s="2064">
        <v>597</v>
      </c>
      <c r="C11" s="2065" t="s">
        <v>7108</v>
      </c>
      <c r="D11" s="2064">
        <v>1156</v>
      </c>
      <c r="E11" s="2065" t="s">
        <v>7109</v>
      </c>
      <c r="F11" s="2064">
        <v>1727</v>
      </c>
      <c r="G11" s="2065" t="s">
        <v>7110</v>
      </c>
      <c r="H11" s="2064">
        <v>2616</v>
      </c>
    </row>
    <row r="12" spans="1:8">
      <c r="A12" s="2065" t="s">
        <v>7111</v>
      </c>
      <c r="B12" s="2064">
        <v>610</v>
      </c>
      <c r="C12" s="2065" t="s">
        <v>7112</v>
      </c>
      <c r="D12" s="2064">
        <v>1168</v>
      </c>
      <c r="E12" s="2065" t="s">
        <v>7113</v>
      </c>
      <c r="F12" s="2064">
        <v>1753</v>
      </c>
      <c r="G12" s="2065" t="s">
        <v>7114</v>
      </c>
      <c r="H12" s="2064">
        <v>2642</v>
      </c>
    </row>
    <row r="13" spans="1:8">
      <c r="A13" s="2065" t="s">
        <v>7115</v>
      </c>
      <c r="B13" s="2064">
        <v>635</v>
      </c>
      <c r="C13" s="2065" t="s">
        <v>7116</v>
      </c>
      <c r="D13" s="2064">
        <v>1181</v>
      </c>
      <c r="E13" s="2065" t="s">
        <v>7117</v>
      </c>
      <c r="F13" s="2064">
        <v>1778</v>
      </c>
      <c r="G13" s="2065" t="s">
        <v>7118</v>
      </c>
      <c r="H13" s="2064">
        <v>2667</v>
      </c>
    </row>
    <row r="14" spans="1:8">
      <c r="A14" s="2065" t="s">
        <v>7119</v>
      </c>
      <c r="B14" s="2064">
        <v>660</v>
      </c>
      <c r="C14" s="2065" t="s">
        <v>7120</v>
      </c>
      <c r="D14" s="2064">
        <v>1194</v>
      </c>
      <c r="E14" s="2065" t="s">
        <v>7121</v>
      </c>
      <c r="F14" s="2064">
        <v>1803</v>
      </c>
      <c r="G14" s="2065" t="s">
        <v>7122</v>
      </c>
      <c r="H14" s="2064">
        <v>2718</v>
      </c>
    </row>
    <row r="15" spans="1:8">
      <c r="A15" s="2065" t="s">
        <v>7123</v>
      </c>
      <c r="B15" s="2064">
        <v>686</v>
      </c>
      <c r="C15" s="2065" t="s">
        <v>7124</v>
      </c>
      <c r="D15" s="2064">
        <v>1219</v>
      </c>
      <c r="E15" s="2065" t="s">
        <v>7125</v>
      </c>
      <c r="F15" s="2064">
        <v>1854</v>
      </c>
      <c r="G15" s="2065" t="s">
        <v>7126</v>
      </c>
      <c r="H15" s="2064">
        <v>2743</v>
      </c>
    </row>
    <row r="16" spans="1:8">
      <c r="A16" s="2065" t="s">
        <v>7127</v>
      </c>
      <c r="B16" s="2064">
        <v>711</v>
      </c>
      <c r="C16" s="2065" t="s">
        <v>7128</v>
      </c>
      <c r="D16" s="2064">
        <v>1245</v>
      </c>
      <c r="E16" s="2065" t="s">
        <v>7129</v>
      </c>
      <c r="F16" s="2064">
        <v>1905</v>
      </c>
      <c r="G16" s="2065" t="s">
        <v>7130</v>
      </c>
      <c r="H16" s="2064">
        <v>2794</v>
      </c>
    </row>
    <row r="17" spans="1:8">
      <c r="A17" s="2065" t="s">
        <v>7131</v>
      </c>
      <c r="B17" s="2064">
        <v>737</v>
      </c>
      <c r="C17" s="2065" t="s">
        <v>7132</v>
      </c>
      <c r="D17" s="2064">
        <v>1270</v>
      </c>
      <c r="E17" s="2065" t="s">
        <v>7133</v>
      </c>
      <c r="F17" s="2064">
        <v>1930</v>
      </c>
      <c r="G17" s="2065" t="s">
        <v>7134</v>
      </c>
      <c r="H17" s="2064">
        <v>2845</v>
      </c>
    </row>
    <row r="18" spans="1:8">
      <c r="A18" s="2065" t="s">
        <v>7135</v>
      </c>
      <c r="B18" s="2064">
        <v>749</v>
      </c>
      <c r="C18" s="2065" t="s">
        <v>7136</v>
      </c>
      <c r="D18" s="2064">
        <v>1295</v>
      </c>
      <c r="E18" s="2065" t="s">
        <v>7137</v>
      </c>
      <c r="F18" s="2064">
        <v>1956</v>
      </c>
      <c r="G18" s="2065" t="s">
        <v>7138</v>
      </c>
      <c r="H18" s="2064">
        <v>2870</v>
      </c>
    </row>
    <row r="19" spans="1:8">
      <c r="A19" s="2065" t="s">
        <v>647</v>
      </c>
      <c r="B19" s="2064">
        <v>762</v>
      </c>
      <c r="C19" s="2065" t="s">
        <v>7139</v>
      </c>
      <c r="D19" s="2064">
        <v>1321</v>
      </c>
      <c r="E19" s="2065" t="s">
        <v>7140</v>
      </c>
      <c r="F19" s="2064">
        <v>1981</v>
      </c>
      <c r="G19" s="2065" t="s">
        <v>7141</v>
      </c>
      <c r="H19" s="2064">
        <v>2896</v>
      </c>
    </row>
    <row r="20" spans="1:8">
      <c r="A20" s="2065" t="s">
        <v>7142</v>
      </c>
      <c r="B20" s="2064">
        <v>787</v>
      </c>
      <c r="C20" s="2065" t="s">
        <v>7143</v>
      </c>
      <c r="D20" s="2064">
        <v>1346</v>
      </c>
      <c r="E20" s="2065" t="s">
        <v>7144</v>
      </c>
      <c r="F20" s="2064">
        <v>2007</v>
      </c>
      <c r="G20" s="2065" t="s">
        <v>7145</v>
      </c>
      <c r="H20" s="2064">
        <v>2921</v>
      </c>
    </row>
    <row r="21" spans="1:8">
      <c r="A21" s="2065" t="s">
        <v>7146</v>
      </c>
      <c r="B21" s="2064">
        <v>813</v>
      </c>
      <c r="C21" s="2065" t="s">
        <v>7147</v>
      </c>
      <c r="D21" s="2064">
        <v>1397</v>
      </c>
      <c r="E21" s="2065" t="s">
        <v>7148</v>
      </c>
      <c r="F21" s="2064">
        <v>2057</v>
      </c>
      <c r="G21" s="2065" t="s">
        <v>7149</v>
      </c>
      <c r="H21" s="2064">
        <v>2997</v>
      </c>
    </row>
    <row r="22" spans="1:8">
      <c r="A22" s="2065" t="s">
        <v>7150</v>
      </c>
      <c r="B22" s="2064">
        <v>826</v>
      </c>
      <c r="C22" s="2065" t="s">
        <v>7151</v>
      </c>
      <c r="D22" s="2064">
        <v>1422</v>
      </c>
      <c r="E22" s="2065" t="s">
        <v>7152</v>
      </c>
      <c r="F22" s="2064">
        <v>2083</v>
      </c>
      <c r="G22" s="2065" t="s">
        <v>7153</v>
      </c>
      <c r="H22" s="2064">
        <v>3048</v>
      </c>
    </row>
    <row r="23" spans="1:8">
      <c r="A23" s="2065" t="s">
        <v>7154</v>
      </c>
      <c r="B23" s="2064">
        <v>838</v>
      </c>
      <c r="C23" s="2065" t="s">
        <v>7155</v>
      </c>
      <c r="D23" s="2064">
        <v>1448</v>
      </c>
      <c r="E23" s="2065" t="s">
        <v>7125</v>
      </c>
      <c r="F23" s="2064">
        <v>2108</v>
      </c>
      <c r="G23" s="2065" t="s">
        <v>7156</v>
      </c>
      <c r="H23" s="2064">
        <v>3150</v>
      </c>
    </row>
    <row r="24" spans="1:8">
      <c r="A24" s="2065" t="s">
        <v>7157</v>
      </c>
      <c r="B24" s="2064">
        <v>864</v>
      </c>
      <c r="C24" s="2065" t="s">
        <v>7158</v>
      </c>
      <c r="D24" s="2064">
        <v>1473</v>
      </c>
      <c r="E24" s="2065" t="s">
        <v>7159</v>
      </c>
      <c r="F24" s="2064">
        <v>2121</v>
      </c>
      <c r="G24" s="2065" t="s">
        <v>7160</v>
      </c>
      <c r="H24" s="2064">
        <v>3175</v>
      </c>
    </row>
    <row r="25" spans="1:8">
      <c r="A25" s="2065" t="s">
        <v>7161</v>
      </c>
      <c r="B25" s="2064">
        <v>876</v>
      </c>
      <c r="C25" s="2065" t="s">
        <v>7162</v>
      </c>
      <c r="D25" s="2064">
        <v>1499</v>
      </c>
      <c r="E25" s="2065" t="s">
        <v>7163</v>
      </c>
      <c r="F25" s="2064">
        <v>2134</v>
      </c>
      <c r="G25" s="2065" t="s">
        <v>7164</v>
      </c>
      <c r="H25" s="2064">
        <v>3200</v>
      </c>
    </row>
    <row r="26" spans="1:8">
      <c r="A26" s="2065" t="s">
        <v>7165</v>
      </c>
      <c r="B26" s="2064">
        <v>889</v>
      </c>
      <c r="C26" s="2065" t="s">
        <v>7166</v>
      </c>
      <c r="D26" s="2064">
        <v>1524</v>
      </c>
      <c r="E26" s="2065" t="s">
        <v>7167</v>
      </c>
      <c r="F26" s="2064">
        <v>2146</v>
      </c>
      <c r="G26" s="2065" t="s">
        <v>7168</v>
      </c>
      <c r="H26" s="2064">
        <v>3251</v>
      </c>
    </row>
    <row r="27" spans="1:8">
      <c r="A27" s="2065" t="s">
        <v>7169</v>
      </c>
      <c r="B27" s="2064">
        <v>902</v>
      </c>
      <c r="C27" s="2065" t="s">
        <v>7170</v>
      </c>
      <c r="D27" s="2064">
        <v>1549</v>
      </c>
      <c r="E27" s="2065" t="s">
        <v>7129</v>
      </c>
      <c r="F27" s="2064">
        <v>2159</v>
      </c>
      <c r="G27" s="2065" t="s">
        <v>7171</v>
      </c>
      <c r="H27" s="2064">
        <v>3302</v>
      </c>
    </row>
    <row r="28" spans="1:8">
      <c r="A28" s="2065" t="s">
        <v>7172</v>
      </c>
      <c r="B28" s="2064">
        <v>914</v>
      </c>
      <c r="C28" s="2065" t="s">
        <v>7173</v>
      </c>
      <c r="D28" s="2064">
        <v>1575</v>
      </c>
      <c r="E28" s="2065" t="s">
        <v>7133</v>
      </c>
      <c r="F28" s="2064">
        <v>2184</v>
      </c>
      <c r="G28" s="2065" t="s">
        <v>7174</v>
      </c>
      <c r="H28" s="2064">
        <v>3353</v>
      </c>
    </row>
    <row r="29" spans="1:8">
      <c r="A29" s="2065" t="s">
        <v>7175</v>
      </c>
      <c r="B29" s="2064">
        <v>940</v>
      </c>
      <c r="C29" s="2065" t="s">
        <v>7176</v>
      </c>
      <c r="D29" s="2064">
        <v>1600</v>
      </c>
      <c r="E29" s="2065" t="s">
        <v>7137</v>
      </c>
      <c r="F29" s="2064">
        <v>2210</v>
      </c>
      <c r="G29" s="2065" t="s">
        <v>7177</v>
      </c>
      <c r="H29" s="2064">
        <v>3556</v>
      </c>
    </row>
    <row r="30" spans="1:8">
      <c r="A30" s="2065" t="s">
        <v>7178</v>
      </c>
      <c r="B30" s="2064">
        <v>965</v>
      </c>
      <c r="C30" s="2065" t="s">
        <v>7179</v>
      </c>
      <c r="D30" s="2064">
        <v>1651</v>
      </c>
      <c r="E30" s="2065" t="s">
        <v>7144</v>
      </c>
      <c r="F30" s="2064">
        <v>2261</v>
      </c>
      <c r="G30" s="2065" t="s">
        <v>7180</v>
      </c>
      <c r="H30" s="2064">
        <v>3759</v>
      </c>
    </row>
    <row r="31" spans="1:8">
      <c r="A31" s="2065" t="s">
        <v>7181</v>
      </c>
      <c r="B31" s="2064">
        <v>978</v>
      </c>
      <c r="C31" s="2065" t="s">
        <v>7182</v>
      </c>
      <c r="D31" s="2064">
        <v>1676</v>
      </c>
      <c r="E31" s="2065" t="s">
        <v>7183</v>
      </c>
      <c r="F31" s="2064">
        <v>2286</v>
      </c>
      <c r="G31" s="2065" t="s">
        <v>7184</v>
      </c>
      <c r="H31" s="2064">
        <v>3912</v>
      </c>
    </row>
    <row r="32" spans="1:8">
      <c r="A32" s="2065" t="s">
        <v>7185</v>
      </c>
      <c r="B32" s="2064">
        <v>991</v>
      </c>
      <c r="C32" s="2065" t="s">
        <v>7186</v>
      </c>
      <c r="D32" s="2064">
        <v>1702</v>
      </c>
      <c r="E32" s="2065" t="s">
        <v>7148</v>
      </c>
      <c r="F32" s="2064">
        <v>2311</v>
      </c>
      <c r="G32" s="2065" t="s">
        <v>7187</v>
      </c>
      <c r="H32" s="2064">
        <v>4115</v>
      </c>
    </row>
    <row r="33" spans="1:8">
      <c r="A33" s="2065" t="s">
        <v>7188</v>
      </c>
      <c r="B33" s="2064">
        <v>1016</v>
      </c>
      <c r="C33" s="2065" t="s">
        <v>7189</v>
      </c>
      <c r="D33" s="2064">
        <v>1727</v>
      </c>
      <c r="E33" s="2065" t="s">
        <v>7152</v>
      </c>
      <c r="F33" s="2064">
        <v>2337</v>
      </c>
      <c r="G33" s="2065" t="s">
        <v>7190</v>
      </c>
      <c r="H33" s="2064">
        <v>4242</v>
      </c>
    </row>
    <row r="34" spans="1:8">
      <c r="A34" s="2065" t="s">
        <v>7191</v>
      </c>
      <c r="B34" s="2064">
        <v>1041</v>
      </c>
      <c r="C34" s="2065" t="s">
        <v>7192</v>
      </c>
      <c r="D34" s="2064">
        <v>1778</v>
      </c>
      <c r="E34" s="2065" t="s">
        <v>7193</v>
      </c>
      <c r="F34" s="2064">
        <v>2388</v>
      </c>
      <c r="G34" s="2065" t="s">
        <v>7194</v>
      </c>
      <c r="H34" s="2064">
        <v>4877</v>
      </c>
    </row>
    <row r="35" spans="1:8">
      <c r="A35" s="2065" t="s">
        <v>7195</v>
      </c>
      <c r="B35" s="2064">
        <v>1054</v>
      </c>
      <c r="C35" s="2065" t="s">
        <v>7196</v>
      </c>
      <c r="D35" s="2064">
        <v>1803</v>
      </c>
      <c r="E35" s="2065" t="s">
        <v>162</v>
      </c>
      <c r="F35" s="2064">
        <v>2413</v>
      </c>
      <c r="G35" s="2065" t="s">
        <v>7197</v>
      </c>
      <c r="H35" s="2064">
        <v>5004</v>
      </c>
    </row>
    <row r="36" spans="1:8">
      <c r="H36" s="3166" t="s">
        <v>12717</v>
      </c>
    </row>
  </sheetData>
  <mergeCells count="1">
    <mergeCell ref="A1:D4"/>
  </mergeCells>
  <phoneticPr fontId="378" type="noConversion"/>
  <hyperlinks>
    <hyperlink ref="H36" location="总目录!A1" display="返回目录"/>
  </hyperlinks>
  <pageMargins left="0.75" right="0.75" top="1" bottom="1" header="0.5" footer="0.5"/>
  <pageSetup paperSize="9" orientation="portrait"/>
  <headerFooter scaleWithDoc="0"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4"/>
  <sheetViews>
    <sheetView zoomScale="70" zoomScaleNormal="70" workbookViewId="0">
      <selection activeCell="K3" sqref="K3"/>
    </sheetView>
  </sheetViews>
  <sheetFormatPr defaultColWidth="8.75" defaultRowHeight="16.5"/>
  <cols>
    <col min="1" max="16384" width="8.75" style="95"/>
  </cols>
  <sheetData>
    <row r="1" spans="3:3" ht="41.25" customHeight="1">
      <c r="C1" s="2045" t="s">
        <v>7198</v>
      </c>
    </row>
    <row r="2" spans="3:3" ht="29.25" customHeight="1"/>
    <row r="3" spans="3:3" ht="29.25" customHeight="1"/>
    <row r="4" spans="3:3" ht="29.25" customHeight="1"/>
    <row r="5" spans="3:3" ht="29.25" customHeight="1"/>
    <row r="6" spans="3:3" ht="29.25" customHeight="1"/>
    <row r="7" spans="3:3" ht="29.25" customHeight="1"/>
    <row r="8" spans="3:3" ht="29.25" customHeight="1"/>
    <row r="9" spans="3:3" ht="29.25" customHeight="1"/>
    <row r="10" spans="3:3" ht="29.25" customHeight="1"/>
    <row r="11" spans="3:3" ht="29.25" customHeight="1"/>
    <row r="12" spans="3:3" ht="29.25" customHeight="1"/>
    <row r="13" spans="3:3" ht="29.25" customHeight="1"/>
    <row r="14" spans="3:3" ht="29.25" customHeight="1"/>
    <row r="15" spans="3:3" ht="29.25" customHeight="1"/>
    <row r="16" spans="3:3" ht="29.25" customHeight="1"/>
    <row r="17" spans="1:16" ht="29.25" customHeight="1"/>
    <row r="18" spans="1:16" ht="29.25" customHeight="1"/>
    <row r="19" spans="1:16" ht="29.25" customHeight="1"/>
    <row r="20" spans="1:16" ht="29.25" customHeight="1"/>
    <row r="21" spans="1:16" ht="29.25" customHeight="1">
      <c r="A21" s="3368" t="s">
        <v>12710</v>
      </c>
      <c r="B21" s="3368"/>
      <c r="O21" s="3368" t="s">
        <v>12710</v>
      </c>
      <c r="P21" s="3368"/>
    </row>
    <row r="22" spans="1:16" ht="29.25" customHeight="1"/>
    <row r="23" spans="1:16" ht="29.25" customHeight="1"/>
    <row r="24" spans="1:16" ht="29.25" customHeight="1"/>
    <row r="25" spans="1:16" ht="29.25" customHeight="1"/>
    <row r="26" spans="1:16" ht="29.25" customHeight="1"/>
    <row r="27" spans="1:16" ht="29.25" customHeight="1"/>
    <row r="28" spans="1:16" ht="29.25" customHeight="1"/>
    <row r="29" spans="1:16" ht="29.25" customHeight="1"/>
    <row r="30" spans="1:16" ht="29.25" customHeight="1"/>
    <row r="31" spans="1:16" ht="29.25" customHeight="1"/>
    <row r="32" spans="1:16" ht="29.25" customHeight="1"/>
    <row r="33" ht="29.25" customHeight="1"/>
    <row r="34" ht="29.25" customHeight="1"/>
  </sheetData>
  <mergeCells count="2">
    <mergeCell ref="O21:P21"/>
    <mergeCell ref="A21:B21"/>
  </mergeCells>
  <phoneticPr fontId="378" type="noConversion"/>
  <hyperlinks>
    <hyperlink ref="O21:P21" location="齿轮齿条电机选型!A1" display="返回目录"/>
    <hyperlink ref="A21:B21" location="齿轮齿条电机选型!A1" display="返回目录"/>
  </hyperlinks>
  <pageMargins left="0.75" right="0.75" top="1" bottom="1" header="0.5" footer="0.5"/>
  <headerFooter scaleWithDoc="0"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
  <sheetViews>
    <sheetView topLeftCell="A19" zoomScale="85" zoomScaleNormal="85" workbookViewId="0">
      <selection activeCell="K3" sqref="K3"/>
    </sheetView>
  </sheetViews>
  <sheetFormatPr defaultColWidth="8.75" defaultRowHeight="16.5"/>
  <cols>
    <col min="1" max="3" width="8.75" style="95"/>
    <col min="4" max="4" width="4.75" style="95" customWidth="1"/>
    <col min="5" max="7" width="8.75" style="95"/>
    <col min="8" max="8" width="4.25" style="95" customWidth="1"/>
    <col min="9" max="16384" width="8.75" style="95"/>
  </cols>
  <sheetData>
    <row r="1" spans="1:13" ht="24" customHeight="1">
      <c r="A1" s="3578" t="s">
        <v>7199</v>
      </c>
      <c r="B1" s="3578"/>
      <c r="C1" s="3578"/>
      <c r="D1" s="3578"/>
      <c r="E1" s="3578"/>
      <c r="F1" s="3578"/>
      <c r="G1" s="3578"/>
      <c r="H1" s="3578"/>
      <c r="I1" s="3578"/>
      <c r="J1" s="3578"/>
      <c r="K1" s="3578"/>
    </row>
    <row r="2" spans="1:13" ht="76.5" customHeight="1">
      <c r="A2" s="2033"/>
      <c r="B2" s="2033"/>
      <c r="C2" s="2033"/>
      <c r="D2" s="2033"/>
      <c r="E2" s="2033"/>
      <c r="F2" s="2033"/>
      <c r="G2" s="2033"/>
      <c r="H2" s="2033"/>
      <c r="I2" s="2033"/>
      <c r="J2" s="2033"/>
      <c r="K2" s="2033"/>
    </row>
    <row r="3" spans="1:13" ht="75.75" customHeight="1">
      <c r="A3" s="2033"/>
      <c r="B3" s="2033"/>
      <c r="C3" s="2033"/>
      <c r="D3" s="2033"/>
      <c r="E3" s="2033"/>
      <c r="F3" s="2033"/>
      <c r="G3" s="2033"/>
      <c r="H3" s="2033"/>
      <c r="I3" s="2033"/>
      <c r="J3" s="2033"/>
      <c r="K3" s="2033"/>
    </row>
    <row r="4" spans="1:13" ht="82.5" customHeight="1">
      <c r="A4" s="2033"/>
      <c r="B4" s="2033"/>
      <c r="C4" s="2033"/>
      <c r="D4" s="2033"/>
      <c r="E4" s="2033"/>
      <c r="F4" s="2033"/>
      <c r="G4" s="2033"/>
      <c r="H4" s="2033"/>
      <c r="I4" s="2033"/>
      <c r="J4" s="2033"/>
      <c r="K4" s="2033"/>
    </row>
    <row r="5" spans="1:13" ht="21.75" customHeight="1">
      <c r="A5" s="2034" t="s">
        <v>7200</v>
      </c>
      <c r="B5" s="2035" t="s">
        <v>7201</v>
      </c>
      <c r="C5" s="2035" t="s">
        <v>6661</v>
      </c>
      <c r="D5" s="2035"/>
      <c r="E5" s="2035" t="s">
        <v>7202</v>
      </c>
      <c r="F5" s="2035" t="s">
        <v>7201</v>
      </c>
      <c r="G5" s="2035" t="s">
        <v>6661</v>
      </c>
      <c r="H5" s="2035"/>
      <c r="I5" s="2035" t="s">
        <v>7203</v>
      </c>
      <c r="J5" s="2035" t="s">
        <v>7201</v>
      </c>
      <c r="K5" s="2042" t="s">
        <v>6661</v>
      </c>
      <c r="L5" s="3368" t="s">
        <v>12717</v>
      </c>
      <c r="M5" s="3368"/>
    </row>
    <row r="6" spans="1:13" ht="14.25" customHeight="1">
      <c r="A6" s="2036" t="str">
        <f t="shared" ref="A6:A38" si="0">"SPA"&amp;B6</f>
        <v>SPA40</v>
      </c>
      <c r="B6" s="2037">
        <v>40</v>
      </c>
      <c r="C6" s="2038">
        <f t="shared" ref="C6:C38" si="1">B6+5.5</f>
        <v>45.5</v>
      </c>
      <c r="D6" s="479"/>
      <c r="E6" s="479"/>
      <c r="F6" s="479"/>
      <c r="G6" s="479"/>
      <c r="H6" s="479"/>
      <c r="I6" s="2043"/>
      <c r="J6" s="479"/>
      <c r="K6" s="2044"/>
    </row>
    <row r="7" spans="1:13" ht="14.25" customHeight="1">
      <c r="A7" s="469" t="str">
        <f t="shared" si="0"/>
        <v>SPA50</v>
      </c>
      <c r="B7" s="470">
        <v>50</v>
      </c>
      <c r="C7" s="2038">
        <f t="shared" si="1"/>
        <v>55.5</v>
      </c>
      <c r="D7" s="479"/>
      <c r="E7" s="479"/>
      <c r="F7" s="479"/>
      <c r="G7" s="479"/>
      <c r="H7" s="479"/>
      <c r="I7" s="2043"/>
      <c r="J7" s="479"/>
      <c r="K7" s="2044"/>
    </row>
    <row r="8" spans="1:13" ht="14.25" customHeight="1">
      <c r="A8" s="469" t="str">
        <f t="shared" si="0"/>
        <v>SPA60</v>
      </c>
      <c r="B8" s="470">
        <v>60</v>
      </c>
      <c r="C8" s="2038">
        <f t="shared" si="1"/>
        <v>65.5</v>
      </c>
      <c r="D8" s="479"/>
      <c r="E8" s="479"/>
      <c r="F8" s="479"/>
      <c r="G8" s="479"/>
      <c r="H8" s="479"/>
      <c r="I8" s="2043"/>
      <c r="J8" s="479"/>
      <c r="K8" s="2044"/>
    </row>
    <row r="9" spans="1:13" ht="14.25" customHeight="1">
      <c r="A9" s="469" t="str">
        <f t="shared" si="0"/>
        <v>SPA71</v>
      </c>
      <c r="B9" s="470">
        <v>71</v>
      </c>
      <c r="C9" s="2038">
        <f t="shared" si="1"/>
        <v>76.5</v>
      </c>
      <c r="D9" s="479"/>
      <c r="E9" s="479"/>
      <c r="F9" s="479"/>
      <c r="G9" s="479"/>
      <c r="H9" s="479"/>
      <c r="I9" s="2043"/>
      <c r="J9" s="479"/>
      <c r="K9" s="2044"/>
    </row>
    <row r="10" spans="1:13" ht="14.25" customHeight="1">
      <c r="A10" s="469" t="str">
        <f t="shared" si="0"/>
        <v>SPA75</v>
      </c>
      <c r="B10" s="470">
        <v>75</v>
      </c>
      <c r="C10" s="2038">
        <f t="shared" si="1"/>
        <v>80.5</v>
      </c>
      <c r="D10" s="479"/>
      <c r="E10" s="479"/>
      <c r="F10" s="479"/>
      <c r="G10" s="479"/>
      <c r="H10" s="479"/>
      <c r="I10" s="2043"/>
      <c r="J10" s="479"/>
      <c r="K10" s="2044"/>
    </row>
    <row r="11" spans="1:13" ht="14.25" customHeight="1">
      <c r="A11" s="469" t="str">
        <f t="shared" si="0"/>
        <v>SPA80</v>
      </c>
      <c r="B11" s="470">
        <v>80</v>
      </c>
      <c r="C11" s="2038">
        <f t="shared" si="1"/>
        <v>85.5</v>
      </c>
      <c r="D11" s="479"/>
      <c r="E11" s="479"/>
      <c r="F11" s="479"/>
      <c r="G11" s="479"/>
      <c r="H11" s="479"/>
      <c r="I11" s="2043"/>
      <c r="J11" s="479"/>
      <c r="K11" s="2044"/>
    </row>
    <row r="12" spans="1:13" ht="14.25" customHeight="1">
      <c r="A12" s="469" t="str">
        <f t="shared" si="0"/>
        <v>SPA85</v>
      </c>
      <c r="B12" s="470">
        <v>85</v>
      </c>
      <c r="C12" s="2038">
        <f t="shared" si="1"/>
        <v>90.5</v>
      </c>
      <c r="D12" s="2039"/>
      <c r="E12" s="2036" t="str">
        <f t="shared" ref="E12:E38" si="2">"SPB"&amp;F12</f>
        <v>SPB70</v>
      </c>
      <c r="F12" s="2037">
        <v>70</v>
      </c>
      <c r="G12" s="2038">
        <f t="shared" ref="G12:G38" si="3">F12+7</f>
        <v>77</v>
      </c>
      <c r="H12" s="479"/>
      <c r="I12" s="2043"/>
      <c r="J12" s="479"/>
      <c r="K12" s="2044"/>
    </row>
    <row r="13" spans="1:13" ht="14.25" customHeight="1">
      <c r="A13" s="469" t="str">
        <f t="shared" si="0"/>
        <v>SPA90</v>
      </c>
      <c r="B13" s="470">
        <v>90</v>
      </c>
      <c r="C13" s="2038">
        <f t="shared" si="1"/>
        <v>95.5</v>
      </c>
      <c r="D13" s="1003"/>
      <c r="E13" s="469" t="str">
        <f t="shared" si="2"/>
        <v>SPB80</v>
      </c>
      <c r="F13" s="470">
        <v>80</v>
      </c>
      <c r="G13" s="476">
        <f t="shared" si="3"/>
        <v>87</v>
      </c>
      <c r="H13" s="479"/>
      <c r="I13" s="2043"/>
      <c r="J13" s="479"/>
      <c r="K13" s="2044"/>
    </row>
    <row r="14" spans="1:13" ht="14.25" customHeight="1">
      <c r="A14" s="469" t="str">
        <f t="shared" si="0"/>
        <v>SPA95</v>
      </c>
      <c r="B14" s="470">
        <v>95</v>
      </c>
      <c r="C14" s="2038">
        <f t="shared" si="1"/>
        <v>100.5</v>
      </c>
      <c r="D14" s="1003"/>
      <c r="E14" s="469" t="str">
        <f t="shared" si="2"/>
        <v>SPB90</v>
      </c>
      <c r="F14" s="470">
        <v>90</v>
      </c>
      <c r="G14" s="476">
        <f t="shared" si="3"/>
        <v>97</v>
      </c>
      <c r="H14" s="479"/>
      <c r="I14" s="2043"/>
      <c r="J14" s="479"/>
      <c r="K14" s="2044"/>
    </row>
    <row r="15" spans="1:13" ht="14.25" customHeight="1">
      <c r="A15" s="469" t="str">
        <f t="shared" si="0"/>
        <v>SPA100</v>
      </c>
      <c r="B15" s="470">
        <v>100</v>
      </c>
      <c r="C15" s="2038">
        <f t="shared" si="1"/>
        <v>105.5</v>
      </c>
      <c r="D15" s="1003"/>
      <c r="E15" s="469" t="str">
        <f t="shared" si="2"/>
        <v>SPB100</v>
      </c>
      <c r="F15" s="470">
        <v>100</v>
      </c>
      <c r="G15" s="476">
        <f t="shared" si="3"/>
        <v>107</v>
      </c>
      <c r="H15" s="1003"/>
      <c r="I15" s="2036" t="str">
        <f t="shared" ref="I15:I22" si="4">"SPC"&amp;J15</f>
        <v>SPC100</v>
      </c>
      <c r="J15" s="2037">
        <v>100</v>
      </c>
      <c r="K15" s="2038">
        <f t="shared" ref="K15:K22" si="5">J15+9.6</f>
        <v>109.6</v>
      </c>
    </row>
    <row r="16" spans="1:13" ht="14.25" customHeight="1">
      <c r="A16" s="469" t="str">
        <f t="shared" si="0"/>
        <v>SPA106</v>
      </c>
      <c r="B16" s="470">
        <v>106</v>
      </c>
      <c r="C16" s="2038">
        <f t="shared" si="1"/>
        <v>111.5</v>
      </c>
      <c r="D16" s="1003"/>
      <c r="E16" s="469" t="str">
        <f t="shared" si="2"/>
        <v>SPB112</v>
      </c>
      <c r="F16" s="470">
        <v>112</v>
      </c>
      <c r="G16" s="476">
        <f t="shared" si="3"/>
        <v>119</v>
      </c>
      <c r="H16" s="2040"/>
      <c r="I16" s="469"/>
      <c r="J16" s="470"/>
      <c r="K16" s="476"/>
    </row>
    <row r="17" spans="1:11" ht="14.25" customHeight="1">
      <c r="A17" s="469" t="str">
        <f t="shared" si="0"/>
        <v>SPA112</v>
      </c>
      <c r="B17" s="470">
        <v>112</v>
      </c>
      <c r="C17" s="2038">
        <f t="shared" si="1"/>
        <v>117.5</v>
      </c>
      <c r="D17" s="1003"/>
      <c r="E17" s="469" t="str">
        <f t="shared" si="2"/>
        <v>SPB120</v>
      </c>
      <c r="F17" s="470">
        <v>120</v>
      </c>
      <c r="G17" s="476">
        <f t="shared" si="3"/>
        <v>127</v>
      </c>
      <c r="H17" s="2040"/>
      <c r="I17" s="469" t="str">
        <f t="shared" si="4"/>
        <v>SPC120</v>
      </c>
      <c r="J17" s="470">
        <v>120</v>
      </c>
      <c r="K17" s="476">
        <f t="shared" si="5"/>
        <v>129.6</v>
      </c>
    </row>
    <row r="18" spans="1:11" ht="14.25" customHeight="1">
      <c r="A18" s="469" t="str">
        <f t="shared" si="0"/>
        <v>SPA118</v>
      </c>
      <c r="B18" s="470">
        <v>118</v>
      </c>
      <c r="C18" s="2038">
        <f t="shared" si="1"/>
        <v>123.5</v>
      </c>
      <c r="D18" s="1003"/>
      <c r="E18" s="469" t="str">
        <f t="shared" si="2"/>
        <v>SPB125</v>
      </c>
      <c r="F18" s="470">
        <v>125</v>
      </c>
      <c r="G18" s="476">
        <f t="shared" si="3"/>
        <v>132</v>
      </c>
      <c r="H18" s="2040"/>
      <c r="I18" s="469"/>
      <c r="J18" s="470"/>
      <c r="K18" s="476"/>
    </row>
    <row r="19" spans="1:11" ht="14.25" customHeight="1">
      <c r="A19" s="469" t="str">
        <f t="shared" si="0"/>
        <v>SPA132</v>
      </c>
      <c r="B19" s="470">
        <v>132</v>
      </c>
      <c r="C19" s="2038">
        <f t="shared" si="1"/>
        <v>137.5</v>
      </c>
      <c r="D19" s="1003"/>
      <c r="E19" s="469" t="str">
        <f t="shared" si="2"/>
        <v>SPB132</v>
      </c>
      <c r="F19" s="470">
        <v>132</v>
      </c>
      <c r="G19" s="476">
        <f t="shared" si="3"/>
        <v>139</v>
      </c>
      <c r="H19" s="2040"/>
      <c r="I19" s="469"/>
      <c r="J19" s="470"/>
      <c r="K19" s="476"/>
    </row>
    <row r="20" spans="1:11" ht="14.25" customHeight="1">
      <c r="A20" s="469" t="str">
        <f t="shared" si="0"/>
        <v>SPA140</v>
      </c>
      <c r="B20" s="470">
        <v>140</v>
      </c>
      <c r="C20" s="2038">
        <f t="shared" si="1"/>
        <v>145.5</v>
      </c>
      <c r="D20" s="1003"/>
      <c r="E20" s="469" t="str">
        <f t="shared" si="2"/>
        <v>SPB140</v>
      </c>
      <c r="F20" s="470">
        <v>140</v>
      </c>
      <c r="G20" s="476">
        <f t="shared" si="3"/>
        <v>147</v>
      </c>
      <c r="H20" s="2040"/>
      <c r="I20" s="469" t="str">
        <f t="shared" si="4"/>
        <v>SPC140</v>
      </c>
      <c r="J20" s="470">
        <v>140</v>
      </c>
      <c r="K20" s="476">
        <f t="shared" si="5"/>
        <v>149.6</v>
      </c>
    </row>
    <row r="21" spans="1:11" ht="14.25" customHeight="1">
      <c r="A21" s="469" t="str">
        <f t="shared" si="0"/>
        <v>SPA150</v>
      </c>
      <c r="B21" s="470">
        <v>150</v>
      </c>
      <c r="C21" s="2038">
        <f t="shared" si="1"/>
        <v>155.5</v>
      </c>
      <c r="D21" s="1003"/>
      <c r="E21" s="469" t="str">
        <f t="shared" si="2"/>
        <v>SPB150</v>
      </c>
      <c r="F21" s="470">
        <v>150</v>
      </c>
      <c r="G21" s="476">
        <f t="shared" si="3"/>
        <v>157</v>
      </c>
      <c r="H21" s="2040"/>
      <c r="I21" s="469" t="str">
        <f t="shared" si="4"/>
        <v>SPC150</v>
      </c>
      <c r="J21" s="470">
        <v>150</v>
      </c>
      <c r="K21" s="476">
        <f t="shared" si="5"/>
        <v>159.6</v>
      </c>
    </row>
    <row r="22" spans="1:11" ht="14.25" customHeight="1">
      <c r="A22" s="469" t="str">
        <f t="shared" si="0"/>
        <v>SPA160</v>
      </c>
      <c r="B22" s="470">
        <v>160</v>
      </c>
      <c r="C22" s="2038">
        <f t="shared" si="1"/>
        <v>165.5</v>
      </c>
      <c r="D22" s="1003"/>
      <c r="E22" s="469" t="str">
        <f t="shared" si="2"/>
        <v>SPB160</v>
      </c>
      <c r="F22" s="470">
        <v>160</v>
      </c>
      <c r="G22" s="476">
        <f t="shared" si="3"/>
        <v>167</v>
      </c>
      <c r="H22" s="2040"/>
      <c r="I22" s="469" t="str">
        <f t="shared" si="4"/>
        <v>SPC160</v>
      </c>
      <c r="J22" s="470">
        <v>160</v>
      </c>
      <c r="K22" s="476">
        <f t="shared" si="5"/>
        <v>169.6</v>
      </c>
    </row>
    <row r="23" spans="1:11" ht="14.25" customHeight="1">
      <c r="A23" s="469" t="str">
        <f t="shared" si="0"/>
        <v>SPA170</v>
      </c>
      <c r="B23" s="470">
        <v>170</v>
      </c>
      <c r="C23" s="2038">
        <f t="shared" si="1"/>
        <v>175.5</v>
      </c>
      <c r="D23" s="1003"/>
      <c r="E23" s="469" t="str">
        <f t="shared" si="2"/>
        <v>SPB170</v>
      </c>
      <c r="F23" s="470">
        <v>170</v>
      </c>
      <c r="G23" s="476">
        <f t="shared" si="3"/>
        <v>177</v>
      </c>
      <c r="H23" s="2040"/>
      <c r="I23" s="469"/>
      <c r="J23" s="470"/>
      <c r="K23" s="476"/>
    </row>
    <row r="24" spans="1:11" ht="14.25" customHeight="1">
      <c r="A24" s="469" t="str">
        <f t="shared" si="0"/>
        <v>SPA180</v>
      </c>
      <c r="B24" s="470">
        <v>180</v>
      </c>
      <c r="C24" s="2038">
        <f t="shared" si="1"/>
        <v>185.5</v>
      </c>
      <c r="D24" s="1003"/>
      <c r="E24" s="469" t="str">
        <f t="shared" si="2"/>
        <v>SPB180</v>
      </c>
      <c r="F24" s="470">
        <v>180</v>
      </c>
      <c r="G24" s="476">
        <f t="shared" si="3"/>
        <v>187</v>
      </c>
      <c r="H24" s="2040"/>
      <c r="I24" s="469" t="str">
        <f t="shared" ref="I24:I38" si="6">"SPC"&amp;J24</f>
        <v>SPC180</v>
      </c>
      <c r="J24" s="470">
        <v>180</v>
      </c>
      <c r="K24" s="476">
        <f t="shared" ref="K24:K38" si="7">J24+9.6</f>
        <v>189.6</v>
      </c>
    </row>
    <row r="25" spans="1:11" ht="14.25" customHeight="1">
      <c r="A25" s="469" t="str">
        <f t="shared" si="0"/>
        <v>SPA200</v>
      </c>
      <c r="B25" s="470">
        <v>200</v>
      </c>
      <c r="C25" s="2038">
        <f t="shared" si="1"/>
        <v>205.5</v>
      </c>
      <c r="D25" s="1003"/>
      <c r="E25" s="469" t="str">
        <f t="shared" si="2"/>
        <v>SPB200</v>
      </c>
      <c r="F25" s="470">
        <v>200</v>
      </c>
      <c r="G25" s="476">
        <f t="shared" si="3"/>
        <v>207</v>
      </c>
      <c r="H25" s="2040"/>
      <c r="I25" s="469" t="str">
        <f t="shared" si="6"/>
        <v>SPC200</v>
      </c>
      <c r="J25" s="470">
        <v>200</v>
      </c>
      <c r="K25" s="476">
        <f t="shared" si="7"/>
        <v>209.6</v>
      </c>
    </row>
    <row r="26" spans="1:11" ht="14.25" customHeight="1">
      <c r="A26" s="469" t="str">
        <f t="shared" si="0"/>
        <v>SPA212</v>
      </c>
      <c r="B26" s="470">
        <v>212</v>
      </c>
      <c r="C26" s="2038">
        <f t="shared" si="1"/>
        <v>217.5</v>
      </c>
      <c r="D26" s="1003"/>
      <c r="E26" s="469" t="str">
        <f t="shared" si="2"/>
        <v>SPB212</v>
      </c>
      <c r="F26" s="470">
        <v>212</v>
      </c>
      <c r="G26" s="476">
        <f t="shared" si="3"/>
        <v>219</v>
      </c>
      <c r="H26" s="2040"/>
      <c r="I26" s="469"/>
      <c r="J26" s="470"/>
      <c r="K26" s="476"/>
    </row>
    <row r="27" spans="1:11" ht="14.25" customHeight="1">
      <c r="A27" s="469" t="str">
        <f t="shared" si="0"/>
        <v>SPA224</v>
      </c>
      <c r="B27" s="470">
        <v>224</v>
      </c>
      <c r="C27" s="2038">
        <f t="shared" si="1"/>
        <v>229.5</v>
      </c>
      <c r="D27" s="1003"/>
      <c r="E27" s="469" t="str">
        <f t="shared" si="2"/>
        <v>SPB224</v>
      </c>
      <c r="F27" s="470">
        <v>224</v>
      </c>
      <c r="G27" s="476">
        <f t="shared" si="3"/>
        <v>231</v>
      </c>
      <c r="H27" s="2040"/>
      <c r="I27" s="469" t="str">
        <f t="shared" si="6"/>
        <v>SPC224</v>
      </c>
      <c r="J27" s="470">
        <v>224</v>
      </c>
      <c r="K27" s="476">
        <f t="shared" si="7"/>
        <v>233.6</v>
      </c>
    </row>
    <row r="28" spans="1:11" ht="14.25" customHeight="1">
      <c r="A28" s="469" t="str">
        <f t="shared" si="0"/>
        <v>SPA250</v>
      </c>
      <c r="B28" s="470">
        <v>250</v>
      </c>
      <c r="C28" s="2038">
        <f t="shared" si="1"/>
        <v>255.5</v>
      </c>
      <c r="D28" s="1003"/>
      <c r="E28" s="469" t="str">
        <f t="shared" si="2"/>
        <v>SPB250</v>
      </c>
      <c r="F28" s="470">
        <v>250</v>
      </c>
      <c r="G28" s="476">
        <f t="shared" si="3"/>
        <v>257</v>
      </c>
      <c r="H28" s="2040"/>
      <c r="I28" s="469" t="str">
        <f t="shared" si="6"/>
        <v>SPC250</v>
      </c>
      <c r="J28" s="470">
        <v>250</v>
      </c>
      <c r="K28" s="476">
        <f t="shared" si="7"/>
        <v>259.60000000000002</v>
      </c>
    </row>
    <row r="29" spans="1:11" ht="14.25" customHeight="1">
      <c r="A29" s="469" t="str">
        <f t="shared" si="0"/>
        <v>SPA280</v>
      </c>
      <c r="B29" s="470">
        <v>280</v>
      </c>
      <c r="C29" s="2038">
        <f t="shared" si="1"/>
        <v>285.5</v>
      </c>
      <c r="D29" s="1003"/>
      <c r="E29" s="469" t="str">
        <f t="shared" si="2"/>
        <v>SPB280</v>
      </c>
      <c r="F29" s="470">
        <v>280</v>
      </c>
      <c r="G29" s="476">
        <f t="shared" si="3"/>
        <v>287</v>
      </c>
      <c r="H29" s="2040"/>
      <c r="I29" s="469" t="str">
        <f t="shared" si="6"/>
        <v>SPC280</v>
      </c>
      <c r="J29" s="470">
        <v>280</v>
      </c>
      <c r="K29" s="476">
        <f t="shared" si="7"/>
        <v>289.60000000000002</v>
      </c>
    </row>
    <row r="30" spans="1:11" ht="14.25" customHeight="1">
      <c r="A30" s="469" t="str">
        <f t="shared" si="0"/>
        <v>SPA300</v>
      </c>
      <c r="B30" s="470">
        <v>300</v>
      </c>
      <c r="C30" s="2038">
        <f t="shared" si="1"/>
        <v>305.5</v>
      </c>
      <c r="D30" s="1003"/>
      <c r="E30" s="469" t="str">
        <f t="shared" si="2"/>
        <v>SPB300</v>
      </c>
      <c r="F30" s="470">
        <v>300</v>
      </c>
      <c r="G30" s="476">
        <f t="shared" si="3"/>
        <v>307</v>
      </c>
      <c r="H30" s="2040"/>
      <c r="I30" s="469" t="str">
        <f t="shared" si="6"/>
        <v>SPC300</v>
      </c>
      <c r="J30" s="470">
        <v>300</v>
      </c>
      <c r="K30" s="476">
        <f t="shared" si="7"/>
        <v>309.60000000000002</v>
      </c>
    </row>
    <row r="31" spans="1:11" ht="14.25" customHeight="1">
      <c r="A31" s="469" t="str">
        <f t="shared" si="0"/>
        <v>SPA315</v>
      </c>
      <c r="B31" s="470">
        <v>315</v>
      </c>
      <c r="C31" s="2038">
        <f t="shared" si="1"/>
        <v>320.5</v>
      </c>
      <c r="D31" s="1003"/>
      <c r="E31" s="469" t="str">
        <f t="shared" si="2"/>
        <v>SPB315</v>
      </c>
      <c r="F31" s="470">
        <v>315</v>
      </c>
      <c r="G31" s="476">
        <f t="shared" si="3"/>
        <v>322</v>
      </c>
      <c r="H31" s="2040"/>
      <c r="I31" s="469" t="str">
        <f t="shared" si="6"/>
        <v>SPC315</v>
      </c>
      <c r="J31" s="470">
        <v>315</v>
      </c>
      <c r="K31" s="476">
        <f t="shared" si="7"/>
        <v>324.60000000000002</v>
      </c>
    </row>
    <row r="32" spans="1:11" ht="14.25" customHeight="1">
      <c r="A32" s="469" t="str">
        <f t="shared" si="0"/>
        <v>SPA355</v>
      </c>
      <c r="B32" s="470">
        <v>355</v>
      </c>
      <c r="C32" s="2038">
        <f t="shared" si="1"/>
        <v>360.5</v>
      </c>
      <c r="D32" s="1003"/>
      <c r="E32" s="469" t="str">
        <f t="shared" si="2"/>
        <v>SPB355</v>
      </c>
      <c r="F32" s="470">
        <v>355</v>
      </c>
      <c r="G32" s="476">
        <f t="shared" si="3"/>
        <v>362</v>
      </c>
      <c r="H32" s="2040"/>
      <c r="I32" s="469" t="str">
        <f t="shared" si="6"/>
        <v>SPC355</v>
      </c>
      <c r="J32" s="470">
        <v>355</v>
      </c>
      <c r="K32" s="476">
        <f t="shared" si="7"/>
        <v>364.6</v>
      </c>
    </row>
    <row r="33" spans="1:13" ht="14.25" customHeight="1">
      <c r="A33" s="469" t="str">
        <f t="shared" si="0"/>
        <v>SPA400</v>
      </c>
      <c r="B33" s="470">
        <v>400</v>
      </c>
      <c r="C33" s="2038">
        <f t="shared" si="1"/>
        <v>405.5</v>
      </c>
      <c r="D33" s="1003"/>
      <c r="E33" s="469" t="str">
        <f t="shared" si="2"/>
        <v>SPB400</v>
      </c>
      <c r="F33" s="470">
        <v>400</v>
      </c>
      <c r="G33" s="476">
        <f t="shared" si="3"/>
        <v>407</v>
      </c>
      <c r="H33" s="2040"/>
      <c r="I33" s="469" t="str">
        <f t="shared" si="6"/>
        <v>SPC400</v>
      </c>
      <c r="J33" s="470">
        <v>400</v>
      </c>
      <c r="K33" s="476">
        <f t="shared" si="7"/>
        <v>409.6</v>
      </c>
    </row>
    <row r="34" spans="1:13" ht="14.25" customHeight="1">
      <c r="A34" s="469" t="str">
        <f t="shared" si="0"/>
        <v>SPA450</v>
      </c>
      <c r="B34" s="470">
        <v>450</v>
      </c>
      <c r="C34" s="2038">
        <f t="shared" si="1"/>
        <v>455.5</v>
      </c>
      <c r="D34" s="1003"/>
      <c r="E34" s="469" t="str">
        <f t="shared" si="2"/>
        <v>SPB450</v>
      </c>
      <c r="F34" s="470">
        <v>450</v>
      </c>
      <c r="G34" s="476">
        <f t="shared" si="3"/>
        <v>457</v>
      </c>
      <c r="H34" s="2040"/>
      <c r="I34" s="469" t="str">
        <f t="shared" si="6"/>
        <v>SPC450</v>
      </c>
      <c r="J34" s="470">
        <v>450</v>
      </c>
      <c r="K34" s="476">
        <f t="shared" si="7"/>
        <v>459.6</v>
      </c>
    </row>
    <row r="35" spans="1:13" ht="14.25" customHeight="1">
      <c r="A35" s="469" t="str">
        <f t="shared" si="0"/>
        <v>SPA500</v>
      </c>
      <c r="B35" s="470">
        <v>500</v>
      </c>
      <c r="C35" s="2038">
        <f t="shared" si="1"/>
        <v>505.5</v>
      </c>
      <c r="D35" s="1003"/>
      <c r="E35" s="469" t="str">
        <f t="shared" si="2"/>
        <v>SPB500</v>
      </c>
      <c r="F35" s="470">
        <v>500</v>
      </c>
      <c r="G35" s="476">
        <f t="shared" si="3"/>
        <v>507</v>
      </c>
      <c r="H35" s="2040"/>
      <c r="I35" s="469" t="str">
        <f t="shared" si="6"/>
        <v>SPC500</v>
      </c>
      <c r="J35" s="470">
        <v>500</v>
      </c>
      <c r="K35" s="476">
        <f t="shared" si="7"/>
        <v>509.6</v>
      </c>
    </row>
    <row r="36" spans="1:13" ht="14.25" customHeight="1">
      <c r="A36" s="469" t="str">
        <f t="shared" si="0"/>
        <v>SPA560</v>
      </c>
      <c r="B36" s="470">
        <v>560</v>
      </c>
      <c r="C36" s="2038">
        <f t="shared" si="1"/>
        <v>565.5</v>
      </c>
      <c r="D36" s="1003"/>
      <c r="E36" s="469" t="str">
        <f t="shared" si="2"/>
        <v>SPB560</v>
      </c>
      <c r="F36" s="470">
        <v>560</v>
      </c>
      <c r="G36" s="476">
        <f t="shared" si="3"/>
        <v>567</v>
      </c>
      <c r="H36" s="2040"/>
      <c r="I36" s="469" t="str">
        <f t="shared" si="6"/>
        <v>SPC560</v>
      </c>
      <c r="J36" s="470">
        <v>560</v>
      </c>
      <c r="K36" s="476">
        <f t="shared" si="7"/>
        <v>569.6</v>
      </c>
    </row>
    <row r="37" spans="1:13" ht="14.25" customHeight="1">
      <c r="A37" s="469" t="str">
        <f t="shared" si="0"/>
        <v>SPA600</v>
      </c>
      <c r="B37" s="470">
        <v>600</v>
      </c>
      <c r="C37" s="2038">
        <f t="shared" si="1"/>
        <v>605.5</v>
      </c>
      <c r="D37" s="1003"/>
      <c r="E37" s="469" t="str">
        <f t="shared" si="2"/>
        <v>SPB600</v>
      </c>
      <c r="F37" s="470">
        <v>600</v>
      </c>
      <c r="G37" s="476">
        <f t="shared" si="3"/>
        <v>607</v>
      </c>
      <c r="H37" s="2040"/>
      <c r="I37" s="469" t="str">
        <f t="shared" si="6"/>
        <v>SPC600</v>
      </c>
      <c r="J37" s="470">
        <v>600</v>
      </c>
      <c r="K37" s="476">
        <f t="shared" si="7"/>
        <v>609.6</v>
      </c>
    </row>
    <row r="38" spans="1:13" ht="14.25" customHeight="1">
      <c r="A38" s="471" t="str">
        <f t="shared" si="0"/>
        <v>SPA630</v>
      </c>
      <c r="B38" s="473">
        <v>630</v>
      </c>
      <c r="C38" s="2038">
        <f t="shared" si="1"/>
        <v>635.5</v>
      </c>
      <c r="D38" s="479"/>
      <c r="E38" s="471" t="str">
        <f t="shared" si="2"/>
        <v>SPB630</v>
      </c>
      <c r="F38" s="473">
        <v>630</v>
      </c>
      <c r="G38" s="477">
        <f t="shared" si="3"/>
        <v>637</v>
      </c>
      <c r="H38" s="2041"/>
      <c r="I38" s="471" t="str">
        <f t="shared" si="6"/>
        <v>SPC630</v>
      </c>
      <c r="J38" s="473">
        <v>630</v>
      </c>
      <c r="K38" s="477">
        <f t="shared" si="7"/>
        <v>639.6</v>
      </c>
      <c r="L38" s="3368" t="s">
        <v>12717</v>
      </c>
      <c r="M38" s="3368"/>
    </row>
  </sheetData>
  <mergeCells count="3">
    <mergeCell ref="A1:K1"/>
    <mergeCell ref="L5:M5"/>
    <mergeCell ref="L38:M38"/>
  </mergeCells>
  <phoneticPr fontId="378" type="noConversion"/>
  <hyperlinks>
    <hyperlink ref="L5:M5" location="总目录!A1" display="返回目录"/>
    <hyperlink ref="L38:M38" location="总目录!A1" display="返回目录"/>
  </hyperlinks>
  <pageMargins left="0.75" right="0.75" top="0.40902777777777799" bottom="0.25" header="0.4" footer="0.30902777777777801"/>
  <pageSetup paperSize="9" orientation="portrait"/>
  <headerFooter scaleWithDoc="0"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73"/>
  <sheetViews>
    <sheetView topLeftCell="A49" zoomScale="70" zoomScaleNormal="70" workbookViewId="0">
      <selection activeCell="S86" sqref="S86:T86"/>
    </sheetView>
  </sheetViews>
  <sheetFormatPr defaultColWidth="9" defaultRowHeight="13.5"/>
  <cols>
    <col min="1" max="4" width="9" style="1996"/>
    <col min="5" max="5" width="27.125" style="1996" customWidth="1"/>
    <col min="6" max="18" width="9" style="1996"/>
    <col min="19" max="23" width="12.625" style="1996"/>
    <col min="24" max="16384" width="9" style="1996"/>
  </cols>
  <sheetData>
    <row r="1" spans="1:23" s="1995" customFormat="1">
      <c r="A1" s="1996"/>
      <c r="B1" s="1996"/>
      <c r="C1" s="1996"/>
      <c r="D1" s="1996"/>
      <c r="E1" s="1996"/>
      <c r="F1" s="1996"/>
      <c r="G1" s="1996"/>
      <c r="H1" s="1996"/>
      <c r="I1" s="1996"/>
      <c r="J1" s="1996"/>
      <c r="K1" s="1996"/>
      <c r="L1" s="1996"/>
      <c r="M1" s="1996"/>
      <c r="N1" s="1996"/>
      <c r="O1" s="1996"/>
      <c r="P1" s="1996"/>
      <c r="Q1" s="1996"/>
      <c r="R1" s="1996"/>
      <c r="S1" s="1996"/>
      <c r="T1" s="1996"/>
      <c r="U1" s="1996"/>
      <c r="V1" s="1996"/>
      <c r="W1" s="1996"/>
    </row>
    <row r="2" spans="1:23" ht="18.75">
      <c r="A2" s="1997" t="s">
        <v>1656</v>
      </c>
      <c r="B2" s="3579" t="s">
        <v>7204</v>
      </c>
      <c r="C2" s="3579"/>
      <c r="D2" s="3579"/>
      <c r="E2" s="3579"/>
      <c r="F2" s="3579"/>
      <c r="G2" s="3579"/>
      <c r="H2" s="3579"/>
      <c r="I2" s="3579"/>
      <c r="J2" s="3579"/>
      <c r="K2" s="3579"/>
      <c r="L2" s="3580" t="s">
        <v>7205</v>
      </c>
      <c r="M2" s="3580"/>
      <c r="P2" s="3368" t="s">
        <v>12710</v>
      </c>
      <c r="Q2" s="3368"/>
    </row>
    <row r="3" spans="1:23" s="1995" customFormat="1" ht="18" customHeight="1">
      <c r="B3" s="1998" t="s">
        <v>7206</v>
      </c>
      <c r="C3" s="3581" t="s">
        <v>7207</v>
      </c>
      <c r="D3" s="3581"/>
      <c r="E3" s="3581"/>
      <c r="F3" s="3581"/>
      <c r="G3" s="3581"/>
      <c r="H3" s="3581"/>
      <c r="I3" s="3581"/>
      <c r="J3" s="3581"/>
      <c r="K3" s="3581"/>
      <c r="L3" s="3582"/>
      <c r="M3" s="3582"/>
    </row>
    <row r="4" spans="1:23" s="1995" customFormat="1" ht="18" customHeight="1">
      <c r="B4" s="1998" t="s">
        <v>7208</v>
      </c>
      <c r="C4" s="3581" t="s">
        <v>7209</v>
      </c>
      <c r="D4" s="3581"/>
      <c r="E4" s="3581"/>
      <c r="F4" s="3581"/>
      <c r="G4" s="3581"/>
      <c r="H4" s="3581"/>
      <c r="I4" s="3581"/>
      <c r="J4" s="3581"/>
      <c r="K4" s="3581"/>
      <c r="L4" s="3582"/>
      <c r="M4" s="3582"/>
    </row>
    <row r="5" spans="1:23" s="1995" customFormat="1" ht="18" customHeight="1">
      <c r="B5" s="1998" t="s">
        <v>7210</v>
      </c>
      <c r="C5" s="3581" t="s">
        <v>7211</v>
      </c>
      <c r="D5" s="3581"/>
      <c r="E5" s="3581"/>
      <c r="F5" s="3581"/>
      <c r="G5" s="3581"/>
      <c r="H5" s="3581"/>
      <c r="I5" s="3581"/>
      <c r="J5" s="3581"/>
      <c r="K5" s="3581"/>
      <c r="L5" s="3582"/>
      <c r="M5" s="3582"/>
    </row>
    <row r="6" spans="1:23" s="1995" customFormat="1" ht="18" customHeight="1">
      <c r="B6" s="1998" t="s">
        <v>7212</v>
      </c>
      <c r="C6" s="3583" t="s">
        <v>7213</v>
      </c>
      <c r="D6" s="3583"/>
      <c r="E6" s="3583"/>
      <c r="F6" s="3583"/>
      <c r="G6" s="3583"/>
      <c r="H6" s="3583"/>
      <c r="I6" s="3583"/>
      <c r="J6" s="3583"/>
      <c r="K6" s="3583"/>
      <c r="L6" s="3582"/>
      <c r="M6" s="3582"/>
    </row>
    <row r="7" spans="1:23" s="1995" customFormat="1" ht="18" customHeight="1">
      <c r="B7" s="1998" t="s">
        <v>7214</v>
      </c>
      <c r="C7" s="3581" t="s">
        <v>7215</v>
      </c>
      <c r="D7" s="3581"/>
      <c r="E7" s="3581"/>
      <c r="F7" s="3581"/>
      <c r="G7" s="3581"/>
      <c r="H7" s="3581"/>
      <c r="I7" s="3581"/>
      <c r="J7" s="3581"/>
      <c r="K7" s="3581"/>
      <c r="L7" s="3582"/>
      <c r="M7" s="3582"/>
    </row>
    <row r="8" spans="1:23" s="1995" customFormat="1" ht="18" customHeight="1">
      <c r="B8" s="1998" t="s">
        <v>7216</v>
      </c>
      <c r="C8" s="3581" t="s">
        <v>7217</v>
      </c>
      <c r="D8" s="3581"/>
      <c r="E8" s="3581"/>
      <c r="F8" s="3581"/>
      <c r="G8" s="3581"/>
      <c r="H8" s="3581"/>
      <c r="I8" s="3581"/>
      <c r="J8" s="3581"/>
      <c r="K8" s="3581"/>
      <c r="L8" s="3582"/>
      <c r="M8" s="3582"/>
    </row>
    <row r="9" spans="1:23" s="1995" customFormat="1" ht="18" customHeight="1">
      <c r="B9" s="1998" t="s">
        <v>7218</v>
      </c>
      <c r="C9" s="3581" t="s">
        <v>7219</v>
      </c>
      <c r="D9" s="3581"/>
      <c r="E9" s="3581"/>
      <c r="F9" s="3581"/>
      <c r="G9" s="3581"/>
      <c r="H9" s="3581"/>
      <c r="I9" s="3581"/>
      <c r="J9" s="3581"/>
      <c r="K9" s="3581"/>
      <c r="L9" s="3582"/>
      <c r="M9" s="3582"/>
    </row>
    <row r="10" spans="1:23" s="1995" customFormat="1" ht="18" customHeight="1">
      <c r="B10" s="1998" t="s">
        <v>7220</v>
      </c>
      <c r="C10" s="3581" t="s">
        <v>7221</v>
      </c>
      <c r="D10" s="3581"/>
      <c r="E10" s="3581"/>
      <c r="F10" s="3581"/>
      <c r="G10" s="3581"/>
      <c r="H10" s="3581"/>
      <c r="I10" s="3581"/>
      <c r="J10" s="3581"/>
      <c r="K10" s="3581"/>
      <c r="L10" s="3582"/>
      <c r="M10" s="3582"/>
    </row>
    <row r="11" spans="1:23" s="1995" customFormat="1" ht="18" customHeight="1">
      <c r="B11" s="1998"/>
      <c r="C11" s="3584"/>
      <c r="D11" s="3584"/>
      <c r="E11" s="3584"/>
      <c r="F11" s="3584"/>
      <c r="G11" s="3584"/>
      <c r="H11" s="3584"/>
    </row>
    <row r="12" spans="1:23" s="1995" customFormat="1" ht="18" customHeight="1">
      <c r="C12" s="3584"/>
      <c r="D12" s="3584"/>
      <c r="E12" s="3584"/>
      <c r="F12" s="3584"/>
      <c r="G12" s="3584"/>
      <c r="H12" s="3584"/>
    </row>
    <row r="13" spans="1:23" ht="18.75">
      <c r="A13" s="1997" t="s">
        <v>1661</v>
      </c>
      <c r="B13" s="3579" t="s">
        <v>7222</v>
      </c>
      <c r="C13" s="3579"/>
      <c r="D13" s="3579"/>
      <c r="E13" s="3579"/>
      <c r="F13" s="3579"/>
      <c r="G13" s="3579"/>
      <c r="H13" s="3579"/>
      <c r="I13" s="3579"/>
      <c r="J13" s="3579"/>
      <c r="K13" s="3579"/>
    </row>
    <row r="14" spans="1:23" ht="18" customHeight="1">
      <c r="B14" s="1642" t="s">
        <v>1443</v>
      </c>
      <c r="C14" s="1642" t="s">
        <v>7223</v>
      </c>
      <c r="D14" s="1642" t="s">
        <v>7224</v>
      </c>
      <c r="E14" s="1642" t="s">
        <v>7225</v>
      </c>
      <c r="F14" s="1641" t="s">
        <v>787</v>
      </c>
      <c r="G14" s="1641" t="s">
        <v>6362</v>
      </c>
      <c r="H14" s="1641" t="s">
        <v>6364</v>
      </c>
      <c r="I14" s="1641" t="s">
        <v>805</v>
      </c>
      <c r="J14" s="1641" t="s">
        <v>7226</v>
      </c>
      <c r="K14" s="1641" t="s">
        <v>7227</v>
      </c>
      <c r="M14" s="2020"/>
      <c r="N14" s="1642" t="s">
        <v>1443</v>
      </c>
      <c r="O14" s="1642" t="s">
        <v>7223</v>
      </c>
      <c r="P14" s="1642" t="s">
        <v>7224</v>
      </c>
      <c r="Q14" s="1642" t="s">
        <v>7225</v>
      </c>
      <c r="R14" s="1641" t="s">
        <v>787</v>
      </c>
      <c r="S14" s="1641" t="s">
        <v>6362</v>
      </c>
      <c r="T14" s="1641" t="s">
        <v>6364</v>
      </c>
      <c r="U14" s="1641" t="s">
        <v>805</v>
      </c>
      <c r="V14" s="1641" t="s">
        <v>7226</v>
      </c>
      <c r="W14" s="1641" t="s">
        <v>7227</v>
      </c>
    </row>
    <row r="15" spans="1:23" ht="18" customHeight="1">
      <c r="B15" s="1999" t="s">
        <v>7228</v>
      </c>
      <c r="C15" s="830">
        <v>11</v>
      </c>
      <c r="D15" s="2000" t="s">
        <v>7229</v>
      </c>
      <c r="E15" s="2001" t="s">
        <v>7230</v>
      </c>
      <c r="F15" s="830">
        <v>0</v>
      </c>
      <c r="G15" s="830">
        <v>0.5</v>
      </c>
      <c r="H15" s="830">
        <v>0.5</v>
      </c>
      <c r="I15" s="830">
        <v>0.5</v>
      </c>
      <c r="J15" s="830">
        <v>0.5</v>
      </c>
      <c r="K15" s="830">
        <v>1</v>
      </c>
      <c r="M15" s="2024"/>
      <c r="N15" s="1999" t="s">
        <v>7228</v>
      </c>
      <c r="O15" s="830">
        <v>11</v>
      </c>
      <c r="P15" s="2000" t="s">
        <v>7229</v>
      </c>
      <c r="Q15" s="2001" t="s">
        <v>7230</v>
      </c>
      <c r="R15" s="830">
        <v>0</v>
      </c>
      <c r="S15" s="830">
        <v>0.5</v>
      </c>
      <c r="T15" s="830">
        <v>0.5</v>
      </c>
      <c r="U15" s="830">
        <v>0.5</v>
      </c>
      <c r="V15" s="830">
        <v>0.5</v>
      </c>
      <c r="W15" s="830">
        <v>1</v>
      </c>
    </row>
    <row r="16" spans="1:23" ht="18" customHeight="1">
      <c r="B16" s="1999" t="s">
        <v>7231</v>
      </c>
      <c r="C16" s="830">
        <v>12</v>
      </c>
      <c r="D16" s="830" t="s">
        <v>7232</v>
      </c>
      <c r="E16" s="2001" t="s">
        <v>7233</v>
      </c>
      <c r="F16" s="830">
        <v>0</v>
      </c>
      <c r="G16" s="830">
        <v>0</v>
      </c>
      <c r="H16" s="830">
        <v>0.5</v>
      </c>
      <c r="I16" s="830">
        <v>0.5</v>
      </c>
      <c r="J16" s="830">
        <v>1</v>
      </c>
      <c r="K16" s="830">
        <v>1</v>
      </c>
      <c r="M16" s="2024"/>
      <c r="N16" s="1999" t="s">
        <v>7231</v>
      </c>
      <c r="O16" s="830">
        <v>12</v>
      </c>
      <c r="P16" s="2000"/>
      <c r="Q16" s="2001" t="s">
        <v>7233</v>
      </c>
      <c r="R16" s="830">
        <v>0</v>
      </c>
      <c r="S16" s="830">
        <v>0</v>
      </c>
      <c r="T16" s="830">
        <v>0.5</v>
      </c>
      <c r="U16" s="830">
        <v>0.5</v>
      </c>
      <c r="V16" s="830">
        <v>1</v>
      </c>
      <c r="W16" s="830">
        <v>1</v>
      </c>
    </row>
    <row r="17" spans="2:23" ht="18" customHeight="1">
      <c r="B17" s="1999" t="s">
        <v>7234</v>
      </c>
      <c r="C17" s="830">
        <v>22</v>
      </c>
      <c r="D17" s="2000" t="s">
        <v>7235</v>
      </c>
      <c r="E17" s="2001" t="s">
        <v>7236</v>
      </c>
      <c r="F17" s="830">
        <v>0.25</v>
      </c>
      <c r="G17" s="830">
        <v>0.25</v>
      </c>
      <c r="H17" s="830">
        <v>0.5</v>
      </c>
      <c r="I17" s="830">
        <v>0.5</v>
      </c>
      <c r="J17" s="830">
        <v>0.75</v>
      </c>
      <c r="K17" s="830">
        <v>0.75</v>
      </c>
      <c r="M17" s="2024"/>
      <c r="N17" s="1999" t="s">
        <v>7234</v>
      </c>
      <c r="O17" s="830">
        <v>22</v>
      </c>
      <c r="P17" s="2000" t="s">
        <v>7235</v>
      </c>
      <c r="Q17" s="2001" t="s">
        <v>7236</v>
      </c>
      <c r="R17" s="830">
        <v>0.25</v>
      </c>
      <c r="S17" s="830">
        <v>0.25</v>
      </c>
      <c r="T17" s="830">
        <v>0.5</v>
      </c>
      <c r="U17" s="830">
        <v>0.5</v>
      </c>
      <c r="V17" s="830">
        <v>0.75</v>
      </c>
      <c r="W17" s="830">
        <v>0.75</v>
      </c>
    </row>
    <row r="18" spans="2:23" ht="18" customHeight="1">
      <c r="B18" s="1999" t="s">
        <v>7237</v>
      </c>
      <c r="C18" s="830">
        <v>25</v>
      </c>
      <c r="D18" s="2000" t="s">
        <v>7238</v>
      </c>
      <c r="E18" s="2001" t="s">
        <v>7239</v>
      </c>
      <c r="F18" s="830">
        <v>0.125</v>
      </c>
      <c r="G18" s="830">
        <v>0.375</v>
      </c>
      <c r="H18" s="830">
        <v>0.5</v>
      </c>
      <c r="I18" s="830">
        <v>0.5</v>
      </c>
      <c r="J18" s="830">
        <v>0.625</v>
      </c>
      <c r="K18" s="830">
        <v>0.875</v>
      </c>
      <c r="M18" s="2024"/>
      <c r="N18" s="1999" t="s">
        <v>7237</v>
      </c>
      <c r="O18" s="830">
        <v>25</v>
      </c>
      <c r="P18" s="2000" t="s">
        <v>7238</v>
      </c>
      <c r="Q18" s="2001" t="s">
        <v>7239</v>
      </c>
      <c r="R18" s="830">
        <v>0.125</v>
      </c>
      <c r="S18" s="830">
        <v>0.375</v>
      </c>
      <c r="T18" s="830">
        <v>0.5</v>
      </c>
      <c r="U18" s="830">
        <v>0.5</v>
      </c>
      <c r="V18" s="830">
        <v>0.625</v>
      </c>
      <c r="W18" s="830">
        <v>0.875</v>
      </c>
    </row>
    <row r="19" spans="2:23" ht="18" customHeight="1">
      <c r="B19" s="1999" t="s">
        <v>7240</v>
      </c>
      <c r="C19" s="830">
        <v>26</v>
      </c>
      <c r="D19" s="2000" t="s">
        <v>7241</v>
      </c>
      <c r="E19" s="2001" t="s">
        <v>7242</v>
      </c>
      <c r="F19" s="830">
        <v>0.125</v>
      </c>
      <c r="G19" s="830">
        <v>0.125</v>
      </c>
      <c r="H19" s="830">
        <v>0.5</v>
      </c>
      <c r="I19" s="830">
        <v>0.5</v>
      </c>
      <c r="J19" s="830">
        <v>0.875</v>
      </c>
      <c r="K19" s="830">
        <v>0.875</v>
      </c>
      <c r="M19" s="2024"/>
      <c r="N19" s="1999" t="s">
        <v>7240</v>
      </c>
      <c r="O19" s="830">
        <v>26</v>
      </c>
      <c r="P19" s="2000" t="s">
        <v>7241</v>
      </c>
      <c r="Q19" s="2001" t="s">
        <v>7242</v>
      </c>
      <c r="R19" s="830">
        <v>0.125</v>
      </c>
      <c r="S19" s="830">
        <v>0.125</v>
      </c>
      <c r="T19" s="830">
        <v>0.5</v>
      </c>
      <c r="U19" s="830">
        <v>0.5</v>
      </c>
      <c r="V19" s="830">
        <v>0.875</v>
      </c>
      <c r="W19" s="830">
        <v>0.875</v>
      </c>
    </row>
    <row r="20" spans="2:23" ht="18" customHeight="1">
      <c r="B20" s="1999" t="s">
        <v>7243</v>
      </c>
      <c r="C20" s="830">
        <v>27</v>
      </c>
      <c r="D20" s="2000" t="s">
        <v>7244</v>
      </c>
      <c r="E20" s="2001" t="s">
        <v>7245</v>
      </c>
      <c r="F20" s="830">
        <v>6.25E-2</v>
      </c>
      <c r="G20" s="830">
        <v>6.25E-2</v>
      </c>
      <c r="H20" s="830">
        <v>0.75</v>
      </c>
      <c r="I20" s="830">
        <v>0.75</v>
      </c>
      <c r="J20" s="830">
        <v>0.9375</v>
      </c>
      <c r="K20" s="830">
        <v>0.9375</v>
      </c>
      <c r="M20" s="2025"/>
      <c r="N20" s="1999" t="s">
        <v>7243</v>
      </c>
      <c r="O20" s="830">
        <v>27</v>
      </c>
      <c r="P20" s="2000" t="s">
        <v>7244</v>
      </c>
      <c r="Q20" s="2001" t="s">
        <v>7245</v>
      </c>
      <c r="R20" s="830">
        <v>6.25E-2</v>
      </c>
      <c r="S20" s="830">
        <v>6.25E-2</v>
      </c>
      <c r="T20" s="830">
        <v>0.75</v>
      </c>
      <c r="U20" s="830">
        <v>0.75</v>
      </c>
      <c r="V20" s="830">
        <v>0.9375</v>
      </c>
      <c r="W20" s="830">
        <v>0.9375</v>
      </c>
    </row>
    <row r="21" spans="2:23" ht="18" customHeight="1">
      <c r="B21" s="1999" t="s">
        <v>7246</v>
      </c>
      <c r="C21" s="830">
        <v>33</v>
      </c>
      <c r="D21" s="2000"/>
      <c r="E21" s="2002" t="s">
        <v>7247</v>
      </c>
      <c r="F21" s="830">
        <v>0.2</v>
      </c>
      <c r="G21" s="830">
        <v>0.2</v>
      </c>
      <c r="H21" s="830">
        <v>0.4</v>
      </c>
      <c r="I21" s="830">
        <v>0.4</v>
      </c>
      <c r="J21" s="830">
        <v>0.7</v>
      </c>
      <c r="K21" s="830">
        <v>0.7</v>
      </c>
      <c r="M21" s="2025"/>
      <c r="N21" s="1999" t="s">
        <v>7246</v>
      </c>
      <c r="O21" s="830">
        <v>33</v>
      </c>
      <c r="P21" s="2000"/>
      <c r="Q21" s="2002" t="s">
        <v>7247</v>
      </c>
      <c r="R21" s="830">
        <v>0.2</v>
      </c>
      <c r="S21" s="830">
        <v>0.2</v>
      </c>
      <c r="T21" s="830">
        <v>0.4</v>
      </c>
      <c r="U21" s="830">
        <v>0.4</v>
      </c>
      <c r="V21" s="830">
        <v>0.7</v>
      </c>
      <c r="W21" s="830">
        <v>0.7</v>
      </c>
    </row>
    <row r="22" spans="2:23" ht="18" customHeight="1">
      <c r="B22" s="1999" t="s">
        <v>7248</v>
      </c>
      <c r="C22" s="830">
        <v>34</v>
      </c>
      <c r="D22" s="2000"/>
      <c r="E22" s="2001" t="s">
        <v>7249</v>
      </c>
      <c r="F22" s="830">
        <v>0.1</v>
      </c>
      <c r="G22" s="830">
        <v>0.3</v>
      </c>
      <c r="H22" s="830">
        <v>0.4</v>
      </c>
      <c r="I22" s="830">
        <v>0.4</v>
      </c>
      <c r="J22" s="830">
        <v>0.55000000000000004</v>
      </c>
      <c r="K22" s="830">
        <v>0.85</v>
      </c>
      <c r="N22" s="1999" t="s">
        <v>7248</v>
      </c>
      <c r="O22" s="830">
        <v>34</v>
      </c>
      <c r="P22" s="2000"/>
      <c r="Q22" s="2001" t="s">
        <v>7249</v>
      </c>
      <c r="R22" s="830">
        <v>0.1</v>
      </c>
      <c r="S22" s="830">
        <v>0.3</v>
      </c>
      <c r="T22" s="830">
        <v>0.4</v>
      </c>
      <c r="U22" s="830">
        <v>0.4</v>
      </c>
      <c r="V22" s="830">
        <v>0.55000000000000004</v>
      </c>
      <c r="W22" s="830">
        <v>0.85</v>
      </c>
    </row>
    <row r="23" spans="2:23" ht="18" customHeight="1">
      <c r="B23" s="1999" t="s">
        <v>7250</v>
      </c>
      <c r="C23" s="637">
        <v>35</v>
      </c>
      <c r="D23" s="2000" t="s">
        <v>7251</v>
      </c>
      <c r="E23" s="2001" t="s">
        <v>7252</v>
      </c>
      <c r="F23" s="830">
        <v>0.125</v>
      </c>
      <c r="G23" s="2003" t="s">
        <v>7253</v>
      </c>
      <c r="H23" s="2003" t="s">
        <v>7254</v>
      </c>
      <c r="I23" s="2003" t="s">
        <v>7254</v>
      </c>
      <c r="J23" s="2003" t="s">
        <v>7254</v>
      </c>
      <c r="K23" s="2003" t="s">
        <v>7254</v>
      </c>
      <c r="N23" s="1999" t="s">
        <v>7250</v>
      </c>
      <c r="O23" s="637">
        <v>35</v>
      </c>
      <c r="P23" s="2000" t="s">
        <v>7251</v>
      </c>
      <c r="Q23" s="2001" t="s">
        <v>7252</v>
      </c>
      <c r="R23" s="830">
        <v>0.125</v>
      </c>
      <c r="S23" s="2029">
        <f>(1.25+0.125*(PI()))/(2*(PI()))</f>
        <v>0.26144367886486902</v>
      </c>
      <c r="T23" s="2029">
        <f>S23+0.125</f>
        <v>0.38644367886486902</v>
      </c>
      <c r="U23" s="2029">
        <f t="shared" ref="U23:W23" si="0">T23</f>
        <v>0.38644367886486902</v>
      </c>
      <c r="V23" s="2029">
        <f t="shared" si="0"/>
        <v>0.38644367886486902</v>
      </c>
      <c r="W23" s="2029">
        <f t="shared" si="0"/>
        <v>0.38644367886486902</v>
      </c>
    </row>
    <row r="24" spans="2:23" ht="18" customHeight="1">
      <c r="B24" s="1999" t="s">
        <v>7255</v>
      </c>
      <c r="C24" s="830">
        <v>43</v>
      </c>
      <c r="D24" s="2000"/>
      <c r="E24" s="2001" t="s">
        <v>7256</v>
      </c>
      <c r="F24" s="830">
        <v>0.25</v>
      </c>
      <c r="G24" s="830">
        <v>0.25</v>
      </c>
      <c r="H24" s="830">
        <v>0.5</v>
      </c>
      <c r="I24" s="830">
        <v>0.5</v>
      </c>
      <c r="J24" s="830">
        <v>1</v>
      </c>
      <c r="K24" s="830">
        <v>1</v>
      </c>
      <c r="N24" s="1999" t="s">
        <v>7255</v>
      </c>
      <c r="O24" s="830">
        <v>43</v>
      </c>
      <c r="P24" s="2000"/>
      <c r="Q24" s="2001" t="s">
        <v>7256</v>
      </c>
      <c r="R24" s="830">
        <v>0.25</v>
      </c>
      <c r="S24" s="830">
        <v>0.25</v>
      </c>
      <c r="T24" s="830">
        <v>0.5</v>
      </c>
      <c r="U24" s="830">
        <v>0.5</v>
      </c>
      <c r="V24" s="830">
        <v>1</v>
      </c>
      <c r="W24" s="830">
        <v>1</v>
      </c>
    </row>
    <row r="25" spans="2:23" ht="18" customHeight="1">
      <c r="B25" s="1999" t="s">
        <v>7257</v>
      </c>
      <c r="C25" s="830">
        <v>44</v>
      </c>
      <c r="D25" s="2000"/>
      <c r="E25" s="2001" t="s">
        <v>7258</v>
      </c>
      <c r="F25" s="830">
        <v>0.2</v>
      </c>
      <c r="G25" s="830">
        <v>0.2</v>
      </c>
      <c r="H25" s="830">
        <v>0.4</v>
      </c>
      <c r="I25" s="830">
        <v>0.4</v>
      </c>
      <c r="J25" s="830">
        <v>1</v>
      </c>
      <c r="K25" s="830">
        <v>1</v>
      </c>
      <c r="N25" s="1999" t="s">
        <v>7257</v>
      </c>
      <c r="O25" s="830">
        <v>44</v>
      </c>
      <c r="P25" s="2000"/>
      <c r="Q25" s="2001" t="s">
        <v>7258</v>
      </c>
      <c r="R25" s="830">
        <v>0.2</v>
      </c>
      <c r="S25" s="830">
        <v>0.2</v>
      </c>
      <c r="T25" s="830">
        <v>0.4</v>
      </c>
      <c r="U25" s="830">
        <v>0.4</v>
      </c>
      <c r="V25" s="830">
        <v>1</v>
      </c>
      <c r="W25" s="830">
        <v>1</v>
      </c>
    </row>
    <row r="26" spans="2:23" ht="18" customHeight="1">
      <c r="B26" s="1999" t="s">
        <v>7259</v>
      </c>
      <c r="C26" s="637">
        <v>45</v>
      </c>
      <c r="D26" s="2000"/>
      <c r="E26" s="2001" t="s">
        <v>7260</v>
      </c>
      <c r="F26" s="830">
        <v>0.125</v>
      </c>
      <c r="G26" s="2004" t="s">
        <v>7261</v>
      </c>
      <c r="H26" s="2004" t="s">
        <v>7262</v>
      </c>
      <c r="I26" s="2004" t="s">
        <v>7262</v>
      </c>
      <c r="J26" s="2004" t="s">
        <v>7262</v>
      </c>
      <c r="K26" s="894">
        <v>1</v>
      </c>
      <c r="N26" s="1999" t="s">
        <v>7259</v>
      </c>
      <c r="O26" s="637">
        <v>45</v>
      </c>
      <c r="P26" s="2000"/>
      <c r="Q26" s="2001" t="s">
        <v>7260</v>
      </c>
      <c r="R26" s="830">
        <v>0.125</v>
      </c>
      <c r="S26" s="2004">
        <f>7/16-0.125*(PI())</f>
        <v>4.4800918301275902E-2</v>
      </c>
      <c r="T26" s="2004">
        <f>S26+0.125</f>
        <v>0.169800918301276</v>
      </c>
      <c r="U26" s="2004">
        <f>T26</f>
        <v>0.169800918301276</v>
      </c>
      <c r="V26" s="2004">
        <f>U26</f>
        <v>0.169800918301276</v>
      </c>
      <c r="W26" s="894">
        <v>1</v>
      </c>
    </row>
    <row r="27" spans="2:23" ht="18" customHeight="1">
      <c r="B27" s="1999" t="s">
        <v>7263</v>
      </c>
      <c r="C27" s="830">
        <v>46</v>
      </c>
      <c r="D27" s="2000"/>
      <c r="E27" s="2001" t="s">
        <v>7264</v>
      </c>
      <c r="F27" s="830">
        <v>0.125</v>
      </c>
      <c r="G27" s="830">
        <v>0.375</v>
      </c>
      <c r="H27" s="830">
        <v>0.5</v>
      </c>
      <c r="I27" s="830">
        <v>0.5</v>
      </c>
      <c r="J27" s="830">
        <v>0.67500000000000004</v>
      </c>
      <c r="K27" s="830">
        <v>1</v>
      </c>
      <c r="N27" s="1999" t="s">
        <v>7263</v>
      </c>
      <c r="O27" s="830">
        <v>46</v>
      </c>
      <c r="P27" s="2000"/>
      <c r="Q27" s="2001" t="s">
        <v>7264</v>
      </c>
      <c r="R27" s="830">
        <v>0.125</v>
      </c>
      <c r="S27" s="830">
        <v>0.375</v>
      </c>
      <c r="T27" s="830">
        <v>0.5</v>
      </c>
      <c r="U27" s="830">
        <v>0.5</v>
      </c>
      <c r="V27" s="830">
        <v>0.67500000000000004</v>
      </c>
      <c r="W27" s="830">
        <v>1</v>
      </c>
    </row>
    <row r="28" spans="2:23" ht="18" customHeight="1">
      <c r="B28" s="1999" t="s">
        <v>7265</v>
      </c>
      <c r="C28" s="637">
        <v>47</v>
      </c>
      <c r="D28" s="2000"/>
      <c r="E28" s="2001" t="s">
        <v>7266</v>
      </c>
      <c r="F28" s="830">
        <v>0.125</v>
      </c>
      <c r="G28" s="2004" t="s">
        <v>7267</v>
      </c>
      <c r="H28" s="2004" t="s">
        <v>7268</v>
      </c>
      <c r="I28" s="2004" t="s">
        <v>7268</v>
      </c>
      <c r="J28" s="2004" t="s">
        <v>7269</v>
      </c>
      <c r="K28" s="894">
        <v>1</v>
      </c>
      <c r="N28" s="1999" t="s">
        <v>7265</v>
      </c>
      <c r="O28" s="637">
        <v>47</v>
      </c>
      <c r="P28" s="2000"/>
      <c r="Q28" s="2001" t="s">
        <v>7266</v>
      </c>
      <c r="R28" s="830">
        <v>0.125</v>
      </c>
      <c r="S28" s="2000" t="s">
        <v>7267</v>
      </c>
      <c r="T28" s="2000" t="s">
        <v>7268</v>
      </c>
      <c r="U28" s="2000" t="s">
        <v>7268</v>
      </c>
      <c r="V28" s="2000" t="s">
        <v>7269</v>
      </c>
      <c r="W28" s="830">
        <v>1</v>
      </c>
    </row>
    <row r="29" spans="2:23" ht="18" customHeight="1">
      <c r="B29" s="1999" t="s">
        <v>7270</v>
      </c>
      <c r="C29" s="830">
        <v>48</v>
      </c>
      <c r="D29" s="2000"/>
      <c r="E29" s="2001" t="s">
        <v>7271</v>
      </c>
      <c r="F29" s="830">
        <v>0.125</v>
      </c>
      <c r="G29" s="830">
        <v>0.125</v>
      </c>
      <c r="H29" s="830">
        <v>0.5</v>
      </c>
      <c r="I29" s="830">
        <v>0.5</v>
      </c>
      <c r="J29" s="830">
        <v>1</v>
      </c>
      <c r="K29" s="830">
        <v>1</v>
      </c>
      <c r="N29" s="1999" t="s">
        <v>7270</v>
      </c>
      <c r="O29" s="830">
        <v>48</v>
      </c>
      <c r="P29" s="2000"/>
      <c r="Q29" s="2001" t="s">
        <v>7271</v>
      </c>
      <c r="R29" s="830">
        <v>0.125</v>
      </c>
      <c r="S29" s="830">
        <v>0.125</v>
      </c>
      <c r="T29" s="830">
        <v>0.5</v>
      </c>
      <c r="U29" s="830">
        <v>0.5</v>
      </c>
      <c r="V29" s="830">
        <v>1</v>
      </c>
      <c r="W29" s="830">
        <v>1</v>
      </c>
    </row>
    <row r="30" spans="2:23" ht="18" customHeight="1">
      <c r="B30" s="1999" t="s">
        <v>7272</v>
      </c>
      <c r="C30" s="637">
        <v>49</v>
      </c>
      <c r="D30" s="2000"/>
      <c r="E30" s="2001" t="s">
        <v>7273</v>
      </c>
      <c r="F30" s="830">
        <v>0.125</v>
      </c>
      <c r="G30" s="2004" t="s">
        <v>7274</v>
      </c>
      <c r="H30" s="2004" t="s">
        <v>7275</v>
      </c>
      <c r="I30" s="2004" t="s">
        <v>7275</v>
      </c>
      <c r="J30" s="894">
        <v>1</v>
      </c>
      <c r="K30" s="894">
        <v>1</v>
      </c>
      <c r="N30" s="1999" t="s">
        <v>7272</v>
      </c>
      <c r="O30" s="637">
        <v>49</v>
      </c>
      <c r="P30" s="2000"/>
      <c r="Q30" s="2001" t="s">
        <v>7273</v>
      </c>
      <c r="R30" s="830">
        <v>0.125</v>
      </c>
      <c r="S30" s="2000" t="s">
        <v>7274</v>
      </c>
      <c r="T30" s="2000" t="s">
        <v>7275</v>
      </c>
      <c r="U30" s="2000" t="s">
        <v>7275</v>
      </c>
      <c r="V30" s="830">
        <v>1</v>
      </c>
      <c r="W30" s="830">
        <v>1</v>
      </c>
    </row>
    <row r="31" spans="2:23" ht="18" customHeight="1">
      <c r="B31" s="1999" t="s">
        <v>7276</v>
      </c>
      <c r="C31" s="830">
        <v>51</v>
      </c>
      <c r="D31" s="2000"/>
      <c r="E31" s="2001" t="s">
        <v>7277</v>
      </c>
      <c r="F31" s="830">
        <v>0</v>
      </c>
      <c r="G31" s="2000">
        <v>0.25</v>
      </c>
      <c r="H31" s="2000">
        <v>0.5</v>
      </c>
      <c r="I31" s="2000">
        <v>0.5</v>
      </c>
      <c r="J31" s="830">
        <v>0.75</v>
      </c>
      <c r="K31" s="830">
        <v>1</v>
      </c>
      <c r="N31" s="1999" t="s">
        <v>7276</v>
      </c>
      <c r="O31" s="830">
        <v>51</v>
      </c>
      <c r="P31" s="2000"/>
      <c r="Q31" s="2001" t="s">
        <v>7277</v>
      </c>
      <c r="R31" s="830">
        <v>0</v>
      </c>
      <c r="S31" s="2000">
        <v>0.25</v>
      </c>
      <c r="T31" s="2000">
        <v>0.5</v>
      </c>
      <c r="U31" s="2000">
        <v>0.5</v>
      </c>
      <c r="V31" s="830">
        <v>0.75</v>
      </c>
      <c r="W31" s="830">
        <v>1</v>
      </c>
    </row>
    <row r="32" spans="2:23" ht="18" customHeight="1">
      <c r="B32" s="1999" t="s">
        <v>7278</v>
      </c>
      <c r="C32" s="830">
        <v>52</v>
      </c>
      <c r="D32" s="2000"/>
      <c r="E32" s="2001" t="s">
        <v>7279</v>
      </c>
      <c r="F32" s="830">
        <v>0</v>
      </c>
      <c r="G32" s="2000">
        <v>0</v>
      </c>
      <c r="H32" s="2000">
        <v>0.75</v>
      </c>
      <c r="I32" s="2000">
        <v>0.75</v>
      </c>
      <c r="J32" s="830">
        <v>1</v>
      </c>
      <c r="K32" s="830">
        <v>1</v>
      </c>
      <c r="N32" s="1999" t="s">
        <v>7278</v>
      </c>
      <c r="O32" s="830">
        <v>52</v>
      </c>
      <c r="P32" s="2000"/>
      <c r="Q32" s="2001" t="s">
        <v>7279</v>
      </c>
      <c r="R32" s="830">
        <v>0</v>
      </c>
      <c r="S32" s="2000">
        <v>0</v>
      </c>
      <c r="T32" s="2000">
        <v>0.75</v>
      </c>
      <c r="U32" s="2000">
        <v>0.75</v>
      </c>
      <c r="V32" s="830">
        <v>1</v>
      </c>
      <c r="W32" s="830">
        <v>1</v>
      </c>
    </row>
    <row r="33" spans="1:23" ht="18" customHeight="1">
      <c r="B33" s="1999" t="s">
        <v>7280</v>
      </c>
      <c r="C33" s="830">
        <v>92</v>
      </c>
      <c r="D33" s="2000"/>
      <c r="E33" s="2001" t="s">
        <v>7281</v>
      </c>
      <c r="F33" s="830">
        <v>0</v>
      </c>
      <c r="G33" s="2000">
        <v>0.25</v>
      </c>
      <c r="H33" s="2005" t="s">
        <v>7282</v>
      </c>
      <c r="I33" s="2005" t="s">
        <v>7282</v>
      </c>
      <c r="J33" s="2005" t="s">
        <v>7283</v>
      </c>
      <c r="K33" s="2005" t="s">
        <v>7283</v>
      </c>
      <c r="N33" s="1999" t="s">
        <v>7280</v>
      </c>
      <c r="O33" s="830">
        <v>92</v>
      </c>
      <c r="P33" s="2000"/>
      <c r="Q33" s="2001" t="s">
        <v>7281</v>
      </c>
      <c r="R33" s="830">
        <v>0</v>
      </c>
      <c r="S33" s="2000">
        <v>0.25</v>
      </c>
      <c r="T33" s="2005" t="s">
        <v>7282</v>
      </c>
      <c r="U33" s="2005" t="s">
        <v>7282</v>
      </c>
      <c r="V33" s="2005" t="s">
        <v>7283</v>
      </c>
      <c r="W33" s="2005" t="s">
        <v>7283</v>
      </c>
    </row>
    <row r="34" spans="1:23" ht="18" customHeight="1">
      <c r="B34" s="2006" t="s">
        <v>7284</v>
      </c>
      <c r="C34" s="2007"/>
      <c r="D34" s="2008" t="s">
        <v>7285</v>
      </c>
      <c r="E34" s="2009"/>
      <c r="F34" s="2010"/>
      <c r="G34" s="2010"/>
      <c r="H34" s="2010"/>
      <c r="I34" s="2010"/>
      <c r="J34" s="2010"/>
      <c r="K34" s="2026"/>
      <c r="N34" s="2006" t="s">
        <v>7284</v>
      </c>
      <c r="O34" s="2007"/>
      <c r="P34" s="2008" t="s">
        <v>7285</v>
      </c>
      <c r="Q34" s="2009"/>
      <c r="R34" s="2010"/>
      <c r="S34" s="2010"/>
      <c r="T34" s="2010"/>
      <c r="U34" s="2010"/>
      <c r="V34" s="2010"/>
      <c r="W34" s="2026"/>
    </row>
    <row r="35" spans="1:23" ht="18" customHeight="1">
      <c r="B35" s="2011"/>
      <c r="D35" s="2012" t="s">
        <v>7286</v>
      </c>
      <c r="E35" s="2013" t="s">
        <v>7287</v>
      </c>
      <c r="G35" s="2014"/>
      <c r="K35" s="2027"/>
      <c r="N35" s="2011"/>
      <c r="P35" s="2012" t="s">
        <v>7286</v>
      </c>
      <c r="Q35" s="2013" t="s">
        <v>7287</v>
      </c>
      <c r="R35" s="2030" t="s">
        <v>5934</v>
      </c>
      <c r="S35" s="1996">
        <f>(1.25+0.125*PI())/(2*PI())</f>
        <v>0.26144367886486902</v>
      </c>
      <c r="W35" s="2027"/>
    </row>
    <row r="36" spans="1:23" ht="18" customHeight="1">
      <c r="B36" s="2011"/>
      <c r="D36" s="2012" t="s">
        <v>7288</v>
      </c>
      <c r="E36" s="2013" t="s">
        <v>7289</v>
      </c>
      <c r="K36" s="2027"/>
      <c r="N36" s="2011"/>
      <c r="P36" s="2012" t="s">
        <v>7288</v>
      </c>
      <c r="Q36" s="2013" t="s">
        <v>7289</v>
      </c>
      <c r="R36" s="2030" t="s">
        <v>5934</v>
      </c>
      <c r="S36" s="1996">
        <f>7/16-0.125*PI()</f>
        <v>4.4800918301275902E-2</v>
      </c>
      <c r="W36" s="2027"/>
    </row>
    <row r="37" spans="1:23" ht="18" customHeight="1">
      <c r="B37" s="2011"/>
      <c r="D37" s="2012" t="s">
        <v>7290</v>
      </c>
      <c r="E37" s="2015" t="s">
        <v>7291</v>
      </c>
      <c r="K37" s="2027"/>
      <c r="N37" s="2011"/>
      <c r="P37" s="2012" t="s">
        <v>7290</v>
      </c>
      <c r="Q37" s="2015" t="s">
        <v>7291</v>
      </c>
      <c r="R37" s="2030" t="s">
        <v>5934</v>
      </c>
      <c r="S37" s="1996">
        <f>0.6*(1-7/(18*PI()))-(5/24)</f>
        <v>0.31739435989044901</v>
      </c>
      <c r="W37" s="2027"/>
    </row>
    <row r="38" spans="1:23" ht="18" customHeight="1">
      <c r="B38" s="2016"/>
      <c r="C38" s="2017"/>
      <c r="D38" s="2018" t="s">
        <v>7292</v>
      </c>
      <c r="E38" s="2019" t="s">
        <v>7293</v>
      </c>
      <c r="F38" s="2017"/>
      <c r="G38" s="2017"/>
      <c r="H38" s="2017"/>
      <c r="I38" s="2017"/>
      <c r="J38" s="2017"/>
      <c r="K38" s="2028"/>
      <c r="N38" s="2016"/>
      <c r="O38" s="2017"/>
      <c r="P38" s="2018" t="s">
        <v>7292</v>
      </c>
      <c r="Q38" s="2019" t="s">
        <v>7293</v>
      </c>
      <c r="R38" s="2030" t="s">
        <v>5934</v>
      </c>
      <c r="S38" s="2017">
        <f>(10+PI())/(16+8*PI())</f>
        <v>0.31949226482417098</v>
      </c>
      <c r="T38" s="2017"/>
      <c r="U38" s="2017"/>
      <c r="V38" s="2017"/>
      <c r="W38" s="2028"/>
    </row>
    <row r="39" spans="1:23" s="1995" customFormat="1" ht="18" customHeight="1">
      <c r="A39" s="1996"/>
      <c r="B39" s="1996"/>
      <c r="C39" s="1996"/>
      <c r="D39" s="1996"/>
      <c r="E39" s="1996"/>
      <c r="F39" s="1996"/>
      <c r="G39" s="1996"/>
      <c r="H39" s="1996"/>
      <c r="I39" s="1996"/>
      <c r="J39" s="1996"/>
      <c r="K39" s="1996"/>
      <c r="L39" s="1996"/>
      <c r="M39" s="1996"/>
      <c r="N39" s="1996"/>
      <c r="O39" s="1996"/>
      <c r="P39" s="1996"/>
      <c r="Q39" s="1996"/>
      <c r="R39" s="1996"/>
      <c r="S39" s="1996"/>
      <c r="T39" s="1996"/>
      <c r="U39" s="1996"/>
      <c r="V39" s="1996"/>
      <c r="W39" s="1996"/>
    </row>
    <row r="40" spans="1:23" ht="18.75">
      <c r="A40" s="2020" t="s">
        <v>1675</v>
      </c>
      <c r="B40" s="3579" t="s">
        <v>7294</v>
      </c>
      <c r="C40" s="3579"/>
      <c r="D40" s="3579"/>
      <c r="E40" s="3579"/>
      <c r="F40" s="3579"/>
      <c r="G40" s="3579"/>
      <c r="H40" s="3579"/>
      <c r="I40" s="3579"/>
    </row>
    <row r="41" spans="1:23" ht="18" customHeight="1">
      <c r="B41" s="1642" t="s">
        <v>1443</v>
      </c>
      <c r="C41" s="1642" t="s">
        <v>7223</v>
      </c>
      <c r="D41" s="1642" t="s">
        <v>7224</v>
      </c>
      <c r="E41" s="1642" t="s">
        <v>7225</v>
      </c>
      <c r="F41" s="3585" t="s">
        <v>7295</v>
      </c>
      <c r="G41" s="3586"/>
      <c r="H41" s="3586"/>
      <c r="I41" s="3586"/>
      <c r="J41" s="3586"/>
      <c r="K41" s="3586"/>
      <c r="L41" s="3586"/>
      <c r="M41" s="3586"/>
      <c r="N41" s="3586"/>
      <c r="O41" s="3587"/>
    </row>
    <row r="42" spans="1:23" ht="18" customHeight="1">
      <c r="B42" s="1999" t="s">
        <v>7228</v>
      </c>
      <c r="C42" s="830">
        <v>11</v>
      </c>
      <c r="D42" s="2000" t="s">
        <v>7229</v>
      </c>
      <c r="E42" s="2001" t="s">
        <v>7230</v>
      </c>
      <c r="F42" s="2021" t="s">
        <v>7296</v>
      </c>
      <c r="G42" s="1995"/>
      <c r="H42" s="1995"/>
      <c r="I42" s="1995"/>
      <c r="J42" s="1995"/>
      <c r="K42" s="1995"/>
      <c r="L42" s="1995"/>
      <c r="M42" s="1995"/>
      <c r="N42" s="1995"/>
    </row>
    <row r="43" spans="1:23" ht="18" customHeight="1">
      <c r="B43" s="1999" t="s">
        <v>7231</v>
      </c>
      <c r="C43" s="830">
        <v>12</v>
      </c>
      <c r="D43" s="2000"/>
      <c r="E43" s="2001" t="s">
        <v>7233</v>
      </c>
      <c r="F43" s="2021" t="s">
        <v>7297</v>
      </c>
      <c r="G43" s="1995"/>
      <c r="H43" s="1995"/>
      <c r="I43" s="1995"/>
      <c r="J43" s="1995"/>
      <c r="K43" s="1995"/>
      <c r="L43" s="1995"/>
      <c r="M43" s="1995"/>
      <c r="N43" s="1995"/>
      <c r="O43" s="1995"/>
      <c r="P43" s="1995"/>
    </row>
    <row r="44" spans="1:23" ht="18" customHeight="1">
      <c r="B44" s="1999" t="s">
        <v>7234</v>
      </c>
      <c r="C44" s="830">
        <v>22</v>
      </c>
      <c r="D44" s="2000" t="s">
        <v>7235</v>
      </c>
      <c r="E44" s="2001" t="s">
        <v>7236</v>
      </c>
      <c r="F44" s="1996" t="s">
        <v>7298</v>
      </c>
    </row>
    <row r="45" spans="1:23" ht="18" customHeight="1">
      <c r="B45" s="1999" t="s">
        <v>7237</v>
      </c>
      <c r="C45" s="830">
        <v>25</v>
      </c>
      <c r="D45" s="2000" t="s">
        <v>7238</v>
      </c>
      <c r="E45" s="2001" t="s">
        <v>7239</v>
      </c>
      <c r="F45" s="1996" t="s">
        <v>7299</v>
      </c>
    </row>
    <row r="46" spans="1:23" ht="18" customHeight="1">
      <c r="B46" s="1999" t="s">
        <v>7240</v>
      </c>
      <c r="C46" s="830">
        <v>26</v>
      </c>
      <c r="D46" s="2000" t="s">
        <v>7241</v>
      </c>
      <c r="E46" s="2001" t="s">
        <v>7242</v>
      </c>
      <c r="F46" s="1996" t="s">
        <v>7300</v>
      </c>
    </row>
    <row r="47" spans="1:23" ht="18" customHeight="1">
      <c r="B47" s="1999" t="s">
        <v>7243</v>
      </c>
      <c r="C47" s="830">
        <v>27</v>
      </c>
      <c r="D47" s="2000" t="s">
        <v>7244</v>
      </c>
      <c r="E47" s="2001" t="s">
        <v>7245</v>
      </c>
      <c r="F47" s="1996" t="s">
        <v>7301</v>
      </c>
    </row>
    <row r="48" spans="1:23" ht="18" customHeight="1">
      <c r="B48" s="1999" t="s">
        <v>7246</v>
      </c>
      <c r="C48" s="830">
        <v>33</v>
      </c>
      <c r="D48" s="2000"/>
      <c r="E48" s="2002" t="s">
        <v>7247</v>
      </c>
    </row>
    <row r="49" spans="1:23" ht="18" customHeight="1">
      <c r="B49" s="1999" t="s">
        <v>7248</v>
      </c>
      <c r="C49" s="830">
        <v>34</v>
      </c>
      <c r="D49" s="2000"/>
      <c r="E49" s="2001" t="s">
        <v>7249</v>
      </c>
    </row>
    <row r="50" spans="1:23" ht="18" customHeight="1">
      <c r="B50" s="1999" t="s">
        <v>7250</v>
      </c>
      <c r="C50" s="830">
        <v>35</v>
      </c>
      <c r="D50" s="2000" t="s">
        <v>7251</v>
      </c>
      <c r="E50" s="2001" t="s">
        <v>7252</v>
      </c>
    </row>
    <row r="51" spans="1:23" ht="18" customHeight="1">
      <c r="B51" s="1999" t="s">
        <v>7255</v>
      </c>
      <c r="C51" s="830">
        <v>43</v>
      </c>
      <c r="D51" s="2000"/>
      <c r="E51" s="2001" t="s">
        <v>7256</v>
      </c>
    </row>
    <row r="52" spans="1:23" ht="18" customHeight="1">
      <c r="B52" s="1999" t="s">
        <v>7257</v>
      </c>
      <c r="C52" s="830">
        <v>44</v>
      </c>
      <c r="D52" s="2000"/>
      <c r="E52" s="2001" t="s">
        <v>7258</v>
      </c>
    </row>
    <row r="53" spans="1:23" ht="18" customHeight="1">
      <c r="B53" s="1999" t="s">
        <v>7259</v>
      </c>
      <c r="C53" s="830">
        <v>45</v>
      </c>
      <c r="D53" s="2000"/>
      <c r="E53" s="2001" t="s">
        <v>7260</v>
      </c>
      <c r="F53" s="1996" t="s">
        <v>7302</v>
      </c>
    </row>
    <row r="54" spans="1:23" ht="18" customHeight="1">
      <c r="B54" s="1999" t="s">
        <v>7263</v>
      </c>
      <c r="C54" s="830">
        <v>46</v>
      </c>
      <c r="D54" s="2000"/>
      <c r="E54" s="2001" t="s">
        <v>7264</v>
      </c>
    </row>
    <row r="55" spans="1:23" ht="18" customHeight="1">
      <c r="B55" s="1999" t="s">
        <v>7265</v>
      </c>
      <c r="C55" s="830">
        <v>47</v>
      </c>
      <c r="D55" s="2000"/>
      <c r="E55" s="2001" t="s">
        <v>7266</v>
      </c>
    </row>
    <row r="56" spans="1:23" ht="18" customHeight="1">
      <c r="B56" s="1999" t="s">
        <v>7270</v>
      </c>
      <c r="C56" s="830">
        <v>48</v>
      </c>
      <c r="D56" s="2000"/>
      <c r="E56" s="2001" t="s">
        <v>7271</v>
      </c>
      <c r="F56" s="1996" t="s">
        <v>7303</v>
      </c>
      <c r="S56" s="3368" t="s">
        <v>12710</v>
      </c>
      <c r="T56" s="3368"/>
    </row>
    <row r="57" spans="1:23" ht="18" customHeight="1">
      <c r="B57" s="1999" t="s">
        <v>7272</v>
      </c>
      <c r="C57" s="830">
        <v>49</v>
      </c>
      <c r="D57" s="2000"/>
      <c r="E57" s="2001" t="s">
        <v>7273</v>
      </c>
    </row>
    <row r="58" spans="1:23" ht="18" customHeight="1">
      <c r="B58" s="1999" t="s">
        <v>7276</v>
      </c>
      <c r="C58" s="830">
        <v>51</v>
      </c>
      <c r="D58" s="2000"/>
      <c r="E58" s="2001" t="s">
        <v>7277</v>
      </c>
    </row>
    <row r="59" spans="1:23" ht="18" customHeight="1">
      <c r="B59" s="1999" t="s">
        <v>7278</v>
      </c>
      <c r="C59" s="830">
        <v>52</v>
      </c>
      <c r="D59" s="2000"/>
      <c r="E59" s="2001" t="s">
        <v>7279</v>
      </c>
    </row>
    <row r="60" spans="1:23" ht="18" customHeight="1">
      <c r="B60" s="1999" t="s">
        <v>7280</v>
      </c>
      <c r="C60" s="830">
        <v>92</v>
      </c>
      <c r="D60" s="2000"/>
      <c r="E60" s="2001" t="s">
        <v>7281</v>
      </c>
    </row>
    <row r="61" spans="1:23" s="1995" customFormat="1" ht="18" customHeight="1">
      <c r="A61" s="1996"/>
      <c r="B61" s="1996"/>
      <c r="C61" s="1996"/>
      <c r="D61" s="1996"/>
      <c r="E61" s="1996"/>
      <c r="F61" s="1996"/>
      <c r="G61" s="1996"/>
      <c r="H61" s="1996"/>
      <c r="I61" s="1996"/>
      <c r="J61" s="1996"/>
      <c r="K61" s="1996"/>
      <c r="L61" s="1996"/>
      <c r="M61" s="1996"/>
      <c r="N61" s="1996"/>
      <c r="O61" s="1996"/>
      <c r="P61" s="1996"/>
      <c r="Q61" s="1996"/>
      <c r="R61" s="1996"/>
      <c r="S61" s="1996"/>
      <c r="T61" s="1996"/>
      <c r="U61" s="1996"/>
      <c r="V61" s="1996"/>
      <c r="W61" s="1996"/>
    </row>
    <row r="62" spans="1:23" s="1995" customFormat="1" ht="18" customHeight="1">
      <c r="A62" s="1996"/>
      <c r="B62" s="1996"/>
      <c r="C62" s="1996"/>
      <c r="D62" s="1996"/>
      <c r="E62" s="1996"/>
      <c r="F62" s="1996"/>
      <c r="G62" s="1996"/>
      <c r="H62" s="1996"/>
      <c r="I62" s="1996"/>
      <c r="J62" s="1996"/>
      <c r="K62" s="1996"/>
      <c r="L62" s="1996"/>
      <c r="M62" s="1996"/>
      <c r="N62" s="1996"/>
      <c r="O62" s="1996"/>
      <c r="P62" s="1996"/>
      <c r="Q62" s="1996"/>
      <c r="R62" s="1996"/>
      <c r="S62" s="1996"/>
      <c r="T62" s="1996"/>
      <c r="U62" s="1996"/>
      <c r="V62" s="1996"/>
      <c r="W62" s="1996"/>
    </row>
    <row r="63" spans="1:23" ht="18.75">
      <c r="A63" s="2020" t="s">
        <v>1708</v>
      </c>
      <c r="B63" s="3579" t="s">
        <v>7304</v>
      </c>
      <c r="C63" s="3579"/>
      <c r="D63" s="3579"/>
      <c r="E63" s="3579"/>
      <c r="F63" s="3579"/>
      <c r="G63" s="3579"/>
      <c r="H63" s="3579"/>
      <c r="I63" s="3579"/>
    </row>
    <row r="64" spans="1:23" s="1995" customFormat="1" ht="18" customHeight="1">
      <c r="B64" s="1995" t="s">
        <v>7228</v>
      </c>
      <c r="C64" s="2022" t="s">
        <v>7305</v>
      </c>
    </row>
    <row r="65" spans="2:16" s="1995" customFormat="1" ht="18" customHeight="1">
      <c r="C65" s="2031" t="s">
        <v>7306</v>
      </c>
      <c r="D65" s="2032" t="s">
        <v>7307</v>
      </c>
      <c r="E65" s="2032"/>
      <c r="F65" s="2032"/>
      <c r="G65" s="2032"/>
      <c r="H65" s="2032"/>
      <c r="I65" s="2032"/>
      <c r="J65" s="2032"/>
      <c r="K65" s="2032"/>
      <c r="L65" s="2032"/>
      <c r="M65" s="2032"/>
      <c r="N65" s="2032"/>
      <c r="O65" s="2032"/>
      <c r="P65" s="2032"/>
    </row>
    <row r="66" spans="2:16" s="1995" customFormat="1" ht="18" customHeight="1">
      <c r="C66" s="2032"/>
      <c r="D66" s="2032" t="s">
        <v>7308</v>
      </c>
      <c r="E66" s="2032"/>
      <c r="F66" s="2032"/>
      <c r="G66" s="2032"/>
      <c r="H66" s="2032"/>
      <c r="I66" s="2032"/>
      <c r="J66" s="2032"/>
      <c r="K66" s="2032"/>
      <c r="L66" s="2032"/>
      <c r="M66" s="2032"/>
      <c r="N66" s="2032"/>
      <c r="O66" s="2032"/>
      <c r="P66" s="2032"/>
    </row>
    <row r="67" spans="2:16" s="1995" customFormat="1" ht="18" customHeight="1">
      <c r="C67" s="2032"/>
      <c r="D67" s="2032" t="s">
        <v>7309</v>
      </c>
      <c r="E67" s="2032"/>
      <c r="F67" s="2032"/>
      <c r="G67" s="2032"/>
      <c r="H67" s="2032"/>
      <c r="I67" s="2032"/>
      <c r="J67" s="2032"/>
      <c r="K67" s="2032"/>
      <c r="L67" s="2032"/>
      <c r="M67" s="2032"/>
      <c r="N67" s="2032"/>
      <c r="O67" s="2032"/>
      <c r="P67" s="2032"/>
    </row>
    <row r="68" spans="2:16" s="1995" customFormat="1" ht="18" customHeight="1">
      <c r="C68" s="2032"/>
      <c r="D68" s="2032"/>
      <c r="E68" s="2032"/>
      <c r="F68" s="2032"/>
      <c r="G68" s="2032"/>
      <c r="H68" s="2032"/>
      <c r="I68" s="2032"/>
      <c r="J68" s="2032"/>
      <c r="K68" s="2032"/>
      <c r="L68" s="2032"/>
      <c r="M68" s="2032"/>
      <c r="N68" s="2032"/>
      <c r="O68" s="2032"/>
      <c r="P68" s="2032"/>
    </row>
    <row r="69" spans="2:16" s="1995" customFormat="1" ht="18" customHeight="1">
      <c r="B69" s="2022" t="s">
        <v>7231</v>
      </c>
      <c r="C69" s="2032" t="s">
        <v>7310</v>
      </c>
      <c r="D69" s="2032"/>
      <c r="E69" s="2032"/>
      <c r="F69" s="2032"/>
      <c r="G69" s="2032"/>
      <c r="H69" s="2032"/>
      <c r="I69" s="2032"/>
      <c r="J69" s="2032"/>
      <c r="K69" s="2032"/>
      <c r="L69" s="2032"/>
      <c r="M69" s="2032"/>
      <c r="N69" s="2032"/>
      <c r="O69" s="2032"/>
      <c r="P69" s="2032"/>
    </row>
    <row r="70" spans="2:16" s="1995" customFormat="1" ht="18" customHeight="1">
      <c r="C70" s="2032" t="s">
        <v>7311</v>
      </c>
      <c r="D70" s="2032" t="s">
        <v>7312</v>
      </c>
      <c r="E70" s="2032"/>
      <c r="F70" s="2032"/>
      <c r="G70" s="2032"/>
      <c r="H70" s="2032"/>
      <c r="I70" s="2032"/>
      <c r="J70" s="2032"/>
      <c r="K70" s="2032"/>
      <c r="L70" s="2032"/>
      <c r="M70" s="2032"/>
      <c r="N70" s="2032"/>
      <c r="O70" s="2032"/>
      <c r="P70" s="2032"/>
    </row>
    <row r="71" spans="2:16" s="1995" customFormat="1" ht="18" customHeight="1">
      <c r="C71" s="2032"/>
      <c r="D71" s="2032" t="s">
        <v>7313</v>
      </c>
      <c r="E71" s="2032"/>
      <c r="F71" s="2032"/>
      <c r="G71" s="2032"/>
      <c r="H71" s="2032"/>
      <c r="I71" s="2032"/>
      <c r="J71" s="2032"/>
      <c r="K71" s="2032"/>
      <c r="L71" s="2032"/>
      <c r="M71" s="2032"/>
      <c r="N71" s="2032"/>
      <c r="O71" s="2032"/>
      <c r="P71" s="2032"/>
    </row>
    <row r="72" spans="2:16" s="1995" customFormat="1" ht="18" customHeight="1">
      <c r="C72" s="2032"/>
      <c r="D72" s="2032" t="s">
        <v>7314</v>
      </c>
      <c r="E72" s="2032"/>
      <c r="F72" s="2032"/>
      <c r="G72" s="2032"/>
      <c r="H72" s="2032"/>
      <c r="I72" s="2032"/>
      <c r="J72" s="2032"/>
      <c r="K72" s="2032"/>
      <c r="L72" s="2032"/>
      <c r="M72" s="2032"/>
      <c r="N72" s="2032"/>
      <c r="O72" s="2032"/>
      <c r="P72" s="2032"/>
    </row>
    <row r="73" spans="2:16" s="1995" customFormat="1" ht="18" customHeight="1">
      <c r="C73" s="2032"/>
      <c r="D73" s="2032"/>
      <c r="E73" s="2032"/>
      <c r="F73" s="2032"/>
      <c r="G73" s="2032"/>
      <c r="H73" s="2032"/>
      <c r="I73" s="2032"/>
      <c r="J73" s="2032"/>
      <c r="K73" s="2032"/>
      <c r="L73" s="2032"/>
      <c r="M73" s="2032"/>
      <c r="N73" s="2032"/>
      <c r="O73" s="2032"/>
      <c r="P73" s="2032"/>
    </row>
    <row r="74" spans="2:16" s="1995" customFormat="1" ht="18" customHeight="1">
      <c r="B74" s="2022" t="s">
        <v>7234</v>
      </c>
      <c r="C74" s="2032" t="s">
        <v>7315</v>
      </c>
      <c r="D74" s="2032"/>
      <c r="E74" s="2032"/>
      <c r="F74" s="2032"/>
      <c r="G74" s="2032"/>
      <c r="H74" s="2032"/>
      <c r="I74" s="2032"/>
      <c r="J74" s="2032"/>
      <c r="K74" s="2032"/>
      <c r="L74" s="2032"/>
      <c r="M74" s="2032"/>
      <c r="N74" s="2032"/>
      <c r="O74" s="2032"/>
      <c r="P74" s="2032"/>
    </row>
    <row r="75" spans="2:16" s="1995" customFormat="1" ht="18" customHeight="1">
      <c r="C75" s="2032" t="s">
        <v>7316</v>
      </c>
      <c r="D75" s="2032" t="s">
        <v>7317</v>
      </c>
      <c r="E75" s="2032"/>
      <c r="F75" s="2032"/>
      <c r="G75" s="2032"/>
      <c r="H75" s="2032"/>
      <c r="I75" s="2032"/>
      <c r="J75" s="2032"/>
      <c r="K75" s="2032"/>
      <c r="L75" s="2032"/>
      <c r="M75" s="2032"/>
      <c r="N75" s="2032"/>
      <c r="O75" s="2032"/>
      <c r="P75" s="2032"/>
    </row>
    <row r="76" spans="2:16" s="1995" customFormat="1" ht="18" customHeight="1">
      <c r="C76" s="2032"/>
      <c r="D76" s="2032" t="s">
        <v>7318</v>
      </c>
      <c r="E76" s="2032"/>
      <c r="F76" s="2032"/>
      <c r="G76" s="2032"/>
      <c r="H76" s="2032"/>
      <c r="I76" s="2032"/>
      <c r="J76" s="2032"/>
      <c r="K76" s="2032"/>
      <c r="L76" s="2032"/>
      <c r="M76" s="2032"/>
      <c r="N76" s="2032"/>
      <c r="O76" s="2032"/>
      <c r="P76" s="2032"/>
    </row>
    <row r="77" spans="2:16" s="1995" customFormat="1" ht="18" customHeight="1">
      <c r="D77" s="2022" t="s">
        <v>7319</v>
      </c>
    </row>
    <row r="78" spans="2:16" s="1995" customFormat="1" ht="18" customHeight="1"/>
    <row r="79" spans="2:16" s="1995" customFormat="1" ht="18" customHeight="1">
      <c r="B79" s="2022" t="s">
        <v>7237</v>
      </c>
      <c r="C79" s="2022" t="s">
        <v>7320</v>
      </c>
    </row>
    <row r="80" spans="2:16" s="1995" customFormat="1" ht="18" customHeight="1">
      <c r="C80" s="1995" t="s">
        <v>7321</v>
      </c>
      <c r="D80" s="2022" t="s">
        <v>7322</v>
      </c>
    </row>
    <row r="81" spans="2:20" s="1995" customFormat="1" ht="18" customHeight="1">
      <c r="D81" s="2022" t="s">
        <v>7323</v>
      </c>
    </row>
    <row r="82" spans="2:20" s="1995" customFormat="1" ht="18" customHeight="1"/>
    <row r="83" spans="2:20" s="1995" customFormat="1" ht="18" customHeight="1">
      <c r="B83" s="2022" t="s">
        <v>7240</v>
      </c>
      <c r="C83" s="2022" t="s">
        <v>7324</v>
      </c>
    </row>
    <row r="84" spans="2:20" s="1995" customFormat="1" ht="18" customHeight="1">
      <c r="C84" s="1995" t="s">
        <v>7325</v>
      </c>
      <c r="D84" s="2022" t="s">
        <v>7326</v>
      </c>
    </row>
    <row r="85" spans="2:20" s="1995" customFormat="1" ht="18" customHeight="1">
      <c r="D85" s="2032" t="s">
        <v>7327</v>
      </c>
      <c r="E85" s="2032"/>
      <c r="F85" s="2032"/>
      <c r="G85" s="2032"/>
      <c r="H85" s="2032"/>
    </row>
    <row r="86" spans="2:20" s="1995" customFormat="1" ht="18" customHeight="1">
      <c r="D86" s="2032" t="s">
        <v>7328</v>
      </c>
      <c r="E86" s="2032"/>
      <c r="F86" s="2032"/>
      <c r="G86" s="2032"/>
      <c r="H86" s="2032"/>
      <c r="S86" s="3368" t="s">
        <v>12710</v>
      </c>
      <c r="T86" s="3368"/>
    </row>
    <row r="87" spans="2:20" s="1995" customFormat="1" ht="18" customHeight="1"/>
    <row r="88" spans="2:20" s="1995" customFormat="1" ht="18" customHeight="1"/>
    <row r="89" spans="2:20" s="1995" customFormat="1" ht="18" customHeight="1">
      <c r="B89" s="3581"/>
      <c r="C89" s="3581"/>
      <c r="D89" s="3581"/>
      <c r="E89" s="3581"/>
      <c r="F89" s="3581"/>
      <c r="G89" s="3581"/>
      <c r="H89" s="3581"/>
      <c r="I89" s="3581"/>
    </row>
    <row r="90" spans="2:20" s="1995" customFormat="1" ht="18" customHeight="1"/>
    <row r="91" spans="2:20" s="1995" customFormat="1" ht="18" customHeight="1"/>
    <row r="92" spans="2:20" s="1995" customFormat="1" ht="18" customHeight="1"/>
    <row r="93" spans="2:20" s="1995" customFormat="1" ht="18" customHeight="1">
      <c r="F93" s="3581"/>
    </row>
    <row r="94" spans="2:20" s="1995" customFormat="1" ht="18" customHeight="1">
      <c r="F94" s="3581"/>
    </row>
    <row r="95" spans="2:20" s="1995" customFormat="1" ht="18" customHeight="1"/>
    <row r="96" spans="2:20" s="1995" customFormat="1" ht="18" customHeight="1"/>
    <row r="97" s="1995" customFormat="1" ht="18" customHeight="1"/>
    <row r="98" s="1995" customFormat="1" ht="18" customHeight="1"/>
    <row r="99" s="1995" customFormat="1" ht="18" customHeight="1"/>
    <row r="100" s="1995" customFormat="1" ht="18" customHeight="1"/>
    <row r="101" s="1995" customFormat="1" ht="18" customHeight="1"/>
    <row r="102" s="1995" customFormat="1" ht="18" customHeight="1"/>
    <row r="103" s="1995" customFormat="1" ht="18" customHeight="1"/>
    <row r="104" s="1995" customFormat="1" ht="18" customHeight="1"/>
    <row r="105" s="1995" customFormat="1" ht="18" customHeight="1"/>
    <row r="106" s="1995" customFormat="1" ht="18" customHeight="1"/>
    <row r="107" s="1995" customFormat="1" ht="18" customHeight="1"/>
    <row r="108" s="1995" customFormat="1" ht="18" customHeight="1"/>
    <row r="109" s="1995" customFormat="1" ht="18" customHeight="1"/>
    <row r="110" s="1995" customFormat="1" ht="18" customHeight="1"/>
    <row r="111" s="1995" customFormat="1" ht="18" customHeight="1"/>
    <row r="112" s="1995" customFormat="1" ht="18" customHeight="1"/>
    <row r="113" s="1995" customFormat="1" ht="18" customHeight="1"/>
    <row r="114" s="1995" customFormat="1" ht="18" customHeight="1"/>
    <row r="115" s="1995" customFormat="1" ht="18" customHeight="1"/>
    <row r="116" s="1995" customFormat="1" ht="18" customHeight="1"/>
    <row r="117" s="1995" customFormat="1" ht="18" customHeight="1"/>
    <row r="118" s="1995" customFormat="1" ht="18" customHeight="1"/>
    <row r="119" s="1995" customFormat="1" ht="18" customHeight="1"/>
    <row r="120" s="1995" customFormat="1" ht="18" customHeight="1"/>
    <row r="121" s="1995" customFormat="1" ht="18" customHeight="1"/>
    <row r="122" s="1995" customFormat="1" ht="18" customHeight="1"/>
    <row r="123" s="1995" customFormat="1" ht="18" customHeight="1"/>
    <row r="124" s="1995" customFormat="1" ht="18" customHeight="1"/>
    <row r="125" s="1995" customFormat="1" ht="18" customHeight="1"/>
    <row r="126" s="1995" customFormat="1" ht="18" customHeight="1"/>
    <row r="127" s="1995" customFormat="1" ht="18" customHeight="1"/>
    <row r="128" s="1995" customFormat="1" ht="18" customHeight="1"/>
    <row r="129" s="1995" customFormat="1" ht="18" customHeight="1"/>
    <row r="130" s="1995" customFormat="1" ht="18" customHeight="1"/>
    <row r="131" s="1995" customFormat="1" ht="18" customHeight="1"/>
    <row r="132" s="1995" customFormat="1" ht="18" customHeight="1"/>
    <row r="133" s="1995" customFormat="1" ht="18" customHeight="1"/>
    <row r="134" s="1995" customFormat="1" ht="18" customHeight="1"/>
    <row r="135" s="1995" customFormat="1" ht="18" customHeight="1"/>
    <row r="136" s="1995" customFormat="1" ht="18" customHeight="1"/>
    <row r="137" s="1995" customFormat="1" ht="18" customHeight="1"/>
    <row r="138" s="1995" customFormat="1" ht="18" customHeight="1"/>
    <row r="139" s="1995" customFormat="1" ht="18" customHeight="1"/>
    <row r="140" s="1995" customFormat="1" ht="18" customHeight="1"/>
    <row r="141" s="1995" customFormat="1" ht="18" customHeight="1"/>
    <row r="142" s="1995" customFormat="1" ht="18" customHeight="1"/>
    <row r="143" s="1995" customFormat="1" ht="18" customHeight="1"/>
    <row r="144" s="1995" customFormat="1" ht="18" customHeight="1"/>
    <row r="145" s="1995" customFormat="1" ht="18" customHeight="1"/>
    <row r="146" s="1995" customFormat="1" ht="18" customHeight="1"/>
    <row r="147" s="1995" customFormat="1" ht="18" customHeight="1"/>
    <row r="148" s="1995" customFormat="1" ht="18" customHeight="1"/>
    <row r="149" s="1995" customFormat="1" ht="18" customHeight="1"/>
    <row r="150" s="1995" customFormat="1" ht="18" customHeight="1"/>
    <row r="151" s="1995" customFormat="1" ht="18" customHeight="1"/>
    <row r="152" s="1995" customFormat="1" ht="18" customHeight="1"/>
    <row r="153" s="1995" customFormat="1" ht="18" customHeight="1"/>
    <row r="154" s="1995" customFormat="1" ht="18" customHeight="1"/>
    <row r="155" s="1995" customFormat="1" ht="18" customHeight="1"/>
    <row r="156" s="1995" customFormat="1" ht="18" customHeight="1"/>
    <row r="157" s="1995" customFormat="1" ht="18" customHeight="1"/>
    <row r="158" s="1995" customFormat="1" ht="18" customHeight="1"/>
    <row r="159" s="1995" customFormat="1" ht="18" customHeight="1"/>
    <row r="160" s="1995" customFormat="1" ht="18" customHeight="1"/>
    <row r="161" s="1995" customFormat="1" ht="18" customHeight="1"/>
    <row r="162" s="1995" customFormat="1" ht="18" customHeight="1"/>
    <row r="163" s="1995" customFormat="1" ht="18" customHeight="1"/>
    <row r="164" s="1995" customFormat="1" ht="18" customHeight="1"/>
    <row r="165" s="1995" customFormat="1" ht="18" customHeight="1"/>
    <row r="166" s="1995" customFormat="1" ht="18" customHeight="1"/>
    <row r="167" s="1995" customFormat="1"/>
    <row r="168" s="1995" customFormat="1"/>
    <row r="169" s="1995" customFormat="1"/>
    <row r="170" s="1995" customFormat="1"/>
    <row r="171" s="1995" customFormat="1"/>
    <row r="172" s="1995" customFormat="1"/>
    <row r="173" s="1995" customFormat="1"/>
    <row r="174" s="1995" customFormat="1"/>
    <row r="175" s="1995" customFormat="1"/>
    <row r="176" s="1995" customFormat="1"/>
    <row r="177" s="1995" customFormat="1"/>
    <row r="178" s="1995" customFormat="1"/>
    <row r="179" s="1995" customFormat="1"/>
    <row r="180" s="1995" customFormat="1"/>
    <row r="181" s="1995" customFormat="1"/>
    <row r="182" s="1995" customFormat="1"/>
    <row r="183" s="1995" customFormat="1"/>
    <row r="184" s="1995" customFormat="1"/>
    <row r="185" s="1995" customFormat="1"/>
    <row r="186" s="1995" customFormat="1"/>
    <row r="187" s="1995" customFormat="1"/>
    <row r="188" s="1995" customFormat="1"/>
    <row r="189" s="1995" customFormat="1"/>
    <row r="190" s="1995" customFormat="1"/>
    <row r="191" s="1995" customFormat="1"/>
    <row r="192" s="1995" customFormat="1"/>
    <row r="193" s="1995" customFormat="1"/>
    <row r="194" s="1995" customFormat="1"/>
    <row r="195" s="1995" customFormat="1"/>
    <row r="196" s="1995" customFormat="1"/>
    <row r="197" s="1995" customFormat="1"/>
    <row r="198" s="1995" customFormat="1"/>
    <row r="199" s="1995" customFormat="1"/>
    <row r="200" s="1995" customFormat="1"/>
    <row r="201" s="1995" customFormat="1"/>
    <row r="202" s="1995" customFormat="1"/>
    <row r="203" s="1995" customFormat="1"/>
    <row r="204" s="1995" customFormat="1"/>
    <row r="205" s="1995" customFormat="1"/>
    <row r="206" s="1995" customFormat="1"/>
    <row r="207" s="1995" customFormat="1"/>
    <row r="208" s="1995" customFormat="1"/>
    <row r="209" s="1995" customFormat="1"/>
    <row r="210" s="1995" customFormat="1"/>
    <row r="211" s="1995" customFormat="1"/>
    <row r="212" s="1995" customFormat="1"/>
    <row r="213" s="1995" customFormat="1"/>
    <row r="214" s="1995" customFormat="1"/>
    <row r="215" s="1995" customFormat="1"/>
    <row r="216" s="1995" customFormat="1"/>
    <row r="217" s="1995" customFormat="1"/>
    <row r="218" s="1995" customFormat="1"/>
    <row r="219" s="1995" customFormat="1"/>
    <row r="220" s="1995" customFormat="1"/>
    <row r="221" s="1995" customFormat="1"/>
    <row r="222" s="1995" customFormat="1"/>
    <row r="223" s="1995" customFormat="1"/>
    <row r="224" s="1995" customFormat="1"/>
    <row r="225" s="1995" customFormat="1"/>
    <row r="226" s="1995" customFormat="1"/>
    <row r="227" s="1995" customFormat="1"/>
    <row r="228" s="1995" customFormat="1"/>
    <row r="229" s="1995" customFormat="1"/>
    <row r="230" s="1995" customFormat="1"/>
    <row r="231" s="1995" customFormat="1"/>
    <row r="232" s="1995" customFormat="1"/>
    <row r="233" s="1995" customFormat="1"/>
    <row r="234" s="1995" customFormat="1"/>
    <row r="235" s="1995" customFormat="1"/>
    <row r="236" s="1995" customFormat="1"/>
    <row r="237" s="1995" customFormat="1"/>
    <row r="238" s="1995" customFormat="1"/>
    <row r="239" s="1995" customFormat="1"/>
    <row r="240" s="1995" customFormat="1"/>
    <row r="241" s="1995" customFormat="1"/>
    <row r="242" s="1995" customFormat="1"/>
    <row r="243" s="1995" customFormat="1"/>
    <row r="244" s="1995" customFormat="1"/>
    <row r="245" s="1995" customFormat="1"/>
    <row r="246" s="1995" customFormat="1"/>
    <row r="247" s="1995" customFormat="1"/>
    <row r="248" s="1995" customFormat="1"/>
    <row r="249" s="1995" customFormat="1"/>
    <row r="250" s="1995" customFormat="1"/>
    <row r="251" s="1995" customFormat="1"/>
    <row r="252" s="1995" customFormat="1"/>
    <row r="253" s="1995" customFormat="1"/>
    <row r="254" s="1995" customFormat="1"/>
    <row r="255" s="1995" customFormat="1"/>
    <row r="256" s="1995" customFormat="1"/>
    <row r="257" s="1995" customFormat="1"/>
    <row r="258" s="1995" customFormat="1"/>
    <row r="259" s="1995" customFormat="1"/>
    <row r="260" s="1995" customFormat="1"/>
    <row r="261" s="1995" customFormat="1"/>
    <row r="262" s="1995" customFormat="1"/>
    <row r="263" s="1995" customFormat="1"/>
    <row r="264" s="1995" customFormat="1"/>
    <row r="265" s="1995" customFormat="1"/>
    <row r="266" s="1995" customFormat="1"/>
    <row r="267" s="1995" customFormat="1"/>
    <row r="268" s="1995" customFormat="1"/>
    <row r="269" s="1995" customFormat="1"/>
    <row r="270" s="1995" customFormat="1"/>
    <row r="271" s="1995" customFormat="1"/>
    <row r="272" s="1995" customFormat="1"/>
    <row r="273" s="1995" customFormat="1"/>
    <row r="274" s="1995" customFormat="1"/>
    <row r="275" s="1995" customFormat="1"/>
    <row r="276" s="1995" customFormat="1"/>
    <row r="277" s="1995" customFormat="1"/>
    <row r="278" s="1995" customFormat="1"/>
    <row r="279" s="1995" customFormat="1"/>
    <row r="280" s="1995" customFormat="1"/>
    <row r="281" s="1995" customFormat="1"/>
    <row r="282" s="1995" customFormat="1"/>
    <row r="283" s="1995" customFormat="1"/>
    <row r="284" s="1995" customFormat="1"/>
    <row r="285" s="1995" customFormat="1"/>
    <row r="286" s="1995" customFormat="1"/>
    <row r="287" s="1995" customFormat="1"/>
    <row r="288" s="1995" customFormat="1"/>
    <row r="289" s="1995" customFormat="1"/>
    <row r="290" s="1995" customFormat="1"/>
    <row r="291" s="1995" customFormat="1"/>
    <row r="292" s="1995" customFormat="1"/>
    <row r="293" s="1995" customFormat="1"/>
    <row r="294" s="1995" customFormat="1"/>
    <row r="295" s="1995" customFormat="1"/>
    <row r="296" s="1995" customFormat="1"/>
    <row r="297" s="1995" customFormat="1"/>
    <row r="298" s="1995" customFormat="1"/>
    <row r="299" s="1995" customFormat="1"/>
    <row r="300" s="1995" customFormat="1"/>
    <row r="301" s="1995" customFormat="1"/>
    <row r="302" s="1995" customFormat="1"/>
    <row r="303" s="1995" customFormat="1"/>
    <row r="304" s="1995" customFormat="1"/>
    <row r="305" s="1995" customFormat="1"/>
    <row r="306" s="1995" customFormat="1"/>
    <row r="307" s="1995" customFormat="1"/>
    <row r="308" s="1995" customFormat="1"/>
    <row r="309" s="1995" customFormat="1"/>
    <row r="310" s="1995" customFormat="1"/>
    <row r="311" s="1995" customFormat="1"/>
    <row r="312" s="1995" customFormat="1"/>
    <row r="313" s="1995" customFormat="1"/>
    <row r="314" s="1995" customFormat="1"/>
    <row r="315" s="1995" customFormat="1"/>
    <row r="316" s="1995" customFormat="1"/>
    <row r="317" s="1995" customFormat="1"/>
    <row r="318" s="1995" customFormat="1"/>
    <row r="319" s="1995" customFormat="1"/>
    <row r="320" s="1995" customFormat="1"/>
    <row r="321" s="1995" customFormat="1"/>
    <row r="322" s="1995" customFormat="1"/>
    <row r="323" s="1995" customFormat="1"/>
    <row r="324" s="1995" customFormat="1"/>
    <row r="325" s="1995" customFormat="1"/>
    <row r="326" s="1995" customFormat="1"/>
    <row r="327" s="1995" customFormat="1"/>
    <row r="328" s="1995" customFormat="1"/>
    <row r="329" s="1995" customFormat="1"/>
    <row r="330" s="1995" customFormat="1"/>
    <row r="331" s="1995" customFormat="1"/>
    <row r="332" s="1995" customFormat="1"/>
    <row r="333" s="1995" customFormat="1"/>
    <row r="334" s="1995" customFormat="1"/>
    <row r="335" s="1995" customFormat="1"/>
    <row r="336" s="1995" customFormat="1"/>
    <row r="337" s="1995" customFormat="1"/>
    <row r="338" s="1995" customFormat="1"/>
    <row r="339" s="1995" customFormat="1"/>
    <row r="340" s="1995" customFormat="1"/>
    <row r="341" s="1995" customFormat="1"/>
    <row r="342" s="1995" customFormat="1"/>
    <row r="343" s="1995" customFormat="1"/>
    <row r="344" s="1995" customFormat="1"/>
    <row r="345" s="1995" customFormat="1"/>
    <row r="346" s="1995" customFormat="1"/>
    <row r="347" s="1995" customFormat="1"/>
    <row r="348" s="1995" customFormat="1"/>
    <row r="349" s="1995" customFormat="1"/>
    <row r="350" s="1995" customFormat="1"/>
    <row r="351" s="1995" customFormat="1"/>
    <row r="352" s="1995" customFormat="1"/>
    <row r="353" s="1995" customFormat="1"/>
    <row r="354" s="1995" customFormat="1"/>
    <row r="355" s="1995" customFormat="1"/>
    <row r="356" s="1995" customFormat="1"/>
    <row r="357" s="1995" customFormat="1"/>
    <row r="358" s="1995" customFormat="1"/>
    <row r="359" s="1995" customFormat="1"/>
    <row r="360" s="1995" customFormat="1"/>
    <row r="361" s="1995" customFormat="1"/>
    <row r="362" s="1995" customFormat="1"/>
    <row r="363" s="1995" customFormat="1"/>
    <row r="364" s="1995" customFormat="1"/>
    <row r="365" s="1995" customFormat="1"/>
    <row r="366" s="1995" customFormat="1"/>
    <row r="367" s="1995" customFormat="1"/>
    <row r="368" s="1995" customFormat="1"/>
    <row r="369" s="1995" customFormat="1"/>
    <row r="370" s="1995" customFormat="1"/>
    <row r="371" s="1995" customFormat="1"/>
    <row r="372" s="1995" customFormat="1"/>
    <row r="373" s="1995" customFormat="1"/>
    <row r="374" s="1995" customFormat="1"/>
    <row r="375" s="1995" customFormat="1"/>
    <row r="376" s="1995" customFormat="1"/>
    <row r="377" s="1995" customFormat="1"/>
    <row r="378" s="1995" customFormat="1"/>
    <row r="379" s="1995" customFormat="1"/>
    <row r="380" s="1995" customFormat="1"/>
    <row r="381" s="1995" customFormat="1"/>
    <row r="382" s="1995" customFormat="1"/>
    <row r="383" s="1995" customFormat="1"/>
    <row r="384" s="1995" customFormat="1"/>
    <row r="385" s="1995" customFormat="1"/>
    <row r="386" s="1995" customFormat="1"/>
    <row r="387" s="1995" customFormat="1"/>
    <row r="388" s="1995" customFormat="1"/>
    <row r="389" s="1995" customFormat="1"/>
    <row r="390" s="1995" customFormat="1"/>
    <row r="391" s="1995" customFormat="1"/>
    <row r="392" s="1995" customFormat="1"/>
    <row r="393" s="1995" customFormat="1"/>
    <row r="394" s="1995" customFormat="1"/>
    <row r="395" s="1995" customFormat="1"/>
    <row r="396" s="1995" customFormat="1"/>
    <row r="397" s="1995" customFormat="1"/>
    <row r="398" s="1995" customFormat="1"/>
    <row r="399" s="1995" customFormat="1"/>
    <row r="400" s="1995" customFormat="1"/>
    <row r="401" s="1995" customFormat="1"/>
    <row r="402" s="1995" customFormat="1"/>
    <row r="403" s="1995" customFormat="1"/>
    <row r="404" s="1995" customFormat="1"/>
    <row r="405" s="1995" customFormat="1"/>
    <row r="406" s="1995" customFormat="1"/>
    <row r="407" s="1995" customFormat="1"/>
    <row r="408" s="1995" customFormat="1"/>
    <row r="409" s="1995" customFormat="1"/>
    <row r="410" s="1995" customFormat="1"/>
    <row r="411" s="1995" customFormat="1"/>
    <row r="412" s="1995" customFormat="1"/>
    <row r="413" s="1995" customFormat="1"/>
    <row r="414" s="1995" customFormat="1"/>
    <row r="415" s="1995" customFormat="1"/>
    <row r="416" s="1995" customFormat="1"/>
    <row r="417" s="1995" customFormat="1"/>
    <row r="418" s="1995" customFormat="1"/>
    <row r="419" s="1995" customFormat="1"/>
    <row r="420" s="1995" customFormat="1"/>
    <row r="421" s="1995" customFormat="1"/>
    <row r="422" s="1995" customFormat="1"/>
    <row r="423" s="1995" customFormat="1"/>
    <row r="424" s="1995" customFormat="1"/>
    <row r="425" s="1995" customFormat="1"/>
    <row r="426" s="1995" customFormat="1"/>
    <row r="427" s="1995" customFormat="1"/>
    <row r="428" s="1995" customFormat="1"/>
    <row r="429" s="1995" customFormat="1"/>
    <row r="430" s="1995" customFormat="1"/>
    <row r="431" s="1995" customFormat="1"/>
    <row r="432" s="1995" customFormat="1"/>
    <row r="433" s="1995" customFormat="1"/>
    <row r="434" s="1995" customFormat="1"/>
    <row r="435" s="1995" customFormat="1"/>
    <row r="436" s="1995" customFormat="1"/>
    <row r="437" s="1995" customFormat="1"/>
    <row r="438" s="1995" customFormat="1"/>
    <row r="439" s="1995" customFormat="1"/>
    <row r="440" s="1995" customFormat="1"/>
    <row r="441" s="1995" customFormat="1"/>
    <row r="442" s="1995" customFormat="1"/>
    <row r="443" s="1995" customFormat="1"/>
    <row r="444" s="1995" customFormat="1"/>
    <row r="445" s="1995" customFormat="1"/>
    <row r="446" s="1995" customFormat="1"/>
    <row r="447" s="1995" customFormat="1"/>
    <row r="448" s="1995" customFormat="1"/>
    <row r="449" s="1995" customFormat="1"/>
    <row r="450" s="1995" customFormat="1"/>
    <row r="451" s="1995" customFormat="1"/>
    <row r="452" s="1995" customFormat="1"/>
    <row r="453" s="1995" customFormat="1"/>
    <row r="454" s="1995" customFormat="1"/>
    <row r="455" s="1995" customFormat="1"/>
    <row r="456" s="1995" customFormat="1"/>
    <row r="457" s="1995" customFormat="1"/>
    <row r="458" s="1995" customFormat="1"/>
    <row r="459" s="1995" customFormat="1"/>
    <row r="460" s="1995" customFormat="1"/>
    <row r="461" s="1995" customFormat="1"/>
    <row r="462" s="1995" customFormat="1"/>
    <row r="463" s="1995" customFormat="1"/>
    <row r="464" s="1995" customFormat="1"/>
    <row r="465" s="1995" customFormat="1"/>
    <row r="466" s="1995" customFormat="1"/>
    <row r="467" s="1995" customFormat="1"/>
    <row r="468" s="1995" customFormat="1"/>
    <row r="469" s="1995" customFormat="1"/>
    <row r="470" s="1995" customFormat="1"/>
    <row r="471" s="1995" customFormat="1"/>
    <row r="472" s="1995" customFormat="1"/>
    <row r="473" s="1995" customFormat="1"/>
  </sheetData>
  <mergeCells count="29">
    <mergeCell ref="B63:I63"/>
    <mergeCell ref="B89:I89"/>
    <mergeCell ref="F93:F94"/>
    <mergeCell ref="P2:Q2"/>
    <mergeCell ref="S56:T56"/>
    <mergeCell ref="S86:T86"/>
    <mergeCell ref="C11:H11"/>
    <mergeCell ref="C12:H12"/>
    <mergeCell ref="B13:K13"/>
    <mergeCell ref="B40:I40"/>
    <mergeCell ref="F41:O41"/>
    <mergeCell ref="C8:K8"/>
    <mergeCell ref="L8:M8"/>
    <mergeCell ref="C9:K9"/>
    <mergeCell ref="L9:M9"/>
    <mergeCell ref="C10:K10"/>
    <mergeCell ref="L10:M10"/>
    <mergeCell ref="C5:K5"/>
    <mergeCell ref="L5:M5"/>
    <mergeCell ref="C6:K6"/>
    <mergeCell ref="L6:M6"/>
    <mergeCell ref="C7:K7"/>
    <mergeCell ref="L7:M7"/>
    <mergeCell ref="B2:K2"/>
    <mergeCell ref="L2:M2"/>
    <mergeCell ref="C3:K3"/>
    <mergeCell ref="L3:M3"/>
    <mergeCell ref="C4:K4"/>
    <mergeCell ref="L4:M4"/>
  </mergeCells>
  <phoneticPr fontId="378" type="noConversion"/>
  <hyperlinks>
    <hyperlink ref="P2:Q2" location="总目录!A1" display="返回目录"/>
    <hyperlink ref="S56:T56" location="总目录!A1" display="返回目录"/>
    <hyperlink ref="S86:T86" location="总目录!A1" display="返回目录"/>
  </hyperlinks>
  <pageMargins left="0.75" right="0.75" top="1" bottom="1" header="0.50902777777777797" footer="0.50902777777777797"/>
  <pageSetup paperSize="9" orientation="portrait"/>
  <headerFooter scaleWithDoc="0"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6"/>
  <sheetViews>
    <sheetView topLeftCell="A70" zoomScale="85" zoomScaleNormal="85" workbookViewId="0">
      <selection activeCell="Q88" sqref="Q88:R88"/>
    </sheetView>
  </sheetViews>
  <sheetFormatPr defaultColWidth="9" defaultRowHeight="16.5"/>
  <cols>
    <col min="1" max="2" width="6.625" style="1922" customWidth="1"/>
    <col min="3" max="26" width="5.625" style="1922" customWidth="1"/>
    <col min="27" max="28" width="6.625" style="1922" customWidth="1"/>
    <col min="29" max="16384" width="9" style="1922"/>
  </cols>
  <sheetData>
    <row r="1" spans="1:28">
      <c r="A1" s="3588" t="s">
        <v>7329</v>
      </c>
      <c r="B1" s="3588"/>
      <c r="C1" s="3588"/>
      <c r="D1" s="3588"/>
      <c r="E1" s="3588"/>
      <c r="F1" s="3588"/>
      <c r="G1" s="3588"/>
      <c r="H1" s="3588"/>
      <c r="I1" s="3588"/>
      <c r="J1" s="3588"/>
      <c r="K1" s="3588"/>
      <c r="L1" s="3588"/>
      <c r="M1" s="3588"/>
      <c r="N1" s="3588"/>
      <c r="O1" s="3588"/>
      <c r="P1" s="3588"/>
      <c r="Q1" s="3588"/>
      <c r="R1" s="3588"/>
      <c r="S1" s="3588"/>
      <c r="T1" s="3588"/>
      <c r="U1" s="3588"/>
      <c r="V1" s="3588"/>
      <c r="W1" s="3588"/>
      <c r="X1" s="3588"/>
      <c r="Y1" s="3588"/>
      <c r="Z1" s="3588"/>
      <c r="AA1" s="3588"/>
      <c r="AB1" s="3588"/>
    </row>
    <row r="2" spans="1:28" customFormat="1">
      <c r="A2" s="3589" t="s">
        <v>7330</v>
      </c>
      <c r="B2" s="3589"/>
      <c r="C2" s="3589"/>
      <c r="D2" s="3589"/>
      <c r="E2" s="3589"/>
      <c r="F2" s="3589"/>
      <c r="G2" s="3589"/>
      <c r="H2" s="3589"/>
      <c r="I2" s="3589"/>
      <c r="J2" s="3589"/>
      <c r="K2" s="3589"/>
      <c r="L2" s="3589"/>
      <c r="M2" s="3589"/>
      <c r="N2" s="3589"/>
      <c r="O2" s="1922"/>
      <c r="P2" s="1922"/>
      <c r="Q2" s="1922"/>
      <c r="R2" s="1922"/>
      <c r="S2" s="1922"/>
      <c r="T2" s="1922"/>
      <c r="U2" s="1922"/>
      <c r="V2" s="1922"/>
      <c r="W2" s="1922"/>
      <c r="X2" s="1922"/>
      <c r="Y2" s="1922"/>
      <c r="Z2" s="1922"/>
      <c r="AA2" s="1922"/>
      <c r="AB2" s="1922"/>
    </row>
    <row r="3" spans="1:28">
      <c r="A3" s="3590" t="s">
        <v>7331</v>
      </c>
      <c r="B3" s="3591"/>
      <c r="C3" s="3592" t="s">
        <v>7332</v>
      </c>
      <c r="D3" s="3593"/>
      <c r="E3" s="3593"/>
      <c r="F3" s="3593"/>
      <c r="G3" s="3593"/>
      <c r="H3" s="3593"/>
      <c r="I3" s="3593"/>
      <c r="J3" s="3593"/>
      <c r="K3" s="3593"/>
      <c r="L3" s="3593"/>
      <c r="M3" s="3593"/>
      <c r="N3" s="3593"/>
      <c r="O3" s="3594"/>
      <c r="P3" s="3594"/>
      <c r="Q3" s="3594"/>
      <c r="R3" s="3594"/>
      <c r="S3" s="3594"/>
      <c r="T3" s="3594"/>
      <c r="U3" s="3594"/>
      <c r="V3" s="3594"/>
      <c r="W3" s="3594"/>
      <c r="X3" s="3594"/>
      <c r="Y3" s="3594"/>
      <c r="Z3" s="3594"/>
      <c r="AA3" s="3591" t="s">
        <v>7331</v>
      </c>
      <c r="AB3" s="3595"/>
    </row>
    <row r="4" spans="1:28" ht="15.75" customHeight="1">
      <c r="A4" s="3596" t="s">
        <v>7333</v>
      </c>
      <c r="B4" s="3597"/>
      <c r="C4" s="3598" t="s">
        <v>6704</v>
      </c>
      <c r="D4" s="3599"/>
      <c r="E4" s="3598" t="s">
        <v>7334</v>
      </c>
      <c r="F4" s="3600"/>
      <c r="G4" s="3598" t="s">
        <v>7335</v>
      </c>
      <c r="H4" s="3600"/>
      <c r="I4" s="3598" t="s">
        <v>7336</v>
      </c>
      <c r="J4" s="3600"/>
      <c r="K4" s="3598" t="s">
        <v>7337</v>
      </c>
      <c r="L4" s="3600"/>
      <c r="M4" s="3598" t="s">
        <v>7338</v>
      </c>
      <c r="N4" s="3600"/>
      <c r="O4" s="3598" t="s">
        <v>7339</v>
      </c>
      <c r="P4" s="3600"/>
      <c r="Q4" s="3598" t="s">
        <v>6000</v>
      </c>
      <c r="R4" s="3600"/>
      <c r="S4" s="3598" t="s">
        <v>6003</v>
      </c>
      <c r="T4" s="3600"/>
      <c r="U4" s="3598" t="s">
        <v>287</v>
      </c>
      <c r="V4" s="3600"/>
      <c r="W4" s="3598" t="s">
        <v>7340</v>
      </c>
      <c r="X4" s="3599"/>
      <c r="Y4" s="3598" t="s">
        <v>7341</v>
      </c>
      <c r="Z4" s="3601"/>
      <c r="AA4" s="3597" t="s">
        <v>7333</v>
      </c>
      <c r="AB4" s="3602"/>
    </row>
    <row r="5" spans="1:28">
      <c r="A5" s="1947" t="s">
        <v>7342</v>
      </c>
      <c r="B5" s="1951" t="s">
        <v>7343</v>
      </c>
      <c r="C5" s="3598" t="s">
        <v>7344</v>
      </c>
      <c r="D5" s="3603"/>
      <c r="E5" s="3603"/>
      <c r="F5" s="3603"/>
      <c r="G5" s="3603"/>
      <c r="H5" s="3603"/>
      <c r="I5" s="3603"/>
      <c r="J5" s="3603"/>
      <c r="K5" s="3603"/>
      <c r="L5" s="3603"/>
      <c r="M5" s="3603"/>
      <c r="N5" s="3603"/>
      <c r="O5" s="3603"/>
      <c r="P5" s="3603"/>
      <c r="Q5" s="3603"/>
      <c r="R5" s="3603"/>
      <c r="S5" s="3603"/>
      <c r="T5" s="3603"/>
      <c r="U5" s="3603"/>
      <c r="V5" s="3603"/>
      <c r="W5" s="3603"/>
      <c r="X5" s="3603"/>
      <c r="Y5" s="3603"/>
      <c r="Z5" s="3603"/>
      <c r="AA5" s="1951" t="s">
        <v>7342</v>
      </c>
      <c r="AB5" s="1948" t="s">
        <v>7343</v>
      </c>
    </row>
    <row r="6" spans="1:28">
      <c r="A6" s="1947" t="s">
        <v>2074</v>
      </c>
      <c r="B6" s="1951" t="s">
        <v>287</v>
      </c>
      <c r="C6" s="3608" t="s">
        <v>7345</v>
      </c>
      <c r="D6" s="1951" t="s">
        <v>7346</v>
      </c>
      <c r="E6" s="3608" t="s">
        <v>7347</v>
      </c>
      <c r="F6" s="1951" t="s">
        <v>7348</v>
      </c>
      <c r="G6" s="3608" t="s">
        <v>7349</v>
      </c>
      <c r="H6" s="1951" t="s">
        <v>7350</v>
      </c>
      <c r="I6" s="3608" t="s">
        <v>7349</v>
      </c>
      <c r="J6" s="1951" t="s">
        <v>7351</v>
      </c>
      <c r="K6" s="3608" t="s">
        <v>7346</v>
      </c>
      <c r="L6" s="1951" t="s">
        <v>7334</v>
      </c>
      <c r="M6" s="3608" t="s">
        <v>7346</v>
      </c>
      <c r="N6" s="1951" t="s">
        <v>7335</v>
      </c>
      <c r="O6" s="3608" t="s">
        <v>7348</v>
      </c>
      <c r="P6" s="1951" t="s">
        <v>7337</v>
      </c>
      <c r="Q6" s="3608" t="s">
        <v>7350</v>
      </c>
      <c r="R6" s="1951" t="s">
        <v>6000</v>
      </c>
      <c r="S6" s="3608" t="s">
        <v>7352</v>
      </c>
      <c r="T6" s="1951" t="s">
        <v>7341</v>
      </c>
      <c r="U6" s="3608" t="s">
        <v>7352</v>
      </c>
      <c r="V6" s="1951" t="s">
        <v>298</v>
      </c>
      <c r="W6" s="3608" t="s">
        <v>7353</v>
      </c>
      <c r="X6" s="1951" t="s">
        <v>309</v>
      </c>
      <c r="Y6" s="3608" t="s">
        <v>7354</v>
      </c>
      <c r="Z6" s="1991" t="s">
        <v>343</v>
      </c>
      <c r="AA6" s="1951" t="s">
        <v>2074</v>
      </c>
      <c r="AB6" s="1948" t="s">
        <v>287</v>
      </c>
    </row>
    <row r="7" spans="1:28">
      <c r="A7" s="1947" t="s">
        <v>287</v>
      </c>
      <c r="B7" s="1951" t="s">
        <v>7355</v>
      </c>
      <c r="C7" s="3609"/>
      <c r="D7" s="1951" t="s">
        <v>7356</v>
      </c>
      <c r="E7" s="3609"/>
      <c r="F7" s="1951" t="s">
        <v>7357</v>
      </c>
      <c r="G7" s="3609"/>
      <c r="H7" s="1951" t="s">
        <v>6704</v>
      </c>
      <c r="I7" s="3609"/>
      <c r="J7" s="1951" t="s">
        <v>7358</v>
      </c>
      <c r="K7" s="3609"/>
      <c r="L7" s="1951" t="s">
        <v>7359</v>
      </c>
      <c r="M7" s="3609"/>
      <c r="N7" s="1951" t="s">
        <v>7336</v>
      </c>
      <c r="O7" s="3609"/>
      <c r="P7" s="1951" t="s">
        <v>7338</v>
      </c>
      <c r="Q7" s="3609"/>
      <c r="R7" s="1951" t="s">
        <v>287</v>
      </c>
      <c r="S7" s="3609"/>
      <c r="T7" s="1951" t="s">
        <v>292</v>
      </c>
      <c r="U7" s="3609"/>
      <c r="V7" s="1951" t="s">
        <v>304</v>
      </c>
      <c r="W7" s="3609"/>
      <c r="X7" s="1951" t="s">
        <v>320</v>
      </c>
      <c r="Y7" s="3609"/>
      <c r="Z7" s="1991" t="s">
        <v>7360</v>
      </c>
      <c r="AA7" s="1951" t="s">
        <v>287</v>
      </c>
      <c r="AB7" s="1948" t="s">
        <v>7355</v>
      </c>
    </row>
    <row r="8" spans="1:28">
      <c r="A8" s="1947" t="s">
        <v>7355</v>
      </c>
      <c r="B8" s="1951" t="s">
        <v>304</v>
      </c>
      <c r="C8" s="3597"/>
      <c r="D8" s="1951" t="s">
        <v>7361</v>
      </c>
      <c r="E8" s="3597"/>
      <c r="F8" s="1951" t="s">
        <v>7362</v>
      </c>
      <c r="G8" s="3597"/>
      <c r="H8" s="1951" t="s">
        <v>7351</v>
      </c>
      <c r="I8" s="3597"/>
      <c r="J8" s="1951" t="s">
        <v>7334</v>
      </c>
      <c r="K8" s="3597"/>
      <c r="L8" s="1951" t="s">
        <v>7335</v>
      </c>
      <c r="M8" s="3597"/>
      <c r="N8" s="1951" t="s">
        <v>7337</v>
      </c>
      <c r="O8" s="3597"/>
      <c r="P8" s="1951" t="s">
        <v>6000</v>
      </c>
      <c r="Q8" s="3597"/>
      <c r="R8" s="1951" t="s">
        <v>7341</v>
      </c>
      <c r="S8" s="3597"/>
      <c r="T8" s="1951" t="s">
        <v>298</v>
      </c>
      <c r="U8" s="3597"/>
      <c r="V8" s="1951" t="s">
        <v>309</v>
      </c>
      <c r="W8" s="3597"/>
      <c r="X8" s="1951" t="s">
        <v>332</v>
      </c>
      <c r="Y8" s="3597"/>
      <c r="Z8" s="1991" t="s">
        <v>7363</v>
      </c>
      <c r="AA8" s="1951" t="s">
        <v>7355</v>
      </c>
      <c r="AB8" s="1948" t="s">
        <v>304</v>
      </c>
    </row>
    <row r="9" spans="1:28">
      <c r="A9" s="1947" t="s">
        <v>304</v>
      </c>
      <c r="B9" s="1951" t="s">
        <v>320</v>
      </c>
      <c r="C9" s="3608" t="s">
        <v>7347</v>
      </c>
      <c r="D9" s="1951" t="s">
        <v>7348</v>
      </c>
      <c r="E9" s="3608" t="s">
        <v>7349</v>
      </c>
      <c r="F9" s="1951" t="s">
        <v>7350</v>
      </c>
      <c r="G9" s="3608" t="s">
        <v>7349</v>
      </c>
      <c r="H9" s="1951" t="s">
        <v>7358</v>
      </c>
      <c r="I9" s="3608" t="s">
        <v>7346</v>
      </c>
      <c r="J9" s="1951" t="s">
        <v>7359</v>
      </c>
      <c r="K9" s="3608" t="s">
        <v>7346</v>
      </c>
      <c r="L9" s="1951" t="s">
        <v>7336</v>
      </c>
      <c r="M9" s="3608" t="s">
        <v>7348</v>
      </c>
      <c r="N9" s="1951" t="s">
        <v>7338</v>
      </c>
      <c r="O9" s="3608" t="s">
        <v>7350</v>
      </c>
      <c r="P9" s="1951" t="s">
        <v>287</v>
      </c>
      <c r="Q9" s="3608" t="s">
        <v>7350</v>
      </c>
      <c r="R9" s="1951" t="s">
        <v>292</v>
      </c>
      <c r="S9" s="3608" t="s">
        <v>7352</v>
      </c>
      <c r="T9" s="1951" t="s">
        <v>304</v>
      </c>
      <c r="U9" s="3608" t="s">
        <v>7353</v>
      </c>
      <c r="V9" s="1951" t="s">
        <v>320</v>
      </c>
      <c r="W9" s="3608" t="s">
        <v>7354</v>
      </c>
      <c r="X9" s="1951" t="s">
        <v>343</v>
      </c>
      <c r="Y9" s="3608" t="s">
        <v>7364</v>
      </c>
      <c r="Z9" s="1991" t="s">
        <v>7365</v>
      </c>
      <c r="AA9" s="1951" t="s">
        <v>304</v>
      </c>
      <c r="AB9" s="1948" t="s">
        <v>320</v>
      </c>
    </row>
    <row r="10" spans="1:28">
      <c r="A10" s="1947" t="s">
        <v>320</v>
      </c>
      <c r="B10" s="1951" t="s">
        <v>7366</v>
      </c>
      <c r="C10" s="3609"/>
      <c r="D10" s="1951" t="s">
        <v>7357</v>
      </c>
      <c r="E10" s="3609"/>
      <c r="F10" s="1951" t="s">
        <v>6704</v>
      </c>
      <c r="G10" s="3609"/>
      <c r="H10" s="1951" t="s">
        <v>7334</v>
      </c>
      <c r="I10" s="3609"/>
      <c r="J10" s="1951" t="s">
        <v>7335</v>
      </c>
      <c r="K10" s="3609"/>
      <c r="L10" s="1951" t="s">
        <v>7337</v>
      </c>
      <c r="M10" s="3609"/>
      <c r="N10" s="1951" t="s">
        <v>6000</v>
      </c>
      <c r="O10" s="3609"/>
      <c r="P10" s="1951" t="s">
        <v>7341</v>
      </c>
      <c r="Q10" s="3609"/>
      <c r="R10" s="1951" t="s">
        <v>298</v>
      </c>
      <c r="S10" s="3609"/>
      <c r="T10" s="1951" t="s">
        <v>309</v>
      </c>
      <c r="U10" s="3609"/>
      <c r="V10" s="1951" t="s">
        <v>332</v>
      </c>
      <c r="W10" s="3609"/>
      <c r="X10" s="1951" t="s">
        <v>7360</v>
      </c>
      <c r="Y10" s="3609"/>
      <c r="Z10" s="1991" t="s">
        <v>7367</v>
      </c>
      <c r="AA10" s="1951" t="s">
        <v>320</v>
      </c>
      <c r="AB10" s="1948" t="s">
        <v>7366</v>
      </c>
    </row>
    <row r="11" spans="1:28">
      <c r="A11" s="1947" t="s">
        <v>7366</v>
      </c>
      <c r="B11" s="1951" t="s">
        <v>7363</v>
      </c>
      <c r="C11" s="3609"/>
      <c r="D11" s="1951" t="s">
        <v>7362</v>
      </c>
      <c r="E11" s="3609"/>
      <c r="F11" s="1951" t="s">
        <v>7351</v>
      </c>
      <c r="G11" s="3609"/>
      <c r="H11" s="1951" t="s">
        <v>7359</v>
      </c>
      <c r="I11" s="3609"/>
      <c r="J11" s="1951" t="s">
        <v>7336</v>
      </c>
      <c r="K11" s="3609"/>
      <c r="L11" s="1951" t="s">
        <v>7338</v>
      </c>
      <c r="M11" s="3609"/>
      <c r="N11" s="1951" t="s">
        <v>287</v>
      </c>
      <c r="O11" s="3609"/>
      <c r="P11" s="1951" t="s">
        <v>292</v>
      </c>
      <c r="Q11" s="3609"/>
      <c r="R11" s="1951" t="s">
        <v>304</v>
      </c>
      <c r="S11" s="3609"/>
      <c r="T11" s="1951" t="s">
        <v>320</v>
      </c>
      <c r="U11" s="3609"/>
      <c r="V11" s="1951" t="s">
        <v>343</v>
      </c>
      <c r="W11" s="3609"/>
      <c r="X11" s="1951" t="s">
        <v>7363</v>
      </c>
      <c r="Y11" s="3609"/>
      <c r="Z11" s="1991" t="s">
        <v>7368</v>
      </c>
      <c r="AA11" s="1951" t="s">
        <v>7366</v>
      </c>
      <c r="AB11" s="1948" t="s">
        <v>7363</v>
      </c>
    </row>
    <row r="12" spans="1:28">
      <c r="A12" s="1947" t="s">
        <v>7363</v>
      </c>
      <c r="B12" s="1951" t="s">
        <v>7369</v>
      </c>
      <c r="C12" s="3597"/>
      <c r="D12" s="1951" t="s">
        <v>7350</v>
      </c>
      <c r="E12" s="3597"/>
      <c r="F12" s="1951" t="s">
        <v>7358</v>
      </c>
      <c r="G12" s="3597"/>
      <c r="H12" s="1951" t="s">
        <v>7335</v>
      </c>
      <c r="I12" s="3597"/>
      <c r="J12" s="1951" t="s">
        <v>7337</v>
      </c>
      <c r="K12" s="3597"/>
      <c r="L12" s="1951" t="s">
        <v>6000</v>
      </c>
      <c r="M12" s="3597"/>
      <c r="N12" s="1951" t="s">
        <v>7341</v>
      </c>
      <c r="O12" s="3597"/>
      <c r="P12" s="1951" t="s">
        <v>298</v>
      </c>
      <c r="Q12" s="3597"/>
      <c r="R12" s="1951" t="s">
        <v>309</v>
      </c>
      <c r="S12" s="3597"/>
      <c r="T12" s="1951" t="s">
        <v>332</v>
      </c>
      <c r="U12" s="3597"/>
      <c r="V12" s="1951" t="s">
        <v>7360</v>
      </c>
      <c r="W12" s="3597"/>
      <c r="X12" s="1951" t="s">
        <v>7365</v>
      </c>
      <c r="Y12" s="3597"/>
      <c r="Z12" s="1991" t="s">
        <v>7370</v>
      </c>
      <c r="AA12" s="1951" t="s">
        <v>7363</v>
      </c>
      <c r="AB12" s="1948" t="s">
        <v>7369</v>
      </c>
    </row>
    <row r="13" spans="1:28">
      <c r="A13" s="1947" t="s">
        <v>7369</v>
      </c>
      <c r="B13" s="1951" t="s">
        <v>7370</v>
      </c>
      <c r="C13" s="3608" t="s">
        <v>7349</v>
      </c>
      <c r="D13" s="1951" t="s">
        <v>6704</v>
      </c>
      <c r="E13" s="3608" t="s">
        <v>7346</v>
      </c>
      <c r="F13" s="1951" t="s">
        <v>7334</v>
      </c>
      <c r="G13" s="3608" t="s">
        <v>7348</v>
      </c>
      <c r="H13" s="1951" t="s">
        <v>7336</v>
      </c>
      <c r="I13" s="3608" t="s">
        <v>7348</v>
      </c>
      <c r="J13" s="1951" t="s">
        <v>7338</v>
      </c>
      <c r="K13" s="3608" t="s">
        <v>7350</v>
      </c>
      <c r="L13" s="1951" t="s">
        <v>287</v>
      </c>
      <c r="M13" s="3608" t="s">
        <v>7352</v>
      </c>
      <c r="N13" s="1951" t="s">
        <v>292</v>
      </c>
      <c r="O13" s="3608" t="s">
        <v>7352</v>
      </c>
      <c r="P13" s="1951" t="s">
        <v>304</v>
      </c>
      <c r="Q13" s="3608" t="s">
        <v>7353</v>
      </c>
      <c r="R13" s="1951" t="s">
        <v>320</v>
      </c>
      <c r="S13" s="3608" t="s">
        <v>7353</v>
      </c>
      <c r="T13" s="1951" t="s">
        <v>343</v>
      </c>
      <c r="U13" s="3608" t="s">
        <v>7354</v>
      </c>
      <c r="V13" s="1951" t="s">
        <v>7363</v>
      </c>
      <c r="W13" s="3608" t="s">
        <v>7364</v>
      </c>
      <c r="X13" s="1951" t="s">
        <v>7367</v>
      </c>
      <c r="Y13" s="3608" t="s">
        <v>7364</v>
      </c>
      <c r="Z13" s="1991" t="s">
        <v>7371</v>
      </c>
      <c r="AA13" s="1951" t="s">
        <v>7369</v>
      </c>
      <c r="AB13" s="1948" t="s">
        <v>7370</v>
      </c>
    </row>
    <row r="14" spans="1:28">
      <c r="A14" s="1947" t="s">
        <v>7370</v>
      </c>
      <c r="B14" s="1951" t="s">
        <v>7372</v>
      </c>
      <c r="C14" s="3609"/>
      <c r="D14" s="1951" t="s">
        <v>7351</v>
      </c>
      <c r="E14" s="3609"/>
      <c r="F14" s="1951" t="s">
        <v>7359</v>
      </c>
      <c r="G14" s="3609"/>
      <c r="H14" s="1951" t="s">
        <v>7337</v>
      </c>
      <c r="I14" s="3609"/>
      <c r="J14" s="1951" t="s">
        <v>6000</v>
      </c>
      <c r="K14" s="3609"/>
      <c r="L14" s="1951" t="s">
        <v>7341</v>
      </c>
      <c r="M14" s="3609"/>
      <c r="N14" s="1951" t="s">
        <v>298</v>
      </c>
      <c r="O14" s="3609"/>
      <c r="P14" s="1951" t="s">
        <v>309</v>
      </c>
      <c r="Q14" s="3609"/>
      <c r="R14" s="1951" t="s">
        <v>332</v>
      </c>
      <c r="S14" s="3609"/>
      <c r="T14" s="1951" t="s">
        <v>7360</v>
      </c>
      <c r="U14" s="3609"/>
      <c r="V14" s="1951" t="s">
        <v>7365</v>
      </c>
      <c r="W14" s="3609"/>
      <c r="X14" s="1951" t="s">
        <v>7368</v>
      </c>
      <c r="Y14" s="3609"/>
      <c r="Z14" s="1991" t="s">
        <v>7372</v>
      </c>
      <c r="AA14" s="1951" t="s">
        <v>7370</v>
      </c>
      <c r="AB14" s="1948" t="s">
        <v>7372</v>
      </c>
    </row>
    <row r="15" spans="1:28">
      <c r="A15" s="1947" t="s">
        <v>7372</v>
      </c>
      <c r="B15" s="1951" t="s">
        <v>7373</v>
      </c>
      <c r="C15" s="3609"/>
      <c r="D15" s="1951" t="s">
        <v>7358</v>
      </c>
      <c r="E15" s="3609"/>
      <c r="F15" s="1951" t="s">
        <v>7335</v>
      </c>
      <c r="G15" s="3609"/>
      <c r="H15" s="1951" t="s">
        <v>7338</v>
      </c>
      <c r="I15" s="3609"/>
      <c r="J15" s="1951" t="s">
        <v>287</v>
      </c>
      <c r="K15" s="3609"/>
      <c r="L15" s="1951" t="s">
        <v>292</v>
      </c>
      <c r="M15" s="3609"/>
      <c r="N15" s="1951" t="s">
        <v>304</v>
      </c>
      <c r="O15" s="3609"/>
      <c r="P15" s="1951" t="s">
        <v>320</v>
      </c>
      <c r="Q15" s="3609"/>
      <c r="R15" s="1951" t="s">
        <v>343</v>
      </c>
      <c r="S15" s="3609"/>
      <c r="T15" s="1951" t="s">
        <v>7363</v>
      </c>
      <c r="U15" s="3609"/>
      <c r="V15" s="1951" t="s">
        <v>7367</v>
      </c>
      <c r="W15" s="3609"/>
      <c r="X15" s="1951" t="s">
        <v>7370</v>
      </c>
      <c r="Y15" s="3609"/>
      <c r="Z15" s="1991" t="s">
        <v>7374</v>
      </c>
      <c r="AA15" s="1951" t="s">
        <v>7372</v>
      </c>
      <c r="AB15" s="1948" t="s">
        <v>7373</v>
      </c>
    </row>
    <row r="16" spans="1:28">
      <c r="A16" s="1947" t="s">
        <v>7373</v>
      </c>
      <c r="B16" s="1951" t="s">
        <v>7375</v>
      </c>
      <c r="C16" s="3597"/>
      <c r="D16" s="1951" t="s">
        <v>7334</v>
      </c>
      <c r="E16" s="3597"/>
      <c r="F16" s="1951" t="s">
        <v>7336</v>
      </c>
      <c r="G16" s="3597"/>
      <c r="H16" s="1951" t="s">
        <v>6000</v>
      </c>
      <c r="I16" s="3597"/>
      <c r="J16" s="1951" t="s">
        <v>7341</v>
      </c>
      <c r="K16" s="3597"/>
      <c r="L16" s="1951" t="s">
        <v>298</v>
      </c>
      <c r="M16" s="3597"/>
      <c r="N16" s="1951" t="s">
        <v>309</v>
      </c>
      <c r="O16" s="3597"/>
      <c r="P16" s="1951" t="s">
        <v>332</v>
      </c>
      <c r="Q16" s="3597"/>
      <c r="R16" s="1951" t="s">
        <v>7360</v>
      </c>
      <c r="S16" s="3597"/>
      <c r="T16" s="1951" t="s">
        <v>7365</v>
      </c>
      <c r="U16" s="3597"/>
      <c r="V16" s="1951" t="s">
        <v>7368</v>
      </c>
      <c r="W16" s="3597"/>
      <c r="X16" s="1951" t="s">
        <v>7371</v>
      </c>
      <c r="Y16" s="3597"/>
      <c r="Z16" s="1991" t="s">
        <v>7376</v>
      </c>
      <c r="AA16" s="1951" t="s">
        <v>7373</v>
      </c>
      <c r="AB16" s="1948" t="s">
        <v>7375</v>
      </c>
    </row>
    <row r="17" spans="1:28">
      <c r="A17" s="1947" t="s">
        <v>7375</v>
      </c>
      <c r="B17" s="1951" t="s">
        <v>7377</v>
      </c>
      <c r="C17" s="3608" t="s">
        <v>7346</v>
      </c>
      <c r="D17" s="1951" t="s">
        <v>7359</v>
      </c>
      <c r="E17" s="3608" t="s">
        <v>7348</v>
      </c>
      <c r="F17" s="1951" t="s">
        <v>7337</v>
      </c>
      <c r="G17" s="3608" t="s">
        <v>7350</v>
      </c>
      <c r="H17" s="1951" t="s">
        <v>287</v>
      </c>
      <c r="I17" s="3608" t="s">
        <v>7352</v>
      </c>
      <c r="J17" s="1951" t="s">
        <v>292</v>
      </c>
      <c r="K17" s="3608" t="s">
        <v>7352</v>
      </c>
      <c r="L17" s="1951" t="s">
        <v>304</v>
      </c>
      <c r="M17" s="3608" t="s">
        <v>7353</v>
      </c>
      <c r="N17" s="1951" t="s">
        <v>320</v>
      </c>
      <c r="O17" s="3608" t="s">
        <v>7354</v>
      </c>
      <c r="P17" s="1951" t="s">
        <v>343</v>
      </c>
      <c r="Q17" s="3608" t="s">
        <v>7354</v>
      </c>
      <c r="R17" s="1951" t="s">
        <v>7363</v>
      </c>
      <c r="S17" s="3608" t="s">
        <v>7364</v>
      </c>
      <c r="T17" s="1951" t="s">
        <v>7367</v>
      </c>
      <c r="U17" s="3608" t="s">
        <v>7364</v>
      </c>
      <c r="V17" s="1951" t="s">
        <v>7370</v>
      </c>
      <c r="W17" s="3608" t="s">
        <v>7364</v>
      </c>
      <c r="X17" s="1951" t="s">
        <v>7372</v>
      </c>
      <c r="Y17" s="3608" t="s">
        <v>7364</v>
      </c>
      <c r="Z17" s="1991" t="s">
        <v>7378</v>
      </c>
      <c r="AA17" s="1951" t="s">
        <v>7375</v>
      </c>
      <c r="AB17" s="1948" t="s">
        <v>7377</v>
      </c>
    </row>
    <row r="18" spans="1:28">
      <c r="A18" s="1947" t="s">
        <v>7377</v>
      </c>
      <c r="B18" s="1951" t="s">
        <v>7379</v>
      </c>
      <c r="C18" s="3610"/>
      <c r="D18" s="1951" t="s">
        <v>7335</v>
      </c>
      <c r="E18" s="3610"/>
      <c r="F18" s="1951" t="s">
        <v>7338</v>
      </c>
      <c r="G18" s="3610"/>
      <c r="H18" s="1951" t="s">
        <v>7341</v>
      </c>
      <c r="I18" s="3610"/>
      <c r="J18" s="1951" t="s">
        <v>298</v>
      </c>
      <c r="K18" s="3610"/>
      <c r="L18" s="1951" t="s">
        <v>309</v>
      </c>
      <c r="M18" s="3610"/>
      <c r="N18" s="1951" t="s">
        <v>332</v>
      </c>
      <c r="O18" s="3610"/>
      <c r="P18" s="1951" t="s">
        <v>7360</v>
      </c>
      <c r="Q18" s="3610"/>
      <c r="R18" s="1951" t="s">
        <v>7365</v>
      </c>
      <c r="S18" s="3610"/>
      <c r="T18" s="1951" t="s">
        <v>7368</v>
      </c>
      <c r="U18" s="3610"/>
      <c r="V18" s="1951" t="s">
        <v>7371</v>
      </c>
      <c r="W18" s="3610"/>
      <c r="X18" s="1951" t="s">
        <v>7374</v>
      </c>
      <c r="Y18" s="3610"/>
      <c r="Z18" s="1991" t="s">
        <v>7375</v>
      </c>
      <c r="AA18" s="1951" t="s">
        <v>7377</v>
      </c>
      <c r="AB18" s="1948" t="s">
        <v>7379</v>
      </c>
    </row>
    <row r="19" spans="1:28">
      <c r="A19" s="1947" t="s">
        <v>7379</v>
      </c>
      <c r="B19" s="1951" t="s">
        <v>7380</v>
      </c>
      <c r="C19" s="3610"/>
      <c r="D19" s="1951" t="s">
        <v>7336</v>
      </c>
      <c r="E19" s="3610"/>
      <c r="F19" s="1951" t="s">
        <v>6000</v>
      </c>
      <c r="G19" s="3610"/>
      <c r="H19" s="1951" t="s">
        <v>292</v>
      </c>
      <c r="I19" s="3610"/>
      <c r="J19" s="1951" t="s">
        <v>304</v>
      </c>
      <c r="K19" s="3610"/>
      <c r="L19" s="1951" t="s">
        <v>320</v>
      </c>
      <c r="M19" s="3610"/>
      <c r="N19" s="1951" t="s">
        <v>343</v>
      </c>
      <c r="O19" s="3610"/>
      <c r="P19" s="1951" t="s">
        <v>7363</v>
      </c>
      <c r="Q19" s="3610"/>
      <c r="R19" s="1951" t="s">
        <v>7367</v>
      </c>
      <c r="S19" s="3610"/>
      <c r="T19" s="1951" t="s">
        <v>7370</v>
      </c>
      <c r="U19" s="3610"/>
      <c r="V19" s="1951" t="s">
        <v>7372</v>
      </c>
      <c r="W19" s="3610"/>
      <c r="X19" s="1951" t="s">
        <v>7376</v>
      </c>
      <c r="Y19" s="3610"/>
      <c r="Z19" s="1991" t="s">
        <v>7381</v>
      </c>
      <c r="AA19" s="1951" t="s">
        <v>7379</v>
      </c>
      <c r="AB19" s="1948" t="s">
        <v>7380</v>
      </c>
    </row>
    <row r="20" spans="1:28">
      <c r="A20" s="1947" t="s">
        <v>7380</v>
      </c>
      <c r="B20" s="1951" t="s">
        <v>7382</v>
      </c>
      <c r="C20" s="3610"/>
      <c r="D20" s="1951" t="s">
        <v>7337</v>
      </c>
      <c r="E20" s="3610"/>
      <c r="F20" s="1951" t="s">
        <v>287</v>
      </c>
      <c r="G20" s="3610"/>
      <c r="H20" s="1951" t="s">
        <v>298</v>
      </c>
      <c r="I20" s="3610"/>
      <c r="J20" s="1951" t="s">
        <v>309</v>
      </c>
      <c r="K20" s="3610"/>
      <c r="L20" s="1951" t="s">
        <v>332</v>
      </c>
      <c r="M20" s="3610"/>
      <c r="N20" s="1951" t="s">
        <v>7360</v>
      </c>
      <c r="O20" s="3610"/>
      <c r="P20" s="1951" t="s">
        <v>7365</v>
      </c>
      <c r="Q20" s="3610"/>
      <c r="R20" s="1951" t="s">
        <v>7368</v>
      </c>
      <c r="S20" s="3610"/>
      <c r="T20" s="1951" t="s">
        <v>7371</v>
      </c>
      <c r="U20" s="3610"/>
      <c r="V20" s="1951" t="s">
        <v>7374</v>
      </c>
      <c r="W20" s="3610"/>
      <c r="X20" s="1951" t="s">
        <v>7378</v>
      </c>
      <c r="Y20" s="3610"/>
      <c r="Z20" s="1991" t="s">
        <v>7383</v>
      </c>
      <c r="AA20" s="1951" t="s">
        <v>7380</v>
      </c>
      <c r="AB20" s="1948" t="s">
        <v>7382</v>
      </c>
    </row>
    <row r="21" spans="1:28">
      <c r="A21" s="1977" t="s">
        <v>7382</v>
      </c>
      <c r="B21" s="1954" t="s">
        <v>7384</v>
      </c>
      <c r="C21" s="3611"/>
      <c r="D21" s="1954" t="s">
        <v>7338</v>
      </c>
      <c r="E21" s="3611"/>
      <c r="F21" s="1954" t="s">
        <v>7341</v>
      </c>
      <c r="G21" s="3611"/>
      <c r="H21" s="1954" t="s">
        <v>304</v>
      </c>
      <c r="I21" s="3611"/>
      <c r="J21" s="1954" t="s">
        <v>320</v>
      </c>
      <c r="K21" s="3611"/>
      <c r="L21" s="1954" t="s">
        <v>343</v>
      </c>
      <c r="M21" s="3611"/>
      <c r="N21" s="1954" t="s">
        <v>7363</v>
      </c>
      <c r="O21" s="3611"/>
      <c r="P21" s="1954" t="s">
        <v>7367</v>
      </c>
      <c r="Q21" s="3611"/>
      <c r="R21" s="1954" t="s">
        <v>7370</v>
      </c>
      <c r="S21" s="3611"/>
      <c r="T21" s="1954" t="s">
        <v>7372</v>
      </c>
      <c r="U21" s="3611"/>
      <c r="V21" s="1954" t="s">
        <v>7376</v>
      </c>
      <c r="W21" s="3611"/>
      <c r="X21" s="1954" t="s">
        <v>7375</v>
      </c>
      <c r="Y21" s="3611"/>
      <c r="Z21" s="1994" t="s">
        <v>7385</v>
      </c>
      <c r="AA21" s="1954" t="s">
        <v>7382</v>
      </c>
      <c r="AB21" s="1955" t="s">
        <v>7384</v>
      </c>
    </row>
    <row r="22" spans="1:28" s="1989" customFormat="1">
      <c r="A22" s="1922"/>
      <c r="B22" s="1922"/>
      <c r="C22" s="1922"/>
      <c r="D22" s="1922"/>
      <c r="E22" s="1922"/>
      <c r="F22" s="1922"/>
      <c r="G22" s="1922"/>
      <c r="H22" s="1922"/>
      <c r="I22" s="1922"/>
      <c r="J22" s="1922"/>
      <c r="K22" s="1922"/>
      <c r="L22" s="1922"/>
      <c r="M22" s="1922"/>
      <c r="N22" s="1922"/>
      <c r="O22" s="1922"/>
      <c r="P22" s="1922"/>
      <c r="Q22" s="1922"/>
      <c r="R22" s="1922"/>
      <c r="S22" s="1922"/>
      <c r="T22" s="1922"/>
      <c r="U22" s="1922"/>
      <c r="V22" s="1922"/>
      <c r="W22" s="1922"/>
      <c r="X22" s="1922"/>
      <c r="Y22" s="1922"/>
      <c r="Z22" s="1922"/>
      <c r="AA22" s="1922"/>
      <c r="AB22" s="1922"/>
    </row>
    <row r="23" spans="1:28" customFormat="1">
      <c r="A23" s="3604" t="s">
        <v>7386</v>
      </c>
      <c r="B23" s="3604"/>
      <c r="C23" s="3604"/>
      <c r="D23" s="3604"/>
      <c r="E23" s="3604"/>
      <c r="F23" s="3604"/>
      <c r="G23" s="3604"/>
      <c r="H23" s="3604"/>
      <c r="I23" s="3604"/>
      <c r="J23" s="3604"/>
      <c r="K23" s="3604"/>
      <c r="L23" s="3604"/>
      <c r="M23" s="3604"/>
      <c r="N23" s="3604"/>
      <c r="O23" s="1922"/>
      <c r="P23" s="1922"/>
      <c r="Q23" s="1922"/>
      <c r="R23" s="1922"/>
      <c r="S23" s="1922"/>
      <c r="T23" s="1922"/>
      <c r="U23" s="1922"/>
      <c r="V23" s="1922"/>
      <c r="W23" s="1922"/>
      <c r="X23" s="1922"/>
      <c r="Y23" s="1922"/>
      <c r="Z23" s="1922"/>
      <c r="AA23" s="1922"/>
      <c r="AB23" s="1922"/>
    </row>
    <row r="24" spans="1:28" customFormat="1">
      <c r="A24" s="3590" t="s">
        <v>7331</v>
      </c>
      <c r="B24" s="3591"/>
      <c r="C24" s="3592" t="s">
        <v>7332</v>
      </c>
      <c r="D24" s="3593"/>
      <c r="E24" s="3593"/>
      <c r="F24" s="3593"/>
      <c r="G24" s="3593"/>
      <c r="H24" s="3593"/>
      <c r="I24" s="3593"/>
      <c r="J24" s="3593"/>
      <c r="K24" s="3593"/>
      <c r="L24" s="3593"/>
      <c r="M24" s="3593"/>
      <c r="N24" s="3593"/>
      <c r="O24" s="3605"/>
      <c r="P24" s="1922"/>
      <c r="Q24" s="3368" t="s">
        <v>12710</v>
      </c>
      <c r="R24" s="3368"/>
      <c r="S24" s="1922"/>
      <c r="T24" s="1922"/>
      <c r="U24" s="1922"/>
      <c r="V24" s="1922"/>
      <c r="W24" s="1922"/>
      <c r="X24" s="1922"/>
      <c r="Y24" s="1922"/>
      <c r="Z24" s="1922"/>
      <c r="AA24" s="1922"/>
      <c r="AB24" s="1922"/>
    </row>
    <row r="25" spans="1:28" customFormat="1">
      <c r="A25" s="3596" t="s">
        <v>7333</v>
      </c>
      <c r="B25" s="3597"/>
      <c r="C25" s="1951" t="s">
        <v>7387</v>
      </c>
      <c r="D25" s="1951" t="s">
        <v>6704</v>
      </c>
      <c r="E25" s="1951" t="s">
        <v>7334</v>
      </c>
      <c r="F25" s="1951" t="s">
        <v>7335</v>
      </c>
      <c r="G25" s="1951" t="s">
        <v>7336</v>
      </c>
      <c r="H25" s="1951" t="s">
        <v>7337</v>
      </c>
      <c r="I25" s="1951" t="s">
        <v>7338</v>
      </c>
      <c r="J25" s="1951" t="s">
        <v>7339</v>
      </c>
      <c r="K25" s="1951" t="s">
        <v>6000</v>
      </c>
      <c r="L25" s="1951" t="s">
        <v>6003</v>
      </c>
      <c r="M25" s="1951" t="s">
        <v>287</v>
      </c>
      <c r="N25" s="1951" t="s">
        <v>7340</v>
      </c>
      <c r="O25" s="1948" t="s">
        <v>7341</v>
      </c>
      <c r="P25" s="1922"/>
      <c r="Q25" s="1922"/>
      <c r="R25" s="1922"/>
      <c r="S25" s="1922"/>
      <c r="T25" s="1922"/>
      <c r="U25" s="1922"/>
      <c r="V25" s="1922"/>
      <c r="W25" s="1922"/>
      <c r="X25" s="1922"/>
      <c r="Y25" s="1922"/>
      <c r="Z25" s="1922"/>
      <c r="AA25" s="1922"/>
      <c r="AB25" s="1922"/>
    </row>
    <row r="26" spans="1:28" customFormat="1">
      <c r="A26" s="1947" t="s">
        <v>7342</v>
      </c>
      <c r="B26" s="1951" t="s">
        <v>7343</v>
      </c>
      <c r="C26" s="3598" t="s">
        <v>7388</v>
      </c>
      <c r="D26" s="3606"/>
      <c r="E26" s="3606"/>
      <c r="F26" s="3606"/>
      <c r="G26" s="3606"/>
      <c r="H26" s="3606"/>
      <c r="I26" s="3606"/>
      <c r="J26" s="3606"/>
      <c r="K26" s="3606"/>
      <c r="L26" s="3606"/>
      <c r="M26" s="3606"/>
      <c r="N26" s="3606"/>
      <c r="O26" s="3607"/>
      <c r="P26" s="1922"/>
      <c r="Q26" s="1922"/>
      <c r="R26" s="1922"/>
      <c r="S26" s="1922"/>
      <c r="T26" s="1922"/>
      <c r="U26" s="1922"/>
      <c r="V26" s="1922"/>
      <c r="W26" s="1922"/>
      <c r="X26" s="1922"/>
      <c r="Y26" s="1922"/>
      <c r="Z26" s="1922"/>
      <c r="AA26" s="1922"/>
      <c r="AB26" s="1922"/>
    </row>
    <row r="27" spans="1:28" customFormat="1">
      <c r="A27" s="1947" t="s">
        <v>2074</v>
      </c>
      <c r="B27" s="1951" t="s">
        <v>7335</v>
      </c>
      <c r="C27" s="1951" t="s">
        <v>7349</v>
      </c>
      <c r="D27" s="1951" t="s">
        <v>7346</v>
      </c>
      <c r="E27" s="1951" t="s">
        <v>7361</v>
      </c>
      <c r="F27" s="1951" t="s">
        <v>7357</v>
      </c>
      <c r="G27" s="1951" t="s">
        <v>7350</v>
      </c>
      <c r="H27" s="1951" t="s">
        <v>7351</v>
      </c>
      <c r="I27" s="1951" t="s">
        <v>7334</v>
      </c>
      <c r="J27" s="1951" t="s">
        <v>7335</v>
      </c>
      <c r="K27" s="1951" t="s">
        <v>7336</v>
      </c>
      <c r="L27" s="1951" t="s">
        <v>7338</v>
      </c>
      <c r="M27" s="1951" t="s">
        <v>287</v>
      </c>
      <c r="N27" s="1951" t="s">
        <v>7389</v>
      </c>
      <c r="O27" s="1948" t="s">
        <v>304</v>
      </c>
      <c r="P27" s="1922"/>
      <c r="Q27" s="1922"/>
      <c r="R27" s="1922"/>
      <c r="S27" s="1922"/>
      <c r="T27" s="1922"/>
      <c r="U27" s="1922"/>
      <c r="V27" s="1922"/>
      <c r="W27" s="1922"/>
      <c r="X27" s="1922"/>
      <c r="Y27" s="1922"/>
      <c r="Z27" s="1922"/>
      <c r="AA27" s="1922"/>
      <c r="AB27" s="1922"/>
    </row>
    <row r="28" spans="1:28" customFormat="1">
      <c r="A28" s="1947" t="s">
        <v>7335</v>
      </c>
      <c r="B28" s="1951" t="s">
        <v>7338</v>
      </c>
      <c r="C28" s="1951" t="s">
        <v>7349</v>
      </c>
      <c r="D28" s="1951" t="s">
        <v>7346</v>
      </c>
      <c r="E28" s="1951" t="s">
        <v>7348</v>
      </c>
      <c r="F28" s="1951" t="s">
        <v>7362</v>
      </c>
      <c r="G28" s="1951" t="s">
        <v>6704</v>
      </c>
      <c r="H28" s="1951" t="s">
        <v>7358</v>
      </c>
      <c r="I28" s="1951" t="s">
        <v>7359</v>
      </c>
      <c r="J28" s="1951" t="s">
        <v>7336</v>
      </c>
      <c r="K28" s="1951" t="s">
        <v>7337</v>
      </c>
      <c r="L28" s="1951" t="s">
        <v>6000</v>
      </c>
      <c r="M28" s="1951" t="s">
        <v>7341</v>
      </c>
      <c r="N28" s="1951" t="s">
        <v>7390</v>
      </c>
      <c r="O28" s="1948" t="s">
        <v>309</v>
      </c>
      <c r="P28" s="1922"/>
      <c r="Q28" s="1922"/>
      <c r="R28" s="1922"/>
      <c r="S28" s="1922"/>
      <c r="T28" s="1922"/>
      <c r="U28" s="1922"/>
      <c r="V28" s="1922"/>
      <c r="W28" s="1922"/>
      <c r="X28" s="1922"/>
      <c r="Y28" s="1922"/>
      <c r="Z28" s="1922"/>
      <c r="AA28" s="1922"/>
      <c r="AB28" s="1922"/>
    </row>
    <row r="29" spans="1:28" customFormat="1">
      <c r="A29" s="1947" t="s">
        <v>7338</v>
      </c>
      <c r="B29" s="1951" t="s">
        <v>287</v>
      </c>
      <c r="C29" s="1951" t="s">
        <v>7391</v>
      </c>
      <c r="D29" s="1951" t="s">
        <v>7356</v>
      </c>
      <c r="E29" s="1951" t="s">
        <v>7348</v>
      </c>
      <c r="F29" s="1951" t="s">
        <v>7362</v>
      </c>
      <c r="G29" s="1951" t="s">
        <v>6704</v>
      </c>
      <c r="H29" s="1951" t="s">
        <v>7358</v>
      </c>
      <c r="I29" s="1951" t="s">
        <v>7359</v>
      </c>
      <c r="J29" s="1951" t="s">
        <v>7336</v>
      </c>
      <c r="K29" s="1951" t="s">
        <v>7338</v>
      </c>
      <c r="L29" s="1951" t="s">
        <v>6003</v>
      </c>
      <c r="M29" s="1951" t="s">
        <v>292</v>
      </c>
      <c r="N29" s="1951" t="s">
        <v>7392</v>
      </c>
      <c r="O29" s="1948" t="s">
        <v>7393</v>
      </c>
      <c r="P29" s="1922"/>
      <c r="Q29" s="1922"/>
      <c r="R29" s="1922"/>
      <c r="S29" s="1922"/>
      <c r="T29" s="1922"/>
      <c r="U29" s="1922"/>
      <c r="V29" s="1922"/>
      <c r="W29" s="1922"/>
      <c r="X29" s="1922"/>
      <c r="Y29" s="1922"/>
      <c r="Z29" s="1922"/>
      <c r="AA29" s="1922"/>
      <c r="AB29" s="1922"/>
    </row>
    <row r="30" spans="1:28" customFormat="1">
      <c r="A30" s="1947" t="s">
        <v>287</v>
      </c>
      <c r="B30" s="1951" t="s">
        <v>7390</v>
      </c>
      <c r="C30" s="1951" t="s">
        <v>7394</v>
      </c>
      <c r="D30" s="1951" t="s">
        <v>7356</v>
      </c>
      <c r="E30" s="1951" t="s">
        <v>7357</v>
      </c>
      <c r="F30" s="1951" t="s">
        <v>7350</v>
      </c>
      <c r="G30" s="1951" t="s">
        <v>7351</v>
      </c>
      <c r="H30" s="1951" t="s">
        <v>7334</v>
      </c>
      <c r="I30" s="1951" t="s">
        <v>7335</v>
      </c>
      <c r="J30" s="1951" t="s">
        <v>7337</v>
      </c>
      <c r="K30" s="1951" t="s">
        <v>6000</v>
      </c>
      <c r="L30" s="1951" t="s">
        <v>7340</v>
      </c>
      <c r="M30" s="1951" t="s">
        <v>7390</v>
      </c>
      <c r="N30" s="1951" t="s">
        <v>7395</v>
      </c>
      <c r="O30" s="1948" t="s">
        <v>7396</v>
      </c>
      <c r="P30" s="1922"/>
      <c r="Q30" s="1922"/>
      <c r="R30" s="1922"/>
      <c r="S30" s="1922"/>
      <c r="T30" s="1922"/>
      <c r="U30" s="1922"/>
      <c r="V30" s="1922"/>
      <c r="W30" s="1922"/>
      <c r="X30" s="1922"/>
      <c r="Y30" s="1922"/>
      <c r="Z30" s="1922"/>
      <c r="AA30" s="1922"/>
      <c r="AB30" s="1922"/>
    </row>
    <row r="31" spans="1:28" customFormat="1">
      <c r="A31" s="1947" t="s">
        <v>7390</v>
      </c>
      <c r="B31" s="1951" t="s">
        <v>309</v>
      </c>
      <c r="C31" s="1951" t="s">
        <v>7346</v>
      </c>
      <c r="D31" s="1951" t="s">
        <v>7361</v>
      </c>
      <c r="E31" s="1951" t="s">
        <v>7362</v>
      </c>
      <c r="F31" s="1951" t="s">
        <v>6704</v>
      </c>
      <c r="G31" s="1951" t="s">
        <v>7358</v>
      </c>
      <c r="H31" s="1951" t="s">
        <v>7359</v>
      </c>
      <c r="I31" s="1951" t="s">
        <v>7336</v>
      </c>
      <c r="J31" s="1951" t="s">
        <v>7338</v>
      </c>
      <c r="K31" s="1951" t="s">
        <v>6003</v>
      </c>
      <c r="L31" s="1951" t="s">
        <v>7397</v>
      </c>
      <c r="M31" s="1951" t="s">
        <v>7398</v>
      </c>
      <c r="N31" s="1951" t="s">
        <v>7399</v>
      </c>
      <c r="O31" s="1948" t="s">
        <v>7400</v>
      </c>
      <c r="P31" s="1922"/>
      <c r="Q31" s="1922"/>
      <c r="R31" s="1922"/>
      <c r="S31" s="1922"/>
      <c r="T31" s="1922"/>
      <c r="U31" s="1922"/>
      <c r="V31" s="1922"/>
      <c r="W31" s="1922"/>
      <c r="X31" s="1922"/>
      <c r="Y31" s="1922"/>
      <c r="Z31" s="1922"/>
      <c r="AA31" s="1922"/>
      <c r="AB31" s="1922"/>
    </row>
    <row r="32" spans="1:28" customFormat="1">
      <c r="A32" s="1947" t="s">
        <v>309</v>
      </c>
      <c r="B32" s="1951" t="s">
        <v>332</v>
      </c>
      <c r="C32" s="1951" t="s">
        <v>7356</v>
      </c>
      <c r="D32" s="1951" t="s">
        <v>7348</v>
      </c>
      <c r="E32" s="1951" t="s">
        <v>7362</v>
      </c>
      <c r="F32" s="1951" t="s">
        <v>6704</v>
      </c>
      <c r="G32" s="1951" t="s">
        <v>7358</v>
      </c>
      <c r="H32" s="1951" t="s">
        <v>7359</v>
      </c>
      <c r="I32" s="1951" t="s">
        <v>7336</v>
      </c>
      <c r="J32" s="1951" t="s">
        <v>7339</v>
      </c>
      <c r="K32" s="1951" t="s">
        <v>7340</v>
      </c>
      <c r="L32" s="1951" t="s">
        <v>7355</v>
      </c>
      <c r="M32" s="1951" t="s">
        <v>304</v>
      </c>
      <c r="N32" s="1951" t="s">
        <v>7401</v>
      </c>
      <c r="O32" s="1948" t="s">
        <v>7402</v>
      </c>
      <c r="P32" s="1922"/>
      <c r="Q32" s="1922"/>
      <c r="R32" s="1922"/>
      <c r="S32" s="1922"/>
      <c r="T32" s="1922"/>
      <c r="U32" s="1922"/>
      <c r="V32" s="1922"/>
      <c r="W32" s="1922"/>
      <c r="X32" s="1922"/>
      <c r="Y32" s="1922"/>
      <c r="Z32" s="1922"/>
      <c r="AA32" s="1922"/>
      <c r="AB32" s="1922"/>
    </row>
    <row r="33" spans="1:28" customFormat="1">
      <c r="A33" s="1947" t="s">
        <v>332</v>
      </c>
      <c r="B33" s="1951" t="s">
        <v>7360</v>
      </c>
      <c r="C33" s="1951" t="s">
        <v>7361</v>
      </c>
      <c r="D33" s="1951" t="s">
        <v>7357</v>
      </c>
      <c r="E33" s="1951" t="s">
        <v>7350</v>
      </c>
      <c r="F33" s="1951" t="s">
        <v>7351</v>
      </c>
      <c r="G33" s="1951" t="s">
        <v>7334</v>
      </c>
      <c r="H33" s="1951" t="s">
        <v>7335</v>
      </c>
      <c r="I33" s="1951" t="s">
        <v>7337</v>
      </c>
      <c r="J33" s="1951" t="s">
        <v>6000</v>
      </c>
      <c r="K33" s="1951" t="s">
        <v>7397</v>
      </c>
      <c r="L33" s="1951" t="s">
        <v>7403</v>
      </c>
      <c r="M33" s="1951" t="s">
        <v>309</v>
      </c>
      <c r="N33" s="1951" t="s">
        <v>7404</v>
      </c>
      <c r="O33" s="1948" t="s">
        <v>7405</v>
      </c>
      <c r="P33" s="1922"/>
      <c r="Q33" s="1922"/>
      <c r="R33" s="1922"/>
      <c r="S33" s="1922"/>
      <c r="T33" s="1922"/>
      <c r="U33" s="1922"/>
      <c r="V33" s="1922"/>
      <c r="W33" s="1922"/>
      <c r="X33" s="1922"/>
      <c r="Y33" s="1922"/>
      <c r="Z33" s="1922"/>
      <c r="AA33" s="1922"/>
      <c r="AB33" s="1922"/>
    </row>
    <row r="34" spans="1:28" customFormat="1">
      <c r="A34" s="1947" t="s">
        <v>7360</v>
      </c>
      <c r="B34" s="1951" t="s">
        <v>7365</v>
      </c>
      <c r="C34" s="1951" t="s">
        <v>7348</v>
      </c>
      <c r="D34" s="1951" t="s">
        <v>7362</v>
      </c>
      <c r="E34" s="1951" t="s">
        <v>6704</v>
      </c>
      <c r="F34" s="1951" t="s">
        <v>7358</v>
      </c>
      <c r="G34" s="1951" t="s">
        <v>7359</v>
      </c>
      <c r="H34" s="1951" t="s">
        <v>7336</v>
      </c>
      <c r="I34" s="1951" t="s">
        <v>7338</v>
      </c>
      <c r="J34" s="1951" t="s">
        <v>287</v>
      </c>
      <c r="K34" s="1951" t="s">
        <v>292</v>
      </c>
      <c r="L34" s="1951" t="s">
        <v>7392</v>
      </c>
      <c r="M34" s="1951" t="s">
        <v>314</v>
      </c>
      <c r="N34" s="1951" t="s">
        <v>7406</v>
      </c>
      <c r="O34" s="1948" t="s">
        <v>7407</v>
      </c>
      <c r="P34" s="1922"/>
      <c r="Q34" s="1922"/>
      <c r="R34" s="1922"/>
      <c r="S34" s="1922"/>
      <c r="T34" s="1922"/>
      <c r="U34" s="1922"/>
      <c r="V34" s="1922"/>
      <c r="W34" s="1922"/>
      <c r="X34" s="1922"/>
      <c r="Y34" s="1922"/>
      <c r="Z34" s="1922"/>
      <c r="AA34" s="1922"/>
      <c r="AB34" s="1922"/>
    </row>
    <row r="35" spans="1:28" customFormat="1">
      <c r="A35" s="1947" t="s">
        <v>7365</v>
      </c>
      <c r="B35" s="1951" t="s">
        <v>7408</v>
      </c>
      <c r="C35" s="1951" t="s">
        <v>7362</v>
      </c>
      <c r="D35" s="1951" t="s">
        <v>6704</v>
      </c>
      <c r="E35" s="1951" t="s">
        <v>7351</v>
      </c>
      <c r="F35" s="1951" t="s">
        <v>7334</v>
      </c>
      <c r="G35" s="1951" t="s">
        <v>7409</v>
      </c>
      <c r="H35" s="1951" t="s">
        <v>7337</v>
      </c>
      <c r="I35" s="1951" t="s">
        <v>6000</v>
      </c>
      <c r="J35" s="1951" t="s">
        <v>7341</v>
      </c>
      <c r="K35" s="1951" t="s">
        <v>7390</v>
      </c>
      <c r="L35" s="1951" t="s">
        <v>304</v>
      </c>
      <c r="M35" s="1951" t="s">
        <v>320</v>
      </c>
      <c r="N35" s="1951" t="s">
        <v>7366</v>
      </c>
      <c r="O35" s="1948" t="s">
        <v>7363</v>
      </c>
      <c r="P35" s="1922"/>
      <c r="Q35" s="1922"/>
      <c r="R35" s="1922"/>
      <c r="S35" s="1922"/>
      <c r="T35" s="1922"/>
      <c r="U35" s="1922"/>
      <c r="V35" s="1922"/>
      <c r="W35" s="1922"/>
      <c r="X35" s="1922"/>
      <c r="Y35" s="1922"/>
      <c r="Z35" s="1922"/>
      <c r="AA35" s="1922"/>
      <c r="AB35" s="1922"/>
    </row>
    <row r="36" spans="1:28" customFormat="1">
      <c r="A36" s="1947" t="s">
        <v>7408</v>
      </c>
      <c r="B36" s="1951" t="s">
        <v>7370</v>
      </c>
      <c r="C36" s="1951" t="s">
        <v>7350</v>
      </c>
      <c r="D36" s="1951" t="s">
        <v>7351</v>
      </c>
      <c r="E36" s="1951" t="s">
        <v>7334</v>
      </c>
      <c r="F36" s="1951" t="s">
        <v>7335</v>
      </c>
      <c r="G36" s="1951" t="s">
        <v>7410</v>
      </c>
      <c r="H36" s="1951" t="s">
        <v>7339</v>
      </c>
      <c r="I36" s="1951" t="s">
        <v>287</v>
      </c>
      <c r="J36" s="1951" t="s">
        <v>7389</v>
      </c>
      <c r="K36" s="1951" t="s">
        <v>298</v>
      </c>
      <c r="L36" s="1951" t="s">
        <v>7411</v>
      </c>
      <c r="M36" s="1951" t="s">
        <v>7404</v>
      </c>
      <c r="N36" s="1951" t="s">
        <v>7412</v>
      </c>
      <c r="O36" s="1948" t="s">
        <v>7413</v>
      </c>
      <c r="P36" s="1922"/>
      <c r="Q36" s="1922"/>
      <c r="R36" s="1922"/>
      <c r="S36" s="1922"/>
      <c r="T36" s="1922"/>
      <c r="U36" s="1922"/>
      <c r="V36" s="1922"/>
      <c r="W36" s="1922"/>
      <c r="X36" s="1922"/>
      <c r="Y36" s="1922"/>
      <c r="Z36" s="1922"/>
      <c r="AA36" s="1922"/>
      <c r="AB36" s="1922"/>
    </row>
    <row r="37" spans="1:28" customFormat="1">
      <c r="A37" s="1947" t="s">
        <v>7370</v>
      </c>
      <c r="B37" s="1951" t="s">
        <v>7414</v>
      </c>
      <c r="C37" s="1951" t="s">
        <v>6704</v>
      </c>
      <c r="D37" s="1951" t="s">
        <v>7352</v>
      </c>
      <c r="E37" s="1951" t="s">
        <v>7359</v>
      </c>
      <c r="F37" s="1951" t="s">
        <v>7336</v>
      </c>
      <c r="G37" s="1951" t="s">
        <v>7338</v>
      </c>
      <c r="H37" s="1951" t="s">
        <v>6000</v>
      </c>
      <c r="I37" s="1951" t="s">
        <v>7341</v>
      </c>
      <c r="J37" s="1951" t="s">
        <v>7355</v>
      </c>
      <c r="K37" s="1951" t="s">
        <v>7415</v>
      </c>
      <c r="L37" s="1951" t="s">
        <v>7416</v>
      </c>
      <c r="M37" s="1951" t="s">
        <v>7400</v>
      </c>
      <c r="N37" s="1951" t="s">
        <v>7417</v>
      </c>
      <c r="O37" s="1948" t="s">
        <v>7418</v>
      </c>
      <c r="P37" s="1922"/>
      <c r="Q37" s="1922"/>
      <c r="R37" s="1922"/>
      <c r="S37" s="1922"/>
      <c r="T37" s="1922"/>
      <c r="U37" s="1922"/>
      <c r="V37" s="1922"/>
      <c r="W37" s="1922"/>
      <c r="X37" s="1922"/>
      <c r="Y37" s="1922"/>
      <c r="Z37" s="1922"/>
      <c r="AA37" s="1922"/>
      <c r="AB37" s="1922"/>
    </row>
    <row r="38" spans="1:28" customFormat="1">
      <c r="A38" s="1947" t="s">
        <v>7414</v>
      </c>
      <c r="B38" s="1951" t="s">
        <v>7372</v>
      </c>
      <c r="C38" s="1951" t="s">
        <v>7351</v>
      </c>
      <c r="D38" s="1951" t="s">
        <v>7334</v>
      </c>
      <c r="E38" s="1951" t="s">
        <v>7335</v>
      </c>
      <c r="F38" s="1951" t="s">
        <v>7337</v>
      </c>
      <c r="G38" s="1951" t="s">
        <v>7339</v>
      </c>
      <c r="H38" s="1951" t="s">
        <v>6003</v>
      </c>
      <c r="I38" s="1951" t="s">
        <v>7397</v>
      </c>
      <c r="J38" s="1951" t="s">
        <v>7390</v>
      </c>
      <c r="K38" s="1951" t="s">
        <v>304</v>
      </c>
      <c r="L38" s="1951" t="s">
        <v>7393</v>
      </c>
      <c r="M38" s="1951" t="s">
        <v>7419</v>
      </c>
      <c r="N38" s="1951" t="s">
        <v>7420</v>
      </c>
      <c r="O38" s="1948" t="s">
        <v>7421</v>
      </c>
      <c r="P38" s="1922"/>
      <c r="Q38" s="1922"/>
      <c r="R38" s="1922"/>
      <c r="S38" s="1922"/>
      <c r="T38" s="1922"/>
      <c r="U38" s="1922"/>
      <c r="V38" s="1922"/>
      <c r="W38" s="1922"/>
      <c r="X38" s="1922"/>
      <c r="Y38" s="1922"/>
      <c r="Z38" s="1922"/>
      <c r="AA38" s="1922"/>
      <c r="AB38" s="1922"/>
    </row>
    <row r="39" spans="1:28" customFormat="1">
      <c r="A39" s="1977" t="s">
        <v>7372</v>
      </c>
      <c r="B39" s="1954" t="s">
        <v>7374</v>
      </c>
      <c r="C39" s="1954" t="s">
        <v>7358</v>
      </c>
      <c r="D39" s="1954" t="s">
        <v>7359</v>
      </c>
      <c r="E39" s="1954" t="s">
        <v>7336</v>
      </c>
      <c r="F39" s="1954" t="s">
        <v>7338</v>
      </c>
      <c r="G39" s="1954" t="s">
        <v>6000</v>
      </c>
      <c r="H39" s="1954" t="s">
        <v>287</v>
      </c>
      <c r="I39" s="1954" t="s">
        <v>292</v>
      </c>
      <c r="J39" s="1954" t="s">
        <v>298</v>
      </c>
      <c r="K39" s="1954" t="s">
        <v>7395</v>
      </c>
      <c r="L39" s="1954" t="s">
        <v>320</v>
      </c>
      <c r="M39" s="1954" t="s">
        <v>7366</v>
      </c>
      <c r="N39" s="1954" t="s">
        <v>7422</v>
      </c>
      <c r="O39" s="1955" t="s">
        <v>7423</v>
      </c>
      <c r="P39" s="1922"/>
      <c r="Q39" s="1922"/>
      <c r="R39" s="1922"/>
      <c r="S39" s="1922"/>
      <c r="T39" s="1922"/>
      <c r="U39" s="1922"/>
      <c r="V39" s="1922"/>
      <c r="W39" s="1922"/>
      <c r="X39" s="1922"/>
      <c r="Y39" s="1922"/>
      <c r="Z39" s="1922"/>
      <c r="AA39" s="1922"/>
      <c r="AB39" s="1922"/>
    </row>
    <row r="40" spans="1:28" s="1989" customFormat="1">
      <c r="A40" s="1922"/>
      <c r="B40" s="1922"/>
      <c r="C40" s="1922"/>
      <c r="D40" s="1922"/>
      <c r="E40" s="1922"/>
      <c r="F40" s="1922"/>
      <c r="G40" s="1922"/>
      <c r="H40" s="1922"/>
      <c r="I40" s="1922"/>
      <c r="J40" s="1922"/>
      <c r="K40" s="1922"/>
      <c r="L40" s="1922"/>
      <c r="M40" s="1922"/>
      <c r="N40" s="1922"/>
      <c r="O40" s="1922"/>
      <c r="P40" s="1922"/>
      <c r="Q40" s="1922"/>
      <c r="R40" s="1922"/>
      <c r="S40" s="1922"/>
      <c r="T40" s="1922"/>
      <c r="U40" s="1922"/>
      <c r="V40" s="1922"/>
      <c r="W40" s="1922"/>
      <c r="X40" s="1922"/>
      <c r="Y40" s="1922"/>
      <c r="Z40" s="1922"/>
      <c r="AA40" s="1922"/>
      <c r="AB40" s="1922"/>
    </row>
    <row r="41" spans="1:28" customFormat="1">
      <c r="A41" s="3604" t="s">
        <v>7424</v>
      </c>
      <c r="B41" s="3604"/>
      <c r="C41" s="3604"/>
      <c r="D41" s="3604"/>
      <c r="E41" s="3604"/>
      <c r="F41" s="3604"/>
      <c r="G41" s="3604"/>
      <c r="H41" s="3604"/>
      <c r="I41" s="3604"/>
      <c r="J41" s="3604"/>
      <c r="K41" s="3604"/>
      <c r="L41" s="3604"/>
      <c r="M41" s="3604"/>
      <c r="N41" s="3604"/>
      <c r="O41" s="1922"/>
      <c r="P41" s="1922"/>
      <c r="Q41" s="1922"/>
      <c r="R41" s="1922"/>
      <c r="S41" s="1922"/>
      <c r="T41" s="1922"/>
      <c r="U41" s="1922"/>
      <c r="V41" s="1922"/>
      <c r="W41" s="1922"/>
      <c r="X41" s="1922"/>
      <c r="Y41" s="1922"/>
      <c r="Z41" s="1922"/>
      <c r="AA41" s="1922"/>
      <c r="AB41" s="1922"/>
    </row>
    <row r="42" spans="1:28" customFormat="1">
      <c r="A42" s="3590" t="s">
        <v>7331</v>
      </c>
      <c r="B42" s="3591"/>
      <c r="C42" s="3592" t="s">
        <v>7332</v>
      </c>
      <c r="D42" s="3593"/>
      <c r="E42" s="3593"/>
      <c r="F42" s="3593"/>
      <c r="G42" s="3593"/>
      <c r="H42" s="3593"/>
      <c r="I42" s="3593"/>
      <c r="J42" s="3593"/>
      <c r="K42" s="3593"/>
      <c r="L42" s="3593"/>
      <c r="M42" s="3593"/>
      <c r="N42" s="3605"/>
      <c r="O42" s="1922"/>
      <c r="P42" s="1922"/>
      <c r="Q42" s="3368" t="s">
        <v>12710</v>
      </c>
      <c r="R42" s="3368"/>
      <c r="S42" s="1922"/>
      <c r="T42" s="1922"/>
      <c r="U42" s="1922"/>
      <c r="V42" s="1922"/>
      <c r="W42" s="1922"/>
      <c r="X42" s="1922"/>
      <c r="Y42" s="1922"/>
      <c r="Z42" s="1922"/>
      <c r="AA42" s="1922"/>
      <c r="AB42" s="1922"/>
    </row>
    <row r="43" spans="1:28" customFormat="1">
      <c r="A43" s="3596" t="s">
        <v>7425</v>
      </c>
      <c r="B43" s="3597"/>
      <c r="C43" s="1951" t="s">
        <v>6704</v>
      </c>
      <c r="D43" s="1951" t="s">
        <v>7334</v>
      </c>
      <c r="E43" s="1951" t="s">
        <v>7335</v>
      </c>
      <c r="F43" s="1951" t="s">
        <v>7336</v>
      </c>
      <c r="G43" s="1951" t="s">
        <v>7337</v>
      </c>
      <c r="H43" s="1951" t="s">
        <v>7338</v>
      </c>
      <c r="I43" s="1951" t="s">
        <v>7339</v>
      </c>
      <c r="J43" s="1951" t="s">
        <v>6000</v>
      </c>
      <c r="K43" s="1951" t="s">
        <v>6003</v>
      </c>
      <c r="L43" s="1951" t="s">
        <v>287</v>
      </c>
      <c r="M43" s="1951" t="s">
        <v>7340</v>
      </c>
      <c r="N43" s="1948" t="s">
        <v>7341</v>
      </c>
      <c r="O43" s="1922"/>
      <c r="P43" s="1922"/>
      <c r="Q43" s="1922"/>
      <c r="R43" s="1922"/>
      <c r="S43" s="1922"/>
      <c r="T43" s="1922"/>
      <c r="U43" s="1922"/>
      <c r="V43" s="1922"/>
      <c r="W43" s="1922"/>
      <c r="X43" s="1922"/>
      <c r="Y43" s="1922"/>
      <c r="Z43" s="1922"/>
      <c r="AA43" s="1922"/>
      <c r="AB43" s="1922"/>
    </row>
    <row r="44" spans="1:28" customFormat="1">
      <c r="A44" s="1947" t="s">
        <v>7342</v>
      </c>
      <c r="B44" s="1951" t="s">
        <v>7343</v>
      </c>
      <c r="C44" s="3598" t="s">
        <v>7388</v>
      </c>
      <c r="D44" s="3606"/>
      <c r="E44" s="3606"/>
      <c r="F44" s="3606"/>
      <c r="G44" s="3606"/>
      <c r="H44" s="3606"/>
      <c r="I44" s="3606"/>
      <c r="J44" s="3606"/>
      <c r="K44" s="3606"/>
      <c r="L44" s="3606"/>
      <c r="M44" s="3606"/>
      <c r="N44" s="3607"/>
      <c r="O44" s="1922"/>
      <c r="P44" s="1922"/>
      <c r="Q44" s="1922"/>
      <c r="R44" s="1922"/>
      <c r="S44" s="1922"/>
      <c r="T44" s="1922"/>
      <c r="U44" s="1922"/>
      <c r="V44" s="1922"/>
      <c r="W44" s="1922"/>
      <c r="X44" s="1922"/>
      <c r="Y44" s="1922"/>
      <c r="Z44" s="1922"/>
      <c r="AA44" s="1922"/>
      <c r="AB44" s="1922"/>
    </row>
    <row r="45" spans="1:28" customFormat="1">
      <c r="A45" s="1947" t="s">
        <v>2074</v>
      </c>
      <c r="B45" s="1951" t="s">
        <v>287</v>
      </c>
      <c r="C45" s="1990" t="s">
        <v>7348</v>
      </c>
      <c r="D45" s="1990" t="s">
        <v>7350</v>
      </c>
      <c r="E45" s="1990" t="s">
        <v>7358</v>
      </c>
      <c r="F45" s="1990" t="s">
        <v>7335</v>
      </c>
      <c r="G45" s="1990" t="s">
        <v>7337</v>
      </c>
      <c r="H45" s="1990" t="s">
        <v>6000</v>
      </c>
      <c r="I45" s="1990" t="s">
        <v>7341</v>
      </c>
      <c r="J45" s="1990" t="s">
        <v>298</v>
      </c>
      <c r="K45" s="1990" t="s">
        <v>309</v>
      </c>
      <c r="L45" s="1990" t="s">
        <v>332</v>
      </c>
      <c r="M45" s="1990" t="s">
        <v>7360</v>
      </c>
      <c r="N45" s="1992" t="s">
        <v>7365</v>
      </c>
      <c r="O45" s="1993"/>
      <c r="P45" s="1922"/>
      <c r="Q45" s="1922"/>
      <c r="R45" s="1922"/>
      <c r="S45" s="1922"/>
      <c r="T45" s="1922"/>
      <c r="U45" s="1922"/>
      <c r="V45" s="1922"/>
      <c r="W45" s="1922"/>
      <c r="X45" s="1922"/>
      <c r="Y45" s="1922"/>
      <c r="Z45" s="1922"/>
      <c r="AA45" s="1922"/>
      <c r="AB45" s="1922"/>
    </row>
    <row r="46" spans="1:28" customFormat="1">
      <c r="A46" s="1947" t="s">
        <v>287</v>
      </c>
      <c r="B46" s="1951" t="s">
        <v>7355</v>
      </c>
      <c r="C46" s="1951" t="s">
        <v>7357</v>
      </c>
      <c r="D46" s="1951" t="s">
        <v>6704</v>
      </c>
      <c r="E46" s="1951" t="s">
        <v>7334</v>
      </c>
      <c r="F46" s="1951" t="s">
        <v>7336</v>
      </c>
      <c r="G46" s="1951" t="s">
        <v>7338</v>
      </c>
      <c r="H46" s="1951" t="s">
        <v>287</v>
      </c>
      <c r="I46" s="1951" t="s">
        <v>292</v>
      </c>
      <c r="J46" s="1951" t="s">
        <v>304</v>
      </c>
      <c r="K46" s="1951" t="s">
        <v>320</v>
      </c>
      <c r="L46" s="1951" t="s">
        <v>343</v>
      </c>
      <c r="M46" s="1951" t="s">
        <v>7363</v>
      </c>
      <c r="N46" s="1991" t="s">
        <v>7367</v>
      </c>
      <c r="O46" s="1993"/>
      <c r="P46" s="1922"/>
      <c r="Q46" s="1922"/>
      <c r="R46" s="1922"/>
      <c r="S46" s="1922"/>
      <c r="T46" s="1922"/>
      <c r="U46" s="1922"/>
      <c r="V46" s="1922"/>
      <c r="W46" s="1922"/>
      <c r="X46" s="1922"/>
      <c r="Y46" s="1922"/>
      <c r="Z46" s="1922"/>
      <c r="AA46" s="1922"/>
      <c r="AB46" s="1922"/>
    </row>
    <row r="47" spans="1:28" customFormat="1">
      <c r="A47" s="1947" t="s">
        <v>7355</v>
      </c>
      <c r="B47" s="1951" t="s">
        <v>304</v>
      </c>
      <c r="C47" s="1951" t="s">
        <v>7362</v>
      </c>
      <c r="D47" s="1951" t="s">
        <v>7351</v>
      </c>
      <c r="E47" s="1951" t="s">
        <v>7359</v>
      </c>
      <c r="F47" s="1951" t="s">
        <v>7337</v>
      </c>
      <c r="G47" s="1951" t="s">
        <v>6000</v>
      </c>
      <c r="H47" s="1951" t="s">
        <v>7341</v>
      </c>
      <c r="I47" s="1951" t="s">
        <v>298</v>
      </c>
      <c r="J47" s="1951" t="s">
        <v>309</v>
      </c>
      <c r="K47" s="1951" t="s">
        <v>332</v>
      </c>
      <c r="L47" s="1951" t="s">
        <v>7360</v>
      </c>
      <c r="M47" s="1951" t="s">
        <v>7365</v>
      </c>
      <c r="N47" s="1991" t="s">
        <v>7368</v>
      </c>
      <c r="O47" s="1993"/>
      <c r="P47" s="1922"/>
      <c r="Q47" s="1922"/>
      <c r="R47" s="1922"/>
      <c r="S47" s="1922"/>
      <c r="T47" s="1922"/>
      <c r="U47" s="1922"/>
      <c r="V47" s="1922"/>
      <c r="W47" s="1922"/>
      <c r="X47" s="1922"/>
      <c r="Y47" s="1922"/>
      <c r="Z47" s="1922"/>
      <c r="AA47" s="1922"/>
      <c r="AB47" s="1922"/>
    </row>
    <row r="48" spans="1:28" customFormat="1">
      <c r="A48" s="1947" t="s">
        <v>304</v>
      </c>
      <c r="B48" s="1951" t="s">
        <v>320</v>
      </c>
      <c r="C48" s="1951" t="s">
        <v>7350</v>
      </c>
      <c r="D48" s="1951" t="s">
        <v>7358</v>
      </c>
      <c r="E48" s="1951" t="s">
        <v>7335</v>
      </c>
      <c r="F48" s="1951" t="s">
        <v>7338</v>
      </c>
      <c r="G48" s="1951" t="s">
        <v>287</v>
      </c>
      <c r="H48" s="1951" t="s">
        <v>292</v>
      </c>
      <c r="I48" s="1951" t="s">
        <v>304</v>
      </c>
      <c r="J48" s="1951" t="s">
        <v>320</v>
      </c>
      <c r="K48" s="1951" t="s">
        <v>343</v>
      </c>
      <c r="L48" s="1951" t="s">
        <v>7363</v>
      </c>
      <c r="M48" s="1951" t="s">
        <v>7367</v>
      </c>
      <c r="N48" s="1991" t="s">
        <v>7370</v>
      </c>
      <c r="O48" s="1993"/>
      <c r="P48" s="1922"/>
      <c r="Q48" s="1922"/>
      <c r="R48" s="1922"/>
      <c r="S48" s="1922"/>
      <c r="T48" s="1922"/>
      <c r="U48" s="1922"/>
      <c r="V48" s="1922"/>
      <c r="W48" s="1922"/>
      <c r="X48" s="1922"/>
      <c r="Y48" s="1922"/>
      <c r="Z48" s="1922"/>
      <c r="AA48" s="1922"/>
      <c r="AB48" s="1922"/>
    </row>
    <row r="49" spans="1:28" customFormat="1">
      <c r="A49" s="1947" t="s">
        <v>320</v>
      </c>
      <c r="B49" s="1951" t="s">
        <v>7366</v>
      </c>
      <c r="C49" s="1951" t="s">
        <v>6704</v>
      </c>
      <c r="D49" s="1951" t="s">
        <v>7334</v>
      </c>
      <c r="E49" s="1951" t="s">
        <v>7336</v>
      </c>
      <c r="F49" s="1951" t="s">
        <v>6000</v>
      </c>
      <c r="G49" s="1951" t="s">
        <v>7341</v>
      </c>
      <c r="H49" s="1951" t="s">
        <v>298</v>
      </c>
      <c r="I49" s="1951" t="s">
        <v>309</v>
      </c>
      <c r="J49" s="1951" t="s">
        <v>332</v>
      </c>
      <c r="K49" s="1951" t="s">
        <v>7360</v>
      </c>
      <c r="L49" s="1951" t="s">
        <v>7365</v>
      </c>
      <c r="M49" s="1951" t="s">
        <v>7368</v>
      </c>
      <c r="N49" s="1991" t="s">
        <v>7371</v>
      </c>
      <c r="O49" s="1993"/>
      <c r="P49" s="1922"/>
      <c r="Q49" s="1922"/>
      <c r="R49" s="1922"/>
      <c r="S49" s="1922"/>
      <c r="T49" s="1922"/>
      <c r="U49" s="1922"/>
      <c r="V49" s="1922"/>
      <c r="W49" s="1922"/>
      <c r="X49" s="1922"/>
      <c r="Y49" s="1922"/>
      <c r="Z49" s="1922"/>
      <c r="AA49" s="1922"/>
      <c r="AB49" s="1922"/>
    </row>
    <row r="50" spans="1:28" customFormat="1">
      <c r="A50" s="1947" t="s">
        <v>7366</v>
      </c>
      <c r="B50" s="1951" t="s">
        <v>7363</v>
      </c>
      <c r="C50" s="1951" t="s">
        <v>7351</v>
      </c>
      <c r="D50" s="1951" t="s">
        <v>7359</v>
      </c>
      <c r="E50" s="1951" t="s">
        <v>7337</v>
      </c>
      <c r="F50" s="1951" t="s">
        <v>287</v>
      </c>
      <c r="G50" s="1951" t="s">
        <v>292</v>
      </c>
      <c r="H50" s="1951" t="s">
        <v>304</v>
      </c>
      <c r="I50" s="1951" t="s">
        <v>320</v>
      </c>
      <c r="J50" s="1951" t="s">
        <v>343</v>
      </c>
      <c r="K50" s="1951" t="s">
        <v>7363</v>
      </c>
      <c r="L50" s="1951" t="s">
        <v>7367</v>
      </c>
      <c r="M50" s="1951" t="s">
        <v>7370</v>
      </c>
      <c r="N50" s="1991" t="s">
        <v>7372</v>
      </c>
      <c r="O50" s="1993"/>
      <c r="P50" s="1922"/>
      <c r="Q50" s="1922"/>
      <c r="R50" s="1922"/>
      <c r="S50" s="1922"/>
      <c r="T50" s="1922"/>
      <c r="U50" s="1922"/>
      <c r="V50" s="1922"/>
      <c r="W50" s="1922"/>
      <c r="X50" s="1922"/>
      <c r="Y50" s="1922"/>
      <c r="Z50" s="1922"/>
      <c r="AA50" s="1922"/>
      <c r="AB50" s="1922"/>
    </row>
    <row r="51" spans="1:28" customFormat="1">
      <c r="A51" s="1947" t="s">
        <v>7363</v>
      </c>
      <c r="B51" s="1951" t="s">
        <v>7369</v>
      </c>
      <c r="C51" s="1951" t="s">
        <v>7358</v>
      </c>
      <c r="D51" s="1951" t="s">
        <v>7335</v>
      </c>
      <c r="E51" s="1951" t="s">
        <v>7338</v>
      </c>
      <c r="F51" s="1951" t="s">
        <v>7341</v>
      </c>
      <c r="G51" s="1951" t="s">
        <v>298</v>
      </c>
      <c r="H51" s="1951" t="s">
        <v>309</v>
      </c>
      <c r="I51" s="1951" t="s">
        <v>332</v>
      </c>
      <c r="J51" s="1951" t="s">
        <v>7360</v>
      </c>
      <c r="K51" s="1951" t="s">
        <v>7365</v>
      </c>
      <c r="L51" s="1951" t="s">
        <v>7368</v>
      </c>
      <c r="M51" s="1951" t="s">
        <v>7371</v>
      </c>
      <c r="N51" s="1991" t="s">
        <v>7374</v>
      </c>
      <c r="O51" s="1993"/>
      <c r="P51" s="1922"/>
      <c r="Q51" s="1922"/>
      <c r="R51" s="1922"/>
      <c r="S51" s="1922"/>
      <c r="T51" s="1922"/>
      <c r="U51" s="1922"/>
      <c r="V51" s="1922"/>
      <c r="W51" s="1922"/>
      <c r="X51" s="1922"/>
      <c r="Y51" s="1922"/>
      <c r="Z51" s="1922"/>
      <c r="AA51" s="1922"/>
      <c r="AB51" s="1922"/>
    </row>
    <row r="52" spans="1:28" customFormat="1">
      <c r="A52" s="1947" t="s">
        <v>7369</v>
      </c>
      <c r="B52" s="1951" t="s">
        <v>7370</v>
      </c>
      <c r="C52" s="1951" t="s">
        <v>7334</v>
      </c>
      <c r="D52" s="1951" t="s">
        <v>7336</v>
      </c>
      <c r="E52" s="1951" t="s">
        <v>6000</v>
      </c>
      <c r="F52" s="1951" t="s">
        <v>292</v>
      </c>
      <c r="G52" s="1951" t="s">
        <v>304</v>
      </c>
      <c r="H52" s="1951" t="s">
        <v>320</v>
      </c>
      <c r="I52" s="1951" t="s">
        <v>343</v>
      </c>
      <c r="J52" s="1951" t="s">
        <v>7363</v>
      </c>
      <c r="K52" s="1951" t="s">
        <v>7367</v>
      </c>
      <c r="L52" s="1951" t="s">
        <v>7370</v>
      </c>
      <c r="M52" s="1951" t="s">
        <v>7372</v>
      </c>
      <c r="N52" s="1991" t="s">
        <v>7376</v>
      </c>
      <c r="O52" s="1993"/>
      <c r="P52" s="1922"/>
      <c r="Q52" s="1922"/>
      <c r="R52" s="1922"/>
      <c r="S52" s="1922"/>
      <c r="T52" s="1922"/>
      <c r="U52" s="1922"/>
      <c r="V52" s="1922"/>
      <c r="W52" s="1922"/>
      <c r="X52" s="1922"/>
      <c r="Y52" s="1922"/>
      <c r="Z52" s="1922"/>
      <c r="AA52" s="1922"/>
      <c r="AB52" s="1922"/>
    </row>
    <row r="53" spans="1:28" customFormat="1">
      <c r="A53" s="1947" t="s">
        <v>7370</v>
      </c>
      <c r="B53" s="1951" t="s">
        <v>7372</v>
      </c>
      <c r="C53" s="1951" t="s">
        <v>7359</v>
      </c>
      <c r="D53" s="1951" t="s">
        <v>7337</v>
      </c>
      <c r="E53" s="1951" t="s">
        <v>287</v>
      </c>
      <c r="F53" s="1951" t="s">
        <v>298</v>
      </c>
      <c r="G53" s="1951" t="s">
        <v>309</v>
      </c>
      <c r="H53" s="1951" t="s">
        <v>332</v>
      </c>
      <c r="I53" s="1951" t="s">
        <v>7360</v>
      </c>
      <c r="J53" s="1951" t="s">
        <v>7365</v>
      </c>
      <c r="K53" s="1951" t="s">
        <v>7368</v>
      </c>
      <c r="L53" s="1951" t="s">
        <v>7371</v>
      </c>
      <c r="M53" s="1951" t="s">
        <v>7374</v>
      </c>
      <c r="N53" s="1991" t="s">
        <v>7378</v>
      </c>
      <c r="O53" s="1993"/>
      <c r="P53" s="1922"/>
      <c r="Q53" s="1922"/>
      <c r="R53" s="1922"/>
      <c r="S53" s="1922"/>
      <c r="T53" s="1922"/>
      <c r="U53" s="1922"/>
      <c r="V53" s="1922"/>
      <c r="W53" s="1922"/>
      <c r="X53" s="1922"/>
      <c r="Y53" s="1922"/>
      <c r="Z53" s="1922"/>
      <c r="AA53" s="1922"/>
      <c r="AB53" s="1922"/>
    </row>
    <row r="54" spans="1:28" customFormat="1">
      <c r="A54" s="1947" t="s">
        <v>7372</v>
      </c>
      <c r="B54" s="1951" t="s">
        <v>7373</v>
      </c>
      <c r="C54" s="1951" t="s">
        <v>7335</v>
      </c>
      <c r="D54" s="1951" t="s">
        <v>7337</v>
      </c>
      <c r="E54" s="1951" t="s">
        <v>7341</v>
      </c>
      <c r="F54" s="1951" t="s">
        <v>304</v>
      </c>
      <c r="G54" s="1951" t="s">
        <v>320</v>
      </c>
      <c r="H54" s="1951" t="s">
        <v>343</v>
      </c>
      <c r="I54" s="1951" t="s">
        <v>7363</v>
      </c>
      <c r="J54" s="1951" t="s">
        <v>7367</v>
      </c>
      <c r="K54" s="1951" t="s">
        <v>7370</v>
      </c>
      <c r="L54" s="1951" t="s">
        <v>7372</v>
      </c>
      <c r="M54" s="1951" t="s">
        <v>7376</v>
      </c>
      <c r="N54" s="1991" t="s">
        <v>7375</v>
      </c>
      <c r="O54" s="1993"/>
      <c r="P54" s="1922"/>
      <c r="Q54" s="1922"/>
      <c r="R54" s="1922"/>
      <c r="S54" s="1922"/>
      <c r="T54" s="1922"/>
      <c r="U54" s="1922"/>
      <c r="V54" s="1922"/>
      <c r="W54" s="1922"/>
      <c r="X54" s="1922"/>
      <c r="Y54" s="1922"/>
      <c r="Z54" s="1922"/>
      <c r="AA54" s="1922"/>
      <c r="AB54" s="1922"/>
    </row>
    <row r="55" spans="1:28" customFormat="1">
      <c r="A55" s="1947" t="s">
        <v>7373</v>
      </c>
      <c r="B55" s="1951" t="s">
        <v>7375</v>
      </c>
      <c r="C55" s="1951" t="s">
        <v>7336</v>
      </c>
      <c r="D55" s="1951" t="s">
        <v>6000</v>
      </c>
      <c r="E55" s="1951" t="s">
        <v>292</v>
      </c>
      <c r="F55" s="1951" t="s">
        <v>309</v>
      </c>
      <c r="G55" s="1951" t="s">
        <v>332</v>
      </c>
      <c r="H55" s="1951" t="s">
        <v>7360</v>
      </c>
      <c r="I55" s="1951" t="s">
        <v>7365</v>
      </c>
      <c r="J55" s="1951" t="s">
        <v>7368</v>
      </c>
      <c r="K55" s="1951" t="s">
        <v>7371</v>
      </c>
      <c r="L55" s="1951" t="s">
        <v>7374</v>
      </c>
      <c r="M55" s="1951" t="s">
        <v>7378</v>
      </c>
      <c r="N55" s="1991" t="s">
        <v>7381</v>
      </c>
      <c r="O55" s="1993"/>
      <c r="P55" s="1922"/>
      <c r="Q55" s="1922"/>
      <c r="R55" s="1922"/>
      <c r="S55" s="1922"/>
      <c r="T55" s="1922"/>
      <c r="U55" s="1922"/>
      <c r="V55" s="1922"/>
      <c r="W55" s="1922"/>
      <c r="X55" s="1922"/>
      <c r="Y55" s="1922"/>
      <c r="Z55" s="1922"/>
      <c r="AA55" s="1922"/>
      <c r="AB55" s="1922"/>
    </row>
    <row r="56" spans="1:28" customFormat="1">
      <c r="A56" s="1947" t="s">
        <v>7375</v>
      </c>
      <c r="B56" s="1951" t="s">
        <v>7377</v>
      </c>
      <c r="C56" s="1951" t="s">
        <v>7337</v>
      </c>
      <c r="D56" s="1951" t="s">
        <v>287</v>
      </c>
      <c r="E56" s="1951" t="s">
        <v>298</v>
      </c>
      <c r="F56" s="1951" t="s">
        <v>320</v>
      </c>
      <c r="G56" s="1951" t="s">
        <v>343</v>
      </c>
      <c r="H56" s="1951" t="s">
        <v>7363</v>
      </c>
      <c r="I56" s="1951" t="s">
        <v>7367</v>
      </c>
      <c r="J56" s="1951" t="s">
        <v>7370</v>
      </c>
      <c r="K56" s="1951" t="s">
        <v>7372</v>
      </c>
      <c r="L56" s="1951" t="s">
        <v>7376</v>
      </c>
      <c r="M56" s="1951" t="s">
        <v>7375</v>
      </c>
      <c r="N56" s="1991" t="s">
        <v>7383</v>
      </c>
      <c r="O56" s="1993"/>
      <c r="P56" s="1922"/>
      <c r="Q56" s="1922"/>
      <c r="R56" s="1922"/>
      <c r="S56" s="1922"/>
      <c r="T56" s="1922"/>
      <c r="U56" s="1922"/>
      <c r="V56" s="1922"/>
      <c r="W56" s="1922"/>
      <c r="X56" s="1922"/>
      <c r="Y56" s="1922"/>
      <c r="Z56" s="1922"/>
      <c r="AA56" s="1922"/>
      <c r="AB56" s="1922"/>
    </row>
    <row r="57" spans="1:28" customFormat="1">
      <c r="A57" s="1947" t="s">
        <v>7377</v>
      </c>
      <c r="B57" s="1951" t="s">
        <v>7379</v>
      </c>
      <c r="C57" s="1951" t="s">
        <v>7338</v>
      </c>
      <c r="D57" s="1951" t="s">
        <v>7341</v>
      </c>
      <c r="E57" s="1951" t="s">
        <v>304</v>
      </c>
      <c r="F57" s="1951" t="s">
        <v>332</v>
      </c>
      <c r="G57" s="1951" t="s">
        <v>7360</v>
      </c>
      <c r="H57" s="1951" t="s">
        <v>7365</v>
      </c>
      <c r="I57" s="1951" t="s">
        <v>7368</v>
      </c>
      <c r="J57" s="1951" t="s">
        <v>7371</v>
      </c>
      <c r="K57" s="1951" t="s">
        <v>7374</v>
      </c>
      <c r="L57" s="1951" t="s">
        <v>7378</v>
      </c>
      <c r="M57" s="1951" t="s">
        <v>7381</v>
      </c>
      <c r="N57" s="1991" t="s">
        <v>7385</v>
      </c>
      <c r="O57" s="1993"/>
      <c r="P57" s="1922"/>
      <c r="Q57" s="1922"/>
      <c r="R57" s="1922"/>
      <c r="S57" s="1922"/>
      <c r="T57" s="1922"/>
      <c r="U57" s="1922"/>
      <c r="V57" s="1922"/>
      <c r="W57" s="1922"/>
      <c r="X57" s="1922"/>
      <c r="Y57" s="1922"/>
      <c r="Z57" s="1922"/>
      <c r="AA57" s="1922"/>
      <c r="AB57" s="1922"/>
    </row>
    <row r="58" spans="1:28" customFormat="1">
      <c r="A58" s="1947" t="s">
        <v>7379</v>
      </c>
      <c r="B58" s="1951" t="s">
        <v>7380</v>
      </c>
      <c r="C58" s="1951" t="s">
        <v>6000</v>
      </c>
      <c r="D58" s="1951" t="s">
        <v>292</v>
      </c>
      <c r="E58" s="1951" t="s">
        <v>309</v>
      </c>
      <c r="F58" s="1951" t="s">
        <v>343</v>
      </c>
      <c r="G58" s="1951" t="s">
        <v>7363</v>
      </c>
      <c r="H58" s="1951" t="s">
        <v>7367</v>
      </c>
      <c r="I58" s="1951" t="s">
        <v>7370</v>
      </c>
      <c r="J58" s="1951" t="s">
        <v>7372</v>
      </c>
      <c r="K58" s="1951" t="s">
        <v>7376</v>
      </c>
      <c r="L58" s="1951" t="s">
        <v>7375</v>
      </c>
      <c r="M58" s="1951" t="s">
        <v>7383</v>
      </c>
      <c r="N58" s="1991" t="s">
        <v>7379</v>
      </c>
      <c r="O58" s="1993"/>
      <c r="P58" s="1922"/>
      <c r="Q58" s="1922"/>
      <c r="R58" s="1922"/>
      <c r="S58" s="1922"/>
      <c r="T58" s="1922"/>
      <c r="U58" s="1922"/>
      <c r="V58" s="1922"/>
      <c r="W58" s="1922"/>
      <c r="X58" s="1922"/>
      <c r="Y58" s="1922"/>
      <c r="Z58" s="1922"/>
      <c r="AA58" s="1922"/>
      <c r="AB58" s="1922"/>
    </row>
    <row r="59" spans="1:28" customFormat="1">
      <c r="A59" s="1947" t="s">
        <v>7380</v>
      </c>
      <c r="B59" s="1951" t="s">
        <v>7382</v>
      </c>
      <c r="C59" s="1951" t="s">
        <v>287</v>
      </c>
      <c r="D59" s="1951" t="s">
        <v>298</v>
      </c>
      <c r="E59" s="1951" t="s">
        <v>320</v>
      </c>
      <c r="F59" s="1951" t="s">
        <v>7360</v>
      </c>
      <c r="G59" s="1951" t="s">
        <v>7365</v>
      </c>
      <c r="H59" s="1951" t="s">
        <v>7368</v>
      </c>
      <c r="I59" s="1951" t="s">
        <v>7371</v>
      </c>
      <c r="J59" s="1951" t="s">
        <v>7374</v>
      </c>
      <c r="K59" s="1951" t="s">
        <v>7378</v>
      </c>
      <c r="L59" s="1951" t="s">
        <v>7381</v>
      </c>
      <c r="M59" s="1951" t="s">
        <v>7385</v>
      </c>
      <c r="N59" s="1991" t="s">
        <v>7426</v>
      </c>
      <c r="O59" s="1993"/>
      <c r="P59" s="1922"/>
      <c r="Q59" s="1922"/>
      <c r="R59" s="1922"/>
      <c r="S59" s="1922"/>
      <c r="T59" s="1922"/>
      <c r="U59" s="1922"/>
      <c r="V59" s="1922"/>
      <c r="W59" s="1922"/>
      <c r="X59" s="1922"/>
      <c r="Y59" s="1922"/>
      <c r="Z59" s="1922"/>
      <c r="AA59" s="1922"/>
      <c r="AB59" s="1922"/>
    </row>
    <row r="60" spans="1:28" customFormat="1">
      <c r="A60" s="1977" t="s">
        <v>7382</v>
      </c>
      <c r="B60" s="1954" t="s">
        <v>7384</v>
      </c>
      <c r="C60" s="1954" t="s">
        <v>7341</v>
      </c>
      <c r="D60" s="1954" t="s">
        <v>304</v>
      </c>
      <c r="E60" s="1954" t="s">
        <v>332</v>
      </c>
      <c r="F60" s="1954" t="s">
        <v>7363</v>
      </c>
      <c r="G60" s="1954" t="s">
        <v>7367</v>
      </c>
      <c r="H60" s="1954" t="s">
        <v>7370</v>
      </c>
      <c r="I60" s="1954" t="s">
        <v>7372</v>
      </c>
      <c r="J60" s="1954" t="s">
        <v>7376</v>
      </c>
      <c r="K60" s="1954" t="s">
        <v>7375</v>
      </c>
      <c r="L60" s="1954" t="s">
        <v>7383</v>
      </c>
      <c r="M60" s="1954" t="s">
        <v>7379</v>
      </c>
      <c r="N60" s="1994" t="s">
        <v>7380</v>
      </c>
      <c r="O60" s="1993"/>
      <c r="P60" s="1922"/>
      <c r="Q60" s="1922"/>
      <c r="R60" s="1922"/>
      <c r="S60" s="1922"/>
      <c r="T60" s="1922"/>
      <c r="U60" s="1922"/>
      <c r="V60" s="1922"/>
      <c r="W60" s="1922"/>
      <c r="X60" s="1922"/>
      <c r="Y60" s="1922"/>
      <c r="Z60" s="1922"/>
      <c r="AA60" s="1922"/>
      <c r="AB60" s="1922"/>
    </row>
    <row r="61" spans="1:28" s="1989" customFormat="1">
      <c r="A61" s="1922"/>
      <c r="B61" s="1922"/>
      <c r="C61" s="1922"/>
      <c r="D61" s="1922"/>
      <c r="E61" s="1922"/>
      <c r="F61" s="1922"/>
      <c r="G61" s="1922"/>
      <c r="H61" s="1922"/>
      <c r="I61" s="1922"/>
      <c r="J61" s="1922"/>
      <c r="K61" s="1922"/>
      <c r="L61" s="1922"/>
      <c r="M61" s="1922"/>
      <c r="N61" s="1922"/>
      <c r="O61" s="1922"/>
      <c r="P61" s="1922"/>
      <c r="Q61" s="1922"/>
      <c r="R61" s="1922"/>
      <c r="S61" s="1922"/>
      <c r="T61" s="1922"/>
      <c r="U61" s="1922"/>
      <c r="V61" s="1922"/>
      <c r="W61" s="1922"/>
      <c r="X61" s="1922"/>
      <c r="Y61" s="1922"/>
      <c r="Z61" s="1922"/>
      <c r="AA61" s="1922"/>
      <c r="AB61" s="1922"/>
    </row>
    <row r="62" spans="1:28" customFormat="1">
      <c r="A62" s="3604" t="s">
        <v>7427</v>
      </c>
      <c r="B62" s="3604"/>
      <c r="C62" s="3604"/>
      <c r="D62" s="3604"/>
      <c r="E62" s="3604"/>
      <c r="F62" s="3604"/>
      <c r="G62" s="3604"/>
      <c r="H62" s="3604"/>
      <c r="I62" s="3604"/>
      <c r="J62" s="3604"/>
      <c r="K62" s="3604"/>
      <c r="L62" s="3604"/>
      <c r="M62" s="3604"/>
      <c r="N62" s="3604"/>
      <c r="O62" s="1922"/>
      <c r="P62" s="1922"/>
      <c r="Q62" s="1922"/>
      <c r="R62" s="1922"/>
      <c r="S62" s="1922"/>
      <c r="T62" s="1922"/>
      <c r="U62" s="1922"/>
      <c r="V62" s="1922"/>
      <c r="W62" s="1922"/>
      <c r="X62" s="1922"/>
      <c r="Y62" s="1922"/>
      <c r="Z62" s="1922"/>
      <c r="AA62" s="1922"/>
      <c r="AB62" s="1922"/>
    </row>
    <row r="63" spans="1:28" customFormat="1">
      <c r="A63" s="3590" t="s">
        <v>7331</v>
      </c>
      <c r="B63" s="3591"/>
      <c r="C63" s="3592" t="s">
        <v>7332</v>
      </c>
      <c r="D63" s="3593"/>
      <c r="E63" s="3593"/>
      <c r="F63" s="3593"/>
      <c r="G63" s="3593"/>
      <c r="H63" s="3593"/>
      <c r="I63" s="3593"/>
      <c r="J63" s="3593"/>
      <c r="K63" s="3593"/>
      <c r="L63" s="3593"/>
      <c r="M63" s="3593"/>
      <c r="N63" s="3605"/>
      <c r="O63" s="1922"/>
      <c r="P63" s="1922"/>
      <c r="Q63" s="3368" t="s">
        <v>12710</v>
      </c>
      <c r="R63" s="3368"/>
      <c r="S63" s="1922"/>
      <c r="T63" s="1922"/>
      <c r="U63" s="1922"/>
      <c r="V63" s="1922"/>
      <c r="W63" s="1922"/>
      <c r="X63" s="1922"/>
      <c r="Y63" s="1922"/>
      <c r="Z63" s="1922"/>
      <c r="AA63" s="1922"/>
      <c r="AB63" s="1922"/>
    </row>
    <row r="64" spans="1:28" customFormat="1">
      <c r="A64" s="3596" t="s">
        <v>7428</v>
      </c>
      <c r="B64" s="3597"/>
      <c r="C64" s="1951" t="s">
        <v>6704</v>
      </c>
      <c r="D64" s="1951" t="s">
        <v>7334</v>
      </c>
      <c r="E64" s="1951" t="s">
        <v>7335</v>
      </c>
      <c r="F64" s="1951" t="s">
        <v>7336</v>
      </c>
      <c r="G64" s="1951" t="s">
        <v>7337</v>
      </c>
      <c r="H64" s="1951" t="s">
        <v>7338</v>
      </c>
      <c r="I64" s="1951" t="s">
        <v>7339</v>
      </c>
      <c r="J64" s="1951" t="s">
        <v>6000</v>
      </c>
      <c r="K64" s="1951" t="s">
        <v>6003</v>
      </c>
      <c r="L64" s="1951" t="s">
        <v>287</v>
      </c>
      <c r="M64" s="1951" t="s">
        <v>7340</v>
      </c>
      <c r="N64" s="1948" t="s">
        <v>7341</v>
      </c>
      <c r="O64" s="1922"/>
      <c r="P64" s="1922"/>
      <c r="Q64" s="1922"/>
      <c r="R64" s="1922"/>
      <c r="S64" s="1922"/>
      <c r="T64" s="1922"/>
      <c r="U64" s="1922"/>
      <c r="V64" s="1922"/>
      <c r="W64" s="1922"/>
      <c r="X64" s="1922"/>
      <c r="Y64" s="1922"/>
      <c r="Z64" s="1922"/>
      <c r="AA64" s="1922"/>
      <c r="AB64" s="1922"/>
    </row>
    <row r="65" spans="1:28" customFormat="1">
      <c r="A65" s="1947" t="s">
        <v>7342</v>
      </c>
      <c r="B65" s="1951" t="s">
        <v>7343</v>
      </c>
      <c r="C65" s="3598" t="s">
        <v>7388</v>
      </c>
      <c r="D65" s="3606"/>
      <c r="E65" s="3606"/>
      <c r="F65" s="3606"/>
      <c r="G65" s="3606"/>
      <c r="H65" s="3606"/>
      <c r="I65" s="3606"/>
      <c r="J65" s="3606"/>
      <c r="K65" s="3606"/>
      <c r="L65" s="3606"/>
      <c r="M65" s="3606"/>
      <c r="N65" s="3607"/>
      <c r="O65" s="1922"/>
      <c r="P65" s="1922"/>
      <c r="Q65" s="1922"/>
      <c r="R65" s="1922"/>
      <c r="S65" s="1922"/>
      <c r="T65" s="1922"/>
      <c r="U65" s="1922"/>
      <c r="V65" s="1922"/>
      <c r="W65" s="1922"/>
      <c r="X65" s="1922"/>
      <c r="Y65" s="1922"/>
      <c r="Z65" s="1922"/>
      <c r="AA65" s="1922"/>
      <c r="AB65" s="1922"/>
    </row>
    <row r="66" spans="1:28" customFormat="1">
      <c r="A66" s="1947" t="s">
        <v>2074</v>
      </c>
      <c r="B66" s="1951" t="s">
        <v>6704</v>
      </c>
      <c r="C66" s="1951" t="s">
        <v>7348</v>
      </c>
      <c r="D66" s="1951" t="s">
        <v>7362</v>
      </c>
      <c r="E66" s="1951" t="s">
        <v>6704</v>
      </c>
      <c r="F66" s="1951" t="s">
        <v>7358</v>
      </c>
      <c r="G66" s="1951" t="s">
        <v>7359</v>
      </c>
      <c r="H66" s="1951" t="s">
        <v>7336</v>
      </c>
      <c r="I66" s="1951" t="s">
        <v>7338</v>
      </c>
      <c r="J66" s="1951" t="s">
        <v>287</v>
      </c>
      <c r="K66" s="1951" t="s">
        <v>292</v>
      </c>
      <c r="L66" s="1951" t="s">
        <v>304</v>
      </c>
      <c r="M66" s="1951" t="s">
        <v>320</v>
      </c>
      <c r="N66" s="1948" t="s">
        <v>343</v>
      </c>
      <c r="O66" s="1922"/>
      <c r="P66" s="1922"/>
      <c r="Q66" s="1922"/>
      <c r="R66" s="1922"/>
      <c r="S66" s="1922"/>
      <c r="T66" s="1922"/>
      <c r="U66" s="1922"/>
      <c r="V66" s="1922"/>
      <c r="W66" s="1922"/>
      <c r="X66" s="1922"/>
      <c r="Y66" s="1922"/>
      <c r="Z66" s="1922"/>
      <c r="AA66" s="1922"/>
      <c r="AB66" s="1922"/>
    </row>
    <row r="67" spans="1:28" customFormat="1">
      <c r="A67" s="1947" t="s">
        <v>6704</v>
      </c>
      <c r="B67" s="1951" t="s">
        <v>7335</v>
      </c>
      <c r="C67" s="1951" t="s">
        <v>7348</v>
      </c>
      <c r="D67" s="1951" t="s">
        <v>7362</v>
      </c>
      <c r="E67" s="1951" t="s">
        <v>6704</v>
      </c>
      <c r="F67" s="1951" t="s">
        <v>7358</v>
      </c>
      <c r="G67" s="1951" t="s">
        <v>7359</v>
      </c>
      <c r="H67" s="1951" t="s">
        <v>7336</v>
      </c>
      <c r="I67" s="1951" t="s">
        <v>7338</v>
      </c>
      <c r="J67" s="1951" t="s">
        <v>287</v>
      </c>
      <c r="K67" s="1951" t="s">
        <v>298</v>
      </c>
      <c r="L67" s="1951" t="s">
        <v>320</v>
      </c>
      <c r="M67" s="1951" t="s">
        <v>343</v>
      </c>
      <c r="N67" s="1948" t="s">
        <v>7365</v>
      </c>
      <c r="O67" s="1922"/>
      <c r="P67" s="1922"/>
      <c r="Q67" s="1922"/>
      <c r="R67" s="1922"/>
      <c r="S67" s="1922"/>
      <c r="T67" s="1922"/>
      <c r="U67" s="1922"/>
      <c r="V67" s="1922"/>
      <c r="W67" s="1922"/>
      <c r="X67" s="1922"/>
      <c r="Y67" s="1922"/>
      <c r="Z67" s="1922"/>
      <c r="AA67" s="1922"/>
      <c r="AB67" s="1922"/>
    </row>
    <row r="68" spans="1:28" customFormat="1">
      <c r="A68" s="1947" t="s">
        <v>7335</v>
      </c>
      <c r="B68" s="1951" t="s">
        <v>7338</v>
      </c>
      <c r="C68" s="1951" t="s">
        <v>7357</v>
      </c>
      <c r="D68" s="1951" t="s">
        <v>7350</v>
      </c>
      <c r="E68" s="1951" t="s">
        <v>7351</v>
      </c>
      <c r="F68" s="1951" t="s">
        <v>7334</v>
      </c>
      <c r="G68" s="1951" t="s">
        <v>7335</v>
      </c>
      <c r="H68" s="1951" t="s">
        <v>7337</v>
      </c>
      <c r="I68" s="1951" t="s">
        <v>6000</v>
      </c>
      <c r="J68" s="1951" t="s">
        <v>7341</v>
      </c>
      <c r="K68" s="1951" t="s">
        <v>304</v>
      </c>
      <c r="L68" s="1951" t="s">
        <v>332</v>
      </c>
      <c r="M68" s="1951" t="s">
        <v>7360</v>
      </c>
      <c r="N68" s="1948" t="s">
        <v>7367</v>
      </c>
      <c r="O68" s="1922"/>
      <c r="P68" s="1922"/>
      <c r="Q68" s="1922"/>
      <c r="R68" s="1922"/>
      <c r="S68" s="1922"/>
      <c r="T68" s="1922"/>
      <c r="U68" s="1922"/>
      <c r="V68" s="1922"/>
      <c r="W68" s="1922"/>
      <c r="X68" s="1922"/>
      <c r="Y68" s="1922"/>
      <c r="Z68" s="1922"/>
      <c r="AA68" s="1922"/>
      <c r="AB68" s="1922"/>
    </row>
    <row r="69" spans="1:28" customFormat="1">
      <c r="A69" s="1947" t="s">
        <v>7338</v>
      </c>
      <c r="B69" s="1951" t="s">
        <v>287</v>
      </c>
      <c r="C69" s="1951" t="s">
        <v>7362</v>
      </c>
      <c r="D69" s="1951" t="s">
        <v>6704</v>
      </c>
      <c r="E69" s="1951" t="s">
        <v>7358</v>
      </c>
      <c r="F69" s="1951" t="s">
        <v>7359</v>
      </c>
      <c r="G69" s="1951" t="s">
        <v>7336</v>
      </c>
      <c r="H69" s="1951" t="s">
        <v>7338</v>
      </c>
      <c r="I69" s="1951" t="s">
        <v>287</v>
      </c>
      <c r="J69" s="1951" t="s">
        <v>292</v>
      </c>
      <c r="K69" s="1951" t="s">
        <v>309</v>
      </c>
      <c r="L69" s="1951" t="s">
        <v>343</v>
      </c>
      <c r="M69" s="1951" t="s">
        <v>7363</v>
      </c>
      <c r="N69" s="1948" t="s">
        <v>7368</v>
      </c>
      <c r="O69" s="1922"/>
      <c r="P69" s="1922"/>
      <c r="Q69" s="1922"/>
      <c r="R69" s="1922"/>
      <c r="S69" s="1922"/>
      <c r="T69" s="1922"/>
      <c r="U69" s="1922"/>
      <c r="V69" s="1922"/>
      <c r="W69" s="1922"/>
      <c r="X69" s="1922"/>
      <c r="Y69" s="1922"/>
      <c r="Z69" s="1922"/>
      <c r="AA69" s="1922"/>
      <c r="AB69" s="1922"/>
    </row>
    <row r="70" spans="1:28" customFormat="1">
      <c r="A70" s="1947" t="s">
        <v>287</v>
      </c>
      <c r="B70" s="1951" t="s">
        <v>7390</v>
      </c>
      <c r="C70" s="1951" t="s">
        <v>7350</v>
      </c>
      <c r="D70" s="1951" t="s">
        <v>7351</v>
      </c>
      <c r="E70" s="1951" t="s">
        <v>7334</v>
      </c>
      <c r="F70" s="1951" t="s">
        <v>7335</v>
      </c>
      <c r="G70" s="1951" t="s">
        <v>7337</v>
      </c>
      <c r="H70" s="1951" t="s">
        <v>6000</v>
      </c>
      <c r="I70" s="1951" t="s">
        <v>7341</v>
      </c>
      <c r="J70" s="1951" t="s">
        <v>298</v>
      </c>
      <c r="K70" s="1951" t="s">
        <v>320</v>
      </c>
      <c r="L70" s="1951" t="s">
        <v>7360</v>
      </c>
      <c r="M70" s="1951" t="s">
        <v>7365</v>
      </c>
      <c r="N70" s="1948" t="s">
        <v>7370</v>
      </c>
      <c r="O70" s="1922"/>
      <c r="P70" s="1922"/>
      <c r="Q70" s="1922"/>
      <c r="R70" s="1922"/>
      <c r="S70" s="1922"/>
      <c r="T70" s="1922"/>
      <c r="U70" s="1922"/>
      <c r="V70" s="1922"/>
      <c r="W70" s="1922"/>
      <c r="X70" s="1922"/>
      <c r="Y70" s="1922"/>
      <c r="Z70" s="1922"/>
      <c r="AA70" s="1922"/>
      <c r="AB70" s="1922"/>
    </row>
    <row r="71" spans="1:28" customFormat="1">
      <c r="A71" s="1947" t="s">
        <v>7390</v>
      </c>
      <c r="B71" s="1951" t="s">
        <v>309</v>
      </c>
      <c r="C71" s="1951" t="s">
        <v>6704</v>
      </c>
      <c r="D71" s="1951" t="s">
        <v>7358</v>
      </c>
      <c r="E71" s="1951" t="s">
        <v>7359</v>
      </c>
      <c r="F71" s="1951" t="s">
        <v>7336</v>
      </c>
      <c r="G71" s="1951" t="s">
        <v>7338</v>
      </c>
      <c r="H71" s="1951" t="s">
        <v>287</v>
      </c>
      <c r="I71" s="1951" t="s">
        <v>292</v>
      </c>
      <c r="J71" s="1951" t="s">
        <v>304</v>
      </c>
      <c r="K71" s="1951" t="s">
        <v>332</v>
      </c>
      <c r="L71" s="1951" t="s">
        <v>7363</v>
      </c>
      <c r="M71" s="1951" t="s">
        <v>7367</v>
      </c>
      <c r="N71" s="1948" t="s">
        <v>7371</v>
      </c>
      <c r="O71" s="1922"/>
      <c r="P71" s="1922"/>
      <c r="Q71" s="1922"/>
      <c r="R71" s="1922"/>
      <c r="S71" s="1922"/>
      <c r="T71" s="1922"/>
      <c r="U71" s="1922"/>
      <c r="V71" s="1922"/>
      <c r="W71" s="1922"/>
      <c r="X71" s="1922"/>
      <c r="Y71" s="1922"/>
      <c r="Z71" s="1922"/>
      <c r="AA71" s="1922"/>
      <c r="AB71" s="1922"/>
    </row>
    <row r="72" spans="1:28" customFormat="1">
      <c r="A72" s="1947" t="s">
        <v>309</v>
      </c>
      <c r="B72" s="1951" t="s">
        <v>332</v>
      </c>
      <c r="C72" s="1951" t="s">
        <v>7351</v>
      </c>
      <c r="D72" s="1951" t="s">
        <v>7334</v>
      </c>
      <c r="E72" s="1951" t="s">
        <v>7335</v>
      </c>
      <c r="F72" s="1951" t="s">
        <v>7337</v>
      </c>
      <c r="G72" s="1951" t="s">
        <v>6000</v>
      </c>
      <c r="H72" s="1951" t="s">
        <v>7341</v>
      </c>
      <c r="I72" s="1951" t="s">
        <v>298</v>
      </c>
      <c r="J72" s="1951" t="s">
        <v>309</v>
      </c>
      <c r="K72" s="1951" t="s">
        <v>343</v>
      </c>
      <c r="L72" s="1951" t="s">
        <v>7365</v>
      </c>
      <c r="M72" s="1951" t="s">
        <v>7368</v>
      </c>
      <c r="N72" s="1948" t="s">
        <v>7372</v>
      </c>
      <c r="O72" s="1922"/>
      <c r="P72" s="1922"/>
      <c r="Q72" s="1922"/>
      <c r="R72" s="1922"/>
      <c r="S72" s="1922"/>
      <c r="T72" s="1922"/>
      <c r="U72" s="1922"/>
      <c r="V72" s="1922"/>
      <c r="W72" s="1922"/>
      <c r="X72" s="1922"/>
      <c r="Y72" s="1922"/>
      <c r="Z72" s="1922"/>
      <c r="AA72" s="1922"/>
      <c r="AB72" s="1922"/>
    </row>
    <row r="73" spans="1:28" customFormat="1">
      <c r="A73" s="1947" t="s">
        <v>332</v>
      </c>
      <c r="B73" s="1951" t="s">
        <v>7365</v>
      </c>
      <c r="C73" s="1951" t="s">
        <v>7358</v>
      </c>
      <c r="D73" s="1951" t="s">
        <v>7359</v>
      </c>
      <c r="E73" s="1951" t="s">
        <v>7336</v>
      </c>
      <c r="F73" s="1951" t="s">
        <v>7338</v>
      </c>
      <c r="G73" s="1951" t="s">
        <v>287</v>
      </c>
      <c r="H73" s="1951" t="s">
        <v>292</v>
      </c>
      <c r="I73" s="1951" t="s">
        <v>304</v>
      </c>
      <c r="J73" s="1951" t="s">
        <v>320</v>
      </c>
      <c r="K73" s="1951" t="s">
        <v>7360</v>
      </c>
      <c r="L73" s="1951" t="s">
        <v>7367</v>
      </c>
      <c r="M73" s="1951" t="s">
        <v>7370</v>
      </c>
      <c r="N73" s="1948" t="s">
        <v>7374</v>
      </c>
      <c r="O73" s="1922"/>
      <c r="P73" s="1922"/>
      <c r="Q73" s="1922"/>
      <c r="R73" s="1922"/>
      <c r="S73" s="1922"/>
      <c r="T73" s="1922"/>
      <c r="U73" s="1922"/>
      <c r="V73" s="1922"/>
      <c r="W73" s="1922"/>
      <c r="X73" s="1922"/>
      <c r="Y73" s="1922"/>
      <c r="Z73" s="1922"/>
      <c r="AA73" s="1922"/>
      <c r="AB73" s="1922"/>
    </row>
    <row r="74" spans="1:28" customFormat="1">
      <c r="A74" s="1947" t="s">
        <v>7365</v>
      </c>
      <c r="B74" s="1951" t="s">
        <v>7370</v>
      </c>
      <c r="C74" s="1951" t="s">
        <v>7334</v>
      </c>
      <c r="D74" s="1951" t="s">
        <v>7335</v>
      </c>
      <c r="E74" s="1951" t="s">
        <v>7337</v>
      </c>
      <c r="F74" s="1951" t="s">
        <v>6000</v>
      </c>
      <c r="G74" s="1951" t="s">
        <v>7341</v>
      </c>
      <c r="H74" s="1951" t="s">
        <v>298</v>
      </c>
      <c r="I74" s="1951" t="s">
        <v>309</v>
      </c>
      <c r="J74" s="1951" t="s">
        <v>332</v>
      </c>
      <c r="K74" s="1951" t="s">
        <v>7363</v>
      </c>
      <c r="L74" s="1951" t="s">
        <v>7368</v>
      </c>
      <c r="M74" s="1951" t="s">
        <v>7371</v>
      </c>
      <c r="N74" s="1948" t="s">
        <v>7376</v>
      </c>
      <c r="O74" s="1922"/>
      <c r="P74" s="1922"/>
      <c r="Q74" s="1922"/>
      <c r="R74" s="1922"/>
      <c r="S74" s="1922"/>
      <c r="T74" s="1922"/>
      <c r="U74" s="1922"/>
      <c r="V74" s="1922"/>
      <c r="W74" s="1922"/>
      <c r="X74" s="1922"/>
      <c r="Y74" s="1922"/>
      <c r="Z74" s="1922"/>
      <c r="AA74" s="1922"/>
      <c r="AB74" s="1922"/>
    </row>
    <row r="75" spans="1:28" customFormat="1">
      <c r="A75" s="1947" t="s">
        <v>7370</v>
      </c>
      <c r="B75" s="1951" t="s">
        <v>7374</v>
      </c>
      <c r="C75" s="1951" t="s">
        <v>7359</v>
      </c>
      <c r="D75" s="1951" t="s">
        <v>7336</v>
      </c>
      <c r="E75" s="1951" t="s">
        <v>7338</v>
      </c>
      <c r="F75" s="1951" t="s">
        <v>287</v>
      </c>
      <c r="G75" s="1951" t="s">
        <v>292</v>
      </c>
      <c r="H75" s="1951" t="s">
        <v>304</v>
      </c>
      <c r="I75" s="1951" t="s">
        <v>320</v>
      </c>
      <c r="J75" s="1951" t="s">
        <v>343</v>
      </c>
      <c r="K75" s="1951" t="s">
        <v>7365</v>
      </c>
      <c r="L75" s="1951" t="s">
        <v>7370</v>
      </c>
      <c r="M75" s="1951" t="s">
        <v>7372</v>
      </c>
      <c r="N75" s="1948" t="s">
        <v>7378</v>
      </c>
      <c r="O75" s="1922"/>
      <c r="P75" s="1922"/>
      <c r="Q75" s="1922"/>
      <c r="R75" s="1922"/>
      <c r="S75" s="1922"/>
      <c r="T75" s="1922"/>
      <c r="U75" s="1922"/>
      <c r="V75" s="1922"/>
      <c r="W75" s="1922"/>
      <c r="X75" s="1922"/>
      <c r="Y75" s="1922"/>
      <c r="Z75" s="1922"/>
      <c r="AA75" s="1922"/>
      <c r="AB75" s="1922"/>
    </row>
    <row r="76" spans="1:28" customFormat="1">
      <c r="A76" s="1947" t="s">
        <v>7374</v>
      </c>
      <c r="B76" s="1951" t="s">
        <v>7378</v>
      </c>
      <c r="C76" s="1951" t="s">
        <v>7335</v>
      </c>
      <c r="D76" s="1951" t="s">
        <v>7337</v>
      </c>
      <c r="E76" s="1951" t="s">
        <v>6000</v>
      </c>
      <c r="F76" s="1951" t="s">
        <v>7341</v>
      </c>
      <c r="G76" s="1951" t="s">
        <v>298</v>
      </c>
      <c r="H76" s="1951" t="s">
        <v>309</v>
      </c>
      <c r="I76" s="1951" t="s">
        <v>332</v>
      </c>
      <c r="J76" s="1951" t="s">
        <v>7360</v>
      </c>
      <c r="K76" s="1951" t="s">
        <v>7367</v>
      </c>
      <c r="L76" s="1951" t="s">
        <v>7371</v>
      </c>
      <c r="M76" s="1951" t="s">
        <v>7374</v>
      </c>
      <c r="N76" s="1948" t="s">
        <v>7375</v>
      </c>
      <c r="O76" s="1922"/>
      <c r="P76" s="1922"/>
      <c r="Q76" s="1922"/>
      <c r="R76" s="1922"/>
      <c r="S76" s="1922"/>
      <c r="T76" s="1922"/>
      <c r="U76" s="1922"/>
      <c r="V76" s="1922"/>
      <c r="W76" s="1922"/>
      <c r="X76" s="1922"/>
      <c r="Y76" s="1922"/>
      <c r="Z76" s="1922"/>
      <c r="AA76" s="1922"/>
      <c r="AB76" s="1922"/>
    </row>
    <row r="77" spans="1:28" customFormat="1">
      <c r="A77" s="1947" t="s">
        <v>7378</v>
      </c>
      <c r="B77" s="1951" t="s">
        <v>7429</v>
      </c>
      <c r="C77" s="1951" t="s">
        <v>7336</v>
      </c>
      <c r="D77" s="1951" t="s">
        <v>7338</v>
      </c>
      <c r="E77" s="1951" t="s">
        <v>287</v>
      </c>
      <c r="F77" s="1951" t="s">
        <v>292</v>
      </c>
      <c r="G77" s="1951" t="s">
        <v>304</v>
      </c>
      <c r="H77" s="1951" t="s">
        <v>320</v>
      </c>
      <c r="I77" s="1951" t="s">
        <v>343</v>
      </c>
      <c r="J77" s="1951" t="s">
        <v>7363</v>
      </c>
      <c r="K77" s="1951" t="s">
        <v>7368</v>
      </c>
      <c r="L77" s="1951" t="s">
        <v>7372</v>
      </c>
      <c r="M77" s="1951" t="s">
        <v>7376</v>
      </c>
      <c r="N77" s="1948" t="s">
        <v>7381</v>
      </c>
      <c r="O77" s="1922"/>
      <c r="P77" s="1922"/>
      <c r="Q77" s="1922"/>
      <c r="R77" s="1922"/>
      <c r="S77" s="1922"/>
      <c r="T77" s="1922"/>
      <c r="U77" s="1922"/>
      <c r="V77" s="1922"/>
      <c r="W77" s="1922"/>
      <c r="X77" s="1922"/>
      <c r="Y77" s="1922"/>
      <c r="Z77" s="1922"/>
      <c r="AA77" s="1922"/>
      <c r="AB77" s="1922"/>
    </row>
    <row r="78" spans="1:28" customFormat="1">
      <c r="A78" s="1947" t="s">
        <v>7429</v>
      </c>
      <c r="B78" s="1951" t="s">
        <v>7385</v>
      </c>
      <c r="C78" s="1951" t="s">
        <v>7337</v>
      </c>
      <c r="D78" s="1951" t="s">
        <v>6000</v>
      </c>
      <c r="E78" s="1951" t="s">
        <v>7341</v>
      </c>
      <c r="F78" s="1951" t="s">
        <v>298</v>
      </c>
      <c r="G78" s="1951" t="s">
        <v>309</v>
      </c>
      <c r="H78" s="1951" t="s">
        <v>332</v>
      </c>
      <c r="I78" s="1951" t="s">
        <v>7360</v>
      </c>
      <c r="J78" s="1951" t="s">
        <v>7365</v>
      </c>
      <c r="K78" s="1951" t="s">
        <v>7370</v>
      </c>
      <c r="L78" s="1951" t="s">
        <v>7374</v>
      </c>
      <c r="M78" s="1951" t="s">
        <v>7378</v>
      </c>
      <c r="N78" s="1948" t="s">
        <v>7383</v>
      </c>
      <c r="O78" s="1922"/>
      <c r="P78" s="1922"/>
      <c r="Q78" s="1922"/>
      <c r="R78" s="1922"/>
      <c r="S78" s="1922"/>
      <c r="T78" s="1922"/>
      <c r="U78" s="1922"/>
      <c r="V78" s="1922"/>
      <c r="W78" s="1922"/>
      <c r="X78" s="1922"/>
      <c r="Y78" s="1922"/>
      <c r="Z78" s="1922"/>
      <c r="AA78" s="1922"/>
      <c r="AB78" s="1922"/>
    </row>
    <row r="79" spans="1:28" customFormat="1">
      <c r="A79" s="1947" t="s">
        <v>7385</v>
      </c>
      <c r="B79" s="1951" t="s">
        <v>7430</v>
      </c>
      <c r="C79" s="1951" t="s">
        <v>7338</v>
      </c>
      <c r="D79" s="1951" t="s">
        <v>287</v>
      </c>
      <c r="E79" s="1951" t="s">
        <v>292</v>
      </c>
      <c r="F79" s="1951" t="s">
        <v>304</v>
      </c>
      <c r="G79" s="1951" t="s">
        <v>320</v>
      </c>
      <c r="H79" s="1951" t="s">
        <v>343</v>
      </c>
      <c r="I79" s="1951" t="s">
        <v>7363</v>
      </c>
      <c r="J79" s="1951" t="s">
        <v>7367</v>
      </c>
      <c r="K79" s="1951" t="s">
        <v>7371</v>
      </c>
      <c r="L79" s="1951" t="s">
        <v>7376</v>
      </c>
      <c r="M79" s="1951" t="s">
        <v>7375</v>
      </c>
      <c r="N79" s="1948" t="s">
        <v>7385</v>
      </c>
      <c r="O79" s="1922"/>
      <c r="P79" s="1922"/>
      <c r="Q79" s="1922"/>
      <c r="R79" s="1922"/>
      <c r="S79" s="1922"/>
      <c r="T79" s="1922"/>
      <c r="U79" s="1922"/>
      <c r="V79" s="1922"/>
      <c r="W79" s="1922"/>
      <c r="X79" s="1922"/>
      <c r="Y79" s="1922"/>
      <c r="Z79" s="1922"/>
      <c r="AA79" s="1922"/>
      <c r="AB79" s="1922"/>
    </row>
    <row r="80" spans="1:28" customFormat="1">
      <c r="A80" s="1947" t="s">
        <v>7430</v>
      </c>
      <c r="B80" s="1951" t="s">
        <v>7431</v>
      </c>
      <c r="C80" s="1951" t="s">
        <v>6000</v>
      </c>
      <c r="D80" s="1951" t="s">
        <v>7341</v>
      </c>
      <c r="E80" s="1951" t="s">
        <v>298</v>
      </c>
      <c r="F80" s="1951" t="s">
        <v>309</v>
      </c>
      <c r="G80" s="1951" t="s">
        <v>332</v>
      </c>
      <c r="H80" s="1951" t="s">
        <v>7360</v>
      </c>
      <c r="I80" s="1951" t="s">
        <v>7365</v>
      </c>
      <c r="J80" s="1951" t="s">
        <v>7368</v>
      </c>
      <c r="K80" s="1951" t="s">
        <v>7372</v>
      </c>
      <c r="L80" s="1951" t="s">
        <v>7378</v>
      </c>
      <c r="M80" s="1951" t="s">
        <v>7381</v>
      </c>
      <c r="N80" s="1948" t="s">
        <v>7379</v>
      </c>
      <c r="O80" s="1922"/>
      <c r="P80" s="1922"/>
      <c r="Q80" s="1922"/>
      <c r="R80" s="1922"/>
      <c r="S80" s="1922"/>
      <c r="T80" s="1922"/>
      <c r="U80" s="1922"/>
      <c r="V80" s="1922"/>
      <c r="W80" s="1922"/>
      <c r="X80" s="1922"/>
      <c r="Y80" s="1922"/>
      <c r="Z80" s="1922"/>
      <c r="AA80" s="1922"/>
      <c r="AB80" s="1922"/>
    </row>
    <row r="81" spans="1:28" customFormat="1">
      <c r="A81" s="1947" t="s">
        <v>7431</v>
      </c>
      <c r="B81" s="1951" t="s">
        <v>7432</v>
      </c>
      <c r="C81" s="1951" t="s">
        <v>287</v>
      </c>
      <c r="D81" s="1951" t="s">
        <v>292</v>
      </c>
      <c r="E81" s="1951" t="s">
        <v>304</v>
      </c>
      <c r="F81" s="1951" t="s">
        <v>320</v>
      </c>
      <c r="G81" s="1951" t="s">
        <v>343</v>
      </c>
      <c r="H81" s="1951" t="s">
        <v>7363</v>
      </c>
      <c r="I81" s="1951" t="s">
        <v>7367</v>
      </c>
      <c r="J81" s="1951" t="s">
        <v>7370</v>
      </c>
      <c r="K81" s="1951" t="s">
        <v>7374</v>
      </c>
      <c r="L81" s="1951" t="s">
        <v>7375</v>
      </c>
      <c r="M81" s="1951" t="s">
        <v>7383</v>
      </c>
      <c r="N81" s="1948" t="s">
        <v>7426</v>
      </c>
      <c r="O81" s="1922"/>
      <c r="P81" s="1922"/>
      <c r="Q81" s="1922"/>
      <c r="R81" s="1922"/>
      <c r="S81" s="1922"/>
      <c r="T81" s="1922"/>
      <c r="U81" s="1922"/>
      <c r="V81" s="1922"/>
      <c r="W81" s="1922"/>
      <c r="X81" s="1922"/>
      <c r="Y81" s="1922"/>
      <c r="Z81" s="1922"/>
      <c r="AA81" s="1922"/>
      <c r="AB81" s="1922"/>
    </row>
    <row r="82" spans="1:28" customFormat="1">
      <c r="A82" s="1977" t="s">
        <v>7432</v>
      </c>
      <c r="B82" s="1954" t="s">
        <v>7384</v>
      </c>
      <c r="C82" s="1954" t="s">
        <v>7341</v>
      </c>
      <c r="D82" s="1954" t="s">
        <v>298</v>
      </c>
      <c r="E82" s="1954" t="s">
        <v>309</v>
      </c>
      <c r="F82" s="1954" t="s">
        <v>332</v>
      </c>
      <c r="G82" s="1954" t="s">
        <v>7360</v>
      </c>
      <c r="H82" s="1954" t="s">
        <v>7365</v>
      </c>
      <c r="I82" s="1954" t="s">
        <v>7368</v>
      </c>
      <c r="J82" s="1954" t="s">
        <v>7371</v>
      </c>
      <c r="K82" s="1954" t="s">
        <v>7376</v>
      </c>
      <c r="L82" s="1954" t="s">
        <v>7381</v>
      </c>
      <c r="M82" s="1954" t="s">
        <v>7385</v>
      </c>
      <c r="N82" s="1955" t="s">
        <v>7380</v>
      </c>
      <c r="O82" s="1922"/>
      <c r="P82" s="1922"/>
      <c r="Q82" s="1922"/>
      <c r="R82" s="1922"/>
      <c r="S82" s="1922"/>
      <c r="T82" s="1922"/>
      <c r="U82" s="1922"/>
      <c r="V82" s="1922"/>
      <c r="W82" s="1922"/>
      <c r="X82" s="1922"/>
      <c r="Y82" s="1922"/>
      <c r="Z82" s="1922"/>
      <c r="AA82" s="1922"/>
      <c r="AB82" s="1922"/>
    </row>
    <row r="83" spans="1:28" customFormat="1">
      <c r="A83" s="1980"/>
      <c r="B83" s="1980"/>
      <c r="C83" s="1980"/>
      <c r="D83" s="1980"/>
      <c r="E83" s="1980"/>
      <c r="F83" s="1980"/>
      <c r="G83" s="1980"/>
      <c r="H83" s="1980"/>
      <c r="I83" s="1980"/>
      <c r="J83" s="1980"/>
      <c r="K83" s="1980"/>
      <c r="L83" s="1980"/>
      <c r="M83" s="1980"/>
      <c r="N83" s="1980"/>
      <c r="O83" s="1922"/>
      <c r="P83" s="1922"/>
      <c r="Q83" s="1922"/>
      <c r="R83" s="1922"/>
      <c r="S83" s="1922"/>
      <c r="T83" s="1922"/>
      <c r="U83" s="1922"/>
      <c r="V83" s="1922"/>
      <c r="W83" s="1922"/>
      <c r="X83" s="1922"/>
      <c r="Y83" s="1922"/>
      <c r="Z83" s="1922"/>
      <c r="AA83" s="1922"/>
      <c r="AB83" s="1922"/>
    </row>
    <row r="84" spans="1:28" customFormat="1">
      <c r="A84" s="1980"/>
      <c r="B84" s="1980"/>
      <c r="C84" s="1980"/>
      <c r="D84" s="1980"/>
      <c r="E84" s="1980"/>
      <c r="F84" s="1980"/>
      <c r="G84" s="1980"/>
      <c r="H84" s="1980"/>
      <c r="I84" s="1980"/>
      <c r="J84" s="1980"/>
      <c r="K84" s="1980"/>
      <c r="L84" s="1980"/>
      <c r="M84" s="1980"/>
      <c r="N84" s="1922"/>
      <c r="O84" s="1922"/>
      <c r="P84" s="1922"/>
      <c r="Q84" s="1922"/>
      <c r="R84" s="1922"/>
      <c r="S84" s="1922"/>
      <c r="T84" s="1922"/>
      <c r="U84" s="1922"/>
      <c r="V84" s="1922"/>
      <c r="W84" s="1922"/>
      <c r="X84" s="1922"/>
      <c r="Y84" s="1922"/>
      <c r="Z84" s="1922"/>
      <c r="AA84" s="1922"/>
      <c r="AB84" s="1922"/>
    </row>
    <row r="85" spans="1:28" customFormat="1">
      <c r="A85" s="1980"/>
      <c r="B85" s="1980"/>
      <c r="C85" s="1980"/>
      <c r="D85" s="1980"/>
      <c r="E85" s="1980"/>
      <c r="F85" s="1980"/>
      <c r="G85" s="1980"/>
      <c r="H85" s="1980"/>
      <c r="I85" s="1980"/>
      <c r="J85" s="1980"/>
      <c r="K85" s="1980"/>
      <c r="L85" s="1980"/>
      <c r="M85" s="1980"/>
      <c r="N85" s="1922"/>
      <c r="O85" s="1922"/>
      <c r="P85" s="1922"/>
      <c r="Q85" s="1922"/>
      <c r="R85" s="1922"/>
      <c r="S85" s="1922"/>
      <c r="T85" s="1922"/>
      <c r="U85" s="1922"/>
      <c r="V85" s="1922"/>
      <c r="W85" s="1922"/>
      <c r="X85" s="1922"/>
      <c r="Y85" s="1922"/>
      <c r="Z85" s="1922"/>
      <c r="AA85" s="1922"/>
      <c r="AB85" s="1922"/>
    </row>
    <row r="86" spans="1:28" customFormat="1">
      <c r="A86" s="3612" t="s">
        <v>7329</v>
      </c>
      <c r="B86" s="3613"/>
      <c r="C86" s="3613"/>
      <c r="D86" s="3613"/>
      <c r="E86" s="3613"/>
      <c r="F86" s="3613"/>
      <c r="G86" s="3613"/>
      <c r="H86" s="3613"/>
      <c r="I86" s="3613"/>
      <c r="J86" s="3613"/>
      <c r="K86" s="3613"/>
      <c r="L86" s="3613"/>
      <c r="M86" s="3613"/>
      <c r="N86" s="3613"/>
      <c r="O86" s="1922"/>
      <c r="P86" s="1922"/>
      <c r="Q86" s="1922"/>
      <c r="R86" s="1922"/>
      <c r="S86" s="1922"/>
      <c r="T86" s="1922"/>
      <c r="U86" s="1922"/>
      <c r="V86" s="1922"/>
      <c r="W86" s="1922"/>
      <c r="X86" s="1922"/>
      <c r="Y86" s="1922"/>
      <c r="Z86" s="1922"/>
      <c r="AA86" s="1922"/>
      <c r="AB86" s="1922"/>
    </row>
    <row r="87" spans="1:28" customFormat="1">
      <c r="A87" s="3612" t="s">
        <v>7433</v>
      </c>
      <c r="B87" s="3613"/>
      <c r="C87" s="3613"/>
      <c r="D87" s="3613"/>
      <c r="E87" s="3613"/>
      <c r="F87" s="3613"/>
      <c r="G87" s="3613"/>
      <c r="H87" s="3613"/>
      <c r="I87" s="3613"/>
      <c r="J87" s="3613"/>
      <c r="K87" s="3613"/>
      <c r="L87" s="3613"/>
      <c r="M87" s="3613"/>
      <c r="N87" s="3613"/>
      <c r="O87" s="1922"/>
      <c r="P87" s="1922"/>
      <c r="Q87" s="1922"/>
      <c r="R87" s="1922"/>
      <c r="S87" s="1922"/>
      <c r="T87" s="1922"/>
      <c r="U87" s="1922"/>
      <c r="V87" s="1922"/>
      <c r="W87" s="1922"/>
      <c r="X87" s="1922"/>
      <c r="Y87" s="1922"/>
      <c r="Z87" s="1922"/>
      <c r="AA87" s="1922"/>
      <c r="AB87" s="1922"/>
    </row>
    <row r="88" spans="1:28" customFormat="1">
      <c r="A88" s="3614" t="s">
        <v>7434</v>
      </c>
      <c r="B88" s="3615"/>
      <c r="C88" s="3616" t="s">
        <v>7435</v>
      </c>
      <c r="D88" s="3615"/>
      <c r="E88" s="3616" t="s">
        <v>7436</v>
      </c>
      <c r="F88" s="3615"/>
      <c r="G88" s="3616" t="s">
        <v>7437</v>
      </c>
      <c r="H88" s="3615"/>
      <c r="I88" s="3616" t="s">
        <v>7438</v>
      </c>
      <c r="J88" s="3615"/>
      <c r="K88" s="3616" t="s">
        <v>7439</v>
      </c>
      <c r="L88" s="3615"/>
      <c r="M88" s="3616" t="s">
        <v>7440</v>
      </c>
      <c r="N88" s="3617"/>
      <c r="O88" s="1922"/>
      <c r="P88" s="1922"/>
      <c r="Q88" s="3368" t="s">
        <v>12710</v>
      </c>
      <c r="R88" s="3368"/>
      <c r="S88" s="1922"/>
      <c r="T88" s="1922"/>
      <c r="U88" s="1922"/>
      <c r="V88" s="1922"/>
      <c r="W88" s="1922"/>
      <c r="X88" s="1922"/>
      <c r="Y88" s="1922"/>
      <c r="Z88" s="1922"/>
      <c r="AA88" s="1922"/>
      <c r="AB88" s="1922"/>
    </row>
    <row r="89" spans="1:28" customFormat="1">
      <c r="A89" s="3618" t="s">
        <v>6556</v>
      </c>
      <c r="B89" s="3619"/>
      <c r="C89" s="3620" t="s">
        <v>7441</v>
      </c>
      <c r="D89" s="3619"/>
      <c r="E89" s="3620" t="s">
        <v>7347</v>
      </c>
      <c r="F89" s="3619"/>
      <c r="G89" s="3620" t="s">
        <v>7349</v>
      </c>
      <c r="H89" s="3619"/>
      <c r="I89" s="3620" t="s">
        <v>7346</v>
      </c>
      <c r="J89" s="3619"/>
      <c r="K89" s="3620" t="s">
        <v>7361</v>
      </c>
      <c r="L89" s="3619"/>
      <c r="M89" s="3620" t="s">
        <v>7348</v>
      </c>
      <c r="N89" s="3621"/>
      <c r="O89" s="1922"/>
      <c r="P89" s="1922"/>
      <c r="Q89" s="1922"/>
      <c r="R89" s="1922"/>
      <c r="S89" s="1922"/>
      <c r="T89" s="1922"/>
      <c r="U89" s="1922"/>
      <c r="V89" s="1922"/>
      <c r="W89" s="1922"/>
      <c r="X89" s="1922"/>
      <c r="Y89" s="1922"/>
      <c r="Z89" s="1922"/>
      <c r="AA89" s="1922"/>
      <c r="AB89" s="1922"/>
    </row>
    <row r="90" spans="1:28" customFormat="1">
      <c r="A90" s="3618" t="s">
        <v>6163</v>
      </c>
      <c r="B90" s="3619"/>
      <c r="C90" s="3620" t="s">
        <v>7347</v>
      </c>
      <c r="D90" s="3619"/>
      <c r="E90" s="3620" t="s">
        <v>7349</v>
      </c>
      <c r="F90" s="3619"/>
      <c r="G90" s="3620" t="s">
        <v>7346</v>
      </c>
      <c r="H90" s="3619"/>
      <c r="I90" s="3620" t="s">
        <v>7348</v>
      </c>
      <c r="J90" s="3619"/>
      <c r="K90" s="3620" t="s">
        <v>7362</v>
      </c>
      <c r="L90" s="3619"/>
      <c r="M90" s="3620" t="s">
        <v>7350</v>
      </c>
      <c r="N90" s="3621"/>
      <c r="O90" s="1922"/>
      <c r="P90" s="1922"/>
      <c r="Q90" s="1922"/>
      <c r="R90" s="1922"/>
      <c r="S90" s="1922"/>
      <c r="T90" s="1922"/>
      <c r="U90" s="1922"/>
      <c r="V90" s="1922"/>
      <c r="W90" s="1922"/>
      <c r="X90" s="1922"/>
      <c r="Y90" s="1922"/>
      <c r="Z90" s="1922"/>
      <c r="AA90" s="1922"/>
      <c r="AB90" s="1922"/>
    </row>
    <row r="91" spans="1:28" customFormat="1">
      <c r="A91" s="3622" t="s">
        <v>6492</v>
      </c>
      <c r="B91" s="3623"/>
      <c r="C91" s="3624" t="s">
        <v>7349</v>
      </c>
      <c r="D91" s="3623"/>
      <c r="E91" s="3624" t="s">
        <v>7346</v>
      </c>
      <c r="F91" s="3623"/>
      <c r="G91" s="3624" t="s">
        <v>7348</v>
      </c>
      <c r="H91" s="3623"/>
      <c r="I91" s="3624" t="s">
        <v>7350</v>
      </c>
      <c r="J91" s="3623"/>
      <c r="K91" s="3624" t="s">
        <v>7351</v>
      </c>
      <c r="L91" s="3623"/>
      <c r="M91" s="3624" t="s">
        <v>7352</v>
      </c>
      <c r="N91" s="3625"/>
      <c r="O91" s="1922"/>
      <c r="P91" s="1922"/>
      <c r="Q91" s="1922"/>
      <c r="R91" s="1922"/>
      <c r="S91" s="1922"/>
      <c r="T91" s="1922"/>
      <c r="U91" s="1922"/>
      <c r="V91" s="1922"/>
      <c r="W91" s="1922"/>
      <c r="X91" s="1922"/>
      <c r="Y91" s="1922"/>
      <c r="Z91" s="1922"/>
      <c r="AA91" s="1922"/>
      <c r="AB91" s="1922"/>
    </row>
    <row r="92" spans="1:28" customFormat="1">
      <c r="A92" s="3626" t="s">
        <v>7442</v>
      </c>
      <c r="B92" s="3627"/>
      <c r="C92" s="3627"/>
      <c r="D92" s="3627"/>
      <c r="E92" s="3627"/>
      <c r="F92" s="3627"/>
      <c r="G92" s="3627"/>
      <c r="H92" s="3627"/>
      <c r="I92" s="3627"/>
      <c r="J92" s="3627"/>
      <c r="K92" s="3627"/>
      <c r="L92" s="3627"/>
      <c r="M92" s="3627"/>
      <c r="N92" s="3627"/>
      <c r="O92" s="1922"/>
      <c r="P92" s="1922"/>
      <c r="Q92" s="1922"/>
      <c r="R92" s="1922"/>
      <c r="S92" s="1922"/>
      <c r="T92" s="1922"/>
      <c r="U92" s="1922"/>
      <c r="V92" s="1922"/>
      <c r="W92" s="1922"/>
      <c r="X92" s="1922"/>
      <c r="Y92" s="1922"/>
      <c r="Z92" s="1922"/>
      <c r="AA92" s="1922"/>
      <c r="AB92" s="1922"/>
    </row>
    <row r="93" spans="1:28" customFormat="1">
      <c r="A93" s="3614" t="s">
        <v>7434</v>
      </c>
      <c r="B93" s="3615"/>
      <c r="C93" s="3616" t="s">
        <v>7443</v>
      </c>
      <c r="D93" s="3615"/>
      <c r="E93" s="3615"/>
      <c r="F93" s="3616" t="s">
        <v>7444</v>
      </c>
      <c r="G93" s="3615"/>
      <c r="H93" s="3615"/>
      <c r="I93" s="3616" t="s">
        <v>7439</v>
      </c>
      <c r="J93" s="3615"/>
      <c r="K93" s="3615"/>
      <c r="L93" s="3616" t="s">
        <v>7440</v>
      </c>
      <c r="M93" s="3615"/>
      <c r="N93" s="3617"/>
      <c r="O93" s="1922"/>
      <c r="P93" s="1922"/>
      <c r="Q93" s="1922"/>
      <c r="R93" s="1922"/>
      <c r="S93" s="1922"/>
      <c r="T93" s="1922"/>
      <c r="U93" s="1922"/>
      <c r="V93" s="1922"/>
      <c r="W93" s="1922"/>
      <c r="X93" s="1922"/>
      <c r="Y93" s="1922"/>
      <c r="Z93" s="1922"/>
      <c r="AA93" s="1922"/>
      <c r="AB93" s="1922"/>
    </row>
    <row r="94" spans="1:28" customFormat="1">
      <c r="A94" s="3618" t="s">
        <v>6556</v>
      </c>
      <c r="B94" s="3619"/>
      <c r="C94" s="3620" t="s">
        <v>7346</v>
      </c>
      <c r="D94" s="3619"/>
      <c r="E94" s="3619"/>
      <c r="F94" s="3620" t="s">
        <v>7361</v>
      </c>
      <c r="G94" s="3619"/>
      <c r="H94" s="3619"/>
      <c r="I94" s="3620" t="s">
        <v>7348</v>
      </c>
      <c r="J94" s="3619"/>
      <c r="K94" s="3619"/>
      <c r="L94" s="3620" t="s">
        <v>7357</v>
      </c>
      <c r="M94" s="3619"/>
      <c r="N94" s="3621"/>
      <c r="O94" s="1922"/>
      <c r="P94" s="1922"/>
      <c r="Q94" s="1922"/>
      <c r="R94" s="1922"/>
      <c r="S94" s="1922"/>
      <c r="T94" s="1922"/>
      <c r="U94" s="1922"/>
      <c r="V94" s="1922"/>
      <c r="W94" s="1922"/>
      <c r="X94" s="1922"/>
      <c r="Y94" s="1922"/>
      <c r="Z94" s="1922"/>
      <c r="AA94" s="1922"/>
      <c r="AB94" s="1922"/>
    </row>
    <row r="95" spans="1:28" customFormat="1">
      <c r="A95" s="3618" t="s">
        <v>6163</v>
      </c>
      <c r="B95" s="3619"/>
      <c r="C95" s="3620" t="s">
        <v>7348</v>
      </c>
      <c r="D95" s="3619"/>
      <c r="E95" s="3619"/>
      <c r="F95" s="3620" t="s">
        <v>7362</v>
      </c>
      <c r="G95" s="3619"/>
      <c r="H95" s="3619"/>
      <c r="I95" s="3620" t="s">
        <v>7350</v>
      </c>
      <c r="J95" s="3619"/>
      <c r="K95" s="3619"/>
      <c r="L95" s="3620" t="s">
        <v>6704</v>
      </c>
      <c r="M95" s="3619"/>
      <c r="N95" s="3621"/>
      <c r="O95" s="1922"/>
      <c r="P95" s="1922"/>
      <c r="Q95" s="1922"/>
      <c r="R95" s="1922"/>
      <c r="S95" s="1922"/>
      <c r="T95" s="1922"/>
      <c r="U95" s="1922"/>
      <c r="V95" s="1922"/>
      <c r="W95" s="1922"/>
      <c r="X95" s="1922"/>
      <c r="Y95" s="1922"/>
      <c r="Z95" s="1922"/>
      <c r="AA95" s="1922"/>
      <c r="AB95" s="1922"/>
    </row>
    <row r="96" spans="1:28" customFormat="1">
      <c r="A96" s="3622" t="s">
        <v>6492</v>
      </c>
      <c r="B96" s="3623"/>
      <c r="C96" s="3624" t="s">
        <v>7362</v>
      </c>
      <c r="D96" s="3623"/>
      <c r="E96" s="3623"/>
      <c r="F96" s="3624" t="s">
        <v>6704</v>
      </c>
      <c r="G96" s="3623"/>
      <c r="H96" s="3623"/>
      <c r="I96" s="3624" t="s">
        <v>7358</v>
      </c>
      <c r="J96" s="3623"/>
      <c r="K96" s="3623"/>
      <c r="L96" s="3624" t="s">
        <v>7334</v>
      </c>
      <c r="M96" s="3623"/>
      <c r="N96" s="3625"/>
      <c r="O96" s="1922"/>
      <c r="P96" s="1922"/>
      <c r="Q96" s="1922"/>
      <c r="R96" s="1922"/>
      <c r="S96" s="1922"/>
      <c r="T96" s="1922"/>
      <c r="U96" s="1922"/>
      <c r="V96" s="1922"/>
      <c r="W96" s="1922"/>
      <c r="X96" s="1922"/>
      <c r="Y96" s="1922"/>
      <c r="Z96" s="1922"/>
      <c r="AA96" s="1922"/>
      <c r="AB96" s="1922"/>
    </row>
    <row r="97" spans="1:28" customFormat="1">
      <c r="A97" s="3626" t="s">
        <v>7445</v>
      </c>
      <c r="B97" s="3627"/>
      <c r="C97" s="3627"/>
      <c r="D97" s="3627"/>
      <c r="E97" s="3627"/>
      <c r="F97" s="3627"/>
      <c r="G97" s="3627"/>
      <c r="H97" s="3627"/>
      <c r="I97" s="3627"/>
      <c r="J97" s="3627"/>
      <c r="K97" s="3627"/>
      <c r="L97" s="3627"/>
      <c r="M97" s="3627"/>
      <c r="N97" s="3627"/>
      <c r="O97" s="1922"/>
      <c r="P97" s="1922"/>
      <c r="Q97" s="1922"/>
      <c r="R97" s="1922"/>
      <c r="S97" s="1922"/>
      <c r="T97" s="1922"/>
      <c r="U97" s="1922"/>
      <c r="V97" s="1922"/>
      <c r="W97" s="1922"/>
      <c r="X97" s="1922"/>
      <c r="Y97" s="1922"/>
      <c r="Z97" s="1922"/>
      <c r="AA97" s="1922"/>
      <c r="AB97" s="1922"/>
    </row>
    <row r="98" spans="1:28" customFormat="1">
      <c r="A98" s="3614" t="s">
        <v>7434</v>
      </c>
      <c r="B98" s="3615"/>
      <c r="C98" s="3616" t="s">
        <v>7443</v>
      </c>
      <c r="D98" s="3615"/>
      <c r="E98" s="3615"/>
      <c r="F98" s="3616" t="s">
        <v>7444</v>
      </c>
      <c r="G98" s="3615"/>
      <c r="H98" s="3615"/>
      <c r="I98" s="3616" t="s">
        <v>7439</v>
      </c>
      <c r="J98" s="3615"/>
      <c r="K98" s="3615"/>
      <c r="L98" s="3616" t="s">
        <v>7440</v>
      </c>
      <c r="M98" s="3615"/>
      <c r="N98" s="3617"/>
      <c r="O98" s="1922"/>
      <c r="P98" s="1922"/>
      <c r="Q98" s="1922"/>
      <c r="R98" s="1922"/>
      <c r="S98" s="1922"/>
      <c r="T98" s="1922"/>
      <c r="U98" s="1922"/>
      <c r="V98" s="1922"/>
      <c r="W98" s="1922"/>
      <c r="X98" s="1922"/>
      <c r="Y98" s="1922"/>
      <c r="Z98" s="1922"/>
      <c r="AA98" s="1922"/>
      <c r="AB98" s="1922"/>
    </row>
    <row r="99" spans="1:28" customFormat="1">
      <c r="A99" s="3618" t="s">
        <v>6556</v>
      </c>
      <c r="B99" s="3619"/>
      <c r="C99" s="3598" t="s">
        <v>7357</v>
      </c>
      <c r="D99" s="3601"/>
      <c r="E99" s="3601"/>
      <c r="F99" s="3601"/>
      <c r="G99" s="3601"/>
      <c r="H99" s="3601"/>
      <c r="I99" s="3601"/>
      <c r="J99" s="3601"/>
      <c r="K99" s="3601"/>
      <c r="L99" s="3601"/>
      <c r="M99" s="3601"/>
      <c r="N99" s="3628"/>
      <c r="O99" s="1922"/>
      <c r="P99" s="1922"/>
      <c r="Q99" s="1922"/>
      <c r="R99" s="1922"/>
      <c r="S99" s="1922"/>
      <c r="T99" s="1922"/>
      <c r="U99" s="1922"/>
      <c r="V99" s="1922"/>
      <c r="W99" s="1922"/>
      <c r="X99" s="1922"/>
      <c r="Y99" s="1922"/>
      <c r="Z99" s="1922"/>
      <c r="AA99" s="1922"/>
      <c r="AB99" s="1922"/>
    </row>
    <row r="100" spans="1:28" customFormat="1">
      <c r="A100" s="3618" t="s">
        <v>6163</v>
      </c>
      <c r="B100" s="3619"/>
      <c r="C100" s="3598" t="s">
        <v>7362</v>
      </c>
      <c r="D100" s="3601"/>
      <c r="E100" s="3601"/>
      <c r="F100" s="3601"/>
      <c r="G100" s="3601"/>
      <c r="H100" s="3600"/>
      <c r="I100" s="3620" t="s">
        <v>7350</v>
      </c>
      <c r="J100" s="3619"/>
      <c r="K100" s="3619"/>
      <c r="L100" s="3620" t="s">
        <v>6704</v>
      </c>
      <c r="M100" s="3619"/>
      <c r="N100" s="3621"/>
      <c r="O100" s="1922"/>
      <c r="P100" s="1922"/>
      <c r="Q100" s="1922"/>
      <c r="R100" s="1922"/>
      <c r="S100" s="1922"/>
      <c r="T100" s="1922"/>
      <c r="U100" s="1922"/>
      <c r="V100" s="1922"/>
      <c r="W100" s="1922"/>
      <c r="X100" s="1922"/>
      <c r="Y100" s="1922"/>
      <c r="Z100" s="1922"/>
      <c r="AA100" s="1922"/>
      <c r="AB100" s="1922"/>
    </row>
    <row r="101" spans="1:28" customFormat="1">
      <c r="A101" s="3622" t="s">
        <v>6492</v>
      </c>
      <c r="B101" s="3623"/>
      <c r="C101" s="3624" t="s">
        <v>7362</v>
      </c>
      <c r="D101" s="3623"/>
      <c r="E101" s="3623"/>
      <c r="F101" s="3624" t="s">
        <v>6704</v>
      </c>
      <c r="G101" s="3623"/>
      <c r="H101" s="3623"/>
      <c r="I101" s="3624" t="s">
        <v>7358</v>
      </c>
      <c r="J101" s="3623"/>
      <c r="K101" s="3623"/>
      <c r="L101" s="3624" t="s">
        <v>7334</v>
      </c>
      <c r="M101" s="3623"/>
      <c r="N101" s="3625"/>
      <c r="O101" s="1922"/>
      <c r="P101" s="1922"/>
      <c r="Q101" s="1922"/>
      <c r="R101" s="1922"/>
      <c r="S101" s="1922"/>
      <c r="T101" s="1922"/>
      <c r="U101" s="1922"/>
      <c r="V101" s="1922"/>
      <c r="W101" s="1922"/>
      <c r="X101" s="1922"/>
      <c r="Y101" s="1922"/>
      <c r="Z101" s="1922"/>
      <c r="AA101" s="1922"/>
      <c r="AB101" s="1922"/>
    </row>
    <row r="102" spans="1:28" customFormat="1">
      <c r="A102" s="3626" t="s">
        <v>7446</v>
      </c>
      <c r="B102" s="3627"/>
      <c r="C102" s="3627"/>
      <c r="D102" s="3627"/>
      <c r="E102" s="3627"/>
      <c r="F102" s="3627"/>
      <c r="G102" s="3627"/>
      <c r="H102" s="3627"/>
      <c r="I102" s="3627"/>
      <c r="J102" s="3627"/>
      <c r="K102" s="3627"/>
      <c r="L102" s="3627"/>
      <c r="M102" s="3627"/>
      <c r="N102" s="3627"/>
      <c r="O102" s="1922"/>
      <c r="P102" s="1922"/>
      <c r="Q102" s="1922"/>
      <c r="R102" s="1922"/>
      <c r="S102" s="1922"/>
      <c r="T102" s="1922"/>
      <c r="U102" s="1922"/>
      <c r="V102" s="1922"/>
      <c r="W102" s="1922"/>
      <c r="X102" s="1922"/>
      <c r="Y102" s="1922"/>
      <c r="Z102" s="1922"/>
      <c r="AA102" s="1922"/>
      <c r="AB102" s="1922"/>
    </row>
    <row r="103" spans="1:28" customFormat="1">
      <c r="A103" s="3614" t="s">
        <v>7434</v>
      </c>
      <c r="B103" s="3615"/>
      <c r="C103" s="3592" t="s">
        <v>7447</v>
      </c>
      <c r="D103" s="3594"/>
      <c r="E103" s="3594"/>
      <c r="F103" s="3594"/>
      <c r="G103" s="3594"/>
      <c r="H103" s="3594"/>
      <c r="I103" s="3594"/>
      <c r="J103" s="3594"/>
      <c r="K103" s="3594"/>
      <c r="L103" s="3594"/>
      <c r="M103" s="3594"/>
      <c r="N103" s="3629"/>
      <c r="O103" s="1922"/>
      <c r="P103" s="1922"/>
      <c r="Q103" s="1922"/>
      <c r="R103" s="1922"/>
      <c r="S103" s="1922"/>
      <c r="T103" s="1922"/>
      <c r="U103" s="1922"/>
      <c r="V103" s="1922"/>
      <c r="W103" s="1922"/>
      <c r="X103" s="1922"/>
      <c r="Y103" s="1922"/>
      <c r="Z103" s="1922"/>
      <c r="AA103" s="1922"/>
      <c r="AB103" s="1922"/>
    </row>
    <row r="104" spans="1:28" customFormat="1">
      <c r="A104" s="3618" t="s">
        <v>6556</v>
      </c>
      <c r="B104" s="3619"/>
      <c r="C104" s="3598" t="s">
        <v>7349</v>
      </c>
      <c r="D104" s="3601"/>
      <c r="E104" s="3601"/>
      <c r="F104" s="3601"/>
      <c r="G104" s="3601"/>
      <c r="H104" s="3601"/>
      <c r="I104" s="3601"/>
      <c r="J104" s="3601"/>
      <c r="K104" s="3601"/>
      <c r="L104" s="3601"/>
      <c r="M104" s="3601"/>
      <c r="N104" s="3628"/>
      <c r="O104" s="1922"/>
      <c r="P104" s="1922"/>
      <c r="Q104" s="1922"/>
      <c r="R104" s="1922"/>
      <c r="S104" s="1922"/>
      <c r="T104" s="1922"/>
      <c r="U104" s="1922"/>
      <c r="V104" s="1922"/>
      <c r="W104" s="1922"/>
      <c r="X104" s="1922"/>
      <c r="Y104" s="1922"/>
      <c r="Z104" s="1922"/>
      <c r="AA104" s="1922"/>
      <c r="AB104" s="1922"/>
    </row>
    <row r="105" spans="1:28" customFormat="1">
      <c r="A105" s="3618" t="s">
        <v>6163</v>
      </c>
      <c r="B105" s="3619"/>
      <c r="C105" s="3598" t="s">
        <v>7346</v>
      </c>
      <c r="D105" s="3601"/>
      <c r="E105" s="3601"/>
      <c r="F105" s="3601"/>
      <c r="G105" s="3601"/>
      <c r="H105" s="3601"/>
      <c r="I105" s="3601"/>
      <c r="J105" s="3601"/>
      <c r="K105" s="3601"/>
      <c r="L105" s="3601"/>
      <c r="M105" s="3601"/>
      <c r="N105" s="3628"/>
      <c r="O105" s="1922"/>
      <c r="P105" s="1922"/>
      <c r="Q105" s="1922"/>
      <c r="R105" s="1922"/>
      <c r="S105" s="1922"/>
      <c r="T105" s="1922"/>
      <c r="U105" s="1922"/>
      <c r="V105" s="1922"/>
      <c r="W105" s="1922"/>
      <c r="X105" s="1922"/>
      <c r="Y105" s="1922"/>
      <c r="Z105" s="1922"/>
      <c r="AA105" s="1922"/>
      <c r="AB105" s="1922"/>
    </row>
    <row r="106" spans="1:28" customFormat="1">
      <c r="A106" s="3622" t="s">
        <v>6492</v>
      </c>
      <c r="B106" s="3623"/>
      <c r="C106" s="3630" t="s">
        <v>7357</v>
      </c>
      <c r="D106" s="3631"/>
      <c r="E106" s="3631"/>
      <c r="F106" s="3631"/>
      <c r="G106" s="3631"/>
      <c r="H106" s="3631"/>
      <c r="I106" s="3631"/>
      <c r="J106" s="3631"/>
      <c r="K106" s="3631"/>
      <c r="L106" s="3631"/>
      <c r="M106" s="3631"/>
      <c r="N106" s="3632"/>
      <c r="O106" s="1922"/>
      <c r="P106" s="1922"/>
      <c r="Q106" s="1922"/>
      <c r="R106" s="1922"/>
      <c r="S106" s="1922"/>
      <c r="T106" s="1922"/>
      <c r="U106" s="1922"/>
      <c r="V106" s="1922"/>
      <c r="W106" s="1922"/>
      <c r="X106" s="1922"/>
      <c r="Y106" s="1922"/>
      <c r="Z106" s="1922"/>
      <c r="AA106" s="1922"/>
      <c r="AB106" s="1922"/>
    </row>
  </sheetData>
  <mergeCells count="164">
    <mergeCell ref="Y6:Y8"/>
    <mergeCell ref="Y9:Y12"/>
    <mergeCell ref="Y13:Y16"/>
    <mergeCell ref="Y17:Y21"/>
    <mergeCell ref="Q24:R24"/>
    <mergeCell ref="Q42:R42"/>
    <mergeCell ref="Q63:R63"/>
    <mergeCell ref="Q88:R88"/>
    <mergeCell ref="S17:S21"/>
    <mergeCell ref="U6:U8"/>
    <mergeCell ref="U9:U12"/>
    <mergeCell ref="U13:U16"/>
    <mergeCell ref="U17:U21"/>
    <mergeCell ref="W6:W8"/>
    <mergeCell ref="W9:W12"/>
    <mergeCell ref="W13:W16"/>
    <mergeCell ref="W17:W21"/>
    <mergeCell ref="A105:B105"/>
    <mergeCell ref="C105:N105"/>
    <mergeCell ref="A106:B106"/>
    <mergeCell ref="C106:N106"/>
    <mergeCell ref="C6:C8"/>
    <mergeCell ref="C9:C12"/>
    <mergeCell ref="C13:C16"/>
    <mergeCell ref="C17:C21"/>
    <mergeCell ref="E6:E8"/>
    <mergeCell ref="E9:E12"/>
    <mergeCell ref="E13:E16"/>
    <mergeCell ref="E17:E21"/>
    <mergeCell ref="G6:G8"/>
    <mergeCell ref="G9:G12"/>
    <mergeCell ref="G13:G16"/>
    <mergeCell ref="G17:G21"/>
    <mergeCell ref="I6:I8"/>
    <mergeCell ref="I9:I12"/>
    <mergeCell ref="I13:I16"/>
    <mergeCell ref="I17:I21"/>
    <mergeCell ref="K6:K8"/>
    <mergeCell ref="K9:K12"/>
    <mergeCell ref="K13:K16"/>
    <mergeCell ref="K17:K21"/>
    <mergeCell ref="A101:B101"/>
    <mergeCell ref="C101:E101"/>
    <mergeCell ref="F101:H101"/>
    <mergeCell ref="I101:K101"/>
    <mergeCell ref="L101:N101"/>
    <mergeCell ref="A102:N102"/>
    <mergeCell ref="A103:B103"/>
    <mergeCell ref="C103:N103"/>
    <mergeCell ref="A104:B104"/>
    <mergeCell ref="C104:N104"/>
    <mergeCell ref="A97:N97"/>
    <mergeCell ref="A98:B98"/>
    <mergeCell ref="C98:E98"/>
    <mergeCell ref="F98:H98"/>
    <mergeCell ref="I98:K98"/>
    <mergeCell ref="L98:N98"/>
    <mergeCell ref="A99:B99"/>
    <mergeCell ref="C99:N99"/>
    <mergeCell ref="A100:B100"/>
    <mergeCell ref="C100:H100"/>
    <mergeCell ref="I100:K100"/>
    <mergeCell ref="L100:N100"/>
    <mergeCell ref="A95:B95"/>
    <mergeCell ref="C95:E95"/>
    <mergeCell ref="F95:H95"/>
    <mergeCell ref="I95:K95"/>
    <mergeCell ref="L95:N95"/>
    <mergeCell ref="A96:B96"/>
    <mergeCell ref="C96:E96"/>
    <mergeCell ref="F96:H96"/>
    <mergeCell ref="I96:K96"/>
    <mergeCell ref="L96:N96"/>
    <mergeCell ref="A92:N92"/>
    <mergeCell ref="A93:B93"/>
    <mergeCell ref="C93:E93"/>
    <mergeCell ref="F93:H93"/>
    <mergeCell ref="I93:K93"/>
    <mergeCell ref="L93:N93"/>
    <mergeCell ref="A94:B94"/>
    <mergeCell ref="C94:E94"/>
    <mergeCell ref="F94:H94"/>
    <mergeCell ref="I94:K94"/>
    <mergeCell ref="L94:N94"/>
    <mergeCell ref="A90:B90"/>
    <mergeCell ref="C90:D90"/>
    <mergeCell ref="E90:F90"/>
    <mergeCell ref="G90:H90"/>
    <mergeCell ref="I90:J90"/>
    <mergeCell ref="K90:L90"/>
    <mergeCell ref="M90:N90"/>
    <mergeCell ref="A91:B91"/>
    <mergeCell ref="C91:D91"/>
    <mergeCell ref="E91:F91"/>
    <mergeCell ref="G91:H91"/>
    <mergeCell ref="I91:J91"/>
    <mergeCell ref="K91:L91"/>
    <mergeCell ref="M91:N91"/>
    <mergeCell ref="A88:B88"/>
    <mergeCell ref="C88:D88"/>
    <mergeCell ref="E88:F88"/>
    <mergeCell ref="G88:H88"/>
    <mergeCell ref="I88:J88"/>
    <mergeCell ref="K88:L88"/>
    <mergeCell ref="M88:N88"/>
    <mergeCell ref="A89:B89"/>
    <mergeCell ref="C89:D89"/>
    <mergeCell ref="E89:F89"/>
    <mergeCell ref="G89:H89"/>
    <mergeCell ref="I89:J89"/>
    <mergeCell ref="K89:L89"/>
    <mergeCell ref="M89:N89"/>
    <mergeCell ref="A43:B43"/>
    <mergeCell ref="C44:N44"/>
    <mergeCell ref="A62:N62"/>
    <mergeCell ref="A63:B63"/>
    <mergeCell ref="C63:N63"/>
    <mergeCell ref="A64:B64"/>
    <mergeCell ref="C65:N65"/>
    <mergeCell ref="A86:N86"/>
    <mergeCell ref="A87:N87"/>
    <mergeCell ref="C5:Z5"/>
    <mergeCell ref="A23:N23"/>
    <mergeCell ref="A24:B24"/>
    <mergeCell ref="C24:O24"/>
    <mergeCell ref="A25:B25"/>
    <mergeCell ref="C26:O26"/>
    <mergeCell ref="A41:N41"/>
    <mergeCell ref="A42:B42"/>
    <mergeCell ref="C42:N42"/>
    <mergeCell ref="M6:M8"/>
    <mergeCell ref="M9:M12"/>
    <mergeCell ref="M13:M16"/>
    <mergeCell ref="M17:M21"/>
    <mergeCell ref="O6:O8"/>
    <mergeCell ref="O9:O12"/>
    <mergeCell ref="O13:O16"/>
    <mergeCell ref="O17:O21"/>
    <mergeCell ref="Q6:Q8"/>
    <mergeCell ref="Q9:Q12"/>
    <mergeCell ref="Q13:Q16"/>
    <mergeCell ref="Q17:Q21"/>
    <mergeCell ref="S6:S8"/>
    <mergeCell ref="S9:S12"/>
    <mergeCell ref="S13:S16"/>
    <mergeCell ref="A1:AB1"/>
    <mergeCell ref="A2:N2"/>
    <mergeCell ref="A3:B3"/>
    <mergeCell ref="C3:Z3"/>
    <mergeCell ref="AA3:AB3"/>
    <mergeCell ref="A4:B4"/>
    <mergeCell ref="C4:D4"/>
    <mergeCell ref="E4:F4"/>
    <mergeCell ref="G4:H4"/>
    <mergeCell ref="I4:J4"/>
    <mergeCell ref="K4:L4"/>
    <mergeCell ref="M4:N4"/>
    <mergeCell ref="O4:P4"/>
    <mergeCell ref="Q4:R4"/>
    <mergeCell ref="S4:T4"/>
    <mergeCell ref="U4:V4"/>
    <mergeCell ref="W4:X4"/>
    <mergeCell ref="Y4:Z4"/>
    <mergeCell ref="AA4:AB4"/>
  </mergeCells>
  <phoneticPr fontId="378" type="noConversion"/>
  <hyperlinks>
    <hyperlink ref="Q24:R24" location="总目录!A1" display="返回目录"/>
    <hyperlink ref="Q42:R42" location="总目录!A1" display="返回目录"/>
    <hyperlink ref="Q63:R63" location="总目录!A1" display="返回目录"/>
    <hyperlink ref="Q88:R88" location="总目录!A1" display="返回目录"/>
  </hyperlinks>
  <pageMargins left="0.75" right="0.75" top="1" bottom="1" header="0.50902777777777797" footer="0.50902777777777797"/>
  <pageSetup paperSize="9" orientation="portrait"/>
  <headerFooter scaleWithDoc="0"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83"/>
  <sheetViews>
    <sheetView topLeftCell="A22" workbookViewId="0">
      <selection activeCell="AI39" sqref="AI39:AJ39"/>
    </sheetView>
  </sheetViews>
  <sheetFormatPr defaultColWidth="9" defaultRowHeight="16.5"/>
  <cols>
    <col min="1" max="2" width="6.625" style="1922" customWidth="1"/>
    <col min="3" max="12" width="5.25" style="1922" customWidth="1"/>
    <col min="13" max="13" width="3.125" style="1922" customWidth="1"/>
    <col min="14" max="24" width="3.75" style="1922" customWidth="1"/>
    <col min="25" max="26" width="3.125" style="1922" customWidth="1"/>
    <col min="27" max="27" width="4.25" style="1922" customWidth="1"/>
    <col min="28" max="28" width="4.625" style="1922" customWidth="1"/>
    <col min="29" max="36" width="5.25" style="1922" customWidth="1"/>
    <col min="37" max="38" width="6.625" style="1922" customWidth="1"/>
    <col min="39" max="63" width="4.375" style="1922" customWidth="1"/>
    <col min="64" max="65" width="5.625" style="1922" customWidth="1"/>
    <col min="66" max="87" width="4.125" style="1922" customWidth="1"/>
    <col min="88" max="91" width="5.125" style="1922" customWidth="1"/>
    <col min="92" max="93" width="10.625" style="1922" customWidth="1"/>
    <col min="94" max="104" width="3.375" style="1922" customWidth="1"/>
    <col min="105" max="105" width="5.625" style="1922" customWidth="1"/>
    <col min="106" max="106" width="8" style="1922" customWidth="1"/>
    <col min="107" max="168" width="3.375" style="1922" customWidth="1"/>
    <col min="169" max="16384" width="9" style="1922"/>
  </cols>
  <sheetData>
    <row r="1" spans="1:110" customFormat="1">
      <c r="A1" s="3633" t="s">
        <v>7448</v>
      </c>
      <c r="B1" s="3626"/>
      <c r="C1" s="3626"/>
      <c r="D1" s="3626"/>
      <c r="E1" s="3626"/>
      <c r="F1" s="3626"/>
      <c r="G1" s="3626"/>
      <c r="H1" s="3626"/>
      <c r="I1" s="1922"/>
      <c r="J1" s="1922"/>
      <c r="K1" s="1922"/>
      <c r="L1" s="1922"/>
      <c r="M1" s="1922"/>
      <c r="N1" s="1922"/>
      <c r="O1" s="1922"/>
      <c r="P1" s="1922"/>
      <c r="Q1" s="1922"/>
      <c r="R1" s="1922"/>
      <c r="S1" s="1922"/>
      <c r="T1" s="1922"/>
      <c r="U1" s="1922"/>
      <c r="V1" s="1922"/>
      <c r="W1" s="1922"/>
      <c r="X1" s="1922"/>
      <c r="Y1" s="1922"/>
      <c r="Z1" s="1922"/>
      <c r="AA1" s="1922"/>
      <c r="AB1" s="1922"/>
      <c r="AC1" s="1922"/>
      <c r="AD1" s="1922"/>
      <c r="AE1" s="1922"/>
      <c r="AF1" s="1922"/>
      <c r="AG1" s="1922"/>
      <c r="AH1" s="1922"/>
      <c r="AI1" s="1922"/>
      <c r="AJ1" s="1922"/>
      <c r="AK1" s="1922"/>
      <c r="AL1" s="1922"/>
      <c r="AM1" s="1922"/>
      <c r="AN1" s="1922"/>
      <c r="AO1" s="1922"/>
      <c r="AP1" s="1922"/>
      <c r="AQ1" s="1922"/>
      <c r="AR1" s="1922"/>
      <c r="AS1" s="1922"/>
      <c r="AT1" s="1922"/>
      <c r="AU1" s="1922"/>
      <c r="AV1" s="1922"/>
      <c r="AW1" s="1922"/>
      <c r="AX1" s="1922"/>
      <c r="AY1" s="1922"/>
      <c r="AZ1" s="1922"/>
      <c r="BA1" s="1922"/>
      <c r="BB1" s="1922"/>
      <c r="BC1" s="1922"/>
      <c r="BD1" s="1922"/>
      <c r="BE1" s="1922"/>
      <c r="BF1" s="1922"/>
      <c r="BG1" s="1922"/>
      <c r="BH1" s="1922"/>
      <c r="BI1" s="1922"/>
      <c r="BJ1" s="1922"/>
      <c r="BK1" s="1922"/>
      <c r="BL1" s="1922"/>
      <c r="BM1" s="1922"/>
      <c r="BN1" s="1922"/>
      <c r="BO1" s="1922"/>
      <c r="BP1" s="1922"/>
      <c r="BQ1" s="1922"/>
      <c r="BR1" s="1922"/>
      <c r="BS1" s="1922"/>
      <c r="BT1" s="1922"/>
      <c r="BU1" s="1922"/>
      <c r="BV1" s="1922"/>
      <c r="BW1" s="1922"/>
      <c r="BX1" s="1922"/>
      <c r="BY1" s="1922"/>
      <c r="BZ1" s="1922"/>
      <c r="CA1" s="1922"/>
      <c r="CB1" s="1922"/>
      <c r="CC1" s="1922"/>
      <c r="CD1" s="1922"/>
      <c r="CE1" s="1922"/>
      <c r="CF1" s="1922"/>
      <c r="CG1" s="1922"/>
      <c r="CH1" s="1922"/>
      <c r="CI1" s="1922"/>
      <c r="CJ1" s="1922"/>
      <c r="CK1" s="1922"/>
      <c r="CL1" s="1922"/>
      <c r="CM1" s="1922"/>
      <c r="CN1" s="1922"/>
      <c r="CO1" s="1922"/>
      <c r="CP1" s="1922"/>
      <c r="CQ1" s="1922"/>
      <c r="CR1" s="1922"/>
      <c r="CS1" s="1922"/>
      <c r="CT1" s="1922"/>
      <c r="CU1" s="1922"/>
      <c r="CV1" s="1922"/>
      <c r="CW1" s="1922"/>
      <c r="CX1" s="1922"/>
      <c r="CY1" s="1922"/>
      <c r="CZ1" s="1922"/>
      <c r="DA1" s="1922"/>
      <c r="DB1" s="1922"/>
      <c r="DC1" s="1922"/>
      <c r="DD1" s="1922"/>
      <c r="DE1" s="1922"/>
      <c r="DF1" s="1922"/>
    </row>
    <row r="2" spans="1:110" customFormat="1">
      <c r="A2" s="3590" t="s">
        <v>7449</v>
      </c>
      <c r="B2" s="3595"/>
      <c r="C2" s="3634" t="s">
        <v>7450</v>
      </c>
      <c r="D2" s="3635"/>
      <c r="E2" s="3635"/>
      <c r="F2" s="3635"/>
      <c r="G2" s="3635"/>
      <c r="H2" s="3635"/>
      <c r="I2" s="3635"/>
      <c r="J2" s="3635"/>
      <c r="K2" s="3635"/>
      <c r="L2" s="3635"/>
      <c r="M2" s="3635"/>
      <c r="N2" s="3635"/>
      <c r="O2" s="3635"/>
      <c r="P2" s="3635"/>
      <c r="Q2" s="3635"/>
      <c r="R2" s="3635"/>
      <c r="S2" s="3635"/>
      <c r="T2" s="3635"/>
      <c r="U2" s="3635"/>
      <c r="V2" s="3635"/>
      <c r="W2" s="3635"/>
      <c r="X2" s="3635"/>
      <c r="Y2" s="3635"/>
      <c r="Z2" s="3635"/>
      <c r="AA2" s="3635"/>
      <c r="AB2" s="3635"/>
      <c r="AC2" s="3635"/>
      <c r="AD2" s="3635"/>
      <c r="AE2" s="3635"/>
      <c r="AF2" s="3635"/>
      <c r="AG2" s="3635"/>
      <c r="AH2" s="3635"/>
      <c r="AI2" s="3635"/>
      <c r="AJ2" s="3635"/>
      <c r="AK2" s="3636"/>
      <c r="AL2" s="3636"/>
      <c r="AM2" s="3614" t="s">
        <v>7451</v>
      </c>
      <c r="AN2" s="3616"/>
      <c r="AO2" s="3616"/>
      <c r="AP2" s="3616"/>
      <c r="AQ2" s="3616"/>
      <c r="AR2" s="3658"/>
      <c r="AS2" s="3590" t="s">
        <v>7449</v>
      </c>
      <c r="AT2" s="3595"/>
      <c r="AU2" s="1922"/>
      <c r="AV2" s="1922"/>
      <c r="AW2" s="1922"/>
      <c r="AX2" s="1922"/>
      <c r="AY2" s="1922"/>
      <c r="AZ2" s="1922"/>
      <c r="BA2" s="1922"/>
      <c r="BB2" s="1922"/>
      <c r="BC2" s="1922"/>
      <c r="BD2" s="1922"/>
      <c r="BE2" s="1922"/>
      <c r="BF2" s="1922"/>
      <c r="BG2" s="1922"/>
      <c r="BH2" s="1922"/>
      <c r="BI2" s="1922"/>
      <c r="BJ2" s="1922"/>
      <c r="BK2" s="1922"/>
      <c r="BL2" s="1922"/>
      <c r="BM2" s="1922"/>
      <c r="BN2" s="1922"/>
      <c r="BO2" s="1922"/>
      <c r="BP2" s="1922"/>
      <c r="BQ2" s="1922"/>
      <c r="BR2" s="1922"/>
      <c r="BS2" s="1922"/>
      <c r="BT2" s="1922"/>
      <c r="BU2" s="1922"/>
      <c r="BV2" s="1922"/>
      <c r="BW2" s="1922"/>
      <c r="BX2" s="1922"/>
      <c r="BY2" s="1922"/>
      <c r="BZ2" s="1922"/>
      <c r="CA2" s="1922"/>
      <c r="CB2" s="1922"/>
      <c r="CC2" s="1922"/>
      <c r="CD2" s="1922"/>
      <c r="CE2" s="1922"/>
      <c r="CF2" s="1922"/>
      <c r="CG2" s="1922"/>
      <c r="CH2" s="1922"/>
      <c r="CI2" s="1922"/>
      <c r="CJ2" s="1922"/>
      <c r="CK2" s="1922"/>
      <c r="CL2" s="1922"/>
      <c r="CM2" s="1922"/>
      <c r="CN2" s="1922"/>
      <c r="CO2" s="1922"/>
      <c r="CP2" s="1922"/>
      <c r="CQ2" s="1922"/>
      <c r="CR2" s="1922"/>
      <c r="CS2" s="1922"/>
      <c r="CT2" s="1922"/>
      <c r="CU2" s="1922"/>
      <c r="CV2" s="1922"/>
      <c r="CW2" s="1922"/>
      <c r="CX2" s="1922"/>
      <c r="CY2" s="1922"/>
      <c r="CZ2" s="1922"/>
      <c r="DA2" s="1922"/>
      <c r="DB2" s="1922"/>
      <c r="DC2" s="1922"/>
      <c r="DD2" s="1922"/>
      <c r="DE2" s="1922"/>
      <c r="DF2" s="1922"/>
    </row>
    <row r="3" spans="1:110" customFormat="1">
      <c r="A3" s="3637" t="s">
        <v>7452</v>
      </c>
      <c r="B3" s="3638"/>
      <c r="C3" s="1925" t="s">
        <v>5928</v>
      </c>
      <c r="D3" s="1926" t="s">
        <v>7453</v>
      </c>
      <c r="E3" s="1926" t="s">
        <v>5930</v>
      </c>
      <c r="F3" s="1926" t="s">
        <v>7454</v>
      </c>
      <c r="G3" s="1926" t="s">
        <v>4554</v>
      </c>
      <c r="H3" s="1926" t="s">
        <v>5931</v>
      </c>
      <c r="I3" s="1926" t="s">
        <v>7455</v>
      </c>
      <c r="J3" s="1926" t="s">
        <v>5932</v>
      </c>
      <c r="K3" s="1926" t="s">
        <v>7456</v>
      </c>
      <c r="L3" s="1926" t="s">
        <v>5933</v>
      </c>
      <c r="M3" s="1926" t="s">
        <v>6556</v>
      </c>
      <c r="N3" s="3639" t="s">
        <v>7457</v>
      </c>
      <c r="O3" s="3640"/>
      <c r="P3" s="3641" t="s">
        <v>7458</v>
      </c>
      <c r="Q3" s="3591"/>
      <c r="R3" s="3591"/>
      <c r="S3" s="3639" t="s">
        <v>6163</v>
      </c>
      <c r="T3" s="3642"/>
      <c r="U3" s="3639" t="s">
        <v>6407</v>
      </c>
      <c r="V3" s="3642"/>
      <c r="W3" s="3639" t="s">
        <v>6109</v>
      </c>
      <c r="X3" s="3642"/>
      <c r="Y3" s="3643" t="s">
        <v>7459</v>
      </c>
      <c r="Z3" s="3644"/>
      <c r="AA3" s="1926" t="s">
        <v>6370</v>
      </c>
      <c r="AB3" s="1926" t="s">
        <v>7460</v>
      </c>
      <c r="AC3" s="1926" t="s">
        <v>6346</v>
      </c>
      <c r="AD3" s="1926" t="s">
        <v>6436</v>
      </c>
      <c r="AE3" s="1926" t="s">
        <v>6426</v>
      </c>
      <c r="AF3" s="1926" t="s">
        <v>6326</v>
      </c>
      <c r="AG3" s="1926" t="s">
        <v>707</v>
      </c>
      <c r="AH3" s="1926" t="s">
        <v>7461</v>
      </c>
      <c r="AI3" s="1926" t="s">
        <v>6644</v>
      </c>
      <c r="AJ3" s="1926" t="s">
        <v>7462</v>
      </c>
      <c r="AK3" s="1926" t="s">
        <v>7463</v>
      </c>
      <c r="AL3" s="1962" t="s">
        <v>7464</v>
      </c>
      <c r="AM3" s="3689"/>
      <c r="AN3" s="3608"/>
      <c r="AO3" s="3608"/>
      <c r="AP3" s="3608"/>
      <c r="AQ3" s="3608"/>
      <c r="AR3" s="3690"/>
      <c r="AS3" s="3637" t="s">
        <v>7452</v>
      </c>
      <c r="AT3" s="3638"/>
      <c r="AU3" s="1922"/>
      <c r="AV3" s="1922"/>
      <c r="AW3" s="1922"/>
      <c r="AX3" s="1922"/>
      <c r="AY3" s="1922"/>
      <c r="AZ3" s="1922"/>
      <c r="BA3" s="1922"/>
      <c r="BB3" s="1922"/>
      <c r="BC3" s="1922"/>
      <c r="BD3" s="1922"/>
      <c r="BE3" s="1922"/>
      <c r="BF3" s="1922"/>
      <c r="BG3" s="1922"/>
      <c r="BH3" s="1922"/>
      <c r="BI3" s="1922"/>
      <c r="BJ3" s="1922"/>
      <c r="BK3" s="1922"/>
      <c r="BL3" s="1922"/>
      <c r="BM3" s="1922"/>
      <c r="BN3" s="1922"/>
      <c r="BO3" s="1922"/>
      <c r="BP3" s="1922"/>
      <c r="BQ3" s="1922"/>
      <c r="BR3" s="1922"/>
      <c r="BS3" s="1922"/>
      <c r="BT3" s="1922"/>
      <c r="BU3" s="1922"/>
      <c r="BV3" s="1922"/>
      <c r="BW3" s="1922"/>
      <c r="BX3" s="1922"/>
      <c r="BY3" s="1922"/>
      <c r="BZ3" s="1922"/>
      <c r="CA3" s="1922"/>
      <c r="CB3" s="1922"/>
      <c r="CC3" s="1922"/>
      <c r="CD3" s="1922"/>
      <c r="CE3" s="1922"/>
      <c r="CF3" s="1922"/>
      <c r="CG3" s="1922"/>
      <c r="CH3" s="1922"/>
      <c r="CI3" s="1922"/>
      <c r="CJ3" s="1922"/>
      <c r="CK3" s="1922"/>
      <c r="CL3" s="1922"/>
      <c r="CM3" s="1922"/>
      <c r="CN3" s="1922"/>
      <c r="CO3" s="1922"/>
      <c r="CP3" s="1922"/>
      <c r="CQ3" s="1922"/>
      <c r="CR3" s="1922"/>
      <c r="CS3" s="1922"/>
      <c r="CT3" s="1922"/>
      <c r="CU3" s="1922"/>
      <c r="CV3" s="1922"/>
      <c r="CW3" s="1922"/>
      <c r="CX3" s="1922"/>
      <c r="CY3" s="1922"/>
      <c r="CZ3" s="1922"/>
      <c r="DA3" s="1922"/>
      <c r="DB3" s="1922"/>
      <c r="DC3" s="1922"/>
      <c r="DD3" s="1922"/>
      <c r="DE3" s="1922"/>
      <c r="DF3" s="1922"/>
    </row>
    <row r="4" spans="1:110" customFormat="1">
      <c r="A4" s="1927" t="s">
        <v>7342</v>
      </c>
      <c r="B4" s="1928" t="s">
        <v>7343</v>
      </c>
      <c r="C4" s="3634" t="s">
        <v>7465</v>
      </c>
      <c r="D4" s="3636"/>
      <c r="E4" s="3636"/>
      <c r="F4" s="3636"/>
      <c r="G4" s="3636"/>
      <c r="H4" s="3636"/>
      <c r="I4" s="3636"/>
      <c r="J4" s="3636"/>
      <c r="K4" s="3636"/>
      <c r="L4" s="3636"/>
      <c r="M4" s="3636"/>
      <c r="N4" s="3636"/>
      <c r="O4" s="3645"/>
      <c r="P4" s="1952" t="s">
        <v>7338</v>
      </c>
      <c r="Q4" s="1958" t="s">
        <v>7339</v>
      </c>
      <c r="R4" s="1958" t="s">
        <v>6000</v>
      </c>
      <c r="S4" s="1959" t="s">
        <v>7466</v>
      </c>
      <c r="T4" s="1960" t="s">
        <v>7467</v>
      </c>
      <c r="U4" s="1959" t="s">
        <v>7466</v>
      </c>
      <c r="V4" s="1960" t="s">
        <v>7467</v>
      </c>
      <c r="W4" s="1959" t="s">
        <v>7466</v>
      </c>
      <c r="X4" s="1960" t="s">
        <v>7467</v>
      </c>
      <c r="Y4" s="3646" t="s">
        <v>7468</v>
      </c>
      <c r="Z4" s="3647"/>
      <c r="AA4" s="3648" t="s">
        <v>7469</v>
      </c>
      <c r="AB4" s="3636"/>
      <c r="AC4" s="3636"/>
      <c r="AD4" s="3636"/>
      <c r="AE4" s="3636"/>
      <c r="AF4" s="3636"/>
      <c r="AG4" s="3636"/>
      <c r="AH4" s="3636"/>
      <c r="AI4" s="3636"/>
      <c r="AJ4" s="3636"/>
      <c r="AK4" s="3636"/>
      <c r="AL4" s="3645"/>
      <c r="AM4" s="1952" t="s">
        <v>7335</v>
      </c>
      <c r="AN4" s="1958" t="s">
        <v>7336</v>
      </c>
      <c r="AO4" s="1958" t="s">
        <v>7337</v>
      </c>
      <c r="AP4" s="1958" t="s">
        <v>7338</v>
      </c>
      <c r="AQ4" s="1958" t="s">
        <v>7339</v>
      </c>
      <c r="AR4" s="1979" t="s">
        <v>6000</v>
      </c>
      <c r="AS4" s="1927" t="s">
        <v>7342</v>
      </c>
      <c r="AT4" s="1928" t="s">
        <v>7343</v>
      </c>
      <c r="AU4" s="1922"/>
      <c r="AV4" s="1922"/>
      <c r="AW4" s="1922"/>
      <c r="AX4" s="1922"/>
      <c r="AY4" s="1922"/>
      <c r="AZ4" s="1922"/>
      <c r="BA4" s="1922"/>
      <c r="BB4" s="1922"/>
      <c r="BC4" s="1922"/>
      <c r="BD4" s="1922"/>
      <c r="BE4" s="1922"/>
      <c r="BF4" s="1922"/>
      <c r="BG4" s="1922"/>
      <c r="BH4" s="1922"/>
      <c r="BI4" s="1922"/>
      <c r="BJ4" s="1922"/>
      <c r="BK4" s="1922"/>
      <c r="BL4" s="1922"/>
      <c r="BM4" s="1922"/>
      <c r="BN4" s="1922"/>
      <c r="BO4" s="1922"/>
      <c r="BP4" s="1922"/>
      <c r="BQ4" s="1922"/>
      <c r="BR4" s="1922"/>
      <c r="BS4" s="1922"/>
      <c r="BT4" s="1922"/>
      <c r="BU4" s="1922"/>
      <c r="BV4" s="1922"/>
      <c r="BW4" s="1922"/>
      <c r="BX4" s="1922"/>
      <c r="BY4" s="1922"/>
      <c r="BZ4" s="1922"/>
      <c r="CA4" s="1922"/>
      <c r="CB4" s="1922"/>
      <c r="CC4" s="1922"/>
      <c r="CD4" s="1922"/>
      <c r="CE4" s="1922"/>
      <c r="CF4" s="1922"/>
      <c r="CG4" s="1922"/>
      <c r="CH4" s="1922"/>
      <c r="CI4" s="1922"/>
      <c r="CJ4" s="1922"/>
      <c r="CK4" s="1922"/>
      <c r="CL4" s="1922"/>
      <c r="CM4" s="1922"/>
      <c r="CN4" s="1922"/>
      <c r="CO4" s="1922"/>
      <c r="CP4" s="1922"/>
      <c r="CQ4" s="1922"/>
      <c r="CR4" s="1922"/>
      <c r="CS4" s="1922"/>
      <c r="CT4" s="1922"/>
      <c r="CU4" s="1922"/>
      <c r="CV4" s="1922"/>
      <c r="CW4" s="1922"/>
      <c r="CX4" s="1922"/>
      <c r="CY4" s="1922"/>
      <c r="CZ4" s="1922"/>
      <c r="DA4" s="1922"/>
      <c r="DB4" s="1922"/>
      <c r="DC4" s="1922"/>
      <c r="DD4" s="1922"/>
      <c r="DE4" s="1922"/>
      <c r="DF4" s="1922"/>
    </row>
    <row r="5" spans="1:110" customFormat="1" ht="15.6" customHeight="1">
      <c r="A5" s="1929" t="s">
        <v>2074</v>
      </c>
      <c r="B5" s="1930" t="s">
        <v>7335</v>
      </c>
      <c r="C5" s="3655" t="s">
        <v>7470</v>
      </c>
      <c r="D5" s="3675" t="s">
        <v>7471</v>
      </c>
      <c r="E5" s="1932" t="s">
        <v>7472</v>
      </c>
      <c r="F5" s="1932" t="s">
        <v>7473</v>
      </c>
      <c r="G5" s="1932" t="s">
        <v>7474</v>
      </c>
      <c r="H5" s="1932" t="s">
        <v>7475</v>
      </c>
      <c r="I5" s="1932" t="s">
        <v>7476</v>
      </c>
      <c r="J5" s="1932" t="s">
        <v>7477</v>
      </c>
      <c r="K5" s="1932" t="s">
        <v>7478</v>
      </c>
      <c r="L5" s="1932" t="s">
        <v>7479</v>
      </c>
      <c r="M5" s="1941" t="s">
        <v>7387</v>
      </c>
      <c r="N5" s="3613" t="s">
        <v>7480</v>
      </c>
      <c r="O5" s="3706"/>
      <c r="P5" s="1931" t="s">
        <v>7479</v>
      </c>
      <c r="Q5" s="1932" t="s">
        <v>7478</v>
      </c>
      <c r="R5" s="1932" t="s">
        <v>7477</v>
      </c>
      <c r="S5" s="1932" t="s">
        <v>7387</v>
      </c>
      <c r="T5" s="1932" t="s">
        <v>7387</v>
      </c>
      <c r="U5" s="1932" t="s">
        <v>7481</v>
      </c>
      <c r="V5" s="1932" t="s">
        <v>7481</v>
      </c>
      <c r="W5" s="1932" t="s">
        <v>7482</v>
      </c>
      <c r="X5" s="1932" t="s">
        <v>7482</v>
      </c>
      <c r="Y5" s="3708" t="s">
        <v>7483</v>
      </c>
      <c r="Z5" s="3709"/>
      <c r="AA5" s="1932" t="s">
        <v>7484</v>
      </c>
      <c r="AB5" s="1932" t="s">
        <v>7485</v>
      </c>
      <c r="AC5" s="1932" t="s">
        <v>7486</v>
      </c>
      <c r="AD5" s="1932"/>
      <c r="AE5" s="1932">
        <v>-18</v>
      </c>
      <c r="AF5" s="1963"/>
      <c r="AG5" s="1963">
        <v>-20</v>
      </c>
      <c r="AH5" s="1932"/>
      <c r="AI5" s="1932" t="s">
        <v>7487</v>
      </c>
      <c r="AJ5" s="1932" t="s">
        <v>7488</v>
      </c>
      <c r="AK5" s="1932" t="s">
        <v>7489</v>
      </c>
      <c r="AL5" s="1970" t="s">
        <v>7490</v>
      </c>
      <c r="AM5" s="1931" t="s">
        <v>7387</v>
      </c>
      <c r="AN5" s="1932" t="s">
        <v>7387</v>
      </c>
      <c r="AO5" s="1932" t="s">
        <v>7387</v>
      </c>
      <c r="AP5" s="1932" t="s">
        <v>7387</v>
      </c>
      <c r="AQ5" s="1932" t="s">
        <v>7387</v>
      </c>
      <c r="AR5" s="1930" t="s">
        <v>7387</v>
      </c>
      <c r="AS5" s="1929" t="s">
        <v>2074</v>
      </c>
      <c r="AT5" s="1930" t="s">
        <v>7335</v>
      </c>
      <c r="AU5" s="1922"/>
      <c r="AV5" s="1922"/>
      <c r="AW5" s="1922"/>
      <c r="AX5" s="1922"/>
      <c r="AY5" s="1922"/>
      <c r="AZ5" s="1922"/>
      <c r="BA5" s="1922"/>
      <c r="BB5" s="1922"/>
      <c r="BC5" s="1922"/>
      <c r="BD5" s="1922"/>
      <c r="BE5" s="1922"/>
      <c r="BF5" s="1922"/>
      <c r="BG5" s="1922"/>
      <c r="BH5" s="1922"/>
      <c r="BI5" s="1922"/>
      <c r="BJ5" s="1922"/>
      <c r="BK5" s="1922"/>
      <c r="BL5" s="1922"/>
      <c r="BM5" s="1922"/>
      <c r="BN5" s="1922"/>
      <c r="BO5" s="1922"/>
      <c r="BP5" s="1922"/>
      <c r="BQ5" s="1922"/>
      <c r="BR5" s="1922"/>
      <c r="BS5" s="1922"/>
      <c r="BT5" s="1922"/>
      <c r="BU5" s="1922"/>
      <c r="BV5" s="1922"/>
      <c r="BW5" s="1922"/>
      <c r="BX5" s="1922"/>
      <c r="BY5" s="1922"/>
      <c r="BZ5" s="1922"/>
      <c r="CA5" s="1922"/>
      <c r="CB5" s="1922"/>
      <c r="CC5" s="1922"/>
      <c r="CD5" s="1922"/>
      <c r="CE5" s="1922"/>
      <c r="CF5" s="1922"/>
      <c r="CG5" s="1922"/>
      <c r="CH5" s="1922"/>
      <c r="CI5" s="1922"/>
      <c r="CJ5" s="1922"/>
      <c r="CK5" s="1922"/>
      <c r="CL5" s="1922"/>
      <c r="CM5" s="1922"/>
      <c r="CN5" s="1922"/>
      <c r="CO5" s="1922"/>
      <c r="CP5" s="1922"/>
      <c r="CQ5" s="1922"/>
      <c r="CR5" s="1922"/>
      <c r="CS5" s="1922"/>
      <c r="CT5" s="1922"/>
      <c r="CU5" s="1922"/>
      <c r="CV5" s="1922"/>
      <c r="CW5" s="1922"/>
      <c r="CX5" s="1922"/>
      <c r="CY5" s="1922"/>
      <c r="CZ5" s="1922"/>
      <c r="DA5" s="1922"/>
      <c r="DB5" s="1922"/>
      <c r="DC5" s="1922"/>
      <c r="DD5" s="1922"/>
      <c r="DE5" s="1922"/>
      <c r="DF5" s="1922"/>
    </row>
    <row r="6" spans="1:110" customFormat="1" ht="30" customHeight="1">
      <c r="A6" s="1933" t="s">
        <v>7335</v>
      </c>
      <c r="B6" s="1934" t="s">
        <v>7338</v>
      </c>
      <c r="C6" s="3662"/>
      <c r="D6" s="3650"/>
      <c r="E6" s="1935" t="s">
        <v>7491</v>
      </c>
      <c r="F6" s="1935" t="s">
        <v>7492</v>
      </c>
      <c r="G6" s="1935" t="s">
        <v>7493</v>
      </c>
      <c r="H6" s="1935" t="s">
        <v>7474</v>
      </c>
      <c r="I6" s="1935" t="s">
        <v>7475</v>
      </c>
      <c r="J6" s="1935" t="s">
        <v>7476</v>
      </c>
      <c r="K6" s="1935" t="s">
        <v>7477</v>
      </c>
      <c r="L6" s="1935" t="s">
        <v>7478</v>
      </c>
      <c r="M6" s="1935" t="s">
        <v>7387</v>
      </c>
      <c r="N6" s="3613"/>
      <c r="O6" s="3706"/>
      <c r="P6" s="1933" t="s">
        <v>7494</v>
      </c>
      <c r="Q6" s="1935" t="s">
        <v>7477</v>
      </c>
      <c r="R6" s="1935" t="s">
        <v>7476</v>
      </c>
      <c r="S6" s="1961" t="s">
        <v>7495</v>
      </c>
      <c r="T6" s="1935"/>
      <c r="U6" s="1961" t="s">
        <v>7496</v>
      </c>
      <c r="V6" s="1935" t="s">
        <v>7482</v>
      </c>
      <c r="W6" s="1961" t="s">
        <v>7497</v>
      </c>
      <c r="X6" s="1935" t="s">
        <v>7387</v>
      </c>
      <c r="Y6" s="3710"/>
      <c r="Z6" s="3709"/>
      <c r="AA6" s="1935" t="s">
        <v>7498</v>
      </c>
      <c r="AB6" s="1935" t="s">
        <v>7499</v>
      </c>
      <c r="AC6" s="1935" t="s">
        <v>7500</v>
      </c>
      <c r="AD6" s="1935"/>
      <c r="AE6" s="1935" t="s">
        <v>7501</v>
      </c>
      <c r="AF6" s="1935"/>
      <c r="AG6" s="1935" t="s">
        <v>7502</v>
      </c>
      <c r="AH6" s="1935"/>
      <c r="AI6" s="1935" t="s">
        <v>7503</v>
      </c>
      <c r="AJ6" s="1935" t="s">
        <v>7504</v>
      </c>
      <c r="AK6" s="1935" t="s">
        <v>7505</v>
      </c>
      <c r="AL6" s="1971" t="s">
        <v>7506</v>
      </c>
      <c r="AM6" s="1933" t="s">
        <v>6704</v>
      </c>
      <c r="AN6" s="1935" t="s">
        <v>7358</v>
      </c>
      <c r="AO6" s="1935" t="s">
        <v>6704</v>
      </c>
      <c r="AP6" s="1935" t="s">
        <v>7335</v>
      </c>
      <c r="AQ6" s="1935" t="s">
        <v>7336</v>
      </c>
      <c r="AR6" s="1934" t="s">
        <v>7338</v>
      </c>
      <c r="AS6" s="1933" t="s">
        <v>7335</v>
      </c>
      <c r="AT6" s="1934" t="s">
        <v>7338</v>
      </c>
      <c r="AU6" s="1922"/>
      <c r="AV6" s="1922"/>
      <c r="AW6" s="1922"/>
      <c r="AX6" s="1922"/>
      <c r="AY6" s="1922"/>
      <c r="AZ6" s="1922"/>
      <c r="BA6" s="1922"/>
      <c r="BB6" s="1922"/>
      <c r="BC6" s="1922"/>
      <c r="BD6" s="1922"/>
      <c r="BE6" s="1922"/>
      <c r="BF6" s="1922"/>
      <c r="BG6" s="1922"/>
      <c r="BH6" s="1922"/>
      <c r="BI6" s="1922"/>
      <c r="BJ6" s="1922"/>
      <c r="BK6" s="1922"/>
      <c r="BL6" s="1922"/>
      <c r="BM6" s="1922"/>
      <c r="BN6" s="1922"/>
      <c r="BO6" s="1922"/>
      <c r="BP6" s="1922"/>
      <c r="BQ6" s="1922"/>
      <c r="BR6" s="1922"/>
      <c r="BS6" s="1922"/>
      <c r="BT6" s="1922"/>
      <c r="BU6" s="1922"/>
      <c r="BV6" s="1922"/>
      <c r="BW6" s="1922"/>
      <c r="BX6" s="1922"/>
      <c r="BY6" s="1922"/>
      <c r="BZ6" s="1922"/>
      <c r="CA6" s="1922"/>
      <c r="CB6" s="1922"/>
      <c r="CC6" s="1922"/>
      <c r="CD6" s="1922"/>
      <c r="CE6" s="1922"/>
      <c r="CF6" s="1922"/>
      <c r="CG6" s="1922"/>
      <c r="CH6" s="1922"/>
      <c r="CI6" s="1922"/>
      <c r="CJ6" s="1922"/>
      <c r="CK6" s="1922"/>
      <c r="CL6" s="1922"/>
      <c r="CM6" s="1922"/>
      <c r="CN6" s="1922"/>
      <c r="CO6" s="1922"/>
      <c r="CP6" s="1922"/>
      <c r="CQ6" s="1922"/>
      <c r="CR6" s="1922"/>
      <c r="CS6" s="1922"/>
      <c r="CT6" s="1922"/>
      <c r="CU6" s="1922"/>
      <c r="CV6" s="1922"/>
      <c r="CW6" s="1922"/>
      <c r="CX6" s="1922"/>
      <c r="CY6" s="1922"/>
      <c r="CZ6" s="1922"/>
      <c r="DA6" s="1922"/>
      <c r="DB6" s="1922"/>
      <c r="DC6" s="1922"/>
      <c r="DD6" s="1922"/>
      <c r="DE6" s="1922"/>
      <c r="DF6" s="1922"/>
    </row>
    <row r="7" spans="1:110" customFormat="1" ht="30" customHeight="1">
      <c r="A7" s="1933" t="s">
        <v>7338</v>
      </c>
      <c r="B7" s="1934" t="s">
        <v>287</v>
      </c>
      <c r="C7" s="1933" t="s">
        <v>7507</v>
      </c>
      <c r="D7" s="3650" t="s">
        <v>7508</v>
      </c>
      <c r="E7" s="1935" t="s">
        <v>7509</v>
      </c>
      <c r="F7" s="1935" t="s">
        <v>7510</v>
      </c>
      <c r="G7" s="1935" t="s">
        <v>7511</v>
      </c>
      <c r="H7" s="1935" t="s">
        <v>7512</v>
      </c>
      <c r="I7" s="1935" t="s">
        <v>7513</v>
      </c>
      <c r="J7" s="1935" t="s">
        <v>7514</v>
      </c>
      <c r="K7" s="1935" t="s">
        <v>7515</v>
      </c>
      <c r="L7" s="1935" t="s">
        <v>7494</v>
      </c>
      <c r="M7" s="1935" t="s">
        <v>7387</v>
      </c>
      <c r="N7" s="3613"/>
      <c r="O7" s="3706"/>
      <c r="P7" s="1933" t="s">
        <v>7494</v>
      </c>
      <c r="Q7" s="1935" t="s">
        <v>7515</v>
      </c>
      <c r="R7" s="1935" t="s">
        <v>7516</v>
      </c>
      <c r="S7" s="1961" t="s">
        <v>7495</v>
      </c>
      <c r="T7" s="1935"/>
      <c r="U7" s="1961" t="s">
        <v>7517</v>
      </c>
      <c r="V7" s="1935" t="s">
        <v>7484</v>
      </c>
      <c r="W7" s="1961" t="s">
        <v>7518</v>
      </c>
      <c r="X7" s="1935" t="s">
        <v>7387</v>
      </c>
      <c r="Y7" s="3710"/>
      <c r="Z7" s="3709"/>
      <c r="AA7" s="1935" t="s">
        <v>7499</v>
      </c>
      <c r="AB7" s="1935" t="s">
        <v>7500</v>
      </c>
      <c r="AC7" s="1935" t="s">
        <v>7501</v>
      </c>
      <c r="AD7" s="1935"/>
      <c r="AE7" s="1935" t="s">
        <v>7502</v>
      </c>
      <c r="AF7" s="1935"/>
      <c r="AG7" s="1935" t="s">
        <v>7519</v>
      </c>
      <c r="AH7" s="1935"/>
      <c r="AI7" s="1935" t="s">
        <v>7504</v>
      </c>
      <c r="AJ7" s="1935" t="s">
        <v>7520</v>
      </c>
      <c r="AK7" s="1935" t="s">
        <v>7521</v>
      </c>
      <c r="AL7" s="1971" t="s">
        <v>7522</v>
      </c>
      <c r="AM7" s="1933" t="s">
        <v>6704</v>
      </c>
      <c r="AN7" s="1935" t="s">
        <v>7358</v>
      </c>
      <c r="AO7" s="1935" t="s">
        <v>7334</v>
      </c>
      <c r="AP7" s="1935" t="s">
        <v>7335</v>
      </c>
      <c r="AQ7" s="1935" t="s">
        <v>7338</v>
      </c>
      <c r="AR7" s="1934" t="s">
        <v>7339</v>
      </c>
      <c r="AS7" s="1933" t="s">
        <v>7338</v>
      </c>
      <c r="AT7" s="1934" t="s">
        <v>287</v>
      </c>
      <c r="AU7" s="1922"/>
      <c r="AV7" s="1922"/>
      <c r="AW7" s="1922"/>
      <c r="AX7" s="1922"/>
      <c r="AY7" s="1922"/>
      <c r="AZ7" s="1922"/>
      <c r="BA7" s="1922"/>
      <c r="BB7" s="1922"/>
      <c r="BC7" s="1922"/>
      <c r="BD7" s="1922"/>
      <c r="BE7" s="1922"/>
      <c r="BF7" s="1922"/>
      <c r="BG7" s="1922"/>
      <c r="BH7" s="1922"/>
      <c r="BI7" s="1922"/>
      <c r="BJ7" s="1922"/>
      <c r="BK7" s="1922"/>
      <c r="BL7" s="1922"/>
      <c r="BM7" s="1922"/>
      <c r="BN7" s="1922"/>
      <c r="BO7" s="1922"/>
      <c r="BP7" s="1922"/>
      <c r="BQ7" s="1922"/>
      <c r="BR7" s="1922"/>
      <c r="BS7" s="1922"/>
      <c r="BT7" s="1922"/>
      <c r="BU7" s="1922"/>
      <c r="BV7" s="1922"/>
      <c r="BW7" s="1922"/>
      <c r="BX7" s="1922"/>
      <c r="BY7" s="1922"/>
      <c r="BZ7" s="1922"/>
      <c r="CA7" s="1922"/>
      <c r="CB7" s="1922"/>
      <c r="CC7" s="1922"/>
      <c r="CD7" s="1922"/>
      <c r="CE7" s="1922"/>
      <c r="CF7" s="1922"/>
      <c r="CG7" s="1922"/>
      <c r="CH7" s="1922"/>
      <c r="CI7" s="1922"/>
      <c r="CJ7" s="1922"/>
      <c r="CK7" s="1922"/>
      <c r="CL7" s="1922"/>
      <c r="CM7" s="1922"/>
      <c r="CN7" s="1922"/>
      <c r="CO7" s="1922"/>
      <c r="CP7" s="1922"/>
      <c r="CQ7" s="1922"/>
      <c r="CR7" s="1922"/>
      <c r="CS7" s="1922"/>
      <c r="CT7" s="1922"/>
      <c r="CU7" s="1922"/>
      <c r="CV7" s="1922"/>
      <c r="CW7" s="1922"/>
      <c r="CX7" s="1922"/>
      <c r="CY7" s="1922"/>
      <c r="CZ7" s="1922"/>
      <c r="DA7" s="1922"/>
      <c r="DB7" s="1922"/>
      <c r="DC7" s="1922"/>
      <c r="DD7" s="1922"/>
      <c r="DE7" s="1922"/>
      <c r="DF7" s="1922"/>
    </row>
    <row r="8" spans="1:110" customFormat="1" ht="15.6" customHeight="1">
      <c r="A8" s="1933" t="s">
        <v>287</v>
      </c>
      <c r="B8" s="1934" t="s">
        <v>7389</v>
      </c>
      <c r="C8" s="3662" t="s">
        <v>7523</v>
      </c>
      <c r="D8" s="3619"/>
      <c r="E8" s="3650" t="s">
        <v>7524</v>
      </c>
      <c r="F8" s="3650"/>
      <c r="G8" s="3650" t="s">
        <v>7525</v>
      </c>
      <c r="H8" s="3650" t="s">
        <v>7526</v>
      </c>
      <c r="I8" s="3650"/>
      <c r="J8" s="3650" t="s">
        <v>7527</v>
      </c>
      <c r="K8" s="3650"/>
      <c r="L8" s="3650" t="s">
        <v>7477</v>
      </c>
      <c r="M8" s="3650" t="s">
        <v>7387</v>
      </c>
      <c r="N8" s="3613"/>
      <c r="O8" s="3706"/>
      <c r="P8" s="3662" t="s">
        <v>7477</v>
      </c>
      <c r="Q8" s="3650" t="s">
        <v>7476</v>
      </c>
      <c r="R8" s="3650" t="s">
        <v>7528</v>
      </c>
      <c r="S8" s="3678" t="s">
        <v>7495</v>
      </c>
      <c r="T8" s="3650"/>
      <c r="U8" s="3678" t="s">
        <v>7529</v>
      </c>
      <c r="V8" s="3650" t="s">
        <v>7530</v>
      </c>
      <c r="W8" s="3678" t="s">
        <v>7531</v>
      </c>
      <c r="X8" s="3678" t="s">
        <v>7387</v>
      </c>
      <c r="Y8" s="3710"/>
      <c r="Z8" s="3709"/>
      <c r="AA8" s="3678" t="s">
        <v>7532</v>
      </c>
      <c r="AB8" s="3678" t="s">
        <v>7501</v>
      </c>
      <c r="AC8" s="3678" t="s">
        <v>7502</v>
      </c>
      <c r="AD8" s="3678"/>
      <c r="AE8" s="3678" t="s">
        <v>7533</v>
      </c>
      <c r="AF8" s="1935"/>
      <c r="AG8" s="1935" t="s">
        <v>7489</v>
      </c>
      <c r="AH8" s="1935"/>
      <c r="AI8" s="1935" t="s">
        <v>7505</v>
      </c>
      <c r="AJ8" s="1935" t="s">
        <v>7534</v>
      </c>
      <c r="AK8" s="1935" t="s">
        <v>7535</v>
      </c>
      <c r="AL8" s="1971" t="s">
        <v>7536</v>
      </c>
      <c r="AM8" s="3662" t="s">
        <v>6704</v>
      </c>
      <c r="AN8" s="3650" t="s">
        <v>7334</v>
      </c>
      <c r="AO8" s="3650" t="s">
        <v>7335</v>
      </c>
      <c r="AP8" s="3650" t="s">
        <v>7335</v>
      </c>
      <c r="AQ8" s="3650" t="s">
        <v>7339</v>
      </c>
      <c r="AR8" s="3663" t="s">
        <v>6003</v>
      </c>
      <c r="AS8" s="1933" t="s">
        <v>287</v>
      </c>
      <c r="AT8" s="1934" t="s">
        <v>7389</v>
      </c>
      <c r="AU8" s="1922"/>
      <c r="AV8" s="1922"/>
      <c r="AW8" s="1922"/>
      <c r="AX8" s="1922"/>
      <c r="AY8" s="1922"/>
      <c r="AZ8" s="1922"/>
      <c r="BA8" s="1922"/>
      <c r="BB8" s="1922"/>
      <c r="BC8" s="1922"/>
      <c r="BD8" s="1922"/>
      <c r="BE8" s="1922"/>
      <c r="BF8" s="1922"/>
      <c r="BG8" s="1922"/>
      <c r="BH8" s="1922"/>
      <c r="BI8" s="1922"/>
      <c r="BJ8" s="1922"/>
      <c r="BK8" s="1922"/>
      <c r="BL8" s="1922"/>
      <c r="BM8" s="1922"/>
      <c r="BN8" s="1922"/>
      <c r="BO8" s="1922"/>
      <c r="BP8" s="1922"/>
      <c r="BQ8" s="1922"/>
      <c r="BR8" s="1922"/>
      <c r="BS8" s="1922"/>
      <c r="BT8" s="1922"/>
      <c r="BU8" s="1922"/>
      <c r="BV8" s="1922"/>
      <c r="BW8" s="1922"/>
      <c r="BX8" s="1922"/>
      <c r="BY8" s="1922"/>
      <c r="BZ8" s="1922"/>
      <c r="CA8" s="1922"/>
      <c r="CB8" s="1922"/>
      <c r="CC8" s="1922"/>
      <c r="CD8" s="1922"/>
      <c r="CE8" s="1922"/>
      <c r="CF8" s="1922"/>
      <c r="CG8" s="1922"/>
      <c r="CH8" s="1922"/>
      <c r="CI8" s="1922"/>
      <c r="CJ8" s="1922"/>
      <c r="CK8" s="1922"/>
      <c r="CL8" s="1922"/>
      <c r="CM8" s="1922"/>
      <c r="CN8" s="1922"/>
      <c r="CO8" s="1922"/>
      <c r="CP8" s="1922"/>
      <c r="CQ8" s="1922"/>
      <c r="CR8" s="1922"/>
      <c r="CS8" s="1922"/>
      <c r="CT8" s="1922"/>
      <c r="CU8" s="1922"/>
      <c r="CV8" s="1922"/>
      <c r="CW8" s="1922"/>
      <c r="CX8" s="1922"/>
      <c r="CY8" s="1922"/>
      <c r="CZ8" s="1922"/>
      <c r="DA8" s="1922"/>
      <c r="DB8" s="1922"/>
      <c r="DC8" s="1922"/>
      <c r="DD8" s="1922"/>
      <c r="DE8" s="1922"/>
      <c r="DF8" s="1922"/>
    </row>
    <row r="9" spans="1:110" customFormat="1">
      <c r="A9" s="1933" t="s">
        <v>7389</v>
      </c>
      <c r="B9" s="1934" t="s">
        <v>7390</v>
      </c>
      <c r="C9" s="3674"/>
      <c r="D9" s="3619"/>
      <c r="E9" s="3650"/>
      <c r="F9" s="3650"/>
      <c r="G9" s="3650"/>
      <c r="H9" s="3650"/>
      <c r="I9" s="3650"/>
      <c r="J9" s="3650"/>
      <c r="K9" s="3650"/>
      <c r="L9" s="3650"/>
      <c r="M9" s="3650"/>
      <c r="N9" s="3613"/>
      <c r="O9" s="3706"/>
      <c r="P9" s="3662"/>
      <c r="Q9" s="3650"/>
      <c r="R9" s="3650"/>
      <c r="S9" s="3619"/>
      <c r="T9" s="3650"/>
      <c r="U9" s="3619"/>
      <c r="V9" s="3650"/>
      <c r="W9" s="3619"/>
      <c r="X9" s="3619"/>
      <c r="Y9" s="3710"/>
      <c r="Z9" s="3709"/>
      <c r="AA9" s="3619"/>
      <c r="AB9" s="3619"/>
      <c r="AC9" s="3619"/>
      <c r="AD9" s="3619"/>
      <c r="AE9" s="3619"/>
      <c r="AF9" s="1935" t="s">
        <v>7537</v>
      </c>
      <c r="AG9" s="1935" t="s">
        <v>7538</v>
      </c>
      <c r="AH9" s="1935"/>
      <c r="AI9" s="1935" t="s">
        <v>7490</v>
      </c>
      <c r="AJ9" s="1935" t="s">
        <v>7539</v>
      </c>
      <c r="AK9" s="1935" t="s">
        <v>7540</v>
      </c>
      <c r="AL9" s="1971" t="s">
        <v>7541</v>
      </c>
      <c r="AM9" s="3674"/>
      <c r="AN9" s="3619"/>
      <c r="AO9" s="3619"/>
      <c r="AP9" s="3619"/>
      <c r="AQ9" s="3619"/>
      <c r="AR9" s="3621"/>
      <c r="AS9" s="1933" t="s">
        <v>7389</v>
      </c>
      <c r="AT9" s="1934" t="s">
        <v>7390</v>
      </c>
      <c r="AU9" s="1922"/>
      <c r="AV9" s="1922"/>
      <c r="AW9" s="1922"/>
      <c r="AX9" s="1922"/>
      <c r="AY9" s="1922"/>
      <c r="AZ9" s="1922"/>
      <c r="BA9" s="1922"/>
      <c r="BB9" s="1922"/>
      <c r="BC9" s="1922"/>
      <c r="BD9" s="1922"/>
      <c r="BE9" s="1922"/>
      <c r="BF9" s="1922"/>
      <c r="BG9" s="1922"/>
      <c r="BH9" s="1922"/>
      <c r="BI9" s="1922"/>
      <c r="BJ9" s="1922"/>
      <c r="BK9" s="1922"/>
      <c r="BL9" s="1922"/>
      <c r="BM9" s="1922"/>
      <c r="BN9" s="1922"/>
      <c r="BO9" s="1922"/>
      <c r="BP9" s="1922"/>
      <c r="BQ9" s="1922"/>
      <c r="BR9" s="1922"/>
      <c r="BS9" s="1922"/>
      <c r="BT9" s="1922"/>
      <c r="BU9" s="1922"/>
      <c r="BV9" s="1922"/>
      <c r="BW9" s="1922"/>
      <c r="BX9" s="1922"/>
      <c r="BY9" s="1922"/>
      <c r="BZ9" s="1922"/>
      <c r="CA9" s="1922"/>
      <c r="CB9" s="1922"/>
      <c r="CC9" s="1922"/>
      <c r="CD9" s="1922"/>
      <c r="CE9" s="1922"/>
      <c r="CF9" s="1922"/>
      <c r="CG9" s="1922"/>
      <c r="CH9" s="1922"/>
      <c r="CI9" s="1922"/>
      <c r="CJ9" s="1922"/>
      <c r="CK9" s="1922"/>
      <c r="CL9" s="1922"/>
      <c r="CM9" s="1922"/>
      <c r="CN9" s="1922"/>
      <c r="CO9" s="1922"/>
      <c r="CP9" s="1922"/>
      <c r="CQ9" s="1922"/>
      <c r="CR9" s="1922"/>
      <c r="CS9" s="1922"/>
      <c r="CT9" s="1922"/>
      <c r="CU9" s="1922"/>
      <c r="CV9" s="1922"/>
      <c r="CW9" s="1922"/>
      <c r="CX9" s="1922"/>
      <c r="CY9" s="1922"/>
      <c r="CZ9" s="1922"/>
      <c r="DA9" s="1922"/>
      <c r="DB9" s="1922"/>
      <c r="DC9" s="1922"/>
      <c r="DD9" s="1922"/>
      <c r="DE9" s="1922"/>
      <c r="DF9" s="1922"/>
    </row>
    <row r="10" spans="1:110" customFormat="1" ht="15.6" customHeight="1">
      <c r="A10" s="1933" t="s">
        <v>7390</v>
      </c>
      <c r="B10" s="1934" t="s">
        <v>7542</v>
      </c>
      <c r="C10" s="3662" t="s">
        <v>7543</v>
      </c>
      <c r="D10" s="3650" t="s">
        <v>7544</v>
      </c>
      <c r="E10" s="3650" t="s">
        <v>7545</v>
      </c>
      <c r="F10" s="3650"/>
      <c r="G10" s="3650" t="s">
        <v>7546</v>
      </c>
      <c r="H10" s="3650" t="s">
        <v>7511</v>
      </c>
      <c r="I10" s="3650"/>
      <c r="J10" s="3650" t="s">
        <v>7474</v>
      </c>
      <c r="K10" s="3650"/>
      <c r="L10" s="3650" t="s">
        <v>7547</v>
      </c>
      <c r="M10" s="3650" t="s">
        <v>7387</v>
      </c>
      <c r="N10" s="3613"/>
      <c r="O10" s="3706"/>
      <c r="P10" s="3662" t="s">
        <v>7515</v>
      </c>
      <c r="Q10" s="3650" t="s">
        <v>7516</v>
      </c>
      <c r="R10" s="3650" t="s">
        <v>7474</v>
      </c>
      <c r="S10" s="3678" t="s">
        <v>7548</v>
      </c>
      <c r="T10" s="3650"/>
      <c r="U10" s="3678" t="s">
        <v>7497</v>
      </c>
      <c r="V10" s="3650" t="s">
        <v>7549</v>
      </c>
      <c r="W10" s="3678" t="s">
        <v>7550</v>
      </c>
      <c r="X10" s="3678" t="s">
        <v>7387</v>
      </c>
      <c r="Y10" s="3710"/>
      <c r="Z10" s="3709"/>
      <c r="AA10" s="3678" t="s">
        <v>7551</v>
      </c>
      <c r="AB10" s="3678" t="s">
        <v>7502</v>
      </c>
      <c r="AC10" s="3678" t="s">
        <v>7503</v>
      </c>
      <c r="AD10" s="1935"/>
      <c r="AE10" s="1935" t="s">
        <v>7552</v>
      </c>
      <c r="AF10" s="1935" t="s">
        <v>7553</v>
      </c>
      <c r="AG10" s="1935" t="s">
        <v>7554</v>
      </c>
      <c r="AH10" s="1935" t="s">
        <v>7555</v>
      </c>
      <c r="AI10" s="1935" t="s">
        <v>7556</v>
      </c>
      <c r="AJ10" s="1935" t="s">
        <v>7557</v>
      </c>
      <c r="AK10" s="1935" t="s">
        <v>7558</v>
      </c>
      <c r="AL10" s="1971" t="s">
        <v>7559</v>
      </c>
      <c r="AM10" s="3662" t="s">
        <v>7358</v>
      </c>
      <c r="AN10" s="3650" t="s">
        <v>7334</v>
      </c>
      <c r="AO10" s="3650" t="s">
        <v>7335</v>
      </c>
      <c r="AP10" s="3650" t="s">
        <v>7336</v>
      </c>
      <c r="AQ10" s="3650" t="s">
        <v>6000</v>
      </c>
      <c r="AR10" s="3663" t="s">
        <v>7341</v>
      </c>
      <c r="AS10" s="1933" t="s">
        <v>7390</v>
      </c>
      <c r="AT10" s="1934" t="s">
        <v>7542</v>
      </c>
      <c r="AU10" s="1922"/>
      <c r="AV10" s="1922"/>
      <c r="AW10" s="1922"/>
      <c r="AX10" s="1922"/>
      <c r="AY10" s="1922"/>
      <c r="AZ10" s="1922"/>
      <c r="BA10" s="1922"/>
      <c r="BB10" s="1922"/>
      <c r="BC10" s="1922"/>
      <c r="BD10" s="1922"/>
      <c r="BE10" s="1922"/>
      <c r="BF10" s="1922"/>
      <c r="BG10" s="1922"/>
      <c r="BH10" s="1922"/>
      <c r="BI10" s="1922"/>
      <c r="BJ10" s="1922"/>
      <c r="BK10" s="1922"/>
      <c r="BL10" s="1922"/>
      <c r="BM10" s="1922"/>
      <c r="BN10" s="1922"/>
      <c r="BO10" s="1922"/>
      <c r="BP10" s="1922"/>
      <c r="BQ10" s="1922"/>
      <c r="BR10" s="1922"/>
      <c r="BS10" s="1922"/>
      <c r="BT10" s="1922"/>
      <c r="BU10" s="1922"/>
      <c r="BV10" s="1922"/>
      <c r="BW10" s="1922"/>
      <c r="BX10" s="1922"/>
      <c r="BY10" s="1922"/>
      <c r="BZ10" s="1922"/>
      <c r="CA10" s="1922"/>
      <c r="CB10" s="1922"/>
      <c r="CC10" s="1922"/>
      <c r="CD10" s="1922"/>
      <c r="CE10" s="1922"/>
      <c r="CF10" s="1922"/>
      <c r="CG10" s="1922"/>
      <c r="CH10" s="1922"/>
      <c r="CI10" s="1922"/>
      <c r="CJ10" s="1922"/>
      <c r="CK10" s="1922"/>
      <c r="CL10" s="1922"/>
      <c r="CM10" s="1922"/>
      <c r="CN10" s="1922"/>
      <c r="CO10" s="1922"/>
      <c r="CP10" s="1922"/>
      <c r="CQ10" s="1922"/>
      <c r="CR10" s="1922"/>
      <c r="CS10" s="1922"/>
      <c r="CT10" s="1922"/>
      <c r="CU10" s="1922"/>
      <c r="CV10" s="1922"/>
      <c r="CW10" s="1922"/>
      <c r="CX10" s="1922"/>
      <c r="CY10" s="1922"/>
      <c r="CZ10" s="1922"/>
      <c r="DA10" s="1922"/>
      <c r="DB10" s="1922"/>
      <c r="DC10" s="1922"/>
      <c r="DD10" s="1922"/>
      <c r="DE10" s="1922"/>
      <c r="DF10" s="1922"/>
    </row>
    <row r="11" spans="1:110" customFormat="1">
      <c r="A11" s="1933" t="s">
        <v>7542</v>
      </c>
      <c r="B11" s="1934" t="s">
        <v>309</v>
      </c>
      <c r="C11" s="3662"/>
      <c r="D11" s="3650"/>
      <c r="E11" s="3650"/>
      <c r="F11" s="3650"/>
      <c r="G11" s="3650"/>
      <c r="H11" s="3650"/>
      <c r="I11" s="3650"/>
      <c r="J11" s="3650"/>
      <c r="K11" s="3650"/>
      <c r="L11" s="3650"/>
      <c r="M11" s="3650"/>
      <c r="N11" s="3613"/>
      <c r="O11" s="3706"/>
      <c r="P11" s="3662"/>
      <c r="Q11" s="3650"/>
      <c r="R11" s="3650"/>
      <c r="S11" s="3619"/>
      <c r="T11" s="3650"/>
      <c r="U11" s="3619"/>
      <c r="V11" s="3650"/>
      <c r="W11" s="3619"/>
      <c r="X11" s="3619"/>
      <c r="Y11" s="3710"/>
      <c r="Z11" s="3709"/>
      <c r="AA11" s="3619"/>
      <c r="AB11" s="3619"/>
      <c r="AC11" s="3619"/>
      <c r="AD11" s="1935" t="s">
        <v>7552</v>
      </c>
      <c r="AE11" s="1935" t="s">
        <v>7560</v>
      </c>
      <c r="AF11" s="1935" t="s">
        <v>7561</v>
      </c>
      <c r="AG11" s="1935" t="s">
        <v>7534</v>
      </c>
      <c r="AH11" s="1935" t="s">
        <v>7562</v>
      </c>
      <c r="AI11" s="1935" t="s">
        <v>7563</v>
      </c>
      <c r="AJ11" s="1935" t="s">
        <v>7564</v>
      </c>
      <c r="AK11" s="1935" t="s">
        <v>7565</v>
      </c>
      <c r="AL11" s="1971" t="s">
        <v>7566</v>
      </c>
      <c r="AM11" s="3674"/>
      <c r="AN11" s="3619"/>
      <c r="AO11" s="3619"/>
      <c r="AP11" s="3619"/>
      <c r="AQ11" s="3619"/>
      <c r="AR11" s="3621"/>
      <c r="AS11" s="1933" t="s">
        <v>7542</v>
      </c>
      <c r="AT11" s="1934" t="s">
        <v>309</v>
      </c>
      <c r="AU11" s="1922"/>
      <c r="AV11" s="1922"/>
      <c r="AW11" s="1922"/>
      <c r="AX11" s="1922"/>
      <c r="AY11" s="1922"/>
      <c r="AZ11" s="1922"/>
      <c r="BA11" s="1922"/>
      <c r="BB11" s="1922"/>
      <c r="BC11" s="1922"/>
      <c r="BD11" s="1922"/>
      <c r="BE11" s="1922"/>
      <c r="BF11" s="1922"/>
      <c r="BG11" s="1922"/>
      <c r="BH11" s="1922"/>
      <c r="BI11" s="1922"/>
      <c r="BJ11" s="1922"/>
      <c r="BK11" s="1922"/>
      <c r="BL11" s="1922"/>
      <c r="BM11" s="1922"/>
      <c r="BN11" s="1922"/>
      <c r="BO11" s="1922"/>
      <c r="BP11" s="1922"/>
      <c r="BQ11" s="1922"/>
      <c r="BR11" s="1922"/>
      <c r="BS11" s="1922"/>
      <c r="BT11" s="1922"/>
      <c r="BU11" s="1922"/>
      <c r="BV11" s="1922"/>
      <c r="BW11" s="1922"/>
      <c r="BX11" s="1922"/>
      <c r="BY11" s="1922"/>
      <c r="BZ11" s="1922"/>
      <c r="CA11" s="1922"/>
      <c r="CB11" s="1922"/>
      <c r="CC11" s="1922"/>
      <c r="CD11" s="1922"/>
      <c r="CE11" s="1922"/>
      <c r="CF11" s="1922"/>
      <c r="CG11" s="1922"/>
      <c r="CH11" s="1922"/>
      <c r="CI11" s="1922"/>
      <c r="CJ11" s="1922"/>
      <c r="CK11" s="1922"/>
      <c r="CL11" s="1922"/>
      <c r="CM11" s="1922"/>
      <c r="CN11" s="1922"/>
      <c r="CO11" s="1922"/>
      <c r="CP11" s="1922"/>
      <c r="CQ11" s="1922"/>
      <c r="CR11" s="1922"/>
      <c r="CS11" s="1922"/>
      <c r="CT11" s="1922"/>
      <c r="CU11" s="1922"/>
      <c r="CV11" s="1922"/>
      <c r="CW11" s="1922"/>
      <c r="CX11" s="1922"/>
      <c r="CY11" s="1922"/>
      <c r="CZ11" s="1922"/>
      <c r="DA11" s="1922"/>
      <c r="DB11" s="1922"/>
      <c r="DC11" s="1922"/>
      <c r="DD11" s="1922"/>
      <c r="DE11" s="1922"/>
      <c r="DF11" s="1922"/>
    </row>
    <row r="12" spans="1:110" customFormat="1" ht="15.6" customHeight="1">
      <c r="A12" s="1933" t="s">
        <v>309</v>
      </c>
      <c r="B12" s="1934" t="s">
        <v>320</v>
      </c>
      <c r="C12" s="1933" t="s">
        <v>7567</v>
      </c>
      <c r="D12" s="1935" t="s">
        <v>7568</v>
      </c>
      <c r="E12" s="1935" t="s">
        <v>7569</v>
      </c>
      <c r="F12" s="1935"/>
      <c r="G12" s="3676" t="s">
        <v>7509</v>
      </c>
      <c r="H12" s="3676" t="s">
        <v>7525</v>
      </c>
      <c r="I12" s="3676"/>
      <c r="J12" s="3676" t="s">
        <v>7512</v>
      </c>
      <c r="K12" s="3676"/>
      <c r="L12" s="3676" t="s">
        <v>7570</v>
      </c>
      <c r="M12" s="3676" t="s">
        <v>7387</v>
      </c>
      <c r="N12" s="3613"/>
      <c r="O12" s="3706"/>
      <c r="P12" s="3662" t="s">
        <v>7476</v>
      </c>
      <c r="Q12" s="3650" t="s">
        <v>7475</v>
      </c>
      <c r="R12" s="3650" t="s">
        <v>7571</v>
      </c>
      <c r="S12" s="3678" t="s">
        <v>7548</v>
      </c>
      <c r="T12" s="3650"/>
      <c r="U12" s="3678" t="s">
        <v>7572</v>
      </c>
      <c r="V12" s="3650" t="s">
        <v>7573</v>
      </c>
      <c r="W12" s="3678" t="s">
        <v>7574</v>
      </c>
      <c r="X12" s="3678" t="s">
        <v>7387</v>
      </c>
      <c r="Y12" s="3710"/>
      <c r="Z12" s="3709"/>
      <c r="AA12" s="3678" t="s">
        <v>7487</v>
      </c>
      <c r="AB12" s="3678" t="s">
        <v>7519</v>
      </c>
      <c r="AC12" s="3678" t="s">
        <v>7575</v>
      </c>
      <c r="AD12" s="1935" t="s">
        <v>7560</v>
      </c>
      <c r="AE12" s="1935" t="s">
        <v>7490</v>
      </c>
      <c r="AF12" s="1935" t="s">
        <v>7576</v>
      </c>
      <c r="AG12" s="1935" t="s">
        <v>7506</v>
      </c>
      <c r="AH12" s="1935" t="s">
        <v>7577</v>
      </c>
      <c r="AI12" s="1935" t="s">
        <v>7578</v>
      </c>
      <c r="AJ12" s="1935" t="s">
        <v>7579</v>
      </c>
      <c r="AK12" s="1935" t="s">
        <v>7580</v>
      </c>
      <c r="AL12" s="1971" t="s">
        <v>7581</v>
      </c>
      <c r="AM12" s="3662" t="s">
        <v>7358</v>
      </c>
      <c r="AN12" s="3650" t="s">
        <v>7335</v>
      </c>
      <c r="AO12" s="3650" t="s">
        <v>7336</v>
      </c>
      <c r="AP12" s="3650" t="s">
        <v>7337</v>
      </c>
      <c r="AQ12" s="3650" t="s">
        <v>6003</v>
      </c>
      <c r="AR12" s="3663" t="s">
        <v>7389</v>
      </c>
      <c r="AS12" s="1933" t="s">
        <v>309</v>
      </c>
      <c r="AT12" s="1934" t="s">
        <v>320</v>
      </c>
      <c r="AU12" s="1922"/>
      <c r="AV12" s="1922"/>
      <c r="AW12" s="1922"/>
      <c r="AX12" s="1922"/>
      <c r="AY12" s="1922"/>
      <c r="AZ12" s="1922"/>
      <c r="BA12" s="1922"/>
      <c r="BB12" s="1922"/>
      <c r="BC12" s="1922"/>
      <c r="BD12" s="1922"/>
      <c r="BE12" s="1922"/>
      <c r="BF12" s="1922"/>
      <c r="BG12" s="1922"/>
      <c r="BH12" s="1922"/>
      <c r="BI12" s="1922"/>
      <c r="BJ12" s="1922"/>
      <c r="BK12" s="1922"/>
      <c r="BL12" s="1922"/>
      <c r="BM12" s="1922"/>
      <c r="BN12" s="1922"/>
      <c r="BO12" s="1922"/>
      <c r="BP12" s="1922"/>
      <c r="BQ12" s="1922"/>
      <c r="BR12" s="1922"/>
      <c r="BS12" s="1922"/>
      <c r="BT12" s="1922"/>
      <c r="BU12" s="1922"/>
      <c r="BV12" s="1922"/>
      <c r="BW12" s="1922"/>
      <c r="BX12" s="1922"/>
      <c r="BY12" s="1922"/>
      <c r="BZ12" s="1922"/>
      <c r="CA12" s="1922"/>
      <c r="CB12" s="1922"/>
      <c r="CC12" s="1922"/>
      <c r="CD12" s="1922"/>
      <c r="CE12" s="1922"/>
      <c r="CF12" s="1922"/>
      <c r="CG12" s="1922"/>
      <c r="CH12" s="1922"/>
      <c r="CI12" s="1922"/>
      <c r="CJ12" s="1922"/>
      <c r="CK12" s="1922"/>
      <c r="CL12" s="1922"/>
      <c r="CM12" s="1922"/>
      <c r="CN12" s="1922"/>
      <c r="CO12" s="1922"/>
      <c r="CP12" s="1922"/>
      <c r="CQ12" s="1922"/>
      <c r="CR12" s="1922"/>
      <c r="CS12" s="1922"/>
      <c r="CT12" s="1922"/>
      <c r="CU12" s="1922"/>
      <c r="CV12" s="1922"/>
      <c r="CW12" s="1922"/>
      <c r="CX12" s="1922"/>
      <c r="CY12" s="1922"/>
      <c r="CZ12" s="1922"/>
      <c r="DA12" s="1922"/>
      <c r="DB12" s="1922"/>
      <c r="DC12" s="1922"/>
      <c r="DD12" s="1922"/>
      <c r="DE12" s="1922"/>
      <c r="DF12" s="1922"/>
    </row>
    <row r="13" spans="1:110" customFormat="1">
      <c r="A13" s="1933" t="s">
        <v>320</v>
      </c>
      <c r="B13" s="1934" t="s">
        <v>332</v>
      </c>
      <c r="C13" s="1933" t="s">
        <v>7582</v>
      </c>
      <c r="D13" s="1935" t="s">
        <v>7583</v>
      </c>
      <c r="E13" s="1935" t="s">
        <v>7584</v>
      </c>
      <c r="F13" s="1935"/>
      <c r="G13" s="3675"/>
      <c r="H13" s="3675"/>
      <c r="I13" s="3675"/>
      <c r="J13" s="3675"/>
      <c r="K13" s="3675"/>
      <c r="L13" s="3675"/>
      <c r="M13" s="3675"/>
      <c r="N13" s="3613"/>
      <c r="O13" s="3706"/>
      <c r="P13" s="3662"/>
      <c r="Q13" s="3650"/>
      <c r="R13" s="3650"/>
      <c r="S13" s="3619"/>
      <c r="T13" s="3650"/>
      <c r="U13" s="3619"/>
      <c r="V13" s="3650"/>
      <c r="W13" s="3619"/>
      <c r="X13" s="3619"/>
      <c r="Y13" s="3710"/>
      <c r="Z13" s="3709"/>
      <c r="AA13" s="3619"/>
      <c r="AB13" s="3619"/>
      <c r="AC13" s="3619"/>
      <c r="AD13" s="1935" t="s">
        <v>7554</v>
      </c>
      <c r="AE13" s="1935" t="s">
        <v>7585</v>
      </c>
      <c r="AF13" s="1935" t="s">
        <v>7586</v>
      </c>
      <c r="AG13" s="1935" t="s">
        <v>7522</v>
      </c>
      <c r="AH13" s="1935" t="s">
        <v>7587</v>
      </c>
      <c r="AI13" s="1935" t="s">
        <v>7558</v>
      </c>
      <c r="AJ13" s="1935" t="s">
        <v>7588</v>
      </c>
      <c r="AK13" s="1935" t="s">
        <v>7589</v>
      </c>
      <c r="AL13" s="1971" t="s">
        <v>7590</v>
      </c>
      <c r="AM13" s="3674"/>
      <c r="AN13" s="3619"/>
      <c r="AO13" s="3619"/>
      <c r="AP13" s="3619"/>
      <c r="AQ13" s="3619"/>
      <c r="AR13" s="3621"/>
      <c r="AS13" s="1933" t="s">
        <v>320</v>
      </c>
      <c r="AT13" s="1934" t="s">
        <v>332</v>
      </c>
      <c r="AU13" s="1922"/>
      <c r="AV13" s="1922"/>
      <c r="AW13" s="1922"/>
      <c r="AX13" s="1922"/>
      <c r="AY13" s="1922"/>
      <c r="AZ13" s="1922"/>
      <c r="BA13" s="1922"/>
      <c r="BB13" s="1922"/>
      <c r="BC13" s="1922"/>
      <c r="BD13" s="1922"/>
      <c r="BE13" s="1922"/>
      <c r="BF13" s="1922"/>
      <c r="BG13" s="1922"/>
      <c r="BH13" s="1922"/>
      <c r="BI13" s="1922"/>
      <c r="BJ13" s="1922"/>
      <c r="BK13" s="1922"/>
      <c r="BL13" s="1922"/>
      <c r="BM13" s="1922"/>
      <c r="BN13" s="1922"/>
      <c r="BO13" s="1922"/>
      <c r="BP13" s="1922"/>
      <c r="BQ13" s="1922"/>
      <c r="BR13" s="1922"/>
      <c r="BS13" s="1922"/>
      <c r="BT13" s="1922"/>
      <c r="BU13" s="1922"/>
      <c r="BV13" s="1922"/>
      <c r="BW13" s="1922"/>
      <c r="BX13" s="1922"/>
      <c r="BY13" s="1922"/>
      <c r="BZ13" s="1922"/>
      <c r="CA13" s="1922"/>
      <c r="CB13" s="1922"/>
      <c r="CC13" s="1922"/>
      <c r="CD13" s="1922"/>
      <c r="CE13" s="1922"/>
      <c r="CF13" s="1922"/>
      <c r="CG13" s="1922"/>
      <c r="CH13" s="1922"/>
      <c r="CI13" s="1922"/>
      <c r="CJ13" s="1922"/>
      <c r="CK13" s="1922"/>
      <c r="CL13" s="1922"/>
      <c r="CM13" s="1922"/>
      <c r="CN13" s="1922"/>
      <c r="CO13" s="1922"/>
      <c r="CP13" s="1922"/>
      <c r="CQ13" s="1922"/>
      <c r="CR13" s="1922"/>
      <c r="CS13" s="1922"/>
      <c r="CT13" s="1922"/>
      <c r="CU13" s="1922"/>
      <c r="CV13" s="1922"/>
      <c r="CW13" s="1922"/>
      <c r="CX13" s="1922"/>
      <c r="CY13" s="1922"/>
      <c r="CZ13" s="1922"/>
      <c r="DA13" s="1922"/>
      <c r="DB13" s="1922"/>
      <c r="DC13" s="1922"/>
      <c r="DD13" s="1922"/>
      <c r="DE13" s="1922"/>
      <c r="DF13" s="1922"/>
    </row>
    <row r="14" spans="1:110" customFormat="1" ht="15.6" customHeight="1">
      <c r="A14" s="1933" t="s">
        <v>332</v>
      </c>
      <c r="B14" s="1934" t="s">
        <v>7591</v>
      </c>
      <c r="C14" s="1933" t="s">
        <v>7592</v>
      </c>
      <c r="D14" s="1935" t="s">
        <v>7593</v>
      </c>
      <c r="E14" s="1935" t="s">
        <v>7471</v>
      </c>
      <c r="F14" s="1935"/>
      <c r="G14" s="3676" t="s">
        <v>7594</v>
      </c>
      <c r="H14" s="3676" t="s">
        <v>7472</v>
      </c>
      <c r="I14" s="3676"/>
      <c r="J14" s="3676" t="s">
        <v>7493</v>
      </c>
      <c r="K14" s="3676"/>
      <c r="L14" s="3676" t="s">
        <v>7476</v>
      </c>
      <c r="M14" s="3676" t="s">
        <v>7387</v>
      </c>
      <c r="N14" s="3613"/>
      <c r="O14" s="3706"/>
      <c r="P14" s="3662" t="s">
        <v>7514</v>
      </c>
      <c r="Q14" s="3650" t="s">
        <v>7513</v>
      </c>
      <c r="R14" s="3650" t="s">
        <v>7595</v>
      </c>
      <c r="S14" s="3678" t="s">
        <v>7548</v>
      </c>
      <c r="T14" s="3650"/>
      <c r="U14" s="3678" t="s">
        <v>7596</v>
      </c>
      <c r="V14" s="3650" t="s">
        <v>7597</v>
      </c>
      <c r="W14" s="3678" t="s">
        <v>7598</v>
      </c>
      <c r="X14" s="3678" t="s">
        <v>7387</v>
      </c>
      <c r="Y14" s="3710"/>
      <c r="Z14" s="3709"/>
      <c r="AA14" s="3678" t="s">
        <v>7488</v>
      </c>
      <c r="AB14" s="1935" t="s">
        <v>7552</v>
      </c>
      <c r="AC14" s="1935" t="s">
        <v>7599</v>
      </c>
      <c r="AD14" s="1935" t="s">
        <v>7600</v>
      </c>
      <c r="AE14" s="1935" t="s">
        <v>7601</v>
      </c>
      <c r="AF14" s="1935" t="s">
        <v>7602</v>
      </c>
      <c r="AG14" s="1935" t="s">
        <v>7603</v>
      </c>
      <c r="AH14" s="1935" t="s">
        <v>7604</v>
      </c>
      <c r="AI14" s="1935" t="s">
        <v>7605</v>
      </c>
      <c r="AJ14" s="1935" t="s">
        <v>7606</v>
      </c>
      <c r="AK14" s="1935" t="s">
        <v>7607</v>
      </c>
      <c r="AL14" s="1971" t="s">
        <v>7608</v>
      </c>
      <c r="AM14" s="3662" t="s">
        <v>7334</v>
      </c>
      <c r="AN14" s="3650" t="s">
        <v>7335</v>
      </c>
      <c r="AO14" s="3650" t="s">
        <v>7337</v>
      </c>
      <c r="AP14" s="3650" t="s">
        <v>7338</v>
      </c>
      <c r="AQ14" s="3650" t="s">
        <v>7340</v>
      </c>
      <c r="AR14" s="3663" t="s">
        <v>7355</v>
      </c>
      <c r="AS14" s="1933" t="s">
        <v>332</v>
      </c>
      <c r="AT14" s="1934" t="s">
        <v>7591</v>
      </c>
      <c r="AU14" s="1922"/>
      <c r="AV14" s="1922"/>
      <c r="AW14" s="1922"/>
      <c r="AX14" s="1922"/>
      <c r="AY14" s="1922"/>
      <c r="AZ14" s="1922"/>
      <c r="BA14" s="1922"/>
      <c r="BB14" s="1922"/>
      <c r="BC14" s="1922"/>
      <c r="BD14" s="1922"/>
      <c r="BE14" s="1922"/>
      <c r="BF14" s="1922"/>
      <c r="BG14" s="1922"/>
      <c r="BH14" s="1922"/>
      <c r="BI14" s="1922"/>
      <c r="BJ14" s="1922"/>
      <c r="BK14" s="1922"/>
      <c r="BL14" s="1922"/>
      <c r="BM14" s="1922"/>
      <c r="BN14" s="1922"/>
      <c r="BO14" s="1922"/>
      <c r="BP14" s="1922"/>
      <c r="BQ14" s="1922"/>
      <c r="BR14" s="1922"/>
      <c r="BS14" s="1922"/>
      <c r="BT14" s="1922"/>
      <c r="BU14" s="1922"/>
      <c r="BV14" s="1922"/>
      <c r="BW14" s="1922"/>
      <c r="BX14" s="1922"/>
      <c r="BY14" s="1922"/>
      <c r="BZ14" s="1922"/>
      <c r="CA14" s="1922"/>
      <c r="CB14" s="1922"/>
      <c r="CC14" s="1922"/>
      <c r="CD14" s="1922"/>
      <c r="CE14" s="1922"/>
      <c r="CF14" s="1922"/>
      <c r="CG14" s="1922"/>
      <c r="CH14" s="1922"/>
      <c r="CI14" s="1922"/>
      <c r="CJ14" s="1922"/>
      <c r="CK14" s="1922"/>
      <c r="CL14" s="1922"/>
      <c r="CM14" s="1922"/>
      <c r="CN14" s="1922"/>
      <c r="CO14" s="1922"/>
      <c r="CP14" s="1922"/>
      <c r="CQ14" s="1922"/>
      <c r="CR14" s="1922"/>
      <c r="CS14" s="1922"/>
      <c r="CT14" s="1922"/>
      <c r="CU14" s="1922"/>
      <c r="CV14" s="1922"/>
      <c r="CW14" s="1922"/>
      <c r="CX14" s="1922"/>
      <c r="CY14" s="1922"/>
      <c r="CZ14" s="1922"/>
      <c r="DA14" s="1922"/>
      <c r="DB14" s="1922"/>
      <c r="DC14" s="1922"/>
      <c r="DD14" s="1922"/>
      <c r="DE14" s="1922"/>
      <c r="DF14" s="1922"/>
    </row>
    <row r="15" spans="1:110" customFormat="1">
      <c r="A15" s="1933" t="s">
        <v>7591</v>
      </c>
      <c r="B15" s="1934" t="s">
        <v>7360</v>
      </c>
      <c r="C15" s="1933" t="s">
        <v>7609</v>
      </c>
      <c r="D15" s="1935" t="s">
        <v>7610</v>
      </c>
      <c r="E15" s="1935" t="s">
        <v>7508</v>
      </c>
      <c r="F15" s="1935"/>
      <c r="G15" s="3675"/>
      <c r="H15" s="3675"/>
      <c r="I15" s="3675"/>
      <c r="J15" s="3675"/>
      <c r="K15" s="3675"/>
      <c r="L15" s="3675"/>
      <c r="M15" s="3675"/>
      <c r="N15" s="3613"/>
      <c r="O15" s="3706"/>
      <c r="P15" s="3662"/>
      <c r="Q15" s="3650"/>
      <c r="R15" s="3650"/>
      <c r="S15" s="3619"/>
      <c r="T15" s="3650"/>
      <c r="U15" s="3619"/>
      <c r="V15" s="3650"/>
      <c r="W15" s="3619"/>
      <c r="X15" s="3619"/>
      <c r="Y15" s="3710"/>
      <c r="Z15" s="3709"/>
      <c r="AA15" s="3619"/>
      <c r="AB15" s="1964">
        <v>-43</v>
      </c>
      <c r="AC15" s="1935" t="s">
        <v>7611</v>
      </c>
      <c r="AD15" s="1935" t="s">
        <v>7562</v>
      </c>
      <c r="AE15" s="1935" t="s">
        <v>7602</v>
      </c>
      <c r="AF15" s="1935" t="s">
        <v>7612</v>
      </c>
      <c r="AG15" s="1935" t="s">
        <v>7613</v>
      </c>
      <c r="AH15" s="1935" t="s">
        <v>7614</v>
      </c>
      <c r="AI15" s="1935" t="s">
        <v>7615</v>
      </c>
      <c r="AJ15" s="1935" t="s">
        <v>7581</v>
      </c>
      <c r="AK15" s="1935" t="s">
        <v>7616</v>
      </c>
      <c r="AL15" s="1971" t="s">
        <v>7617</v>
      </c>
      <c r="AM15" s="3674"/>
      <c r="AN15" s="3619"/>
      <c r="AO15" s="3619"/>
      <c r="AP15" s="3619"/>
      <c r="AQ15" s="3619"/>
      <c r="AR15" s="3621"/>
      <c r="AS15" s="1933" t="s">
        <v>7591</v>
      </c>
      <c r="AT15" s="1934" t="s">
        <v>7360</v>
      </c>
      <c r="AU15" s="1922"/>
      <c r="AV15" s="1922"/>
      <c r="AW15" s="1922"/>
      <c r="AX15" s="1922"/>
      <c r="AY15" s="1922"/>
      <c r="AZ15" s="1922"/>
      <c r="BA15" s="1922"/>
      <c r="BB15" s="1922"/>
      <c r="BC15" s="1922"/>
      <c r="BD15" s="1922"/>
      <c r="BE15" s="1922"/>
      <c r="BF15" s="1922"/>
      <c r="BG15" s="1922"/>
      <c r="BH15" s="1922"/>
      <c r="BI15" s="1922"/>
      <c r="BJ15" s="1922"/>
      <c r="BK15" s="1922"/>
      <c r="BL15" s="1922"/>
      <c r="BM15" s="1922"/>
      <c r="BN15" s="1922"/>
      <c r="BO15" s="1922"/>
      <c r="BP15" s="1922"/>
      <c r="BQ15" s="1922"/>
      <c r="BR15" s="1922"/>
      <c r="BS15" s="1922"/>
      <c r="BT15" s="1922"/>
      <c r="BU15" s="1922"/>
      <c r="BV15" s="1922"/>
      <c r="BW15" s="1922"/>
      <c r="BX15" s="1922"/>
      <c r="BY15" s="1922"/>
      <c r="BZ15" s="1922"/>
      <c r="CA15" s="1922"/>
      <c r="CB15" s="1922"/>
      <c r="CC15" s="1922"/>
      <c r="CD15" s="1922"/>
      <c r="CE15" s="1922"/>
      <c r="CF15" s="1922"/>
      <c r="CG15" s="1922"/>
      <c r="CH15" s="1922"/>
      <c r="CI15" s="1922"/>
      <c r="CJ15" s="1922"/>
      <c r="CK15" s="1922"/>
      <c r="CL15" s="1922"/>
      <c r="CM15" s="1922"/>
      <c r="CN15" s="1922"/>
      <c r="CO15" s="1922"/>
      <c r="CP15" s="1922"/>
      <c r="CQ15" s="1922"/>
      <c r="CR15" s="1922"/>
      <c r="CS15" s="1922"/>
      <c r="CT15" s="1922"/>
      <c r="CU15" s="1922"/>
      <c r="CV15" s="1922"/>
      <c r="CW15" s="1922"/>
      <c r="CX15" s="1922"/>
      <c r="CY15" s="1922"/>
      <c r="CZ15" s="1922"/>
      <c r="DA15" s="1922"/>
      <c r="DB15" s="1922"/>
      <c r="DC15" s="1922"/>
      <c r="DD15" s="1922"/>
      <c r="DE15" s="1922"/>
      <c r="DF15" s="1922"/>
    </row>
    <row r="16" spans="1:110" customFormat="1" ht="15.6" customHeight="1">
      <c r="A16" s="1933" t="s">
        <v>7360</v>
      </c>
      <c r="B16" s="1934" t="s">
        <v>7363</v>
      </c>
      <c r="C16" s="1933" t="s">
        <v>7618</v>
      </c>
      <c r="D16" s="1935" t="s">
        <v>7619</v>
      </c>
      <c r="E16" s="1935" t="s">
        <v>7568</v>
      </c>
      <c r="F16" s="1935"/>
      <c r="G16" s="3676" t="s">
        <v>7569</v>
      </c>
      <c r="H16" s="3676" t="s">
        <v>7620</v>
      </c>
      <c r="I16" s="3676"/>
      <c r="J16" s="3676" t="s">
        <v>7621</v>
      </c>
      <c r="K16" s="3676"/>
      <c r="L16" s="3676" t="s">
        <v>7516</v>
      </c>
      <c r="M16" s="3676" t="s">
        <v>7387</v>
      </c>
      <c r="N16" s="3613"/>
      <c r="O16" s="3706"/>
      <c r="P16" s="3662" t="s">
        <v>7527</v>
      </c>
      <c r="Q16" s="3650" t="s">
        <v>7622</v>
      </c>
      <c r="R16" s="3650" t="s">
        <v>7473</v>
      </c>
      <c r="S16" s="3678" t="s">
        <v>7623</v>
      </c>
      <c r="T16" s="3650"/>
      <c r="U16" s="3678" t="s">
        <v>7624</v>
      </c>
      <c r="V16" s="3650" t="s">
        <v>7625</v>
      </c>
      <c r="W16" s="3678" t="s">
        <v>7626</v>
      </c>
      <c r="X16" s="3678" t="s">
        <v>7387</v>
      </c>
      <c r="Y16" s="3710"/>
      <c r="Z16" s="3709"/>
      <c r="AA16" s="3678" t="s">
        <v>7627</v>
      </c>
      <c r="AB16" s="1935" t="s">
        <v>7628</v>
      </c>
      <c r="AC16" s="1935" t="s">
        <v>7629</v>
      </c>
      <c r="AD16" s="1935" t="s">
        <v>7630</v>
      </c>
      <c r="AE16" s="1935" t="s">
        <v>7631</v>
      </c>
      <c r="AF16" s="1935" t="s">
        <v>7613</v>
      </c>
      <c r="AG16" s="1935" t="s">
        <v>7632</v>
      </c>
      <c r="AH16" s="1935" t="s">
        <v>7633</v>
      </c>
      <c r="AI16" s="1935" t="s">
        <v>7634</v>
      </c>
      <c r="AJ16" s="1935" t="s">
        <v>7635</v>
      </c>
      <c r="AK16" s="1935" t="s">
        <v>7636</v>
      </c>
      <c r="AL16" s="1971" t="s">
        <v>7637</v>
      </c>
      <c r="AM16" s="3662" t="s">
        <v>7334</v>
      </c>
      <c r="AN16" s="3650" t="s">
        <v>7336</v>
      </c>
      <c r="AO16" s="3650" t="s">
        <v>7337</v>
      </c>
      <c r="AP16" s="3650" t="s">
        <v>7339</v>
      </c>
      <c r="AQ16" s="3650" t="s">
        <v>7397</v>
      </c>
      <c r="AR16" s="3663" t="s">
        <v>7403</v>
      </c>
      <c r="AS16" s="1933" t="s">
        <v>7360</v>
      </c>
      <c r="AT16" s="1934" t="s">
        <v>7363</v>
      </c>
      <c r="AU16" s="1922"/>
      <c r="AV16" s="1922"/>
      <c r="AW16" s="1922"/>
      <c r="AX16" s="1922"/>
      <c r="AY16" s="1922"/>
      <c r="AZ16" s="1922"/>
      <c r="BA16" s="1922"/>
      <c r="BB16" s="1922"/>
      <c r="BC16" s="1922"/>
      <c r="BD16" s="1922"/>
      <c r="BE16" s="1922"/>
      <c r="BF16" s="1922"/>
      <c r="BG16" s="1922"/>
      <c r="BH16" s="1922"/>
      <c r="BI16" s="1922"/>
      <c r="BJ16" s="1922"/>
      <c r="BK16" s="1922"/>
      <c r="BL16" s="1922"/>
      <c r="BM16" s="1922"/>
      <c r="BN16" s="1922"/>
      <c r="BO16" s="1922"/>
      <c r="BP16" s="1922"/>
      <c r="BQ16" s="1922"/>
      <c r="BR16" s="1922"/>
      <c r="BS16" s="1922"/>
      <c r="BT16" s="1922"/>
      <c r="BU16" s="1922"/>
      <c r="BV16" s="1922"/>
      <c r="BW16" s="1922"/>
      <c r="BX16" s="1922"/>
      <c r="BY16" s="1922"/>
      <c r="BZ16" s="1922"/>
      <c r="CA16" s="1922"/>
      <c r="CB16" s="1922"/>
      <c r="CC16" s="1922"/>
      <c r="CD16" s="1922"/>
      <c r="CE16" s="1922"/>
      <c r="CF16" s="1922"/>
      <c r="CG16" s="1922"/>
      <c r="CH16" s="1922"/>
      <c r="CI16" s="1922"/>
      <c r="CJ16" s="1922"/>
      <c r="CK16" s="1922"/>
      <c r="CL16" s="1922"/>
      <c r="CM16" s="1922"/>
      <c r="CN16" s="1922"/>
      <c r="CO16" s="1922"/>
      <c r="CP16" s="1922"/>
      <c r="CQ16" s="1922"/>
      <c r="CR16" s="1922"/>
      <c r="CS16" s="1922"/>
      <c r="CT16" s="1922"/>
      <c r="CU16" s="1922"/>
      <c r="CV16" s="1922"/>
      <c r="CW16" s="1922"/>
      <c r="CX16" s="1922"/>
      <c r="CY16" s="1922"/>
      <c r="CZ16" s="1922"/>
      <c r="DA16" s="1922"/>
      <c r="DB16" s="1922"/>
      <c r="DC16" s="1922"/>
      <c r="DD16" s="1922"/>
      <c r="DE16" s="1922"/>
      <c r="DF16" s="1922"/>
    </row>
    <row r="17" spans="1:110" customFormat="1">
      <c r="A17" s="1933" t="s">
        <v>7363</v>
      </c>
      <c r="B17" s="1934" t="s">
        <v>7365</v>
      </c>
      <c r="C17" s="1933" t="s">
        <v>7638</v>
      </c>
      <c r="D17" s="1935" t="s">
        <v>7639</v>
      </c>
      <c r="E17" s="1935" t="s">
        <v>7583</v>
      </c>
      <c r="F17" s="1935"/>
      <c r="G17" s="3675"/>
      <c r="H17" s="3675"/>
      <c r="I17" s="3675"/>
      <c r="J17" s="3675"/>
      <c r="K17" s="3675"/>
      <c r="L17" s="3675"/>
      <c r="M17" s="3675"/>
      <c r="N17" s="3613"/>
      <c r="O17" s="3706"/>
      <c r="P17" s="3662"/>
      <c r="Q17" s="3650"/>
      <c r="R17" s="3650"/>
      <c r="S17" s="3619"/>
      <c r="T17" s="3650"/>
      <c r="U17" s="3619"/>
      <c r="V17" s="3650"/>
      <c r="W17" s="3619"/>
      <c r="X17" s="3619"/>
      <c r="Y17" s="3710"/>
      <c r="Z17" s="3709"/>
      <c r="AA17" s="3619"/>
      <c r="AB17" s="1964">
        <v>-54</v>
      </c>
      <c r="AC17" s="1935" t="s">
        <v>7640</v>
      </c>
      <c r="AD17" s="1935" t="s">
        <v>7641</v>
      </c>
      <c r="AE17" s="1935" t="s">
        <v>7604</v>
      </c>
      <c r="AF17" s="1935" t="s">
        <v>7605</v>
      </c>
      <c r="AG17" s="1935" t="s">
        <v>7615</v>
      </c>
      <c r="AH17" s="1935" t="s">
        <v>7642</v>
      </c>
      <c r="AI17" s="1935" t="s">
        <v>7643</v>
      </c>
      <c r="AJ17" s="1935" t="s">
        <v>7644</v>
      </c>
      <c r="AK17" s="1935" t="s">
        <v>7645</v>
      </c>
      <c r="AL17" s="1971" t="s">
        <v>7646</v>
      </c>
      <c r="AM17" s="3674"/>
      <c r="AN17" s="3619"/>
      <c r="AO17" s="3619"/>
      <c r="AP17" s="3619"/>
      <c r="AQ17" s="3619"/>
      <c r="AR17" s="3621"/>
      <c r="AS17" s="1933" t="s">
        <v>7363</v>
      </c>
      <c r="AT17" s="1934" t="s">
        <v>7365</v>
      </c>
      <c r="AU17" s="1922"/>
      <c r="AV17" s="1922"/>
      <c r="AW17" s="1922"/>
      <c r="AX17" s="1922"/>
      <c r="AY17" s="1922"/>
      <c r="AZ17" s="1922"/>
      <c r="BA17" s="1922"/>
      <c r="BB17" s="1922"/>
      <c r="BC17" s="1922"/>
      <c r="BD17" s="1922"/>
      <c r="BE17" s="1922"/>
      <c r="BF17" s="1922"/>
      <c r="BG17" s="1922"/>
      <c r="BH17" s="1922"/>
      <c r="BI17" s="1922"/>
      <c r="BJ17" s="1922"/>
      <c r="BK17" s="1922"/>
      <c r="BL17" s="1922"/>
      <c r="BM17" s="1922"/>
      <c r="BN17" s="1922"/>
      <c r="BO17" s="1922"/>
      <c r="BP17" s="1922"/>
      <c r="BQ17" s="1922"/>
      <c r="BR17" s="1922"/>
      <c r="BS17" s="1922"/>
      <c r="BT17" s="1922"/>
      <c r="BU17" s="1922"/>
      <c r="BV17" s="1922"/>
      <c r="BW17" s="1922"/>
      <c r="BX17" s="1922"/>
      <c r="BY17" s="1922"/>
      <c r="BZ17" s="1922"/>
      <c r="CA17" s="1922"/>
      <c r="CB17" s="1922"/>
      <c r="CC17" s="1922"/>
      <c r="CD17" s="1922"/>
      <c r="CE17" s="1922"/>
      <c r="CF17" s="1922"/>
      <c r="CG17" s="1922"/>
      <c r="CH17" s="1922"/>
      <c r="CI17" s="1922"/>
      <c r="CJ17" s="1922"/>
      <c r="CK17" s="1922"/>
      <c r="CL17" s="1922"/>
      <c r="CM17" s="1922"/>
      <c r="CN17" s="1922"/>
      <c r="CO17" s="1922"/>
      <c r="CP17" s="1922"/>
      <c r="CQ17" s="1922"/>
      <c r="CR17" s="1922"/>
      <c r="CS17" s="1922"/>
      <c r="CT17" s="1922"/>
      <c r="CU17" s="1922"/>
      <c r="CV17" s="1922"/>
      <c r="CW17" s="1922"/>
      <c r="CX17" s="1922"/>
      <c r="CY17" s="1922"/>
      <c r="CZ17" s="1922"/>
      <c r="DA17" s="1922"/>
      <c r="DB17" s="1922"/>
      <c r="DC17" s="1922"/>
      <c r="DD17" s="1922"/>
      <c r="DE17" s="1922"/>
      <c r="DF17" s="1922"/>
    </row>
    <row r="18" spans="1:110" customFormat="1" ht="15.6" customHeight="1">
      <c r="A18" s="1933" t="s">
        <v>7365</v>
      </c>
      <c r="B18" s="1934" t="s">
        <v>7421</v>
      </c>
      <c r="C18" s="1933" t="s">
        <v>7647</v>
      </c>
      <c r="D18" s="1935" t="s">
        <v>7648</v>
      </c>
      <c r="E18" s="1935" t="s">
        <v>7610</v>
      </c>
      <c r="F18" s="1935"/>
      <c r="G18" s="3676" t="s">
        <v>7649</v>
      </c>
      <c r="H18" s="3676" t="s">
        <v>7650</v>
      </c>
      <c r="I18" s="3676"/>
      <c r="J18" s="3676" t="s">
        <v>7651</v>
      </c>
      <c r="K18" s="3676"/>
      <c r="L18" s="3676" t="s">
        <v>7475</v>
      </c>
      <c r="M18" s="3676" t="s">
        <v>7387</v>
      </c>
      <c r="N18" s="3613"/>
      <c r="O18" s="3706"/>
      <c r="P18" s="3662" t="s">
        <v>7513</v>
      </c>
      <c r="Q18" s="3650" t="s">
        <v>7652</v>
      </c>
      <c r="R18" s="3650" t="s">
        <v>7653</v>
      </c>
      <c r="S18" s="3678" t="s">
        <v>7623</v>
      </c>
      <c r="T18" s="3650"/>
      <c r="U18" s="3678" t="s">
        <v>7654</v>
      </c>
      <c r="V18" s="3650" t="s">
        <v>7499</v>
      </c>
      <c r="W18" s="3678" t="s">
        <v>7655</v>
      </c>
      <c r="X18" s="3678" t="s">
        <v>7387</v>
      </c>
      <c r="Y18" s="3710"/>
      <c r="Z18" s="3709"/>
      <c r="AA18" s="3678" t="s">
        <v>7575</v>
      </c>
      <c r="AB18" s="1935" t="s">
        <v>7555</v>
      </c>
      <c r="AC18" s="1935" t="s">
        <v>7656</v>
      </c>
      <c r="AD18" s="1935" t="s">
        <v>7603</v>
      </c>
      <c r="AE18" s="1935" t="s">
        <v>7657</v>
      </c>
      <c r="AF18" s="1935" t="s">
        <v>7658</v>
      </c>
      <c r="AG18" s="1935" t="s">
        <v>7659</v>
      </c>
      <c r="AH18" s="1935" t="s">
        <v>7607</v>
      </c>
      <c r="AI18" s="1935" t="s">
        <v>7660</v>
      </c>
      <c r="AJ18" s="1935" t="s">
        <v>7661</v>
      </c>
      <c r="AK18" s="1935" t="s">
        <v>7662</v>
      </c>
      <c r="AL18" s="1971" t="s">
        <v>7663</v>
      </c>
      <c r="AM18" s="3662" t="s">
        <v>7335</v>
      </c>
      <c r="AN18" s="3650" t="s">
        <v>7336</v>
      </c>
      <c r="AO18" s="3650" t="s">
        <v>7338</v>
      </c>
      <c r="AP18" s="3650" t="s">
        <v>7339</v>
      </c>
      <c r="AQ18" s="3650" t="s">
        <v>292</v>
      </c>
      <c r="AR18" s="3663" t="s">
        <v>7415</v>
      </c>
      <c r="AS18" s="1933" t="s">
        <v>7365</v>
      </c>
      <c r="AT18" s="1934" t="s">
        <v>7421</v>
      </c>
      <c r="AU18" s="1922"/>
      <c r="AV18" s="1922"/>
      <c r="AW18" s="1922"/>
      <c r="AX18" s="1922"/>
      <c r="AY18" s="1922"/>
      <c r="AZ18" s="1922"/>
      <c r="BA18" s="1922"/>
      <c r="BB18" s="1922"/>
      <c r="BC18" s="1922"/>
      <c r="BD18" s="1922"/>
      <c r="BE18" s="1922"/>
      <c r="BF18" s="1922"/>
      <c r="BG18" s="1922"/>
      <c r="BH18" s="1922"/>
      <c r="BI18" s="1922"/>
      <c r="BJ18" s="1922"/>
      <c r="BK18" s="1922"/>
      <c r="BL18" s="1922"/>
      <c r="BM18" s="1922"/>
      <c r="BN18" s="1922"/>
      <c r="BO18" s="1922"/>
      <c r="BP18" s="1922"/>
      <c r="BQ18" s="1922"/>
      <c r="BR18" s="1922"/>
      <c r="BS18" s="1922"/>
      <c r="BT18" s="1922"/>
      <c r="BU18" s="1922"/>
      <c r="BV18" s="1922"/>
      <c r="BW18" s="1922"/>
      <c r="BX18" s="1922"/>
      <c r="BY18" s="1922"/>
      <c r="BZ18" s="1922"/>
      <c r="CA18" s="1922"/>
      <c r="CB18" s="1922"/>
      <c r="CC18" s="1922"/>
      <c r="CD18" s="1922"/>
      <c r="CE18" s="1922"/>
      <c r="CF18" s="1922"/>
      <c r="CG18" s="1922"/>
      <c r="CH18" s="1922"/>
      <c r="CI18" s="1922"/>
      <c r="CJ18" s="1922"/>
      <c r="CK18" s="1922"/>
      <c r="CL18" s="1922"/>
      <c r="CM18" s="1922"/>
      <c r="CN18" s="1922"/>
      <c r="CO18" s="1922"/>
      <c r="CP18" s="1922"/>
      <c r="CQ18" s="1922"/>
      <c r="CR18" s="1922"/>
      <c r="CS18" s="1922"/>
      <c r="CT18" s="1922"/>
      <c r="CU18" s="1922"/>
      <c r="CV18" s="1922"/>
      <c r="CW18" s="1922"/>
      <c r="CX18" s="1922"/>
      <c r="CY18" s="1922"/>
      <c r="CZ18" s="1922"/>
      <c r="DA18" s="1922"/>
      <c r="DB18" s="1922"/>
      <c r="DC18" s="1922"/>
      <c r="DD18" s="1922"/>
      <c r="DE18" s="1922"/>
      <c r="DF18" s="1922"/>
    </row>
    <row r="19" spans="1:110" customFormat="1">
      <c r="A19" s="1933" t="s">
        <v>7421</v>
      </c>
      <c r="B19" s="1934" t="s">
        <v>7369</v>
      </c>
      <c r="C19" s="1933" t="s">
        <v>7664</v>
      </c>
      <c r="D19" s="1935" t="s">
        <v>7507</v>
      </c>
      <c r="E19" s="1935" t="s">
        <v>7665</v>
      </c>
      <c r="F19" s="1935"/>
      <c r="G19" s="3677"/>
      <c r="H19" s="3677"/>
      <c r="I19" s="3677"/>
      <c r="J19" s="3677"/>
      <c r="K19" s="3677"/>
      <c r="L19" s="3677"/>
      <c r="M19" s="3677"/>
      <c r="N19" s="3613"/>
      <c r="O19" s="3706"/>
      <c r="P19" s="3662"/>
      <c r="Q19" s="3650"/>
      <c r="R19" s="3650"/>
      <c r="S19" s="3619"/>
      <c r="T19" s="3650"/>
      <c r="U19" s="3619"/>
      <c r="V19" s="3650"/>
      <c r="W19" s="3619"/>
      <c r="X19" s="3619"/>
      <c r="Y19" s="3710"/>
      <c r="Z19" s="3709"/>
      <c r="AA19" s="3619"/>
      <c r="AB19" s="1964">
        <v>-65</v>
      </c>
      <c r="AC19" s="1935" t="s">
        <v>7666</v>
      </c>
      <c r="AD19" s="1935" t="s">
        <v>7667</v>
      </c>
      <c r="AE19" s="1935" t="s">
        <v>7668</v>
      </c>
      <c r="AF19" s="1935" t="s">
        <v>7669</v>
      </c>
      <c r="AG19" s="1935" t="s">
        <v>7670</v>
      </c>
      <c r="AH19" s="1935" t="s">
        <v>7671</v>
      </c>
      <c r="AI19" s="1935" t="s">
        <v>7672</v>
      </c>
      <c r="AJ19" s="1935" t="s">
        <v>7673</v>
      </c>
      <c r="AK19" s="1935" t="s">
        <v>7674</v>
      </c>
      <c r="AL19" s="1971" t="s">
        <v>7675</v>
      </c>
      <c r="AM19" s="3618"/>
      <c r="AN19" s="3620"/>
      <c r="AO19" s="3620"/>
      <c r="AP19" s="3620"/>
      <c r="AQ19" s="3620"/>
      <c r="AR19" s="3665"/>
      <c r="AS19" s="1933" t="s">
        <v>7421</v>
      </c>
      <c r="AT19" s="1934" t="s">
        <v>7369</v>
      </c>
      <c r="AU19" s="1922"/>
      <c r="AV19" s="1922"/>
      <c r="AW19" s="1922"/>
      <c r="AX19" s="1922"/>
      <c r="AY19" s="1922"/>
      <c r="AZ19" s="1922"/>
      <c r="BA19" s="1922"/>
      <c r="BB19" s="1922"/>
      <c r="BC19" s="1922"/>
      <c r="BD19" s="1922"/>
      <c r="BE19" s="1922"/>
      <c r="BF19" s="1922"/>
      <c r="BG19" s="1922"/>
      <c r="BH19" s="1922"/>
      <c r="BI19" s="1922"/>
      <c r="BJ19" s="1922"/>
      <c r="BK19" s="1922"/>
      <c r="BL19" s="1922"/>
      <c r="BM19" s="1922"/>
      <c r="BN19" s="1922"/>
      <c r="BO19" s="1922"/>
      <c r="BP19" s="1922"/>
      <c r="BQ19" s="1922"/>
      <c r="BR19" s="1922"/>
      <c r="BS19" s="1922"/>
      <c r="BT19" s="1922"/>
      <c r="BU19" s="1922"/>
      <c r="BV19" s="1922"/>
      <c r="BW19" s="1922"/>
      <c r="BX19" s="1922"/>
      <c r="BY19" s="1922"/>
      <c r="BZ19" s="1922"/>
      <c r="CA19" s="1922"/>
      <c r="CB19" s="1922"/>
      <c r="CC19" s="1922"/>
      <c r="CD19" s="1922"/>
      <c r="CE19" s="1922"/>
      <c r="CF19" s="1922"/>
      <c r="CG19" s="1922"/>
      <c r="CH19" s="1922"/>
      <c r="CI19" s="1922"/>
      <c r="CJ19" s="1922"/>
      <c r="CK19" s="1922"/>
      <c r="CL19" s="1922"/>
      <c r="CM19" s="1922"/>
      <c r="CN19" s="1922"/>
      <c r="CO19" s="1922"/>
      <c r="CP19" s="1922"/>
      <c r="CQ19" s="1922"/>
      <c r="CR19" s="1922"/>
      <c r="CS19" s="1922"/>
      <c r="CT19" s="1922"/>
      <c r="CU19" s="1922"/>
      <c r="CV19" s="1922"/>
      <c r="CW19" s="1922"/>
      <c r="CX19" s="1922"/>
      <c r="CY19" s="1922"/>
      <c r="CZ19" s="1922"/>
      <c r="DA19" s="1922"/>
      <c r="DB19" s="1922"/>
      <c r="DC19" s="1922"/>
      <c r="DD19" s="1922"/>
      <c r="DE19" s="1922"/>
      <c r="DF19" s="1922"/>
    </row>
    <row r="20" spans="1:110" customFormat="1">
      <c r="A20" s="1933" t="s">
        <v>7369</v>
      </c>
      <c r="B20" s="1934" t="s">
        <v>7408</v>
      </c>
      <c r="C20" s="1933" t="s">
        <v>7676</v>
      </c>
      <c r="D20" s="1935" t="s">
        <v>7567</v>
      </c>
      <c r="E20" s="1935" t="s">
        <v>7677</v>
      </c>
      <c r="F20" s="1935"/>
      <c r="G20" s="3675"/>
      <c r="H20" s="3675"/>
      <c r="I20" s="3675"/>
      <c r="J20" s="3675"/>
      <c r="K20" s="3675"/>
      <c r="L20" s="3675"/>
      <c r="M20" s="3675"/>
      <c r="N20" s="3613"/>
      <c r="O20" s="3706"/>
      <c r="P20" s="3662"/>
      <c r="Q20" s="3650"/>
      <c r="R20" s="3650"/>
      <c r="S20" s="3619"/>
      <c r="T20" s="3650"/>
      <c r="U20" s="3619"/>
      <c r="V20" s="3650"/>
      <c r="W20" s="3619"/>
      <c r="X20" s="3619"/>
      <c r="Y20" s="3710"/>
      <c r="Z20" s="3709"/>
      <c r="AA20" s="3619"/>
      <c r="AB20" s="1964">
        <v>-68</v>
      </c>
      <c r="AC20" s="1935" t="s">
        <v>7540</v>
      </c>
      <c r="AD20" s="1935" t="s">
        <v>7613</v>
      </c>
      <c r="AE20" s="1935" t="s">
        <v>7615</v>
      </c>
      <c r="AF20" s="1935" t="s">
        <v>7678</v>
      </c>
      <c r="AG20" s="1935" t="s">
        <v>7643</v>
      </c>
      <c r="AH20" s="1935" t="s">
        <v>7679</v>
      </c>
      <c r="AI20" s="1935" t="s">
        <v>7680</v>
      </c>
      <c r="AJ20" s="1935" t="s">
        <v>7681</v>
      </c>
      <c r="AK20" s="1935" t="s">
        <v>7682</v>
      </c>
      <c r="AL20" s="1971" t="s">
        <v>7683</v>
      </c>
      <c r="AM20" s="3618"/>
      <c r="AN20" s="3620"/>
      <c r="AO20" s="3620"/>
      <c r="AP20" s="3620"/>
      <c r="AQ20" s="3620"/>
      <c r="AR20" s="3665"/>
      <c r="AS20" s="1933" t="s">
        <v>7369</v>
      </c>
      <c r="AT20" s="1934" t="s">
        <v>7408</v>
      </c>
      <c r="AU20" s="1922"/>
      <c r="AV20" s="1922"/>
      <c r="AW20" s="1922"/>
      <c r="AX20" s="1922"/>
      <c r="AY20" s="1922"/>
      <c r="AZ20" s="1922"/>
      <c r="BA20" s="1922"/>
      <c r="BB20" s="1922"/>
      <c r="BC20" s="1922"/>
      <c r="BD20" s="1922"/>
      <c r="BE20" s="1922"/>
      <c r="BF20" s="1922"/>
      <c r="BG20" s="1922"/>
      <c r="BH20" s="1922"/>
      <c r="BI20" s="1922"/>
      <c r="BJ20" s="1922"/>
      <c r="BK20" s="1922"/>
      <c r="BL20" s="1922"/>
      <c r="BM20" s="1922"/>
      <c r="BN20" s="1922"/>
      <c r="BO20" s="1922"/>
      <c r="BP20" s="1922"/>
      <c r="BQ20" s="1922"/>
      <c r="BR20" s="1922"/>
      <c r="BS20" s="1922"/>
      <c r="BT20" s="1922"/>
      <c r="BU20" s="1922"/>
      <c r="BV20" s="1922"/>
      <c r="BW20" s="1922"/>
      <c r="BX20" s="1922"/>
      <c r="BY20" s="1922"/>
      <c r="BZ20" s="1922"/>
      <c r="CA20" s="1922"/>
      <c r="CB20" s="1922"/>
      <c r="CC20" s="1922"/>
      <c r="CD20" s="1922"/>
      <c r="CE20" s="1922"/>
      <c r="CF20" s="1922"/>
      <c r="CG20" s="1922"/>
      <c r="CH20" s="1922"/>
      <c r="CI20" s="1922"/>
      <c r="CJ20" s="1922"/>
      <c r="CK20" s="1922"/>
      <c r="CL20" s="1922"/>
      <c r="CM20" s="1922"/>
      <c r="CN20" s="1922"/>
      <c r="CO20" s="1922"/>
      <c r="CP20" s="1922"/>
      <c r="CQ20" s="1922"/>
      <c r="CR20" s="1922"/>
      <c r="CS20" s="1922"/>
      <c r="CT20" s="1922"/>
      <c r="CU20" s="1922"/>
      <c r="CV20" s="1922"/>
      <c r="CW20" s="1922"/>
      <c r="CX20" s="1922"/>
      <c r="CY20" s="1922"/>
      <c r="CZ20" s="1922"/>
      <c r="DA20" s="1922"/>
      <c r="DB20" s="1922"/>
      <c r="DC20" s="1922"/>
      <c r="DD20" s="1922"/>
      <c r="DE20" s="1922"/>
      <c r="DF20" s="1922"/>
    </row>
    <row r="21" spans="1:110" customFormat="1" ht="15.6" customHeight="1">
      <c r="A21" s="1933" t="s">
        <v>7408</v>
      </c>
      <c r="B21" s="1934" t="s">
        <v>7368</v>
      </c>
      <c r="C21" s="1933" t="s">
        <v>7684</v>
      </c>
      <c r="D21" s="1935" t="s">
        <v>7592</v>
      </c>
      <c r="E21" s="1935" t="s">
        <v>7639</v>
      </c>
      <c r="F21" s="1935"/>
      <c r="G21" s="3676" t="s">
        <v>7568</v>
      </c>
      <c r="H21" s="3676" t="s">
        <v>7594</v>
      </c>
      <c r="I21" s="3676"/>
      <c r="J21" s="3676" t="s">
        <v>7525</v>
      </c>
      <c r="K21" s="3676"/>
      <c r="L21" s="3676" t="s">
        <v>7528</v>
      </c>
      <c r="M21" s="3676" t="s">
        <v>7387</v>
      </c>
      <c r="N21" s="3613"/>
      <c r="O21" s="3706"/>
      <c r="P21" s="3662" t="s">
        <v>7622</v>
      </c>
      <c r="Q21" s="3650" t="s">
        <v>7493</v>
      </c>
      <c r="R21" s="3650" t="s">
        <v>7685</v>
      </c>
      <c r="S21" s="3678" t="s">
        <v>7686</v>
      </c>
      <c r="T21" s="3650"/>
      <c r="U21" s="3678" t="s">
        <v>7687</v>
      </c>
      <c r="V21" s="3650" t="s">
        <v>7688</v>
      </c>
      <c r="W21" s="3678" t="s">
        <v>7689</v>
      </c>
      <c r="X21" s="3678" t="s">
        <v>7387</v>
      </c>
      <c r="Y21" s="3710"/>
      <c r="Z21" s="3709"/>
      <c r="AA21" s="3678" t="s">
        <v>7505</v>
      </c>
      <c r="AB21" s="1935" t="s">
        <v>7539</v>
      </c>
      <c r="AC21" s="1935" t="s">
        <v>7603</v>
      </c>
      <c r="AD21" s="1935" t="s">
        <v>7690</v>
      </c>
      <c r="AE21" s="1935" t="s">
        <v>7691</v>
      </c>
      <c r="AF21" s="1935" t="s">
        <v>7692</v>
      </c>
      <c r="AG21" s="1935" t="s">
        <v>7693</v>
      </c>
      <c r="AH21" s="1935" t="s">
        <v>7694</v>
      </c>
      <c r="AI21" s="1935" t="s">
        <v>7695</v>
      </c>
      <c r="AJ21" s="1935" t="s">
        <v>7696</v>
      </c>
      <c r="AK21" s="1935" t="s">
        <v>7697</v>
      </c>
      <c r="AL21" s="1971" t="s">
        <v>7698</v>
      </c>
      <c r="AM21" s="3662" t="s">
        <v>7335</v>
      </c>
      <c r="AN21" s="3650" t="s">
        <v>7336</v>
      </c>
      <c r="AO21" s="3650" t="s">
        <v>7338</v>
      </c>
      <c r="AP21" s="3650" t="s">
        <v>6003</v>
      </c>
      <c r="AQ21" s="3650" t="s">
        <v>7699</v>
      </c>
      <c r="AR21" s="3663" t="s">
        <v>7700</v>
      </c>
      <c r="AS21" s="1933" t="s">
        <v>7408</v>
      </c>
      <c r="AT21" s="1934" t="s">
        <v>7368</v>
      </c>
      <c r="AU21" s="1922"/>
      <c r="AV21" s="1922"/>
      <c r="AW21" s="1922"/>
      <c r="AX21" s="1922"/>
      <c r="AY21" s="1922"/>
      <c r="AZ21" s="1922"/>
      <c r="BA21" s="1922"/>
      <c r="BB21" s="1922"/>
      <c r="BC21" s="1922"/>
      <c r="BD21" s="1922"/>
      <c r="BE21" s="1922"/>
      <c r="BF21" s="1922"/>
      <c r="BG21" s="1922"/>
      <c r="BH21" s="1922"/>
      <c r="BI21" s="1922"/>
      <c r="BJ21" s="1922"/>
      <c r="BK21" s="1922"/>
      <c r="BL21" s="1922"/>
      <c r="BM21" s="1922"/>
      <c r="BN21" s="1922"/>
      <c r="BO21" s="1922"/>
      <c r="BP21" s="1922"/>
      <c r="BQ21" s="1922"/>
      <c r="BR21" s="1922"/>
      <c r="BS21" s="1922"/>
      <c r="BT21" s="1922"/>
      <c r="BU21" s="1922"/>
      <c r="BV21" s="1922"/>
      <c r="BW21" s="1922"/>
      <c r="BX21" s="1922"/>
      <c r="BY21" s="1922"/>
      <c r="BZ21" s="1922"/>
      <c r="CA21" s="1922"/>
      <c r="CB21" s="1922"/>
      <c r="CC21" s="1922"/>
      <c r="CD21" s="1922"/>
      <c r="CE21" s="1922"/>
      <c r="CF21" s="1922"/>
      <c r="CG21" s="1922"/>
      <c r="CH21" s="1922"/>
      <c r="CI21" s="1922"/>
      <c r="CJ21" s="1922"/>
      <c r="CK21" s="1922"/>
      <c r="CL21" s="1922"/>
      <c r="CM21" s="1922"/>
      <c r="CN21" s="1922"/>
      <c r="CO21" s="1922"/>
      <c r="CP21" s="1922"/>
      <c r="CQ21" s="1922"/>
      <c r="CR21" s="1922"/>
      <c r="CS21" s="1922"/>
      <c r="CT21" s="1922"/>
      <c r="CU21" s="1922"/>
      <c r="CV21" s="1922"/>
      <c r="CW21" s="1922"/>
      <c r="CX21" s="1922"/>
      <c r="CY21" s="1922"/>
      <c r="CZ21" s="1922"/>
      <c r="DA21" s="1922"/>
      <c r="DB21" s="1922"/>
      <c r="DC21" s="1922"/>
      <c r="DD21" s="1922"/>
      <c r="DE21" s="1922"/>
      <c r="DF21" s="1922"/>
    </row>
    <row r="22" spans="1:110" customFormat="1">
      <c r="A22" s="1933" t="s">
        <v>7368</v>
      </c>
      <c r="B22" s="1934" t="s">
        <v>7701</v>
      </c>
      <c r="C22" s="1933" t="s">
        <v>7702</v>
      </c>
      <c r="D22" s="1935" t="s">
        <v>7618</v>
      </c>
      <c r="E22" s="1935" t="s">
        <v>7648</v>
      </c>
      <c r="F22" s="1935"/>
      <c r="G22" s="3677"/>
      <c r="H22" s="3677"/>
      <c r="I22" s="3677"/>
      <c r="J22" s="3677"/>
      <c r="K22" s="3677"/>
      <c r="L22" s="3677"/>
      <c r="M22" s="3677"/>
      <c r="N22" s="3613"/>
      <c r="O22" s="3706"/>
      <c r="P22" s="3662"/>
      <c r="Q22" s="3650"/>
      <c r="R22" s="3650"/>
      <c r="S22" s="3619"/>
      <c r="T22" s="3650"/>
      <c r="U22" s="3619"/>
      <c r="V22" s="3650"/>
      <c r="W22" s="3619"/>
      <c r="X22" s="3619"/>
      <c r="Y22" s="3710"/>
      <c r="Z22" s="3709"/>
      <c r="AA22" s="3619"/>
      <c r="AB22" s="1964">
        <v>-80</v>
      </c>
      <c r="AC22" s="1935" t="s">
        <v>7536</v>
      </c>
      <c r="AD22" s="1935" t="s">
        <v>7588</v>
      </c>
      <c r="AE22" s="1935" t="s">
        <v>7634</v>
      </c>
      <c r="AF22" s="1935" t="s">
        <v>7643</v>
      </c>
      <c r="AG22" s="1935" t="s">
        <v>7703</v>
      </c>
      <c r="AH22" s="1935" t="s">
        <v>7661</v>
      </c>
      <c r="AI22" s="1935" t="s">
        <v>7704</v>
      </c>
      <c r="AJ22" s="1935" t="s">
        <v>7705</v>
      </c>
      <c r="AK22" s="1935" t="s">
        <v>7706</v>
      </c>
      <c r="AL22" s="1971" t="s">
        <v>7707</v>
      </c>
      <c r="AM22" s="3618"/>
      <c r="AN22" s="3620"/>
      <c r="AO22" s="3620"/>
      <c r="AP22" s="3620"/>
      <c r="AQ22" s="3620"/>
      <c r="AR22" s="3665"/>
      <c r="AS22" s="1933" t="s">
        <v>7368</v>
      </c>
      <c r="AT22" s="1934" t="s">
        <v>7701</v>
      </c>
      <c r="AU22" s="1922"/>
      <c r="AV22" s="1922"/>
      <c r="AW22" s="1922"/>
      <c r="AX22" s="1922"/>
      <c r="AY22" s="1922"/>
      <c r="AZ22" s="1922"/>
      <c r="BA22" s="1922"/>
      <c r="BB22" s="1922"/>
      <c r="BC22" s="1922"/>
      <c r="BD22" s="1922"/>
      <c r="BE22" s="1922"/>
      <c r="BF22" s="1922"/>
      <c r="BG22" s="1922"/>
      <c r="BH22" s="1922"/>
      <c r="BI22" s="1922"/>
      <c r="BJ22" s="1922"/>
      <c r="BK22" s="1922"/>
      <c r="BL22" s="1922"/>
      <c r="BM22" s="1922"/>
      <c r="BN22" s="1922"/>
      <c r="BO22" s="1922"/>
      <c r="BP22" s="1922"/>
      <c r="BQ22" s="1922"/>
      <c r="BR22" s="1922"/>
      <c r="BS22" s="1922"/>
      <c r="BT22" s="1922"/>
      <c r="BU22" s="1922"/>
      <c r="BV22" s="1922"/>
      <c r="BW22" s="1922"/>
      <c r="BX22" s="1922"/>
      <c r="BY22" s="1922"/>
      <c r="BZ22" s="1922"/>
      <c r="CA22" s="1922"/>
      <c r="CB22" s="1922"/>
      <c r="CC22" s="1922"/>
      <c r="CD22" s="1922"/>
      <c r="CE22" s="1922"/>
      <c r="CF22" s="1922"/>
      <c r="CG22" s="1922"/>
      <c r="CH22" s="1922"/>
      <c r="CI22" s="1922"/>
      <c r="CJ22" s="1922"/>
      <c r="CK22" s="1922"/>
      <c r="CL22" s="1922"/>
      <c r="CM22" s="1922"/>
      <c r="CN22" s="1922"/>
      <c r="CO22" s="1922"/>
      <c r="CP22" s="1922"/>
      <c r="CQ22" s="1922"/>
      <c r="CR22" s="1922"/>
      <c r="CS22" s="1922"/>
      <c r="CT22" s="1922"/>
      <c r="CU22" s="1922"/>
      <c r="CV22" s="1922"/>
      <c r="CW22" s="1922"/>
      <c r="CX22" s="1922"/>
      <c r="CY22" s="1922"/>
      <c r="CZ22" s="1922"/>
      <c r="DA22" s="1922"/>
      <c r="DB22" s="1922"/>
      <c r="DC22" s="1922"/>
      <c r="DD22" s="1922"/>
      <c r="DE22" s="1922"/>
      <c r="DF22" s="1922"/>
    </row>
    <row r="23" spans="1:110" customFormat="1">
      <c r="A23" s="1933" t="s">
        <v>7701</v>
      </c>
      <c r="B23" s="1934" t="s">
        <v>7370</v>
      </c>
      <c r="C23" s="1933" t="s">
        <v>7708</v>
      </c>
      <c r="D23" s="1935" t="s">
        <v>7709</v>
      </c>
      <c r="E23" s="1935" t="s">
        <v>7507</v>
      </c>
      <c r="F23" s="1935"/>
      <c r="G23" s="3675"/>
      <c r="H23" s="3675"/>
      <c r="I23" s="3675"/>
      <c r="J23" s="3675"/>
      <c r="K23" s="3675"/>
      <c r="L23" s="3675"/>
      <c r="M23" s="3675"/>
      <c r="N23" s="3613"/>
      <c r="O23" s="3706"/>
      <c r="P23" s="3662"/>
      <c r="Q23" s="3650"/>
      <c r="R23" s="3650"/>
      <c r="S23" s="3619"/>
      <c r="T23" s="3650"/>
      <c r="U23" s="3619"/>
      <c r="V23" s="3650"/>
      <c r="W23" s="3619"/>
      <c r="X23" s="3619"/>
      <c r="Y23" s="3710"/>
      <c r="Z23" s="3709"/>
      <c r="AA23" s="3619"/>
      <c r="AB23" s="1964">
        <v>-84</v>
      </c>
      <c r="AC23" s="1935" t="s">
        <v>7710</v>
      </c>
      <c r="AD23" s="1935" t="s">
        <v>7711</v>
      </c>
      <c r="AE23" s="1935" t="s">
        <v>7692</v>
      </c>
      <c r="AF23" s="1935" t="s">
        <v>7671</v>
      </c>
      <c r="AG23" s="1935" t="s">
        <v>7694</v>
      </c>
      <c r="AH23" s="1935" t="s">
        <v>7695</v>
      </c>
      <c r="AI23" s="1935" t="s">
        <v>7712</v>
      </c>
      <c r="AJ23" s="1935" t="s">
        <v>7713</v>
      </c>
      <c r="AK23" s="1935" t="s">
        <v>7714</v>
      </c>
      <c r="AL23" s="1971" t="s">
        <v>7715</v>
      </c>
      <c r="AM23" s="3618"/>
      <c r="AN23" s="3620"/>
      <c r="AO23" s="3620"/>
      <c r="AP23" s="3620"/>
      <c r="AQ23" s="3620"/>
      <c r="AR23" s="3665"/>
      <c r="AS23" s="1933" t="s">
        <v>7701</v>
      </c>
      <c r="AT23" s="1934" t="s">
        <v>7370</v>
      </c>
      <c r="AU23" s="1922"/>
      <c r="AV23" s="1922"/>
      <c r="AW23" s="1922"/>
      <c r="AX23" s="1922"/>
      <c r="AY23" s="1922"/>
      <c r="AZ23" s="1922"/>
      <c r="BA23" s="1922"/>
      <c r="BB23" s="1922"/>
      <c r="BC23" s="1922"/>
      <c r="BD23" s="1922"/>
      <c r="BE23" s="1922"/>
      <c r="BF23" s="1922"/>
      <c r="BG23" s="1922"/>
      <c r="BH23" s="1922"/>
      <c r="BI23" s="1922"/>
      <c r="BJ23" s="1922"/>
      <c r="BK23" s="1922"/>
      <c r="BL23" s="1922"/>
      <c r="BM23" s="1922"/>
      <c r="BN23" s="1922"/>
      <c r="BO23" s="1922"/>
      <c r="BP23" s="1922"/>
      <c r="BQ23" s="1922"/>
      <c r="BR23" s="1922"/>
      <c r="BS23" s="1922"/>
      <c r="BT23" s="1922"/>
      <c r="BU23" s="1922"/>
      <c r="BV23" s="1922"/>
      <c r="BW23" s="1922"/>
      <c r="BX23" s="1922"/>
      <c r="BY23" s="1922"/>
      <c r="BZ23" s="1922"/>
      <c r="CA23" s="1922"/>
      <c r="CB23" s="1922"/>
      <c r="CC23" s="1922"/>
      <c r="CD23" s="1922"/>
      <c r="CE23" s="1922"/>
      <c r="CF23" s="1922"/>
      <c r="CG23" s="1922"/>
      <c r="CH23" s="1922"/>
      <c r="CI23" s="1922"/>
      <c r="CJ23" s="1922"/>
      <c r="CK23" s="1922"/>
      <c r="CL23" s="1922"/>
      <c r="CM23" s="1922"/>
      <c r="CN23" s="1922"/>
      <c r="CO23" s="1922"/>
      <c r="CP23" s="1922"/>
      <c r="CQ23" s="1922"/>
      <c r="CR23" s="1922"/>
      <c r="CS23" s="1922"/>
      <c r="CT23" s="1922"/>
      <c r="CU23" s="1922"/>
      <c r="CV23" s="1922"/>
      <c r="CW23" s="1922"/>
      <c r="CX23" s="1922"/>
      <c r="CY23" s="1922"/>
      <c r="CZ23" s="1922"/>
      <c r="DA23" s="1922"/>
      <c r="DB23" s="1922"/>
      <c r="DC23" s="1922"/>
      <c r="DD23" s="1922"/>
      <c r="DE23" s="1922"/>
      <c r="DF23" s="1922"/>
    </row>
    <row r="24" spans="1:110" customFormat="1" ht="15.6" customHeight="1">
      <c r="A24" s="1933" t="s">
        <v>7370</v>
      </c>
      <c r="B24" s="1934" t="s">
        <v>7716</v>
      </c>
      <c r="C24" s="1933" t="s">
        <v>7717</v>
      </c>
      <c r="D24" s="1935" t="s">
        <v>7718</v>
      </c>
      <c r="E24" s="1935" t="s">
        <v>7543</v>
      </c>
      <c r="F24" s="1935"/>
      <c r="G24" s="3676" t="s">
        <v>7593</v>
      </c>
      <c r="H24" s="3676" t="s">
        <v>7545</v>
      </c>
      <c r="I24" s="3676"/>
      <c r="J24" s="3676" t="s">
        <v>7510</v>
      </c>
      <c r="K24" s="3676"/>
      <c r="L24" s="3676" t="s">
        <v>7719</v>
      </c>
      <c r="M24" s="3676" t="s">
        <v>7387</v>
      </c>
      <c r="N24" s="3613"/>
      <c r="O24" s="3706"/>
      <c r="P24" s="3662" t="s">
        <v>7512</v>
      </c>
      <c r="Q24" s="3650" t="s">
        <v>7621</v>
      </c>
      <c r="R24" s="3650" t="s">
        <v>7720</v>
      </c>
      <c r="S24" s="3678" t="s">
        <v>7686</v>
      </c>
      <c r="T24" s="3650"/>
      <c r="U24" s="3678" t="s">
        <v>7721</v>
      </c>
      <c r="V24" s="3650" t="s">
        <v>7722</v>
      </c>
      <c r="W24" s="3678" t="s">
        <v>7723</v>
      </c>
      <c r="X24" s="3678" t="s">
        <v>7387</v>
      </c>
      <c r="Y24" s="3710"/>
      <c r="Z24" s="3709"/>
      <c r="AA24" s="3678" t="s">
        <v>7724</v>
      </c>
      <c r="AB24" s="1935" t="s">
        <v>7577</v>
      </c>
      <c r="AC24" s="1935" t="s">
        <v>7725</v>
      </c>
      <c r="AD24" s="1935" t="s">
        <v>7566</v>
      </c>
      <c r="AE24" s="1935" t="s">
        <v>7726</v>
      </c>
      <c r="AF24" s="1935" t="s">
        <v>7703</v>
      </c>
      <c r="AG24" s="1935" t="s">
        <v>7727</v>
      </c>
      <c r="AH24" s="1935" t="s">
        <v>7728</v>
      </c>
      <c r="AI24" s="1935" t="s">
        <v>7729</v>
      </c>
      <c r="AJ24" s="1935" t="s">
        <v>7730</v>
      </c>
      <c r="AK24" s="1935" t="s">
        <v>7731</v>
      </c>
      <c r="AL24" s="1971" t="s">
        <v>7732</v>
      </c>
      <c r="AM24" s="3662" t="s">
        <v>7336</v>
      </c>
      <c r="AN24" s="3650" t="s">
        <v>7336</v>
      </c>
      <c r="AO24" s="3650" t="s">
        <v>7339</v>
      </c>
      <c r="AP24" s="3650" t="s">
        <v>6003</v>
      </c>
      <c r="AQ24" s="3650" t="s">
        <v>298</v>
      </c>
      <c r="AR24" s="3663" t="s">
        <v>7411</v>
      </c>
      <c r="AS24" s="1933" t="s">
        <v>7370</v>
      </c>
      <c r="AT24" s="1934" t="s">
        <v>7716</v>
      </c>
      <c r="AU24" s="1922"/>
      <c r="AV24" s="1922"/>
      <c r="AW24" s="1922"/>
      <c r="AX24" s="1922"/>
      <c r="AY24" s="1922"/>
      <c r="AZ24" s="1922"/>
      <c r="BA24" s="1922"/>
      <c r="BB24" s="1922"/>
      <c r="BC24" s="1922"/>
      <c r="BD24" s="1922"/>
      <c r="BE24" s="1922"/>
      <c r="BF24" s="1922"/>
      <c r="BG24" s="1922"/>
      <c r="BH24" s="1922"/>
      <c r="BI24" s="1922"/>
      <c r="BJ24" s="1922"/>
      <c r="BK24" s="1922"/>
      <c r="BL24" s="1922"/>
      <c r="BM24" s="1922"/>
      <c r="BN24" s="1922"/>
      <c r="BO24" s="1922"/>
      <c r="BP24" s="1922"/>
      <c r="BQ24" s="1922"/>
      <c r="BR24" s="1922"/>
      <c r="BS24" s="1922"/>
      <c r="BT24" s="1922"/>
      <c r="BU24" s="1922"/>
      <c r="BV24" s="1922"/>
      <c r="BW24" s="1922"/>
      <c r="BX24" s="1922"/>
      <c r="BY24" s="1922"/>
      <c r="BZ24" s="1922"/>
      <c r="CA24" s="1922"/>
      <c r="CB24" s="1922"/>
      <c r="CC24" s="1922"/>
      <c r="CD24" s="1922"/>
      <c r="CE24" s="1922"/>
      <c r="CF24" s="1922"/>
      <c r="CG24" s="1922"/>
      <c r="CH24" s="1922"/>
      <c r="CI24" s="1922"/>
      <c r="CJ24" s="1922"/>
      <c r="CK24" s="1922"/>
      <c r="CL24" s="1922"/>
      <c r="CM24" s="1922"/>
      <c r="CN24" s="1922"/>
      <c r="CO24" s="1922"/>
      <c r="CP24" s="1922"/>
      <c r="CQ24" s="1922"/>
      <c r="CR24" s="1922"/>
      <c r="CS24" s="1922"/>
      <c r="CT24" s="1922"/>
      <c r="CU24" s="1922"/>
      <c r="CV24" s="1922"/>
      <c r="CW24" s="1922"/>
      <c r="CX24" s="1922"/>
      <c r="CY24" s="1922"/>
      <c r="CZ24" s="1922"/>
      <c r="DA24" s="1922"/>
      <c r="DB24" s="1922"/>
      <c r="DC24" s="1922"/>
      <c r="DD24" s="1922"/>
      <c r="DE24" s="1922"/>
      <c r="DF24" s="1922"/>
    </row>
    <row r="25" spans="1:110" customFormat="1">
      <c r="A25" s="1933" t="s">
        <v>7716</v>
      </c>
      <c r="B25" s="1934" t="s">
        <v>7414</v>
      </c>
      <c r="C25" s="1933" t="s">
        <v>7733</v>
      </c>
      <c r="D25" s="1935" t="s">
        <v>7734</v>
      </c>
      <c r="E25" s="1935" t="s">
        <v>7735</v>
      </c>
      <c r="F25" s="1935"/>
      <c r="G25" s="3675"/>
      <c r="H25" s="3675"/>
      <c r="I25" s="3675"/>
      <c r="J25" s="3675"/>
      <c r="K25" s="3675"/>
      <c r="L25" s="3675"/>
      <c r="M25" s="3675"/>
      <c r="N25" s="3613"/>
      <c r="O25" s="3706"/>
      <c r="P25" s="3662"/>
      <c r="Q25" s="3650"/>
      <c r="R25" s="3650"/>
      <c r="S25" s="3619"/>
      <c r="T25" s="3650"/>
      <c r="U25" s="3619"/>
      <c r="V25" s="3650"/>
      <c r="W25" s="3619"/>
      <c r="X25" s="3619"/>
      <c r="Y25" s="3710"/>
      <c r="Z25" s="3709"/>
      <c r="AA25" s="3619"/>
      <c r="AB25" s="1964">
        <v>-98</v>
      </c>
      <c r="AC25" s="1935" t="s">
        <v>7657</v>
      </c>
      <c r="AD25" s="1935" t="s">
        <v>7736</v>
      </c>
      <c r="AE25" s="1935" t="s">
        <v>7693</v>
      </c>
      <c r="AF25" s="1935" t="s">
        <v>7694</v>
      </c>
      <c r="AG25" s="1935" t="s">
        <v>7645</v>
      </c>
      <c r="AH25" s="1935" t="s">
        <v>7737</v>
      </c>
      <c r="AI25" s="1935" t="s">
        <v>7738</v>
      </c>
      <c r="AJ25" s="1935" t="s">
        <v>7683</v>
      </c>
      <c r="AK25" s="1935" t="s">
        <v>7739</v>
      </c>
      <c r="AL25" s="1971" t="s">
        <v>7740</v>
      </c>
      <c r="AM25" s="3618"/>
      <c r="AN25" s="3620"/>
      <c r="AO25" s="3620"/>
      <c r="AP25" s="3620"/>
      <c r="AQ25" s="3620"/>
      <c r="AR25" s="3665"/>
      <c r="AS25" s="1933" t="s">
        <v>7716</v>
      </c>
      <c r="AT25" s="1934" t="s">
        <v>7414</v>
      </c>
      <c r="AU25" s="1922"/>
      <c r="AV25" s="1922"/>
      <c r="AW25" s="1922"/>
      <c r="AX25" s="1922"/>
      <c r="AY25" s="1922"/>
      <c r="AZ25" s="1922"/>
      <c r="BA25" s="1922"/>
      <c r="BB25" s="1922"/>
      <c r="BC25" s="1922"/>
      <c r="BD25" s="1922"/>
      <c r="BE25" s="1922"/>
      <c r="BF25" s="1922"/>
      <c r="BG25" s="1922"/>
      <c r="BH25" s="1922"/>
      <c r="BI25" s="1922"/>
      <c r="BJ25" s="1922"/>
      <c r="BK25" s="1922"/>
      <c r="BL25" s="1922"/>
      <c r="BM25" s="1922"/>
      <c r="BN25" s="1922"/>
      <c r="BO25" s="1922"/>
      <c r="BP25" s="1922"/>
      <c r="BQ25" s="1922"/>
      <c r="BR25" s="1922"/>
      <c r="BS25" s="1922"/>
      <c r="BT25" s="1922"/>
      <c r="BU25" s="1922"/>
      <c r="BV25" s="1922"/>
      <c r="BW25" s="1922"/>
      <c r="BX25" s="1922"/>
      <c r="BY25" s="1922"/>
      <c r="BZ25" s="1922"/>
      <c r="CA25" s="1922"/>
      <c r="CB25" s="1922"/>
      <c r="CC25" s="1922"/>
      <c r="CD25" s="1922"/>
      <c r="CE25" s="1922"/>
      <c r="CF25" s="1922"/>
      <c r="CG25" s="1922"/>
      <c r="CH25" s="1922"/>
      <c r="CI25" s="1922"/>
      <c r="CJ25" s="1922"/>
      <c r="CK25" s="1922"/>
      <c r="CL25" s="1922"/>
      <c r="CM25" s="1922"/>
      <c r="CN25" s="1922"/>
      <c r="CO25" s="1922"/>
      <c r="CP25" s="1922"/>
      <c r="CQ25" s="1922"/>
      <c r="CR25" s="1922"/>
      <c r="CS25" s="1922"/>
      <c r="CT25" s="1922"/>
      <c r="CU25" s="1922"/>
      <c r="CV25" s="1922"/>
      <c r="CW25" s="1922"/>
      <c r="CX25" s="1922"/>
      <c r="CY25" s="1922"/>
      <c r="CZ25" s="1922"/>
      <c r="DA25" s="1922"/>
      <c r="DB25" s="1922"/>
      <c r="DC25" s="1922"/>
      <c r="DD25" s="1922"/>
      <c r="DE25" s="1922"/>
      <c r="DF25" s="1922"/>
    </row>
    <row r="26" spans="1:110" customFormat="1" ht="15.6" customHeight="1">
      <c r="A26" s="1933" t="s">
        <v>7414</v>
      </c>
      <c r="B26" s="1934" t="s">
        <v>7741</v>
      </c>
      <c r="C26" s="1933" t="s">
        <v>7742</v>
      </c>
      <c r="D26" s="1935" t="s">
        <v>7743</v>
      </c>
      <c r="E26" s="1935" t="s">
        <v>7609</v>
      </c>
      <c r="F26" s="1935"/>
      <c r="G26" s="3676" t="s">
        <v>7665</v>
      </c>
      <c r="H26" s="3676" t="s">
        <v>7744</v>
      </c>
      <c r="I26" s="3676"/>
      <c r="J26" s="3676" t="s">
        <v>7745</v>
      </c>
      <c r="K26" s="3676"/>
      <c r="L26" s="3676" t="s">
        <v>7513</v>
      </c>
      <c r="M26" s="3676" t="s">
        <v>7387</v>
      </c>
      <c r="N26" s="3613"/>
      <c r="O26" s="3706"/>
      <c r="P26" s="3662" t="s">
        <v>7746</v>
      </c>
      <c r="Q26" s="3650" t="s">
        <v>7747</v>
      </c>
      <c r="R26" s="3650" t="s">
        <v>7472</v>
      </c>
      <c r="S26" s="3678" t="s">
        <v>7686</v>
      </c>
      <c r="T26" s="3650"/>
      <c r="U26" s="3678" t="s">
        <v>7748</v>
      </c>
      <c r="V26" s="3650" t="s">
        <v>7749</v>
      </c>
      <c r="W26" s="3678" t="s">
        <v>7750</v>
      </c>
      <c r="X26" s="3678" t="s">
        <v>7387</v>
      </c>
      <c r="Y26" s="3710"/>
      <c r="Z26" s="3709"/>
      <c r="AA26" s="3678" t="s">
        <v>7751</v>
      </c>
      <c r="AB26" s="1935" t="s">
        <v>7540</v>
      </c>
      <c r="AC26" s="1935" t="s">
        <v>7668</v>
      </c>
      <c r="AD26" s="1935" t="s">
        <v>7752</v>
      </c>
      <c r="AE26" s="1935" t="s">
        <v>7753</v>
      </c>
      <c r="AF26" s="1935" t="s">
        <v>7727</v>
      </c>
      <c r="AG26" s="1935" t="s">
        <v>7754</v>
      </c>
      <c r="AH26" s="1935" t="s">
        <v>7755</v>
      </c>
      <c r="AI26" s="1935" t="s">
        <v>7675</v>
      </c>
      <c r="AJ26" s="1935" t="s">
        <v>7698</v>
      </c>
      <c r="AK26" s="1935" t="s">
        <v>7756</v>
      </c>
      <c r="AL26" s="1971" t="s">
        <v>7757</v>
      </c>
      <c r="AM26" s="3662" t="s">
        <v>7336</v>
      </c>
      <c r="AN26" s="3650" t="s">
        <v>7337</v>
      </c>
      <c r="AO26" s="3650" t="s">
        <v>7339</v>
      </c>
      <c r="AP26" s="3650" t="s">
        <v>7340</v>
      </c>
      <c r="AQ26" s="3650" t="s">
        <v>7398</v>
      </c>
      <c r="AR26" s="3663" t="s">
        <v>7416</v>
      </c>
      <c r="AS26" s="1933" t="s">
        <v>7414</v>
      </c>
      <c r="AT26" s="1934" t="s">
        <v>7741</v>
      </c>
      <c r="AU26" s="1922"/>
      <c r="AV26" s="1922"/>
      <c r="AW26" s="1922"/>
      <c r="AX26" s="1922"/>
      <c r="AY26" s="1922"/>
      <c r="AZ26" s="1922"/>
      <c r="BA26" s="1922"/>
      <c r="BB26" s="1922"/>
      <c r="BC26" s="1922"/>
      <c r="BD26" s="1922"/>
      <c r="BE26" s="1922"/>
      <c r="BF26" s="1922"/>
      <c r="BG26" s="1922"/>
      <c r="BH26" s="1922"/>
      <c r="BI26" s="1922"/>
      <c r="BJ26" s="1922"/>
      <c r="BK26" s="1922"/>
      <c r="BL26" s="1922"/>
      <c r="BM26" s="1922"/>
      <c r="BN26" s="1922"/>
      <c r="BO26" s="1922"/>
      <c r="BP26" s="1922"/>
      <c r="BQ26" s="1922"/>
      <c r="BR26" s="1922"/>
      <c r="BS26" s="1922"/>
      <c r="BT26" s="1922"/>
      <c r="BU26" s="1922"/>
      <c r="BV26" s="1922"/>
      <c r="BW26" s="1922"/>
      <c r="BX26" s="1922"/>
      <c r="BY26" s="1922"/>
      <c r="BZ26" s="1922"/>
      <c r="CA26" s="1922"/>
      <c r="CB26" s="1922"/>
      <c r="CC26" s="1922"/>
      <c r="CD26" s="1922"/>
      <c r="CE26" s="1922"/>
      <c r="CF26" s="1922"/>
      <c r="CG26" s="1922"/>
      <c r="CH26" s="1922"/>
      <c r="CI26" s="1922"/>
      <c r="CJ26" s="1922"/>
      <c r="CK26" s="1922"/>
      <c r="CL26" s="1922"/>
      <c r="CM26" s="1922"/>
      <c r="CN26" s="1922"/>
      <c r="CO26" s="1922"/>
      <c r="CP26" s="1922"/>
      <c r="CQ26" s="1922"/>
      <c r="CR26" s="1922"/>
      <c r="CS26" s="1922"/>
      <c r="CT26" s="1922"/>
      <c r="CU26" s="1922"/>
      <c r="CV26" s="1922"/>
      <c r="CW26" s="1922"/>
      <c r="CX26" s="1922"/>
      <c r="CY26" s="1922"/>
      <c r="CZ26" s="1922"/>
      <c r="DA26" s="1922"/>
      <c r="DB26" s="1922"/>
      <c r="DC26" s="1922"/>
      <c r="DD26" s="1922"/>
      <c r="DE26" s="1922"/>
      <c r="DF26" s="1922"/>
    </row>
    <row r="27" spans="1:110" customFormat="1">
      <c r="A27" s="1933" t="s">
        <v>7741</v>
      </c>
      <c r="B27" s="1934" t="s">
        <v>7372</v>
      </c>
      <c r="C27" s="1933" t="s">
        <v>7758</v>
      </c>
      <c r="D27" s="1935" t="s">
        <v>7759</v>
      </c>
      <c r="E27" s="1935" t="s">
        <v>7760</v>
      </c>
      <c r="F27" s="1935"/>
      <c r="G27" s="3675"/>
      <c r="H27" s="3675"/>
      <c r="I27" s="3675"/>
      <c r="J27" s="3675"/>
      <c r="K27" s="3675"/>
      <c r="L27" s="3675"/>
      <c r="M27" s="3675"/>
      <c r="N27" s="3613"/>
      <c r="O27" s="3706"/>
      <c r="P27" s="3662"/>
      <c r="Q27" s="3650"/>
      <c r="R27" s="3650"/>
      <c r="S27" s="3619"/>
      <c r="T27" s="3650"/>
      <c r="U27" s="3619"/>
      <c r="V27" s="3650"/>
      <c r="W27" s="3619"/>
      <c r="X27" s="3619"/>
      <c r="Y27" s="3710"/>
      <c r="Z27" s="3709"/>
      <c r="AA27" s="3619"/>
      <c r="AB27" s="1964">
        <v>-114</v>
      </c>
      <c r="AC27" s="1935" t="s">
        <v>7761</v>
      </c>
      <c r="AD27" s="1935" t="s">
        <v>7762</v>
      </c>
      <c r="AE27" s="1935" t="s">
        <v>7763</v>
      </c>
      <c r="AF27" s="1935" t="s">
        <v>7764</v>
      </c>
      <c r="AG27" s="1935" t="s">
        <v>7765</v>
      </c>
      <c r="AH27" s="1935" t="s">
        <v>7713</v>
      </c>
      <c r="AI27" s="1935" t="s">
        <v>7683</v>
      </c>
      <c r="AJ27" s="1935" t="s">
        <v>7739</v>
      </c>
      <c r="AK27" s="1935" t="s">
        <v>7766</v>
      </c>
      <c r="AL27" s="1971" t="s">
        <v>7767</v>
      </c>
      <c r="AM27" s="3618"/>
      <c r="AN27" s="3620"/>
      <c r="AO27" s="3620"/>
      <c r="AP27" s="3620"/>
      <c r="AQ27" s="3620"/>
      <c r="AR27" s="3665"/>
      <c r="AS27" s="1933" t="s">
        <v>7741</v>
      </c>
      <c r="AT27" s="1934" t="s">
        <v>7372</v>
      </c>
      <c r="AU27" s="1922"/>
      <c r="AV27" s="1922"/>
      <c r="AW27" s="1922"/>
      <c r="AX27" s="1922"/>
      <c r="AY27" s="1922"/>
      <c r="AZ27" s="1922"/>
      <c r="BA27" s="1922"/>
      <c r="BB27" s="1922"/>
      <c r="BC27" s="1922"/>
      <c r="BD27" s="1922"/>
      <c r="BE27" s="1922"/>
      <c r="BF27" s="1922"/>
      <c r="BG27" s="1922"/>
      <c r="BH27" s="1922"/>
      <c r="BI27" s="1922"/>
      <c r="BJ27" s="1922"/>
      <c r="BK27" s="1922"/>
      <c r="BL27" s="1922"/>
      <c r="BM27" s="1922"/>
      <c r="BN27" s="1922"/>
      <c r="BO27" s="1922"/>
      <c r="BP27" s="1922"/>
      <c r="BQ27" s="1922"/>
      <c r="BR27" s="1922"/>
      <c r="BS27" s="1922"/>
      <c r="BT27" s="1922"/>
      <c r="BU27" s="1922"/>
      <c r="BV27" s="1922"/>
      <c r="BW27" s="1922"/>
      <c r="BX27" s="1922"/>
      <c r="BY27" s="1922"/>
      <c r="BZ27" s="1922"/>
      <c r="CA27" s="1922"/>
      <c r="CB27" s="1922"/>
      <c r="CC27" s="1922"/>
      <c r="CD27" s="1922"/>
      <c r="CE27" s="1922"/>
      <c r="CF27" s="1922"/>
      <c r="CG27" s="1922"/>
      <c r="CH27" s="1922"/>
      <c r="CI27" s="1922"/>
      <c r="CJ27" s="1922"/>
      <c r="CK27" s="1922"/>
      <c r="CL27" s="1922"/>
      <c r="CM27" s="1922"/>
      <c r="CN27" s="1922"/>
      <c r="CO27" s="1922"/>
      <c r="CP27" s="1922"/>
      <c r="CQ27" s="1922"/>
      <c r="CR27" s="1922"/>
      <c r="CS27" s="1922"/>
      <c r="CT27" s="1922"/>
      <c r="CU27" s="1922"/>
      <c r="CV27" s="1922"/>
      <c r="CW27" s="1922"/>
      <c r="CX27" s="1922"/>
      <c r="CY27" s="1922"/>
      <c r="CZ27" s="1922"/>
      <c r="DA27" s="1922"/>
      <c r="DB27" s="1922"/>
      <c r="DC27" s="1922"/>
      <c r="DD27" s="1922"/>
      <c r="DE27" s="1922"/>
      <c r="DF27" s="1922"/>
    </row>
    <row r="28" spans="1:110" customFormat="1" ht="15.6" customHeight="1">
      <c r="A28" s="1933" t="s">
        <v>7372</v>
      </c>
      <c r="B28" s="1934" t="s">
        <v>7768</v>
      </c>
      <c r="C28" s="1933" t="s">
        <v>7769</v>
      </c>
      <c r="D28" s="1935" t="s">
        <v>7770</v>
      </c>
      <c r="E28" s="1935" t="s">
        <v>7771</v>
      </c>
      <c r="F28" s="1935"/>
      <c r="G28" s="3676" t="s">
        <v>7677</v>
      </c>
      <c r="H28" s="3676" t="s">
        <v>7772</v>
      </c>
      <c r="I28" s="3676"/>
      <c r="J28" s="3676" t="s">
        <v>7773</v>
      </c>
      <c r="K28" s="3676"/>
      <c r="L28" s="3676" t="s">
        <v>7474</v>
      </c>
      <c r="M28" s="3676" t="s">
        <v>7387</v>
      </c>
      <c r="N28" s="3613"/>
      <c r="O28" s="3706"/>
      <c r="P28" s="3662" t="s">
        <v>7774</v>
      </c>
      <c r="Q28" s="3650" t="s">
        <v>7651</v>
      </c>
      <c r="R28" s="3650" t="s">
        <v>7775</v>
      </c>
      <c r="S28" s="3678" t="s">
        <v>7776</v>
      </c>
      <c r="T28" s="3650"/>
      <c r="U28" s="3678" t="s">
        <v>7777</v>
      </c>
      <c r="V28" s="3650" t="s">
        <v>7501</v>
      </c>
      <c r="W28" s="3678" t="s">
        <v>7778</v>
      </c>
      <c r="X28" s="3678" t="s">
        <v>7387</v>
      </c>
      <c r="Y28" s="3710"/>
      <c r="Z28" s="3709"/>
      <c r="AA28" s="3678" t="s">
        <v>7576</v>
      </c>
      <c r="AB28" s="1935" t="s">
        <v>7779</v>
      </c>
      <c r="AC28" s="1935" t="s">
        <v>7780</v>
      </c>
      <c r="AD28" s="1935" t="s">
        <v>7781</v>
      </c>
      <c r="AE28" s="1935" t="s">
        <v>7782</v>
      </c>
      <c r="AF28" s="1935" t="s">
        <v>7783</v>
      </c>
      <c r="AG28" s="1935" t="s">
        <v>7705</v>
      </c>
      <c r="AH28" s="1935" t="s">
        <v>7730</v>
      </c>
      <c r="AI28" s="1935" t="s">
        <v>7784</v>
      </c>
      <c r="AJ28" s="1935" t="s">
        <v>7785</v>
      </c>
      <c r="AK28" s="1935" t="s">
        <v>7786</v>
      </c>
      <c r="AL28" s="1971" t="s">
        <v>7787</v>
      </c>
      <c r="AM28" s="3662" t="s">
        <v>7337</v>
      </c>
      <c r="AN28" s="3650" t="s">
        <v>7337</v>
      </c>
      <c r="AO28" s="3650" t="s">
        <v>7339</v>
      </c>
      <c r="AP28" s="3650" t="s">
        <v>7397</v>
      </c>
      <c r="AQ28" s="3650" t="s">
        <v>7415</v>
      </c>
      <c r="AR28" s="3663" t="s">
        <v>7788</v>
      </c>
      <c r="AS28" s="1933" t="s">
        <v>7372</v>
      </c>
      <c r="AT28" s="1934" t="s">
        <v>7768</v>
      </c>
      <c r="AU28" s="1922"/>
      <c r="AV28" s="1922"/>
      <c r="AW28" s="1922"/>
      <c r="AX28" s="1922"/>
      <c r="AY28" s="1922"/>
      <c r="AZ28" s="1922"/>
      <c r="BA28" s="1922"/>
      <c r="BB28" s="1922"/>
      <c r="BC28" s="1922"/>
      <c r="BD28" s="1922"/>
      <c r="BE28" s="1922"/>
      <c r="BF28" s="1922"/>
      <c r="BG28" s="1922"/>
      <c r="BH28" s="1922"/>
      <c r="BI28" s="1922"/>
      <c r="BJ28" s="1922"/>
      <c r="BK28" s="1922"/>
      <c r="BL28" s="1922"/>
      <c r="BM28" s="1922"/>
      <c r="BN28" s="1922"/>
      <c r="BO28" s="1922"/>
      <c r="BP28" s="1922"/>
      <c r="BQ28" s="1922"/>
      <c r="BR28" s="1922"/>
      <c r="BS28" s="1922"/>
      <c r="BT28" s="1922"/>
      <c r="BU28" s="1922"/>
      <c r="BV28" s="1922"/>
      <c r="BW28" s="1922"/>
      <c r="BX28" s="1922"/>
      <c r="BY28" s="1922"/>
      <c r="BZ28" s="1922"/>
      <c r="CA28" s="1922"/>
      <c r="CB28" s="1922"/>
      <c r="CC28" s="1922"/>
      <c r="CD28" s="1922"/>
      <c r="CE28" s="1922"/>
      <c r="CF28" s="1922"/>
      <c r="CG28" s="1922"/>
      <c r="CH28" s="1922"/>
      <c r="CI28" s="1922"/>
      <c r="CJ28" s="1922"/>
      <c r="CK28" s="1922"/>
      <c r="CL28" s="1922"/>
      <c r="CM28" s="1922"/>
      <c r="CN28" s="1922"/>
      <c r="CO28" s="1922"/>
      <c r="CP28" s="1922"/>
      <c r="CQ28" s="1922"/>
      <c r="CR28" s="1922"/>
      <c r="CS28" s="1922"/>
      <c r="CT28" s="1922"/>
      <c r="CU28" s="1922"/>
      <c r="CV28" s="1922"/>
      <c r="CW28" s="1922"/>
      <c r="CX28" s="1922"/>
      <c r="CY28" s="1922"/>
      <c r="CZ28" s="1922"/>
      <c r="DA28" s="1922"/>
      <c r="DB28" s="1922"/>
      <c r="DC28" s="1922"/>
      <c r="DD28" s="1922"/>
      <c r="DE28" s="1922"/>
      <c r="DF28" s="1922"/>
    </row>
    <row r="29" spans="1:110" customFormat="1">
      <c r="A29" s="1936" t="s">
        <v>7768</v>
      </c>
      <c r="B29" s="1937" t="s">
        <v>7374</v>
      </c>
      <c r="C29" s="1936" t="s">
        <v>7789</v>
      </c>
      <c r="D29" s="1938" t="s">
        <v>7790</v>
      </c>
      <c r="E29" s="1938" t="s">
        <v>7718</v>
      </c>
      <c r="F29" s="1938"/>
      <c r="G29" s="3611"/>
      <c r="H29" s="3611"/>
      <c r="I29" s="3611"/>
      <c r="J29" s="3611"/>
      <c r="K29" s="3611"/>
      <c r="L29" s="3611"/>
      <c r="M29" s="3611"/>
      <c r="N29" s="3627"/>
      <c r="O29" s="3707"/>
      <c r="P29" s="3671"/>
      <c r="Q29" s="3651"/>
      <c r="R29" s="3651"/>
      <c r="S29" s="3623"/>
      <c r="T29" s="3651"/>
      <c r="U29" s="3623"/>
      <c r="V29" s="3651"/>
      <c r="W29" s="3623"/>
      <c r="X29" s="3623"/>
      <c r="Y29" s="3711"/>
      <c r="Z29" s="3712"/>
      <c r="AA29" s="3623"/>
      <c r="AB29" s="1965">
        <v>-132</v>
      </c>
      <c r="AC29" s="1938" t="s">
        <v>7678</v>
      </c>
      <c r="AD29" s="1938" t="s">
        <v>7616</v>
      </c>
      <c r="AE29" s="1938" t="s">
        <v>7791</v>
      </c>
      <c r="AF29" s="1938" t="s">
        <v>7765</v>
      </c>
      <c r="AG29" s="1938" t="s">
        <v>7713</v>
      </c>
      <c r="AH29" s="1938" t="s">
        <v>7683</v>
      </c>
      <c r="AI29" s="1938" t="s">
        <v>7707</v>
      </c>
      <c r="AJ29" s="1938" t="s">
        <v>7792</v>
      </c>
      <c r="AK29" s="1938" t="s">
        <v>7767</v>
      </c>
      <c r="AL29" s="1972" t="s">
        <v>7793</v>
      </c>
      <c r="AM29" s="3679"/>
      <c r="AN29" s="3623"/>
      <c r="AO29" s="3623"/>
      <c r="AP29" s="3623"/>
      <c r="AQ29" s="3623"/>
      <c r="AR29" s="3625"/>
      <c r="AS29" s="1936" t="s">
        <v>7768</v>
      </c>
      <c r="AT29" s="1937" t="s">
        <v>7374</v>
      </c>
      <c r="AU29" s="1980"/>
      <c r="AV29" s="1980"/>
      <c r="AW29" s="1980"/>
      <c r="AX29" s="1980"/>
      <c r="AY29" s="1980"/>
      <c r="AZ29" s="1980"/>
      <c r="BA29" s="1980"/>
      <c r="BB29" s="1980"/>
      <c r="BC29" s="1980"/>
      <c r="BD29" s="1980"/>
      <c r="BE29" s="1980"/>
      <c r="BF29" s="1980"/>
      <c r="BG29" s="1980"/>
      <c r="BH29" s="1980"/>
      <c r="BI29" s="1980"/>
      <c r="BJ29" s="1980"/>
      <c r="BK29" s="1980"/>
      <c r="BL29" s="1922"/>
      <c r="BM29" s="1922"/>
      <c r="BN29" s="1922"/>
      <c r="BO29" s="1922"/>
      <c r="BP29" s="1922"/>
      <c r="BQ29" s="1922"/>
      <c r="BR29" s="1922"/>
      <c r="BS29" s="1922"/>
      <c r="BT29" s="1922"/>
      <c r="BU29" s="1922"/>
      <c r="BV29" s="1922"/>
      <c r="BW29" s="1922"/>
      <c r="BX29" s="1922"/>
      <c r="BY29" s="1922"/>
      <c r="BZ29" s="1922"/>
      <c r="CA29" s="1922"/>
      <c r="CB29" s="1922"/>
      <c r="CC29" s="1922"/>
      <c r="CD29" s="1922"/>
      <c r="CE29" s="1922"/>
      <c r="CF29" s="1922"/>
      <c r="CG29" s="1922"/>
      <c r="CH29" s="1922"/>
      <c r="CI29" s="1922"/>
      <c r="CJ29" s="1922"/>
      <c r="CK29" s="1922"/>
      <c r="CL29" s="1922"/>
      <c r="CM29" s="1922"/>
      <c r="CN29" s="1922"/>
      <c r="CO29" s="1922"/>
      <c r="CP29" s="1922"/>
      <c r="CQ29" s="1922"/>
      <c r="CR29" s="1922"/>
      <c r="CS29" s="1922"/>
      <c r="CT29" s="1922"/>
      <c r="CU29" s="1922"/>
      <c r="CV29" s="1922"/>
      <c r="CW29" s="1922"/>
      <c r="CX29" s="1922"/>
      <c r="CY29" s="1922"/>
      <c r="CZ29" s="1922"/>
      <c r="DA29" s="1922"/>
      <c r="DB29" s="1922"/>
      <c r="DC29" s="1922"/>
      <c r="DD29" s="1922"/>
      <c r="DE29" s="1922"/>
      <c r="DF29" s="1922"/>
    </row>
    <row r="30" spans="1:110" customFormat="1" ht="3" customHeight="1">
      <c r="A30" s="1922"/>
      <c r="B30" s="1922"/>
      <c r="C30" s="1922"/>
      <c r="D30" s="1922"/>
      <c r="E30" s="1922"/>
      <c r="F30" s="1922"/>
      <c r="G30" s="1922"/>
      <c r="H30" s="1922"/>
      <c r="I30" s="1922"/>
      <c r="J30" s="1922"/>
      <c r="K30" s="1922"/>
      <c r="L30" s="1922"/>
      <c r="M30" s="1953"/>
      <c r="N30" s="1922"/>
      <c r="O30" s="1922"/>
      <c r="P30" s="1922"/>
      <c r="Q30" s="1922"/>
      <c r="R30" s="1922"/>
      <c r="S30" s="1922"/>
      <c r="T30" s="1922"/>
      <c r="U30" s="1922"/>
      <c r="V30" s="1922"/>
      <c r="W30" s="1922"/>
      <c r="X30" s="1922"/>
      <c r="Y30" s="1922"/>
      <c r="Z30" s="1922"/>
      <c r="AA30" s="1922"/>
      <c r="AB30" s="1922"/>
      <c r="AC30" s="1922"/>
      <c r="AD30" s="1922"/>
      <c r="AE30" s="1922"/>
      <c r="AF30" s="1922"/>
      <c r="AG30" s="1922"/>
      <c r="AH30" s="1922"/>
      <c r="AI30" s="1922"/>
      <c r="AJ30" s="1922"/>
      <c r="AK30" s="1922"/>
      <c r="AL30" s="1973"/>
      <c r="AM30" s="1942"/>
      <c r="AN30" s="1942"/>
      <c r="AO30" s="1942"/>
      <c r="AP30" s="1942"/>
      <c r="AQ30" s="1942"/>
      <c r="AR30" s="1942"/>
      <c r="AS30" s="1922"/>
      <c r="AT30" s="1922"/>
      <c r="AU30" s="1942"/>
      <c r="AV30" s="1942"/>
      <c r="AW30" s="1942"/>
      <c r="AX30" s="1942"/>
      <c r="AY30" s="1942"/>
      <c r="AZ30" s="1942"/>
      <c r="BA30" s="1942"/>
      <c r="BB30" s="1942"/>
      <c r="BC30" s="1942"/>
      <c r="BD30" s="1942"/>
      <c r="BE30" s="1942"/>
      <c r="BF30" s="1942"/>
      <c r="BG30" s="1942"/>
      <c r="BH30" s="1942"/>
      <c r="BI30" s="1942"/>
      <c r="BJ30" s="1942"/>
      <c r="BK30" s="1942"/>
      <c r="BL30" s="1922"/>
      <c r="BM30" s="1922"/>
      <c r="BN30" s="1922"/>
      <c r="BO30" s="1922"/>
      <c r="BP30" s="1922"/>
      <c r="BQ30" s="1922"/>
      <c r="BR30" s="1922"/>
      <c r="BS30" s="1922"/>
      <c r="BT30" s="1922"/>
      <c r="BU30" s="1922"/>
      <c r="BV30" s="1922"/>
      <c r="BW30" s="1922"/>
      <c r="BX30" s="1922"/>
      <c r="BY30" s="1922"/>
      <c r="BZ30" s="1922"/>
      <c r="CA30" s="1922"/>
      <c r="CB30" s="1922"/>
      <c r="CC30" s="1922"/>
      <c r="CD30" s="1922"/>
      <c r="CE30" s="1922"/>
      <c r="CF30" s="1922"/>
      <c r="CG30" s="1922"/>
      <c r="CH30" s="1922"/>
      <c r="CI30" s="1922"/>
      <c r="CJ30" s="1922"/>
      <c r="CK30" s="1922"/>
      <c r="CL30" s="1922"/>
      <c r="CM30" s="1922"/>
      <c r="CN30" s="1922"/>
      <c r="CO30" s="1922"/>
      <c r="CP30" s="1922"/>
      <c r="CQ30" s="1922"/>
      <c r="CR30" s="1922"/>
      <c r="CS30" s="1922"/>
      <c r="CT30" s="1922"/>
      <c r="CU30" s="1922"/>
      <c r="CV30" s="1922"/>
      <c r="CW30" s="1922"/>
      <c r="CX30" s="1922"/>
      <c r="CY30" s="1922"/>
      <c r="CZ30" s="1922"/>
      <c r="DA30" s="1922"/>
      <c r="DB30" s="1922"/>
      <c r="DC30" s="1922"/>
      <c r="DD30" s="1922"/>
      <c r="DE30" s="1922"/>
      <c r="DF30" s="1922"/>
    </row>
    <row r="31" spans="1:110" customFormat="1">
      <c r="A31" s="1939" t="s">
        <v>7374</v>
      </c>
      <c r="B31" s="1940" t="s">
        <v>7794</v>
      </c>
      <c r="C31" s="3652"/>
      <c r="D31" s="3652"/>
      <c r="E31" s="3652"/>
      <c r="F31" s="3652"/>
      <c r="G31" s="3652" t="s">
        <v>7648</v>
      </c>
      <c r="H31" s="3652" t="s">
        <v>7649</v>
      </c>
      <c r="I31" s="3652"/>
      <c r="J31" s="3652" t="s">
        <v>7795</v>
      </c>
      <c r="K31" s="3652"/>
      <c r="L31" s="3652" t="s">
        <v>7622</v>
      </c>
      <c r="M31" s="3652" t="s">
        <v>7387</v>
      </c>
      <c r="N31" s="3616" t="s">
        <v>7480</v>
      </c>
      <c r="O31" s="3658"/>
      <c r="P31" s="3652"/>
      <c r="Q31" s="3652"/>
      <c r="R31" s="3652"/>
      <c r="S31" s="3652" t="s">
        <v>7387</v>
      </c>
      <c r="T31" s="3616"/>
      <c r="U31" s="3652" t="s">
        <v>7487</v>
      </c>
      <c r="V31" s="3616"/>
      <c r="W31" s="3652" t="s">
        <v>7796</v>
      </c>
      <c r="X31" s="3616"/>
      <c r="Y31" s="3713" t="s">
        <v>7483</v>
      </c>
      <c r="Z31" s="3713"/>
      <c r="AA31" s="3652" t="s">
        <v>7797</v>
      </c>
      <c r="AB31" s="1941" t="s">
        <v>7541</v>
      </c>
      <c r="AC31" s="1941" t="s">
        <v>7670</v>
      </c>
      <c r="AD31" s="1941" t="s">
        <v>7644</v>
      </c>
      <c r="AE31" s="1941" t="s">
        <v>7681</v>
      </c>
      <c r="AF31" s="1966"/>
      <c r="AG31" s="1966"/>
      <c r="AH31" s="1966"/>
      <c r="AI31" s="1966"/>
      <c r="AJ31" s="1966"/>
      <c r="AK31" s="1945"/>
      <c r="AL31" s="1974"/>
      <c r="AM31" s="3659" t="s">
        <v>7337</v>
      </c>
      <c r="AN31" s="3652" t="s">
        <v>7338</v>
      </c>
      <c r="AO31" s="3652" t="s">
        <v>287</v>
      </c>
      <c r="AP31" s="3652" t="s">
        <v>7341</v>
      </c>
      <c r="AQ31" s="3652" t="s">
        <v>7700</v>
      </c>
      <c r="AR31" s="3680"/>
      <c r="AS31" s="1939" t="s">
        <v>7374</v>
      </c>
      <c r="AT31" s="1940" t="s">
        <v>7794</v>
      </c>
      <c r="AU31" s="1942"/>
      <c r="AV31" s="1942"/>
      <c r="AW31" s="1942"/>
      <c r="AX31" s="1942"/>
      <c r="AY31" s="1942"/>
      <c r="AZ31" s="1942"/>
      <c r="BA31" s="1942"/>
      <c r="BB31" s="1942"/>
      <c r="BC31" s="1942"/>
      <c r="BD31" s="1942"/>
      <c r="BE31" s="1942"/>
      <c r="BF31" s="1942"/>
      <c r="BG31" s="1942"/>
      <c r="BH31" s="1942"/>
      <c r="BI31" s="1942"/>
      <c r="BJ31" s="1942"/>
      <c r="BK31" s="1942"/>
      <c r="BL31" s="1922"/>
      <c r="BM31" s="1922"/>
      <c r="BN31" s="1922"/>
      <c r="BO31" s="1922"/>
      <c r="BP31" s="1922"/>
      <c r="BQ31" s="1922"/>
      <c r="BR31" s="1922"/>
      <c r="BS31" s="1922"/>
      <c r="BT31" s="1922"/>
      <c r="BU31" s="1922"/>
      <c r="BV31" s="1922"/>
      <c r="BW31" s="1922"/>
      <c r="BX31" s="1922"/>
      <c r="BY31" s="1922"/>
      <c r="BZ31" s="1922"/>
      <c r="CA31" s="1922"/>
      <c r="CB31" s="1922"/>
      <c r="CC31" s="1922"/>
      <c r="CD31" s="1922"/>
      <c r="CE31" s="1922"/>
      <c r="CF31" s="1922"/>
      <c r="CG31" s="1922"/>
      <c r="CH31" s="1922"/>
      <c r="CI31" s="1922"/>
      <c r="CJ31" s="1922"/>
      <c r="CK31" s="1922"/>
      <c r="CL31" s="1922"/>
      <c r="CM31" s="1922"/>
      <c r="CN31" s="1922"/>
      <c r="CO31" s="1922"/>
      <c r="CP31" s="1922"/>
      <c r="CQ31" s="1922"/>
      <c r="CR31" s="1922"/>
      <c r="CS31" s="1922"/>
      <c r="CT31" s="1922"/>
      <c r="CU31" s="1922"/>
      <c r="CV31" s="1922"/>
      <c r="CW31" s="1922"/>
      <c r="CX31" s="1922"/>
      <c r="CY31" s="1922"/>
      <c r="CZ31" s="1922"/>
      <c r="DA31" s="1922"/>
      <c r="DB31" s="1922"/>
      <c r="DC31" s="1922"/>
      <c r="DD31" s="1922"/>
      <c r="DE31" s="1922"/>
      <c r="DF31" s="1922"/>
    </row>
    <row r="32" spans="1:110" customFormat="1">
      <c r="A32" s="1933" t="s">
        <v>7376</v>
      </c>
      <c r="B32" s="1934" t="s">
        <v>7373</v>
      </c>
      <c r="C32" s="3650"/>
      <c r="D32" s="3650"/>
      <c r="E32" s="3650"/>
      <c r="F32" s="3650"/>
      <c r="G32" s="3650"/>
      <c r="H32" s="3650"/>
      <c r="I32" s="3650"/>
      <c r="J32" s="3650"/>
      <c r="K32" s="3650"/>
      <c r="L32" s="3650"/>
      <c r="M32" s="3650"/>
      <c r="N32" s="3620"/>
      <c r="O32" s="3665"/>
      <c r="P32" s="3650"/>
      <c r="Q32" s="3650"/>
      <c r="R32" s="3650"/>
      <c r="S32" s="3620"/>
      <c r="T32" s="3620"/>
      <c r="U32" s="3620"/>
      <c r="V32" s="3620"/>
      <c r="W32" s="3620"/>
      <c r="X32" s="3620"/>
      <c r="Y32" s="3714"/>
      <c r="Z32" s="3714"/>
      <c r="AA32" s="3650"/>
      <c r="AB32" s="1935" t="s">
        <v>7798</v>
      </c>
      <c r="AC32" s="1935" t="s">
        <v>7643</v>
      </c>
      <c r="AD32" s="1935" t="s">
        <v>7799</v>
      </c>
      <c r="AE32" s="1935" t="s">
        <v>7765</v>
      </c>
      <c r="AF32" s="1967"/>
      <c r="AG32" s="1967"/>
      <c r="AH32" s="1967"/>
      <c r="AI32" s="1967"/>
      <c r="AJ32" s="1967"/>
      <c r="AK32" s="1951"/>
      <c r="AL32" s="1975"/>
      <c r="AM32" s="3662"/>
      <c r="AN32" s="3650"/>
      <c r="AO32" s="3650"/>
      <c r="AP32" s="3650"/>
      <c r="AQ32" s="3650"/>
      <c r="AR32" s="3663"/>
      <c r="AS32" s="1933" t="s">
        <v>7376</v>
      </c>
      <c r="AT32" s="1934" t="s">
        <v>7373</v>
      </c>
      <c r="AU32" s="1942"/>
      <c r="AV32" s="1942"/>
      <c r="AW32" s="1942"/>
      <c r="AX32" s="1942"/>
      <c r="AY32" s="1942"/>
      <c r="AZ32" s="1942"/>
      <c r="BA32" s="1942"/>
      <c r="BB32" s="1942"/>
      <c r="BC32" s="1942"/>
      <c r="BD32" s="1942"/>
      <c r="BE32" s="1942"/>
      <c r="BF32" s="1942"/>
      <c r="BG32" s="1942"/>
      <c r="BH32" s="1942"/>
      <c r="BI32" s="1942"/>
      <c r="BJ32" s="1942"/>
      <c r="BK32" s="1942"/>
      <c r="BL32" s="1922"/>
      <c r="BM32" s="1922"/>
      <c r="BN32" s="1922"/>
      <c r="BO32" s="1922"/>
      <c r="BP32" s="1922"/>
      <c r="BQ32" s="1922"/>
      <c r="BR32" s="1922"/>
      <c r="BS32" s="1922"/>
      <c r="BT32" s="1922"/>
      <c r="BU32" s="1922"/>
      <c r="BV32" s="1922"/>
      <c r="BW32" s="1922"/>
      <c r="BX32" s="1922"/>
      <c r="BY32" s="1922"/>
      <c r="BZ32" s="1922"/>
      <c r="CA32" s="1922"/>
      <c r="CB32" s="1922"/>
      <c r="CC32" s="1922"/>
      <c r="CD32" s="1922"/>
      <c r="CE32" s="1922"/>
      <c r="CF32" s="1922"/>
      <c r="CG32" s="1922"/>
      <c r="CH32" s="1922"/>
      <c r="CI32" s="1922"/>
      <c r="CJ32" s="1922"/>
      <c r="CK32" s="1922"/>
      <c r="CL32" s="1922"/>
      <c r="CM32" s="1922"/>
      <c r="CN32" s="1922"/>
      <c r="CO32" s="1922"/>
      <c r="CP32" s="1922"/>
      <c r="CQ32" s="1922"/>
      <c r="CR32" s="1922"/>
      <c r="CS32" s="1922"/>
      <c r="CT32" s="1922"/>
      <c r="CU32" s="1922"/>
      <c r="CV32" s="1922"/>
      <c r="CW32" s="1922"/>
      <c r="CX32" s="1922"/>
      <c r="CY32" s="1922"/>
      <c r="CZ32" s="1922"/>
      <c r="DA32" s="1922"/>
      <c r="DB32" s="1922"/>
      <c r="DC32" s="1922"/>
      <c r="DD32" s="1922"/>
      <c r="DE32" s="1922"/>
      <c r="DF32" s="1922"/>
    </row>
    <row r="33" spans="1:110" customFormat="1">
      <c r="A33" s="1933" t="s">
        <v>7373</v>
      </c>
      <c r="B33" s="1934" t="s">
        <v>7800</v>
      </c>
      <c r="C33" s="3650"/>
      <c r="D33" s="3650"/>
      <c r="E33" s="3650"/>
      <c r="F33" s="3650"/>
      <c r="G33" s="3650" t="s">
        <v>7523</v>
      </c>
      <c r="H33" s="3650" t="s">
        <v>7544</v>
      </c>
      <c r="I33" s="3650"/>
      <c r="J33" s="3650" t="s">
        <v>7509</v>
      </c>
      <c r="K33" s="3650"/>
      <c r="L33" s="3650" t="s">
        <v>7571</v>
      </c>
      <c r="M33" s="3650" t="s">
        <v>7387</v>
      </c>
      <c r="N33" s="3620"/>
      <c r="O33" s="3665"/>
      <c r="P33" s="3650"/>
      <c r="Q33" s="3650"/>
      <c r="R33" s="3650"/>
      <c r="S33" s="3650" t="s">
        <v>7387</v>
      </c>
      <c r="T33" s="3620"/>
      <c r="U33" s="3650" t="s">
        <v>7801</v>
      </c>
      <c r="V33" s="3620"/>
      <c r="W33" s="3650" t="s">
        <v>7505</v>
      </c>
      <c r="X33" s="3620"/>
      <c r="Y33" s="3714"/>
      <c r="Z33" s="3714"/>
      <c r="AA33" s="3650" t="s">
        <v>7563</v>
      </c>
      <c r="AB33" s="1935" t="s">
        <v>7802</v>
      </c>
      <c r="AC33" s="1935" t="s">
        <v>7671</v>
      </c>
      <c r="AD33" s="1935" t="s">
        <v>7803</v>
      </c>
      <c r="AE33" s="1935" t="s">
        <v>7705</v>
      </c>
      <c r="AF33" s="1967"/>
      <c r="AG33" s="1967"/>
      <c r="AH33" s="1967"/>
      <c r="AI33" s="1967"/>
      <c r="AJ33" s="1967"/>
      <c r="AK33" s="1951"/>
      <c r="AL33" s="1975"/>
      <c r="AM33" s="3662" t="s">
        <v>7337</v>
      </c>
      <c r="AN33" s="3650" t="s">
        <v>7339</v>
      </c>
      <c r="AO33" s="3650" t="s">
        <v>7340</v>
      </c>
      <c r="AP33" s="3650" t="s">
        <v>7389</v>
      </c>
      <c r="AQ33" s="3650" t="s">
        <v>309</v>
      </c>
      <c r="AR33" s="3663"/>
      <c r="AS33" s="1933" t="s">
        <v>7373</v>
      </c>
      <c r="AT33" s="1934" t="s">
        <v>7800</v>
      </c>
      <c r="AU33" s="1942"/>
      <c r="AV33" s="1942"/>
      <c r="AW33" s="1942"/>
      <c r="AX33" s="1942"/>
      <c r="AY33" s="1942"/>
      <c r="AZ33" s="1942"/>
      <c r="BA33" s="1942"/>
      <c r="BB33" s="1942"/>
      <c r="BC33" s="1942"/>
      <c r="BD33" s="1942"/>
      <c r="BE33" s="1942"/>
      <c r="BF33" s="1942"/>
      <c r="BG33" s="1942"/>
      <c r="BH33" s="1942"/>
      <c r="BI33" s="1942"/>
      <c r="BJ33" s="1942"/>
      <c r="BK33" s="1942"/>
      <c r="BL33" s="1922"/>
      <c r="BM33" s="1922"/>
      <c r="BN33" s="1922"/>
      <c r="BO33" s="1922"/>
      <c r="BP33" s="1922"/>
      <c r="BQ33" s="1922"/>
      <c r="BR33" s="1922"/>
      <c r="BS33" s="1922"/>
      <c r="BT33" s="1922"/>
      <c r="BU33" s="1922"/>
      <c r="BV33" s="1922"/>
      <c r="BW33" s="1922"/>
      <c r="BX33" s="1922"/>
      <c r="BY33" s="1922"/>
      <c r="BZ33" s="1922"/>
      <c r="CA33" s="1922"/>
      <c r="CB33" s="1922"/>
      <c r="CC33" s="1922"/>
      <c r="CD33" s="1922"/>
      <c r="CE33" s="1922"/>
      <c r="CF33" s="1922"/>
      <c r="CG33" s="1922"/>
      <c r="CH33" s="1922"/>
      <c r="CI33" s="1922"/>
      <c r="CJ33" s="1922"/>
      <c r="CK33" s="1922"/>
      <c r="CL33" s="1922"/>
      <c r="CM33" s="1922"/>
      <c r="CN33" s="1922"/>
      <c r="CO33" s="1922"/>
      <c r="CP33" s="1922"/>
      <c r="CQ33" s="1922"/>
      <c r="CR33" s="1922"/>
      <c r="CS33" s="1922"/>
      <c r="CT33" s="1922"/>
      <c r="CU33" s="1922"/>
      <c r="CV33" s="1922"/>
      <c r="CW33" s="1922"/>
      <c r="CX33" s="1922"/>
      <c r="CY33" s="1922"/>
      <c r="CZ33" s="1922"/>
      <c r="DA33" s="1922"/>
      <c r="DB33" s="1922"/>
      <c r="DC33" s="1922"/>
      <c r="DD33" s="1922"/>
      <c r="DE33" s="1922"/>
      <c r="DF33" s="1922"/>
    </row>
    <row r="34" spans="1:110" customFormat="1">
      <c r="A34" s="1933" t="s">
        <v>7800</v>
      </c>
      <c r="B34" s="1934" t="s">
        <v>7378</v>
      </c>
      <c r="C34" s="3650"/>
      <c r="D34" s="3650"/>
      <c r="E34" s="3650"/>
      <c r="F34" s="3650"/>
      <c r="G34" s="3650"/>
      <c r="H34" s="3650"/>
      <c r="I34" s="3650"/>
      <c r="J34" s="3650"/>
      <c r="K34" s="3650"/>
      <c r="L34" s="3650"/>
      <c r="M34" s="3650"/>
      <c r="N34" s="3620"/>
      <c r="O34" s="3665"/>
      <c r="P34" s="3650"/>
      <c r="Q34" s="3650"/>
      <c r="R34" s="3650"/>
      <c r="S34" s="3620"/>
      <c r="T34" s="3620"/>
      <c r="U34" s="3620"/>
      <c r="V34" s="3620"/>
      <c r="W34" s="3620"/>
      <c r="X34" s="3620"/>
      <c r="Y34" s="3714"/>
      <c r="Z34" s="3714"/>
      <c r="AA34" s="3650"/>
      <c r="AB34" s="1935" t="s">
        <v>7804</v>
      </c>
      <c r="AC34" s="1935" t="s">
        <v>7679</v>
      </c>
      <c r="AD34" s="1935" t="s">
        <v>7805</v>
      </c>
      <c r="AE34" s="1935" t="s">
        <v>7806</v>
      </c>
      <c r="AF34" s="1967"/>
      <c r="AG34" s="1967"/>
      <c r="AH34" s="1967"/>
      <c r="AI34" s="1967"/>
      <c r="AJ34" s="1967"/>
      <c r="AK34" s="1951"/>
      <c r="AL34" s="1975"/>
      <c r="AM34" s="3662"/>
      <c r="AN34" s="3650"/>
      <c r="AO34" s="3650"/>
      <c r="AP34" s="3650"/>
      <c r="AQ34" s="3650"/>
      <c r="AR34" s="3663"/>
      <c r="AS34" s="1933" t="s">
        <v>7800</v>
      </c>
      <c r="AT34" s="1934" t="s">
        <v>7378</v>
      </c>
      <c r="AU34" s="1942"/>
      <c r="AV34" s="1942"/>
      <c r="AW34" s="1942"/>
      <c r="AX34" s="1942"/>
      <c r="AY34" s="1942"/>
      <c r="AZ34" s="1942"/>
      <c r="BA34" s="1942"/>
      <c r="BB34" s="1942"/>
      <c r="BC34" s="1942"/>
      <c r="BD34" s="1942"/>
      <c r="BE34" s="1942"/>
      <c r="BF34" s="1942"/>
      <c r="BG34" s="1942"/>
      <c r="BH34" s="1942"/>
      <c r="BI34" s="1942"/>
      <c r="BJ34" s="1942"/>
      <c r="BK34" s="1942"/>
      <c r="BL34" s="1922"/>
      <c r="BM34" s="1922"/>
      <c r="BN34" s="1922"/>
      <c r="BO34" s="1922"/>
      <c r="BP34" s="1922"/>
      <c r="BQ34" s="1922"/>
      <c r="BR34" s="1922"/>
      <c r="BS34" s="1922"/>
      <c r="BT34" s="1922"/>
      <c r="BU34" s="1922"/>
      <c r="BV34" s="1922"/>
      <c r="BW34" s="1922"/>
      <c r="BX34" s="1922"/>
      <c r="BY34" s="1922"/>
      <c r="BZ34" s="1922"/>
      <c r="CA34" s="1922"/>
      <c r="CB34" s="1922"/>
      <c r="CC34" s="1922"/>
      <c r="CD34" s="1922"/>
      <c r="CE34" s="1922"/>
      <c r="CF34" s="1922"/>
      <c r="CG34" s="1922"/>
      <c r="CH34" s="1922"/>
      <c r="CI34" s="1922"/>
      <c r="CJ34" s="1922"/>
      <c r="CK34" s="1922"/>
      <c r="CL34" s="1922"/>
      <c r="CM34" s="1922"/>
      <c r="CN34" s="1922"/>
      <c r="CO34" s="1922"/>
      <c r="CP34" s="1922"/>
      <c r="CQ34" s="1922"/>
      <c r="CR34" s="1922"/>
      <c r="CS34" s="1922"/>
      <c r="CT34" s="1922"/>
      <c r="CU34" s="1922"/>
      <c r="CV34" s="1922"/>
      <c r="CW34" s="1922"/>
      <c r="CX34" s="1922"/>
      <c r="CY34" s="1922"/>
      <c r="CZ34" s="1922"/>
      <c r="DA34" s="1922"/>
      <c r="DB34" s="1922"/>
      <c r="DC34" s="1922"/>
      <c r="DD34" s="1922"/>
      <c r="DE34" s="1922"/>
      <c r="DF34" s="1922"/>
    </row>
    <row r="35" spans="1:110" customFormat="1">
      <c r="A35" s="1933" t="s">
        <v>7378</v>
      </c>
      <c r="B35" s="1934" t="s">
        <v>7807</v>
      </c>
      <c r="C35" s="3650"/>
      <c r="D35" s="3650"/>
      <c r="E35" s="3650"/>
      <c r="F35" s="3650"/>
      <c r="G35" s="3650" t="s">
        <v>7582</v>
      </c>
      <c r="H35" s="3650" t="s">
        <v>7568</v>
      </c>
      <c r="I35" s="3650"/>
      <c r="J35" s="3650" t="s">
        <v>7808</v>
      </c>
      <c r="K35" s="3650"/>
      <c r="L35" s="3650" t="s">
        <v>7652</v>
      </c>
      <c r="M35" s="3650" t="s">
        <v>7387</v>
      </c>
      <c r="N35" s="3620"/>
      <c r="O35" s="3665"/>
      <c r="P35" s="3650"/>
      <c r="Q35" s="3650"/>
      <c r="R35" s="3650"/>
      <c r="S35" s="3650" t="s">
        <v>7387</v>
      </c>
      <c r="T35" s="3620"/>
      <c r="U35" s="3650" t="s">
        <v>7519</v>
      </c>
      <c r="V35" s="3620"/>
      <c r="W35" s="3650" t="s">
        <v>7724</v>
      </c>
      <c r="X35" s="3620"/>
      <c r="Y35" s="3714"/>
      <c r="Z35" s="3714"/>
      <c r="AA35" s="3650" t="s">
        <v>7666</v>
      </c>
      <c r="AB35" s="1935" t="s">
        <v>7615</v>
      </c>
      <c r="AC35" s="1935" t="s">
        <v>7809</v>
      </c>
      <c r="AD35" s="1935" t="s">
        <v>7662</v>
      </c>
      <c r="AE35" s="1935" t="s">
        <v>7810</v>
      </c>
      <c r="AF35" s="1967"/>
      <c r="AG35" s="1967"/>
      <c r="AH35" s="1967"/>
      <c r="AI35" s="1967"/>
      <c r="AJ35" s="1967"/>
      <c r="AK35" s="1951"/>
      <c r="AL35" s="1975"/>
      <c r="AM35" s="3662" t="s">
        <v>7338</v>
      </c>
      <c r="AN35" s="3650" t="s">
        <v>7339</v>
      </c>
      <c r="AO35" s="3650" t="s">
        <v>7341</v>
      </c>
      <c r="AP35" s="3650" t="s">
        <v>7355</v>
      </c>
      <c r="AQ35" s="3650" t="s">
        <v>7788</v>
      </c>
      <c r="AR35" s="3663"/>
      <c r="AS35" s="1933" t="s">
        <v>7378</v>
      </c>
      <c r="AT35" s="1934" t="s">
        <v>7807</v>
      </c>
      <c r="AU35" s="1942"/>
      <c r="AV35" s="1942"/>
      <c r="AW35" s="1942"/>
      <c r="AX35" s="1942"/>
      <c r="AY35" s="1942"/>
      <c r="AZ35" s="1942"/>
      <c r="BA35" s="1942"/>
      <c r="BB35" s="1942"/>
      <c r="BC35" s="1942"/>
      <c r="BD35" s="1942"/>
      <c r="BE35" s="1942"/>
      <c r="BF35" s="1942"/>
      <c r="BG35" s="1942"/>
      <c r="BH35" s="1942"/>
      <c r="BI35" s="1942"/>
      <c r="BJ35" s="1942"/>
      <c r="BK35" s="1942"/>
      <c r="BL35" s="1922"/>
      <c r="BM35" s="1922"/>
      <c r="BN35" s="1922"/>
      <c r="BO35" s="1922"/>
      <c r="BP35" s="1922"/>
      <c r="BQ35" s="1922"/>
      <c r="BR35" s="1922"/>
      <c r="BS35" s="1922"/>
      <c r="BT35" s="1922"/>
      <c r="BU35" s="1922"/>
      <c r="BV35" s="1922"/>
      <c r="BW35" s="1922"/>
      <c r="BX35" s="1922"/>
      <c r="BY35" s="1922"/>
      <c r="BZ35" s="1922"/>
      <c r="CA35" s="1922"/>
      <c r="CB35" s="1922"/>
      <c r="CC35" s="1922"/>
      <c r="CD35" s="1922"/>
      <c r="CE35" s="1922"/>
      <c r="CF35" s="1922"/>
      <c r="CG35" s="1922"/>
      <c r="CH35" s="1922"/>
      <c r="CI35" s="1922"/>
      <c r="CJ35" s="1922"/>
      <c r="CK35" s="1922"/>
      <c r="CL35" s="1922"/>
      <c r="CM35" s="1922"/>
      <c r="CN35" s="1922"/>
      <c r="CO35" s="1922"/>
      <c r="CP35" s="1922"/>
      <c r="CQ35" s="1922"/>
      <c r="CR35" s="1922"/>
      <c r="CS35" s="1922"/>
      <c r="CT35" s="1922"/>
      <c r="CU35" s="1922"/>
      <c r="CV35" s="1922"/>
      <c r="CW35" s="1922"/>
      <c r="CX35" s="1922"/>
      <c r="CY35" s="1922"/>
      <c r="CZ35" s="1922"/>
      <c r="DA35" s="1922"/>
      <c r="DB35" s="1922"/>
      <c r="DC35" s="1922"/>
      <c r="DD35" s="1922"/>
      <c r="DE35" s="1922"/>
      <c r="DF35" s="1922"/>
    </row>
    <row r="36" spans="1:110" customFormat="1">
      <c r="A36" s="1933" t="s">
        <v>7807</v>
      </c>
      <c r="B36" s="1934" t="s">
        <v>7375</v>
      </c>
      <c r="C36" s="3650"/>
      <c r="D36" s="3650"/>
      <c r="E36" s="3650"/>
      <c r="F36" s="3650"/>
      <c r="G36" s="3650"/>
      <c r="H36" s="3650"/>
      <c r="I36" s="3650"/>
      <c r="J36" s="3650"/>
      <c r="K36" s="3650"/>
      <c r="L36" s="3650"/>
      <c r="M36" s="3650"/>
      <c r="N36" s="3620"/>
      <c r="O36" s="3665"/>
      <c r="P36" s="3650"/>
      <c r="Q36" s="3650"/>
      <c r="R36" s="3650"/>
      <c r="S36" s="3620"/>
      <c r="T36" s="3620"/>
      <c r="U36" s="3620"/>
      <c r="V36" s="3620"/>
      <c r="W36" s="3620"/>
      <c r="X36" s="3620"/>
      <c r="Y36" s="3714"/>
      <c r="Z36" s="3714"/>
      <c r="AA36" s="3650"/>
      <c r="AB36" s="1935" t="s">
        <v>7811</v>
      </c>
      <c r="AC36" s="1935" t="s">
        <v>7661</v>
      </c>
      <c r="AD36" s="1935" t="s">
        <v>7812</v>
      </c>
      <c r="AE36" s="1935" t="s">
        <v>7714</v>
      </c>
      <c r="AF36" s="1967"/>
      <c r="AG36" s="1967"/>
      <c r="AH36" s="1967"/>
      <c r="AI36" s="1967"/>
      <c r="AJ36" s="1967"/>
      <c r="AK36" s="1951"/>
      <c r="AL36" s="1975"/>
      <c r="AM36" s="3662"/>
      <c r="AN36" s="3650"/>
      <c r="AO36" s="3650"/>
      <c r="AP36" s="3650"/>
      <c r="AQ36" s="3650"/>
      <c r="AR36" s="3663"/>
      <c r="AS36" s="1933" t="s">
        <v>7807</v>
      </c>
      <c r="AT36" s="1934" t="s">
        <v>7375</v>
      </c>
      <c r="AU36" s="1942"/>
      <c r="AV36" s="1942"/>
      <c r="AW36" s="1942"/>
      <c r="AX36" s="1942"/>
      <c r="AY36" s="1942"/>
      <c r="AZ36" s="1942"/>
      <c r="BA36" s="1942"/>
      <c r="BB36" s="1942"/>
      <c r="BC36" s="1942"/>
      <c r="BD36" s="1942"/>
      <c r="BE36" s="1942"/>
      <c r="BF36" s="1942"/>
      <c r="BG36" s="1942"/>
      <c r="BH36" s="1942"/>
      <c r="BI36" s="1942"/>
      <c r="BJ36" s="1942"/>
      <c r="BK36" s="1942"/>
      <c r="BL36" s="1922"/>
      <c r="BM36" s="1922"/>
      <c r="BN36" s="1922"/>
      <c r="BO36" s="1922"/>
      <c r="BP36" s="1922"/>
      <c r="BQ36" s="1922"/>
      <c r="BR36" s="1922"/>
      <c r="BS36" s="1922"/>
      <c r="BT36" s="1922"/>
      <c r="BU36" s="1922"/>
      <c r="BV36" s="1922"/>
      <c r="BW36" s="1922"/>
      <c r="BX36" s="1922"/>
      <c r="BY36" s="1922"/>
      <c r="BZ36" s="1922"/>
      <c r="CA36" s="1922"/>
      <c r="CB36" s="1922"/>
      <c r="CC36" s="1922"/>
      <c r="CD36" s="1922"/>
      <c r="CE36" s="1922"/>
      <c r="CF36" s="1922"/>
      <c r="CG36" s="1922"/>
      <c r="CH36" s="1922"/>
      <c r="CI36" s="1922"/>
      <c r="CJ36" s="1922"/>
      <c r="CK36" s="1922"/>
      <c r="CL36" s="1922"/>
      <c r="CM36" s="1922"/>
      <c r="CN36" s="1922"/>
      <c r="CO36" s="1922"/>
      <c r="CP36" s="1922"/>
      <c r="CQ36" s="1922"/>
      <c r="CR36" s="1922"/>
      <c r="CS36" s="1922"/>
      <c r="CT36" s="1922"/>
      <c r="CU36" s="1922"/>
      <c r="CV36" s="1922"/>
      <c r="CW36" s="1922"/>
      <c r="CX36" s="1922"/>
      <c r="CY36" s="1922"/>
      <c r="CZ36" s="1922"/>
      <c r="DA36" s="1922"/>
      <c r="DB36" s="1922"/>
      <c r="DC36" s="1922"/>
      <c r="DD36" s="1922"/>
      <c r="DE36" s="1922"/>
      <c r="DF36" s="1922"/>
    </row>
    <row r="37" spans="1:110" customFormat="1">
      <c r="A37" s="1933" t="s">
        <v>7375</v>
      </c>
      <c r="B37" s="1934" t="s">
        <v>7813</v>
      </c>
      <c r="C37" s="3650"/>
      <c r="D37" s="3650"/>
      <c r="E37" s="3650"/>
      <c r="F37" s="3650"/>
      <c r="G37" s="3650" t="s">
        <v>7814</v>
      </c>
      <c r="H37" s="3650" t="s">
        <v>7815</v>
      </c>
      <c r="I37" s="3650"/>
      <c r="J37" s="3650" t="s">
        <v>7816</v>
      </c>
      <c r="K37" s="3650"/>
      <c r="L37" s="3650" t="s">
        <v>7595</v>
      </c>
      <c r="M37" s="3650" t="s">
        <v>7387</v>
      </c>
      <c r="N37" s="3620"/>
      <c r="O37" s="3665"/>
      <c r="P37" s="3650"/>
      <c r="Q37" s="3650"/>
      <c r="R37" s="3650"/>
      <c r="S37" s="3650" t="s">
        <v>7387</v>
      </c>
      <c r="T37" s="3620"/>
      <c r="U37" s="3650" t="s">
        <v>7489</v>
      </c>
      <c r="V37" s="3620"/>
      <c r="W37" s="3650" t="s">
        <v>7600</v>
      </c>
      <c r="X37" s="3620"/>
      <c r="Y37" s="3714"/>
      <c r="Z37" s="3714"/>
      <c r="AA37" s="3650" t="s">
        <v>7612</v>
      </c>
      <c r="AB37" s="1935" t="s">
        <v>7817</v>
      </c>
      <c r="AC37" s="1935" t="s">
        <v>7695</v>
      </c>
      <c r="AD37" s="1935" t="s">
        <v>7682</v>
      </c>
      <c r="AE37" s="1935" t="s">
        <v>7698</v>
      </c>
      <c r="AF37" s="1967"/>
      <c r="AG37" s="1967"/>
      <c r="AH37" s="1967"/>
      <c r="AI37" s="1967"/>
      <c r="AJ37" s="1967"/>
      <c r="AK37" s="1951"/>
      <c r="AL37" s="1975"/>
      <c r="AM37" s="3662" t="s">
        <v>7338</v>
      </c>
      <c r="AN37" s="3650" t="s">
        <v>6003</v>
      </c>
      <c r="AO37" s="3650" t="s">
        <v>7389</v>
      </c>
      <c r="AP37" s="3650" t="s">
        <v>7403</v>
      </c>
      <c r="AQ37" s="3650" t="s">
        <v>7401</v>
      </c>
      <c r="AR37" s="3663"/>
      <c r="AS37" s="1933" t="s">
        <v>7375</v>
      </c>
      <c r="AT37" s="1934" t="s">
        <v>7813</v>
      </c>
      <c r="AU37" s="1942"/>
      <c r="AV37" s="1942"/>
      <c r="AW37" s="1942"/>
      <c r="AX37" s="1942"/>
      <c r="AY37" s="1942"/>
      <c r="AZ37" s="1942"/>
      <c r="BA37" s="1942"/>
      <c r="BB37" s="1942"/>
      <c r="BC37" s="1942"/>
      <c r="BD37" s="1942"/>
      <c r="BE37" s="1942"/>
      <c r="BF37" s="1942"/>
      <c r="BG37" s="1942"/>
      <c r="BH37" s="1942"/>
      <c r="BI37" s="1942"/>
      <c r="BJ37" s="1942"/>
      <c r="BK37" s="1942"/>
      <c r="BL37" s="1922"/>
      <c r="BM37" s="1922"/>
      <c r="BN37" s="1922"/>
      <c r="BO37" s="1922"/>
      <c r="BP37" s="1922"/>
      <c r="BQ37" s="1922"/>
      <c r="BR37" s="1922"/>
      <c r="BS37" s="1922"/>
      <c r="BT37" s="1922"/>
      <c r="BU37" s="1922"/>
      <c r="BV37" s="1922"/>
      <c r="BW37" s="1922"/>
      <c r="BX37" s="1922"/>
      <c r="BY37" s="1922"/>
      <c r="BZ37" s="1922"/>
      <c r="CA37" s="1922"/>
      <c r="CB37" s="1922"/>
      <c r="CC37" s="1922"/>
      <c r="CD37" s="1922"/>
      <c r="CE37" s="1922"/>
      <c r="CF37" s="1922"/>
      <c r="CG37" s="1922"/>
      <c r="CH37" s="1922"/>
      <c r="CI37" s="1922"/>
      <c r="CJ37" s="1922"/>
      <c r="CK37" s="1922"/>
      <c r="CL37" s="1922"/>
      <c r="CM37" s="1922"/>
      <c r="CN37" s="1922"/>
      <c r="CO37" s="1922"/>
      <c r="CP37" s="1922"/>
      <c r="CQ37" s="1922"/>
      <c r="CR37" s="1922"/>
      <c r="CS37" s="1922"/>
      <c r="CT37" s="1922"/>
      <c r="CU37" s="1922"/>
      <c r="CV37" s="1922"/>
      <c r="CW37" s="1922"/>
      <c r="CX37" s="1922"/>
      <c r="CY37" s="1922"/>
      <c r="CZ37" s="1922"/>
      <c r="DA37" s="1922"/>
      <c r="DB37" s="1922"/>
      <c r="DC37" s="1922"/>
      <c r="DD37" s="1922"/>
      <c r="DE37" s="1922"/>
      <c r="DF37" s="1922"/>
    </row>
    <row r="38" spans="1:110" customFormat="1">
      <c r="A38" s="1933" t="s">
        <v>7813</v>
      </c>
      <c r="B38" s="1934" t="s">
        <v>7429</v>
      </c>
      <c r="C38" s="3650"/>
      <c r="D38" s="3650"/>
      <c r="E38" s="3650"/>
      <c r="F38" s="3650"/>
      <c r="G38" s="3650"/>
      <c r="H38" s="3650"/>
      <c r="I38" s="3650"/>
      <c r="J38" s="3650"/>
      <c r="K38" s="3650"/>
      <c r="L38" s="3650"/>
      <c r="M38" s="3650"/>
      <c r="N38" s="3620"/>
      <c r="O38" s="3665"/>
      <c r="P38" s="3650"/>
      <c r="Q38" s="3650"/>
      <c r="R38" s="3650"/>
      <c r="S38" s="3620"/>
      <c r="T38" s="3620"/>
      <c r="U38" s="3620"/>
      <c r="V38" s="3620"/>
      <c r="W38" s="3620"/>
      <c r="X38" s="3620"/>
      <c r="Y38" s="3714"/>
      <c r="Z38" s="3714"/>
      <c r="AA38" s="3650"/>
      <c r="AB38" s="1935" t="s">
        <v>7818</v>
      </c>
      <c r="AC38" s="1935" t="s">
        <v>7728</v>
      </c>
      <c r="AD38" s="1935" t="s">
        <v>7806</v>
      </c>
      <c r="AE38" s="1935" t="s">
        <v>7739</v>
      </c>
      <c r="AF38" s="1967"/>
      <c r="AG38" s="1967"/>
      <c r="AH38" s="1967"/>
      <c r="AI38" s="1967"/>
      <c r="AJ38" s="1967"/>
      <c r="AK38" s="1951"/>
      <c r="AL38" s="1975"/>
      <c r="AM38" s="3662"/>
      <c r="AN38" s="3650"/>
      <c r="AO38" s="3650"/>
      <c r="AP38" s="3650"/>
      <c r="AQ38" s="3650"/>
      <c r="AR38" s="3663"/>
      <c r="AS38" s="1933" t="s">
        <v>7813</v>
      </c>
      <c r="AT38" s="1934" t="s">
        <v>7429</v>
      </c>
      <c r="AU38" s="1942"/>
      <c r="AV38" s="1942"/>
      <c r="AW38" s="1942"/>
      <c r="AX38" s="1942"/>
      <c r="AY38" s="1942"/>
      <c r="AZ38" s="1942"/>
      <c r="BA38" s="1942"/>
      <c r="BB38" s="1942"/>
      <c r="BC38" s="1942"/>
      <c r="BD38" s="1942"/>
      <c r="BE38" s="1942"/>
      <c r="BF38" s="1942"/>
      <c r="BG38" s="1942"/>
      <c r="BH38" s="1942"/>
      <c r="BI38" s="1942"/>
      <c r="BJ38" s="1942"/>
      <c r="BK38" s="1942"/>
      <c r="BL38" s="1922"/>
      <c r="BM38" s="1922"/>
      <c r="BN38" s="1922"/>
      <c r="BO38" s="1922"/>
      <c r="BP38" s="1922"/>
      <c r="BQ38" s="1922"/>
      <c r="BR38" s="1922"/>
      <c r="BS38" s="1922"/>
      <c r="BT38" s="1922"/>
      <c r="BU38" s="1922"/>
      <c r="BV38" s="1922"/>
      <c r="BW38" s="1922"/>
      <c r="BX38" s="1922"/>
      <c r="BY38" s="1922"/>
      <c r="BZ38" s="1922"/>
      <c r="CA38" s="1922"/>
      <c r="CB38" s="1922"/>
      <c r="CC38" s="1922"/>
      <c r="CD38" s="1922"/>
      <c r="CE38" s="1922"/>
      <c r="CF38" s="1922"/>
      <c r="CG38" s="1922"/>
      <c r="CH38" s="1922"/>
      <c r="CI38" s="1922"/>
      <c r="CJ38" s="1922"/>
      <c r="CK38" s="1922"/>
      <c r="CL38" s="1922"/>
      <c r="CM38" s="1922"/>
      <c r="CN38" s="1922"/>
      <c r="CO38" s="1922"/>
      <c r="CP38" s="1922"/>
      <c r="CQ38" s="1922"/>
      <c r="CR38" s="1922"/>
      <c r="CS38" s="1922"/>
      <c r="CT38" s="1922"/>
      <c r="CU38" s="1922"/>
      <c r="CV38" s="1922"/>
      <c r="CW38" s="1922"/>
      <c r="CX38" s="1922"/>
      <c r="CY38" s="1922"/>
      <c r="CZ38" s="1922"/>
      <c r="DA38" s="1922"/>
      <c r="DB38" s="1922"/>
      <c r="DC38" s="1922"/>
      <c r="DD38" s="1922"/>
      <c r="DE38" s="1922"/>
      <c r="DF38" s="1922"/>
    </row>
    <row r="39" spans="1:110" customFormat="1">
      <c r="A39" s="1933" t="s">
        <v>7429</v>
      </c>
      <c r="B39" s="1934" t="s">
        <v>7819</v>
      </c>
      <c r="C39" s="3650"/>
      <c r="D39" s="3650"/>
      <c r="E39" s="3650"/>
      <c r="F39" s="3650"/>
      <c r="G39" s="3650" t="s">
        <v>7820</v>
      </c>
      <c r="H39" s="3650" t="s">
        <v>7619</v>
      </c>
      <c r="I39" s="3650"/>
      <c r="J39" s="3650" t="s">
        <v>7545</v>
      </c>
      <c r="K39" s="3650"/>
      <c r="L39" s="3650" t="s">
        <v>7493</v>
      </c>
      <c r="M39" s="3650" t="s">
        <v>7387</v>
      </c>
      <c r="N39" s="3620"/>
      <c r="O39" s="3665"/>
      <c r="P39" s="3650"/>
      <c r="Q39" s="3650"/>
      <c r="R39" s="3650"/>
      <c r="S39" s="3650" t="s">
        <v>7387</v>
      </c>
      <c r="T39" s="3620"/>
      <c r="U39" s="3650" t="s">
        <v>7560</v>
      </c>
      <c r="V39" s="3620"/>
      <c r="W39" s="3650" t="s">
        <v>7797</v>
      </c>
      <c r="X39" s="3620"/>
      <c r="Y39" s="3714"/>
      <c r="Z39" s="3714"/>
      <c r="AA39" s="3650" t="s">
        <v>7710</v>
      </c>
      <c r="AB39" s="1935" t="s">
        <v>7607</v>
      </c>
      <c r="AC39" s="1935" t="s">
        <v>7712</v>
      </c>
      <c r="AD39" s="1935" t="s">
        <v>7706</v>
      </c>
      <c r="AE39" s="1935" t="s">
        <v>7785</v>
      </c>
      <c r="AF39" s="1967"/>
      <c r="AG39" s="1967"/>
      <c r="AH39" s="1967"/>
      <c r="AI39" s="3368" t="s">
        <v>12710</v>
      </c>
      <c r="AJ39" s="3368"/>
      <c r="AK39" s="1951"/>
      <c r="AL39" s="1975"/>
      <c r="AM39" s="3662" t="s">
        <v>6000</v>
      </c>
      <c r="AN39" s="3650" t="s">
        <v>287</v>
      </c>
      <c r="AO39" s="3650" t="s">
        <v>7355</v>
      </c>
      <c r="AP39" s="3650" t="s">
        <v>7415</v>
      </c>
      <c r="AQ39" s="3650" t="s">
        <v>7821</v>
      </c>
      <c r="AR39" s="3663"/>
      <c r="AS39" s="1933" t="s">
        <v>7429</v>
      </c>
      <c r="AT39" s="1934" t="s">
        <v>7819</v>
      </c>
      <c r="AU39" s="1942"/>
      <c r="AV39" s="1942"/>
      <c r="AW39" s="1942"/>
      <c r="AX39" s="1942"/>
      <c r="AY39" s="1942"/>
      <c r="AZ39" s="1942"/>
      <c r="BA39" s="1942"/>
      <c r="BB39" s="1942"/>
      <c r="BC39" s="1942"/>
      <c r="BD39" s="1942"/>
      <c r="BE39" s="1942"/>
      <c r="BF39" s="1942"/>
      <c r="BG39" s="1942"/>
      <c r="BH39" s="1942"/>
      <c r="BI39" s="1942"/>
      <c r="BJ39" s="1942"/>
      <c r="BK39" s="1942"/>
      <c r="BL39" s="1922"/>
      <c r="BM39" s="1922"/>
      <c r="BN39" s="1922"/>
      <c r="BO39" s="1922"/>
      <c r="BP39" s="1922"/>
      <c r="BQ39" s="1922"/>
      <c r="BR39" s="1922"/>
      <c r="BS39" s="1922"/>
      <c r="BT39" s="1922"/>
      <c r="BU39" s="1922"/>
      <c r="BV39" s="1922"/>
      <c r="BW39" s="1922"/>
      <c r="BX39" s="1922"/>
      <c r="BY39" s="1922"/>
      <c r="BZ39" s="1922"/>
      <c r="CA39" s="1922"/>
      <c r="CB39" s="1922"/>
      <c r="CC39" s="1922"/>
      <c r="CD39" s="1922"/>
      <c r="CE39" s="1922"/>
      <c r="CF39" s="1922"/>
      <c r="CG39" s="1922"/>
      <c r="CH39" s="1922"/>
      <c r="CI39" s="1922"/>
      <c r="CJ39" s="1922"/>
      <c r="CK39" s="1922"/>
      <c r="CL39" s="1922"/>
      <c r="CM39" s="1922"/>
      <c r="CN39" s="1922"/>
      <c r="CO39" s="1922"/>
      <c r="CP39" s="1922"/>
      <c r="CQ39" s="1922"/>
      <c r="CR39" s="1922"/>
      <c r="CS39" s="1922"/>
      <c r="CT39" s="1922"/>
      <c r="CU39" s="1922"/>
      <c r="CV39" s="1922"/>
      <c r="CW39" s="1922"/>
      <c r="CX39" s="1922"/>
      <c r="CY39" s="1922"/>
      <c r="CZ39" s="1922"/>
      <c r="DA39" s="1922"/>
      <c r="DB39" s="1922"/>
      <c r="DC39" s="1922"/>
      <c r="DD39" s="1922"/>
      <c r="DE39" s="1922"/>
      <c r="DF39" s="1922"/>
    </row>
    <row r="40" spans="1:110" customFormat="1">
      <c r="A40" s="1933" t="s">
        <v>7819</v>
      </c>
      <c r="B40" s="1934" t="s">
        <v>7377</v>
      </c>
      <c r="C40" s="3650"/>
      <c r="D40" s="3650"/>
      <c r="E40" s="3650"/>
      <c r="F40" s="3650"/>
      <c r="G40" s="3650"/>
      <c r="H40" s="3650"/>
      <c r="I40" s="3650"/>
      <c r="J40" s="3650"/>
      <c r="K40" s="3650"/>
      <c r="L40" s="3650"/>
      <c r="M40" s="3650"/>
      <c r="N40" s="3620"/>
      <c r="O40" s="3665"/>
      <c r="P40" s="3650"/>
      <c r="Q40" s="3650"/>
      <c r="R40" s="3650"/>
      <c r="S40" s="3620"/>
      <c r="T40" s="3620"/>
      <c r="U40" s="3620"/>
      <c r="V40" s="3620"/>
      <c r="W40" s="3620"/>
      <c r="X40" s="3620"/>
      <c r="Y40" s="3714"/>
      <c r="Z40" s="3714"/>
      <c r="AA40" s="3650"/>
      <c r="AB40" s="1935" t="s">
        <v>7781</v>
      </c>
      <c r="AC40" s="1935" t="s">
        <v>7822</v>
      </c>
      <c r="AD40" s="1935" t="s">
        <v>7714</v>
      </c>
      <c r="AE40" s="1935" t="s">
        <v>7792</v>
      </c>
      <c r="AF40" s="1967"/>
      <c r="AG40" s="1967"/>
      <c r="AH40" s="1967"/>
      <c r="AI40" s="1967"/>
      <c r="AJ40" s="1967"/>
      <c r="AK40" s="1951"/>
      <c r="AL40" s="1975"/>
      <c r="AM40" s="3662"/>
      <c r="AN40" s="3650"/>
      <c r="AO40" s="3650"/>
      <c r="AP40" s="3650"/>
      <c r="AQ40" s="3650"/>
      <c r="AR40" s="3663"/>
      <c r="AS40" s="1933" t="s">
        <v>7819</v>
      </c>
      <c r="AT40" s="1934" t="s">
        <v>7377</v>
      </c>
      <c r="AU40" s="1942"/>
      <c r="AV40" s="1942"/>
      <c r="AW40" s="1942"/>
      <c r="AX40" s="1942"/>
      <c r="AY40" s="1942"/>
      <c r="AZ40" s="1942"/>
      <c r="BA40" s="1942"/>
      <c r="BB40" s="1942"/>
      <c r="BC40" s="1942"/>
      <c r="BD40" s="1942"/>
      <c r="BE40" s="1942"/>
      <c r="BF40" s="1942"/>
      <c r="BG40" s="1942"/>
      <c r="BH40" s="1942"/>
      <c r="BI40" s="1942"/>
      <c r="BJ40" s="1942"/>
      <c r="BK40" s="1942"/>
      <c r="BL40" s="1922"/>
      <c r="BM40" s="1922"/>
      <c r="BN40" s="1922"/>
      <c r="BO40" s="1922"/>
      <c r="BP40" s="1922"/>
      <c r="BQ40" s="1922"/>
      <c r="BR40" s="1922"/>
      <c r="BS40" s="1922"/>
      <c r="BT40" s="1922"/>
      <c r="BU40" s="1922"/>
      <c r="BV40" s="1922"/>
      <c r="BW40" s="1922"/>
      <c r="BX40" s="1922"/>
      <c r="BY40" s="1922"/>
      <c r="BZ40" s="1922"/>
      <c r="CA40" s="1922"/>
      <c r="CB40" s="1922"/>
      <c r="CC40" s="1922"/>
      <c r="CD40" s="1922"/>
      <c r="CE40" s="1922"/>
      <c r="CF40" s="1922"/>
      <c r="CG40" s="1922"/>
      <c r="CH40" s="1922"/>
      <c r="CI40" s="1922"/>
      <c r="CJ40" s="1922"/>
      <c r="CK40" s="1922"/>
      <c r="CL40" s="1922"/>
      <c r="CM40" s="1922"/>
      <c r="CN40" s="1922"/>
      <c r="CO40" s="1922"/>
      <c r="CP40" s="1922"/>
      <c r="CQ40" s="1922"/>
      <c r="CR40" s="1922"/>
      <c r="CS40" s="1922"/>
      <c r="CT40" s="1922"/>
      <c r="CU40" s="1922"/>
      <c r="CV40" s="1922"/>
      <c r="CW40" s="1922"/>
      <c r="CX40" s="1922"/>
      <c r="CY40" s="1922"/>
      <c r="CZ40" s="1922"/>
      <c r="DA40" s="1922"/>
      <c r="DB40" s="1922"/>
      <c r="DC40" s="1922"/>
      <c r="DD40" s="1922"/>
      <c r="DE40" s="1922"/>
      <c r="DF40" s="1922"/>
    </row>
    <row r="41" spans="1:110" customFormat="1">
      <c r="A41" s="1933" t="s">
        <v>7377</v>
      </c>
      <c r="B41" s="1934" t="s">
        <v>7823</v>
      </c>
      <c r="C41" s="3650"/>
      <c r="D41" s="3650"/>
      <c r="E41" s="3650"/>
      <c r="F41" s="3650"/>
      <c r="G41" s="3650" t="s">
        <v>7824</v>
      </c>
      <c r="H41" s="3650" t="s">
        <v>7639</v>
      </c>
      <c r="I41" s="3650"/>
      <c r="J41" s="3650" t="s">
        <v>7569</v>
      </c>
      <c r="K41" s="3650"/>
      <c r="L41" s="3650" t="s">
        <v>7526</v>
      </c>
      <c r="M41" s="3650" t="s">
        <v>7387</v>
      </c>
      <c r="N41" s="3620"/>
      <c r="O41" s="3665"/>
      <c r="P41" s="3650"/>
      <c r="Q41" s="3650"/>
      <c r="R41" s="3650"/>
      <c r="S41" s="3650" t="s">
        <v>7387</v>
      </c>
      <c r="T41" s="3620"/>
      <c r="U41" s="3650" t="s">
        <v>7825</v>
      </c>
      <c r="V41" s="3620"/>
      <c r="W41" s="3650" t="s">
        <v>7656</v>
      </c>
      <c r="X41" s="3620"/>
      <c r="Y41" s="3714"/>
      <c r="Z41" s="3714"/>
      <c r="AA41" s="3650" t="s">
        <v>7657</v>
      </c>
      <c r="AB41" s="1935" t="s">
        <v>7826</v>
      </c>
      <c r="AC41" s="1935" t="s">
        <v>7713</v>
      </c>
      <c r="AD41" s="1935" t="s">
        <v>7731</v>
      </c>
      <c r="AE41" s="1935" t="s">
        <v>7786</v>
      </c>
      <c r="AF41" s="1967"/>
      <c r="AG41" s="1967"/>
      <c r="AH41" s="1967"/>
      <c r="AI41" s="1967"/>
      <c r="AJ41" s="1967"/>
      <c r="AK41" s="1951"/>
      <c r="AL41" s="1975"/>
      <c r="AM41" s="3662" t="s">
        <v>287</v>
      </c>
      <c r="AN41" s="3650" t="s">
        <v>7340</v>
      </c>
      <c r="AO41" s="3650" t="s">
        <v>7403</v>
      </c>
      <c r="AP41" s="3650" t="s">
        <v>7395</v>
      </c>
      <c r="AQ41" s="3650" t="s">
        <v>7827</v>
      </c>
      <c r="AR41" s="3663"/>
      <c r="AS41" s="1933" t="s">
        <v>7377</v>
      </c>
      <c r="AT41" s="1934" t="s">
        <v>7823</v>
      </c>
      <c r="AU41" s="1942"/>
      <c r="AV41" s="1942"/>
      <c r="AW41" s="1942"/>
      <c r="AX41" s="1942"/>
      <c r="AY41" s="1942"/>
      <c r="AZ41" s="1942"/>
      <c r="BA41" s="1942"/>
      <c r="BB41" s="1942"/>
      <c r="BC41" s="1942"/>
      <c r="BD41" s="1942"/>
      <c r="BE41" s="1942"/>
      <c r="BF41" s="1942"/>
      <c r="BG41" s="1942"/>
      <c r="BH41" s="1942"/>
      <c r="BI41" s="1942"/>
      <c r="BJ41" s="1942"/>
      <c r="BK41" s="1942"/>
      <c r="BL41" s="1922"/>
      <c r="BM41" s="1922"/>
      <c r="BN41" s="1922"/>
      <c r="BO41" s="1922"/>
      <c r="BP41" s="1922"/>
      <c r="BQ41" s="1922"/>
      <c r="BR41" s="1922"/>
      <c r="BS41" s="1922"/>
      <c r="BT41" s="1922"/>
      <c r="BU41" s="1922"/>
      <c r="BV41" s="1922"/>
      <c r="BW41" s="1922"/>
      <c r="BX41" s="1922"/>
      <c r="BY41" s="1922"/>
      <c r="BZ41" s="1922"/>
      <c r="CA41" s="1922"/>
      <c r="CB41" s="1922"/>
      <c r="CC41" s="1922"/>
      <c r="CD41" s="1922"/>
      <c r="CE41" s="1922"/>
      <c r="CF41" s="1922"/>
      <c r="CG41" s="1922"/>
      <c r="CH41" s="1922"/>
      <c r="CI41" s="1922"/>
      <c r="CJ41" s="1922"/>
      <c r="CK41" s="1922"/>
      <c r="CL41" s="1922"/>
      <c r="CM41" s="1922"/>
      <c r="CN41" s="1922"/>
      <c r="CO41" s="1922"/>
      <c r="CP41" s="1922"/>
      <c r="CQ41" s="1922"/>
      <c r="CR41" s="1922"/>
      <c r="CS41" s="1922"/>
      <c r="CT41" s="1922"/>
      <c r="CU41" s="1922"/>
      <c r="CV41" s="1922"/>
      <c r="CW41" s="1922"/>
      <c r="CX41" s="1922"/>
      <c r="CY41" s="1922"/>
      <c r="CZ41" s="1922"/>
      <c r="DA41" s="1922"/>
      <c r="DB41" s="1922"/>
      <c r="DC41" s="1922"/>
      <c r="DD41" s="1922"/>
      <c r="DE41" s="1922"/>
      <c r="DF41" s="1922"/>
    </row>
    <row r="42" spans="1:110" customFormat="1">
      <c r="A42" s="1933" t="s">
        <v>7823</v>
      </c>
      <c r="B42" s="1934" t="s">
        <v>7385</v>
      </c>
      <c r="C42" s="3650"/>
      <c r="D42" s="3650"/>
      <c r="E42" s="3650"/>
      <c r="F42" s="3650"/>
      <c r="G42" s="3650"/>
      <c r="H42" s="3650"/>
      <c r="I42" s="3650"/>
      <c r="J42" s="3650"/>
      <c r="K42" s="3650"/>
      <c r="L42" s="3650"/>
      <c r="M42" s="3650"/>
      <c r="N42" s="3620"/>
      <c r="O42" s="3665"/>
      <c r="P42" s="3650"/>
      <c r="Q42" s="3650"/>
      <c r="R42" s="3650"/>
      <c r="S42" s="3620"/>
      <c r="T42" s="3620"/>
      <c r="U42" s="3620"/>
      <c r="V42" s="3620"/>
      <c r="W42" s="3620"/>
      <c r="X42" s="3620"/>
      <c r="Y42" s="3714"/>
      <c r="Z42" s="3714"/>
      <c r="AA42" s="3650"/>
      <c r="AB42" s="1935" t="s">
        <v>7644</v>
      </c>
      <c r="AC42" s="1935" t="s">
        <v>7730</v>
      </c>
      <c r="AD42" s="1935" t="s">
        <v>7715</v>
      </c>
      <c r="AE42" s="1935" t="s">
        <v>7828</v>
      </c>
      <c r="AF42" s="1967"/>
      <c r="AG42" s="1967"/>
      <c r="AH42" s="1967"/>
      <c r="AI42" s="1967"/>
      <c r="AJ42" s="1967"/>
      <c r="AK42" s="1951"/>
      <c r="AL42" s="1975"/>
      <c r="AM42" s="3662"/>
      <c r="AN42" s="3650"/>
      <c r="AO42" s="3650"/>
      <c r="AP42" s="3650"/>
      <c r="AQ42" s="3650"/>
      <c r="AR42" s="3663"/>
      <c r="AS42" s="1933" t="s">
        <v>7823</v>
      </c>
      <c r="AT42" s="1934" t="s">
        <v>7385</v>
      </c>
      <c r="AU42" s="1942"/>
      <c r="AV42" s="1942"/>
      <c r="AW42" s="1942"/>
      <c r="AX42" s="1942"/>
      <c r="AY42" s="1942"/>
      <c r="AZ42" s="1942"/>
      <c r="BA42" s="1942"/>
      <c r="BB42" s="1942"/>
      <c r="BC42" s="1942"/>
      <c r="BD42" s="1942"/>
      <c r="BE42" s="1942"/>
      <c r="BF42" s="1942"/>
      <c r="BG42" s="1942"/>
      <c r="BH42" s="1942"/>
      <c r="BI42" s="1942"/>
      <c r="BJ42" s="1942"/>
      <c r="BK42" s="1942"/>
      <c r="BL42" s="1922"/>
      <c r="BM42" s="1922"/>
      <c r="BN42" s="1922"/>
      <c r="BO42" s="1922"/>
      <c r="BP42" s="1922"/>
      <c r="BQ42" s="1922"/>
      <c r="BR42" s="1922"/>
      <c r="BS42" s="1922"/>
      <c r="BT42" s="1922"/>
      <c r="BU42" s="1922"/>
      <c r="BV42" s="1922"/>
      <c r="BW42" s="1922"/>
      <c r="BX42" s="1922"/>
      <c r="BY42" s="1922"/>
      <c r="BZ42" s="1922"/>
      <c r="CA42" s="1922"/>
      <c r="CB42" s="1922"/>
      <c r="CC42" s="1922"/>
      <c r="CD42" s="1922"/>
      <c r="CE42" s="1922"/>
      <c r="CF42" s="1922"/>
      <c r="CG42" s="1922"/>
      <c r="CH42" s="1922"/>
      <c r="CI42" s="1922"/>
      <c r="CJ42" s="1922"/>
      <c r="CK42" s="1922"/>
      <c r="CL42" s="1922"/>
      <c r="CM42" s="1922"/>
      <c r="CN42" s="1922"/>
      <c r="CO42" s="1922"/>
      <c r="CP42" s="1922"/>
      <c r="CQ42" s="1922"/>
      <c r="CR42" s="1922"/>
      <c r="CS42" s="1922"/>
      <c r="CT42" s="1922"/>
      <c r="CU42" s="1922"/>
      <c r="CV42" s="1922"/>
      <c r="CW42" s="1922"/>
      <c r="CX42" s="1922"/>
      <c r="CY42" s="1922"/>
      <c r="CZ42" s="1922"/>
      <c r="DA42" s="1922"/>
      <c r="DB42" s="1922"/>
      <c r="DC42" s="1922"/>
      <c r="DD42" s="1922"/>
      <c r="DE42" s="1922"/>
      <c r="DF42" s="1922"/>
    </row>
    <row r="43" spans="1:110" customFormat="1">
      <c r="A43" s="1933" t="s">
        <v>7385</v>
      </c>
      <c r="B43" s="1934" t="s">
        <v>7829</v>
      </c>
      <c r="C43" s="3650"/>
      <c r="D43" s="3650"/>
      <c r="E43" s="3650"/>
      <c r="F43" s="3650"/>
      <c r="G43" s="3650" t="s">
        <v>7718</v>
      </c>
      <c r="H43" s="3650" t="s">
        <v>7648</v>
      </c>
      <c r="I43" s="3650"/>
      <c r="J43" s="3650" t="s">
        <v>7584</v>
      </c>
      <c r="K43" s="3650"/>
      <c r="L43" s="3650" t="s">
        <v>7473</v>
      </c>
      <c r="M43" s="3650" t="s">
        <v>7387</v>
      </c>
      <c r="N43" s="3620"/>
      <c r="O43" s="3665"/>
      <c r="P43" s="3650"/>
      <c r="Q43" s="3650"/>
      <c r="R43" s="3650"/>
      <c r="S43" s="3650" t="s">
        <v>7387</v>
      </c>
      <c r="T43" s="3620"/>
      <c r="U43" s="3650" t="s">
        <v>7576</v>
      </c>
      <c r="V43" s="3620"/>
      <c r="W43" s="3650" t="s">
        <v>7830</v>
      </c>
      <c r="X43" s="3620"/>
      <c r="Y43" s="3714"/>
      <c r="Z43" s="3714"/>
      <c r="AA43" s="3650" t="s">
        <v>7831</v>
      </c>
      <c r="AB43" s="1935" t="s">
        <v>7832</v>
      </c>
      <c r="AC43" s="1935" t="s">
        <v>7683</v>
      </c>
      <c r="AD43" s="1935" t="s">
        <v>7756</v>
      </c>
      <c r="AE43" s="1935" t="s">
        <v>7833</v>
      </c>
      <c r="AF43" s="1967"/>
      <c r="AG43" s="1967"/>
      <c r="AH43" s="1967"/>
      <c r="AI43" s="1967"/>
      <c r="AJ43" s="1967"/>
      <c r="AK43" s="1951"/>
      <c r="AL43" s="1975"/>
      <c r="AM43" s="3662" t="s">
        <v>7340</v>
      </c>
      <c r="AN43" s="3650" t="s">
        <v>7389</v>
      </c>
      <c r="AO43" s="3650" t="s">
        <v>7415</v>
      </c>
      <c r="AP43" s="3650" t="s">
        <v>7416</v>
      </c>
      <c r="AQ43" s="3650" t="s">
        <v>7591</v>
      </c>
      <c r="AR43" s="3663"/>
      <c r="AS43" s="1933" t="s">
        <v>7385</v>
      </c>
      <c r="AT43" s="1934" t="s">
        <v>7829</v>
      </c>
      <c r="AU43" s="1942"/>
      <c r="AV43" s="1942"/>
      <c r="AW43" s="1942"/>
      <c r="AX43" s="1942"/>
      <c r="AY43" s="1942"/>
      <c r="AZ43" s="1942"/>
      <c r="BA43" s="1942"/>
      <c r="BB43" s="1942"/>
      <c r="BC43" s="1942"/>
      <c r="BD43" s="1942"/>
      <c r="BE43" s="1942"/>
      <c r="BF43" s="1942"/>
      <c r="BG43" s="1942"/>
      <c r="BH43" s="1942"/>
      <c r="BI43" s="1942"/>
      <c r="BJ43" s="1942"/>
      <c r="BK43" s="1942"/>
      <c r="BL43" s="1922"/>
      <c r="BM43" s="1922"/>
      <c r="BN43" s="1922"/>
      <c r="BO43" s="1922"/>
      <c r="BP43" s="1922"/>
      <c r="BQ43" s="1922"/>
      <c r="BR43" s="1922"/>
      <c r="BS43" s="1922"/>
      <c r="BT43" s="1922"/>
      <c r="BU43" s="1922"/>
      <c r="BV43" s="1922"/>
      <c r="BW43" s="1922"/>
      <c r="BX43" s="1922"/>
      <c r="BY43" s="1922"/>
      <c r="BZ43" s="1922"/>
      <c r="CA43" s="1922"/>
      <c r="CB43" s="1922"/>
      <c r="CC43" s="1922"/>
      <c r="CD43" s="1922"/>
      <c r="CE43" s="1922"/>
      <c r="CF43" s="1922"/>
      <c r="CG43" s="1922"/>
      <c r="CH43" s="1922"/>
      <c r="CI43" s="1922"/>
      <c r="CJ43" s="1922"/>
      <c r="CK43" s="1922"/>
      <c r="CL43" s="1922"/>
      <c r="CM43" s="1922"/>
      <c r="CN43" s="1922"/>
      <c r="CO43" s="1922"/>
      <c r="CP43" s="1922"/>
      <c r="CQ43" s="1922"/>
      <c r="CR43" s="1922"/>
      <c r="CS43" s="1922"/>
      <c r="CT43" s="1922"/>
      <c r="CU43" s="1922"/>
      <c r="CV43" s="1922"/>
      <c r="CW43" s="1922"/>
      <c r="CX43" s="1922"/>
      <c r="CY43" s="1922"/>
      <c r="CZ43" s="1922"/>
      <c r="DA43" s="1922"/>
      <c r="DB43" s="1922"/>
      <c r="DC43" s="1922"/>
      <c r="DD43" s="1922"/>
      <c r="DE43" s="1922"/>
      <c r="DF43" s="1922"/>
    </row>
    <row r="44" spans="1:110" customFormat="1">
      <c r="A44" s="1933" t="s">
        <v>7829</v>
      </c>
      <c r="B44" s="1934" t="s">
        <v>7379</v>
      </c>
      <c r="C44" s="3650"/>
      <c r="D44" s="3650"/>
      <c r="E44" s="3650"/>
      <c r="F44" s="3650"/>
      <c r="G44" s="3650"/>
      <c r="H44" s="3650"/>
      <c r="I44" s="3650"/>
      <c r="J44" s="3650"/>
      <c r="K44" s="3650"/>
      <c r="L44" s="3650"/>
      <c r="M44" s="3650"/>
      <c r="N44" s="3620"/>
      <c r="O44" s="3665"/>
      <c r="P44" s="3650"/>
      <c r="Q44" s="3650"/>
      <c r="R44" s="3650"/>
      <c r="S44" s="3620"/>
      <c r="T44" s="3620"/>
      <c r="U44" s="3620"/>
      <c r="V44" s="3620"/>
      <c r="W44" s="3620"/>
      <c r="X44" s="3620"/>
      <c r="Y44" s="3714"/>
      <c r="Z44" s="3714"/>
      <c r="AA44" s="3650"/>
      <c r="AB44" s="1935" t="s">
        <v>7834</v>
      </c>
      <c r="AC44" s="1935" t="s">
        <v>7784</v>
      </c>
      <c r="AD44" s="1935" t="s">
        <v>7766</v>
      </c>
      <c r="AE44" s="1935" t="s">
        <v>7835</v>
      </c>
      <c r="AF44" s="1967"/>
      <c r="AG44" s="1967"/>
      <c r="AH44" s="1967"/>
      <c r="AI44" s="1967"/>
      <c r="AJ44" s="1967"/>
      <c r="AK44" s="1951"/>
      <c r="AL44" s="1975"/>
      <c r="AM44" s="3662"/>
      <c r="AN44" s="3650"/>
      <c r="AO44" s="3650"/>
      <c r="AP44" s="3650"/>
      <c r="AQ44" s="3650"/>
      <c r="AR44" s="3663"/>
      <c r="AS44" s="1933" t="s">
        <v>7829</v>
      </c>
      <c r="AT44" s="1934" t="s">
        <v>7379</v>
      </c>
      <c r="AU44" s="1942"/>
      <c r="AV44" s="1942"/>
      <c r="AW44" s="1942"/>
      <c r="AX44" s="1942"/>
      <c r="AY44" s="1942"/>
      <c r="AZ44" s="1942"/>
      <c r="BA44" s="1942"/>
      <c r="BB44" s="1942"/>
      <c r="BC44" s="1942"/>
      <c r="BD44" s="1942"/>
      <c r="BE44" s="1942"/>
      <c r="BF44" s="1942"/>
      <c r="BG44" s="1942"/>
      <c r="BH44" s="1942"/>
      <c r="BI44" s="1942"/>
      <c r="BJ44" s="1942"/>
      <c r="BK44" s="1942"/>
      <c r="BL44" s="1922"/>
      <c r="BM44" s="1922"/>
      <c r="BN44" s="1922"/>
      <c r="BO44" s="1922"/>
      <c r="BP44" s="1922"/>
      <c r="BQ44" s="1922"/>
      <c r="BR44" s="1922"/>
      <c r="BS44" s="1922"/>
      <c r="BT44" s="1922"/>
      <c r="BU44" s="1922"/>
      <c r="BV44" s="1922"/>
      <c r="BW44" s="1922"/>
      <c r="BX44" s="1922"/>
      <c r="BY44" s="1922"/>
      <c r="BZ44" s="1922"/>
      <c r="CA44" s="1922"/>
      <c r="CB44" s="1922"/>
      <c r="CC44" s="1922"/>
      <c r="CD44" s="1922"/>
      <c r="CE44" s="1922"/>
      <c r="CF44" s="1922"/>
      <c r="CG44" s="1922"/>
      <c r="CH44" s="1922"/>
      <c r="CI44" s="1922"/>
      <c r="CJ44" s="1922"/>
      <c r="CK44" s="1922"/>
      <c r="CL44" s="1922"/>
      <c r="CM44" s="1922"/>
      <c r="CN44" s="1922"/>
      <c r="CO44" s="1922"/>
      <c r="CP44" s="1922"/>
      <c r="CQ44" s="1922"/>
      <c r="CR44" s="1922"/>
      <c r="CS44" s="1922"/>
      <c r="CT44" s="1922"/>
      <c r="CU44" s="1922"/>
      <c r="CV44" s="1922"/>
      <c r="CW44" s="1922"/>
      <c r="CX44" s="1922"/>
      <c r="CY44" s="1922"/>
      <c r="CZ44" s="1922"/>
      <c r="DA44" s="1922"/>
      <c r="DB44" s="1922"/>
      <c r="DC44" s="1922"/>
      <c r="DD44" s="1922"/>
      <c r="DE44" s="1922"/>
      <c r="DF44" s="1922"/>
    </row>
    <row r="45" spans="1:110" customFormat="1">
      <c r="A45" s="1933" t="s">
        <v>7379</v>
      </c>
      <c r="B45" s="1934" t="s">
        <v>7836</v>
      </c>
      <c r="C45" s="3650"/>
      <c r="D45" s="3650"/>
      <c r="E45" s="3650"/>
      <c r="F45" s="3650"/>
      <c r="G45" s="3650" t="s">
        <v>7664</v>
      </c>
      <c r="H45" s="3650" t="s">
        <v>7523</v>
      </c>
      <c r="I45" s="3650"/>
      <c r="J45" s="3650" t="s">
        <v>7649</v>
      </c>
      <c r="K45" s="3650"/>
      <c r="L45" s="3650" t="s">
        <v>7837</v>
      </c>
      <c r="M45" s="3650" t="s">
        <v>7387</v>
      </c>
      <c r="N45" s="3620"/>
      <c r="O45" s="3665"/>
      <c r="P45" s="3650"/>
      <c r="Q45" s="3650"/>
      <c r="R45" s="3650"/>
      <c r="S45" s="3650" t="s">
        <v>7387</v>
      </c>
      <c r="T45" s="3620"/>
      <c r="U45" s="3650" t="s">
        <v>7838</v>
      </c>
      <c r="V45" s="3620"/>
      <c r="W45" s="3650" t="s">
        <v>7839</v>
      </c>
      <c r="X45" s="3620"/>
      <c r="Y45" s="3715"/>
      <c r="Z45" s="3715"/>
      <c r="AA45" s="3650" t="s">
        <v>7736</v>
      </c>
      <c r="AB45" s="1935" t="s">
        <v>7840</v>
      </c>
      <c r="AC45" s="1935" t="s">
        <v>7707</v>
      </c>
      <c r="AD45" s="1935" t="s">
        <v>7757</v>
      </c>
      <c r="AE45" s="1935" t="s">
        <v>7841</v>
      </c>
      <c r="AF45" s="1967"/>
      <c r="AG45" s="1967"/>
      <c r="AH45" s="1967"/>
      <c r="AI45" s="1967"/>
      <c r="AJ45" s="1967"/>
      <c r="AK45" s="1951"/>
      <c r="AL45" s="1975"/>
      <c r="AM45" s="3662" t="s">
        <v>7389</v>
      </c>
      <c r="AN45" s="3650" t="s">
        <v>7390</v>
      </c>
      <c r="AO45" s="3650" t="s">
        <v>7842</v>
      </c>
      <c r="AP45" s="3650" t="s">
        <v>7401</v>
      </c>
      <c r="AQ45" s="3650" t="s">
        <v>7843</v>
      </c>
      <c r="AR45" s="3663"/>
      <c r="AS45" s="1933" t="s">
        <v>7379</v>
      </c>
      <c r="AT45" s="1934" t="s">
        <v>7836</v>
      </c>
      <c r="AU45" s="1942"/>
      <c r="AV45" s="1942"/>
      <c r="AW45" s="1942"/>
      <c r="AX45" s="1942"/>
      <c r="AY45" s="1942"/>
      <c r="AZ45" s="1942"/>
      <c r="BA45" s="1942"/>
      <c r="BB45" s="1942"/>
      <c r="BC45" s="1942"/>
      <c r="BD45" s="1942"/>
      <c r="BE45" s="1942"/>
      <c r="BF45" s="1942"/>
      <c r="BG45" s="1942"/>
      <c r="BH45" s="1942"/>
      <c r="BI45" s="1942"/>
      <c r="BJ45" s="1942"/>
      <c r="BK45" s="1942"/>
      <c r="BL45" s="1922"/>
      <c r="BM45" s="1922"/>
      <c r="BN45" s="1922"/>
      <c r="BO45" s="1922"/>
      <c r="BP45" s="1922"/>
      <c r="BQ45" s="1922"/>
      <c r="BR45" s="1922"/>
      <c r="BS45" s="1922"/>
      <c r="BT45" s="1922"/>
      <c r="BU45" s="1922"/>
      <c r="BV45" s="1922"/>
      <c r="BW45" s="1922"/>
      <c r="BX45" s="1922"/>
      <c r="BY45" s="1922"/>
      <c r="BZ45" s="1922"/>
      <c r="CA45" s="1922"/>
      <c r="CB45" s="1922"/>
      <c r="CC45" s="1922"/>
      <c r="CD45" s="1922"/>
      <c r="CE45" s="1922"/>
      <c r="CF45" s="1922"/>
      <c r="CG45" s="1922"/>
      <c r="CH45" s="1922"/>
      <c r="CI45" s="1922"/>
      <c r="CJ45" s="1922"/>
      <c r="CK45" s="1922"/>
      <c r="CL45" s="1922"/>
      <c r="CM45" s="1922"/>
      <c r="CN45" s="1922"/>
      <c r="CO45" s="1922"/>
      <c r="CP45" s="1922"/>
      <c r="CQ45" s="1922"/>
      <c r="CR45" s="1922"/>
      <c r="CS45" s="1922"/>
      <c r="CT45" s="1922"/>
      <c r="CU45" s="1922"/>
      <c r="CV45" s="1922"/>
      <c r="CW45" s="1922"/>
      <c r="CX45" s="1922"/>
      <c r="CY45" s="1922"/>
      <c r="CZ45" s="1922"/>
      <c r="DA45" s="1922"/>
      <c r="DB45" s="1922"/>
      <c r="DC45" s="1922"/>
      <c r="DD45" s="1922"/>
      <c r="DE45" s="1922"/>
      <c r="DF45" s="1922"/>
    </row>
    <row r="46" spans="1:110" customFormat="1">
      <c r="A46" s="1936" t="s">
        <v>7836</v>
      </c>
      <c r="B46" s="1937" t="s">
        <v>7430</v>
      </c>
      <c r="C46" s="3651"/>
      <c r="D46" s="3651"/>
      <c r="E46" s="3651"/>
      <c r="F46" s="3651"/>
      <c r="G46" s="3651"/>
      <c r="H46" s="3651"/>
      <c r="I46" s="3651"/>
      <c r="J46" s="3651"/>
      <c r="K46" s="3651"/>
      <c r="L46" s="3651"/>
      <c r="M46" s="3651"/>
      <c r="N46" s="3624"/>
      <c r="O46" s="3669"/>
      <c r="P46" s="3651"/>
      <c r="Q46" s="3651"/>
      <c r="R46" s="3651"/>
      <c r="S46" s="3624"/>
      <c r="T46" s="3624"/>
      <c r="U46" s="3624"/>
      <c r="V46" s="3624"/>
      <c r="W46" s="3624"/>
      <c r="X46" s="3624"/>
      <c r="Y46" s="3716"/>
      <c r="Z46" s="3716"/>
      <c r="AA46" s="3651"/>
      <c r="AB46" s="1938" t="s">
        <v>7728</v>
      </c>
      <c r="AC46" s="1938" t="s">
        <v>7844</v>
      </c>
      <c r="AD46" s="1938" t="s">
        <v>7767</v>
      </c>
      <c r="AE46" s="1938" t="s">
        <v>7845</v>
      </c>
      <c r="AF46" s="1968"/>
      <c r="AG46" s="1968"/>
      <c r="AH46" s="1968"/>
      <c r="AI46" s="1968"/>
      <c r="AJ46" s="1968"/>
      <c r="AK46" s="1954"/>
      <c r="AL46" s="1976"/>
      <c r="AM46" s="3671"/>
      <c r="AN46" s="3651"/>
      <c r="AO46" s="3651"/>
      <c r="AP46" s="3651"/>
      <c r="AQ46" s="3651"/>
      <c r="AR46" s="3672"/>
      <c r="AS46" s="1936" t="s">
        <v>7836</v>
      </c>
      <c r="AT46" s="1937" t="s">
        <v>7430</v>
      </c>
      <c r="AU46" s="1942"/>
      <c r="AV46" s="1942"/>
      <c r="AW46" s="1942"/>
      <c r="AX46" s="1942"/>
      <c r="AY46" s="1942"/>
      <c r="AZ46" s="1942"/>
      <c r="BA46" s="1942"/>
      <c r="BB46" s="1942"/>
      <c r="BC46" s="1942"/>
      <c r="BD46" s="1942"/>
      <c r="BE46" s="1942"/>
      <c r="BF46" s="1942"/>
      <c r="BG46" s="1942"/>
      <c r="BH46" s="1942"/>
      <c r="BI46" s="1942"/>
      <c r="BJ46" s="1942"/>
      <c r="BK46" s="1942"/>
      <c r="BL46" s="1922"/>
      <c r="BM46" s="1922"/>
      <c r="BN46" s="1922"/>
      <c r="BO46" s="1922"/>
      <c r="BP46" s="1922"/>
      <c r="BQ46" s="1922"/>
      <c r="BR46" s="1922"/>
      <c r="BS46" s="1922"/>
      <c r="BT46" s="1922"/>
      <c r="BU46" s="1922"/>
      <c r="BV46" s="1922"/>
      <c r="BW46" s="1922"/>
      <c r="BX46" s="1922"/>
      <c r="BY46" s="1922"/>
      <c r="BZ46" s="1922"/>
      <c r="CA46" s="1922"/>
      <c r="CB46" s="1922"/>
      <c r="CC46" s="1922"/>
      <c r="CD46" s="1922"/>
      <c r="CE46" s="1922"/>
      <c r="CF46" s="1922"/>
      <c r="CG46" s="1922"/>
      <c r="CH46" s="1922"/>
      <c r="CI46" s="1922"/>
      <c r="CJ46" s="1922"/>
      <c r="CK46" s="1922"/>
      <c r="CL46" s="1922"/>
      <c r="CM46" s="1922"/>
      <c r="CN46" s="1922"/>
      <c r="CO46" s="1922"/>
      <c r="CP46" s="1922"/>
      <c r="CQ46" s="1922"/>
      <c r="CR46" s="1922"/>
      <c r="CS46" s="1922"/>
      <c r="CT46" s="1922"/>
      <c r="CU46" s="1922"/>
      <c r="CV46" s="1922"/>
      <c r="CW46" s="1922"/>
      <c r="CX46" s="1922"/>
      <c r="CY46" s="1922"/>
      <c r="CZ46" s="1922"/>
      <c r="DA46" s="1922"/>
      <c r="DB46" s="1922"/>
      <c r="DC46" s="1922"/>
      <c r="DD46" s="1922"/>
      <c r="DE46" s="1922"/>
      <c r="DF46" s="1922"/>
    </row>
    <row r="47" spans="1:110" customFormat="1">
      <c r="A47" s="1927" t="s">
        <v>7342</v>
      </c>
      <c r="B47" s="1928" t="s">
        <v>7343</v>
      </c>
      <c r="C47" s="3634" t="s">
        <v>7465</v>
      </c>
      <c r="D47" s="3636"/>
      <c r="E47" s="3636"/>
      <c r="F47" s="3636"/>
      <c r="G47" s="3636"/>
      <c r="H47" s="3636"/>
      <c r="I47" s="3636"/>
      <c r="J47" s="3636"/>
      <c r="K47" s="3636"/>
      <c r="L47" s="3636"/>
      <c r="M47" s="3636"/>
      <c r="N47" s="3636"/>
      <c r="O47" s="3645"/>
      <c r="P47" s="1952" t="s">
        <v>7338</v>
      </c>
      <c r="Q47" s="1958" t="s">
        <v>7339</v>
      </c>
      <c r="R47" s="1958" t="s">
        <v>6000</v>
      </c>
      <c r="S47" s="1959" t="s">
        <v>7466</v>
      </c>
      <c r="T47" s="1960" t="s">
        <v>7467</v>
      </c>
      <c r="U47" s="1959" t="s">
        <v>7466</v>
      </c>
      <c r="V47" s="1960" t="s">
        <v>7467</v>
      </c>
      <c r="W47" s="1959" t="s">
        <v>7466</v>
      </c>
      <c r="X47" s="1960" t="s">
        <v>7467</v>
      </c>
      <c r="Y47" s="3646" t="s">
        <v>7468</v>
      </c>
      <c r="Z47" s="3647"/>
      <c r="AA47" s="3648" t="s">
        <v>7469</v>
      </c>
      <c r="AB47" s="3636"/>
      <c r="AC47" s="3636"/>
      <c r="AD47" s="3636"/>
      <c r="AE47" s="3636"/>
      <c r="AF47" s="3636"/>
      <c r="AG47" s="3636"/>
      <c r="AH47" s="3636"/>
      <c r="AI47" s="3636"/>
      <c r="AJ47" s="3636"/>
      <c r="AK47" s="3636"/>
      <c r="AL47" s="3645"/>
      <c r="AM47" s="1952" t="s">
        <v>7335</v>
      </c>
      <c r="AN47" s="1958" t="s">
        <v>7336</v>
      </c>
      <c r="AO47" s="1958" t="s">
        <v>7337</v>
      </c>
      <c r="AP47" s="1958" t="s">
        <v>7338</v>
      </c>
      <c r="AQ47" s="1958" t="s">
        <v>7339</v>
      </c>
      <c r="AR47" s="1979" t="s">
        <v>6000</v>
      </c>
      <c r="AS47" s="1927" t="s">
        <v>7342</v>
      </c>
      <c r="AT47" s="1928" t="s">
        <v>7343</v>
      </c>
      <c r="AU47" s="1942"/>
      <c r="AV47" s="1942"/>
      <c r="AW47" s="1942"/>
      <c r="AX47" s="1942"/>
      <c r="AY47" s="1942"/>
      <c r="AZ47" s="1942"/>
      <c r="BA47" s="1942"/>
      <c r="BB47" s="1942"/>
      <c r="BC47" s="1942"/>
      <c r="BD47" s="1942"/>
      <c r="BE47" s="1942"/>
      <c r="BF47" s="1942"/>
      <c r="BG47" s="1942"/>
      <c r="BH47" s="1942"/>
      <c r="BI47" s="1942"/>
      <c r="BJ47" s="1942"/>
      <c r="BK47" s="1942"/>
      <c r="BL47" s="1922"/>
      <c r="BM47" s="1922"/>
      <c r="BN47" s="1922"/>
      <c r="BO47" s="1922"/>
      <c r="BP47" s="1922"/>
      <c r="BQ47" s="1922"/>
      <c r="BR47" s="1922"/>
      <c r="BS47" s="1922"/>
      <c r="BT47" s="1922"/>
      <c r="BU47" s="1922"/>
      <c r="BV47" s="1922"/>
      <c r="BW47" s="1922"/>
      <c r="BX47" s="1922"/>
      <c r="BY47" s="1922"/>
      <c r="BZ47" s="1922"/>
      <c r="CA47" s="1922"/>
      <c r="CB47" s="1922"/>
      <c r="CC47" s="1922"/>
      <c r="CD47" s="1922"/>
      <c r="CE47" s="1922"/>
      <c r="CF47" s="1922"/>
      <c r="CG47" s="1922"/>
      <c r="CH47" s="1922"/>
      <c r="CI47" s="1922"/>
      <c r="CJ47" s="1922"/>
      <c r="CK47" s="1922"/>
      <c r="CL47" s="1922"/>
      <c r="CM47" s="1922"/>
      <c r="CN47" s="1922"/>
      <c r="CO47" s="1922"/>
      <c r="CP47" s="1922"/>
      <c r="CQ47" s="1922"/>
      <c r="CR47" s="1922"/>
      <c r="CS47" s="1922"/>
      <c r="CT47" s="1922"/>
      <c r="CU47" s="1922"/>
      <c r="CV47" s="1922"/>
      <c r="CW47" s="1922"/>
      <c r="CX47" s="1922"/>
      <c r="CY47" s="1922"/>
      <c r="CZ47" s="1922"/>
      <c r="DA47" s="1922"/>
      <c r="DB47" s="1922"/>
      <c r="DC47" s="1922"/>
      <c r="DD47" s="1922"/>
      <c r="DE47" s="1922"/>
      <c r="DF47" s="1922"/>
    </row>
    <row r="48" spans="1:110" customFormat="1">
      <c r="A48" s="3641" t="s">
        <v>7452</v>
      </c>
      <c r="B48" s="3649"/>
      <c r="C48" s="1925" t="s">
        <v>5928</v>
      </c>
      <c r="D48" s="1926" t="s">
        <v>7453</v>
      </c>
      <c r="E48" s="1926" t="s">
        <v>5930</v>
      </c>
      <c r="F48" s="1926" t="s">
        <v>7454</v>
      </c>
      <c r="G48" s="1926" t="s">
        <v>4554</v>
      </c>
      <c r="H48" s="1926" t="s">
        <v>5931</v>
      </c>
      <c r="I48" s="1926" t="s">
        <v>7455</v>
      </c>
      <c r="J48" s="1926" t="s">
        <v>5932</v>
      </c>
      <c r="K48" s="1926" t="s">
        <v>7456</v>
      </c>
      <c r="L48" s="1926" t="s">
        <v>5933</v>
      </c>
      <c r="M48" s="1926" t="s">
        <v>6556</v>
      </c>
      <c r="N48" s="3639" t="s">
        <v>7457</v>
      </c>
      <c r="O48" s="3640"/>
      <c r="P48" s="3641" t="s">
        <v>7458</v>
      </c>
      <c r="Q48" s="3591"/>
      <c r="R48" s="3591"/>
      <c r="S48" s="3639" t="s">
        <v>6163</v>
      </c>
      <c r="T48" s="3642"/>
      <c r="U48" s="3639" t="s">
        <v>6407</v>
      </c>
      <c r="V48" s="3642"/>
      <c r="W48" s="3639" t="s">
        <v>6109</v>
      </c>
      <c r="X48" s="3642"/>
      <c r="Y48" s="3643" t="s">
        <v>7459</v>
      </c>
      <c r="Z48" s="3644"/>
      <c r="AA48" s="1926" t="s">
        <v>6370</v>
      </c>
      <c r="AB48" s="1926" t="s">
        <v>7460</v>
      </c>
      <c r="AC48" s="1926" t="s">
        <v>6346</v>
      </c>
      <c r="AD48" s="1926" t="s">
        <v>6436</v>
      </c>
      <c r="AE48" s="1926" t="s">
        <v>6426</v>
      </c>
      <c r="AF48" s="1926" t="s">
        <v>6326</v>
      </c>
      <c r="AG48" s="1926" t="s">
        <v>707</v>
      </c>
      <c r="AH48" s="1926" t="s">
        <v>7461</v>
      </c>
      <c r="AI48" s="1926" t="s">
        <v>6644</v>
      </c>
      <c r="AJ48" s="1926" t="s">
        <v>7462</v>
      </c>
      <c r="AK48" s="1926" t="s">
        <v>7463</v>
      </c>
      <c r="AL48" s="1962" t="s">
        <v>7464</v>
      </c>
      <c r="AM48" s="3614" t="s">
        <v>7451</v>
      </c>
      <c r="AN48" s="3616"/>
      <c r="AO48" s="3616"/>
      <c r="AP48" s="3616"/>
      <c r="AQ48" s="3616"/>
      <c r="AR48" s="3658"/>
      <c r="AS48" s="3637" t="s">
        <v>7452</v>
      </c>
      <c r="AT48" s="3638"/>
      <c r="AU48" s="1942"/>
      <c r="AV48" s="1942"/>
      <c r="AW48" s="1942"/>
      <c r="AX48" s="1942"/>
      <c r="AY48" s="1942"/>
      <c r="AZ48" s="1942"/>
      <c r="BA48" s="1942"/>
      <c r="BB48" s="1942"/>
      <c r="BC48" s="1942"/>
      <c r="BD48" s="1942"/>
      <c r="BE48" s="1942"/>
      <c r="BF48" s="1942"/>
      <c r="BG48" s="1942"/>
      <c r="BH48" s="1942"/>
      <c r="BI48" s="1942"/>
      <c r="BJ48" s="1942"/>
      <c r="BK48" s="1942"/>
      <c r="BL48" s="1922"/>
      <c r="BM48" s="1922"/>
      <c r="BN48" s="1922"/>
      <c r="BO48" s="1922"/>
      <c r="BP48" s="1922"/>
      <c r="BQ48" s="1922"/>
      <c r="BR48" s="1922"/>
      <c r="BS48" s="1922"/>
      <c r="BT48" s="1922"/>
      <c r="BU48" s="1922"/>
      <c r="BV48" s="1922"/>
      <c r="BW48" s="1922"/>
      <c r="BX48" s="1922"/>
      <c r="BY48" s="1922"/>
      <c r="BZ48" s="1922"/>
      <c r="CA48" s="1922"/>
      <c r="CB48" s="1922"/>
      <c r="CC48" s="1922"/>
      <c r="CD48" s="1922"/>
      <c r="CE48" s="1922"/>
      <c r="CF48" s="1922"/>
      <c r="CG48" s="1922"/>
      <c r="CH48" s="1922"/>
      <c r="CI48" s="1922"/>
      <c r="CJ48" s="1922"/>
      <c r="CK48" s="1922"/>
      <c r="CL48" s="1922"/>
      <c r="CM48" s="1922"/>
      <c r="CN48" s="1922"/>
      <c r="CO48" s="1922"/>
      <c r="CP48" s="1922"/>
      <c r="CQ48" s="1922"/>
      <c r="CR48" s="1922"/>
      <c r="CS48" s="1922"/>
      <c r="CT48" s="1922"/>
      <c r="CU48" s="1922"/>
      <c r="CV48" s="1922"/>
      <c r="CW48" s="1922"/>
      <c r="CX48" s="1922"/>
      <c r="CY48" s="1922"/>
      <c r="CZ48" s="1922"/>
      <c r="DA48" s="1922"/>
      <c r="DB48" s="1922"/>
      <c r="DC48" s="1922"/>
      <c r="DD48" s="1922"/>
      <c r="DE48" s="1922"/>
      <c r="DF48" s="1922"/>
    </row>
    <row r="49" spans="1:110" customFormat="1">
      <c r="A49" s="3653" t="s">
        <v>7449</v>
      </c>
      <c r="B49" s="3654"/>
      <c r="C49" s="3634" t="s">
        <v>7450</v>
      </c>
      <c r="D49" s="3635"/>
      <c r="E49" s="3635"/>
      <c r="F49" s="3635"/>
      <c r="G49" s="3635"/>
      <c r="H49" s="3635"/>
      <c r="I49" s="3635"/>
      <c r="J49" s="3635"/>
      <c r="K49" s="3635"/>
      <c r="L49" s="3635"/>
      <c r="M49" s="3635"/>
      <c r="N49" s="3635"/>
      <c r="O49" s="3635"/>
      <c r="P49" s="3635"/>
      <c r="Q49" s="3635"/>
      <c r="R49" s="3635"/>
      <c r="S49" s="3635"/>
      <c r="T49" s="3635"/>
      <c r="U49" s="3635"/>
      <c r="V49" s="3635"/>
      <c r="W49" s="3635"/>
      <c r="X49" s="3635"/>
      <c r="Y49" s="3635"/>
      <c r="Z49" s="3635"/>
      <c r="AA49" s="3635"/>
      <c r="AB49" s="3635"/>
      <c r="AC49" s="3635"/>
      <c r="AD49" s="3635"/>
      <c r="AE49" s="3635"/>
      <c r="AF49" s="3635"/>
      <c r="AG49" s="3635"/>
      <c r="AH49" s="3635"/>
      <c r="AI49" s="3635"/>
      <c r="AJ49" s="3635"/>
      <c r="AK49" s="3636"/>
      <c r="AL49" s="3636"/>
      <c r="AM49" s="3622"/>
      <c r="AN49" s="3624"/>
      <c r="AO49" s="3624"/>
      <c r="AP49" s="3624"/>
      <c r="AQ49" s="3624"/>
      <c r="AR49" s="3669"/>
      <c r="AS49" s="3653" t="s">
        <v>7449</v>
      </c>
      <c r="AT49" s="3654"/>
      <c r="AU49" s="1942"/>
      <c r="AV49" s="1942"/>
      <c r="AW49" s="1942"/>
      <c r="AX49" s="1942"/>
      <c r="AY49" s="1942"/>
      <c r="AZ49" s="1942"/>
      <c r="BA49" s="1942"/>
      <c r="BB49" s="1942"/>
      <c r="BC49" s="1942"/>
      <c r="BD49" s="1942"/>
      <c r="BE49" s="1942"/>
      <c r="BF49" s="1942"/>
      <c r="BG49" s="1942"/>
      <c r="BH49" s="1942"/>
      <c r="BI49" s="1942"/>
      <c r="BJ49" s="1942"/>
      <c r="BK49" s="1942"/>
      <c r="BL49" s="1922"/>
      <c r="BM49" s="1922"/>
      <c r="BN49" s="1922"/>
      <c r="BO49" s="1922"/>
      <c r="BP49" s="1922"/>
      <c r="BQ49" s="1922"/>
      <c r="BR49" s="1922"/>
      <c r="BS49" s="1922"/>
      <c r="BT49" s="1922"/>
      <c r="BU49" s="1922"/>
      <c r="BV49" s="1922"/>
      <c r="BW49" s="1922"/>
      <c r="BX49" s="1922"/>
      <c r="BY49" s="1922"/>
      <c r="BZ49" s="1922"/>
      <c r="CA49" s="1922"/>
      <c r="CB49" s="1922"/>
      <c r="CC49" s="1922"/>
      <c r="CD49" s="1922"/>
      <c r="CE49" s="1922"/>
      <c r="CF49" s="1922"/>
      <c r="CG49" s="1922"/>
      <c r="CH49" s="1922"/>
      <c r="CI49" s="1922"/>
      <c r="CJ49" s="1922"/>
      <c r="CK49" s="1922"/>
      <c r="CL49" s="1922"/>
      <c r="CM49" s="1922"/>
      <c r="CN49" s="1922"/>
      <c r="CO49" s="1922"/>
      <c r="CP49" s="1922"/>
      <c r="CQ49" s="1922"/>
      <c r="CR49" s="1922"/>
      <c r="CS49" s="1922"/>
      <c r="CT49" s="1922"/>
      <c r="CU49" s="1922"/>
      <c r="CV49" s="1922"/>
      <c r="CW49" s="1922"/>
      <c r="CX49" s="1922"/>
      <c r="CY49" s="1922"/>
      <c r="CZ49" s="1922"/>
      <c r="DA49" s="1922"/>
      <c r="DB49" s="1922"/>
      <c r="DC49" s="1922"/>
      <c r="DD49" s="1922"/>
      <c r="DE49" s="1922"/>
      <c r="DF49" s="1922"/>
    </row>
    <row r="50" spans="1:110" customFormat="1">
      <c r="A50" s="1942" t="s">
        <v>7846</v>
      </c>
      <c r="B50" s="1942"/>
      <c r="C50" s="1942"/>
      <c r="D50" s="1942"/>
      <c r="E50" s="1942"/>
      <c r="F50" s="1942"/>
      <c r="G50" s="1942"/>
      <c r="H50" s="1942"/>
      <c r="I50" s="1942"/>
      <c r="J50" s="1942"/>
      <c r="K50" s="1942"/>
      <c r="L50" s="1942"/>
      <c r="M50" s="1942"/>
      <c r="N50" s="1942"/>
      <c r="O50" s="1942"/>
      <c r="P50" s="1942"/>
      <c r="Q50" s="1942"/>
      <c r="R50" s="1942"/>
      <c r="S50" s="1942"/>
      <c r="T50" s="1942"/>
      <c r="U50" s="1942"/>
      <c r="V50" s="1942"/>
      <c r="W50" s="1942"/>
      <c r="X50" s="1942"/>
      <c r="Y50" s="1942"/>
      <c r="Z50" s="1942"/>
      <c r="AA50" s="1942"/>
      <c r="AB50" s="1942"/>
      <c r="AC50" s="1942"/>
      <c r="AD50" s="1942"/>
      <c r="AE50" s="1942"/>
      <c r="AF50" s="1942"/>
      <c r="AG50" s="1942"/>
      <c r="AH50" s="1942"/>
      <c r="AI50" s="1942"/>
      <c r="AJ50" s="1942"/>
      <c r="AK50" s="1922"/>
      <c r="AL50" s="1942"/>
      <c r="AM50" s="1942"/>
      <c r="AN50" s="1942"/>
      <c r="AO50" s="1942"/>
      <c r="AP50" s="1942"/>
      <c r="AQ50" s="1942"/>
      <c r="AR50" s="1942"/>
      <c r="AS50" s="1942"/>
      <c r="AT50" s="1942"/>
      <c r="AU50" s="1942"/>
      <c r="AV50" s="1942"/>
      <c r="AW50" s="1942"/>
      <c r="AX50" s="1942"/>
      <c r="AY50" s="1942"/>
      <c r="AZ50" s="1942"/>
      <c r="BA50" s="1942"/>
      <c r="BB50" s="1942"/>
      <c r="BC50" s="1942"/>
      <c r="BD50" s="1942"/>
      <c r="BE50" s="1942"/>
      <c r="BF50" s="1942"/>
      <c r="BG50" s="1942"/>
      <c r="BH50" s="1942"/>
      <c r="BI50" s="1942"/>
      <c r="BJ50" s="1942"/>
      <c r="BK50" s="1942"/>
      <c r="BL50" s="1922"/>
      <c r="BM50" s="1922"/>
      <c r="BN50" s="1922"/>
      <c r="BO50" s="1922"/>
      <c r="BP50" s="1922"/>
      <c r="BQ50" s="1922"/>
      <c r="BR50" s="1922"/>
      <c r="BS50" s="1922"/>
      <c r="BT50" s="1922"/>
      <c r="BU50" s="1922"/>
      <c r="BV50" s="1922"/>
      <c r="BW50" s="1922"/>
      <c r="BX50" s="1922"/>
      <c r="BY50" s="1922"/>
      <c r="BZ50" s="1922"/>
      <c r="CA50" s="1922"/>
      <c r="CB50" s="1922"/>
      <c r="CC50" s="1922"/>
      <c r="CD50" s="1922"/>
      <c r="CE50" s="1922"/>
      <c r="CF50" s="1922"/>
      <c r="CG50" s="1922"/>
      <c r="CH50" s="1922"/>
      <c r="CI50" s="1922"/>
      <c r="CJ50" s="1922"/>
      <c r="CK50" s="1922"/>
      <c r="CL50" s="1922"/>
      <c r="CM50" s="1922"/>
      <c r="CN50" s="1922"/>
      <c r="CO50" s="1922"/>
      <c r="CP50" s="1922"/>
      <c r="CQ50" s="1922"/>
      <c r="CR50" s="1922"/>
      <c r="CS50" s="1922"/>
      <c r="CT50" s="1922"/>
      <c r="CU50" s="1922"/>
      <c r="CV50" s="1922"/>
      <c r="CW50" s="1922"/>
      <c r="CX50" s="1922"/>
      <c r="CY50" s="1922"/>
      <c r="CZ50" s="1922"/>
      <c r="DA50" s="1922"/>
      <c r="DB50" s="1922"/>
      <c r="DC50" s="1922"/>
      <c r="DD50" s="1922"/>
      <c r="DE50" s="1922"/>
      <c r="DF50" s="1922"/>
    </row>
    <row r="51" spans="1:110" customFormat="1">
      <c r="A51" s="1943" t="s">
        <v>7847</v>
      </c>
      <c r="B51" s="1942"/>
      <c r="C51" s="1942"/>
      <c r="D51" s="1942"/>
      <c r="E51" s="1942"/>
      <c r="F51" s="1942"/>
      <c r="G51" s="1942"/>
      <c r="H51" s="1942"/>
      <c r="I51" s="1942"/>
      <c r="J51" s="1942"/>
      <c r="K51" s="1942"/>
      <c r="L51" s="1942"/>
      <c r="M51" s="1942"/>
      <c r="N51" s="1942"/>
      <c r="O51" s="1942"/>
      <c r="P51" s="1942"/>
      <c r="Q51" s="1942"/>
      <c r="R51" s="1942"/>
      <c r="S51" s="1942"/>
      <c r="T51" s="1942"/>
      <c r="U51" s="1942"/>
      <c r="V51" s="1942"/>
      <c r="W51" s="1942"/>
      <c r="X51" s="1942"/>
      <c r="Y51" s="1942"/>
      <c r="Z51" s="1942"/>
      <c r="AA51" s="1942"/>
      <c r="AB51" s="1942"/>
      <c r="AC51" s="1942"/>
      <c r="AD51" s="1942"/>
      <c r="AE51" s="1942"/>
      <c r="AF51" s="1942"/>
      <c r="AG51" s="1942"/>
      <c r="AH51" s="1942"/>
      <c r="AI51" s="1942"/>
      <c r="AJ51" s="1942"/>
      <c r="AK51" s="1922"/>
      <c r="AL51" s="1942"/>
      <c r="AM51" s="1942"/>
      <c r="AN51" s="1942"/>
      <c r="AO51" s="1942"/>
      <c r="AP51" s="1942"/>
      <c r="AQ51" s="1942"/>
      <c r="AR51" s="1942"/>
      <c r="AS51" s="1942"/>
      <c r="AT51" s="1942"/>
      <c r="AU51" s="1942"/>
      <c r="AV51" s="1942"/>
      <c r="AW51" s="1942"/>
      <c r="AX51" s="1942"/>
      <c r="AY51" s="1942"/>
      <c r="AZ51" s="1942"/>
      <c r="BA51" s="1942"/>
      <c r="BB51" s="1942"/>
      <c r="BC51" s="1942"/>
      <c r="BD51" s="1942"/>
      <c r="BE51" s="1942"/>
      <c r="BF51" s="1942"/>
      <c r="BG51" s="1942"/>
      <c r="BH51" s="1942"/>
      <c r="BI51" s="1942"/>
      <c r="BJ51" s="1942"/>
      <c r="BK51" s="1942"/>
      <c r="BL51" s="1922"/>
      <c r="BM51" s="1922"/>
      <c r="BN51" s="1922"/>
      <c r="BO51" s="1922"/>
      <c r="BP51" s="1922"/>
      <c r="BQ51" s="1922"/>
      <c r="BR51" s="1922"/>
      <c r="BS51" s="1922"/>
      <c r="BT51" s="1922"/>
      <c r="BU51" s="1922"/>
      <c r="BV51" s="1922"/>
      <c r="BW51" s="1922"/>
      <c r="BX51" s="1922"/>
      <c r="BY51" s="1922"/>
      <c r="BZ51" s="1922"/>
      <c r="CA51" s="1922"/>
      <c r="CB51" s="1922"/>
      <c r="CC51" s="1922"/>
      <c r="CD51" s="1922"/>
      <c r="CE51" s="1922"/>
      <c r="CF51" s="1922"/>
      <c r="CG51" s="1922"/>
      <c r="CH51" s="1922"/>
      <c r="CI51" s="1922"/>
      <c r="CJ51" s="1922"/>
      <c r="CK51" s="1922"/>
      <c r="CL51" s="1922"/>
      <c r="CM51" s="1922"/>
      <c r="CN51" s="1922"/>
      <c r="CO51" s="1922"/>
      <c r="CP51" s="1922"/>
      <c r="CQ51" s="1922"/>
      <c r="CR51" s="1922"/>
      <c r="CS51" s="1922"/>
      <c r="CT51" s="1922"/>
      <c r="CU51" s="1922"/>
      <c r="CV51" s="1922"/>
      <c r="CW51" s="1922"/>
      <c r="CX51" s="1922"/>
      <c r="CY51" s="1922"/>
      <c r="CZ51" s="1922"/>
      <c r="DA51" s="1922"/>
      <c r="DB51" s="1922"/>
      <c r="DC51" s="1922"/>
      <c r="DD51" s="1922"/>
      <c r="DE51" s="1922"/>
      <c r="DF51" s="1922"/>
    </row>
    <row r="52" spans="1:110" customFormat="1">
      <c r="A52" s="1944" t="s">
        <v>7848</v>
      </c>
      <c r="B52" s="1942"/>
      <c r="C52" s="1942"/>
      <c r="D52" s="1942"/>
      <c r="E52" s="1942"/>
      <c r="F52" s="1942"/>
      <c r="G52" s="1942"/>
      <c r="H52" s="1942"/>
      <c r="I52" s="1942"/>
      <c r="J52" s="1942"/>
      <c r="K52" s="1942"/>
      <c r="L52" s="1942"/>
      <c r="M52" s="1942"/>
      <c r="N52" s="1942"/>
      <c r="O52" s="1942"/>
      <c r="P52" s="1942"/>
      <c r="Q52" s="1942"/>
      <c r="R52" s="1942"/>
      <c r="S52" s="1942"/>
      <c r="T52" s="1942"/>
      <c r="U52" s="1942"/>
      <c r="V52" s="1942"/>
      <c r="W52" s="1942"/>
      <c r="X52" s="1942"/>
      <c r="Y52" s="1942"/>
      <c r="Z52" s="1942"/>
      <c r="AA52" s="1942"/>
      <c r="AB52" s="1942"/>
      <c r="AC52" s="1942"/>
      <c r="AD52" s="1942"/>
      <c r="AE52" s="1942"/>
      <c r="AF52" s="1942"/>
      <c r="AG52" s="1942"/>
      <c r="AH52" s="1942"/>
      <c r="AI52" s="1942"/>
      <c r="AJ52" s="1942"/>
      <c r="AK52" s="1922"/>
      <c r="AL52" s="1942"/>
      <c r="AM52" s="1942"/>
      <c r="AN52" s="1942"/>
      <c r="AO52" s="1942"/>
      <c r="AP52" s="1942"/>
      <c r="AQ52" s="1942"/>
      <c r="AR52" s="1942"/>
      <c r="AS52" s="1942"/>
      <c r="AT52" s="1942"/>
      <c r="AU52" s="1942"/>
      <c r="AV52" s="1942"/>
      <c r="AW52" s="1942"/>
      <c r="AX52" s="1942"/>
      <c r="AY52" s="1942"/>
      <c r="AZ52" s="1942"/>
      <c r="BA52" s="1942"/>
      <c r="BB52" s="1942"/>
      <c r="BC52" s="1942"/>
      <c r="BD52" s="1942"/>
      <c r="BE52" s="1942"/>
      <c r="BF52" s="1942"/>
      <c r="BG52" s="1942"/>
      <c r="BH52" s="1942"/>
      <c r="BI52" s="1942"/>
      <c r="BJ52" s="1942"/>
      <c r="BK52" s="1942"/>
      <c r="BL52" s="1922"/>
      <c r="BM52" s="1922"/>
      <c r="BN52" s="1922"/>
      <c r="BO52" s="1922"/>
      <c r="BP52" s="1922"/>
      <c r="BQ52" s="1922"/>
      <c r="BR52" s="1922"/>
      <c r="BS52" s="1922"/>
      <c r="BT52" s="1922"/>
      <c r="BU52" s="1922"/>
      <c r="BV52" s="1922"/>
      <c r="BW52" s="1922"/>
      <c r="BX52" s="1922"/>
      <c r="BY52" s="1922"/>
      <c r="BZ52" s="1922"/>
      <c r="CA52" s="1922"/>
      <c r="CB52" s="1922"/>
      <c r="CC52" s="1922"/>
      <c r="CD52" s="1922"/>
      <c r="CE52" s="1922"/>
      <c r="CF52" s="1922"/>
      <c r="CG52" s="1922"/>
      <c r="CH52" s="1922"/>
      <c r="CI52" s="1922"/>
      <c r="CJ52" s="1922"/>
      <c r="CK52" s="1922"/>
      <c r="CL52" s="1922"/>
      <c r="CM52" s="1922"/>
      <c r="CN52" s="1922"/>
      <c r="CO52" s="1922"/>
      <c r="CP52" s="1922"/>
      <c r="CQ52" s="1922"/>
      <c r="CR52" s="1922"/>
      <c r="CS52" s="1922"/>
      <c r="CT52" s="1922"/>
      <c r="CU52" s="1922"/>
      <c r="CV52" s="1922"/>
      <c r="CW52" s="1922"/>
      <c r="CX52" s="1922"/>
      <c r="CY52" s="1922"/>
      <c r="CZ52" s="1922"/>
      <c r="DA52" s="1922"/>
      <c r="DB52" s="1922"/>
      <c r="DC52" s="1922"/>
      <c r="DD52" s="1922"/>
      <c r="DE52" s="1922"/>
      <c r="DF52" s="1922"/>
    </row>
    <row r="53" spans="1:110" customFormat="1">
      <c r="A53" s="1922"/>
      <c r="B53" s="1942"/>
      <c r="C53" s="1942"/>
      <c r="D53" s="1942"/>
      <c r="E53" s="1942"/>
      <c r="F53" s="1942"/>
      <c r="G53" s="1942"/>
      <c r="H53" s="1942"/>
      <c r="I53" s="1942"/>
      <c r="J53" s="1942"/>
      <c r="K53" s="1942"/>
      <c r="L53" s="1942"/>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2"/>
      <c r="AJ53" s="1942"/>
      <c r="AK53" s="1922"/>
      <c r="AL53" s="1942"/>
      <c r="AM53" s="1942"/>
      <c r="AN53" s="1942"/>
      <c r="AO53" s="1942"/>
      <c r="AP53" s="1942"/>
      <c r="AQ53" s="1942"/>
      <c r="AR53" s="1942"/>
      <c r="AS53" s="1942"/>
      <c r="AT53" s="1942"/>
      <c r="AU53" s="1942"/>
      <c r="AV53" s="1942"/>
      <c r="AW53" s="1942"/>
      <c r="AX53" s="1942"/>
      <c r="AY53" s="1942"/>
      <c r="AZ53" s="1942"/>
      <c r="BA53" s="1942"/>
      <c r="BB53" s="1942"/>
      <c r="BC53" s="1942"/>
      <c r="BD53" s="1942"/>
      <c r="BE53" s="1942"/>
      <c r="BF53" s="1942"/>
      <c r="BG53" s="1942"/>
      <c r="BH53" s="1942"/>
      <c r="BI53" s="1942"/>
      <c r="BJ53" s="1942"/>
      <c r="BK53" s="1942"/>
      <c r="BL53" s="1922"/>
      <c r="BM53" s="1922"/>
      <c r="BN53" s="1922"/>
      <c r="BO53" s="1922"/>
      <c r="BP53" s="1922"/>
      <c r="BQ53" s="1922"/>
      <c r="BR53" s="1922"/>
      <c r="BS53" s="1922"/>
      <c r="BT53" s="1922"/>
      <c r="BU53" s="1922"/>
      <c r="BV53" s="1922"/>
      <c r="BW53" s="1922"/>
      <c r="BX53" s="1922"/>
      <c r="BY53" s="1922"/>
      <c r="BZ53" s="1922"/>
      <c r="CA53" s="1922"/>
      <c r="CB53" s="1922"/>
      <c r="CC53" s="1922"/>
      <c r="CD53" s="1922"/>
      <c r="CE53" s="1922"/>
      <c r="CF53" s="1922"/>
      <c r="CG53" s="1922"/>
      <c r="CH53" s="1922"/>
      <c r="CI53" s="1922"/>
      <c r="CJ53" s="1922"/>
      <c r="CK53" s="1922"/>
      <c r="CL53" s="1922"/>
      <c r="CM53" s="1922"/>
      <c r="CN53" s="1922"/>
      <c r="CO53" s="1922"/>
      <c r="CP53" s="1922"/>
      <c r="CQ53" s="1922"/>
      <c r="CR53" s="1922"/>
      <c r="CS53" s="1922"/>
      <c r="CT53" s="1922"/>
      <c r="CU53" s="1922"/>
      <c r="CV53" s="1922"/>
      <c r="CW53" s="1922"/>
      <c r="CX53" s="1922"/>
      <c r="CY53" s="1922"/>
      <c r="CZ53" s="1922"/>
      <c r="DA53" s="1922"/>
      <c r="DB53" s="1922"/>
      <c r="DC53" s="1922"/>
      <c r="DD53" s="1922"/>
      <c r="DE53" s="1922"/>
      <c r="DF53" s="1922"/>
    </row>
    <row r="54" spans="1:110" customFormat="1">
      <c r="A54" s="3633" t="s">
        <v>7849</v>
      </c>
      <c r="B54" s="3626"/>
      <c r="C54" s="1922"/>
      <c r="D54" s="1922"/>
      <c r="E54" s="1922"/>
      <c r="F54" s="1922"/>
      <c r="G54" s="1922"/>
      <c r="H54" s="1922"/>
      <c r="I54" s="1922"/>
      <c r="J54" s="1922"/>
      <c r="K54" s="1922"/>
      <c r="L54" s="1922"/>
      <c r="M54" s="1922"/>
      <c r="N54" s="1922"/>
      <c r="O54" s="1922"/>
      <c r="P54" s="1922"/>
      <c r="Q54" s="1922"/>
      <c r="R54" s="1922"/>
      <c r="S54" s="1922"/>
      <c r="T54" s="1922"/>
      <c r="U54" s="1922"/>
      <c r="V54" s="1922"/>
      <c r="W54" s="1922"/>
      <c r="X54" s="1922"/>
      <c r="Y54" s="1922"/>
      <c r="Z54" s="1922"/>
      <c r="AA54" s="1922"/>
      <c r="AB54" s="1922"/>
      <c r="AC54" s="1922"/>
      <c r="AD54" s="1922"/>
      <c r="AE54" s="1922"/>
      <c r="AF54" s="1922"/>
      <c r="AG54" s="1922"/>
      <c r="AH54" s="1922"/>
      <c r="AI54" s="3368" t="s">
        <v>12710</v>
      </c>
      <c r="AJ54" s="3368"/>
      <c r="AK54" s="1922"/>
      <c r="AL54" s="1922"/>
      <c r="AM54" s="1922"/>
      <c r="AN54" s="1922"/>
      <c r="AO54" s="1922"/>
      <c r="AP54" s="1922"/>
      <c r="AQ54" s="1922"/>
      <c r="AR54" s="1922"/>
      <c r="AS54" s="1924"/>
      <c r="AT54" s="1924"/>
      <c r="AU54" s="1922"/>
      <c r="AV54" s="1922"/>
      <c r="AW54" s="1922"/>
      <c r="AX54" s="1922"/>
      <c r="AY54" s="1922"/>
      <c r="AZ54" s="1922"/>
      <c r="BA54" s="1922"/>
      <c r="BB54" s="1922"/>
      <c r="BC54" s="1922"/>
      <c r="BD54" s="1922"/>
      <c r="BE54" s="1922"/>
      <c r="BF54" s="1922"/>
      <c r="BG54" s="1922"/>
      <c r="BH54" s="1922"/>
      <c r="BI54" s="1922"/>
      <c r="BJ54" s="1922"/>
      <c r="BK54" s="1922"/>
      <c r="BL54" s="1922"/>
      <c r="BM54" s="1922"/>
      <c r="BN54" s="1922"/>
      <c r="BO54" s="1922"/>
      <c r="BP54" s="1922"/>
      <c r="BQ54" s="1922"/>
      <c r="BR54" s="1922"/>
      <c r="BS54" s="1922"/>
      <c r="BT54" s="1922"/>
      <c r="BU54" s="1922"/>
      <c r="BV54" s="1922"/>
      <c r="BW54" s="1922"/>
      <c r="BX54" s="1922"/>
      <c r="BY54" s="1922"/>
      <c r="BZ54" s="1922"/>
      <c r="CA54" s="1922"/>
      <c r="CB54" s="1922"/>
      <c r="CC54" s="1922"/>
      <c r="CD54" s="1922"/>
      <c r="CE54" s="1922"/>
      <c r="CF54" s="1922"/>
      <c r="CG54" s="1922"/>
      <c r="CH54" s="1922"/>
      <c r="CI54" s="1922"/>
      <c r="CJ54" s="1922"/>
      <c r="CK54" s="1922"/>
      <c r="CL54" s="1922"/>
      <c r="CM54" s="1922"/>
      <c r="CN54" s="1922"/>
      <c r="CO54" s="1922"/>
      <c r="CP54" s="1922"/>
      <c r="CQ54" s="1922"/>
      <c r="CR54" s="1922"/>
      <c r="CS54" s="1922"/>
      <c r="CT54" s="1922"/>
      <c r="CU54" s="1922"/>
      <c r="CV54" s="1922"/>
      <c r="CW54" s="1922"/>
      <c r="CX54" s="1922"/>
      <c r="CY54" s="1922"/>
      <c r="CZ54" s="1922"/>
      <c r="DA54" s="1922"/>
      <c r="DB54" s="1922"/>
      <c r="DC54" s="1922"/>
      <c r="DD54" s="1922"/>
      <c r="DE54" s="1922"/>
      <c r="DF54" s="1922"/>
    </row>
    <row r="55" spans="1:110" customFormat="1">
      <c r="A55" s="3590" t="s">
        <v>7449</v>
      </c>
      <c r="B55" s="3595"/>
      <c r="C55" s="3634" t="s">
        <v>7450</v>
      </c>
      <c r="D55" s="3636"/>
      <c r="E55" s="3636"/>
      <c r="F55" s="3636"/>
      <c r="G55" s="3636"/>
      <c r="H55" s="3636"/>
      <c r="I55" s="3636"/>
      <c r="J55" s="3636"/>
      <c r="K55" s="3636"/>
      <c r="L55" s="3636"/>
      <c r="M55" s="3636"/>
      <c r="N55" s="3636"/>
      <c r="O55" s="3636"/>
      <c r="P55" s="3636"/>
      <c r="Q55" s="3636"/>
      <c r="R55" s="3636"/>
      <c r="S55" s="3636"/>
      <c r="T55" s="3636"/>
      <c r="U55" s="3636"/>
      <c r="V55" s="3636"/>
      <c r="W55" s="3636"/>
      <c r="X55" s="3636"/>
      <c r="Y55" s="3636"/>
      <c r="Z55" s="3636"/>
      <c r="AA55" s="3636"/>
      <c r="AB55" s="3636"/>
      <c r="AC55" s="3636"/>
      <c r="AD55" s="3636"/>
      <c r="AE55" s="3636"/>
      <c r="AF55" s="3636"/>
      <c r="AG55" s="3636"/>
      <c r="AH55" s="3645"/>
      <c r="AI55" s="3590" t="s">
        <v>7449</v>
      </c>
      <c r="AJ55" s="3595"/>
      <c r="AK55" s="1923" t="s">
        <v>7450</v>
      </c>
      <c r="AL55" s="1924"/>
      <c r="AM55" s="1924"/>
      <c r="AN55" s="1924"/>
      <c r="AO55" s="1924"/>
      <c r="AP55" s="1924"/>
      <c r="AQ55" s="1924"/>
      <c r="AR55" s="1924"/>
      <c r="AS55" s="1945"/>
      <c r="AT55" s="1946"/>
      <c r="AU55" s="1924"/>
      <c r="AV55" s="1924"/>
      <c r="AW55" s="1924"/>
      <c r="AX55" s="1924"/>
      <c r="AY55" s="1924"/>
      <c r="AZ55" s="1924"/>
      <c r="BA55" s="1924"/>
      <c r="BB55" s="1924"/>
      <c r="BC55" s="1924"/>
      <c r="BD55" s="1924"/>
      <c r="BE55" s="1924"/>
      <c r="BF55" s="1924"/>
      <c r="BG55" s="1924"/>
      <c r="BH55" s="1924"/>
      <c r="BI55" s="1981"/>
      <c r="BJ55" s="3590" t="s">
        <v>7449</v>
      </c>
      <c r="BK55" s="3595"/>
      <c r="BL55" s="3634" t="s">
        <v>7450</v>
      </c>
      <c r="BM55" s="3635"/>
      <c r="BN55" s="3635"/>
      <c r="BO55" s="3635"/>
      <c r="BP55" s="3635"/>
      <c r="BQ55" s="3635"/>
      <c r="BR55" s="3635"/>
      <c r="BS55" s="3635"/>
      <c r="BT55" s="3635"/>
      <c r="BU55" s="3635"/>
      <c r="BV55" s="3635"/>
      <c r="BW55" s="3635"/>
      <c r="BX55" s="3635"/>
      <c r="BY55" s="3635"/>
      <c r="BZ55" s="3635"/>
      <c r="CA55" s="3635"/>
      <c r="CB55" s="3635"/>
      <c r="CC55" s="3635"/>
      <c r="CD55" s="3635"/>
      <c r="CE55" s="3635"/>
      <c r="CF55" s="3635"/>
      <c r="CG55" s="3635"/>
      <c r="CH55" s="3635"/>
      <c r="CI55" s="3635"/>
      <c r="CJ55" s="3635"/>
      <c r="CK55" s="3661"/>
      <c r="CL55" s="3590" t="s">
        <v>7449</v>
      </c>
      <c r="CM55" s="3595"/>
      <c r="CN55" s="3634" t="s">
        <v>7450</v>
      </c>
      <c r="CO55" s="3635"/>
      <c r="CP55" s="3635"/>
      <c r="CQ55" s="3635"/>
      <c r="CR55" s="3635"/>
      <c r="CS55" s="3635"/>
      <c r="CT55" s="3635"/>
      <c r="CU55" s="3635"/>
      <c r="CV55" s="3635"/>
      <c r="CW55" s="3635"/>
      <c r="CX55" s="3635"/>
      <c r="CY55" s="3635"/>
      <c r="CZ55" s="3635"/>
      <c r="DA55" s="3635"/>
      <c r="DB55" s="3635"/>
      <c r="DC55" s="3635"/>
      <c r="DD55" s="3635"/>
      <c r="DE55" s="3635"/>
      <c r="DF55" s="3661"/>
    </row>
    <row r="56" spans="1:110" customFormat="1">
      <c r="A56" s="3655" t="s">
        <v>7452</v>
      </c>
      <c r="B56" s="3656"/>
      <c r="C56" s="3657" t="s">
        <v>5928</v>
      </c>
      <c r="D56" s="3616"/>
      <c r="E56" s="3616"/>
      <c r="F56" s="3658"/>
      <c r="G56" s="3659" t="s">
        <v>7453</v>
      </c>
      <c r="H56" s="3616"/>
      <c r="I56" s="3616"/>
      <c r="J56" s="3658"/>
      <c r="K56" s="3659" t="s">
        <v>5930</v>
      </c>
      <c r="L56" s="3616"/>
      <c r="M56" s="3616"/>
      <c r="N56" s="3616"/>
      <c r="O56" s="3658"/>
      <c r="P56" s="3659" t="s">
        <v>4554</v>
      </c>
      <c r="Q56" s="3616"/>
      <c r="R56" s="3616"/>
      <c r="S56" s="3616"/>
      <c r="T56" s="3658"/>
      <c r="U56" s="3659" t="s">
        <v>5931</v>
      </c>
      <c r="V56" s="3616"/>
      <c r="W56" s="3616"/>
      <c r="X56" s="3658"/>
      <c r="Y56" s="3659" t="s">
        <v>5932</v>
      </c>
      <c r="Z56" s="3616"/>
      <c r="AA56" s="3616"/>
      <c r="AB56" s="3658"/>
      <c r="AC56" s="3659" t="s">
        <v>5933</v>
      </c>
      <c r="AD56" s="3616"/>
      <c r="AE56" s="3616"/>
      <c r="AF56" s="3658"/>
      <c r="AG56" s="3660" t="s">
        <v>6556</v>
      </c>
      <c r="AH56" s="3629"/>
      <c r="AI56" s="3655" t="s">
        <v>7452</v>
      </c>
      <c r="AJ56" s="3656"/>
      <c r="AK56" s="3659" t="s">
        <v>7458</v>
      </c>
      <c r="AL56" s="3616"/>
      <c r="AM56" s="3658"/>
      <c r="AN56" s="3660" t="s">
        <v>7457</v>
      </c>
      <c r="AO56" s="3605"/>
      <c r="AP56" s="1939" t="s">
        <v>6163</v>
      </c>
      <c r="AQ56" s="1945"/>
      <c r="AR56" s="1945"/>
      <c r="AS56" s="1957" t="s">
        <v>7339</v>
      </c>
      <c r="AT56" s="1956" t="s">
        <v>6000</v>
      </c>
      <c r="AU56" s="3659" t="s">
        <v>6407</v>
      </c>
      <c r="AV56" s="3616"/>
      <c r="AW56" s="3616"/>
      <c r="AX56" s="3616"/>
      <c r="AY56" s="3658"/>
      <c r="AZ56" s="3659" t="s">
        <v>6109</v>
      </c>
      <c r="BA56" s="3616"/>
      <c r="BB56" s="3616"/>
      <c r="BC56" s="3616"/>
      <c r="BD56" s="3658"/>
      <c r="BE56" s="3657" t="s">
        <v>6370</v>
      </c>
      <c r="BF56" s="3616"/>
      <c r="BG56" s="3616"/>
      <c r="BH56" s="3616"/>
      <c r="BI56" s="3658"/>
      <c r="BJ56" s="3655" t="s">
        <v>7452</v>
      </c>
      <c r="BK56" s="3656"/>
      <c r="BL56" s="3659" t="s">
        <v>7460</v>
      </c>
      <c r="BM56" s="3616"/>
      <c r="BN56" s="3616"/>
      <c r="BO56" s="3658"/>
      <c r="BP56" s="3659" t="s">
        <v>6346</v>
      </c>
      <c r="BQ56" s="3616"/>
      <c r="BR56" s="3616"/>
      <c r="BS56" s="3658"/>
      <c r="BT56" s="3659" t="s">
        <v>6436</v>
      </c>
      <c r="BU56" s="3616"/>
      <c r="BV56" s="3658"/>
      <c r="BW56" s="3659" t="s">
        <v>6426</v>
      </c>
      <c r="BX56" s="3616"/>
      <c r="BY56" s="3658"/>
      <c r="BZ56" s="3659" t="s">
        <v>6326</v>
      </c>
      <c r="CA56" s="3616"/>
      <c r="CB56" s="3658"/>
      <c r="CC56" s="3659" t="s">
        <v>707</v>
      </c>
      <c r="CD56" s="3616"/>
      <c r="CE56" s="3658"/>
      <c r="CF56" s="3659" t="s">
        <v>7461</v>
      </c>
      <c r="CG56" s="3616"/>
      <c r="CH56" s="3658"/>
      <c r="CI56" s="3657" t="s">
        <v>6644</v>
      </c>
      <c r="CJ56" s="3616"/>
      <c r="CK56" s="3658"/>
      <c r="CL56" s="3655" t="s">
        <v>7452</v>
      </c>
      <c r="CM56" s="3656"/>
      <c r="CN56" s="3657" t="s">
        <v>4554</v>
      </c>
      <c r="CO56" s="3616"/>
      <c r="CP56" s="3616"/>
      <c r="CQ56" s="3658"/>
      <c r="CR56" s="3659" t="s">
        <v>5931</v>
      </c>
      <c r="CS56" s="3658"/>
      <c r="CT56" s="3659" t="s">
        <v>5932</v>
      </c>
      <c r="CU56" s="3616"/>
      <c r="CV56" s="3658"/>
      <c r="CW56" s="3659" t="s">
        <v>5933</v>
      </c>
      <c r="CX56" s="3658"/>
      <c r="CY56" s="1984" t="s">
        <v>6556</v>
      </c>
      <c r="CZ56" s="1984" t="s">
        <v>7457</v>
      </c>
      <c r="DA56" s="3659" t="s">
        <v>6163</v>
      </c>
      <c r="DB56" s="3658"/>
      <c r="DC56" s="3659" t="s">
        <v>6407</v>
      </c>
      <c r="DD56" s="3658"/>
      <c r="DE56" s="3657" t="s">
        <v>6109</v>
      </c>
      <c r="DF56" s="3658"/>
    </row>
    <row r="57" spans="1:110" customFormat="1">
      <c r="A57" s="1947" t="s">
        <v>7342</v>
      </c>
      <c r="B57" s="1948" t="s">
        <v>7343</v>
      </c>
      <c r="C57" s="1949">
        <v>9</v>
      </c>
      <c r="D57" s="1935">
        <v>10</v>
      </c>
      <c r="E57" s="1950">
        <v>11</v>
      </c>
      <c r="F57" s="1934">
        <v>12</v>
      </c>
      <c r="G57" s="1933" t="s">
        <v>6003</v>
      </c>
      <c r="H57" s="1935" t="s">
        <v>287</v>
      </c>
      <c r="I57" s="1950" t="s">
        <v>7340</v>
      </c>
      <c r="J57" s="1956" t="s">
        <v>7341</v>
      </c>
      <c r="K57" s="1933" t="s">
        <v>6000</v>
      </c>
      <c r="L57" s="1935" t="s">
        <v>6003</v>
      </c>
      <c r="M57" s="1935" t="s">
        <v>287</v>
      </c>
      <c r="N57" s="1957" t="s">
        <v>7340</v>
      </c>
      <c r="O57" s="1956" t="s">
        <v>7341</v>
      </c>
      <c r="P57" s="1933" t="s">
        <v>7339</v>
      </c>
      <c r="Q57" s="1950" t="s">
        <v>6000</v>
      </c>
      <c r="R57" s="1957" t="s">
        <v>6003</v>
      </c>
      <c r="S57" s="1950" t="s">
        <v>287</v>
      </c>
      <c r="T57" s="1956" t="s">
        <v>7340</v>
      </c>
      <c r="U57" s="1933" t="s">
        <v>7339</v>
      </c>
      <c r="V57" s="1935" t="s">
        <v>6000</v>
      </c>
      <c r="W57" s="1935" t="s">
        <v>6003</v>
      </c>
      <c r="X57" s="1934" t="s">
        <v>287</v>
      </c>
      <c r="Y57" s="1969" t="s">
        <v>7338</v>
      </c>
      <c r="Z57" s="1950" t="s">
        <v>7339</v>
      </c>
      <c r="AA57" s="1957" t="s">
        <v>6000</v>
      </c>
      <c r="AB57" s="1956" t="s">
        <v>6003</v>
      </c>
      <c r="AC57" s="1933" t="s">
        <v>7337</v>
      </c>
      <c r="AD57" s="1950" t="s">
        <v>7338</v>
      </c>
      <c r="AE57" s="1957" t="s">
        <v>7339</v>
      </c>
      <c r="AF57" s="1934" t="s">
        <v>6000</v>
      </c>
      <c r="AG57" s="3666" t="s">
        <v>7850</v>
      </c>
      <c r="AH57" s="3628"/>
      <c r="AI57" s="1947" t="s">
        <v>7342</v>
      </c>
      <c r="AJ57" s="1948" t="s">
        <v>7343</v>
      </c>
      <c r="AK57" s="1933" t="s">
        <v>7338</v>
      </c>
      <c r="AL57" s="1935" t="s">
        <v>7339</v>
      </c>
      <c r="AM57" s="1934" t="s">
        <v>6000</v>
      </c>
      <c r="AN57" s="3666" t="s">
        <v>7850</v>
      </c>
      <c r="AO57" s="3668"/>
      <c r="AP57" s="1933" t="s">
        <v>7336</v>
      </c>
      <c r="AQ57" s="1935" t="s">
        <v>7337</v>
      </c>
      <c r="AR57" s="1950" t="s">
        <v>7338</v>
      </c>
      <c r="AS57" s="1951"/>
      <c r="AT57" s="1948"/>
      <c r="AU57" s="1933" t="s">
        <v>7336</v>
      </c>
      <c r="AV57" s="1935" t="s">
        <v>7337</v>
      </c>
      <c r="AW57" s="1950" t="s">
        <v>7338</v>
      </c>
      <c r="AX57" s="1950" t="s">
        <v>7339</v>
      </c>
      <c r="AY57" s="1956" t="s">
        <v>6000</v>
      </c>
      <c r="AZ57" s="1933" t="s">
        <v>7337</v>
      </c>
      <c r="BA57" s="1950" t="s">
        <v>7338</v>
      </c>
      <c r="BB57" s="1957" t="s">
        <v>7339</v>
      </c>
      <c r="BC57" s="1950" t="s">
        <v>6000</v>
      </c>
      <c r="BD57" s="1934" t="s">
        <v>6003</v>
      </c>
      <c r="BE57" s="1949" t="s">
        <v>7337</v>
      </c>
      <c r="BF57" s="1950" t="s">
        <v>7338</v>
      </c>
      <c r="BG57" s="1957" t="s">
        <v>7339</v>
      </c>
      <c r="BH57" s="1950" t="s">
        <v>6000</v>
      </c>
      <c r="BI57" s="1934" t="s">
        <v>6003</v>
      </c>
      <c r="BJ57" s="1947" t="s">
        <v>7342</v>
      </c>
      <c r="BK57" s="1948" t="s">
        <v>7343</v>
      </c>
      <c r="BL57" s="1933" t="s">
        <v>7337</v>
      </c>
      <c r="BM57" s="1950" t="s">
        <v>7338</v>
      </c>
      <c r="BN57" s="1950" t="s">
        <v>7339</v>
      </c>
      <c r="BO57" s="1934" t="s">
        <v>6000</v>
      </c>
      <c r="BP57" s="1933" t="s">
        <v>7337</v>
      </c>
      <c r="BQ57" s="1950" t="s">
        <v>7338</v>
      </c>
      <c r="BR57" s="1957" t="s">
        <v>7339</v>
      </c>
      <c r="BS57" s="1934" t="s">
        <v>6000</v>
      </c>
      <c r="BT57" s="1969" t="s">
        <v>7338</v>
      </c>
      <c r="BU57" s="1950" t="s">
        <v>7339</v>
      </c>
      <c r="BV57" s="1934" t="s">
        <v>6000</v>
      </c>
      <c r="BW57" s="1933" t="s">
        <v>7338</v>
      </c>
      <c r="BX57" s="1957" t="s">
        <v>7339</v>
      </c>
      <c r="BY57" s="1934" t="s">
        <v>6000</v>
      </c>
      <c r="BZ57" s="1933" t="s">
        <v>7338</v>
      </c>
      <c r="CA57" s="1935" t="s">
        <v>7339</v>
      </c>
      <c r="CB57" s="1934" t="s">
        <v>6000</v>
      </c>
      <c r="CC57" s="1933" t="s">
        <v>7338</v>
      </c>
      <c r="CD57" s="1935" t="s">
        <v>7339</v>
      </c>
      <c r="CE57" s="1934" t="s">
        <v>6000</v>
      </c>
      <c r="CF57" s="1933" t="s">
        <v>7338</v>
      </c>
      <c r="CG57" s="1935" t="s">
        <v>7339</v>
      </c>
      <c r="CH57" s="1934" t="s">
        <v>6000</v>
      </c>
      <c r="CI57" s="1949" t="s">
        <v>7338</v>
      </c>
      <c r="CJ57" s="1935" t="s">
        <v>7339</v>
      </c>
      <c r="CK57" s="1934" t="s">
        <v>6000</v>
      </c>
      <c r="CL57" s="1947" t="s">
        <v>7342</v>
      </c>
      <c r="CM57" s="1948" t="s">
        <v>7343</v>
      </c>
      <c r="CN57" s="1949" t="s">
        <v>6000</v>
      </c>
      <c r="CO57" s="1935" t="s">
        <v>6003</v>
      </c>
      <c r="CP57" s="1935" t="s">
        <v>287</v>
      </c>
      <c r="CQ57" s="1934" t="s">
        <v>7340</v>
      </c>
      <c r="CR57" s="1933" t="s">
        <v>6000</v>
      </c>
      <c r="CS57" s="1934" t="s">
        <v>6003</v>
      </c>
      <c r="CT57" s="1933" t="s">
        <v>7339</v>
      </c>
      <c r="CU57" s="1935" t="s">
        <v>6000</v>
      </c>
      <c r="CV57" s="1934" t="s">
        <v>6003</v>
      </c>
      <c r="CW57" s="1933" t="s">
        <v>7338</v>
      </c>
      <c r="CX57" s="1934" t="s">
        <v>7339</v>
      </c>
      <c r="CY57" s="1985" t="s">
        <v>7851</v>
      </c>
      <c r="CZ57" s="1985" t="s">
        <v>7851</v>
      </c>
      <c r="DA57" s="1933" t="s">
        <v>7338</v>
      </c>
      <c r="DB57" s="1934" t="s">
        <v>7339</v>
      </c>
      <c r="DC57" s="1933" t="s">
        <v>7338</v>
      </c>
      <c r="DD57" s="1934" t="s">
        <v>7339</v>
      </c>
      <c r="DE57" s="1949" t="s">
        <v>7338</v>
      </c>
      <c r="DF57" s="1934" t="s">
        <v>7339</v>
      </c>
    </row>
    <row r="58" spans="1:110" customFormat="1">
      <c r="A58" s="1947" t="s">
        <v>2074</v>
      </c>
      <c r="B58" s="1934" t="s">
        <v>7335</v>
      </c>
      <c r="C58" s="3664" t="s">
        <v>7470</v>
      </c>
      <c r="D58" s="3650"/>
      <c r="E58" s="3650"/>
      <c r="F58" s="3663"/>
      <c r="G58" s="3662" t="s">
        <v>7471</v>
      </c>
      <c r="H58" s="3650"/>
      <c r="I58" s="3650"/>
      <c r="J58" s="3663"/>
      <c r="K58" s="3662" t="s">
        <v>7472</v>
      </c>
      <c r="L58" s="3650"/>
      <c r="M58" s="3650"/>
      <c r="N58" s="3650"/>
      <c r="O58" s="3663"/>
      <c r="P58" s="3662" t="s">
        <v>7474</v>
      </c>
      <c r="Q58" s="3650"/>
      <c r="R58" s="3650"/>
      <c r="S58" s="3650"/>
      <c r="T58" s="3663"/>
      <c r="U58" s="3662" t="s">
        <v>7475</v>
      </c>
      <c r="V58" s="3650"/>
      <c r="W58" s="3650"/>
      <c r="X58" s="3663"/>
      <c r="Y58" s="3662" t="s">
        <v>7477</v>
      </c>
      <c r="Z58" s="3650"/>
      <c r="AA58" s="3650"/>
      <c r="AB58" s="3663"/>
      <c r="AC58" s="3662" t="s">
        <v>7479</v>
      </c>
      <c r="AD58" s="3650"/>
      <c r="AE58" s="3650"/>
      <c r="AF58" s="3663"/>
      <c r="AG58" s="3695" t="s">
        <v>7852</v>
      </c>
      <c r="AH58" s="3696"/>
      <c r="AI58" s="1947" t="s">
        <v>2074</v>
      </c>
      <c r="AJ58" s="1934" t="s">
        <v>7335</v>
      </c>
      <c r="AK58" s="1933" t="s">
        <v>7482</v>
      </c>
      <c r="AL58" s="1935" t="s">
        <v>7484</v>
      </c>
      <c r="AM58" s="1934" t="s">
        <v>7549</v>
      </c>
      <c r="AN58" s="3695" t="s">
        <v>7853</v>
      </c>
      <c r="AO58" s="3701"/>
      <c r="AP58" s="1933" t="s">
        <v>7387</v>
      </c>
      <c r="AQ58" s="1951"/>
      <c r="AR58" s="1951"/>
      <c r="AS58" s="1935" t="s">
        <v>7854</v>
      </c>
      <c r="AT58" s="1934" t="s">
        <v>7494</v>
      </c>
      <c r="AU58" s="3662" t="s">
        <v>7481</v>
      </c>
      <c r="AV58" s="3650"/>
      <c r="AW58" s="3650"/>
      <c r="AX58" s="3650"/>
      <c r="AY58" s="3663"/>
      <c r="AZ58" s="3662" t="s">
        <v>7482</v>
      </c>
      <c r="BA58" s="3650"/>
      <c r="BB58" s="3650"/>
      <c r="BC58" s="3650"/>
      <c r="BD58" s="3663"/>
      <c r="BE58" s="3664" t="s">
        <v>7484</v>
      </c>
      <c r="BF58" s="3650"/>
      <c r="BG58" s="3650"/>
      <c r="BH58" s="3650"/>
      <c r="BI58" s="3663"/>
      <c r="BJ58" s="1947" t="s">
        <v>2074</v>
      </c>
      <c r="BK58" s="1934" t="s">
        <v>7335</v>
      </c>
      <c r="BL58" s="3662" t="s">
        <v>7485</v>
      </c>
      <c r="BM58" s="3619"/>
      <c r="BN58" s="3619"/>
      <c r="BO58" s="3621"/>
      <c r="BP58" s="3662" t="s">
        <v>7486</v>
      </c>
      <c r="BQ58" s="3650"/>
      <c r="BR58" s="3650"/>
      <c r="BS58" s="3663"/>
      <c r="BT58" s="1982"/>
      <c r="BU58" s="1978"/>
      <c r="BV58" s="1983"/>
      <c r="BW58" s="3666" t="s">
        <v>7532</v>
      </c>
      <c r="BX58" s="3667"/>
      <c r="BY58" s="3668"/>
      <c r="BZ58" s="1982"/>
      <c r="CA58" s="1978"/>
      <c r="CB58" s="1983"/>
      <c r="CC58" s="3662" t="s">
        <v>7722</v>
      </c>
      <c r="CD58" s="3650"/>
      <c r="CE58" s="3663"/>
      <c r="CF58" s="1982"/>
      <c r="CG58" s="1978"/>
      <c r="CH58" s="1983"/>
      <c r="CI58" s="3664" t="s">
        <v>7487</v>
      </c>
      <c r="CJ58" s="3650"/>
      <c r="CK58" s="3663"/>
      <c r="CL58" s="1933" t="s">
        <v>7374</v>
      </c>
      <c r="CM58" s="1934" t="s">
        <v>7373</v>
      </c>
      <c r="CN58" s="3664" t="s">
        <v>7648</v>
      </c>
      <c r="CO58" s="3620"/>
      <c r="CP58" s="3620"/>
      <c r="CQ58" s="3665"/>
      <c r="CR58" s="3662" t="s">
        <v>7649</v>
      </c>
      <c r="CS58" s="3663"/>
      <c r="CT58" s="3662" t="s">
        <v>7795</v>
      </c>
      <c r="CU58" s="3650"/>
      <c r="CV58" s="3663"/>
      <c r="CW58" s="3662" t="s">
        <v>7622</v>
      </c>
      <c r="CX58" s="3663"/>
      <c r="CY58" s="3683" t="s">
        <v>7387</v>
      </c>
      <c r="CZ58" s="3686" t="s">
        <v>7480</v>
      </c>
      <c r="DA58" s="3662" t="s">
        <v>7387</v>
      </c>
      <c r="DB58" s="3665"/>
      <c r="DC58" s="3662" t="s">
        <v>7487</v>
      </c>
      <c r="DD58" s="3663"/>
      <c r="DE58" s="3664" t="s">
        <v>7796</v>
      </c>
      <c r="DF58" s="3663"/>
    </row>
    <row r="59" spans="1:110" customFormat="1">
      <c r="A59" s="1933" t="s">
        <v>7335</v>
      </c>
      <c r="B59" s="1934" t="s">
        <v>7338</v>
      </c>
      <c r="C59" s="3664"/>
      <c r="D59" s="3650"/>
      <c r="E59" s="3650"/>
      <c r="F59" s="3663"/>
      <c r="G59" s="3662"/>
      <c r="H59" s="3650"/>
      <c r="I59" s="3650"/>
      <c r="J59" s="3663"/>
      <c r="K59" s="3662" t="s">
        <v>7491</v>
      </c>
      <c r="L59" s="3650"/>
      <c r="M59" s="3650"/>
      <c r="N59" s="3650"/>
      <c r="O59" s="3663"/>
      <c r="P59" s="3662" t="s">
        <v>7493</v>
      </c>
      <c r="Q59" s="3650"/>
      <c r="R59" s="3650"/>
      <c r="S59" s="3650"/>
      <c r="T59" s="3663"/>
      <c r="U59" s="3662" t="s">
        <v>7474</v>
      </c>
      <c r="V59" s="3650"/>
      <c r="W59" s="3650"/>
      <c r="X59" s="3663"/>
      <c r="Y59" s="3662" t="s">
        <v>7476</v>
      </c>
      <c r="Z59" s="3650"/>
      <c r="AA59" s="3650"/>
      <c r="AB59" s="3663"/>
      <c r="AC59" s="3662" t="s">
        <v>7478</v>
      </c>
      <c r="AD59" s="3650"/>
      <c r="AE59" s="3650"/>
      <c r="AF59" s="3663"/>
      <c r="AG59" s="3697"/>
      <c r="AH59" s="3698"/>
      <c r="AI59" s="1933" t="s">
        <v>7335</v>
      </c>
      <c r="AJ59" s="1934" t="s">
        <v>7338</v>
      </c>
      <c r="AK59" s="1933" t="s">
        <v>7855</v>
      </c>
      <c r="AL59" s="1978"/>
      <c r="AM59" s="1934" t="s">
        <v>7549</v>
      </c>
      <c r="AN59" s="3702"/>
      <c r="AO59" s="3703"/>
      <c r="AP59" s="3662" t="s">
        <v>7856</v>
      </c>
      <c r="AQ59" s="1935" t="s">
        <v>7387</v>
      </c>
      <c r="AR59" s="3650" t="s">
        <v>7479</v>
      </c>
      <c r="AS59" s="1935" t="s">
        <v>7494</v>
      </c>
      <c r="AT59" s="1934" t="s">
        <v>7477</v>
      </c>
      <c r="AU59" s="1933" t="s">
        <v>7857</v>
      </c>
      <c r="AV59" s="1935" t="s">
        <v>7855</v>
      </c>
      <c r="AW59" s="1935" t="s">
        <v>7858</v>
      </c>
      <c r="AX59" s="3650" t="s">
        <v>7387</v>
      </c>
      <c r="AY59" s="1934" t="s">
        <v>7479</v>
      </c>
      <c r="AZ59" s="1933" t="s">
        <v>7530</v>
      </c>
      <c r="BA59" s="1935" t="s">
        <v>7859</v>
      </c>
      <c r="BB59" s="3650" t="s">
        <v>7482</v>
      </c>
      <c r="BC59" s="1935" t="s">
        <v>7481</v>
      </c>
      <c r="BD59" s="3663" t="s">
        <v>7387</v>
      </c>
      <c r="BE59" s="1949" t="s">
        <v>7597</v>
      </c>
      <c r="BF59" s="1935" t="s">
        <v>7573</v>
      </c>
      <c r="BG59" s="1935" t="s">
        <v>7549</v>
      </c>
      <c r="BH59" s="3650" t="s">
        <v>7498</v>
      </c>
      <c r="BI59" s="3663"/>
      <c r="BJ59" s="1933" t="s">
        <v>7335</v>
      </c>
      <c r="BK59" s="1934" t="s">
        <v>7338</v>
      </c>
      <c r="BL59" s="1933" t="s">
        <v>7486</v>
      </c>
      <c r="BM59" s="1935" t="s">
        <v>7498</v>
      </c>
      <c r="BN59" s="1935" t="s">
        <v>7597</v>
      </c>
      <c r="BO59" s="1934" t="s">
        <v>7499</v>
      </c>
      <c r="BP59" s="1933" t="s">
        <v>7532</v>
      </c>
      <c r="BQ59" s="1935" t="s">
        <v>7860</v>
      </c>
      <c r="BR59" s="1935" t="s">
        <v>7499</v>
      </c>
      <c r="BS59" s="1934" t="s">
        <v>7500</v>
      </c>
      <c r="BT59" s="1982"/>
      <c r="BU59" s="1978"/>
      <c r="BV59" s="1983"/>
      <c r="BW59" s="1933" t="s">
        <v>7722</v>
      </c>
      <c r="BX59" s="1935" t="s">
        <v>7500</v>
      </c>
      <c r="BY59" s="1934" t="s">
        <v>7501</v>
      </c>
      <c r="BZ59" s="1982"/>
      <c r="CA59" s="1978"/>
      <c r="CB59" s="1983"/>
      <c r="CC59" s="1933" t="s">
        <v>7861</v>
      </c>
      <c r="CD59" s="1935" t="s">
        <v>7862</v>
      </c>
      <c r="CE59" s="1934" t="s">
        <v>7502</v>
      </c>
      <c r="CF59" s="1982"/>
      <c r="CG59" s="1978"/>
      <c r="CH59" s="1983"/>
      <c r="CI59" s="1949" t="s">
        <v>7488</v>
      </c>
      <c r="CJ59" s="1935" t="s">
        <v>7863</v>
      </c>
      <c r="CK59" s="1934" t="s">
        <v>7503</v>
      </c>
      <c r="CL59" s="1933" t="s">
        <v>7373</v>
      </c>
      <c r="CM59" s="1934" t="s">
        <v>7378</v>
      </c>
      <c r="CN59" s="3664" t="s">
        <v>7523</v>
      </c>
      <c r="CO59" s="3620"/>
      <c r="CP59" s="3620"/>
      <c r="CQ59" s="3665"/>
      <c r="CR59" s="3662" t="s">
        <v>7544</v>
      </c>
      <c r="CS59" s="3663"/>
      <c r="CT59" s="3662" t="s">
        <v>7509</v>
      </c>
      <c r="CU59" s="3650"/>
      <c r="CV59" s="3663"/>
      <c r="CW59" s="3662" t="s">
        <v>7571</v>
      </c>
      <c r="CX59" s="3663"/>
      <c r="CY59" s="3684"/>
      <c r="CZ59" s="3687"/>
      <c r="DA59" s="3618"/>
      <c r="DB59" s="3665"/>
      <c r="DC59" s="3662" t="s">
        <v>7801</v>
      </c>
      <c r="DD59" s="3663"/>
      <c r="DE59" s="3664" t="s">
        <v>7505</v>
      </c>
      <c r="DF59" s="3663"/>
    </row>
    <row r="60" spans="1:110" customFormat="1">
      <c r="A60" s="1933" t="s">
        <v>7338</v>
      </c>
      <c r="B60" s="1934" t="s">
        <v>287</v>
      </c>
      <c r="C60" s="3664" t="s">
        <v>7507</v>
      </c>
      <c r="D60" s="3620"/>
      <c r="E60" s="3620"/>
      <c r="F60" s="3665"/>
      <c r="G60" s="3662" t="s">
        <v>7508</v>
      </c>
      <c r="H60" s="3650"/>
      <c r="I60" s="3650"/>
      <c r="J60" s="3663"/>
      <c r="K60" s="3662" t="s">
        <v>7509</v>
      </c>
      <c r="L60" s="3650"/>
      <c r="M60" s="3650"/>
      <c r="N60" s="3650"/>
      <c r="O60" s="3663"/>
      <c r="P60" s="3662" t="s">
        <v>7511</v>
      </c>
      <c r="Q60" s="3650"/>
      <c r="R60" s="3650"/>
      <c r="S60" s="3650"/>
      <c r="T60" s="3663"/>
      <c r="U60" s="3662" t="s">
        <v>7512</v>
      </c>
      <c r="V60" s="3650"/>
      <c r="W60" s="3650"/>
      <c r="X60" s="3663"/>
      <c r="Y60" s="3662" t="s">
        <v>7514</v>
      </c>
      <c r="Z60" s="3650"/>
      <c r="AA60" s="3650"/>
      <c r="AB60" s="3663"/>
      <c r="AC60" s="3662" t="s">
        <v>7494</v>
      </c>
      <c r="AD60" s="3650"/>
      <c r="AE60" s="3650"/>
      <c r="AF60" s="3663"/>
      <c r="AG60" s="3697"/>
      <c r="AH60" s="3698"/>
      <c r="AI60" s="1933" t="s">
        <v>7338</v>
      </c>
      <c r="AJ60" s="1934" t="s">
        <v>287</v>
      </c>
      <c r="AK60" s="1933" t="s">
        <v>7482</v>
      </c>
      <c r="AL60" s="1935" t="s">
        <v>7530</v>
      </c>
      <c r="AM60" s="1934" t="s">
        <v>7485</v>
      </c>
      <c r="AN60" s="3702"/>
      <c r="AO60" s="3703"/>
      <c r="AP60" s="3662"/>
      <c r="AQ60" s="1935" t="s">
        <v>7864</v>
      </c>
      <c r="AR60" s="3650"/>
      <c r="AS60" s="3650" t="s">
        <v>7477</v>
      </c>
      <c r="AT60" s="3663" t="s">
        <v>7515</v>
      </c>
      <c r="AU60" s="1933" t="s">
        <v>7865</v>
      </c>
      <c r="AV60" s="1935" t="s">
        <v>7482</v>
      </c>
      <c r="AW60" s="1935" t="s">
        <v>7855</v>
      </c>
      <c r="AX60" s="3650"/>
      <c r="AY60" s="1934" t="s">
        <v>7864</v>
      </c>
      <c r="AZ60" s="1933" t="s">
        <v>7549</v>
      </c>
      <c r="BA60" s="1935" t="s">
        <v>7530</v>
      </c>
      <c r="BB60" s="3650"/>
      <c r="BC60" s="3650" t="s">
        <v>7855</v>
      </c>
      <c r="BD60" s="3663"/>
      <c r="BE60" s="1949" t="s">
        <v>7625</v>
      </c>
      <c r="BF60" s="1935" t="s">
        <v>7498</v>
      </c>
      <c r="BG60" s="1935" t="s">
        <v>7573</v>
      </c>
      <c r="BH60" s="3650" t="s">
        <v>7499</v>
      </c>
      <c r="BI60" s="3663"/>
      <c r="BJ60" s="1933" t="s">
        <v>7338</v>
      </c>
      <c r="BK60" s="1934" t="s">
        <v>287</v>
      </c>
      <c r="BL60" s="1933" t="s">
        <v>7688</v>
      </c>
      <c r="BM60" s="1935" t="s">
        <v>7860</v>
      </c>
      <c r="BN60" s="1935" t="s">
        <v>7625</v>
      </c>
      <c r="BO60" s="1934" t="s">
        <v>7500</v>
      </c>
      <c r="BP60" s="1933" t="s">
        <v>7749</v>
      </c>
      <c r="BQ60" s="1935" t="s">
        <v>7722</v>
      </c>
      <c r="BR60" s="1935" t="s">
        <v>7688</v>
      </c>
      <c r="BS60" s="1934" t="s">
        <v>7501</v>
      </c>
      <c r="BT60" s="1982"/>
      <c r="BU60" s="1978"/>
      <c r="BV60" s="1983"/>
      <c r="BW60" s="1933" t="s">
        <v>7861</v>
      </c>
      <c r="BX60" s="1935" t="s">
        <v>7551</v>
      </c>
      <c r="BY60" s="1934" t="s">
        <v>7502</v>
      </c>
      <c r="BZ60" s="1982"/>
      <c r="CA60" s="1978"/>
      <c r="CB60" s="1983"/>
      <c r="CC60" s="1933" t="s">
        <v>7863</v>
      </c>
      <c r="CD60" s="1935" t="s">
        <v>7502</v>
      </c>
      <c r="CE60" s="1934" t="s">
        <v>7519</v>
      </c>
      <c r="CF60" s="1982"/>
      <c r="CG60" s="1978"/>
      <c r="CH60" s="1983"/>
      <c r="CI60" s="1949" t="s">
        <v>7537</v>
      </c>
      <c r="CJ60" s="1935" t="s">
        <v>7866</v>
      </c>
      <c r="CK60" s="1934" t="s">
        <v>7504</v>
      </c>
      <c r="CL60" s="1933" t="s">
        <v>7378</v>
      </c>
      <c r="CM60" s="1934" t="s">
        <v>7375</v>
      </c>
      <c r="CN60" s="3664" t="s">
        <v>7582</v>
      </c>
      <c r="CO60" s="3620"/>
      <c r="CP60" s="3620"/>
      <c r="CQ60" s="3665"/>
      <c r="CR60" s="3662" t="s">
        <v>7568</v>
      </c>
      <c r="CS60" s="3663"/>
      <c r="CT60" s="3662" t="s">
        <v>7808</v>
      </c>
      <c r="CU60" s="3650"/>
      <c r="CV60" s="3663"/>
      <c r="CW60" s="3662" t="s">
        <v>7652</v>
      </c>
      <c r="CX60" s="3663"/>
      <c r="CY60" s="3684"/>
      <c r="CZ60" s="3687"/>
      <c r="DA60" s="3618"/>
      <c r="DB60" s="3665"/>
      <c r="DC60" s="3662" t="s">
        <v>7519</v>
      </c>
      <c r="DD60" s="3663"/>
      <c r="DE60" s="3664" t="s">
        <v>7724</v>
      </c>
      <c r="DF60" s="3663"/>
    </row>
    <row r="61" spans="1:110" customFormat="1">
      <c r="A61" s="1933" t="s">
        <v>287</v>
      </c>
      <c r="B61" s="1934" t="s">
        <v>7389</v>
      </c>
      <c r="C61" s="3664" t="s">
        <v>7523</v>
      </c>
      <c r="D61" s="3620"/>
      <c r="E61" s="3620"/>
      <c r="F61" s="3665"/>
      <c r="G61" s="3662"/>
      <c r="H61" s="3650"/>
      <c r="I61" s="3650"/>
      <c r="J61" s="3663"/>
      <c r="K61" s="3662" t="s">
        <v>7524</v>
      </c>
      <c r="L61" s="3650"/>
      <c r="M61" s="3650"/>
      <c r="N61" s="3650"/>
      <c r="O61" s="3663"/>
      <c r="P61" s="3662" t="s">
        <v>7525</v>
      </c>
      <c r="Q61" s="3650"/>
      <c r="R61" s="3650"/>
      <c r="S61" s="3650"/>
      <c r="T61" s="3663"/>
      <c r="U61" s="3662" t="s">
        <v>7526</v>
      </c>
      <c r="V61" s="3650"/>
      <c r="W61" s="3650"/>
      <c r="X61" s="3663"/>
      <c r="Y61" s="3662" t="s">
        <v>7527</v>
      </c>
      <c r="Z61" s="3650"/>
      <c r="AA61" s="3650"/>
      <c r="AB61" s="3663"/>
      <c r="AC61" s="3662" t="s">
        <v>7477</v>
      </c>
      <c r="AD61" s="3650"/>
      <c r="AE61" s="3650"/>
      <c r="AF61" s="3663"/>
      <c r="AG61" s="3697"/>
      <c r="AH61" s="3698"/>
      <c r="AI61" s="1933" t="s">
        <v>287</v>
      </c>
      <c r="AJ61" s="1934" t="s">
        <v>7389</v>
      </c>
      <c r="AK61" s="3662" t="s">
        <v>7859</v>
      </c>
      <c r="AL61" s="3650" t="s">
        <v>7549</v>
      </c>
      <c r="AM61" s="3663" t="s">
        <v>7498</v>
      </c>
      <c r="AN61" s="3702"/>
      <c r="AO61" s="3703"/>
      <c r="AP61" s="3662" t="s">
        <v>7864</v>
      </c>
      <c r="AQ61" s="3650" t="s">
        <v>7479</v>
      </c>
      <c r="AR61" s="3650"/>
      <c r="AS61" s="3650"/>
      <c r="AT61" s="3663"/>
      <c r="AU61" s="3662" t="s">
        <v>7859</v>
      </c>
      <c r="AV61" s="3650" t="s">
        <v>7482</v>
      </c>
      <c r="AW61" s="3650"/>
      <c r="AX61" s="3650"/>
      <c r="AY61" s="3663" t="s">
        <v>7479</v>
      </c>
      <c r="AZ61" s="3662" t="s">
        <v>7573</v>
      </c>
      <c r="BA61" s="3650" t="s">
        <v>7573</v>
      </c>
      <c r="BB61" s="3650" t="s">
        <v>7859</v>
      </c>
      <c r="BC61" s="3650"/>
      <c r="BD61" s="3663"/>
      <c r="BE61" s="3664" t="s">
        <v>7499</v>
      </c>
      <c r="BF61" s="3650"/>
      <c r="BG61" s="3650" t="s">
        <v>7597</v>
      </c>
      <c r="BH61" s="3650" t="s">
        <v>7532</v>
      </c>
      <c r="BI61" s="3663"/>
      <c r="BJ61" s="1933" t="s">
        <v>287</v>
      </c>
      <c r="BK61" s="1934" t="s">
        <v>7389</v>
      </c>
      <c r="BL61" s="3691" t="s">
        <v>7722</v>
      </c>
      <c r="BM61" s="3692"/>
      <c r="BN61" s="3676" t="s">
        <v>7860</v>
      </c>
      <c r="BO61" s="3681" t="s">
        <v>7501</v>
      </c>
      <c r="BP61" s="3662" t="s">
        <v>7861</v>
      </c>
      <c r="BQ61" s="3650"/>
      <c r="BR61" s="3650" t="s">
        <v>7749</v>
      </c>
      <c r="BS61" s="3663" t="s">
        <v>7502</v>
      </c>
      <c r="BT61" s="1982"/>
      <c r="BU61" s="1978"/>
      <c r="BV61" s="1983"/>
      <c r="BW61" s="3662" t="s">
        <v>7801</v>
      </c>
      <c r="BX61" s="3650" t="s">
        <v>7487</v>
      </c>
      <c r="BY61" s="3663" t="s">
        <v>7533</v>
      </c>
      <c r="BZ61" s="1982"/>
      <c r="CA61" s="1978"/>
      <c r="CB61" s="1983"/>
      <c r="CC61" s="1933" t="s">
        <v>7627</v>
      </c>
      <c r="CD61" s="1935" t="s">
        <v>7533</v>
      </c>
      <c r="CE61" s="1934" t="s">
        <v>7489</v>
      </c>
      <c r="CF61" s="1982"/>
      <c r="CG61" s="1978"/>
      <c r="CH61" s="1983"/>
      <c r="CI61" s="1949" t="s">
        <v>7553</v>
      </c>
      <c r="CJ61" s="1935" t="s">
        <v>7575</v>
      </c>
      <c r="CK61" s="1934" t="s">
        <v>7505</v>
      </c>
      <c r="CL61" s="1933" t="s">
        <v>7375</v>
      </c>
      <c r="CM61" s="1934" t="s">
        <v>7429</v>
      </c>
      <c r="CN61" s="3664" t="s">
        <v>7814</v>
      </c>
      <c r="CO61" s="3620"/>
      <c r="CP61" s="3620"/>
      <c r="CQ61" s="3665"/>
      <c r="CR61" s="3662" t="s">
        <v>7815</v>
      </c>
      <c r="CS61" s="3663"/>
      <c r="CT61" s="3662" t="s">
        <v>7816</v>
      </c>
      <c r="CU61" s="3650"/>
      <c r="CV61" s="3663"/>
      <c r="CW61" s="3662" t="s">
        <v>7595</v>
      </c>
      <c r="CX61" s="3663"/>
      <c r="CY61" s="3684"/>
      <c r="CZ61" s="3687"/>
      <c r="DA61" s="3618"/>
      <c r="DB61" s="3665"/>
      <c r="DC61" s="3662" t="s">
        <v>7489</v>
      </c>
      <c r="DD61" s="3663"/>
      <c r="DE61" s="3664" t="s">
        <v>7600</v>
      </c>
      <c r="DF61" s="3663"/>
    </row>
    <row r="62" spans="1:110" customFormat="1">
      <c r="A62" s="1933" t="s">
        <v>7389</v>
      </c>
      <c r="B62" s="1934" t="s">
        <v>7390</v>
      </c>
      <c r="C62" s="3599"/>
      <c r="D62" s="3620"/>
      <c r="E62" s="3620"/>
      <c r="F62" s="3665"/>
      <c r="G62" s="3662"/>
      <c r="H62" s="3650"/>
      <c r="I62" s="3650"/>
      <c r="J62" s="3663"/>
      <c r="K62" s="3662"/>
      <c r="L62" s="3650"/>
      <c r="M62" s="3650"/>
      <c r="N62" s="3650"/>
      <c r="O62" s="3663"/>
      <c r="P62" s="3662"/>
      <c r="Q62" s="3650"/>
      <c r="R62" s="3650"/>
      <c r="S62" s="3650"/>
      <c r="T62" s="3663"/>
      <c r="U62" s="3662"/>
      <c r="V62" s="3650"/>
      <c r="W62" s="3650"/>
      <c r="X62" s="3663"/>
      <c r="Y62" s="3662"/>
      <c r="Z62" s="3650"/>
      <c r="AA62" s="3650"/>
      <c r="AB62" s="3663"/>
      <c r="AC62" s="3662"/>
      <c r="AD62" s="3650"/>
      <c r="AE62" s="3650"/>
      <c r="AF62" s="3663"/>
      <c r="AG62" s="3697"/>
      <c r="AH62" s="3698"/>
      <c r="AI62" s="1933" t="s">
        <v>7389</v>
      </c>
      <c r="AJ62" s="1934" t="s">
        <v>7390</v>
      </c>
      <c r="AK62" s="3662"/>
      <c r="AL62" s="3650"/>
      <c r="AM62" s="3663"/>
      <c r="AN62" s="3702"/>
      <c r="AO62" s="3703"/>
      <c r="AP62" s="3662"/>
      <c r="AQ62" s="3650"/>
      <c r="AR62" s="3650"/>
      <c r="AS62" s="3650"/>
      <c r="AT62" s="3663" t="s">
        <v>7476</v>
      </c>
      <c r="AU62" s="3662"/>
      <c r="AV62" s="3650"/>
      <c r="AW62" s="3650"/>
      <c r="AX62" s="3650"/>
      <c r="AY62" s="3663"/>
      <c r="AZ62" s="3662"/>
      <c r="BA62" s="3650"/>
      <c r="BB62" s="3650"/>
      <c r="BC62" s="3650"/>
      <c r="BD62" s="3663"/>
      <c r="BE62" s="3664"/>
      <c r="BF62" s="3650"/>
      <c r="BG62" s="3650"/>
      <c r="BH62" s="3650"/>
      <c r="BI62" s="3663"/>
      <c r="BJ62" s="1933" t="s">
        <v>7389</v>
      </c>
      <c r="BK62" s="1934" t="s">
        <v>7390</v>
      </c>
      <c r="BL62" s="3693"/>
      <c r="BM62" s="3694"/>
      <c r="BN62" s="3675"/>
      <c r="BO62" s="3656"/>
      <c r="BP62" s="3662"/>
      <c r="BQ62" s="3650"/>
      <c r="BR62" s="3650"/>
      <c r="BS62" s="3663"/>
      <c r="BT62" s="1982"/>
      <c r="BU62" s="1978"/>
      <c r="BV62" s="1983"/>
      <c r="BW62" s="3662"/>
      <c r="BX62" s="3650"/>
      <c r="BY62" s="3663"/>
      <c r="BZ62" s="1933" t="s">
        <v>7866</v>
      </c>
      <c r="CA62" s="1935" t="s">
        <v>7488</v>
      </c>
      <c r="CB62" s="1934" t="s">
        <v>7537</v>
      </c>
      <c r="CC62" s="1933" t="s">
        <v>7504</v>
      </c>
      <c r="CD62" s="1935" t="s">
        <v>7867</v>
      </c>
      <c r="CE62" s="1934" t="s">
        <v>7538</v>
      </c>
      <c r="CF62" s="1982"/>
      <c r="CG62" s="1978"/>
      <c r="CH62" s="1983"/>
      <c r="CI62" s="1949" t="s">
        <v>7868</v>
      </c>
      <c r="CJ62" s="1935" t="s">
        <v>7599</v>
      </c>
      <c r="CK62" s="1934" t="s">
        <v>7490</v>
      </c>
      <c r="CL62" s="1933" t="s">
        <v>7429</v>
      </c>
      <c r="CM62" s="1934" t="s">
        <v>7377</v>
      </c>
      <c r="CN62" s="3664" t="s">
        <v>7820</v>
      </c>
      <c r="CO62" s="3620"/>
      <c r="CP62" s="3620"/>
      <c r="CQ62" s="3665"/>
      <c r="CR62" s="3662" t="s">
        <v>7619</v>
      </c>
      <c r="CS62" s="3663"/>
      <c r="CT62" s="3662" t="s">
        <v>7545</v>
      </c>
      <c r="CU62" s="3650"/>
      <c r="CV62" s="3663"/>
      <c r="CW62" s="3662" t="s">
        <v>7493</v>
      </c>
      <c r="CX62" s="3663"/>
      <c r="CY62" s="3684"/>
      <c r="CZ62" s="3687"/>
      <c r="DA62" s="3618"/>
      <c r="DB62" s="3665"/>
      <c r="DC62" s="3662" t="s">
        <v>7560</v>
      </c>
      <c r="DD62" s="3663"/>
      <c r="DE62" s="3664" t="s">
        <v>7797</v>
      </c>
      <c r="DF62" s="3663"/>
    </row>
    <row r="63" spans="1:110" customFormat="1">
      <c r="A63" s="1933" t="s">
        <v>7390</v>
      </c>
      <c r="B63" s="1934" t="s">
        <v>7542</v>
      </c>
      <c r="C63" s="3664" t="s">
        <v>7543</v>
      </c>
      <c r="D63" s="3650"/>
      <c r="E63" s="3650"/>
      <c r="F63" s="3663"/>
      <c r="G63" s="3662" t="s">
        <v>7544</v>
      </c>
      <c r="H63" s="3620"/>
      <c r="I63" s="3620"/>
      <c r="J63" s="3665"/>
      <c r="K63" s="3662" t="s">
        <v>7545</v>
      </c>
      <c r="L63" s="3650"/>
      <c r="M63" s="3650"/>
      <c r="N63" s="3650"/>
      <c r="O63" s="3663"/>
      <c r="P63" s="3662" t="s">
        <v>7546</v>
      </c>
      <c r="Q63" s="3650"/>
      <c r="R63" s="3650"/>
      <c r="S63" s="3650"/>
      <c r="T63" s="3663"/>
      <c r="U63" s="3662" t="s">
        <v>7511</v>
      </c>
      <c r="V63" s="3650"/>
      <c r="W63" s="3650"/>
      <c r="X63" s="3663"/>
      <c r="Y63" s="3662" t="s">
        <v>7474</v>
      </c>
      <c r="Z63" s="3650"/>
      <c r="AA63" s="3650"/>
      <c r="AB63" s="3663"/>
      <c r="AC63" s="3662" t="s">
        <v>7547</v>
      </c>
      <c r="AD63" s="3650"/>
      <c r="AE63" s="3650"/>
      <c r="AF63" s="3663"/>
      <c r="AG63" s="3697"/>
      <c r="AH63" s="3698"/>
      <c r="AI63" s="1933" t="s">
        <v>7390</v>
      </c>
      <c r="AJ63" s="1934" t="s">
        <v>7542</v>
      </c>
      <c r="AK63" s="3662" t="s">
        <v>7859</v>
      </c>
      <c r="AL63" s="3650" t="s">
        <v>7573</v>
      </c>
      <c r="AM63" s="3663" t="s">
        <v>7625</v>
      </c>
      <c r="AN63" s="3702"/>
      <c r="AO63" s="3703"/>
      <c r="AP63" s="3662" t="s">
        <v>7869</v>
      </c>
      <c r="AQ63" s="3650" t="s">
        <v>7864</v>
      </c>
      <c r="AR63" s="3650"/>
      <c r="AS63" s="3650"/>
      <c r="AT63" s="3663"/>
      <c r="AU63" s="3662" t="s">
        <v>7484</v>
      </c>
      <c r="AV63" s="3650" t="s">
        <v>7859</v>
      </c>
      <c r="AW63" s="3650" t="s">
        <v>7482</v>
      </c>
      <c r="AX63" s="3650"/>
      <c r="AY63" s="3663" t="s">
        <v>7478</v>
      </c>
      <c r="AZ63" s="3662" t="s">
        <v>7498</v>
      </c>
      <c r="BA63" s="3650" t="s">
        <v>7597</v>
      </c>
      <c r="BB63" s="3650" t="s">
        <v>7530</v>
      </c>
      <c r="BC63" s="3650"/>
      <c r="BD63" s="3663"/>
      <c r="BE63" s="3664" t="s">
        <v>7500</v>
      </c>
      <c r="BF63" s="3650" t="s">
        <v>7532</v>
      </c>
      <c r="BG63" s="3650" t="s">
        <v>7486</v>
      </c>
      <c r="BH63" s="3650" t="s">
        <v>7551</v>
      </c>
      <c r="BI63" s="3663"/>
      <c r="BJ63" s="1933" t="s">
        <v>7390</v>
      </c>
      <c r="BK63" s="1934" t="s">
        <v>7542</v>
      </c>
      <c r="BL63" s="3682" t="s">
        <v>7861</v>
      </c>
      <c r="BM63" s="3676" t="s">
        <v>7862</v>
      </c>
      <c r="BN63" s="3676" t="s">
        <v>7722</v>
      </c>
      <c r="BO63" s="3681" t="s">
        <v>7502</v>
      </c>
      <c r="BP63" s="3662" t="s">
        <v>7488</v>
      </c>
      <c r="BQ63" s="3650" t="s">
        <v>7863</v>
      </c>
      <c r="BR63" s="3650" t="s">
        <v>7870</v>
      </c>
      <c r="BS63" s="3663" t="s">
        <v>7503</v>
      </c>
      <c r="BT63" s="1982"/>
      <c r="BU63" s="1978"/>
      <c r="BV63" s="1983"/>
      <c r="BW63" s="1933" t="s">
        <v>7627</v>
      </c>
      <c r="BX63" s="1935" t="s">
        <v>7533</v>
      </c>
      <c r="BY63" s="1934" t="s">
        <v>7552</v>
      </c>
      <c r="BZ63" s="1933" t="s">
        <v>7575</v>
      </c>
      <c r="CA63" s="1935" t="s">
        <v>7537</v>
      </c>
      <c r="CB63" s="1934" t="s">
        <v>7553</v>
      </c>
      <c r="CC63" s="1933" t="s">
        <v>7505</v>
      </c>
      <c r="CD63" s="1935" t="s">
        <v>7871</v>
      </c>
      <c r="CE63" s="1934" t="s">
        <v>7554</v>
      </c>
      <c r="CF63" s="1933" t="s">
        <v>7611</v>
      </c>
      <c r="CG63" s="1935" t="s">
        <v>7561</v>
      </c>
      <c r="CH63" s="1934" t="s">
        <v>7555</v>
      </c>
      <c r="CI63" s="1949" t="s">
        <v>7872</v>
      </c>
      <c r="CJ63" s="1935" t="s">
        <v>7873</v>
      </c>
      <c r="CK63" s="1934" t="s">
        <v>7556</v>
      </c>
      <c r="CL63" s="1933" t="s">
        <v>7377</v>
      </c>
      <c r="CM63" s="1934" t="s">
        <v>7385</v>
      </c>
      <c r="CN63" s="3664" t="s">
        <v>7824</v>
      </c>
      <c r="CO63" s="3620"/>
      <c r="CP63" s="3620"/>
      <c r="CQ63" s="3665"/>
      <c r="CR63" s="3662" t="s">
        <v>7639</v>
      </c>
      <c r="CS63" s="3663"/>
      <c r="CT63" s="3662" t="s">
        <v>7569</v>
      </c>
      <c r="CU63" s="3650"/>
      <c r="CV63" s="3663"/>
      <c r="CW63" s="3662" t="s">
        <v>7526</v>
      </c>
      <c r="CX63" s="3663"/>
      <c r="CY63" s="3684"/>
      <c r="CZ63" s="3687"/>
      <c r="DA63" s="3618"/>
      <c r="DB63" s="3665"/>
      <c r="DC63" s="3662" t="s">
        <v>7825</v>
      </c>
      <c r="DD63" s="3663"/>
      <c r="DE63" s="3664" t="s">
        <v>7656</v>
      </c>
      <c r="DF63" s="3663"/>
    </row>
    <row r="64" spans="1:110" customFormat="1">
      <c r="A64" s="1933" t="s">
        <v>7542</v>
      </c>
      <c r="B64" s="1934" t="s">
        <v>309</v>
      </c>
      <c r="C64" s="3664"/>
      <c r="D64" s="3650"/>
      <c r="E64" s="3650"/>
      <c r="F64" s="3663"/>
      <c r="G64" s="3618"/>
      <c r="H64" s="3620"/>
      <c r="I64" s="3620"/>
      <c r="J64" s="3665"/>
      <c r="K64" s="3662"/>
      <c r="L64" s="3650"/>
      <c r="M64" s="3650"/>
      <c r="N64" s="3650"/>
      <c r="O64" s="3663"/>
      <c r="P64" s="3662"/>
      <c r="Q64" s="3650"/>
      <c r="R64" s="3650"/>
      <c r="S64" s="3650"/>
      <c r="T64" s="3663"/>
      <c r="U64" s="3662"/>
      <c r="V64" s="3650"/>
      <c r="W64" s="3650"/>
      <c r="X64" s="3663"/>
      <c r="Y64" s="3662"/>
      <c r="Z64" s="3650"/>
      <c r="AA64" s="3650"/>
      <c r="AB64" s="3663"/>
      <c r="AC64" s="3662"/>
      <c r="AD64" s="3650"/>
      <c r="AE64" s="3650"/>
      <c r="AF64" s="3663"/>
      <c r="AG64" s="3697"/>
      <c r="AH64" s="3698"/>
      <c r="AI64" s="1933" t="s">
        <v>7542</v>
      </c>
      <c r="AJ64" s="1934" t="s">
        <v>309</v>
      </c>
      <c r="AK64" s="3662"/>
      <c r="AL64" s="3650"/>
      <c r="AM64" s="3663"/>
      <c r="AN64" s="3702"/>
      <c r="AO64" s="3703"/>
      <c r="AP64" s="3662"/>
      <c r="AQ64" s="3650"/>
      <c r="AR64" s="3650"/>
      <c r="AS64" s="3650" t="s">
        <v>7547</v>
      </c>
      <c r="AT64" s="3663" t="s">
        <v>7516</v>
      </c>
      <c r="AU64" s="3662"/>
      <c r="AV64" s="3650"/>
      <c r="AW64" s="3650"/>
      <c r="AX64" s="3650"/>
      <c r="AY64" s="3663"/>
      <c r="AZ64" s="3662"/>
      <c r="BA64" s="3650"/>
      <c r="BB64" s="3650"/>
      <c r="BC64" s="3650"/>
      <c r="BD64" s="3663"/>
      <c r="BE64" s="3664"/>
      <c r="BF64" s="3650"/>
      <c r="BG64" s="3650"/>
      <c r="BH64" s="3650"/>
      <c r="BI64" s="3663"/>
      <c r="BJ64" s="1933" t="s">
        <v>7542</v>
      </c>
      <c r="BK64" s="1934" t="s">
        <v>309</v>
      </c>
      <c r="BL64" s="3655"/>
      <c r="BM64" s="3675"/>
      <c r="BN64" s="3675"/>
      <c r="BO64" s="3656"/>
      <c r="BP64" s="3662"/>
      <c r="BQ64" s="3650"/>
      <c r="BR64" s="3650"/>
      <c r="BS64" s="3663"/>
      <c r="BT64" s="1933" t="s">
        <v>7627</v>
      </c>
      <c r="BU64" s="1935" t="s">
        <v>7533</v>
      </c>
      <c r="BV64" s="1934" t="s">
        <v>7552</v>
      </c>
      <c r="BW64" s="1933" t="s">
        <v>7796</v>
      </c>
      <c r="BX64" s="1935" t="s">
        <v>7489</v>
      </c>
      <c r="BY64" s="1934" t="s">
        <v>7560</v>
      </c>
      <c r="BZ64" s="1933" t="s">
        <v>7628</v>
      </c>
      <c r="CA64" s="1935" t="s">
        <v>7553</v>
      </c>
      <c r="CB64" s="1934" t="s">
        <v>7561</v>
      </c>
      <c r="CC64" s="1933" t="s">
        <v>7490</v>
      </c>
      <c r="CD64" s="1935" t="s">
        <v>7724</v>
      </c>
      <c r="CE64" s="1934" t="s">
        <v>7534</v>
      </c>
      <c r="CF64" s="1933" t="s">
        <v>7629</v>
      </c>
      <c r="CG64" s="1935" t="s">
        <v>7521</v>
      </c>
      <c r="CH64" s="1934" t="s">
        <v>7562</v>
      </c>
      <c r="CI64" s="1949" t="s">
        <v>7874</v>
      </c>
      <c r="CJ64" s="1935" t="s">
        <v>7506</v>
      </c>
      <c r="CK64" s="1934" t="s">
        <v>7563</v>
      </c>
      <c r="CL64" s="1933" t="s">
        <v>7385</v>
      </c>
      <c r="CM64" s="1934" t="s">
        <v>7379</v>
      </c>
      <c r="CN64" s="3664" t="s">
        <v>7718</v>
      </c>
      <c r="CO64" s="3620"/>
      <c r="CP64" s="3620"/>
      <c r="CQ64" s="3665"/>
      <c r="CR64" s="3662" t="s">
        <v>7648</v>
      </c>
      <c r="CS64" s="3663"/>
      <c r="CT64" s="3662" t="s">
        <v>7584</v>
      </c>
      <c r="CU64" s="3650"/>
      <c r="CV64" s="3663"/>
      <c r="CW64" s="3662" t="s">
        <v>7473</v>
      </c>
      <c r="CX64" s="3663"/>
      <c r="CY64" s="3684"/>
      <c r="CZ64" s="3687"/>
      <c r="DA64" s="3618"/>
      <c r="DB64" s="3665"/>
      <c r="DC64" s="3662" t="s">
        <v>7576</v>
      </c>
      <c r="DD64" s="3663"/>
      <c r="DE64" s="3664" t="s">
        <v>7830</v>
      </c>
      <c r="DF64" s="3663"/>
    </row>
    <row r="65" spans="1:110" customFormat="1">
      <c r="A65" s="1933" t="s">
        <v>309</v>
      </c>
      <c r="B65" s="1934" t="s">
        <v>320</v>
      </c>
      <c r="C65" s="3664" t="s">
        <v>7567</v>
      </c>
      <c r="D65" s="3650"/>
      <c r="E65" s="3650"/>
      <c r="F65" s="3663"/>
      <c r="G65" s="3662" t="s">
        <v>7568</v>
      </c>
      <c r="H65" s="3650"/>
      <c r="I65" s="3650"/>
      <c r="J65" s="3663"/>
      <c r="K65" s="3662" t="s">
        <v>7569</v>
      </c>
      <c r="L65" s="3650"/>
      <c r="M65" s="3650"/>
      <c r="N65" s="3650"/>
      <c r="O65" s="3663"/>
      <c r="P65" s="3662" t="s">
        <v>7509</v>
      </c>
      <c r="Q65" s="3650"/>
      <c r="R65" s="3650"/>
      <c r="S65" s="3650"/>
      <c r="T65" s="3663"/>
      <c r="U65" s="3662" t="s">
        <v>7525</v>
      </c>
      <c r="V65" s="3650"/>
      <c r="W65" s="3650"/>
      <c r="X65" s="3663"/>
      <c r="Y65" s="3662" t="s">
        <v>7512</v>
      </c>
      <c r="Z65" s="3650"/>
      <c r="AA65" s="3650"/>
      <c r="AB65" s="3663"/>
      <c r="AC65" s="3662" t="s">
        <v>7570</v>
      </c>
      <c r="AD65" s="3650"/>
      <c r="AE65" s="3650"/>
      <c r="AF65" s="3663"/>
      <c r="AG65" s="3697"/>
      <c r="AH65" s="3698"/>
      <c r="AI65" s="1933" t="s">
        <v>309</v>
      </c>
      <c r="AJ65" s="1934" t="s">
        <v>320</v>
      </c>
      <c r="AK65" s="3662" t="s">
        <v>7484</v>
      </c>
      <c r="AL65" s="3650" t="s">
        <v>7597</v>
      </c>
      <c r="AM65" s="3663" t="s">
        <v>7499</v>
      </c>
      <c r="AN65" s="3702"/>
      <c r="AO65" s="3703"/>
      <c r="AP65" s="3662" t="s">
        <v>7864</v>
      </c>
      <c r="AQ65" s="3650" t="s">
        <v>7479</v>
      </c>
      <c r="AR65" s="3650" t="s">
        <v>7854</v>
      </c>
      <c r="AS65" s="3650"/>
      <c r="AT65" s="3663"/>
      <c r="AU65" s="3662"/>
      <c r="AV65" s="3650"/>
      <c r="AW65" s="3650"/>
      <c r="AX65" s="3650"/>
      <c r="AY65" s="3663" t="s">
        <v>7494</v>
      </c>
      <c r="AZ65" s="3662" t="s">
        <v>7625</v>
      </c>
      <c r="BA65" s="3650" t="s">
        <v>7498</v>
      </c>
      <c r="BB65" s="3650" t="s">
        <v>7549</v>
      </c>
      <c r="BC65" s="3650"/>
      <c r="BD65" s="3663"/>
      <c r="BE65" s="3664" t="s">
        <v>7551</v>
      </c>
      <c r="BF65" s="3650" t="s">
        <v>7749</v>
      </c>
      <c r="BG65" s="3650" t="s">
        <v>7688</v>
      </c>
      <c r="BH65" s="3650" t="s">
        <v>7487</v>
      </c>
      <c r="BI65" s="3663"/>
      <c r="BJ65" s="1933" t="s">
        <v>309</v>
      </c>
      <c r="BK65" s="1934" t="s">
        <v>320</v>
      </c>
      <c r="BL65" s="3682" t="s">
        <v>7801</v>
      </c>
      <c r="BM65" s="3676" t="s">
        <v>7875</v>
      </c>
      <c r="BN65" s="3676" t="s">
        <v>7861</v>
      </c>
      <c r="BO65" s="3681" t="s">
        <v>7519</v>
      </c>
      <c r="BP65" s="3662" t="s">
        <v>7537</v>
      </c>
      <c r="BQ65" s="3650" t="s">
        <v>7867</v>
      </c>
      <c r="BR65" s="3650" t="s">
        <v>7519</v>
      </c>
      <c r="BS65" s="3663" t="s">
        <v>7575</v>
      </c>
      <c r="BT65" s="1933" t="s">
        <v>7575</v>
      </c>
      <c r="BU65" s="1935" t="s">
        <v>7537</v>
      </c>
      <c r="BV65" s="1934" t="s">
        <v>7560</v>
      </c>
      <c r="BW65" s="1933" t="s">
        <v>7561</v>
      </c>
      <c r="BX65" s="1935" t="s">
        <v>7628</v>
      </c>
      <c r="BY65" s="1934" t="s">
        <v>7490</v>
      </c>
      <c r="BZ65" s="1933" t="s">
        <v>7555</v>
      </c>
      <c r="CA65" s="1935" t="s">
        <v>7611</v>
      </c>
      <c r="CB65" s="1934" t="s">
        <v>7576</v>
      </c>
      <c r="CC65" s="1933" t="s">
        <v>7562</v>
      </c>
      <c r="CD65" s="1935" t="s">
        <v>7629</v>
      </c>
      <c r="CE65" s="1934" t="s">
        <v>7506</v>
      </c>
      <c r="CF65" s="1933" t="s">
        <v>7876</v>
      </c>
      <c r="CG65" s="1935" t="s">
        <v>7877</v>
      </c>
      <c r="CH65" s="1934" t="s">
        <v>7577</v>
      </c>
      <c r="CI65" s="1949" t="s">
        <v>7878</v>
      </c>
      <c r="CJ65" s="1935" t="s">
        <v>7879</v>
      </c>
      <c r="CK65" s="1934" t="s">
        <v>7578</v>
      </c>
      <c r="CL65" s="1936" t="s">
        <v>7379</v>
      </c>
      <c r="CM65" s="1937" t="s">
        <v>7430</v>
      </c>
      <c r="CN65" s="3670" t="s">
        <v>7664</v>
      </c>
      <c r="CO65" s="3624"/>
      <c r="CP65" s="3624"/>
      <c r="CQ65" s="3669"/>
      <c r="CR65" s="3671" t="s">
        <v>7523</v>
      </c>
      <c r="CS65" s="3672"/>
      <c r="CT65" s="3671" t="s">
        <v>7649</v>
      </c>
      <c r="CU65" s="3651"/>
      <c r="CV65" s="3672"/>
      <c r="CW65" s="3671" t="s">
        <v>7837</v>
      </c>
      <c r="CX65" s="3672"/>
      <c r="CY65" s="3685"/>
      <c r="CZ65" s="3688"/>
      <c r="DA65" s="3622"/>
      <c r="DB65" s="3669"/>
      <c r="DC65" s="3671" t="s">
        <v>7838</v>
      </c>
      <c r="DD65" s="3672"/>
      <c r="DE65" s="3670" t="s">
        <v>7839</v>
      </c>
      <c r="DF65" s="3672"/>
    </row>
    <row r="66" spans="1:110" customFormat="1">
      <c r="A66" s="1933" t="s">
        <v>320</v>
      </c>
      <c r="B66" s="1934" t="s">
        <v>332</v>
      </c>
      <c r="C66" s="3664" t="s">
        <v>7582</v>
      </c>
      <c r="D66" s="3650"/>
      <c r="E66" s="3650"/>
      <c r="F66" s="3663"/>
      <c r="G66" s="3662" t="s">
        <v>7583</v>
      </c>
      <c r="H66" s="3650"/>
      <c r="I66" s="3650"/>
      <c r="J66" s="3663"/>
      <c r="K66" s="3662" t="s">
        <v>7584</v>
      </c>
      <c r="L66" s="3650"/>
      <c r="M66" s="3650"/>
      <c r="N66" s="3650"/>
      <c r="O66" s="3663"/>
      <c r="P66" s="3662"/>
      <c r="Q66" s="3650"/>
      <c r="R66" s="3650"/>
      <c r="S66" s="3650"/>
      <c r="T66" s="3663"/>
      <c r="U66" s="3662"/>
      <c r="V66" s="3650"/>
      <c r="W66" s="3650"/>
      <c r="X66" s="3663"/>
      <c r="Y66" s="3662"/>
      <c r="Z66" s="3650"/>
      <c r="AA66" s="3650"/>
      <c r="AB66" s="3663"/>
      <c r="AC66" s="3662"/>
      <c r="AD66" s="3650"/>
      <c r="AE66" s="3650"/>
      <c r="AF66" s="3663"/>
      <c r="AG66" s="3697"/>
      <c r="AH66" s="3698"/>
      <c r="AI66" s="1933" t="s">
        <v>320</v>
      </c>
      <c r="AJ66" s="1934" t="s">
        <v>332</v>
      </c>
      <c r="AK66" s="3662"/>
      <c r="AL66" s="3650"/>
      <c r="AM66" s="3663"/>
      <c r="AN66" s="3702"/>
      <c r="AO66" s="3703"/>
      <c r="AP66" s="3662"/>
      <c r="AQ66" s="3650"/>
      <c r="AR66" s="3650"/>
      <c r="AS66" s="3650" t="s">
        <v>7570</v>
      </c>
      <c r="AT66" s="3663" t="s">
        <v>7475</v>
      </c>
      <c r="AU66" s="3662"/>
      <c r="AV66" s="3650"/>
      <c r="AW66" s="3650"/>
      <c r="AX66" s="3650"/>
      <c r="AY66" s="3663"/>
      <c r="AZ66" s="3662"/>
      <c r="BA66" s="3650"/>
      <c r="BB66" s="3650"/>
      <c r="BC66" s="3650"/>
      <c r="BD66" s="3663"/>
      <c r="BE66" s="3664"/>
      <c r="BF66" s="3650"/>
      <c r="BG66" s="3650"/>
      <c r="BH66" s="3650"/>
      <c r="BI66" s="3663"/>
      <c r="BJ66" s="1933" t="s">
        <v>320</v>
      </c>
      <c r="BK66" s="1934" t="s">
        <v>332</v>
      </c>
      <c r="BL66" s="3655"/>
      <c r="BM66" s="3675"/>
      <c r="BN66" s="3675"/>
      <c r="BO66" s="3656"/>
      <c r="BP66" s="3662"/>
      <c r="BQ66" s="3650"/>
      <c r="BR66" s="3650"/>
      <c r="BS66" s="3663"/>
      <c r="BT66" s="1933" t="s">
        <v>7880</v>
      </c>
      <c r="BU66" s="1935" t="s">
        <v>7538</v>
      </c>
      <c r="BV66" s="1934" t="s">
        <v>7554</v>
      </c>
      <c r="BW66" s="1933" t="s">
        <v>7873</v>
      </c>
      <c r="BX66" s="1935" t="s">
        <v>7881</v>
      </c>
      <c r="BY66" s="1934" t="s">
        <v>7585</v>
      </c>
      <c r="BZ66" s="1933" t="s">
        <v>7838</v>
      </c>
      <c r="CA66" s="1935" t="s">
        <v>7882</v>
      </c>
      <c r="CB66" s="1934" t="s">
        <v>7586</v>
      </c>
      <c r="CC66" s="1933" t="s">
        <v>7656</v>
      </c>
      <c r="CD66" s="1935" t="s">
        <v>7563</v>
      </c>
      <c r="CE66" s="1934" t="s">
        <v>7522</v>
      </c>
      <c r="CF66" s="1933" t="s">
        <v>7883</v>
      </c>
      <c r="CG66" s="1935" t="s">
        <v>7884</v>
      </c>
      <c r="CH66" s="1934" t="s">
        <v>7587</v>
      </c>
      <c r="CI66" s="1949" t="s">
        <v>7885</v>
      </c>
      <c r="CJ66" s="1935" t="s">
        <v>7886</v>
      </c>
      <c r="CK66" s="1934" t="s">
        <v>7558</v>
      </c>
      <c r="CL66" s="1988"/>
      <c r="CM66" s="1988"/>
      <c r="CN66" s="1922"/>
      <c r="CO66" s="1922"/>
      <c r="CP66" s="1922"/>
      <c r="CQ66" s="1922"/>
      <c r="CR66" s="1922"/>
      <c r="CS66" s="1922"/>
      <c r="CT66" s="1922"/>
      <c r="CU66" s="1922"/>
      <c r="CV66" s="1922"/>
      <c r="CW66" s="1922"/>
      <c r="CX66" s="1922"/>
      <c r="CY66" s="1922"/>
      <c r="CZ66" s="1922"/>
      <c r="DA66" s="1922"/>
      <c r="DB66" s="1922"/>
      <c r="DC66" s="1922"/>
      <c r="DD66" s="1922"/>
      <c r="DE66" s="1922"/>
      <c r="DF66" s="1922"/>
    </row>
    <row r="67" spans="1:110" customFormat="1">
      <c r="A67" s="1933" t="s">
        <v>332</v>
      </c>
      <c r="B67" s="1934" t="s">
        <v>7591</v>
      </c>
      <c r="C67" s="3664" t="s">
        <v>7592</v>
      </c>
      <c r="D67" s="3650"/>
      <c r="E67" s="3650"/>
      <c r="F67" s="3663"/>
      <c r="G67" s="3662" t="s">
        <v>7593</v>
      </c>
      <c r="H67" s="3650"/>
      <c r="I67" s="3650"/>
      <c r="J67" s="3663"/>
      <c r="K67" s="3662" t="s">
        <v>7471</v>
      </c>
      <c r="L67" s="3650"/>
      <c r="M67" s="3650"/>
      <c r="N67" s="3650"/>
      <c r="O67" s="3663"/>
      <c r="P67" s="3662" t="s">
        <v>7594</v>
      </c>
      <c r="Q67" s="3650"/>
      <c r="R67" s="3650"/>
      <c r="S67" s="3650"/>
      <c r="T67" s="3663"/>
      <c r="U67" s="3662" t="s">
        <v>7472</v>
      </c>
      <c r="V67" s="3650"/>
      <c r="W67" s="3650"/>
      <c r="X67" s="3663"/>
      <c r="Y67" s="3662" t="s">
        <v>7493</v>
      </c>
      <c r="Z67" s="3650"/>
      <c r="AA67" s="3650"/>
      <c r="AB67" s="3663"/>
      <c r="AC67" s="3662" t="s">
        <v>7476</v>
      </c>
      <c r="AD67" s="3650"/>
      <c r="AE67" s="3650"/>
      <c r="AF67" s="3663"/>
      <c r="AG67" s="3697"/>
      <c r="AH67" s="3698"/>
      <c r="AI67" s="1933" t="s">
        <v>332</v>
      </c>
      <c r="AJ67" s="1934" t="s">
        <v>7591</v>
      </c>
      <c r="AK67" s="3662" t="s">
        <v>7484</v>
      </c>
      <c r="AL67" s="3650" t="s">
        <v>7498</v>
      </c>
      <c r="AM67" s="3663" t="s">
        <v>7532</v>
      </c>
      <c r="AN67" s="3702"/>
      <c r="AO67" s="3703"/>
      <c r="AP67" s="3662"/>
      <c r="AQ67" s="3650" t="s">
        <v>7854</v>
      </c>
      <c r="AR67" s="3650" t="s">
        <v>7478</v>
      </c>
      <c r="AS67" s="3650"/>
      <c r="AT67" s="3663"/>
      <c r="AU67" s="3662" t="s">
        <v>7549</v>
      </c>
      <c r="AV67" s="3650" t="s">
        <v>7484</v>
      </c>
      <c r="AW67" s="3650" t="s">
        <v>7859</v>
      </c>
      <c r="AX67" s="3650"/>
      <c r="AY67" s="3663"/>
      <c r="AZ67" s="3662" t="s">
        <v>7499</v>
      </c>
      <c r="BA67" s="3650" t="s">
        <v>7486</v>
      </c>
      <c r="BB67" s="3650" t="s">
        <v>7573</v>
      </c>
      <c r="BC67" s="3650" t="s">
        <v>7482</v>
      </c>
      <c r="BD67" s="3663"/>
      <c r="BE67" s="3664" t="s">
        <v>7870</v>
      </c>
      <c r="BF67" s="3650" t="s">
        <v>7487</v>
      </c>
      <c r="BG67" s="3650" t="s">
        <v>7749</v>
      </c>
      <c r="BH67" s="3650" t="s">
        <v>7488</v>
      </c>
      <c r="BI67" s="3663"/>
      <c r="BJ67" s="1933" t="s">
        <v>332</v>
      </c>
      <c r="BK67" s="1934" t="s">
        <v>7591</v>
      </c>
      <c r="BL67" s="1933" t="s">
        <v>7866</v>
      </c>
      <c r="BM67" s="1935" t="s">
        <v>7503</v>
      </c>
      <c r="BN67" s="1935" t="s">
        <v>7801</v>
      </c>
      <c r="BO67" s="1934" t="s">
        <v>7552</v>
      </c>
      <c r="BP67" s="1933" t="s">
        <v>7560</v>
      </c>
      <c r="BQ67" s="1935" t="s">
        <v>7553</v>
      </c>
      <c r="BR67" s="1935" t="s">
        <v>7504</v>
      </c>
      <c r="BS67" s="1934" t="s">
        <v>7599</v>
      </c>
      <c r="BT67" s="1933" t="s">
        <v>7490</v>
      </c>
      <c r="BU67" s="1935" t="s">
        <v>7561</v>
      </c>
      <c r="BV67" s="1934" t="s">
        <v>7600</v>
      </c>
      <c r="BW67" s="1933" t="s">
        <v>7586</v>
      </c>
      <c r="BX67" s="1935" t="s">
        <v>7838</v>
      </c>
      <c r="BY67" s="1934" t="s">
        <v>7601</v>
      </c>
      <c r="BZ67" s="1933" t="s">
        <v>7887</v>
      </c>
      <c r="CA67" s="1935" t="s">
        <v>7630</v>
      </c>
      <c r="CB67" s="1934" t="s">
        <v>7602</v>
      </c>
      <c r="CC67" s="1933" t="s">
        <v>7888</v>
      </c>
      <c r="CD67" s="1935" t="s">
        <v>7889</v>
      </c>
      <c r="CE67" s="1934" t="s">
        <v>7603</v>
      </c>
      <c r="CF67" s="1933" t="s">
        <v>7890</v>
      </c>
      <c r="CG67" s="1935" t="s">
        <v>7891</v>
      </c>
      <c r="CH67" s="1934" t="s">
        <v>7604</v>
      </c>
      <c r="CI67" s="1949" t="s">
        <v>7690</v>
      </c>
      <c r="CJ67" s="1935" t="s">
        <v>7892</v>
      </c>
      <c r="CK67" s="1934" t="s">
        <v>7605</v>
      </c>
      <c r="CL67" s="1988"/>
      <c r="CM67" s="1988"/>
      <c r="CN67" s="1922"/>
      <c r="CO67" s="1922"/>
      <c r="CP67" s="1922"/>
      <c r="CQ67" s="1922"/>
      <c r="CR67" s="1922"/>
      <c r="CS67" s="1922"/>
      <c r="CT67" s="1922"/>
      <c r="CU67" s="1922"/>
      <c r="CV67" s="1922"/>
      <c r="CW67" s="1922"/>
      <c r="CX67" s="1922"/>
      <c r="CY67" s="1922"/>
      <c r="CZ67" s="1922"/>
      <c r="DA67" s="1922"/>
      <c r="DB67" s="1922"/>
      <c r="DC67" s="1922"/>
      <c r="DD67" s="1922"/>
      <c r="DE67" s="1922"/>
      <c r="DF67" s="1922"/>
    </row>
    <row r="68" spans="1:110" customFormat="1">
      <c r="A68" s="1933" t="s">
        <v>7591</v>
      </c>
      <c r="B68" s="1934" t="s">
        <v>7360</v>
      </c>
      <c r="C68" s="3664" t="s">
        <v>7609</v>
      </c>
      <c r="D68" s="3650"/>
      <c r="E68" s="3650"/>
      <c r="F68" s="3663"/>
      <c r="G68" s="3662" t="s">
        <v>7610</v>
      </c>
      <c r="H68" s="3650"/>
      <c r="I68" s="3650"/>
      <c r="J68" s="3663"/>
      <c r="K68" s="3662" t="s">
        <v>7508</v>
      </c>
      <c r="L68" s="3650"/>
      <c r="M68" s="3650"/>
      <c r="N68" s="3650"/>
      <c r="O68" s="3663"/>
      <c r="P68" s="3662"/>
      <c r="Q68" s="3650"/>
      <c r="R68" s="3650"/>
      <c r="S68" s="3650"/>
      <c r="T68" s="3663"/>
      <c r="U68" s="3662"/>
      <c r="V68" s="3650"/>
      <c r="W68" s="3650"/>
      <c r="X68" s="3663"/>
      <c r="Y68" s="3662"/>
      <c r="Z68" s="3650"/>
      <c r="AA68" s="3650"/>
      <c r="AB68" s="3663"/>
      <c r="AC68" s="3662"/>
      <c r="AD68" s="3650"/>
      <c r="AE68" s="3650"/>
      <c r="AF68" s="3663"/>
      <c r="AG68" s="3697"/>
      <c r="AH68" s="3698"/>
      <c r="AI68" s="1933" t="s">
        <v>7591</v>
      </c>
      <c r="AJ68" s="1934" t="s">
        <v>7360</v>
      </c>
      <c r="AK68" s="3662"/>
      <c r="AL68" s="3650"/>
      <c r="AM68" s="3663"/>
      <c r="AN68" s="3702"/>
      <c r="AO68" s="3703"/>
      <c r="AP68" s="3662"/>
      <c r="AQ68" s="3650"/>
      <c r="AR68" s="3650"/>
      <c r="AS68" s="3650" t="s">
        <v>7476</v>
      </c>
      <c r="AT68" s="3663" t="s">
        <v>7527</v>
      </c>
      <c r="AU68" s="3662"/>
      <c r="AV68" s="3650"/>
      <c r="AW68" s="3650"/>
      <c r="AX68" s="3650"/>
      <c r="AY68" s="3663"/>
      <c r="AZ68" s="3662"/>
      <c r="BA68" s="3650"/>
      <c r="BB68" s="3650"/>
      <c r="BC68" s="3650"/>
      <c r="BD68" s="3663"/>
      <c r="BE68" s="3664"/>
      <c r="BF68" s="3650"/>
      <c r="BG68" s="3650"/>
      <c r="BH68" s="3650"/>
      <c r="BI68" s="3663"/>
      <c r="BJ68" s="1933" t="s">
        <v>7591</v>
      </c>
      <c r="BK68" s="1934" t="s">
        <v>7360</v>
      </c>
      <c r="BL68" s="1933" t="s">
        <v>7867</v>
      </c>
      <c r="BM68" s="1935" t="s">
        <v>7627</v>
      </c>
      <c r="BN68" s="1935" t="s">
        <v>7488</v>
      </c>
      <c r="BO68" s="1934" t="s">
        <v>7575</v>
      </c>
      <c r="BP68" s="1933" t="s">
        <v>7554</v>
      </c>
      <c r="BQ68" s="1935" t="s">
        <v>7599</v>
      </c>
      <c r="BR68" s="1935" t="s">
        <v>7560</v>
      </c>
      <c r="BS68" s="1934" t="s">
        <v>7611</v>
      </c>
      <c r="BT68" s="1933" t="s">
        <v>7872</v>
      </c>
      <c r="BU68" s="1935" t="s">
        <v>7534</v>
      </c>
      <c r="BV68" s="1934" t="s">
        <v>7562</v>
      </c>
      <c r="BW68" s="1933" t="s">
        <v>7887</v>
      </c>
      <c r="BX68" s="1935" t="s">
        <v>7630</v>
      </c>
      <c r="BY68" s="1934" t="s">
        <v>7602</v>
      </c>
      <c r="BZ68" s="1933" t="s">
        <v>7587</v>
      </c>
      <c r="CA68" s="1935" t="s">
        <v>7883</v>
      </c>
      <c r="CB68" s="1934" t="s">
        <v>7612</v>
      </c>
      <c r="CC68" s="1933" t="s">
        <v>7710</v>
      </c>
      <c r="CD68" s="1935" t="s">
        <v>7839</v>
      </c>
      <c r="CE68" s="1934" t="s">
        <v>7613</v>
      </c>
      <c r="CF68" s="1933" t="s">
        <v>7893</v>
      </c>
      <c r="CG68" s="1935" t="s">
        <v>7894</v>
      </c>
      <c r="CH68" s="1934" t="s">
        <v>7614</v>
      </c>
      <c r="CI68" s="1949" t="s">
        <v>7895</v>
      </c>
      <c r="CJ68" s="1935" t="s">
        <v>7896</v>
      </c>
      <c r="CK68" s="1934" t="s">
        <v>7615</v>
      </c>
      <c r="CL68" s="1988"/>
      <c r="CM68" s="1988"/>
      <c r="CN68" s="1922"/>
      <c r="CO68" s="1922"/>
      <c r="CP68" s="1922"/>
      <c r="CQ68" s="1922"/>
      <c r="CR68" s="1922"/>
      <c r="CS68" s="1922"/>
      <c r="CT68" s="1922"/>
      <c r="CU68" s="1922"/>
      <c r="CV68" s="1922"/>
      <c r="CW68" s="1922"/>
      <c r="CX68" s="1922"/>
      <c r="CY68" s="1922"/>
      <c r="CZ68" s="1922"/>
      <c r="DA68" s="1922"/>
      <c r="DB68" s="1922"/>
      <c r="DC68" s="1922"/>
      <c r="DD68" s="1922"/>
      <c r="DE68" s="1922"/>
      <c r="DF68" s="1922"/>
    </row>
    <row r="69" spans="1:110" customFormat="1">
      <c r="A69" s="1933" t="s">
        <v>7360</v>
      </c>
      <c r="B69" s="1934" t="s">
        <v>7363</v>
      </c>
      <c r="C69" s="3664" t="s">
        <v>7618</v>
      </c>
      <c r="D69" s="3650"/>
      <c r="E69" s="3650"/>
      <c r="F69" s="3663"/>
      <c r="G69" s="3662" t="s">
        <v>7619</v>
      </c>
      <c r="H69" s="3650"/>
      <c r="I69" s="3650"/>
      <c r="J69" s="3663"/>
      <c r="K69" s="3662" t="s">
        <v>7568</v>
      </c>
      <c r="L69" s="3650"/>
      <c r="M69" s="3650"/>
      <c r="N69" s="3650"/>
      <c r="O69" s="3663"/>
      <c r="P69" s="3662" t="s">
        <v>7569</v>
      </c>
      <c r="Q69" s="3650"/>
      <c r="R69" s="3650"/>
      <c r="S69" s="3650"/>
      <c r="T69" s="3663"/>
      <c r="U69" s="3662" t="s">
        <v>7620</v>
      </c>
      <c r="V69" s="3650"/>
      <c r="W69" s="3650"/>
      <c r="X69" s="3663"/>
      <c r="Y69" s="3662" t="s">
        <v>7621</v>
      </c>
      <c r="Z69" s="3650"/>
      <c r="AA69" s="3650"/>
      <c r="AB69" s="3663"/>
      <c r="AC69" s="3662" t="s">
        <v>7516</v>
      </c>
      <c r="AD69" s="3650"/>
      <c r="AE69" s="3650"/>
      <c r="AF69" s="3663"/>
      <c r="AG69" s="3697"/>
      <c r="AH69" s="3698"/>
      <c r="AI69" s="1933" t="s">
        <v>7360</v>
      </c>
      <c r="AJ69" s="1934" t="s">
        <v>7363</v>
      </c>
      <c r="AK69" s="3662" t="s">
        <v>7484</v>
      </c>
      <c r="AL69" s="3650" t="s">
        <v>7625</v>
      </c>
      <c r="AM69" s="3663" t="s">
        <v>7722</v>
      </c>
      <c r="AN69" s="3702"/>
      <c r="AO69" s="3703"/>
      <c r="AP69" s="3662"/>
      <c r="AQ69" s="3650" t="s">
        <v>7479</v>
      </c>
      <c r="AR69" s="3650"/>
      <c r="AS69" s="3650"/>
      <c r="AT69" s="3663"/>
      <c r="AU69" s="3662" t="s">
        <v>7573</v>
      </c>
      <c r="AV69" s="3650" t="s">
        <v>7549</v>
      </c>
      <c r="AW69" s="3650" t="s">
        <v>7484</v>
      </c>
      <c r="AX69" s="3650"/>
      <c r="AY69" s="3663" t="s">
        <v>7477</v>
      </c>
      <c r="AZ69" s="3662" t="s">
        <v>7532</v>
      </c>
      <c r="BA69" s="3650" t="s">
        <v>7860</v>
      </c>
      <c r="BB69" s="3650" t="s">
        <v>7485</v>
      </c>
      <c r="BC69" s="3650"/>
      <c r="BD69" s="3663"/>
      <c r="BE69" s="3664" t="s">
        <v>7488</v>
      </c>
      <c r="BF69" s="3650" t="s">
        <v>7801</v>
      </c>
      <c r="BG69" s="3650" t="s">
        <v>7862</v>
      </c>
      <c r="BH69" s="3650" t="s">
        <v>7627</v>
      </c>
      <c r="BI69" s="3663"/>
      <c r="BJ69" s="1933" t="s">
        <v>7360</v>
      </c>
      <c r="BK69" s="1934" t="s">
        <v>7363</v>
      </c>
      <c r="BL69" s="1933" t="s">
        <v>7871</v>
      </c>
      <c r="BM69" s="1935" t="s">
        <v>7796</v>
      </c>
      <c r="BN69" s="1935" t="s">
        <v>7867</v>
      </c>
      <c r="BO69" s="1934" t="s">
        <v>7628</v>
      </c>
      <c r="BP69" s="1933" t="s">
        <v>7600</v>
      </c>
      <c r="BQ69" s="1935" t="s">
        <v>7534</v>
      </c>
      <c r="BR69" s="1935" t="s">
        <v>7825</v>
      </c>
      <c r="BS69" s="1934" t="s">
        <v>7629</v>
      </c>
      <c r="BT69" s="1933" t="s">
        <v>7874</v>
      </c>
      <c r="BU69" s="1935" t="s">
        <v>7797</v>
      </c>
      <c r="BV69" s="1934" t="s">
        <v>7630</v>
      </c>
      <c r="BW69" s="1933" t="s">
        <v>7897</v>
      </c>
      <c r="BX69" s="1935" t="s">
        <v>7889</v>
      </c>
      <c r="BY69" s="1934" t="s">
        <v>7631</v>
      </c>
      <c r="BZ69" s="1933" t="s">
        <v>7898</v>
      </c>
      <c r="CA69" s="1935" t="s">
        <v>7891</v>
      </c>
      <c r="CB69" s="1934" t="s">
        <v>7613</v>
      </c>
      <c r="CC69" s="1933" t="s">
        <v>7899</v>
      </c>
      <c r="CD69" s="1935" t="s">
        <v>7900</v>
      </c>
      <c r="CE69" s="1934" t="s">
        <v>7632</v>
      </c>
      <c r="CF69" s="1933" t="s">
        <v>7901</v>
      </c>
      <c r="CG69" s="1935" t="s">
        <v>7902</v>
      </c>
      <c r="CH69" s="1934" t="s">
        <v>7633</v>
      </c>
      <c r="CI69" s="1949" t="s">
        <v>7903</v>
      </c>
      <c r="CJ69" s="1935" t="s">
        <v>7904</v>
      </c>
      <c r="CK69" s="1934" t="s">
        <v>7634</v>
      </c>
      <c r="CL69" s="1988"/>
      <c r="CM69" s="1988"/>
      <c r="CN69" s="1922"/>
      <c r="CO69" s="1922"/>
      <c r="CP69" s="1922"/>
      <c r="CQ69" s="1922"/>
      <c r="CR69" s="1922"/>
      <c r="CS69" s="1922"/>
      <c r="CT69" s="1922"/>
      <c r="CU69" s="1922"/>
      <c r="CV69" s="1922"/>
      <c r="CW69" s="1922"/>
      <c r="CX69" s="1922"/>
      <c r="CY69" s="1922"/>
      <c r="CZ69" s="1922"/>
      <c r="DA69" s="1922"/>
      <c r="DB69" s="1922"/>
      <c r="DC69" s="1922"/>
      <c r="DD69" s="1922"/>
      <c r="DE69" s="1922"/>
      <c r="DF69" s="1922"/>
    </row>
    <row r="70" spans="1:110" customFormat="1">
      <c r="A70" s="1933" t="s">
        <v>7363</v>
      </c>
      <c r="B70" s="1934" t="s">
        <v>7365</v>
      </c>
      <c r="C70" s="3664" t="s">
        <v>7638</v>
      </c>
      <c r="D70" s="3650"/>
      <c r="E70" s="3650"/>
      <c r="F70" s="3663"/>
      <c r="G70" s="3662" t="s">
        <v>7639</v>
      </c>
      <c r="H70" s="3650"/>
      <c r="I70" s="3650"/>
      <c r="J70" s="3663"/>
      <c r="K70" s="3662" t="s">
        <v>7583</v>
      </c>
      <c r="L70" s="3650"/>
      <c r="M70" s="3650"/>
      <c r="N70" s="3650"/>
      <c r="O70" s="3663"/>
      <c r="P70" s="3662"/>
      <c r="Q70" s="3650"/>
      <c r="R70" s="3650"/>
      <c r="S70" s="3650"/>
      <c r="T70" s="3663"/>
      <c r="U70" s="3662"/>
      <c r="V70" s="3650"/>
      <c r="W70" s="3650"/>
      <c r="X70" s="3663"/>
      <c r="Y70" s="3662"/>
      <c r="Z70" s="3650"/>
      <c r="AA70" s="3650"/>
      <c r="AB70" s="3663"/>
      <c r="AC70" s="3662"/>
      <c r="AD70" s="3650"/>
      <c r="AE70" s="3650"/>
      <c r="AF70" s="3663"/>
      <c r="AG70" s="3697"/>
      <c r="AH70" s="3698"/>
      <c r="AI70" s="1933" t="s">
        <v>7363</v>
      </c>
      <c r="AJ70" s="1934" t="s">
        <v>7365</v>
      </c>
      <c r="AK70" s="3662"/>
      <c r="AL70" s="3650"/>
      <c r="AM70" s="3663"/>
      <c r="AN70" s="3702"/>
      <c r="AO70" s="3703"/>
      <c r="AP70" s="3662"/>
      <c r="AQ70" s="3650"/>
      <c r="AR70" s="3650"/>
      <c r="AS70" s="3650" t="s">
        <v>7516</v>
      </c>
      <c r="AT70" s="3663" t="s">
        <v>7474</v>
      </c>
      <c r="AU70" s="3662"/>
      <c r="AV70" s="3650"/>
      <c r="AW70" s="3650"/>
      <c r="AX70" s="3650"/>
      <c r="AY70" s="3663"/>
      <c r="AZ70" s="3662"/>
      <c r="BA70" s="3650"/>
      <c r="BB70" s="3650"/>
      <c r="BC70" s="3650"/>
      <c r="BD70" s="3663"/>
      <c r="BE70" s="3664"/>
      <c r="BF70" s="3650"/>
      <c r="BG70" s="3650"/>
      <c r="BH70" s="3650"/>
      <c r="BI70" s="3663"/>
      <c r="BJ70" s="1933" t="s">
        <v>7363</v>
      </c>
      <c r="BK70" s="1934" t="s">
        <v>7365</v>
      </c>
      <c r="BL70" s="1933" t="s">
        <v>7880</v>
      </c>
      <c r="BM70" s="1935" t="s">
        <v>7553</v>
      </c>
      <c r="BN70" s="1935" t="s">
        <v>7552</v>
      </c>
      <c r="BO70" s="1934" t="s">
        <v>7554</v>
      </c>
      <c r="BP70" s="1933" t="s">
        <v>7905</v>
      </c>
      <c r="BQ70" s="1935" t="s">
        <v>7882</v>
      </c>
      <c r="BR70" s="1935" t="s">
        <v>7600</v>
      </c>
      <c r="BS70" s="1934" t="s">
        <v>7640</v>
      </c>
      <c r="BT70" s="1933" t="s">
        <v>7522</v>
      </c>
      <c r="BU70" s="1935" t="s">
        <v>7630</v>
      </c>
      <c r="BV70" s="1934" t="s">
        <v>7641</v>
      </c>
      <c r="BW70" s="1933" t="s">
        <v>7906</v>
      </c>
      <c r="BX70" s="1935" t="s">
        <v>7885</v>
      </c>
      <c r="BY70" s="1934" t="s">
        <v>7604</v>
      </c>
      <c r="BZ70" s="1933" t="s">
        <v>7900</v>
      </c>
      <c r="CA70" s="1935" t="s">
        <v>7907</v>
      </c>
      <c r="CB70" s="1934" t="s">
        <v>7605</v>
      </c>
      <c r="CC70" s="1933" t="s">
        <v>7908</v>
      </c>
      <c r="CD70" s="1935" t="s">
        <v>7909</v>
      </c>
      <c r="CE70" s="1934" t="s">
        <v>7615</v>
      </c>
      <c r="CF70" s="1933" t="s">
        <v>7910</v>
      </c>
      <c r="CG70" s="1935" t="s">
        <v>7911</v>
      </c>
      <c r="CH70" s="1934" t="s">
        <v>7642</v>
      </c>
      <c r="CI70" s="1949" t="s">
        <v>7912</v>
      </c>
      <c r="CJ70" s="1935" t="s">
        <v>7913</v>
      </c>
      <c r="CK70" s="1934" t="s">
        <v>7643</v>
      </c>
      <c r="CL70" s="1988"/>
      <c r="CM70" s="1988"/>
      <c r="CN70" s="1922"/>
      <c r="CO70" s="1922"/>
      <c r="CP70" s="1922"/>
      <c r="CQ70" s="1922"/>
      <c r="CR70" s="1922"/>
      <c r="CS70" s="1922"/>
      <c r="CT70" s="1922"/>
      <c r="CU70" s="1922"/>
      <c r="CV70" s="1922"/>
      <c r="CW70" s="1922"/>
      <c r="CX70" s="1922"/>
      <c r="CY70" s="1922"/>
      <c r="CZ70" s="1922"/>
      <c r="DA70" s="1922"/>
      <c r="DB70" s="1922"/>
      <c r="DC70" s="1922"/>
      <c r="DD70" s="1922"/>
      <c r="DE70" s="1922"/>
      <c r="DF70" s="1922"/>
    </row>
    <row r="71" spans="1:110" customFormat="1">
      <c r="A71" s="1933" t="s">
        <v>7365</v>
      </c>
      <c r="B71" s="1934" t="s">
        <v>7421</v>
      </c>
      <c r="C71" s="3664" t="s">
        <v>7647</v>
      </c>
      <c r="D71" s="3650"/>
      <c r="E71" s="3650"/>
      <c r="F71" s="3663"/>
      <c r="G71" s="3662" t="s">
        <v>7648</v>
      </c>
      <c r="H71" s="3650"/>
      <c r="I71" s="3650"/>
      <c r="J71" s="3663"/>
      <c r="K71" s="3662" t="s">
        <v>7610</v>
      </c>
      <c r="L71" s="3650"/>
      <c r="M71" s="3650"/>
      <c r="N71" s="3650"/>
      <c r="O71" s="3663"/>
      <c r="P71" s="3662" t="s">
        <v>7649</v>
      </c>
      <c r="Q71" s="3650"/>
      <c r="R71" s="3650"/>
      <c r="S71" s="3650"/>
      <c r="T71" s="3663"/>
      <c r="U71" s="3662" t="s">
        <v>7650</v>
      </c>
      <c r="V71" s="3650"/>
      <c r="W71" s="3650"/>
      <c r="X71" s="3663"/>
      <c r="Y71" s="3662" t="s">
        <v>7651</v>
      </c>
      <c r="Z71" s="3650"/>
      <c r="AA71" s="3650"/>
      <c r="AB71" s="3663"/>
      <c r="AC71" s="3662" t="s">
        <v>7475</v>
      </c>
      <c r="AD71" s="3650"/>
      <c r="AE71" s="3650"/>
      <c r="AF71" s="3663"/>
      <c r="AG71" s="3697"/>
      <c r="AH71" s="3698"/>
      <c r="AI71" s="1933" t="s">
        <v>7365</v>
      </c>
      <c r="AJ71" s="1934" t="s">
        <v>7421</v>
      </c>
      <c r="AK71" s="3662" t="s">
        <v>7530</v>
      </c>
      <c r="AL71" s="3650" t="s">
        <v>7486</v>
      </c>
      <c r="AM71" s="3663" t="s">
        <v>7551</v>
      </c>
      <c r="AN71" s="3702"/>
      <c r="AO71" s="3703"/>
      <c r="AP71" s="3662"/>
      <c r="AQ71" s="3650" t="s">
        <v>7854</v>
      </c>
      <c r="AR71" s="3650"/>
      <c r="AS71" s="3650"/>
      <c r="AT71" s="3663"/>
      <c r="AU71" s="3662" t="s">
        <v>7597</v>
      </c>
      <c r="AV71" s="3650" t="s">
        <v>7573</v>
      </c>
      <c r="AW71" s="3650" t="s">
        <v>7549</v>
      </c>
      <c r="AX71" s="3650"/>
      <c r="AY71" s="3663" t="s">
        <v>7515</v>
      </c>
      <c r="AZ71" s="3662" t="s">
        <v>7749</v>
      </c>
      <c r="BA71" s="3650" t="s">
        <v>7722</v>
      </c>
      <c r="BB71" s="3650" t="s">
        <v>7498</v>
      </c>
      <c r="BC71" s="3650"/>
      <c r="BD71" s="3663"/>
      <c r="BE71" s="3664" t="s">
        <v>7627</v>
      </c>
      <c r="BF71" s="3650" t="s">
        <v>7866</v>
      </c>
      <c r="BG71" s="3650" t="s">
        <v>7502</v>
      </c>
      <c r="BH71" s="3650" t="s">
        <v>7575</v>
      </c>
      <c r="BI71" s="3663"/>
      <c r="BJ71" s="1933" t="s">
        <v>7365</v>
      </c>
      <c r="BK71" s="1934" t="s">
        <v>7421</v>
      </c>
      <c r="BL71" s="1933" t="s">
        <v>7868</v>
      </c>
      <c r="BM71" s="1935" t="s">
        <v>7724</v>
      </c>
      <c r="BN71" s="1935" t="s">
        <v>7560</v>
      </c>
      <c r="BO71" s="1934" t="s">
        <v>7555</v>
      </c>
      <c r="BP71" s="1933" t="s">
        <v>7914</v>
      </c>
      <c r="BQ71" s="1935" t="s">
        <v>7877</v>
      </c>
      <c r="BR71" s="1935" t="s">
        <v>7539</v>
      </c>
      <c r="BS71" s="1934" t="s">
        <v>7656</v>
      </c>
      <c r="BT71" s="1933" t="s">
        <v>7915</v>
      </c>
      <c r="BU71" s="1935" t="s">
        <v>7878</v>
      </c>
      <c r="BV71" s="1934" t="s">
        <v>7603</v>
      </c>
      <c r="BW71" s="1933" t="s">
        <v>7894</v>
      </c>
      <c r="BX71" s="1935" t="s">
        <v>7798</v>
      </c>
      <c r="BY71" s="1934" t="s">
        <v>7657</v>
      </c>
      <c r="BZ71" s="1933" t="s">
        <v>7831</v>
      </c>
      <c r="CA71" s="1935" t="s">
        <v>7916</v>
      </c>
      <c r="CB71" s="1934" t="s">
        <v>7658</v>
      </c>
      <c r="CC71" s="1933" t="s">
        <v>7911</v>
      </c>
      <c r="CD71" s="1935" t="s">
        <v>7917</v>
      </c>
      <c r="CE71" s="1934" t="s">
        <v>7659</v>
      </c>
      <c r="CF71" s="1933" t="s">
        <v>7918</v>
      </c>
      <c r="CG71" s="1935" t="s">
        <v>7919</v>
      </c>
      <c r="CH71" s="1934" t="s">
        <v>7607</v>
      </c>
      <c r="CI71" s="1949" t="s">
        <v>7920</v>
      </c>
      <c r="CJ71" s="1935" t="s">
        <v>7693</v>
      </c>
      <c r="CK71" s="1934" t="s">
        <v>7660</v>
      </c>
      <c r="CL71" s="1988"/>
      <c r="CM71" s="1988"/>
      <c r="CN71" s="1922"/>
      <c r="CO71" s="1922"/>
      <c r="CP71" s="1922"/>
      <c r="CQ71" s="1922"/>
      <c r="CR71" s="1922"/>
      <c r="CS71" s="1922"/>
      <c r="CT71" s="1922"/>
      <c r="CU71" s="1922"/>
      <c r="CV71" s="1922"/>
      <c r="CW71" s="1922"/>
      <c r="CX71" s="1922"/>
      <c r="CY71" s="1922"/>
      <c r="CZ71" s="1922"/>
      <c r="DA71" s="1922"/>
      <c r="DB71" s="1922"/>
      <c r="DC71" s="1922"/>
      <c r="DD71" s="1922"/>
      <c r="DE71" s="1922"/>
      <c r="DF71" s="1922"/>
    </row>
    <row r="72" spans="1:110" customFormat="1">
      <c r="A72" s="1933" t="s">
        <v>7421</v>
      </c>
      <c r="B72" s="1934" t="s">
        <v>7369</v>
      </c>
      <c r="C72" s="3664" t="s">
        <v>7664</v>
      </c>
      <c r="D72" s="3650"/>
      <c r="E72" s="3650"/>
      <c r="F72" s="3663"/>
      <c r="G72" s="3662" t="s">
        <v>7507</v>
      </c>
      <c r="H72" s="3650"/>
      <c r="I72" s="3650"/>
      <c r="J72" s="3663"/>
      <c r="K72" s="3662" t="s">
        <v>7665</v>
      </c>
      <c r="L72" s="3650"/>
      <c r="M72" s="3650"/>
      <c r="N72" s="3650"/>
      <c r="O72" s="3663"/>
      <c r="P72" s="3662"/>
      <c r="Q72" s="3650"/>
      <c r="R72" s="3650"/>
      <c r="S72" s="3650"/>
      <c r="T72" s="3663"/>
      <c r="U72" s="3662"/>
      <c r="V72" s="3650"/>
      <c r="W72" s="3650"/>
      <c r="X72" s="3663"/>
      <c r="Y72" s="3662"/>
      <c r="Z72" s="3650"/>
      <c r="AA72" s="3650"/>
      <c r="AB72" s="3663"/>
      <c r="AC72" s="3662"/>
      <c r="AD72" s="3650"/>
      <c r="AE72" s="3650"/>
      <c r="AF72" s="3663"/>
      <c r="AG72" s="3697"/>
      <c r="AH72" s="3698"/>
      <c r="AI72" s="1933" t="s">
        <v>7421</v>
      </c>
      <c r="AJ72" s="1934" t="s">
        <v>7369</v>
      </c>
      <c r="AK72" s="3662"/>
      <c r="AL72" s="3650"/>
      <c r="AM72" s="3663"/>
      <c r="AN72" s="3702"/>
      <c r="AO72" s="3703"/>
      <c r="AP72" s="3662"/>
      <c r="AQ72" s="3650"/>
      <c r="AR72" s="3650"/>
      <c r="AS72" s="3650"/>
      <c r="AT72" s="3663"/>
      <c r="AU72" s="3662"/>
      <c r="AV72" s="3650"/>
      <c r="AW72" s="3650"/>
      <c r="AX72" s="3650"/>
      <c r="AY72" s="3663"/>
      <c r="AZ72" s="3662"/>
      <c r="BA72" s="3650"/>
      <c r="BB72" s="3650"/>
      <c r="BC72" s="3650"/>
      <c r="BD72" s="3663"/>
      <c r="BE72" s="3664"/>
      <c r="BF72" s="3650"/>
      <c r="BG72" s="3650"/>
      <c r="BH72" s="3650"/>
      <c r="BI72" s="3663"/>
      <c r="BJ72" s="1933" t="s">
        <v>7421</v>
      </c>
      <c r="BK72" s="1934" t="s">
        <v>7369</v>
      </c>
      <c r="BL72" s="1933" t="s">
        <v>7611</v>
      </c>
      <c r="BM72" s="1935" t="s">
        <v>7825</v>
      </c>
      <c r="BN72" s="1935" t="s">
        <v>7505</v>
      </c>
      <c r="BO72" s="1934" t="s">
        <v>7873</v>
      </c>
      <c r="BP72" s="1933" t="s">
        <v>7577</v>
      </c>
      <c r="BQ72" s="1935" t="s">
        <v>7921</v>
      </c>
      <c r="BR72" s="1935" t="s">
        <v>7877</v>
      </c>
      <c r="BS72" s="1934" t="s">
        <v>7666</v>
      </c>
      <c r="BT72" s="1933" t="s">
        <v>7886</v>
      </c>
      <c r="BU72" s="1935" t="s">
        <v>7922</v>
      </c>
      <c r="BV72" s="1934" t="s">
        <v>7667</v>
      </c>
      <c r="BW72" s="1933" t="s">
        <v>7923</v>
      </c>
      <c r="BX72" s="1935" t="s">
        <v>7802</v>
      </c>
      <c r="BY72" s="1934" t="s">
        <v>7668</v>
      </c>
      <c r="BZ72" s="1933" t="s">
        <v>7924</v>
      </c>
      <c r="CA72" s="1935" t="s">
        <v>7925</v>
      </c>
      <c r="CB72" s="1934" t="s">
        <v>7669</v>
      </c>
      <c r="CC72" s="1933" t="s">
        <v>7926</v>
      </c>
      <c r="CD72" s="1935" t="s">
        <v>7927</v>
      </c>
      <c r="CE72" s="1934" t="s">
        <v>7670</v>
      </c>
      <c r="CF72" s="1933" t="s">
        <v>7928</v>
      </c>
      <c r="CG72" s="1935" t="s">
        <v>7590</v>
      </c>
      <c r="CH72" s="1934" t="s">
        <v>7671</v>
      </c>
      <c r="CI72" s="1949" t="s">
        <v>7929</v>
      </c>
      <c r="CJ72" s="1935" t="s">
        <v>7644</v>
      </c>
      <c r="CK72" s="1934" t="s">
        <v>7672</v>
      </c>
      <c r="CL72" s="1988"/>
      <c r="CM72" s="1988"/>
      <c r="CN72" s="1922"/>
      <c r="CO72" s="1922"/>
      <c r="CP72" s="1922"/>
      <c r="CQ72" s="1922"/>
      <c r="CR72" s="1922"/>
      <c r="CS72" s="1922"/>
      <c r="CT72" s="1922"/>
      <c r="CU72" s="1922"/>
      <c r="CV72" s="1922"/>
      <c r="CW72" s="1922"/>
      <c r="CX72" s="1922"/>
      <c r="CY72" s="1922"/>
      <c r="CZ72" s="1922"/>
      <c r="DA72" s="1922"/>
      <c r="DB72" s="1922"/>
      <c r="DC72" s="1922"/>
      <c r="DD72" s="1922"/>
      <c r="DE72" s="1922"/>
      <c r="DF72" s="1922"/>
    </row>
    <row r="73" spans="1:110" customFormat="1">
      <c r="A73" s="1933" t="s">
        <v>7369</v>
      </c>
      <c r="B73" s="1934" t="s">
        <v>7408</v>
      </c>
      <c r="C73" s="3664" t="s">
        <v>7676</v>
      </c>
      <c r="D73" s="3650"/>
      <c r="E73" s="3650"/>
      <c r="F73" s="3663"/>
      <c r="G73" s="3662" t="s">
        <v>7567</v>
      </c>
      <c r="H73" s="3650"/>
      <c r="I73" s="3650"/>
      <c r="J73" s="3663"/>
      <c r="K73" s="3662" t="s">
        <v>7677</v>
      </c>
      <c r="L73" s="3650"/>
      <c r="M73" s="3650"/>
      <c r="N73" s="3650"/>
      <c r="O73" s="3663"/>
      <c r="P73" s="3662"/>
      <c r="Q73" s="3650"/>
      <c r="R73" s="3650"/>
      <c r="S73" s="3650"/>
      <c r="T73" s="3663"/>
      <c r="U73" s="3662"/>
      <c r="V73" s="3650"/>
      <c r="W73" s="3650"/>
      <c r="X73" s="3663"/>
      <c r="Y73" s="3662"/>
      <c r="Z73" s="3650"/>
      <c r="AA73" s="3650"/>
      <c r="AB73" s="3663"/>
      <c r="AC73" s="3662"/>
      <c r="AD73" s="3650"/>
      <c r="AE73" s="3650"/>
      <c r="AF73" s="3663"/>
      <c r="AG73" s="3697"/>
      <c r="AH73" s="3698"/>
      <c r="AI73" s="1933" t="s">
        <v>7369</v>
      </c>
      <c r="AJ73" s="1934" t="s">
        <v>7408</v>
      </c>
      <c r="AK73" s="3662"/>
      <c r="AL73" s="3650"/>
      <c r="AM73" s="3663"/>
      <c r="AN73" s="3702"/>
      <c r="AO73" s="3703"/>
      <c r="AP73" s="3662"/>
      <c r="AQ73" s="3650"/>
      <c r="AR73" s="3650"/>
      <c r="AS73" s="3650" t="s">
        <v>7514</v>
      </c>
      <c r="AT73" s="3663" t="s">
        <v>7622</v>
      </c>
      <c r="AU73" s="3662"/>
      <c r="AV73" s="3650"/>
      <c r="AW73" s="3650"/>
      <c r="AX73" s="3650"/>
      <c r="AY73" s="3663"/>
      <c r="AZ73" s="3662"/>
      <c r="BA73" s="3650"/>
      <c r="BB73" s="3650"/>
      <c r="BC73" s="3650"/>
      <c r="BD73" s="3663"/>
      <c r="BE73" s="3664"/>
      <c r="BF73" s="3650"/>
      <c r="BG73" s="3650"/>
      <c r="BH73" s="3650"/>
      <c r="BI73" s="3663"/>
      <c r="BJ73" s="1933" t="s">
        <v>7369</v>
      </c>
      <c r="BK73" s="1934" t="s">
        <v>7408</v>
      </c>
      <c r="BL73" s="1933" t="s">
        <v>7751</v>
      </c>
      <c r="BM73" s="1935" t="s">
        <v>7881</v>
      </c>
      <c r="BN73" s="1935" t="s">
        <v>7599</v>
      </c>
      <c r="BO73" s="1934" t="s">
        <v>7576</v>
      </c>
      <c r="BP73" s="1933" t="s">
        <v>7602</v>
      </c>
      <c r="BQ73" s="1935" t="s">
        <v>7930</v>
      </c>
      <c r="BR73" s="1935" t="s">
        <v>7921</v>
      </c>
      <c r="BS73" s="1934" t="s">
        <v>7540</v>
      </c>
      <c r="BT73" s="1933" t="s">
        <v>7898</v>
      </c>
      <c r="BU73" s="1935" t="s">
        <v>7885</v>
      </c>
      <c r="BV73" s="1934" t="s">
        <v>7613</v>
      </c>
      <c r="BW73" s="1933" t="s">
        <v>7908</v>
      </c>
      <c r="BX73" s="1935" t="s">
        <v>7831</v>
      </c>
      <c r="BY73" s="1934" t="s">
        <v>7615</v>
      </c>
      <c r="BZ73" s="1933" t="s">
        <v>7904</v>
      </c>
      <c r="CA73" s="1935" t="s">
        <v>7931</v>
      </c>
      <c r="CB73" s="1934" t="s">
        <v>7678</v>
      </c>
      <c r="CC73" s="1933" t="s">
        <v>7912</v>
      </c>
      <c r="CD73" s="1935" t="s">
        <v>7932</v>
      </c>
      <c r="CE73" s="1934" t="s">
        <v>7643</v>
      </c>
      <c r="CF73" s="1933" t="s">
        <v>7933</v>
      </c>
      <c r="CG73" s="1935" t="s">
        <v>7660</v>
      </c>
      <c r="CH73" s="1934" t="s">
        <v>7679</v>
      </c>
      <c r="CI73" s="1949" t="s">
        <v>7934</v>
      </c>
      <c r="CJ73" s="1935" t="s">
        <v>7799</v>
      </c>
      <c r="CK73" s="1934" t="s">
        <v>7680</v>
      </c>
      <c r="CL73" s="1988"/>
      <c r="CM73" s="1988"/>
      <c r="CN73" s="1922"/>
      <c r="CO73" s="1922"/>
      <c r="CP73" s="1922"/>
      <c r="CQ73" s="1922"/>
      <c r="CR73" s="1922"/>
      <c r="CS73" s="1922"/>
      <c r="CT73" s="1922"/>
      <c r="CU73" s="1922"/>
      <c r="CV73" s="1922"/>
      <c r="CW73" s="1922"/>
      <c r="CX73" s="1922"/>
      <c r="CY73" s="1922"/>
      <c r="CZ73" s="1922"/>
      <c r="DA73" s="1922"/>
      <c r="DB73" s="1922"/>
      <c r="DC73" s="1922"/>
      <c r="DD73" s="1922"/>
      <c r="DE73" s="1922"/>
      <c r="DF73" s="1922"/>
    </row>
    <row r="74" spans="1:110" customFormat="1">
      <c r="A74" s="1933" t="s">
        <v>7408</v>
      </c>
      <c r="B74" s="1934" t="s">
        <v>7368</v>
      </c>
      <c r="C74" s="3664" t="s">
        <v>7684</v>
      </c>
      <c r="D74" s="3650"/>
      <c r="E74" s="3650"/>
      <c r="F74" s="3663"/>
      <c r="G74" s="3662" t="s">
        <v>7592</v>
      </c>
      <c r="H74" s="3650"/>
      <c r="I74" s="3650"/>
      <c r="J74" s="3663"/>
      <c r="K74" s="3662" t="s">
        <v>7639</v>
      </c>
      <c r="L74" s="3650"/>
      <c r="M74" s="3650"/>
      <c r="N74" s="3650"/>
      <c r="O74" s="3663"/>
      <c r="P74" s="3662" t="s">
        <v>7568</v>
      </c>
      <c r="Q74" s="3650"/>
      <c r="R74" s="3650"/>
      <c r="S74" s="3650"/>
      <c r="T74" s="3663"/>
      <c r="U74" s="3662" t="s">
        <v>7594</v>
      </c>
      <c r="V74" s="3650"/>
      <c r="W74" s="3650"/>
      <c r="X74" s="3663"/>
      <c r="Y74" s="3662" t="s">
        <v>7525</v>
      </c>
      <c r="Z74" s="3650"/>
      <c r="AA74" s="3650"/>
      <c r="AB74" s="3663"/>
      <c r="AC74" s="3662" t="s">
        <v>7528</v>
      </c>
      <c r="AD74" s="3650"/>
      <c r="AE74" s="3650"/>
      <c r="AF74" s="3663"/>
      <c r="AG74" s="3697"/>
      <c r="AH74" s="3698"/>
      <c r="AI74" s="1933" t="s">
        <v>7408</v>
      </c>
      <c r="AJ74" s="1934" t="s">
        <v>7368</v>
      </c>
      <c r="AK74" s="3662" t="s">
        <v>7530</v>
      </c>
      <c r="AL74" s="3650" t="s">
        <v>7860</v>
      </c>
      <c r="AM74" s="3663" t="s">
        <v>7861</v>
      </c>
      <c r="AN74" s="3702"/>
      <c r="AO74" s="3703"/>
      <c r="AP74" s="3662" t="s">
        <v>7869</v>
      </c>
      <c r="AQ74" s="3650" t="s">
        <v>7479</v>
      </c>
      <c r="AR74" s="3650" t="s">
        <v>7494</v>
      </c>
      <c r="AS74" s="3650"/>
      <c r="AT74" s="3663"/>
      <c r="AU74" s="3662" t="s">
        <v>7625</v>
      </c>
      <c r="AV74" s="3650" t="s">
        <v>7597</v>
      </c>
      <c r="AW74" s="3650"/>
      <c r="AX74" s="3650"/>
      <c r="AY74" s="3663" t="s">
        <v>7570</v>
      </c>
      <c r="AZ74" s="3662" t="s">
        <v>7861</v>
      </c>
      <c r="BA74" s="3650" t="s">
        <v>7551</v>
      </c>
      <c r="BB74" s="3650" t="s">
        <v>7486</v>
      </c>
      <c r="BC74" s="3650" t="s">
        <v>7859</v>
      </c>
      <c r="BD74" s="3663"/>
      <c r="BE74" s="3664" t="s">
        <v>7796</v>
      </c>
      <c r="BF74" s="3650" t="s">
        <v>7552</v>
      </c>
      <c r="BG74" s="3650" t="s">
        <v>7533</v>
      </c>
      <c r="BH74" s="3650" t="s">
        <v>7505</v>
      </c>
      <c r="BI74" s="3663"/>
      <c r="BJ74" s="1933" t="s">
        <v>7408</v>
      </c>
      <c r="BK74" s="1934" t="s">
        <v>7368</v>
      </c>
      <c r="BL74" s="1933" t="s">
        <v>7629</v>
      </c>
      <c r="BM74" s="1935" t="s">
        <v>7576</v>
      </c>
      <c r="BN74" s="1935" t="s">
        <v>7490</v>
      </c>
      <c r="BO74" s="1934" t="s">
        <v>7539</v>
      </c>
      <c r="BP74" s="1933" t="s">
        <v>7888</v>
      </c>
      <c r="BQ74" s="1935" t="s">
        <v>7935</v>
      </c>
      <c r="BR74" s="1935" t="s">
        <v>7884</v>
      </c>
      <c r="BS74" s="1934" t="s">
        <v>7603</v>
      </c>
      <c r="BT74" s="1933" t="s">
        <v>7936</v>
      </c>
      <c r="BU74" s="1935" t="s">
        <v>7937</v>
      </c>
      <c r="BV74" s="1934" t="s">
        <v>7690</v>
      </c>
      <c r="BW74" s="1933" t="s">
        <v>7938</v>
      </c>
      <c r="BX74" s="1935" t="s">
        <v>7939</v>
      </c>
      <c r="BY74" s="1934" t="s">
        <v>7691</v>
      </c>
      <c r="BZ74" s="1933" t="s">
        <v>7940</v>
      </c>
      <c r="CA74" s="1935" t="s">
        <v>7941</v>
      </c>
      <c r="CB74" s="1934" t="s">
        <v>7692</v>
      </c>
      <c r="CC74" s="1933" t="s">
        <v>7942</v>
      </c>
      <c r="CD74" s="1935" t="s">
        <v>7928</v>
      </c>
      <c r="CE74" s="1934" t="s">
        <v>7693</v>
      </c>
      <c r="CF74" s="1933" t="s">
        <v>7943</v>
      </c>
      <c r="CG74" s="1935" t="s">
        <v>7929</v>
      </c>
      <c r="CH74" s="1934" t="s">
        <v>7694</v>
      </c>
      <c r="CI74" s="1949" t="s">
        <v>7944</v>
      </c>
      <c r="CJ74" s="1935" t="s">
        <v>7945</v>
      </c>
      <c r="CK74" s="1934" t="s">
        <v>7695</v>
      </c>
      <c r="CL74" s="1988"/>
      <c r="CM74" s="1988"/>
      <c r="CN74" s="1922"/>
      <c r="CO74" s="1922"/>
      <c r="CP74" s="1922"/>
      <c r="CQ74" s="1922"/>
      <c r="CR74" s="1922"/>
      <c r="CS74" s="1922"/>
      <c r="CT74" s="1922"/>
      <c r="CU74" s="1922"/>
      <c r="CV74" s="1922"/>
      <c r="CW74" s="1922"/>
      <c r="CX74" s="1922"/>
      <c r="CY74" s="1922"/>
      <c r="CZ74" s="1922"/>
      <c r="DA74" s="1922"/>
      <c r="DB74" s="1922"/>
      <c r="DC74" s="1922"/>
      <c r="DD74" s="1922"/>
      <c r="DE74" s="1922"/>
      <c r="DF74" s="1922"/>
    </row>
    <row r="75" spans="1:110" customFormat="1">
      <c r="A75" s="1933" t="s">
        <v>7368</v>
      </c>
      <c r="B75" s="1934" t="s">
        <v>7701</v>
      </c>
      <c r="C75" s="3664" t="s">
        <v>7702</v>
      </c>
      <c r="D75" s="3650"/>
      <c r="E75" s="3650"/>
      <c r="F75" s="3663"/>
      <c r="G75" s="3662" t="s">
        <v>7618</v>
      </c>
      <c r="H75" s="3650"/>
      <c r="I75" s="3650"/>
      <c r="J75" s="3663"/>
      <c r="K75" s="3662" t="s">
        <v>7648</v>
      </c>
      <c r="L75" s="3650"/>
      <c r="M75" s="3650"/>
      <c r="N75" s="3650"/>
      <c r="O75" s="3663"/>
      <c r="P75" s="3662"/>
      <c r="Q75" s="3650"/>
      <c r="R75" s="3650"/>
      <c r="S75" s="3650"/>
      <c r="T75" s="3663"/>
      <c r="U75" s="3662"/>
      <c r="V75" s="3650"/>
      <c r="W75" s="3650"/>
      <c r="X75" s="3663"/>
      <c r="Y75" s="3662"/>
      <c r="Z75" s="3650"/>
      <c r="AA75" s="3650"/>
      <c r="AB75" s="3663"/>
      <c r="AC75" s="3662"/>
      <c r="AD75" s="3650"/>
      <c r="AE75" s="3650"/>
      <c r="AF75" s="3663"/>
      <c r="AG75" s="3697"/>
      <c r="AH75" s="3698"/>
      <c r="AI75" s="1933" t="s">
        <v>7368</v>
      </c>
      <c r="AJ75" s="1934" t="s">
        <v>7701</v>
      </c>
      <c r="AK75" s="3662"/>
      <c r="AL75" s="3650"/>
      <c r="AM75" s="3663"/>
      <c r="AN75" s="3702"/>
      <c r="AO75" s="3703"/>
      <c r="AP75" s="3662"/>
      <c r="AQ75" s="3650"/>
      <c r="AR75" s="3650"/>
      <c r="AS75" s="3650"/>
      <c r="AT75" s="3663"/>
      <c r="AU75" s="3662"/>
      <c r="AV75" s="3650"/>
      <c r="AW75" s="3650"/>
      <c r="AX75" s="3650"/>
      <c r="AY75" s="3663"/>
      <c r="AZ75" s="3662"/>
      <c r="BA75" s="3650"/>
      <c r="BB75" s="3650"/>
      <c r="BC75" s="3650"/>
      <c r="BD75" s="3663"/>
      <c r="BE75" s="3664"/>
      <c r="BF75" s="3650"/>
      <c r="BG75" s="3650"/>
      <c r="BH75" s="3650"/>
      <c r="BI75" s="3663"/>
      <c r="BJ75" s="1933" t="s">
        <v>7368</v>
      </c>
      <c r="BK75" s="1934" t="s">
        <v>7701</v>
      </c>
      <c r="BL75" s="1933" t="s">
        <v>7905</v>
      </c>
      <c r="BM75" s="1935" t="s">
        <v>7629</v>
      </c>
      <c r="BN75" s="1935" t="s">
        <v>7555</v>
      </c>
      <c r="BO75" s="1934" t="s">
        <v>7506</v>
      </c>
      <c r="BP75" s="1933" t="s">
        <v>7631</v>
      </c>
      <c r="BQ75" s="1935" t="s">
        <v>7946</v>
      </c>
      <c r="BR75" s="1935" t="s">
        <v>7935</v>
      </c>
      <c r="BS75" s="1934" t="s">
        <v>7536</v>
      </c>
      <c r="BT75" s="1933" t="s">
        <v>7899</v>
      </c>
      <c r="BU75" s="1935" t="s">
        <v>7894</v>
      </c>
      <c r="BV75" s="1934" t="s">
        <v>7588</v>
      </c>
      <c r="BW75" s="1933" t="s">
        <v>7947</v>
      </c>
      <c r="BX75" s="1935" t="s">
        <v>7911</v>
      </c>
      <c r="BY75" s="1934" t="s">
        <v>7634</v>
      </c>
      <c r="BZ75" s="1933" t="s">
        <v>7948</v>
      </c>
      <c r="CA75" s="1935" t="s">
        <v>7918</v>
      </c>
      <c r="CB75" s="1934" t="s">
        <v>7643</v>
      </c>
      <c r="CC75" s="1933" t="s">
        <v>7949</v>
      </c>
      <c r="CD75" s="1935" t="s">
        <v>7950</v>
      </c>
      <c r="CE75" s="1934" t="s">
        <v>7703</v>
      </c>
      <c r="CF75" s="1933" t="s">
        <v>7951</v>
      </c>
      <c r="CG75" s="1935" t="s">
        <v>7952</v>
      </c>
      <c r="CH75" s="1934" t="s">
        <v>7661</v>
      </c>
      <c r="CI75" s="1949" t="s">
        <v>7953</v>
      </c>
      <c r="CJ75" s="1935" t="s">
        <v>7954</v>
      </c>
      <c r="CK75" s="1934" t="s">
        <v>7704</v>
      </c>
      <c r="CL75" s="1988"/>
      <c r="CM75" s="1988"/>
      <c r="CN75" s="1922"/>
      <c r="CO75" s="1922"/>
      <c r="CP75" s="1922"/>
      <c r="CQ75" s="1922"/>
      <c r="CR75" s="1922"/>
      <c r="CS75" s="1922"/>
      <c r="CT75" s="1922"/>
      <c r="CU75" s="1922"/>
      <c r="CV75" s="1922"/>
      <c r="CW75" s="1922"/>
      <c r="CX75" s="1922"/>
      <c r="CY75" s="1922"/>
      <c r="CZ75" s="1922"/>
      <c r="DA75" s="1922"/>
      <c r="DB75" s="1922"/>
      <c r="DC75" s="1922"/>
      <c r="DD75" s="1922"/>
      <c r="DE75" s="1922"/>
      <c r="DF75" s="1922"/>
    </row>
    <row r="76" spans="1:110" customFormat="1">
      <c r="A76" s="1933" t="s">
        <v>7701</v>
      </c>
      <c r="B76" s="1934" t="s">
        <v>7370</v>
      </c>
      <c r="C76" s="3664" t="s">
        <v>7708</v>
      </c>
      <c r="D76" s="3650"/>
      <c r="E76" s="3650"/>
      <c r="F76" s="3663"/>
      <c r="G76" s="3662" t="s">
        <v>7709</v>
      </c>
      <c r="H76" s="3650"/>
      <c r="I76" s="3650"/>
      <c r="J76" s="3663"/>
      <c r="K76" s="3662" t="s">
        <v>7507</v>
      </c>
      <c r="L76" s="3650"/>
      <c r="M76" s="3650"/>
      <c r="N76" s="3650"/>
      <c r="O76" s="3663"/>
      <c r="P76" s="3662"/>
      <c r="Q76" s="3650"/>
      <c r="R76" s="3650"/>
      <c r="S76" s="3650"/>
      <c r="T76" s="3663"/>
      <c r="U76" s="3662"/>
      <c r="V76" s="3650"/>
      <c r="W76" s="3650"/>
      <c r="X76" s="3663"/>
      <c r="Y76" s="3662"/>
      <c r="Z76" s="3650"/>
      <c r="AA76" s="3650"/>
      <c r="AB76" s="3663"/>
      <c r="AC76" s="3662"/>
      <c r="AD76" s="3650"/>
      <c r="AE76" s="3650"/>
      <c r="AF76" s="3663"/>
      <c r="AG76" s="3697"/>
      <c r="AH76" s="3698"/>
      <c r="AI76" s="1933" t="s">
        <v>7701</v>
      </c>
      <c r="AJ76" s="1934" t="s">
        <v>7370</v>
      </c>
      <c r="AK76" s="3662"/>
      <c r="AL76" s="3650"/>
      <c r="AM76" s="3663"/>
      <c r="AN76" s="3702"/>
      <c r="AO76" s="3703"/>
      <c r="AP76" s="3662"/>
      <c r="AQ76" s="3650"/>
      <c r="AR76" s="3650"/>
      <c r="AS76" s="3650" t="s">
        <v>7527</v>
      </c>
      <c r="AT76" s="3663" t="s">
        <v>7512</v>
      </c>
      <c r="AU76" s="3662"/>
      <c r="AV76" s="3650"/>
      <c r="AW76" s="3650"/>
      <c r="AX76" s="3650"/>
      <c r="AY76" s="3663"/>
      <c r="AZ76" s="3662"/>
      <c r="BA76" s="3650"/>
      <c r="BB76" s="3650"/>
      <c r="BC76" s="3650"/>
      <c r="BD76" s="3663"/>
      <c r="BE76" s="3664"/>
      <c r="BF76" s="3650"/>
      <c r="BG76" s="3650"/>
      <c r="BH76" s="3650"/>
      <c r="BI76" s="3663"/>
      <c r="BJ76" s="1933" t="s">
        <v>7701</v>
      </c>
      <c r="BK76" s="1934" t="s">
        <v>7370</v>
      </c>
      <c r="BL76" s="1933" t="s">
        <v>7797</v>
      </c>
      <c r="BM76" s="1935" t="s">
        <v>7562</v>
      </c>
      <c r="BN76" s="1935" t="s">
        <v>7521</v>
      </c>
      <c r="BO76" s="1934" t="s">
        <v>7874</v>
      </c>
      <c r="BP76" s="1933" t="s">
        <v>7667</v>
      </c>
      <c r="BQ76" s="1935" t="s">
        <v>7885</v>
      </c>
      <c r="BR76" s="1935" t="s">
        <v>7955</v>
      </c>
      <c r="BS76" s="1934" t="s">
        <v>7710</v>
      </c>
      <c r="BT76" s="1933" t="s">
        <v>7916</v>
      </c>
      <c r="BU76" s="1935" t="s">
        <v>7956</v>
      </c>
      <c r="BV76" s="1934" t="s">
        <v>7711</v>
      </c>
      <c r="BW76" s="1933" t="s">
        <v>7940</v>
      </c>
      <c r="BX76" s="1935" t="s">
        <v>7941</v>
      </c>
      <c r="BY76" s="1934" t="s">
        <v>7692</v>
      </c>
      <c r="BZ76" s="1933" t="s">
        <v>7957</v>
      </c>
      <c r="CA76" s="1935" t="s">
        <v>7958</v>
      </c>
      <c r="CB76" s="1934" t="s">
        <v>7671</v>
      </c>
      <c r="CC76" s="1933" t="s">
        <v>7943</v>
      </c>
      <c r="CD76" s="1935" t="s">
        <v>7929</v>
      </c>
      <c r="CE76" s="1934" t="s">
        <v>7694</v>
      </c>
      <c r="CF76" s="1933" t="s">
        <v>7944</v>
      </c>
      <c r="CG76" s="1935" t="s">
        <v>7945</v>
      </c>
      <c r="CH76" s="1934" t="s">
        <v>7695</v>
      </c>
      <c r="CI76" s="1949" t="s">
        <v>7959</v>
      </c>
      <c r="CJ76" s="1935" t="s">
        <v>7960</v>
      </c>
      <c r="CK76" s="1934" t="s">
        <v>7712</v>
      </c>
      <c r="CL76" s="1988"/>
      <c r="CM76" s="1988"/>
      <c r="CN76" s="1922"/>
      <c r="CO76" s="1922"/>
      <c r="CP76" s="1922"/>
      <c r="CQ76" s="1922"/>
      <c r="CR76" s="1922"/>
      <c r="CS76" s="1922"/>
      <c r="CT76" s="1922"/>
      <c r="CU76" s="1922"/>
      <c r="CV76" s="1922"/>
      <c r="CW76" s="1922"/>
      <c r="CX76" s="1922"/>
      <c r="CY76" s="1922"/>
      <c r="CZ76" s="1922"/>
      <c r="DA76" s="1922"/>
      <c r="DB76" s="1922"/>
      <c r="DC76" s="1922"/>
      <c r="DD76" s="1922"/>
      <c r="DE76" s="1922"/>
      <c r="DF76" s="1922"/>
    </row>
    <row r="77" spans="1:110" customFormat="1">
      <c r="A77" s="1933" t="s">
        <v>7370</v>
      </c>
      <c r="B77" s="1934" t="s">
        <v>7716</v>
      </c>
      <c r="C77" s="3664" t="s">
        <v>7717</v>
      </c>
      <c r="D77" s="3650"/>
      <c r="E77" s="3650"/>
      <c r="F77" s="3663"/>
      <c r="G77" s="3662" t="s">
        <v>7718</v>
      </c>
      <c r="H77" s="3650"/>
      <c r="I77" s="3650"/>
      <c r="J77" s="3663"/>
      <c r="K77" s="3662" t="s">
        <v>7543</v>
      </c>
      <c r="L77" s="3650"/>
      <c r="M77" s="3650"/>
      <c r="N77" s="3650"/>
      <c r="O77" s="3663"/>
      <c r="P77" s="3662" t="s">
        <v>7593</v>
      </c>
      <c r="Q77" s="3650"/>
      <c r="R77" s="3650"/>
      <c r="S77" s="3650"/>
      <c r="T77" s="3663"/>
      <c r="U77" s="3662" t="s">
        <v>7545</v>
      </c>
      <c r="V77" s="3650"/>
      <c r="W77" s="3650"/>
      <c r="X77" s="3663"/>
      <c r="Y77" s="3662" t="s">
        <v>7510</v>
      </c>
      <c r="Z77" s="3650"/>
      <c r="AA77" s="3650"/>
      <c r="AB77" s="3663"/>
      <c r="AC77" s="3662" t="s">
        <v>7719</v>
      </c>
      <c r="AD77" s="3650"/>
      <c r="AE77" s="3650"/>
      <c r="AF77" s="3663"/>
      <c r="AG77" s="3697"/>
      <c r="AH77" s="3698"/>
      <c r="AI77" s="1933" t="s">
        <v>7370</v>
      </c>
      <c r="AJ77" s="1934" t="s">
        <v>7716</v>
      </c>
      <c r="AK77" s="3662" t="s">
        <v>7530</v>
      </c>
      <c r="AL77" s="3650" t="s">
        <v>7860</v>
      </c>
      <c r="AM77" s="3663" t="s">
        <v>7487</v>
      </c>
      <c r="AN77" s="3702"/>
      <c r="AO77" s="3703"/>
      <c r="AP77" s="3662"/>
      <c r="AQ77" s="3650" t="s">
        <v>7854</v>
      </c>
      <c r="AR77" s="3650"/>
      <c r="AS77" s="3650"/>
      <c r="AT77" s="3663"/>
      <c r="AU77" s="3662" t="s">
        <v>7860</v>
      </c>
      <c r="AV77" s="3650" t="s">
        <v>7625</v>
      </c>
      <c r="AW77" s="3650" t="s">
        <v>7573</v>
      </c>
      <c r="AX77" s="3650"/>
      <c r="AY77" s="3663"/>
      <c r="AZ77" s="3662" t="s">
        <v>7870</v>
      </c>
      <c r="BA77" s="3650" t="s">
        <v>7861</v>
      </c>
      <c r="BB77" s="3650" t="s">
        <v>7486</v>
      </c>
      <c r="BC77" s="3650"/>
      <c r="BD77" s="3663"/>
      <c r="BE77" s="3664" t="s">
        <v>7880</v>
      </c>
      <c r="BF77" s="3650" t="s">
        <v>7553</v>
      </c>
      <c r="BG77" s="3650" t="s">
        <v>7866</v>
      </c>
      <c r="BH77" s="3650" t="s">
        <v>7724</v>
      </c>
      <c r="BI77" s="3663"/>
      <c r="BJ77" s="1933" t="s">
        <v>7370</v>
      </c>
      <c r="BK77" s="1934" t="s">
        <v>7716</v>
      </c>
      <c r="BL77" s="1933" t="s">
        <v>7601</v>
      </c>
      <c r="BM77" s="1935" t="s">
        <v>7877</v>
      </c>
      <c r="BN77" s="1935" t="s">
        <v>7905</v>
      </c>
      <c r="BO77" s="1934" t="s">
        <v>7577</v>
      </c>
      <c r="BP77" s="1933" t="s">
        <v>7961</v>
      </c>
      <c r="BQ77" s="1935" t="s">
        <v>7937</v>
      </c>
      <c r="BR77" s="1935" t="s">
        <v>7890</v>
      </c>
      <c r="BS77" s="1934" t="s">
        <v>7725</v>
      </c>
      <c r="BT77" s="1933" t="s">
        <v>7962</v>
      </c>
      <c r="BU77" s="1935" t="s">
        <v>7963</v>
      </c>
      <c r="BV77" s="1934" t="s">
        <v>7566</v>
      </c>
      <c r="BW77" s="1933" t="s">
        <v>7964</v>
      </c>
      <c r="BX77" s="1935" t="s">
        <v>7932</v>
      </c>
      <c r="BY77" s="1934" t="s">
        <v>7726</v>
      </c>
      <c r="BZ77" s="1933" t="s">
        <v>7949</v>
      </c>
      <c r="CA77" s="1935" t="s">
        <v>7660</v>
      </c>
      <c r="CB77" s="1934" t="s">
        <v>7703</v>
      </c>
      <c r="CC77" s="1933" t="s">
        <v>7965</v>
      </c>
      <c r="CD77" s="1935" t="s">
        <v>7966</v>
      </c>
      <c r="CE77" s="1934" t="s">
        <v>7727</v>
      </c>
      <c r="CF77" s="1933" t="s">
        <v>7967</v>
      </c>
      <c r="CG77" s="1935" t="s">
        <v>7805</v>
      </c>
      <c r="CH77" s="1934" t="s">
        <v>7728</v>
      </c>
      <c r="CI77" s="1949" t="s">
        <v>7968</v>
      </c>
      <c r="CJ77" s="1935" t="s">
        <v>7646</v>
      </c>
      <c r="CK77" s="1934" t="s">
        <v>7729</v>
      </c>
      <c r="CL77" s="1988"/>
      <c r="CM77" s="1988"/>
      <c r="CN77" s="1922"/>
      <c r="CO77" s="1922"/>
      <c r="CP77" s="1922"/>
      <c r="CQ77" s="1922"/>
      <c r="CR77" s="1922"/>
      <c r="CS77" s="1922"/>
      <c r="CT77" s="1922"/>
      <c r="CU77" s="1922"/>
      <c r="CV77" s="1922"/>
      <c r="CW77" s="1922"/>
      <c r="CX77" s="1922"/>
      <c r="CY77" s="1922"/>
      <c r="CZ77" s="1922"/>
      <c r="DA77" s="1922"/>
      <c r="DB77" s="1922"/>
      <c r="DC77" s="1922"/>
      <c r="DD77" s="1922"/>
      <c r="DE77" s="1922"/>
      <c r="DF77" s="1922"/>
    </row>
    <row r="78" spans="1:110" customFormat="1">
      <c r="A78" s="1933" t="s">
        <v>7716</v>
      </c>
      <c r="B78" s="1934" t="s">
        <v>7414</v>
      </c>
      <c r="C78" s="3664" t="s">
        <v>7733</v>
      </c>
      <c r="D78" s="3650"/>
      <c r="E78" s="3650"/>
      <c r="F78" s="3663"/>
      <c r="G78" s="3662" t="s">
        <v>7734</v>
      </c>
      <c r="H78" s="3650"/>
      <c r="I78" s="3650"/>
      <c r="J78" s="3663"/>
      <c r="K78" s="3662" t="s">
        <v>7735</v>
      </c>
      <c r="L78" s="3650"/>
      <c r="M78" s="3650"/>
      <c r="N78" s="3650"/>
      <c r="O78" s="3663"/>
      <c r="P78" s="3662"/>
      <c r="Q78" s="3650"/>
      <c r="R78" s="3650"/>
      <c r="S78" s="3650"/>
      <c r="T78" s="3663"/>
      <c r="U78" s="3662"/>
      <c r="V78" s="3650"/>
      <c r="W78" s="3650"/>
      <c r="X78" s="3663"/>
      <c r="Y78" s="3662"/>
      <c r="Z78" s="3650"/>
      <c r="AA78" s="3650"/>
      <c r="AB78" s="3663"/>
      <c r="AC78" s="3662"/>
      <c r="AD78" s="3650"/>
      <c r="AE78" s="3650"/>
      <c r="AF78" s="3663"/>
      <c r="AG78" s="3697"/>
      <c r="AH78" s="3698"/>
      <c r="AI78" s="1933" t="s">
        <v>7716</v>
      </c>
      <c r="AJ78" s="1934" t="s">
        <v>7414</v>
      </c>
      <c r="AK78" s="3662"/>
      <c r="AL78" s="3650"/>
      <c r="AM78" s="3663"/>
      <c r="AN78" s="3702"/>
      <c r="AO78" s="3703"/>
      <c r="AP78" s="3662"/>
      <c r="AQ78" s="3650"/>
      <c r="AR78" s="3650"/>
      <c r="AS78" s="3650" t="s">
        <v>7719</v>
      </c>
      <c r="AT78" s="3663" t="s">
        <v>7595</v>
      </c>
      <c r="AU78" s="3662"/>
      <c r="AV78" s="3650"/>
      <c r="AW78" s="3650"/>
      <c r="AX78" s="3650"/>
      <c r="AY78" s="3663"/>
      <c r="AZ78" s="3662"/>
      <c r="BA78" s="3650"/>
      <c r="BB78" s="3650"/>
      <c r="BC78" s="3650"/>
      <c r="BD78" s="3663"/>
      <c r="BE78" s="3664"/>
      <c r="BF78" s="3650"/>
      <c r="BG78" s="3650"/>
      <c r="BH78" s="3650"/>
      <c r="BI78" s="3663"/>
      <c r="BJ78" s="1933" t="s">
        <v>7716</v>
      </c>
      <c r="BK78" s="1934" t="s">
        <v>7414</v>
      </c>
      <c r="BL78" s="1933" t="s">
        <v>7630</v>
      </c>
      <c r="BM78" s="1935" t="s">
        <v>7876</v>
      </c>
      <c r="BN78" s="1935" t="s">
        <v>7797</v>
      </c>
      <c r="BO78" s="1934" t="s">
        <v>7557</v>
      </c>
      <c r="BP78" s="1933" t="s">
        <v>7894</v>
      </c>
      <c r="BQ78" s="1935" t="s">
        <v>7892</v>
      </c>
      <c r="BR78" s="1935" t="s">
        <v>7541</v>
      </c>
      <c r="BS78" s="1934" t="s">
        <v>7657</v>
      </c>
      <c r="BT78" s="1933" t="s">
        <v>7969</v>
      </c>
      <c r="BU78" s="1935" t="s">
        <v>7811</v>
      </c>
      <c r="BV78" s="1934" t="s">
        <v>7736</v>
      </c>
      <c r="BW78" s="1933" t="s">
        <v>7942</v>
      </c>
      <c r="BX78" s="1935" t="s">
        <v>7781</v>
      </c>
      <c r="BY78" s="1934" t="s">
        <v>7693</v>
      </c>
      <c r="BZ78" s="1933" t="s">
        <v>7943</v>
      </c>
      <c r="CA78" s="1935" t="s">
        <v>7608</v>
      </c>
      <c r="CB78" s="1934" t="s">
        <v>7694</v>
      </c>
      <c r="CC78" s="1933" t="s">
        <v>7970</v>
      </c>
      <c r="CD78" s="1935" t="s">
        <v>7971</v>
      </c>
      <c r="CE78" s="1934" t="s">
        <v>7645</v>
      </c>
      <c r="CF78" s="1933" t="s">
        <v>7972</v>
      </c>
      <c r="CG78" s="1935" t="s">
        <v>7973</v>
      </c>
      <c r="CH78" s="1934" t="s">
        <v>7737</v>
      </c>
      <c r="CI78" s="1949" t="s">
        <v>7974</v>
      </c>
      <c r="CJ78" s="1935" t="s">
        <v>7975</v>
      </c>
      <c r="CK78" s="1934" t="s">
        <v>7738</v>
      </c>
      <c r="CL78" s="1988"/>
      <c r="CM78" s="1988"/>
      <c r="CN78" s="1922"/>
      <c r="CO78" s="1922"/>
      <c r="CP78" s="1922"/>
      <c r="CQ78" s="1922"/>
      <c r="CR78" s="1922"/>
      <c r="CS78" s="1922"/>
      <c r="CT78" s="1922"/>
      <c r="CU78" s="1922"/>
      <c r="CV78" s="1922"/>
      <c r="CW78" s="1922"/>
      <c r="CX78" s="1922"/>
      <c r="CY78" s="1922"/>
      <c r="CZ78" s="1922"/>
      <c r="DA78" s="1922"/>
      <c r="DB78" s="1922"/>
      <c r="DC78" s="1922"/>
      <c r="DD78" s="1922"/>
      <c r="DE78" s="1922"/>
      <c r="DF78" s="1922"/>
    </row>
    <row r="79" spans="1:110" customFormat="1">
      <c r="A79" s="1933" t="s">
        <v>7414</v>
      </c>
      <c r="B79" s="1934" t="s">
        <v>7741</v>
      </c>
      <c r="C79" s="3664" t="s">
        <v>7742</v>
      </c>
      <c r="D79" s="3650"/>
      <c r="E79" s="3650"/>
      <c r="F79" s="3663"/>
      <c r="G79" s="3662" t="s">
        <v>7743</v>
      </c>
      <c r="H79" s="3650"/>
      <c r="I79" s="3650"/>
      <c r="J79" s="3663"/>
      <c r="K79" s="3662" t="s">
        <v>7609</v>
      </c>
      <c r="L79" s="3650"/>
      <c r="M79" s="3650"/>
      <c r="N79" s="3650"/>
      <c r="O79" s="3663"/>
      <c r="P79" s="3662" t="s">
        <v>7665</v>
      </c>
      <c r="Q79" s="3650"/>
      <c r="R79" s="3650"/>
      <c r="S79" s="3650"/>
      <c r="T79" s="3663"/>
      <c r="U79" s="3662" t="s">
        <v>7744</v>
      </c>
      <c r="V79" s="3650"/>
      <c r="W79" s="3650"/>
      <c r="X79" s="3663"/>
      <c r="Y79" s="3662" t="s">
        <v>7745</v>
      </c>
      <c r="Z79" s="3650"/>
      <c r="AA79" s="3650"/>
      <c r="AB79" s="3663"/>
      <c r="AC79" s="3662" t="s">
        <v>7513</v>
      </c>
      <c r="AD79" s="3650"/>
      <c r="AE79" s="3650"/>
      <c r="AF79" s="3663"/>
      <c r="AG79" s="3697"/>
      <c r="AH79" s="3698"/>
      <c r="AI79" s="1933" t="s">
        <v>7414</v>
      </c>
      <c r="AJ79" s="1934" t="s">
        <v>7741</v>
      </c>
      <c r="AK79" s="3662" t="s">
        <v>7530</v>
      </c>
      <c r="AL79" s="3650" t="s">
        <v>7532</v>
      </c>
      <c r="AM79" s="3663" t="s">
        <v>7875</v>
      </c>
      <c r="AN79" s="3702"/>
      <c r="AO79" s="3703"/>
      <c r="AP79" s="3662" t="s">
        <v>7864</v>
      </c>
      <c r="AQ79" s="3650"/>
      <c r="AR79" s="3650" t="s">
        <v>7547</v>
      </c>
      <c r="AS79" s="3650"/>
      <c r="AT79" s="3663"/>
      <c r="AU79" s="3662"/>
      <c r="AV79" s="3650" t="s">
        <v>7486</v>
      </c>
      <c r="AW79" s="3650" t="s">
        <v>7485</v>
      </c>
      <c r="AX79" s="3650"/>
      <c r="AY79" s="3663" t="s">
        <v>7976</v>
      </c>
      <c r="AZ79" s="3662" t="s">
        <v>7801</v>
      </c>
      <c r="BA79" s="3650" t="s">
        <v>7487</v>
      </c>
      <c r="BB79" s="3650" t="s">
        <v>7860</v>
      </c>
      <c r="BC79" s="3650"/>
      <c r="BD79" s="3663"/>
      <c r="BE79" s="3664" t="s">
        <v>7561</v>
      </c>
      <c r="BF79" s="3650" t="s">
        <v>7628</v>
      </c>
      <c r="BG79" s="3650" t="s">
        <v>7552</v>
      </c>
      <c r="BH79" s="3650" t="s">
        <v>7751</v>
      </c>
      <c r="BI79" s="3663"/>
      <c r="BJ79" s="1933" t="s">
        <v>7414</v>
      </c>
      <c r="BK79" s="1934" t="s">
        <v>7741</v>
      </c>
      <c r="BL79" s="1933" t="s">
        <v>7930</v>
      </c>
      <c r="BM79" s="1935" t="s">
        <v>7522</v>
      </c>
      <c r="BN79" s="1935" t="s">
        <v>7601</v>
      </c>
      <c r="BO79" s="1934" t="s">
        <v>7540</v>
      </c>
      <c r="BP79" s="1933" t="s">
        <v>7923</v>
      </c>
      <c r="BQ79" s="1935" t="s">
        <v>7956</v>
      </c>
      <c r="BR79" s="1935" t="s">
        <v>7977</v>
      </c>
      <c r="BS79" s="1934" t="s">
        <v>7668</v>
      </c>
      <c r="BT79" s="1933" t="s">
        <v>7978</v>
      </c>
      <c r="BU79" s="1935" t="s">
        <v>7910</v>
      </c>
      <c r="BV79" s="1934" t="s">
        <v>7752</v>
      </c>
      <c r="BW79" s="1933" t="s">
        <v>7979</v>
      </c>
      <c r="BX79" s="1935" t="s">
        <v>7980</v>
      </c>
      <c r="BY79" s="1934" t="s">
        <v>7753</v>
      </c>
      <c r="BZ79" s="1933" t="s">
        <v>7981</v>
      </c>
      <c r="CA79" s="1935" t="s">
        <v>7982</v>
      </c>
      <c r="CB79" s="1934" t="s">
        <v>7727</v>
      </c>
      <c r="CC79" s="1933" t="s">
        <v>7983</v>
      </c>
      <c r="CD79" s="1935" t="s">
        <v>7984</v>
      </c>
      <c r="CE79" s="1934" t="s">
        <v>7754</v>
      </c>
      <c r="CF79" s="1933" t="s">
        <v>7985</v>
      </c>
      <c r="CG79" s="1935" t="s">
        <v>7986</v>
      </c>
      <c r="CH79" s="1934" t="s">
        <v>7755</v>
      </c>
      <c r="CI79" s="1949" t="s">
        <v>7987</v>
      </c>
      <c r="CJ79" s="1935" t="s">
        <v>7988</v>
      </c>
      <c r="CK79" s="1934" t="s">
        <v>7675</v>
      </c>
      <c r="CL79" s="1988"/>
      <c r="CM79" s="1988"/>
      <c r="CN79" s="1922"/>
      <c r="CO79" s="1922"/>
      <c r="CP79" s="1922"/>
      <c r="CQ79" s="1922"/>
      <c r="CR79" s="1922"/>
      <c r="CS79" s="1922"/>
      <c r="CT79" s="1922"/>
      <c r="CU79" s="1922"/>
      <c r="CV79" s="1922"/>
      <c r="CW79" s="1922"/>
      <c r="CX79" s="1922"/>
      <c r="CY79" s="1922"/>
      <c r="CZ79" s="1922"/>
      <c r="DA79" s="1922"/>
      <c r="DB79" s="1922"/>
      <c r="DC79" s="1922"/>
      <c r="DD79" s="1922"/>
      <c r="DE79" s="1922"/>
      <c r="DF79" s="1922"/>
    </row>
    <row r="80" spans="1:110" customFormat="1">
      <c r="A80" s="1933" t="s">
        <v>7741</v>
      </c>
      <c r="B80" s="1934" t="s">
        <v>7372</v>
      </c>
      <c r="C80" s="3664" t="s">
        <v>7758</v>
      </c>
      <c r="D80" s="3650"/>
      <c r="E80" s="3650"/>
      <c r="F80" s="3663"/>
      <c r="G80" s="3662" t="s">
        <v>7759</v>
      </c>
      <c r="H80" s="3650"/>
      <c r="I80" s="3650"/>
      <c r="J80" s="3663"/>
      <c r="K80" s="3662" t="s">
        <v>7760</v>
      </c>
      <c r="L80" s="3650"/>
      <c r="M80" s="3650"/>
      <c r="N80" s="3650"/>
      <c r="O80" s="3663"/>
      <c r="P80" s="3662"/>
      <c r="Q80" s="3650"/>
      <c r="R80" s="3650"/>
      <c r="S80" s="3650"/>
      <c r="T80" s="3663"/>
      <c r="U80" s="3662"/>
      <c r="V80" s="3650"/>
      <c r="W80" s="3650"/>
      <c r="X80" s="3663"/>
      <c r="Y80" s="3662"/>
      <c r="Z80" s="3650"/>
      <c r="AA80" s="3650"/>
      <c r="AB80" s="3663"/>
      <c r="AC80" s="3662"/>
      <c r="AD80" s="3650"/>
      <c r="AE80" s="3650"/>
      <c r="AF80" s="3663"/>
      <c r="AG80" s="3697"/>
      <c r="AH80" s="3698"/>
      <c r="AI80" s="1933" t="s">
        <v>7741</v>
      </c>
      <c r="AJ80" s="1934" t="s">
        <v>7372</v>
      </c>
      <c r="AK80" s="3662"/>
      <c r="AL80" s="3650"/>
      <c r="AM80" s="3663"/>
      <c r="AN80" s="3702"/>
      <c r="AO80" s="3703"/>
      <c r="AP80" s="3662"/>
      <c r="AQ80" s="3650"/>
      <c r="AR80" s="3620"/>
      <c r="AS80" s="3650" t="s">
        <v>7513</v>
      </c>
      <c r="AT80" s="3663" t="s">
        <v>7746</v>
      </c>
      <c r="AU80" s="3662"/>
      <c r="AV80" s="3650"/>
      <c r="AW80" s="3650"/>
      <c r="AX80" s="3650"/>
      <c r="AY80" s="3663"/>
      <c r="AZ80" s="3662"/>
      <c r="BA80" s="3650"/>
      <c r="BB80" s="3650"/>
      <c r="BC80" s="3650"/>
      <c r="BD80" s="3663"/>
      <c r="BE80" s="3664"/>
      <c r="BF80" s="3650"/>
      <c r="BG80" s="3650"/>
      <c r="BH80" s="3650"/>
      <c r="BI80" s="3663"/>
      <c r="BJ80" s="1933" t="s">
        <v>7741</v>
      </c>
      <c r="BK80" s="1934" t="s">
        <v>7372</v>
      </c>
      <c r="BL80" s="1933" t="s">
        <v>7878</v>
      </c>
      <c r="BM80" s="1935" t="s">
        <v>7879</v>
      </c>
      <c r="BN80" s="1935" t="s">
        <v>7921</v>
      </c>
      <c r="BO80" s="1934" t="s">
        <v>7989</v>
      </c>
      <c r="BP80" s="1933" t="s">
        <v>7902</v>
      </c>
      <c r="BQ80" s="1935" t="s">
        <v>7909</v>
      </c>
      <c r="BR80" s="1935" t="s">
        <v>7916</v>
      </c>
      <c r="BS80" s="1934" t="s">
        <v>7761</v>
      </c>
      <c r="BT80" s="1933" t="s">
        <v>7990</v>
      </c>
      <c r="BU80" s="1935" t="s">
        <v>7926</v>
      </c>
      <c r="BV80" s="1934" t="s">
        <v>7762</v>
      </c>
      <c r="BW80" s="1933" t="s">
        <v>7991</v>
      </c>
      <c r="BX80" s="1935" t="s">
        <v>7992</v>
      </c>
      <c r="BY80" s="1934" t="s">
        <v>7763</v>
      </c>
      <c r="BZ80" s="1933" t="s">
        <v>7993</v>
      </c>
      <c r="CA80" s="1935" t="s">
        <v>7994</v>
      </c>
      <c r="CB80" s="1934" t="s">
        <v>7764</v>
      </c>
      <c r="CC80" s="1933" t="s">
        <v>7995</v>
      </c>
      <c r="CD80" s="1935" t="s">
        <v>7996</v>
      </c>
      <c r="CE80" s="1934" t="s">
        <v>7765</v>
      </c>
      <c r="CF80" s="1933" t="s">
        <v>7997</v>
      </c>
      <c r="CG80" s="1935" t="s">
        <v>7998</v>
      </c>
      <c r="CH80" s="1934" t="s">
        <v>7713</v>
      </c>
      <c r="CI80" s="1949" t="s">
        <v>7999</v>
      </c>
      <c r="CJ80" s="1935" t="s">
        <v>8000</v>
      </c>
      <c r="CK80" s="1934" t="s">
        <v>7683</v>
      </c>
      <c r="CL80" s="1988"/>
      <c r="CM80" s="1988"/>
      <c r="CN80" s="1922"/>
      <c r="CO80" s="1922"/>
      <c r="CP80" s="1922"/>
      <c r="CQ80" s="1922"/>
      <c r="CR80" s="1922"/>
      <c r="CS80" s="1922"/>
      <c r="CT80" s="1922"/>
      <c r="CU80" s="1922"/>
      <c r="CV80" s="1922"/>
      <c r="CW80" s="1922"/>
      <c r="CX80" s="1922"/>
      <c r="CY80" s="1922"/>
      <c r="CZ80" s="1922"/>
      <c r="DA80" s="1922"/>
      <c r="DB80" s="1922"/>
      <c r="DC80" s="1922"/>
      <c r="DD80" s="1922"/>
      <c r="DE80" s="1922"/>
      <c r="DF80" s="1922"/>
    </row>
    <row r="81" spans="1:110" customFormat="1">
      <c r="A81" s="1933" t="s">
        <v>7372</v>
      </c>
      <c r="B81" s="1934" t="s">
        <v>7768</v>
      </c>
      <c r="C81" s="3664" t="s">
        <v>7769</v>
      </c>
      <c r="D81" s="3650"/>
      <c r="E81" s="3650"/>
      <c r="F81" s="3663"/>
      <c r="G81" s="3662" t="s">
        <v>7770</v>
      </c>
      <c r="H81" s="3650"/>
      <c r="I81" s="3650"/>
      <c r="J81" s="3663"/>
      <c r="K81" s="3662" t="s">
        <v>7771</v>
      </c>
      <c r="L81" s="3650"/>
      <c r="M81" s="3650"/>
      <c r="N81" s="3650"/>
      <c r="O81" s="3663"/>
      <c r="P81" s="3662" t="s">
        <v>7677</v>
      </c>
      <c r="Q81" s="3650"/>
      <c r="R81" s="3650"/>
      <c r="S81" s="3650"/>
      <c r="T81" s="3663"/>
      <c r="U81" s="3662" t="s">
        <v>7772</v>
      </c>
      <c r="V81" s="3650"/>
      <c r="W81" s="3650"/>
      <c r="X81" s="3663"/>
      <c r="Y81" s="3662" t="s">
        <v>7773</v>
      </c>
      <c r="Z81" s="3650"/>
      <c r="AA81" s="3650"/>
      <c r="AB81" s="3663"/>
      <c r="AC81" s="3662" t="s">
        <v>7474</v>
      </c>
      <c r="AD81" s="3650"/>
      <c r="AE81" s="3650"/>
      <c r="AF81" s="3663"/>
      <c r="AG81" s="3697"/>
      <c r="AH81" s="3698"/>
      <c r="AI81" s="1933" t="s">
        <v>7372</v>
      </c>
      <c r="AJ81" s="1934" t="s">
        <v>7768</v>
      </c>
      <c r="AK81" s="3662" t="s">
        <v>7530</v>
      </c>
      <c r="AL81" s="3650" t="s">
        <v>7722</v>
      </c>
      <c r="AM81" s="3663" t="s">
        <v>7863</v>
      </c>
      <c r="AN81" s="3702"/>
      <c r="AO81" s="3703"/>
      <c r="AP81" s="3662" t="s">
        <v>7869</v>
      </c>
      <c r="AQ81" s="3650" t="s">
        <v>7479</v>
      </c>
      <c r="AR81" s="3650" t="s">
        <v>7515</v>
      </c>
      <c r="AS81" s="3651"/>
      <c r="AT81" s="3672"/>
      <c r="AU81" s="3662" t="s">
        <v>7532</v>
      </c>
      <c r="AV81" s="3650" t="s">
        <v>7860</v>
      </c>
      <c r="AW81" s="3650"/>
      <c r="AX81" s="3650"/>
      <c r="AY81" s="3663"/>
      <c r="AZ81" s="3662" t="s">
        <v>7533</v>
      </c>
      <c r="BA81" s="3650" t="s">
        <v>7870</v>
      </c>
      <c r="BB81" s="3650" t="s">
        <v>7688</v>
      </c>
      <c r="BC81" s="3650" t="s">
        <v>7484</v>
      </c>
      <c r="BD81" s="3663"/>
      <c r="BE81" s="3664" t="s">
        <v>7881</v>
      </c>
      <c r="BF81" s="3650" t="s">
        <v>7561</v>
      </c>
      <c r="BG81" s="3650" t="s">
        <v>7538</v>
      </c>
      <c r="BH81" s="3650" t="s">
        <v>7576</v>
      </c>
      <c r="BI81" s="3663"/>
      <c r="BJ81" s="1933" t="s">
        <v>7372</v>
      </c>
      <c r="BK81" s="1934" t="s">
        <v>7768</v>
      </c>
      <c r="BL81" s="1933" t="s">
        <v>7922</v>
      </c>
      <c r="BM81" s="1935" t="s">
        <v>7935</v>
      </c>
      <c r="BN81" s="1935" t="s">
        <v>7879</v>
      </c>
      <c r="BO81" s="1934" t="s">
        <v>7779</v>
      </c>
      <c r="BP81" s="1933" t="s">
        <v>8001</v>
      </c>
      <c r="BQ81" s="1935" t="s">
        <v>7939</v>
      </c>
      <c r="BR81" s="1935" t="s">
        <v>7962</v>
      </c>
      <c r="BS81" s="1934" t="s">
        <v>7780</v>
      </c>
      <c r="BT81" s="1933" t="s">
        <v>8002</v>
      </c>
      <c r="BU81" s="1935" t="s">
        <v>8003</v>
      </c>
      <c r="BV81" s="1934" t="s">
        <v>7781</v>
      </c>
      <c r="BW81" s="1933" t="s">
        <v>8004</v>
      </c>
      <c r="BX81" s="1935" t="s">
        <v>8005</v>
      </c>
      <c r="BY81" s="1934" t="s">
        <v>7782</v>
      </c>
      <c r="BZ81" s="1933" t="s">
        <v>8006</v>
      </c>
      <c r="CA81" s="1935" t="s">
        <v>8007</v>
      </c>
      <c r="CB81" s="1934" t="s">
        <v>7783</v>
      </c>
      <c r="CC81" s="1933" t="s">
        <v>8008</v>
      </c>
      <c r="CD81" s="1935" t="s">
        <v>8009</v>
      </c>
      <c r="CE81" s="1934" t="s">
        <v>7705</v>
      </c>
      <c r="CF81" s="1933" t="s">
        <v>8010</v>
      </c>
      <c r="CG81" s="1935" t="s">
        <v>8011</v>
      </c>
      <c r="CH81" s="1934" t="s">
        <v>7730</v>
      </c>
      <c r="CI81" s="1949" t="s">
        <v>8012</v>
      </c>
      <c r="CJ81" s="1935" t="s">
        <v>8013</v>
      </c>
      <c r="CK81" s="1934" t="s">
        <v>7784</v>
      </c>
      <c r="CL81" s="1988"/>
      <c r="CM81" s="1988"/>
      <c r="CN81" s="1922"/>
      <c r="CO81" s="1922"/>
      <c r="CP81" s="1922"/>
      <c r="CQ81" s="1922"/>
      <c r="CR81" s="1922"/>
      <c r="CS81" s="1922"/>
      <c r="CT81" s="1922"/>
      <c r="CU81" s="1922"/>
      <c r="CV81" s="1922"/>
      <c r="CW81" s="1922"/>
      <c r="CX81" s="1922"/>
      <c r="CY81" s="1922"/>
      <c r="CZ81" s="1922"/>
      <c r="DA81" s="1922"/>
      <c r="DB81" s="1922"/>
      <c r="DC81" s="1922"/>
      <c r="DD81" s="1922"/>
      <c r="DE81" s="1922"/>
      <c r="DF81" s="1922"/>
    </row>
    <row r="82" spans="1:110" customFormat="1">
      <c r="A82" s="1936" t="s">
        <v>7768</v>
      </c>
      <c r="B82" s="1937" t="s">
        <v>7374</v>
      </c>
      <c r="C82" s="3670" t="s">
        <v>7789</v>
      </c>
      <c r="D82" s="3651"/>
      <c r="E82" s="3651"/>
      <c r="F82" s="3672"/>
      <c r="G82" s="3671" t="s">
        <v>7790</v>
      </c>
      <c r="H82" s="3651"/>
      <c r="I82" s="3651"/>
      <c r="J82" s="3672"/>
      <c r="K82" s="3671" t="s">
        <v>7718</v>
      </c>
      <c r="L82" s="3651"/>
      <c r="M82" s="3651"/>
      <c r="N82" s="3651"/>
      <c r="O82" s="3672"/>
      <c r="P82" s="3671"/>
      <c r="Q82" s="3651"/>
      <c r="R82" s="3651"/>
      <c r="S82" s="3651"/>
      <c r="T82" s="3672"/>
      <c r="U82" s="3671"/>
      <c r="V82" s="3651"/>
      <c r="W82" s="3651"/>
      <c r="X82" s="3672"/>
      <c r="Y82" s="3671"/>
      <c r="Z82" s="3651"/>
      <c r="AA82" s="3651"/>
      <c r="AB82" s="3672"/>
      <c r="AC82" s="3671"/>
      <c r="AD82" s="3651"/>
      <c r="AE82" s="3651"/>
      <c r="AF82" s="3672"/>
      <c r="AG82" s="3699"/>
      <c r="AH82" s="3700"/>
      <c r="AI82" s="1936" t="s">
        <v>7768</v>
      </c>
      <c r="AJ82" s="1937" t="s">
        <v>7374</v>
      </c>
      <c r="AK82" s="3671"/>
      <c r="AL82" s="3651"/>
      <c r="AM82" s="3672"/>
      <c r="AN82" s="3704"/>
      <c r="AO82" s="3705"/>
      <c r="AP82" s="3671"/>
      <c r="AQ82" s="3651"/>
      <c r="AR82" s="3651"/>
      <c r="AS82" s="1973"/>
      <c r="AT82" s="1973"/>
      <c r="AU82" s="3671"/>
      <c r="AV82" s="3651"/>
      <c r="AW82" s="3651"/>
      <c r="AX82" s="3651"/>
      <c r="AY82" s="3672"/>
      <c r="AZ82" s="3671"/>
      <c r="BA82" s="3651"/>
      <c r="BB82" s="3651"/>
      <c r="BC82" s="3651"/>
      <c r="BD82" s="3672"/>
      <c r="BE82" s="3670"/>
      <c r="BF82" s="3651"/>
      <c r="BG82" s="3651"/>
      <c r="BH82" s="3651"/>
      <c r="BI82" s="3672"/>
      <c r="BJ82" s="1987"/>
      <c r="BK82" s="1987"/>
      <c r="BL82" s="1936" t="s">
        <v>8014</v>
      </c>
      <c r="BM82" s="1938" t="s">
        <v>7922</v>
      </c>
      <c r="BN82" s="1938" t="s">
        <v>7883</v>
      </c>
      <c r="BO82" s="1937" t="s">
        <v>8015</v>
      </c>
      <c r="BP82" s="1936" t="s">
        <v>7904</v>
      </c>
      <c r="BQ82" s="1938" t="s">
        <v>8016</v>
      </c>
      <c r="BR82" s="1938" t="s">
        <v>8017</v>
      </c>
      <c r="BS82" s="1937" t="s">
        <v>7678</v>
      </c>
      <c r="BT82" s="1936" t="s">
        <v>8018</v>
      </c>
      <c r="BU82" s="1938" t="s">
        <v>8019</v>
      </c>
      <c r="BV82" s="1937" t="s">
        <v>7616</v>
      </c>
      <c r="BW82" s="1936" t="s">
        <v>8020</v>
      </c>
      <c r="BX82" s="1938" t="s">
        <v>8021</v>
      </c>
      <c r="BY82" s="1937" t="s">
        <v>7791</v>
      </c>
      <c r="BZ82" s="1986" t="s">
        <v>8022</v>
      </c>
      <c r="CA82" s="1938" t="s">
        <v>8023</v>
      </c>
      <c r="CB82" s="1937" t="s">
        <v>7765</v>
      </c>
      <c r="CC82" s="1936" t="s">
        <v>8024</v>
      </c>
      <c r="CD82" s="1938" t="s">
        <v>8025</v>
      </c>
      <c r="CE82" s="1937" t="s">
        <v>7713</v>
      </c>
      <c r="CF82" s="1936" t="s">
        <v>8026</v>
      </c>
      <c r="CG82" s="1938" t="s">
        <v>8027</v>
      </c>
      <c r="CH82" s="1937" t="s">
        <v>7683</v>
      </c>
      <c r="CI82" s="1986" t="s">
        <v>8028</v>
      </c>
      <c r="CJ82" s="1938" t="s">
        <v>8029</v>
      </c>
      <c r="CK82" s="1937" t="s">
        <v>7707</v>
      </c>
      <c r="CL82" s="1988"/>
      <c r="CM82" s="1988"/>
      <c r="CN82" s="1922"/>
      <c r="CO82" s="1922"/>
      <c r="CP82" s="1922"/>
      <c r="CQ82" s="1922"/>
      <c r="CR82" s="1922"/>
      <c r="CS82" s="1922"/>
      <c r="CT82" s="1922"/>
      <c r="CU82" s="1922"/>
      <c r="CV82" s="1922"/>
      <c r="CW82" s="1922"/>
      <c r="CX82" s="1922"/>
      <c r="CY82" s="1922"/>
      <c r="CZ82" s="1922"/>
      <c r="DA82" s="1922"/>
      <c r="DB82" s="1922"/>
      <c r="DC82" s="1922"/>
      <c r="DD82" s="1922"/>
      <c r="DE82" s="1922"/>
      <c r="DF82" s="1922"/>
    </row>
    <row r="83" spans="1:110" customFormat="1">
      <c r="A83" s="1922"/>
      <c r="B83" s="3673" t="s">
        <v>8030</v>
      </c>
      <c r="C83" s="3673"/>
      <c r="D83" s="3673"/>
      <c r="E83" s="3673"/>
      <c r="F83" s="3673"/>
      <c r="G83" s="3673"/>
      <c r="H83" s="3673"/>
      <c r="I83" s="3673"/>
      <c r="J83" s="3673"/>
      <c r="K83" s="3673"/>
      <c r="L83" s="3673"/>
      <c r="M83" s="3673"/>
      <c r="N83" s="3673"/>
      <c r="O83" s="3673"/>
      <c r="P83" s="3673"/>
      <c r="Q83" s="3673"/>
      <c r="R83" s="3673"/>
      <c r="S83" s="3673"/>
      <c r="T83" s="3673"/>
      <c r="U83" s="3673"/>
      <c r="V83" s="3673"/>
      <c r="W83" s="3673"/>
      <c r="X83" s="3673"/>
      <c r="Y83" s="3673"/>
      <c r="Z83" s="3673"/>
      <c r="AA83" s="3673"/>
      <c r="AB83" s="3673"/>
      <c r="AC83" s="3673"/>
      <c r="AD83" s="3673"/>
      <c r="AE83" s="3673"/>
      <c r="AF83" s="3673"/>
      <c r="AG83" s="3673"/>
      <c r="AH83" s="3673"/>
      <c r="AI83" s="3673"/>
      <c r="AJ83" s="3673"/>
      <c r="AK83" s="1922"/>
      <c r="AL83" s="1973" t="s">
        <v>8031</v>
      </c>
      <c r="AM83" s="1973"/>
      <c r="AN83" s="1973"/>
      <c r="AO83" s="1973"/>
      <c r="AP83" s="1973"/>
      <c r="AQ83" s="1973"/>
      <c r="AR83" s="1973"/>
      <c r="AS83" s="1922"/>
      <c r="AT83" s="1922"/>
      <c r="AU83" s="1973"/>
      <c r="AV83" s="1973"/>
      <c r="AW83" s="1973"/>
      <c r="AX83" s="1973"/>
      <c r="AY83" s="1973"/>
      <c r="AZ83" s="1973"/>
      <c r="BA83" s="1973"/>
      <c r="BB83" s="1973"/>
      <c r="BC83" s="1973"/>
      <c r="BD83" s="1973"/>
      <c r="BE83" s="1973"/>
      <c r="BF83" s="1973"/>
      <c r="BG83" s="1973"/>
      <c r="BH83" s="1973"/>
      <c r="BI83" s="1973"/>
      <c r="BJ83" s="1973"/>
      <c r="BK83" s="1973"/>
      <c r="BL83" s="1922"/>
      <c r="BM83" s="1922"/>
      <c r="BN83" s="1922"/>
      <c r="BO83" s="1922"/>
      <c r="BP83" s="1922"/>
      <c r="BQ83" s="1922"/>
      <c r="BR83" s="1922"/>
      <c r="BS83" s="1922"/>
      <c r="BT83" s="1922"/>
      <c r="BU83" s="1922"/>
      <c r="BV83" s="1922"/>
      <c r="BW83" s="1922"/>
      <c r="BX83" s="1922"/>
      <c r="BY83" s="1922"/>
      <c r="BZ83" s="1922"/>
      <c r="CA83" s="1922"/>
      <c r="CB83" s="1922"/>
      <c r="CC83" s="1922"/>
      <c r="CD83" s="1922"/>
      <c r="CE83" s="1922"/>
      <c r="CF83" s="1922"/>
      <c r="CG83" s="1922"/>
      <c r="CH83" s="1922"/>
      <c r="CI83" s="1922"/>
      <c r="CJ83" s="1922"/>
      <c r="CK83" s="1922"/>
      <c r="CL83" s="1922"/>
      <c r="CM83" s="1922"/>
      <c r="CN83" s="1922"/>
      <c r="CO83" s="1922"/>
      <c r="CP83" s="1922"/>
      <c r="CQ83" s="1922"/>
      <c r="CR83" s="1922"/>
      <c r="CS83" s="1922"/>
      <c r="CT83" s="1922"/>
      <c r="CU83" s="1922"/>
      <c r="CV83" s="1922"/>
      <c r="CW83" s="1922"/>
      <c r="CX83" s="1922"/>
      <c r="CY83" s="1922"/>
      <c r="CZ83" s="1922"/>
      <c r="DA83" s="1922"/>
      <c r="DB83" s="1922"/>
      <c r="DC83" s="1922"/>
      <c r="DD83" s="1922"/>
      <c r="DE83" s="1922"/>
      <c r="DF83" s="1922"/>
    </row>
  </sheetData>
  <mergeCells count="903">
    <mergeCell ref="N5:O29"/>
    <mergeCell ref="Y5:Z29"/>
    <mergeCell ref="N31:O46"/>
    <mergeCell ref="S31:T32"/>
    <mergeCell ref="U31:V32"/>
    <mergeCell ref="W31:X32"/>
    <mergeCell ref="Y31:Z46"/>
    <mergeCell ref="S33:T34"/>
    <mergeCell ref="U33:V34"/>
    <mergeCell ref="W33:X34"/>
    <mergeCell ref="S35:T36"/>
    <mergeCell ref="U35:V36"/>
    <mergeCell ref="W35:X36"/>
    <mergeCell ref="S37:T38"/>
    <mergeCell ref="U37:V38"/>
    <mergeCell ref="W37:X38"/>
    <mergeCell ref="S43:T44"/>
    <mergeCell ref="U43:V44"/>
    <mergeCell ref="S39:T40"/>
    <mergeCell ref="U39:V40"/>
    <mergeCell ref="W39:X40"/>
    <mergeCell ref="S41:T42"/>
    <mergeCell ref="U41:V42"/>
    <mergeCell ref="W41:X42"/>
    <mergeCell ref="G60:J62"/>
    <mergeCell ref="C61:F62"/>
    <mergeCell ref="K61:O62"/>
    <mergeCell ref="P61:T62"/>
    <mergeCell ref="C63:F64"/>
    <mergeCell ref="G63:J64"/>
    <mergeCell ref="K63:O64"/>
    <mergeCell ref="P63:T64"/>
    <mergeCell ref="U61:X62"/>
    <mergeCell ref="U63:X64"/>
    <mergeCell ref="C58:F59"/>
    <mergeCell ref="G58:J59"/>
    <mergeCell ref="W43:X44"/>
    <mergeCell ref="S45:T46"/>
    <mergeCell ref="U45:V46"/>
    <mergeCell ref="W45:X46"/>
    <mergeCell ref="AC67:AF68"/>
    <mergeCell ref="BH67:BI68"/>
    <mergeCell ref="P71:T73"/>
    <mergeCell ref="U71:X73"/>
    <mergeCell ref="Y71:AB73"/>
    <mergeCell ref="AC71:AF73"/>
    <mergeCell ref="BH71:BI73"/>
    <mergeCell ref="AG58:AH82"/>
    <mergeCell ref="AN58:AO82"/>
    <mergeCell ref="P69:T70"/>
    <mergeCell ref="U69:X70"/>
    <mergeCell ref="Y63:AB64"/>
    <mergeCell ref="AC63:AF64"/>
    <mergeCell ref="Y69:AB70"/>
    <mergeCell ref="AC69:AF70"/>
    <mergeCell ref="P81:T82"/>
    <mergeCell ref="U81:X82"/>
    <mergeCell ref="Y81:AB82"/>
    <mergeCell ref="AC81:AF82"/>
    <mergeCell ref="P77:T78"/>
    <mergeCell ref="U77:X78"/>
    <mergeCell ref="Y77:AB78"/>
    <mergeCell ref="AC77:AF78"/>
    <mergeCell ref="BH77:BI78"/>
    <mergeCell ref="P79:T80"/>
    <mergeCell ref="U79:X80"/>
    <mergeCell ref="Y79:AB80"/>
    <mergeCell ref="AC79:AF80"/>
    <mergeCell ref="BH79:BI80"/>
    <mergeCell ref="BD59:BD82"/>
    <mergeCell ref="P65:T66"/>
    <mergeCell ref="U65:X66"/>
    <mergeCell ref="Y65:AB66"/>
    <mergeCell ref="AC65:AF66"/>
    <mergeCell ref="BH65:BI66"/>
    <mergeCell ref="P74:T76"/>
    <mergeCell ref="U74:X76"/>
    <mergeCell ref="Y74:AB76"/>
    <mergeCell ref="AC74:AF76"/>
    <mergeCell ref="BH74:BI76"/>
    <mergeCell ref="P67:T68"/>
    <mergeCell ref="U67:X68"/>
    <mergeCell ref="Y67:AB68"/>
    <mergeCell ref="BW61:BW62"/>
    <mergeCell ref="BX61:BX62"/>
    <mergeCell ref="BY61:BY62"/>
    <mergeCell ref="CY58:CY65"/>
    <mergeCell ref="CZ58:CZ65"/>
    <mergeCell ref="AM2:AR3"/>
    <mergeCell ref="AV61:AW62"/>
    <mergeCell ref="BH61:BI62"/>
    <mergeCell ref="BL61:BM62"/>
    <mergeCell ref="BP61:BQ62"/>
    <mergeCell ref="BH63:BI64"/>
    <mergeCell ref="BE61:BF62"/>
    <mergeCell ref="AM48:AR49"/>
    <mergeCell ref="BP63:BP64"/>
    <mergeCell ref="BP65:BP66"/>
    <mergeCell ref="BQ63:BQ64"/>
    <mergeCell ref="BQ65:BQ66"/>
    <mergeCell ref="BR61:BR62"/>
    <mergeCell ref="BR63:BR64"/>
    <mergeCell ref="BR65:BR66"/>
    <mergeCell ref="BS61:BS62"/>
    <mergeCell ref="BS63:BS64"/>
    <mergeCell ref="BS65:BS66"/>
    <mergeCell ref="BF63:BF64"/>
    <mergeCell ref="BG81:BG82"/>
    <mergeCell ref="BL63:BL64"/>
    <mergeCell ref="BL65:BL66"/>
    <mergeCell ref="BM63:BM64"/>
    <mergeCell ref="BM65:BM66"/>
    <mergeCell ref="BN61:BN62"/>
    <mergeCell ref="BN63:BN64"/>
    <mergeCell ref="BN65:BN66"/>
    <mergeCell ref="BF65:BF66"/>
    <mergeCell ref="BF67:BF68"/>
    <mergeCell ref="BF69:BF70"/>
    <mergeCell ref="BF71:BF73"/>
    <mergeCell ref="BF74:BF76"/>
    <mergeCell ref="BF77:BF78"/>
    <mergeCell ref="BF79:BF80"/>
    <mergeCell ref="BF81:BF82"/>
    <mergeCell ref="BO61:BO62"/>
    <mergeCell ref="BO63:BO64"/>
    <mergeCell ref="BO65:BO66"/>
    <mergeCell ref="BH81:BI82"/>
    <mergeCell ref="BH69:BI70"/>
    <mergeCell ref="BG61:BG62"/>
    <mergeCell ref="BG63:BG64"/>
    <mergeCell ref="BG65:BG66"/>
    <mergeCell ref="BG67:BG68"/>
    <mergeCell ref="BG69:BG70"/>
    <mergeCell ref="BG71:BG73"/>
    <mergeCell ref="BG74:BG76"/>
    <mergeCell ref="BG77:BG78"/>
    <mergeCell ref="BG79:BG80"/>
    <mergeCell ref="BE63:BE64"/>
    <mergeCell ref="BE65:BE66"/>
    <mergeCell ref="BE67:BE68"/>
    <mergeCell ref="BE69:BE70"/>
    <mergeCell ref="BE71:BE73"/>
    <mergeCell ref="BE74:BE76"/>
    <mergeCell ref="BE77:BE78"/>
    <mergeCell ref="BE79:BE80"/>
    <mergeCell ref="BE81:BE82"/>
    <mergeCell ref="BB65:BB66"/>
    <mergeCell ref="BB67:BB68"/>
    <mergeCell ref="BB69:BB70"/>
    <mergeCell ref="BB71:BB73"/>
    <mergeCell ref="BB74:BB76"/>
    <mergeCell ref="BB77:BB78"/>
    <mergeCell ref="BB79:BB80"/>
    <mergeCell ref="BB81:BB82"/>
    <mergeCell ref="BC60:BC66"/>
    <mergeCell ref="BC67:BC73"/>
    <mergeCell ref="BC74:BC80"/>
    <mergeCell ref="BC81:BC82"/>
    <mergeCell ref="AZ65:AZ66"/>
    <mergeCell ref="AZ67:AZ68"/>
    <mergeCell ref="AZ69:AZ70"/>
    <mergeCell ref="AZ71:AZ73"/>
    <mergeCell ref="AZ74:AZ76"/>
    <mergeCell ref="AZ77:AZ78"/>
    <mergeCell ref="AZ79:AZ80"/>
    <mergeCell ref="AZ81:AZ82"/>
    <mergeCell ref="BA61:BA62"/>
    <mergeCell ref="BA63:BA64"/>
    <mergeCell ref="BA65:BA66"/>
    <mergeCell ref="BA67:BA68"/>
    <mergeCell ref="BA69:BA70"/>
    <mergeCell ref="BA71:BA73"/>
    <mergeCell ref="BA74:BA76"/>
    <mergeCell ref="BA77:BA78"/>
    <mergeCell ref="BA79:BA80"/>
    <mergeCell ref="BA81:BA82"/>
    <mergeCell ref="AV69:AV70"/>
    <mergeCell ref="AV71:AV73"/>
    <mergeCell ref="AV74:AV76"/>
    <mergeCell ref="AV77:AV78"/>
    <mergeCell ref="AV79:AV80"/>
    <mergeCell ref="AV81:AV82"/>
    <mergeCell ref="AW63:AW66"/>
    <mergeCell ref="AW67:AW68"/>
    <mergeCell ref="AW69:AW70"/>
    <mergeCell ref="AW71:AW76"/>
    <mergeCell ref="AW77:AW78"/>
    <mergeCell ref="AW79:AW82"/>
    <mergeCell ref="AT68:AT69"/>
    <mergeCell ref="AT70:AT72"/>
    <mergeCell ref="AT73:AT75"/>
    <mergeCell ref="AT76:AT77"/>
    <mergeCell ref="AT78:AT79"/>
    <mergeCell ref="AT80:AT81"/>
    <mergeCell ref="AU61:AU62"/>
    <mergeCell ref="AU63:AU66"/>
    <mergeCell ref="AU67:AU68"/>
    <mergeCell ref="AU69:AU70"/>
    <mergeCell ref="AU71:AU73"/>
    <mergeCell ref="AU74:AU76"/>
    <mergeCell ref="AU77:AU80"/>
    <mergeCell ref="AU81:AU82"/>
    <mergeCell ref="AR67:AR73"/>
    <mergeCell ref="AR74:AR78"/>
    <mergeCell ref="AR79:AR80"/>
    <mergeCell ref="AR81:AR82"/>
    <mergeCell ref="AS60:AS63"/>
    <mergeCell ref="AS64:AS65"/>
    <mergeCell ref="AS66:AS67"/>
    <mergeCell ref="AS68:AS69"/>
    <mergeCell ref="AS70:AS72"/>
    <mergeCell ref="AS73:AS75"/>
    <mergeCell ref="AS76:AS77"/>
    <mergeCell ref="AS78:AS79"/>
    <mergeCell ref="AS80:AS81"/>
    <mergeCell ref="AR28:AR29"/>
    <mergeCell ref="AR31:AR32"/>
    <mergeCell ref="AR33:AR34"/>
    <mergeCell ref="AR35:AR36"/>
    <mergeCell ref="AR37:AR38"/>
    <mergeCell ref="AR39:AR40"/>
    <mergeCell ref="AR41:AR42"/>
    <mergeCell ref="AR43:AR44"/>
    <mergeCell ref="AR45:AR46"/>
    <mergeCell ref="AR8:AR9"/>
    <mergeCell ref="AR10:AR11"/>
    <mergeCell ref="AR12:AR13"/>
    <mergeCell ref="AR14:AR15"/>
    <mergeCell ref="AR16:AR17"/>
    <mergeCell ref="AR18:AR20"/>
    <mergeCell ref="AR21:AR23"/>
    <mergeCell ref="AR24:AR25"/>
    <mergeCell ref="AR26:AR27"/>
    <mergeCell ref="AQ61:AQ62"/>
    <mergeCell ref="AQ63:AQ64"/>
    <mergeCell ref="AQ65:AQ66"/>
    <mergeCell ref="AQ67:AQ68"/>
    <mergeCell ref="AQ69:AQ70"/>
    <mergeCell ref="AQ71:AQ73"/>
    <mergeCell ref="AQ74:AQ76"/>
    <mergeCell ref="AQ77:AQ80"/>
    <mergeCell ref="AQ81:AQ82"/>
    <mergeCell ref="AP61:AP62"/>
    <mergeCell ref="AP63:AP64"/>
    <mergeCell ref="AP65:AP73"/>
    <mergeCell ref="AP74:AP78"/>
    <mergeCell ref="AP79:AP80"/>
    <mergeCell ref="AP81:AP82"/>
    <mergeCell ref="AQ8:AQ9"/>
    <mergeCell ref="AQ10:AQ11"/>
    <mergeCell ref="AQ12:AQ13"/>
    <mergeCell ref="AQ14:AQ15"/>
    <mergeCell ref="AQ16:AQ17"/>
    <mergeCell ref="AQ18:AQ20"/>
    <mergeCell ref="AQ21:AQ23"/>
    <mergeCell ref="AQ24:AQ25"/>
    <mergeCell ref="AQ26:AQ27"/>
    <mergeCell ref="AQ28:AQ29"/>
    <mergeCell ref="AQ31:AQ32"/>
    <mergeCell ref="AQ33:AQ34"/>
    <mergeCell ref="AQ35:AQ36"/>
    <mergeCell ref="AQ37:AQ38"/>
    <mergeCell ref="AQ39:AQ40"/>
    <mergeCell ref="AQ41:AQ42"/>
    <mergeCell ref="AQ43:AQ44"/>
    <mergeCell ref="AQ45:AQ46"/>
    <mergeCell ref="AP28:AP29"/>
    <mergeCell ref="AP31:AP32"/>
    <mergeCell ref="AP33:AP34"/>
    <mergeCell ref="AP35:AP36"/>
    <mergeCell ref="AP37:AP38"/>
    <mergeCell ref="AP39:AP40"/>
    <mergeCell ref="AP41:AP42"/>
    <mergeCell ref="AP43:AP44"/>
    <mergeCell ref="AP45:AP46"/>
    <mergeCell ref="AP8:AP9"/>
    <mergeCell ref="AP10:AP11"/>
    <mergeCell ref="AP12:AP13"/>
    <mergeCell ref="AP14:AP15"/>
    <mergeCell ref="AP16:AP17"/>
    <mergeCell ref="AP18:AP20"/>
    <mergeCell ref="AP21:AP23"/>
    <mergeCell ref="AP24:AP25"/>
    <mergeCell ref="AP26:AP27"/>
    <mergeCell ref="AO28:AO29"/>
    <mergeCell ref="AO31:AO32"/>
    <mergeCell ref="AO33:AO34"/>
    <mergeCell ref="AO35:AO36"/>
    <mergeCell ref="AO37:AO38"/>
    <mergeCell ref="AO39:AO40"/>
    <mergeCell ref="AO41:AO42"/>
    <mergeCell ref="AO43:AO44"/>
    <mergeCell ref="AO45:AO46"/>
    <mergeCell ref="AO8:AO9"/>
    <mergeCell ref="AO10:AO11"/>
    <mergeCell ref="AO12:AO13"/>
    <mergeCell ref="AO14:AO15"/>
    <mergeCell ref="AO16:AO17"/>
    <mergeCell ref="AO18:AO20"/>
    <mergeCell ref="AO21:AO23"/>
    <mergeCell ref="AO24:AO25"/>
    <mergeCell ref="AO26:AO27"/>
    <mergeCell ref="AM71:AM73"/>
    <mergeCell ref="AM74:AM76"/>
    <mergeCell ref="AM77:AM78"/>
    <mergeCell ref="AM79:AM80"/>
    <mergeCell ref="AM81:AM82"/>
    <mergeCell ref="AN8:AN9"/>
    <mergeCell ref="AN10:AN11"/>
    <mergeCell ref="AN12:AN13"/>
    <mergeCell ref="AN14:AN15"/>
    <mergeCell ref="AN16:AN17"/>
    <mergeCell ref="AN18:AN20"/>
    <mergeCell ref="AN21:AN23"/>
    <mergeCell ref="AN24:AN25"/>
    <mergeCell ref="AN26:AN27"/>
    <mergeCell ref="AN28:AN29"/>
    <mergeCell ref="AN31:AN32"/>
    <mergeCell ref="AN33:AN34"/>
    <mergeCell ref="AN35:AN36"/>
    <mergeCell ref="AN37:AN38"/>
    <mergeCell ref="AN39:AN40"/>
    <mergeCell ref="AN41:AN42"/>
    <mergeCell ref="AN43:AN44"/>
    <mergeCell ref="AN45:AN46"/>
    <mergeCell ref="AL81:AL82"/>
    <mergeCell ref="AM8:AM9"/>
    <mergeCell ref="AM10:AM11"/>
    <mergeCell ref="AM12:AM13"/>
    <mergeCell ref="AM14:AM15"/>
    <mergeCell ref="AM16:AM17"/>
    <mergeCell ref="AM18:AM20"/>
    <mergeCell ref="AM21:AM23"/>
    <mergeCell ref="AM24:AM25"/>
    <mergeCell ref="AM26:AM27"/>
    <mergeCell ref="AM28:AM29"/>
    <mergeCell ref="AM31:AM32"/>
    <mergeCell ref="AM33:AM34"/>
    <mergeCell ref="AM35:AM36"/>
    <mergeCell ref="AM37:AM38"/>
    <mergeCell ref="AM39:AM40"/>
    <mergeCell ref="AM41:AM42"/>
    <mergeCell ref="AM43:AM44"/>
    <mergeCell ref="AM45:AM46"/>
    <mergeCell ref="AM61:AM62"/>
    <mergeCell ref="AM63:AM64"/>
    <mergeCell ref="AM65:AM66"/>
    <mergeCell ref="AM67:AM68"/>
    <mergeCell ref="AM69:AM70"/>
    <mergeCell ref="AL61:AL62"/>
    <mergeCell ref="AL63:AL64"/>
    <mergeCell ref="AL65:AL66"/>
    <mergeCell ref="AL67:AL68"/>
    <mergeCell ref="AL69:AL70"/>
    <mergeCell ref="AL71:AL73"/>
    <mergeCell ref="AL74:AL76"/>
    <mergeCell ref="AL77:AL78"/>
    <mergeCell ref="AL79:AL80"/>
    <mergeCell ref="AK63:AK64"/>
    <mergeCell ref="AK65:AK66"/>
    <mergeCell ref="AK67:AK68"/>
    <mergeCell ref="AK69:AK70"/>
    <mergeCell ref="AK71:AK73"/>
    <mergeCell ref="AK74:AK76"/>
    <mergeCell ref="AK77:AK78"/>
    <mergeCell ref="AK79:AK80"/>
    <mergeCell ref="AK81:AK82"/>
    <mergeCell ref="AB8:AB9"/>
    <mergeCell ref="AB10:AB11"/>
    <mergeCell ref="AB12:AB13"/>
    <mergeCell ref="AC8:AC9"/>
    <mergeCell ref="AC10:AC11"/>
    <mergeCell ref="AC12:AC13"/>
    <mergeCell ref="AD8:AD9"/>
    <mergeCell ref="AE8:AE9"/>
    <mergeCell ref="AK61:AK62"/>
    <mergeCell ref="Y61:AB62"/>
    <mergeCell ref="AC61:AF62"/>
    <mergeCell ref="AI39:AJ39"/>
    <mergeCell ref="AI54:AJ54"/>
    <mergeCell ref="AA28:AA29"/>
    <mergeCell ref="AA31:AA32"/>
    <mergeCell ref="AA33:AA34"/>
    <mergeCell ref="AA35:AA36"/>
    <mergeCell ref="AA37:AA38"/>
    <mergeCell ref="AA39:AA40"/>
    <mergeCell ref="AA41:AA42"/>
    <mergeCell ref="AA43:AA44"/>
    <mergeCell ref="AA45:AA46"/>
    <mergeCell ref="AA8:AA9"/>
    <mergeCell ref="AA10:AA11"/>
    <mergeCell ref="AA12:AA13"/>
    <mergeCell ref="AA14:AA15"/>
    <mergeCell ref="AA16:AA17"/>
    <mergeCell ref="AA18:AA20"/>
    <mergeCell ref="AA21:AA23"/>
    <mergeCell ref="AA24:AA25"/>
    <mergeCell ref="AA26:AA27"/>
    <mergeCell ref="W28:W29"/>
    <mergeCell ref="X8:X9"/>
    <mergeCell ref="X10:X11"/>
    <mergeCell ref="X12:X13"/>
    <mergeCell ref="X14:X15"/>
    <mergeCell ref="X16:X17"/>
    <mergeCell ref="X18:X20"/>
    <mergeCell ref="X21:X23"/>
    <mergeCell ref="X24:X25"/>
    <mergeCell ref="X26:X27"/>
    <mergeCell ref="X28:X29"/>
    <mergeCell ref="W8:W9"/>
    <mergeCell ref="W10:W11"/>
    <mergeCell ref="W12:W13"/>
    <mergeCell ref="W14:W15"/>
    <mergeCell ref="W16:W17"/>
    <mergeCell ref="W18:W20"/>
    <mergeCell ref="W21:W23"/>
    <mergeCell ref="W24:W25"/>
    <mergeCell ref="W26:W27"/>
    <mergeCell ref="U28:U29"/>
    <mergeCell ref="V8:V9"/>
    <mergeCell ref="V10:V11"/>
    <mergeCell ref="V12:V13"/>
    <mergeCell ref="V14:V15"/>
    <mergeCell ref="V16:V17"/>
    <mergeCell ref="V18:V20"/>
    <mergeCell ref="V21:V23"/>
    <mergeCell ref="V24:V25"/>
    <mergeCell ref="V26:V27"/>
    <mergeCell ref="V28:V29"/>
    <mergeCell ref="U8:U9"/>
    <mergeCell ref="U10:U11"/>
    <mergeCell ref="U12:U13"/>
    <mergeCell ref="U14:U15"/>
    <mergeCell ref="U16:U17"/>
    <mergeCell ref="U18:U20"/>
    <mergeCell ref="U21:U23"/>
    <mergeCell ref="U24:U25"/>
    <mergeCell ref="U26:U27"/>
    <mergeCell ref="S28:S29"/>
    <mergeCell ref="T8:T9"/>
    <mergeCell ref="T10:T11"/>
    <mergeCell ref="T12:T13"/>
    <mergeCell ref="T14:T15"/>
    <mergeCell ref="T16:T17"/>
    <mergeCell ref="T18:T20"/>
    <mergeCell ref="T21:T23"/>
    <mergeCell ref="T24:T25"/>
    <mergeCell ref="T26:T27"/>
    <mergeCell ref="T28:T29"/>
    <mergeCell ref="S8:S9"/>
    <mergeCell ref="S10:S11"/>
    <mergeCell ref="S12:S13"/>
    <mergeCell ref="S14:S15"/>
    <mergeCell ref="S16:S17"/>
    <mergeCell ref="S18:S20"/>
    <mergeCell ref="S21:S23"/>
    <mergeCell ref="S24:S25"/>
    <mergeCell ref="S26:S27"/>
    <mergeCell ref="R28:R29"/>
    <mergeCell ref="R31:R32"/>
    <mergeCell ref="R33:R34"/>
    <mergeCell ref="R35:R36"/>
    <mergeCell ref="R37:R38"/>
    <mergeCell ref="R39:R40"/>
    <mergeCell ref="R41:R42"/>
    <mergeCell ref="R43:R44"/>
    <mergeCell ref="R45:R46"/>
    <mergeCell ref="R8:R9"/>
    <mergeCell ref="R10:R11"/>
    <mergeCell ref="R12:R13"/>
    <mergeCell ref="R14:R15"/>
    <mergeCell ref="R16:R17"/>
    <mergeCell ref="R18:R20"/>
    <mergeCell ref="R21:R23"/>
    <mergeCell ref="R24:R25"/>
    <mergeCell ref="R26:R27"/>
    <mergeCell ref="Q28:Q29"/>
    <mergeCell ref="Q31:Q32"/>
    <mergeCell ref="Q33:Q34"/>
    <mergeCell ref="Q35:Q36"/>
    <mergeCell ref="Q37:Q38"/>
    <mergeCell ref="Q39:Q40"/>
    <mergeCell ref="Q41:Q42"/>
    <mergeCell ref="Q43:Q44"/>
    <mergeCell ref="Q45:Q46"/>
    <mergeCell ref="Q8:Q9"/>
    <mergeCell ref="Q10:Q11"/>
    <mergeCell ref="Q12:Q13"/>
    <mergeCell ref="Q14:Q15"/>
    <mergeCell ref="Q16:Q17"/>
    <mergeCell ref="Q18:Q20"/>
    <mergeCell ref="Q21:Q23"/>
    <mergeCell ref="Q24:Q25"/>
    <mergeCell ref="Q26:Q27"/>
    <mergeCell ref="P28:P29"/>
    <mergeCell ref="P31:P32"/>
    <mergeCell ref="P33:P34"/>
    <mergeCell ref="P35:P36"/>
    <mergeCell ref="P37:P38"/>
    <mergeCell ref="P39:P40"/>
    <mergeCell ref="P41:P42"/>
    <mergeCell ref="P43:P44"/>
    <mergeCell ref="P45:P46"/>
    <mergeCell ref="P8:P9"/>
    <mergeCell ref="P10:P11"/>
    <mergeCell ref="P12:P13"/>
    <mergeCell ref="P14:P15"/>
    <mergeCell ref="P16:P17"/>
    <mergeCell ref="P18:P20"/>
    <mergeCell ref="P21:P23"/>
    <mergeCell ref="P24:P25"/>
    <mergeCell ref="P26:P27"/>
    <mergeCell ref="M28:M29"/>
    <mergeCell ref="M31:M32"/>
    <mergeCell ref="M33:M34"/>
    <mergeCell ref="M35:M36"/>
    <mergeCell ref="M37:M38"/>
    <mergeCell ref="M39:M40"/>
    <mergeCell ref="M41:M42"/>
    <mergeCell ref="M43:M44"/>
    <mergeCell ref="M45:M46"/>
    <mergeCell ref="M8:M9"/>
    <mergeCell ref="M10:M11"/>
    <mergeCell ref="M12:M13"/>
    <mergeCell ref="M14:M15"/>
    <mergeCell ref="M16:M17"/>
    <mergeCell ref="M18:M20"/>
    <mergeCell ref="M21:M23"/>
    <mergeCell ref="M24:M25"/>
    <mergeCell ref="M26:M27"/>
    <mergeCell ref="L28:L29"/>
    <mergeCell ref="L31:L32"/>
    <mergeCell ref="L33:L34"/>
    <mergeCell ref="L35:L36"/>
    <mergeCell ref="L37:L38"/>
    <mergeCell ref="L39:L40"/>
    <mergeCell ref="L41:L42"/>
    <mergeCell ref="L43:L44"/>
    <mergeCell ref="L45:L46"/>
    <mergeCell ref="L8:L9"/>
    <mergeCell ref="L10:L11"/>
    <mergeCell ref="L12:L13"/>
    <mergeCell ref="L14:L15"/>
    <mergeCell ref="L16:L17"/>
    <mergeCell ref="L18:L20"/>
    <mergeCell ref="L21:L23"/>
    <mergeCell ref="L24:L25"/>
    <mergeCell ref="L26:L27"/>
    <mergeCell ref="K28:K29"/>
    <mergeCell ref="K31:K32"/>
    <mergeCell ref="K33:K34"/>
    <mergeCell ref="K35:K36"/>
    <mergeCell ref="K37:K38"/>
    <mergeCell ref="K39:K40"/>
    <mergeCell ref="K41:K42"/>
    <mergeCell ref="K43:K44"/>
    <mergeCell ref="K45:K46"/>
    <mergeCell ref="K8:K9"/>
    <mergeCell ref="K10:K11"/>
    <mergeCell ref="K12:K13"/>
    <mergeCell ref="K14:K15"/>
    <mergeCell ref="K16:K17"/>
    <mergeCell ref="K18:K20"/>
    <mergeCell ref="K21:K23"/>
    <mergeCell ref="K24:K25"/>
    <mergeCell ref="K26:K27"/>
    <mergeCell ref="J28:J29"/>
    <mergeCell ref="J31:J32"/>
    <mergeCell ref="J33:J34"/>
    <mergeCell ref="J35:J36"/>
    <mergeCell ref="J37:J38"/>
    <mergeCell ref="J39:J40"/>
    <mergeCell ref="J41:J42"/>
    <mergeCell ref="J43:J44"/>
    <mergeCell ref="J45:J46"/>
    <mergeCell ref="J8:J9"/>
    <mergeCell ref="J10:J11"/>
    <mergeCell ref="J12:J13"/>
    <mergeCell ref="J14:J15"/>
    <mergeCell ref="J16:J17"/>
    <mergeCell ref="J18:J20"/>
    <mergeCell ref="J21:J23"/>
    <mergeCell ref="J24:J25"/>
    <mergeCell ref="J26:J27"/>
    <mergeCell ref="I28:I29"/>
    <mergeCell ref="I31:I32"/>
    <mergeCell ref="I33:I34"/>
    <mergeCell ref="I35:I36"/>
    <mergeCell ref="I37:I38"/>
    <mergeCell ref="I39:I40"/>
    <mergeCell ref="I41:I42"/>
    <mergeCell ref="I43:I44"/>
    <mergeCell ref="I45:I46"/>
    <mergeCell ref="I8:I9"/>
    <mergeCell ref="I10:I11"/>
    <mergeCell ref="I12:I13"/>
    <mergeCell ref="I14:I15"/>
    <mergeCell ref="I16:I17"/>
    <mergeCell ref="I18:I20"/>
    <mergeCell ref="I21:I23"/>
    <mergeCell ref="I24:I25"/>
    <mergeCell ref="I26:I27"/>
    <mergeCell ref="H28:H29"/>
    <mergeCell ref="H31:H32"/>
    <mergeCell ref="H33:H34"/>
    <mergeCell ref="H35:H36"/>
    <mergeCell ref="H37:H38"/>
    <mergeCell ref="H39:H40"/>
    <mergeCell ref="H41:H42"/>
    <mergeCell ref="H43:H44"/>
    <mergeCell ref="H45:H46"/>
    <mergeCell ref="H8:H9"/>
    <mergeCell ref="H10:H11"/>
    <mergeCell ref="H12:H13"/>
    <mergeCell ref="H14:H15"/>
    <mergeCell ref="H16:H17"/>
    <mergeCell ref="H18:H20"/>
    <mergeCell ref="H21:H23"/>
    <mergeCell ref="H24:H25"/>
    <mergeCell ref="H26:H27"/>
    <mergeCell ref="G28:G29"/>
    <mergeCell ref="G31:G32"/>
    <mergeCell ref="G33:G34"/>
    <mergeCell ref="G35:G36"/>
    <mergeCell ref="G37:G38"/>
    <mergeCell ref="G39:G40"/>
    <mergeCell ref="G41:G42"/>
    <mergeCell ref="G43:G44"/>
    <mergeCell ref="G45:G46"/>
    <mergeCell ref="G8:G9"/>
    <mergeCell ref="G10:G11"/>
    <mergeCell ref="G12:G13"/>
    <mergeCell ref="G14:G15"/>
    <mergeCell ref="G16:G17"/>
    <mergeCell ref="G18:G20"/>
    <mergeCell ref="G21:G23"/>
    <mergeCell ref="G24:G25"/>
    <mergeCell ref="G26:G27"/>
    <mergeCell ref="E39:E40"/>
    <mergeCell ref="E41:E42"/>
    <mergeCell ref="E43:E44"/>
    <mergeCell ref="E45:E46"/>
    <mergeCell ref="F8:F9"/>
    <mergeCell ref="F10:F11"/>
    <mergeCell ref="F31:F32"/>
    <mergeCell ref="F33:F34"/>
    <mergeCell ref="F35:F36"/>
    <mergeCell ref="F37:F38"/>
    <mergeCell ref="F39:F40"/>
    <mergeCell ref="F41:F42"/>
    <mergeCell ref="F43:F44"/>
    <mergeCell ref="F45:F46"/>
    <mergeCell ref="C81:F81"/>
    <mergeCell ref="G81:J81"/>
    <mergeCell ref="K81:O81"/>
    <mergeCell ref="C82:F82"/>
    <mergeCell ref="G82:J82"/>
    <mergeCell ref="K82:O82"/>
    <mergeCell ref="B83:AJ83"/>
    <mergeCell ref="C5:C6"/>
    <mergeCell ref="C8:C9"/>
    <mergeCell ref="C10:C11"/>
    <mergeCell ref="C31:C32"/>
    <mergeCell ref="C33:C34"/>
    <mergeCell ref="C35:C36"/>
    <mergeCell ref="C37:C38"/>
    <mergeCell ref="C39:C40"/>
    <mergeCell ref="C41:C42"/>
    <mergeCell ref="C43:C44"/>
    <mergeCell ref="C45:C46"/>
    <mergeCell ref="D5:D6"/>
    <mergeCell ref="D7:D9"/>
    <mergeCell ref="D10:D11"/>
    <mergeCell ref="D31:D32"/>
    <mergeCell ref="D33:D34"/>
    <mergeCell ref="D35:D36"/>
    <mergeCell ref="C78:F78"/>
    <mergeCell ref="G78:J78"/>
    <mergeCell ref="K78:O78"/>
    <mergeCell ref="C79:F79"/>
    <mergeCell ref="G79:J79"/>
    <mergeCell ref="K79:O79"/>
    <mergeCell ref="C80:F80"/>
    <mergeCell ref="G80:J80"/>
    <mergeCell ref="K80:O80"/>
    <mergeCell ref="C75:F75"/>
    <mergeCell ref="G75:J75"/>
    <mergeCell ref="K75:O75"/>
    <mergeCell ref="C76:F76"/>
    <mergeCell ref="G76:J76"/>
    <mergeCell ref="K76:O76"/>
    <mergeCell ref="C77:F77"/>
    <mergeCell ref="G77:J77"/>
    <mergeCell ref="K77:O77"/>
    <mergeCell ref="C72:F72"/>
    <mergeCell ref="G72:J72"/>
    <mergeCell ref="K72:O72"/>
    <mergeCell ref="C73:F73"/>
    <mergeCell ref="G73:J73"/>
    <mergeCell ref="K73:O73"/>
    <mergeCell ref="C74:F74"/>
    <mergeCell ref="G74:J74"/>
    <mergeCell ref="K74:O74"/>
    <mergeCell ref="C69:F69"/>
    <mergeCell ref="G69:J69"/>
    <mergeCell ref="K69:O69"/>
    <mergeCell ref="C70:F70"/>
    <mergeCell ref="G70:J70"/>
    <mergeCell ref="K70:O70"/>
    <mergeCell ref="C71:F71"/>
    <mergeCell ref="G71:J71"/>
    <mergeCell ref="K71:O71"/>
    <mergeCell ref="C66:F66"/>
    <mergeCell ref="G66:J66"/>
    <mergeCell ref="K66:O66"/>
    <mergeCell ref="C67:F67"/>
    <mergeCell ref="G67:J67"/>
    <mergeCell ref="K67:O67"/>
    <mergeCell ref="C68:F68"/>
    <mergeCell ref="G68:J68"/>
    <mergeCell ref="K68:O68"/>
    <mergeCell ref="C65:F65"/>
    <mergeCell ref="G65:J65"/>
    <mergeCell ref="K65:O65"/>
    <mergeCell ref="CN65:CQ65"/>
    <mergeCell ref="CR65:CS65"/>
    <mergeCell ref="CT65:CV65"/>
    <mergeCell ref="CW65:CX65"/>
    <mergeCell ref="DC65:DD65"/>
    <mergeCell ref="DE65:DF65"/>
    <mergeCell ref="AR65:AR66"/>
    <mergeCell ref="AT64:AT65"/>
    <mergeCell ref="AT66:AT67"/>
    <mergeCell ref="AV63:AV66"/>
    <mergeCell ref="AV67:AV68"/>
    <mergeCell ref="AX59:AX82"/>
    <mergeCell ref="AY61:AY62"/>
    <mergeCell ref="AY63:AY64"/>
    <mergeCell ref="AY65:AY68"/>
    <mergeCell ref="AY69:AY70"/>
    <mergeCell ref="AY71:AY73"/>
    <mergeCell ref="AY74:AY78"/>
    <mergeCell ref="AY79:AY82"/>
    <mergeCell ref="AZ61:AZ62"/>
    <mergeCell ref="AZ63:AZ64"/>
    <mergeCell ref="CN63:CQ63"/>
    <mergeCell ref="CR63:CS63"/>
    <mergeCell ref="CT63:CV63"/>
    <mergeCell ref="CW63:CX63"/>
    <mergeCell ref="DC63:DD63"/>
    <mergeCell ref="DE63:DF63"/>
    <mergeCell ref="CN64:CQ64"/>
    <mergeCell ref="CR64:CS64"/>
    <mergeCell ref="CT64:CV64"/>
    <mergeCell ref="CW64:CX64"/>
    <mergeCell ref="DC64:DD64"/>
    <mergeCell ref="DE64:DF64"/>
    <mergeCell ref="DA58:DB65"/>
    <mergeCell ref="CN61:CQ61"/>
    <mergeCell ref="CR61:CS61"/>
    <mergeCell ref="CT61:CV61"/>
    <mergeCell ref="CW61:CX61"/>
    <mergeCell ref="DC61:DD61"/>
    <mergeCell ref="DE61:DF61"/>
    <mergeCell ref="CN62:CQ62"/>
    <mergeCell ref="CR62:CS62"/>
    <mergeCell ref="CT62:CV62"/>
    <mergeCell ref="CW62:CX62"/>
    <mergeCell ref="DC62:DD62"/>
    <mergeCell ref="DE62:DF62"/>
    <mergeCell ref="CW59:CX59"/>
    <mergeCell ref="DC59:DD59"/>
    <mergeCell ref="DE59:DF59"/>
    <mergeCell ref="C60:F60"/>
    <mergeCell ref="K60:O60"/>
    <mergeCell ref="P60:T60"/>
    <mergeCell ref="U60:X60"/>
    <mergeCell ref="Y60:AB60"/>
    <mergeCell ref="AC60:AF60"/>
    <mergeCell ref="BH60:BI60"/>
    <mergeCell ref="CN60:CQ60"/>
    <mergeCell ref="CR60:CS60"/>
    <mergeCell ref="CT60:CV60"/>
    <mergeCell ref="CW60:CX60"/>
    <mergeCell ref="DC60:DD60"/>
    <mergeCell ref="DE60:DF60"/>
    <mergeCell ref="AP59:AP60"/>
    <mergeCell ref="AR59:AR64"/>
    <mergeCell ref="AT60:AT61"/>
    <mergeCell ref="AT62:AT63"/>
    <mergeCell ref="BB59:BB60"/>
    <mergeCell ref="BB61:BB62"/>
    <mergeCell ref="BB63:BB64"/>
    <mergeCell ref="CW58:CX58"/>
    <mergeCell ref="DC58:DD58"/>
    <mergeCell ref="DE58:DF58"/>
    <mergeCell ref="CC56:CE56"/>
    <mergeCell ref="K59:O59"/>
    <mergeCell ref="P59:T59"/>
    <mergeCell ref="U59:X59"/>
    <mergeCell ref="Y59:AB59"/>
    <mergeCell ref="AC59:AF59"/>
    <mergeCell ref="BH59:BI59"/>
    <mergeCell ref="CN59:CQ59"/>
    <mergeCell ref="CR59:CS59"/>
    <mergeCell ref="CT59:CV59"/>
    <mergeCell ref="BE58:BI58"/>
    <mergeCell ref="BL58:BO58"/>
    <mergeCell ref="BP58:BS58"/>
    <mergeCell ref="BW58:BY58"/>
    <mergeCell ref="CC58:CE58"/>
    <mergeCell ref="CI58:CK58"/>
    <mergeCell ref="CN58:CQ58"/>
    <mergeCell ref="CR58:CS58"/>
    <mergeCell ref="CT58:CV58"/>
    <mergeCell ref="AG57:AH57"/>
    <mergeCell ref="AN57:AO57"/>
    <mergeCell ref="K58:O58"/>
    <mergeCell ref="P58:T58"/>
    <mergeCell ref="U58:X58"/>
    <mergeCell ref="Y58:AB58"/>
    <mergeCell ref="AC58:AF58"/>
    <mergeCell ref="AU58:AY58"/>
    <mergeCell ref="AZ58:BD58"/>
    <mergeCell ref="CF56:CH56"/>
    <mergeCell ref="CI56:CK56"/>
    <mergeCell ref="AI56:AJ56"/>
    <mergeCell ref="AK56:AM56"/>
    <mergeCell ref="AN56:AO56"/>
    <mergeCell ref="AU56:AY56"/>
    <mergeCell ref="AZ56:BD56"/>
    <mergeCell ref="BE56:BI56"/>
    <mergeCell ref="BJ56:BK56"/>
    <mergeCell ref="CL56:CM56"/>
    <mergeCell ref="CN56:CQ56"/>
    <mergeCell ref="CR56:CS56"/>
    <mergeCell ref="CT56:CV56"/>
    <mergeCell ref="CW56:CX56"/>
    <mergeCell ref="DA56:DB56"/>
    <mergeCell ref="BL55:CK55"/>
    <mergeCell ref="CL55:CM55"/>
    <mergeCell ref="CN55:DF55"/>
    <mergeCell ref="BT56:BV56"/>
    <mergeCell ref="BW56:BY56"/>
    <mergeCell ref="BZ56:CB56"/>
    <mergeCell ref="DC56:DD56"/>
    <mergeCell ref="DE56:DF56"/>
    <mergeCell ref="BL56:BO56"/>
    <mergeCell ref="BP56:BS56"/>
    <mergeCell ref="A56:B56"/>
    <mergeCell ref="C56:F56"/>
    <mergeCell ref="G56:J56"/>
    <mergeCell ref="K56:O56"/>
    <mergeCell ref="P56:T56"/>
    <mergeCell ref="U56:X56"/>
    <mergeCell ref="Y56:AB56"/>
    <mergeCell ref="AC56:AF56"/>
    <mergeCell ref="AG56:AH56"/>
    <mergeCell ref="AS48:AT48"/>
    <mergeCell ref="A49:B49"/>
    <mergeCell ref="C49:AL49"/>
    <mergeCell ref="AS49:AT49"/>
    <mergeCell ref="A54:B54"/>
    <mergeCell ref="A55:B55"/>
    <mergeCell ref="C55:AH55"/>
    <mergeCell ref="AI55:AJ55"/>
    <mergeCell ref="BJ55:BK55"/>
    <mergeCell ref="C4:O4"/>
    <mergeCell ref="Y4:Z4"/>
    <mergeCell ref="AA4:AL4"/>
    <mergeCell ref="C47:O47"/>
    <mergeCell ref="Y47:Z47"/>
    <mergeCell ref="AA47:AL47"/>
    <mergeCell ref="A48:B48"/>
    <mergeCell ref="N48:O48"/>
    <mergeCell ref="P48:R48"/>
    <mergeCell ref="S48:T48"/>
    <mergeCell ref="U48:V48"/>
    <mergeCell ref="W48:X48"/>
    <mergeCell ref="Y48:Z48"/>
    <mergeCell ref="D37:D38"/>
    <mergeCell ref="D39:D40"/>
    <mergeCell ref="D41:D42"/>
    <mergeCell ref="D43:D44"/>
    <mergeCell ref="D45:D46"/>
    <mergeCell ref="E8:E9"/>
    <mergeCell ref="E10:E11"/>
    <mergeCell ref="E31:E32"/>
    <mergeCell ref="E33:E34"/>
    <mergeCell ref="E35:E36"/>
    <mergeCell ref="E37:E38"/>
    <mergeCell ref="A1:H1"/>
    <mergeCell ref="A2:B2"/>
    <mergeCell ref="C2:AL2"/>
    <mergeCell ref="AS2:AT2"/>
    <mergeCell ref="A3:B3"/>
    <mergeCell ref="N3:O3"/>
    <mergeCell ref="P3:R3"/>
    <mergeCell ref="S3:T3"/>
    <mergeCell ref="U3:V3"/>
    <mergeCell ref="W3:X3"/>
    <mergeCell ref="Y3:Z3"/>
    <mergeCell ref="AS3:AT3"/>
  </mergeCells>
  <phoneticPr fontId="378" type="noConversion"/>
  <hyperlinks>
    <hyperlink ref="AI39:AJ39" location="总目录!A1" display="返回目录"/>
    <hyperlink ref="AI54:AJ54" location="总目录!A1" display="返回目录"/>
  </hyperlinks>
  <pageMargins left="0.75" right="0.75" top="1" bottom="1" header="0.50902777777777797" footer="0.50902777777777797"/>
  <pageSetup paperSize="9" orientation="portrait"/>
  <headerFooter scaleWithDoc="0"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3"/>
  <sheetViews>
    <sheetView topLeftCell="A40" zoomScale="85" zoomScaleNormal="85" workbookViewId="0">
      <selection activeCell="U63" sqref="U63:V63"/>
    </sheetView>
  </sheetViews>
  <sheetFormatPr defaultColWidth="9" defaultRowHeight="16.5"/>
  <cols>
    <col min="18" max="18" width="9.375"/>
  </cols>
  <sheetData>
    <row r="1" spans="1:22">
      <c r="A1" s="3717" t="s">
        <v>7448</v>
      </c>
      <c r="B1" s="3627"/>
      <c r="C1" s="3627"/>
      <c r="D1" s="3627"/>
      <c r="E1" s="3627"/>
      <c r="F1" s="3627"/>
      <c r="G1" s="3627"/>
      <c r="H1" s="3627"/>
      <c r="I1" s="3627"/>
      <c r="J1" s="3627"/>
      <c r="K1" s="3627"/>
      <c r="L1" s="3627"/>
      <c r="M1" s="3627"/>
      <c r="N1" s="3627"/>
      <c r="O1" s="3627"/>
      <c r="P1" s="3627"/>
      <c r="Q1" s="3627"/>
      <c r="R1" s="3627"/>
      <c r="S1" s="3627"/>
      <c r="T1" s="3627"/>
      <c r="U1" s="3627"/>
      <c r="V1" s="3627"/>
    </row>
    <row r="2" spans="1:22">
      <c r="A2" s="3718" t="s">
        <v>7449</v>
      </c>
      <c r="B2" s="3719"/>
      <c r="C2" s="3636" t="s">
        <v>8032</v>
      </c>
      <c r="D2" s="3636"/>
      <c r="E2" s="3636"/>
      <c r="F2" s="3636"/>
      <c r="G2" s="3636"/>
      <c r="H2" s="3636"/>
      <c r="I2" s="3636"/>
      <c r="J2" s="3636"/>
      <c r="K2" s="3636"/>
      <c r="L2" s="3636"/>
      <c r="M2" s="3636"/>
      <c r="N2" s="3636"/>
      <c r="O2" s="3636"/>
      <c r="P2" s="3636"/>
      <c r="Q2" s="3636"/>
      <c r="R2" s="3636"/>
      <c r="S2" s="3636"/>
      <c r="T2" s="3636"/>
      <c r="U2" s="3636"/>
      <c r="V2" s="3645"/>
    </row>
    <row r="3" spans="1:22">
      <c r="A3" s="3720" t="s">
        <v>7452</v>
      </c>
      <c r="B3" s="3721"/>
      <c r="C3" s="1836" t="s">
        <v>8033</v>
      </c>
      <c r="D3" s="1837" t="s">
        <v>8034</v>
      </c>
      <c r="E3" s="1837" t="s">
        <v>8035</v>
      </c>
      <c r="F3" s="1837" t="s">
        <v>8036</v>
      </c>
      <c r="G3" s="1837" t="s">
        <v>8037</v>
      </c>
      <c r="H3" s="1837" t="s">
        <v>8038</v>
      </c>
      <c r="I3" s="1837" t="s">
        <v>8039</v>
      </c>
      <c r="J3" s="1837" t="s">
        <v>8040</v>
      </c>
      <c r="K3" s="1837" t="s">
        <v>8041</v>
      </c>
      <c r="L3" s="1837" t="s">
        <v>8042</v>
      </c>
      <c r="M3" s="1837" t="s">
        <v>8043</v>
      </c>
      <c r="N3" s="1837" t="s">
        <v>8044</v>
      </c>
      <c r="O3" s="1891" t="s">
        <v>8045</v>
      </c>
      <c r="P3" s="1892" t="s">
        <v>8046</v>
      </c>
      <c r="Q3" s="1837" t="s">
        <v>8047</v>
      </c>
      <c r="R3" s="1837" t="s">
        <v>8048</v>
      </c>
      <c r="S3" s="1837" t="s">
        <v>8049</v>
      </c>
      <c r="T3" s="1837" t="s">
        <v>8050</v>
      </c>
      <c r="U3" s="1837" t="s">
        <v>8051</v>
      </c>
      <c r="V3" s="1904" t="s">
        <v>8052</v>
      </c>
    </row>
    <row r="4" spans="1:22">
      <c r="A4" s="1838" t="s">
        <v>7342</v>
      </c>
      <c r="B4" s="1839" t="s">
        <v>7343</v>
      </c>
      <c r="C4" s="3722" t="s">
        <v>8053</v>
      </c>
      <c r="D4" s="3619"/>
      <c r="E4" s="3619"/>
      <c r="F4" s="3619"/>
      <c r="G4" s="3619"/>
      <c r="H4" s="3619"/>
      <c r="I4" s="3619"/>
      <c r="J4" s="3619"/>
      <c r="K4" s="3619"/>
      <c r="L4" s="3619"/>
      <c r="M4" s="3619"/>
      <c r="N4" s="3619"/>
      <c r="O4" s="3723"/>
      <c r="P4" s="3724" t="s">
        <v>7452</v>
      </c>
      <c r="Q4" s="3619"/>
      <c r="R4" s="3619"/>
      <c r="S4" s="3619"/>
      <c r="T4" s="3619"/>
      <c r="U4" s="3619"/>
      <c r="V4" s="3621"/>
    </row>
    <row r="5" spans="1:22">
      <c r="A5" s="1838" t="s">
        <v>2074</v>
      </c>
      <c r="B5" s="1839">
        <v>3</v>
      </c>
      <c r="C5" s="1841">
        <v>0.3</v>
      </c>
      <c r="D5" s="1840">
        <v>0.5</v>
      </c>
      <c r="E5" s="1840">
        <v>0.8</v>
      </c>
      <c r="F5" s="1840">
        <v>1.2</v>
      </c>
      <c r="G5" s="1840">
        <v>2</v>
      </c>
      <c r="H5" s="1840">
        <v>3</v>
      </c>
      <c r="I5" s="1840">
        <v>4</v>
      </c>
      <c r="J5" s="1840">
        <v>6</v>
      </c>
      <c r="K5" s="1840">
        <v>10</v>
      </c>
      <c r="L5" s="1840">
        <v>14</v>
      </c>
      <c r="M5" s="1840">
        <v>25</v>
      </c>
      <c r="N5" s="1840">
        <v>40</v>
      </c>
      <c r="O5" s="1893">
        <v>60</v>
      </c>
      <c r="P5" s="1894">
        <v>0.1</v>
      </c>
      <c r="Q5" s="1905">
        <v>0.14000000000000001</v>
      </c>
      <c r="R5" s="1906">
        <v>0.25</v>
      </c>
      <c r="S5" s="1906">
        <v>0.4</v>
      </c>
      <c r="T5" s="1906">
        <v>0.6</v>
      </c>
      <c r="U5" s="1907">
        <v>1</v>
      </c>
      <c r="V5" s="1908">
        <v>1.4</v>
      </c>
    </row>
    <row r="6" spans="1:22">
      <c r="A6" s="1838">
        <v>3</v>
      </c>
      <c r="B6" s="1839">
        <v>6</v>
      </c>
      <c r="C6" s="1841">
        <v>0.4</v>
      </c>
      <c r="D6" s="1840">
        <v>0.6</v>
      </c>
      <c r="E6" s="1840">
        <v>1</v>
      </c>
      <c r="F6" s="1840">
        <v>1.5</v>
      </c>
      <c r="G6" s="1840">
        <v>2.5</v>
      </c>
      <c r="H6" s="1840">
        <v>4</v>
      </c>
      <c r="I6" s="1840">
        <v>5</v>
      </c>
      <c r="J6" s="1840">
        <v>8</v>
      </c>
      <c r="K6" s="1840">
        <v>12</v>
      </c>
      <c r="L6" s="1840">
        <v>18</v>
      </c>
      <c r="M6" s="1840">
        <v>30</v>
      </c>
      <c r="N6" s="1840">
        <v>48</v>
      </c>
      <c r="O6" s="1893">
        <v>75</v>
      </c>
      <c r="P6" s="1894">
        <v>0.12</v>
      </c>
      <c r="Q6" s="1905">
        <v>0.18</v>
      </c>
      <c r="R6" s="1905">
        <v>0.3</v>
      </c>
      <c r="S6" s="1905">
        <v>0.48</v>
      </c>
      <c r="T6" s="1905">
        <v>0.75</v>
      </c>
      <c r="U6" s="1909">
        <v>1.2</v>
      </c>
      <c r="V6" s="1910">
        <v>1.8</v>
      </c>
    </row>
    <row r="7" spans="1:22">
      <c r="A7" s="1838">
        <v>6</v>
      </c>
      <c r="B7" s="1839">
        <v>10</v>
      </c>
      <c r="C7" s="1841">
        <v>0.4</v>
      </c>
      <c r="D7" s="1840">
        <v>0.6</v>
      </c>
      <c r="E7" s="1840">
        <v>1</v>
      </c>
      <c r="F7" s="1840">
        <v>1.5</v>
      </c>
      <c r="G7" s="1840">
        <v>2.5</v>
      </c>
      <c r="H7" s="1840">
        <v>4</v>
      </c>
      <c r="I7" s="1840">
        <v>6</v>
      </c>
      <c r="J7" s="1840">
        <v>9</v>
      </c>
      <c r="K7" s="1840">
        <v>15</v>
      </c>
      <c r="L7" s="1840">
        <v>22</v>
      </c>
      <c r="M7" s="1840">
        <v>36</v>
      </c>
      <c r="N7" s="1840">
        <v>58</v>
      </c>
      <c r="O7" s="1893">
        <v>90</v>
      </c>
      <c r="P7" s="1894">
        <v>0.15</v>
      </c>
      <c r="Q7" s="1905">
        <v>0.22</v>
      </c>
      <c r="R7" s="1905">
        <v>0.36</v>
      </c>
      <c r="S7" s="1905">
        <v>0.57999999999999996</v>
      </c>
      <c r="T7" s="1905">
        <v>0.9</v>
      </c>
      <c r="U7" s="1909">
        <v>1.5</v>
      </c>
      <c r="V7" s="1910">
        <v>2.2000000000000002</v>
      </c>
    </row>
    <row r="8" spans="1:22">
      <c r="A8" s="1838">
        <v>10</v>
      </c>
      <c r="B8" s="1839">
        <v>18</v>
      </c>
      <c r="C8" s="1841">
        <v>0.5</v>
      </c>
      <c r="D8" s="1840">
        <v>0.8</v>
      </c>
      <c r="E8" s="1840">
        <v>1.2</v>
      </c>
      <c r="F8" s="1840">
        <v>2</v>
      </c>
      <c r="G8" s="1840">
        <v>3</v>
      </c>
      <c r="H8" s="1840">
        <v>5</v>
      </c>
      <c r="I8" s="1840">
        <v>8</v>
      </c>
      <c r="J8" s="1851">
        <v>11</v>
      </c>
      <c r="K8" s="1851">
        <v>18</v>
      </c>
      <c r="L8" s="1851">
        <v>27</v>
      </c>
      <c r="M8" s="1851">
        <v>43</v>
      </c>
      <c r="N8" s="1840">
        <v>70</v>
      </c>
      <c r="O8" s="1893">
        <v>110</v>
      </c>
      <c r="P8" s="1894">
        <v>0.18</v>
      </c>
      <c r="Q8" s="1905">
        <v>0.27</v>
      </c>
      <c r="R8" s="1905">
        <v>0.43</v>
      </c>
      <c r="S8" s="1905">
        <v>0.7</v>
      </c>
      <c r="T8" s="1905">
        <v>1.1000000000000001</v>
      </c>
      <c r="U8" s="1909">
        <v>1.8</v>
      </c>
      <c r="V8" s="1910">
        <v>2.7</v>
      </c>
    </row>
    <row r="9" spans="1:22">
      <c r="A9" s="1838">
        <v>18</v>
      </c>
      <c r="B9" s="1839">
        <v>30</v>
      </c>
      <c r="C9" s="1841">
        <v>0.6</v>
      </c>
      <c r="D9" s="1840">
        <v>1</v>
      </c>
      <c r="E9" s="1840">
        <v>1.5</v>
      </c>
      <c r="F9" s="1840">
        <v>2.5</v>
      </c>
      <c r="G9" s="1840">
        <v>4</v>
      </c>
      <c r="H9" s="1840">
        <v>6</v>
      </c>
      <c r="I9" s="1840">
        <v>9</v>
      </c>
      <c r="J9" s="1851">
        <v>13</v>
      </c>
      <c r="K9" s="1851">
        <v>21</v>
      </c>
      <c r="L9" s="1851">
        <v>33</v>
      </c>
      <c r="M9" s="1851">
        <v>52</v>
      </c>
      <c r="N9" s="1840">
        <v>84</v>
      </c>
      <c r="O9" s="1893">
        <v>130</v>
      </c>
      <c r="P9" s="1894">
        <v>0.21</v>
      </c>
      <c r="Q9" s="1905">
        <v>0.33</v>
      </c>
      <c r="R9" s="1905">
        <v>0.52</v>
      </c>
      <c r="S9" s="1905">
        <v>0.84</v>
      </c>
      <c r="T9" s="1905">
        <v>1.3</v>
      </c>
      <c r="U9" s="1909">
        <v>2.1</v>
      </c>
      <c r="V9" s="1910">
        <v>3.3</v>
      </c>
    </row>
    <row r="10" spans="1:22">
      <c r="A10" s="1838">
        <v>30</v>
      </c>
      <c r="B10" s="1839">
        <v>50</v>
      </c>
      <c r="C10" s="1841">
        <v>0.6</v>
      </c>
      <c r="D10" s="1840">
        <v>1</v>
      </c>
      <c r="E10" s="1840">
        <v>1.5</v>
      </c>
      <c r="F10" s="1840">
        <v>2.5</v>
      </c>
      <c r="G10" s="1840">
        <v>4</v>
      </c>
      <c r="H10" s="1840">
        <v>7</v>
      </c>
      <c r="I10" s="1840">
        <v>11</v>
      </c>
      <c r="J10" s="1851">
        <v>16</v>
      </c>
      <c r="K10" s="1851">
        <v>25</v>
      </c>
      <c r="L10" s="1851">
        <v>39</v>
      </c>
      <c r="M10" s="1851">
        <v>62</v>
      </c>
      <c r="N10" s="1840">
        <v>100</v>
      </c>
      <c r="O10" s="1893">
        <v>160</v>
      </c>
      <c r="P10" s="1894">
        <v>0.25</v>
      </c>
      <c r="Q10" s="1905">
        <v>0.39</v>
      </c>
      <c r="R10" s="1905">
        <v>0.62</v>
      </c>
      <c r="S10" s="1905">
        <v>1</v>
      </c>
      <c r="T10" s="1905">
        <v>1.6</v>
      </c>
      <c r="U10" s="1909">
        <v>2.5</v>
      </c>
      <c r="V10" s="1910">
        <v>3.9</v>
      </c>
    </row>
    <row r="11" spans="1:22">
      <c r="A11" s="1838">
        <v>50</v>
      </c>
      <c r="B11" s="1839">
        <v>80</v>
      </c>
      <c r="C11" s="1841">
        <v>0.8</v>
      </c>
      <c r="D11" s="1840">
        <v>1.2</v>
      </c>
      <c r="E11" s="1840">
        <v>2</v>
      </c>
      <c r="F11" s="1840">
        <v>3</v>
      </c>
      <c r="G11" s="1840">
        <v>5</v>
      </c>
      <c r="H11" s="1840">
        <v>8</v>
      </c>
      <c r="I11" s="1840">
        <v>13</v>
      </c>
      <c r="J11" s="1851">
        <v>19</v>
      </c>
      <c r="K11" s="1851">
        <v>30</v>
      </c>
      <c r="L11" s="1851">
        <v>46</v>
      </c>
      <c r="M11" s="1851">
        <v>74</v>
      </c>
      <c r="N11" s="1840">
        <v>120</v>
      </c>
      <c r="O11" s="1893">
        <v>190</v>
      </c>
      <c r="P11" s="1894">
        <v>0.3</v>
      </c>
      <c r="Q11" s="1905">
        <v>0.46</v>
      </c>
      <c r="R11" s="1905">
        <v>0.74</v>
      </c>
      <c r="S11" s="1905">
        <v>1.2</v>
      </c>
      <c r="T11" s="1905">
        <v>1.9</v>
      </c>
      <c r="U11" s="1909">
        <v>3</v>
      </c>
      <c r="V11" s="1910">
        <v>4.5999999999999996</v>
      </c>
    </row>
    <row r="12" spans="1:22">
      <c r="A12" s="1838">
        <v>80</v>
      </c>
      <c r="B12" s="1839">
        <v>120</v>
      </c>
      <c r="C12" s="1841">
        <v>1</v>
      </c>
      <c r="D12" s="1840">
        <v>1.5</v>
      </c>
      <c r="E12" s="1840">
        <v>2.5</v>
      </c>
      <c r="F12" s="1840">
        <v>4</v>
      </c>
      <c r="G12" s="1840">
        <v>6</v>
      </c>
      <c r="H12" s="1840">
        <v>10</v>
      </c>
      <c r="I12" s="1840">
        <v>15</v>
      </c>
      <c r="J12" s="1851">
        <v>22</v>
      </c>
      <c r="K12" s="1851">
        <v>35</v>
      </c>
      <c r="L12" s="1851">
        <v>54</v>
      </c>
      <c r="M12" s="1851">
        <v>87</v>
      </c>
      <c r="N12" s="1840">
        <v>140</v>
      </c>
      <c r="O12" s="1893">
        <v>220</v>
      </c>
      <c r="P12" s="1894">
        <v>0.35</v>
      </c>
      <c r="Q12" s="1905">
        <v>0.54</v>
      </c>
      <c r="R12" s="1905">
        <v>0.87</v>
      </c>
      <c r="S12" s="1905">
        <v>1.4</v>
      </c>
      <c r="T12" s="1905">
        <v>2.2000000000000002</v>
      </c>
      <c r="U12" s="1909">
        <v>3.5</v>
      </c>
      <c r="V12" s="1910">
        <v>5.4</v>
      </c>
    </row>
    <row r="13" spans="1:22">
      <c r="A13" s="1838">
        <v>120</v>
      </c>
      <c r="B13" s="1839">
        <v>180</v>
      </c>
      <c r="C13" s="1841">
        <v>1.2</v>
      </c>
      <c r="D13" s="1840">
        <v>2</v>
      </c>
      <c r="E13" s="1840">
        <v>3.5</v>
      </c>
      <c r="F13" s="1840">
        <v>5</v>
      </c>
      <c r="G13" s="1840">
        <v>8</v>
      </c>
      <c r="H13" s="1840">
        <v>12</v>
      </c>
      <c r="I13" s="1840">
        <v>18</v>
      </c>
      <c r="J13" s="1851">
        <v>25</v>
      </c>
      <c r="K13" s="1851">
        <v>40</v>
      </c>
      <c r="L13" s="1851">
        <v>63</v>
      </c>
      <c r="M13" s="1851">
        <v>100</v>
      </c>
      <c r="N13" s="1840">
        <v>160</v>
      </c>
      <c r="O13" s="1893">
        <v>250</v>
      </c>
      <c r="P13" s="1894">
        <v>0.4</v>
      </c>
      <c r="Q13" s="1905">
        <v>0.63</v>
      </c>
      <c r="R13" s="1905">
        <v>1</v>
      </c>
      <c r="S13" s="1905">
        <v>1.6</v>
      </c>
      <c r="T13" s="1905">
        <v>2.5</v>
      </c>
      <c r="U13" s="1909">
        <v>4</v>
      </c>
      <c r="V13" s="1910">
        <v>6.3</v>
      </c>
    </row>
    <row r="14" spans="1:22">
      <c r="A14" s="1838">
        <v>180</v>
      </c>
      <c r="B14" s="1839">
        <v>250</v>
      </c>
      <c r="C14" s="1841">
        <v>2</v>
      </c>
      <c r="D14" s="1840">
        <v>3</v>
      </c>
      <c r="E14" s="1840">
        <v>4.5</v>
      </c>
      <c r="F14" s="1840">
        <v>7</v>
      </c>
      <c r="G14" s="1840">
        <v>10</v>
      </c>
      <c r="H14" s="1840">
        <v>14</v>
      </c>
      <c r="I14" s="1840">
        <v>20</v>
      </c>
      <c r="J14" s="1851">
        <v>29</v>
      </c>
      <c r="K14" s="1851">
        <v>46</v>
      </c>
      <c r="L14" s="1851">
        <v>72</v>
      </c>
      <c r="M14" s="1851">
        <v>115</v>
      </c>
      <c r="N14" s="1840">
        <v>185</v>
      </c>
      <c r="O14" s="1893">
        <v>290</v>
      </c>
      <c r="P14" s="1894">
        <v>0.46</v>
      </c>
      <c r="Q14" s="1905">
        <v>0.72</v>
      </c>
      <c r="R14" s="1905">
        <v>1.1499999999999999</v>
      </c>
      <c r="S14" s="1905">
        <v>1.85</v>
      </c>
      <c r="T14" s="1905">
        <v>2.9</v>
      </c>
      <c r="U14" s="1909">
        <v>4.5999999999999996</v>
      </c>
      <c r="V14" s="1910">
        <v>7.2</v>
      </c>
    </row>
    <row r="15" spans="1:22">
      <c r="A15" s="1838">
        <v>250</v>
      </c>
      <c r="B15" s="1839">
        <v>315</v>
      </c>
      <c r="C15" s="1841">
        <v>2.5</v>
      </c>
      <c r="D15" s="1840">
        <v>4</v>
      </c>
      <c r="E15" s="1840">
        <v>6</v>
      </c>
      <c r="F15" s="1840">
        <v>8</v>
      </c>
      <c r="G15" s="1840">
        <v>12</v>
      </c>
      <c r="H15" s="1840">
        <v>16</v>
      </c>
      <c r="I15" s="1840">
        <v>23</v>
      </c>
      <c r="J15" s="1851">
        <v>32</v>
      </c>
      <c r="K15" s="1851">
        <v>52</v>
      </c>
      <c r="L15" s="1851">
        <v>81</v>
      </c>
      <c r="M15" s="1851">
        <v>130</v>
      </c>
      <c r="N15" s="1840">
        <v>210</v>
      </c>
      <c r="O15" s="1893">
        <v>320</v>
      </c>
      <c r="P15" s="1894">
        <v>0.52</v>
      </c>
      <c r="Q15" s="1905">
        <v>0.81</v>
      </c>
      <c r="R15" s="1905">
        <v>1.3</v>
      </c>
      <c r="S15" s="1905">
        <v>2.1</v>
      </c>
      <c r="T15" s="1905">
        <v>3.2</v>
      </c>
      <c r="U15" s="1909">
        <v>5.2</v>
      </c>
      <c r="V15" s="1910">
        <v>8.1</v>
      </c>
    </row>
    <row r="16" spans="1:22">
      <c r="A16" s="1838">
        <v>315</v>
      </c>
      <c r="B16" s="1839">
        <v>400</v>
      </c>
      <c r="C16" s="1841">
        <v>3</v>
      </c>
      <c r="D16" s="1840">
        <v>5</v>
      </c>
      <c r="E16" s="1840">
        <v>7</v>
      </c>
      <c r="F16" s="1840">
        <v>9</v>
      </c>
      <c r="G16" s="1840">
        <v>13</v>
      </c>
      <c r="H16" s="1840">
        <v>18</v>
      </c>
      <c r="I16" s="1840">
        <v>25</v>
      </c>
      <c r="J16" s="1851">
        <v>36</v>
      </c>
      <c r="K16" s="1851">
        <v>57</v>
      </c>
      <c r="L16" s="1851">
        <v>89</v>
      </c>
      <c r="M16" s="1851">
        <v>140</v>
      </c>
      <c r="N16" s="1840">
        <v>230</v>
      </c>
      <c r="O16" s="1893">
        <v>360</v>
      </c>
      <c r="P16" s="1894">
        <v>0.56999999999999995</v>
      </c>
      <c r="Q16" s="1905">
        <v>0.89</v>
      </c>
      <c r="R16" s="1905">
        <v>1.4</v>
      </c>
      <c r="S16" s="1905">
        <v>2.2999999999999998</v>
      </c>
      <c r="T16" s="1905">
        <v>3.6</v>
      </c>
      <c r="U16" s="1909">
        <v>5.7</v>
      </c>
      <c r="V16" s="1910">
        <v>8.9</v>
      </c>
    </row>
    <row r="17" spans="1:22">
      <c r="A17" s="1838">
        <v>400</v>
      </c>
      <c r="B17" s="1839">
        <v>500</v>
      </c>
      <c r="C17" s="1841">
        <v>4</v>
      </c>
      <c r="D17" s="1840">
        <v>6</v>
      </c>
      <c r="E17" s="1840">
        <v>8</v>
      </c>
      <c r="F17" s="1840">
        <v>10</v>
      </c>
      <c r="G17" s="1840">
        <v>15</v>
      </c>
      <c r="H17" s="1840">
        <v>20</v>
      </c>
      <c r="I17" s="1840">
        <v>27</v>
      </c>
      <c r="J17" s="1851">
        <v>40</v>
      </c>
      <c r="K17" s="1851">
        <v>63</v>
      </c>
      <c r="L17" s="1851">
        <v>97</v>
      </c>
      <c r="M17" s="1851">
        <v>155</v>
      </c>
      <c r="N17" s="1840">
        <v>250</v>
      </c>
      <c r="O17" s="1893">
        <v>400</v>
      </c>
      <c r="P17" s="1894">
        <v>0.63</v>
      </c>
      <c r="Q17" s="1905">
        <v>0.97</v>
      </c>
      <c r="R17" s="1905">
        <v>1.55</v>
      </c>
      <c r="S17" s="1905">
        <v>2.5</v>
      </c>
      <c r="T17" s="1905">
        <v>4</v>
      </c>
      <c r="U17" s="1909">
        <v>6.3</v>
      </c>
      <c r="V17" s="1910">
        <v>9.6999999999999993</v>
      </c>
    </row>
    <row r="18" spans="1:22">
      <c r="A18" s="1838">
        <v>500</v>
      </c>
      <c r="B18" s="1839">
        <v>630</v>
      </c>
      <c r="C18" s="1841"/>
      <c r="D18" s="1840"/>
      <c r="E18" s="1840">
        <v>9</v>
      </c>
      <c r="F18" s="1840">
        <v>11</v>
      </c>
      <c r="G18" s="1840">
        <v>16</v>
      </c>
      <c r="H18" s="1840">
        <v>22</v>
      </c>
      <c r="I18" s="1840">
        <v>32</v>
      </c>
      <c r="J18" s="1840">
        <v>44</v>
      </c>
      <c r="K18" s="1840">
        <v>70</v>
      </c>
      <c r="L18" s="1840">
        <v>110</v>
      </c>
      <c r="M18" s="1840">
        <v>175</v>
      </c>
      <c r="N18" s="1840">
        <v>280</v>
      </c>
      <c r="O18" s="1893">
        <v>440</v>
      </c>
      <c r="P18" s="1894">
        <v>0.7</v>
      </c>
      <c r="Q18" s="1905">
        <v>1.1000000000000001</v>
      </c>
      <c r="R18" s="1905">
        <v>1.75</v>
      </c>
      <c r="S18" s="1905">
        <v>2.8</v>
      </c>
      <c r="T18" s="1905">
        <v>4.4000000000000004</v>
      </c>
      <c r="U18" s="1909">
        <v>7</v>
      </c>
      <c r="V18" s="1910">
        <v>11</v>
      </c>
    </row>
    <row r="19" spans="1:22">
      <c r="A19" s="1838">
        <v>630</v>
      </c>
      <c r="B19" s="1839">
        <v>800</v>
      </c>
      <c r="C19" s="1841"/>
      <c r="D19" s="1840"/>
      <c r="E19" s="1840">
        <v>10</v>
      </c>
      <c r="F19" s="1840">
        <v>13</v>
      </c>
      <c r="G19" s="1840">
        <v>18</v>
      </c>
      <c r="H19" s="1840">
        <v>25</v>
      </c>
      <c r="I19" s="1840">
        <v>36</v>
      </c>
      <c r="J19" s="1840">
        <v>50</v>
      </c>
      <c r="K19" s="1840">
        <v>80</v>
      </c>
      <c r="L19" s="1840">
        <v>125</v>
      </c>
      <c r="M19" s="1840">
        <v>200</v>
      </c>
      <c r="N19" s="1840">
        <v>320</v>
      </c>
      <c r="O19" s="1893">
        <v>500</v>
      </c>
      <c r="P19" s="1894">
        <v>0.8</v>
      </c>
      <c r="Q19" s="1905">
        <v>1.25</v>
      </c>
      <c r="R19" s="1905">
        <v>2</v>
      </c>
      <c r="S19" s="1905">
        <v>3.2</v>
      </c>
      <c r="T19" s="1905">
        <v>5</v>
      </c>
      <c r="U19" s="1909">
        <v>8</v>
      </c>
      <c r="V19" s="1910">
        <v>12.5</v>
      </c>
    </row>
    <row r="20" spans="1:22">
      <c r="A20" s="1838">
        <v>800</v>
      </c>
      <c r="B20" s="1839">
        <v>1000</v>
      </c>
      <c r="C20" s="1841"/>
      <c r="D20" s="1840"/>
      <c r="E20" s="1840">
        <v>11</v>
      </c>
      <c r="F20" s="1840">
        <v>15</v>
      </c>
      <c r="G20" s="1840">
        <v>21</v>
      </c>
      <c r="H20" s="1840">
        <v>28</v>
      </c>
      <c r="I20" s="1840">
        <v>40</v>
      </c>
      <c r="J20" s="1840">
        <v>56</v>
      </c>
      <c r="K20" s="1840">
        <v>90</v>
      </c>
      <c r="L20" s="1840">
        <v>140</v>
      </c>
      <c r="M20" s="1840">
        <v>230</v>
      </c>
      <c r="N20" s="1840">
        <v>360</v>
      </c>
      <c r="O20" s="1893">
        <v>560</v>
      </c>
      <c r="P20" s="1894">
        <v>0.9</v>
      </c>
      <c r="Q20" s="1905">
        <v>1.4</v>
      </c>
      <c r="R20" s="1905">
        <v>2.2999999999999998</v>
      </c>
      <c r="S20" s="1905">
        <v>3.6</v>
      </c>
      <c r="T20" s="1905">
        <v>5.6</v>
      </c>
      <c r="U20" s="1909">
        <v>9</v>
      </c>
      <c r="V20" s="1910">
        <v>14</v>
      </c>
    </row>
    <row r="21" spans="1:22">
      <c r="A21" s="1838">
        <v>1000</v>
      </c>
      <c r="B21" s="1839">
        <v>1250</v>
      </c>
      <c r="C21" s="1841"/>
      <c r="D21" s="1840"/>
      <c r="E21" s="1840">
        <v>13</v>
      </c>
      <c r="F21" s="1840">
        <v>18</v>
      </c>
      <c r="G21" s="1840">
        <v>24</v>
      </c>
      <c r="H21" s="1840">
        <v>33</v>
      </c>
      <c r="I21" s="1840">
        <v>47</v>
      </c>
      <c r="J21" s="1840">
        <v>66</v>
      </c>
      <c r="K21" s="1840">
        <v>105</v>
      </c>
      <c r="L21" s="1840">
        <v>165</v>
      </c>
      <c r="M21" s="1840">
        <v>260</v>
      </c>
      <c r="N21" s="1840">
        <v>420</v>
      </c>
      <c r="O21" s="1893">
        <v>660</v>
      </c>
      <c r="P21" s="1894">
        <v>1.05</v>
      </c>
      <c r="Q21" s="1905">
        <v>1.65</v>
      </c>
      <c r="R21" s="1905">
        <v>2.6</v>
      </c>
      <c r="S21" s="1905">
        <v>4.2</v>
      </c>
      <c r="T21" s="1905">
        <v>6.6</v>
      </c>
      <c r="U21" s="1909">
        <v>10.5</v>
      </c>
      <c r="V21" s="1910">
        <v>16.5</v>
      </c>
    </row>
    <row r="22" spans="1:22">
      <c r="A22" s="1838">
        <v>1250</v>
      </c>
      <c r="B22" s="1842">
        <v>1600</v>
      </c>
      <c r="C22" s="1841"/>
      <c r="D22" s="1840"/>
      <c r="E22" s="1840">
        <v>15</v>
      </c>
      <c r="F22" s="1840">
        <v>21</v>
      </c>
      <c r="G22" s="1840">
        <v>29</v>
      </c>
      <c r="H22" s="1840">
        <v>39</v>
      </c>
      <c r="I22" s="1840">
        <v>55</v>
      </c>
      <c r="J22" s="1840">
        <v>78</v>
      </c>
      <c r="K22" s="1840">
        <v>125</v>
      </c>
      <c r="L22" s="1840">
        <v>195</v>
      </c>
      <c r="M22" s="1840">
        <v>310</v>
      </c>
      <c r="N22" s="1840">
        <v>500</v>
      </c>
      <c r="O22" s="1893">
        <v>780</v>
      </c>
      <c r="P22" s="1894">
        <v>1.25</v>
      </c>
      <c r="Q22" s="1905">
        <v>1.95</v>
      </c>
      <c r="R22" s="1905">
        <v>3.1</v>
      </c>
      <c r="S22" s="1905">
        <v>5</v>
      </c>
      <c r="T22" s="1905">
        <v>7.8</v>
      </c>
      <c r="U22" s="1909">
        <v>12.5</v>
      </c>
      <c r="V22" s="1910">
        <v>19.5</v>
      </c>
    </row>
    <row r="23" spans="1:22">
      <c r="A23" s="1838">
        <v>1600</v>
      </c>
      <c r="B23" s="1839">
        <v>2000</v>
      </c>
      <c r="C23" s="1841"/>
      <c r="D23" s="1840"/>
      <c r="E23" s="1840">
        <v>18</v>
      </c>
      <c r="F23" s="1840">
        <v>25</v>
      </c>
      <c r="G23" s="1840">
        <v>35</v>
      </c>
      <c r="H23" s="1840">
        <v>46</v>
      </c>
      <c r="I23" s="1840">
        <v>65</v>
      </c>
      <c r="J23" s="1840">
        <v>92</v>
      </c>
      <c r="K23" s="1840">
        <v>150</v>
      </c>
      <c r="L23" s="1840">
        <v>230</v>
      </c>
      <c r="M23" s="1840">
        <v>370</v>
      </c>
      <c r="N23" s="1840">
        <v>600</v>
      </c>
      <c r="O23" s="1893">
        <v>920</v>
      </c>
      <c r="P23" s="1894">
        <v>1.5</v>
      </c>
      <c r="Q23" s="1905">
        <v>2.2999999999999998</v>
      </c>
      <c r="R23" s="1905">
        <v>3.7</v>
      </c>
      <c r="S23" s="1905">
        <v>6</v>
      </c>
      <c r="T23" s="1905">
        <v>9.1999999999999993</v>
      </c>
      <c r="U23" s="1909">
        <v>15</v>
      </c>
      <c r="V23" s="1910">
        <v>23</v>
      </c>
    </row>
    <row r="24" spans="1:22">
      <c r="A24" s="1838">
        <v>2000</v>
      </c>
      <c r="B24" s="1839">
        <v>2500</v>
      </c>
      <c r="C24" s="1841"/>
      <c r="D24" s="1840"/>
      <c r="E24" s="1840">
        <v>22</v>
      </c>
      <c r="F24" s="1840">
        <v>30</v>
      </c>
      <c r="G24" s="1840">
        <v>41</v>
      </c>
      <c r="H24" s="1840">
        <v>55</v>
      </c>
      <c r="I24" s="1840">
        <v>78</v>
      </c>
      <c r="J24" s="1840">
        <v>110</v>
      </c>
      <c r="K24" s="1840">
        <v>175</v>
      </c>
      <c r="L24" s="1840">
        <v>280</v>
      </c>
      <c r="M24" s="1840">
        <v>440</v>
      </c>
      <c r="N24" s="1840">
        <v>700</v>
      </c>
      <c r="O24" s="1893">
        <v>1100</v>
      </c>
      <c r="P24" s="1894">
        <v>1.75</v>
      </c>
      <c r="Q24" s="1905">
        <v>2.8</v>
      </c>
      <c r="R24" s="1905">
        <v>4.4000000000000004</v>
      </c>
      <c r="S24" s="1905">
        <v>7</v>
      </c>
      <c r="T24" s="1909">
        <v>11</v>
      </c>
      <c r="U24" s="1909">
        <v>17.5</v>
      </c>
      <c r="V24" s="1910">
        <v>28</v>
      </c>
    </row>
    <row r="25" spans="1:22">
      <c r="A25" s="1843">
        <v>2500</v>
      </c>
      <c r="B25" s="1844">
        <v>3150</v>
      </c>
      <c r="C25" s="1845"/>
      <c r="D25" s="1846"/>
      <c r="E25" s="1846">
        <v>26</v>
      </c>
      <c r="F25" s="1846">
        <v>36</v>
      </c>
      <c r="G25" s="1846">
        <v>50</v>
      </c>
      <c r="H25" s="1846">
        <v>68</v>
      </c>
      <c r="I25" s="1846">
        <v>96</v>
      </c>
      <c r="J25" s="1846">
        <v>135</v>
      </c>
      <c r="K25" s="1846">
        <v>210</v>
      </c>
      <c r="L25" s="1846">
        <v>330</v>
      </c>
      <c r="M25" s="1846">
        <v>540</v>
      </c>
      <c r="N25" s="1846">
        <v>860</v>
      </c>
      <c r="O25" s="1895">
        <v>1350</v>
      </c>
      <c r="P25" s="1896">
        <v>2.1</v>
      </c>
      <c r="Q25" s="1911">
        <v>3.3</v>
      </c>
      <c r="R25" s="1911">
        <v>5.4</v>
      </c>
      <c r="S25" s="1911">
        <v>8.6</v>
      </c>
      <c r="T25" s="1846">
        <v>13.5</v>
      </c>
      <c r="U25" s="1912">
        <v>21</v>
      </c>
      <c r="V25" s="1913">
        <v>33</v>
      </c>
    </row>
    <row r="26" spans="1:22">
      <c r="A26" s="3725" t="s">
        <v>8054</v>
      </c>
      <c r="B26" s="3725"/>
      <c r="C26" s="3725"/>
      <c r="D26" s="3725"/>
      <c r="E26" s="3725"/>
      <c r="F26" s="3725"/>
      <c r="G26" s="3725"/>
      <c r="H26" s="3725"/>
      <c r="I26" s="3725"/>
      <c r="J26" s="3725"/>
      <c r="K26" s="3725"/>
      <c r="L26" s="3725"/>
      <c r="M26" s="3725"/>
      <c r="N26" s="3725"/>
      <c r="O26" s="3725"/>
      <c r="P26" s="3725"/>
      <c r="Q26" s="3725"/>
      <c r="R26" s="3725"/>
      <c r="S26" s="3725"/>
      <c r="T26" s="3725"/>
      <c r="U26" s="3725"/>
      <c r="V26" s="3725"/>
    </row>
    <row r="27" spans="1:22">
      <c r="A27" s="3726" t="s">
        <v>8055</v>
      </c>
      <c r="B27" s="3726"/>
      <c r="C27" s="3726"/>
      <c r="D27" s="3726"/>
      <c r="E27" s="3726"/>
      <c r="F27" s="3726"/>
      <c r="G27" s="3726"/>
      <c r="H27" s="3726"/>
      <c r="I27" s="3726"/>
      <c r="J27" s="3726"/>
      <c r="K27" s="3726"/>
      <c r="L27" s="3726"/>
      <c r="M27" s="3726"/>
      <c r="N27" s="3726"/>
      <c r="O27" s="3726"/>
      <c r="P27" s="3726"/>
      <c r="Q27" s="3726"/>
      <c r="R27" s="3726"/>
      <c r="S27" s="3726"/>
      <c r="T27" s="3726"/>
      <c r="U27" s="3726"/>
      <c r="V27" s="3726"/>
    </row>
    <row r="28" spans="1:22">
      <c r="A28" s="3728" t="s">
        <v>7434</v>
      </c>
      <c r="B28" s="3727" t="s">
        <v>8056</v>
      </c>
      <c r="C28" s="3727"/>
      <c r="D28" s="3727"/>
      <c r="E28" s="3727"/>
      <c r="F28" s="3727"/>
      <c r="G28" s="3727"/>
      <c r="H28" s="3727"/>
      <c r="I28" s="3727"/>
      <c r="J28" s="3615"/>
      <c r="K28" s="3615"/>
      <c r="L28" s="3615"/>
      <c r="M28" s="3615"/>
      <c r="N28" s="3617"/>
      <c r="O28" s="3728" t="s">
        <v>8057</v>
      </c>
      <c r="P28" s="3729"/>
      <c r="Q28" s="3729"/>
      <c r="R28" s="3729"/>
      <c r="S28" s="3729"/>
      <c r="T28" s="3729"/>
      <c r="U28" s="3729"/>
      <c r="V28" s="3730"/>
    </row>
    <row r="29" spans="1:22">
      <c r="A29" s="3732"/>
      <c r="B29" s="3731" t="s">
        <v>8058</v>
      </c>
      <c r="C29" s="3731"/>
      <c r="D29" s="3731"/>
      <c r="E29" s="3731"/>
      <c r="F29" s="3731"/>
      <c r="G29" s="3731"/>
      <c r="H29" s="3731"/>
      <c r="I29" s="3731"/>
      <c r="J29" s="3619"/>
      <c r="K29" s="3619"/>
      <c r="L29" s="3619"/>
      <c r="M29" s="3619"/>
      <c r="N29" s="3621"/>
      <c r="O29" s="3732" t="s">
        <v>8058</v>
      </c>
      <c r="P29" s="3733"/>
      <c r="Q29" s="3733"/>
      <c r="R29" s="3733"/>
      <c r="S29" s="3733"/>
      <c r="T29" s="3733"/>
      <c r="U29" s="3733"/>
      <c r="V29" s="3734"/>
    </row>
    <row r="30" spans="1:22">
      <c r="A30" s="3732"/>
      <c r="B30" s="1847" t="s">
        <v>8059</v>
      </c>
      <c r="C30" s="1847" t="s">
        <v>8060</v>
      </c>
      <c r="D30" s="1847" t="s">
        <v>8061</v>
      </c>
      <c r="E30" s="3731" t="s">
        <v>8062</v>
      </c>
      <c r="F30" s="3731"/>
      <c r="G30" s="3731" t="s">
        <v>8063</v>
      </c>
      <c r="H30" s="3731"/>
      <c r="I30" s="3731" t="s">
        <v>8064</v>
      </c>
      <c r="J30" s="3731"/>
      <c r="K30" s="3731" t="s">
        <v>8065</v>
      </c>
      <c r="L30" s="3731"/>
      <c r="M30" s="3731" t="s">
        <v>8066</v>
      </c>
      <c r="N30" s="3736"/>
      <c r="O30" s="3735" t="s">
        <v>8059</v>
      </c>
      <c r="P30" s="3731"/>
      <c r="Q30" s="3731" t="s">
        <v>8060</v>
      </c>
      <c r="R30" s="3731"/>
      <c r="S30" s="3731" t="s">
        <v>8061</v>
      </c>
      <c r="T30" s="3731"/>
      <c r="U30" s="3731" t="s">
        <v>8067</v>
      </c>
      <c r="V30" s="3736"/>
    </row>
    <row r="31" spans="1:22">
      <c r="A31" s="1848" t="s">
        <v>8068</v>
      </c>
      <c r="B31" s="1847" t="s">
        <v>8069</v>
      </c>
      <c r="C31" s="1847" t="s">
        <v>8069</v>
      </c>
      <c r="D31" s="1847" t="s">
        <v>8070</v>
      </c>
      <c r="E31" s="3619" t="s">
        <v>8071</v>
      </c>
      <c r="F31" s="3619"/>
      <c r="G31" s="3619" t="s">
        <v>8072</v>
      </c>
      <c r="H31" s="3619"/>
      <c r="I31" s="3619" t="s">
        <v>8073</v>
      </c>
      <c r="J31" s="3619"/>
      <c r="K31" s="3619" t="s">
        <v>8074</v>
      </c>
      <c r="L31" s="3619"/>
      <c r="M31" s="3619" t="s">
        <v>8075</v>
      </c>
      <c r="N31" s="3621"/>
      <c r="O31" s="3735" t="s">
        <v>8072</v>
      </c>
      <c r="P31" s="3731"/>
      <c r="Q31" s="3731" t="s">
        <v>8074</v>
      </c>
      <c r="R31" s="3731"/>
      <c r="S31" s="3731" t="s">
        <v>8076</v>
      </c>
      <c r="T31" s="3731"/>
      <c r="U31" s="3731" t="s">
        <v>8077</v>
      </c>
      <c r="V31" s="3736"/>
    </row>
    <row r="32" spans="1:22">
      <c r="A32" s="1849" t="s">
        <v>6088</v>
      </c>
      <c r="B32" s="1850" t="s">
        <v>8070</v>
      </c>
      <c r="C32" s="1850" t="s">
        <v>8070</v>
      </c>
      <c r="D32" s="1850" t="s">
        <v>8072</v>
      </c>
      <c r="E32" s="3738" t="s">
        <v>8073</v>
      </c>
      <c r="F32" s="3738"/>
      <c r="G32" s="3738" t="s">
        <v>8074</v>
      </c>
      <c r="H32" s="3738"/>
      <c r="I32" s="3738" t="s">
        <v>8078</v>
      </c>
      <c r="J32" s="3738"/>
      <c r="K32" s="3738" t="s">
        <v>8079</v>
      </c>
      <c r="L32" s="3738"/>
      <c r="M32" s="3738" t="s">
        <v>8077</v>
      </c>
      <c r="N32" s="3742"/>
      <c r="O32" s="3735"/>
      <c r="P32" s="3731"/>
      <c r="Q32" s="3731"/>
      <c r="R32" s="3731"/>
      <c r="S32" s="3731"/>
      <c r="T32" s="3731"/>
      <c r="U32" s="3731"/>
      <c r="V32" s="3736"/>
    </row>
    <row r="33" spans="1:22">
      <c r="A33" s="1852" t="s">
        <v>5901</v>
      </c>
      <c r="B33" s="1847" t="s">
        <v>8072</v>
      </c>
      <c r="C33" s="1847" t="s">
        <v>8073</v>
      </c>
      <c r="D33" s="1847" t="s">
        <v>8073</v>
      </c>
      <c r="E33" s="3619" t="s">
        <v>8078</v>
      </c>
      <c r="F33" s="3619"/>
      <c r="G33" s="3619" t="s">
        <v>8079</v>
      </c>
      <c r="H33" s="3619"/>
      <c r="I33" s="3619" t="s">
        <v>8077</v>
      </c>
      <c r="J33" s="3619"/>
      <c r="K33" s="3619" t="s">
        <v>8080</v>
      </c>
      <c r="L33" s="3619"/>
      <c r="M33" s="3619" t="s">
        <v>8081</v>
      </c>
      <c r="N33" s="3621"/>
      <c r="O33" s="3735" t="s">
        <v>8082</v>
      </c>
      <c r="P33" s="3731"/>
      <c r="Q33" s="3731" t="s">
        <v>8076</v>
      </c>
      <c r="R33" s="3731"/>
      <c r="S33" s="3731" t="s">
        <v>8077</v>
      </c>
      <c r="T33" s="3731"/>
      <c r="U33" s="3731" t="s">
        <v>8081</v>
      </c>
      <c r="V33" s="3736"/>
    </row>
    <row r="34" spans="1:22">
      <c r="A34" s="1853" t="s">
        <v>8083</v>
      </c>
      <c r="B34" s="1854" t="s">
        <v>8075</v>
      </c>
      <c r="C34" s="1854" t="s">
        <v>8074</v>
      </c>
      <c r="D34" s="1854" t="s">
        <v>8076</v>
      </c>
      <c r="E34" s="3623" t="s">
        <v>8084</v>
      </c>
      <c r="F34" s="3623"/>
      <c r="G34" s="3623" t="s">
        <v>8085</v>
      </c>
      <c r="H34" s="3623"/>
      <c r="I34" s="3623" t="s">
        <v>8081</v>
      </c>
      <c r="J34" s="3623"/>
      <c r="K34" s="3623" t="s">
        <v>8086</v>
      </c>
      <c r="L34" s="3623"/>
      <c r="M34" s="3623" t="s">
        <v>8087</v>
      </c>
      <c r="N34" s="3625"/>
      <c r="O34" s="3743"/>
      <c r="P34" s="3737"/>
      <c r="Q34" s="3737"/>
      <c r="R34" s="3737"/>
      <c r="S34" s="3737"/>
      <c r="T34" s="3737"/>
      <c r="U34" s="3737"/>
      <c r="V34" s="3739"/>
    </row>
    <row r="35" spans="1:22">
      <c r="A35" s="3636" t="s">
        <v>8088</v>
      </c>
      <c r="B35" s="3636"/>
      <c r="C35" s="3636"/>
      <c r="D35" s="3636"/>
      <c r="E35" s="3636"/>
      <c r="F35" s="3636"/>
      <c r="G35" s="3636"/>
      <c r="H35" s="3636"/>
      <c r="I35" s="3636"/>
      <c r="J35" s="3636"/>
      <c r="K35" s="3636"/>
      <c r="L35" s="3636"/>
      <c r="M35" s="3636"/>
      <c r="N35" s="3636"/>
      <c r="O35" s="3636"/>
      <c r="P35" s="3636"/>
      <c r="Q35" s="3636"/>
      <c r="R35" s="3636"/>
      <c r="S35" s="3636"/>
      <c r="T35" s="3636"/>
      <c r="U35" s="1915"/>
      <c r="V35" s="1915"/>
    </row>
    <row r="36" spans="1:22">
      <c r="A36" s="3740" t="s">
        <v>7449</v>
      </c>
      <c r="B36" s="3741"/>
      <c r="C36" s="1855" t="s">
        <v>8040</v>
      </c>
      <c r="D36" s="1856" t="s">
        <v>8089</v>
      </c>
      <c r="E36" s="1857" t="s">
        <v>8090</v>
      </c>
      <c r="F36" s="1856" t="s">
        <v>8091</v>
      </c>
      <c r="G36" s="1858" t="s">
        <v>8092</v>
      </c>
      <c r="H36" s="1859" t="s">
        <v>8093</v>
      </c>
      <c r="I36" s="1897" t="s">
        <v>8041</v>
      </c>
      <c r="J36" s="1857" t="s">
        <v>8089</v>
      </c>
      <c r="K36" s="1857" t="s">
        <v>8090</v>
      </c>
      <c r="L36" s="1857" t="s">
        <v>8091</v>
      </c>
      <c r="M36" s="1898" t="s">
        <v>8092</v>
      </c>
      <c r="N36" s="1859" t="s">
        <v>8093</v>
      </c>
      <c r="O36" s="1897" t="s">
        <v>8042</v>
      </c>
      <c r="P36" s="1857" t="s">
        <v>8089</v>
      </c>
      <c r="Q36" s="1857" t="s">
        <v>8090</v>
      </c>
      <c r="R36" s="1857" t="s">
        <v>8091</v>
      </c>
      <c r="S36" s="1898" t="s">
        <v>8092</v>
      </c>
      <c r="T36" s="1859" t="s">
        <v>8093</v>
      </c>
      <c r="U36" s="3368" t="s">
        <v>12710</v>
      </c>
      <c r="V36" s="3368"/>
    </row>
    <row r="37" spans="1:22">
      <c r="A37" s="1838" t="s">
        <v>2074</v>
      </c>
      <c r="B37" s="1839">
        <v>3</v>
      </c>
      <c r="C37" s="1860">
        <f t="shared" ref="C37:C49" si="0">J5</f>
        <v>6</v>
      </c>
      <c r="D37" s="1861">
        <f t="shared" ref="D37:D49" si="1">C37*0.15</f>
        <v>0.9</v>
      </c>
      <c r="E37" s="1862">
        <v>1</v>
      </c>
      <c r="F37" s="1863">
        <f t="shared" ref="F37:F49" si="2">C37*0.175</f>
        <v>1.05</v>
      </c>
      <c r="G37" s="1864">
        <v>1</v>
      </c>
      <c r="H37" s="1865">
        <f t="shared" ref="H37:H49" si="3">G37-E37/2</f>
        <v>0.5</v>
      </c>
      <c r="I37" s="1880">
        <f t="shared" ref="I37:I49" si="4">K5</f>
        <v>10</v>
      </c>
      <c r="J37" s="1881">
        <f t="shared" ref="J37:J49" si="5">D37*1.25</f>
        <v>1.125</v>
      </c>
      <c r="K37" s="1862">
        <v>1.2</v>
      </c>
      <c r="L37" s="1899">
        <f t="shared" ref="L37:L49" si="6">1.4*F37</f>
        <v>1.47</v>
      </c>
      <c r="M37" s="1900">
        <v>1.6</v>
      </c>
      <c r="N37" s="1865">
        <f t="shared" ref="N37:N49" si="7">M37-K37/2</f>
        <v>1</v>
      </c>
      <c r="O37" s="1860">
        <f t="shared" ref="O37:O49" si="8">L5</f>
        <v>14</v>
      </c>
      <c r="P37" s="1861">
        <f t="shared" ref="P37:P49" si="9">J37*1.25</f>
        <v>1.40625</v>
      </c>
      <c r="Q37" s="1916">
        <v>1.6</v>
      </c>
      <c r="R37" s="1899">
        <f>1.4*L37</f>
        <v>2.0579999999999998</v>
      </c>
      <c r="S37" s="1917">
        <v>2</v>
      </c>
      <c r="T37" s="1865">
        <f t="shared" ref="T37:T49" si="10">S37-Q37/2</f>
        <v>1.2</v>
      </c>
      <c r="U37" s="1915"/>
      <c r="V37" s="1918"/>
    </row>
    <row r="38" spans="1:22">
      <c r="A38" s="1838">
        <v>3</v>
      </c>
      <c r="B38" s="1839">
        <v>6</v>
      </c>
      <c r="C38" s="1866">
        <f t="shared" si="0"/>
        <v>8</v>
      </c>
      <c r="D38" s="1867">
        <f t="shared" si="1"/>
        <v>1.2</v>
      </c>
      <c r="E38" s="1868">
        <v>1.2</v>
      </c>
      <c r="F38" s="1869">
        <f t="shared" si="2"/>
        <v>1.4</v>
      </c>
      <c r="G38" s="1870">
        <v>1.4</v>
      </c>
      <c r="H38" s="1871">
        <f t="shared" si="3"/>
        <v>0.8</v>
      </c>
      <c r="I38" s="1880">
        <f t="shared" si="4"/>
        <v>12</v>
      </c>
      <c r="J38" s="1867">
        <f t="shared" si="5"/>
        <v>1.5</v>
      </c>
      <c r="K38" s="1868">
        <v>1.4</v>
      </c>
      <c r="L38" s="1869">
        <f t="shared" si="6"/>
        <v>1.96</v>
      </c>
      <c r="M38" s="1870">
        <v>2</v>
      </c>
      <c r="N38" s="1871">
        <f t="shared" si="7"/>
        <v>1.3</v>
      </c>
      <c r="O38" s="1901">
        <f t="shared" si="8"/>
        <v>18</v>
      </c>
      <c r="P38" s="1867">
        <f t="shared" si="9"/>
        <v>1.875</v>
      </c>
      <c r="Q38" s="1868">
        <v>2</v>
      </c>
      <c r="R38" s="1869">
        <f t="shared" ref="R38:R49" si="11">L38*1.4</f>
        <v>2.7440000000000002</v>
      </c>
      <c r="S38" s="1919">
        <v>2.6</v>
      </c>
      <c r="T38" s="1871">
        <f t="shared" si="10"/>
        <v>1.6</v>
      </c>
      <c r="U38" s="1915"/>
      <c r="V38" s="1918"/>
    </row>
    <row r="39" spans="1:22">
      <c r="A39" s="1838">
        <v>6</v>
      </c>
      <c r="B39" s="1839">
        <v>10</v>
      </c>
      <c r="C39" s="1866">
        <f t="shared" si="0"/>
        <v>9</v>
      </c>
      <c r="D39" s="1867">
        <f t="shared" si="1"/>
        <v>1.35</v>
      </c>
      <c r="E39" s="1868">
        <v>1.4</v>
      </c>
      <c r="F39" s="1869">
        <f t="shared" si="2"/>
        <v>1.575</v>
      </c>
      <c r="G39" s="1870">
        <v>1.6</v>
      </c>
      <c r="H39" s="1871">
        <f t="shared" si="3"/>
        <v>0.9</v>
      </c>
      <c r="I39" s="1880">
        <f t="shared" si="4"/>
        <v>15</v>
      </c>
      <c r="J39" s="1867">
        <f t="shared" si="5"/>
        <v>1.6875</v>
      </c>
      <c r="K39" s="1868">
        <v>1.8</v>
      </c>
      <c r="L39" s="1869">
        <f t="shared" si="6"/>
        <v>2.2050000000000001</v>
      </c>
      <c r="M39" s="1870">
        <v>2.4</v>
      </c>
      <c r="N39" s="1871">
        <f t="shared" si="7"/>
        <v>1.5</v>
      </c>
      <c r="O39" s="1901">
        <f t="shared" si="8"/>
        <v>22</v>
      </c>
      <c r="P39" s="1867">
        <f t="shared" si="9"/>
        <v>2.109375</v>
      </c>
      <c r="Q39" s="1868">
        <v>2.4</v>
      </c>
      <c r="R39" s="1869">
        <f t="shared" si="11"/>
        <v>3.0870000000000002</v>
      </c>
      <c r="S39" s="1919">
        <v>3.2</v>
      </c>
      <c r="T39" s="1871">
        <f t="shared" si="10"/>
        <v>2</v>
      </c>
      <c r="U39" s="1915"/>
      <c r="V39" s="1918"/>
    </row>
    <row r="40" spans="1:22">
      <c r="A40" s="1838">
        <v>10</v>
      </c>
      <c r="B40" s="1839">
        <v>18</v>
      </c>
      <c r="C40" s="1866">
        <f t="shared" si="0"/>
        <v>11</v>
      </c>
      <c r="D40" s="1867">
        <f t="shared" si="1"/>
        <v>1.65</v>
      </c>
      <c r="E40" s="1868">
        <v>1.6</v>
      </c>
      <c r="F40" s="1869">
        <f t="shared" si="2"/>
        <v>1.925</v>
      </c>
      <c r="G40" s="1870">
        <v>2</v>
      </c>
      <c r="H40" s="1871">
        <f t="shared" si="3"/>
        <v>1.2</v>
      </c>
      <c r="I40" s="1880">
        <f t="shared" si="4"/>
        <v>18</v>
      </c>
      <c r="J40" s="1867">
        <f t="shared" si="5"/>
        <v>2.0625</v>
      </c>
      <c r="K40" s="1868">
        <v>2</v>
      </c>
      <c r="L40" s="1869">
        <f t="shared" si="6"/>
        <v>2.6949999999999998</v>
      </c>
      <c r="M40" s="1870">
        <v>2.8</v>
      </c>
      <c r="N40" s="1871">
        <f t="shared" si="7"/>
        <v>1.8</v>
      </c>
      <c r="O40" s="1901">
        <f t="shared" si="8"/>
        <v>27</v>
      </c>
      <c r="P40" s="1867">
        <f t="shared" si="9"/>
        <v>2.578125</v>
      </c>
      <c r="Q40" s="1868">
        <v>2.8</v>
      </c>
      <c r="R40" s="1869">
        <f t="shared" si="11"/>
        <v>3.7730000000000001</v>
      </c>
      <c r="S40" s="1919">
        <v>4</v>
      </c>
      <c r="T40" s="1871">
        <f t="shared" si="10"/>
        <v>2.6</v>
      </c>
      <c r="U40" s="1915"/>
      <c r="V40" s="1918"/>
    </row>
    <row r="41" spans="1:22">
      <c r="A41" s="1838">
        <v>18</v>
      </c>
      <c r="B41" s="1839">
        <v>30</v>
      </c>
      <c r="C41" s="1866">
        <f t="shared" si="0"/>
        <v>13</v>
      </c>
      <c r="D41" s="1867">
        <f t="shared" si="1"/>
        <v>1.95</v>
      </c>
      <c r="E41" s="1868">
        <v>2</v>
      </c>
      <c r="F41" s="1869">
        <f t="shared" si="2"/>
        <v>2.2749999999999999</v>
      </c>
      <c r="G41" s="1870">
        <v>2.4</v>
      </c>
      <c r="H41" s="1871">
        <f t="shared" si="3"/>
        <v>1.4</v>
      </c>
      <c r="I41" s="1880">
        <f t="shared" si="4"/>
        <v>21</v>
      </c>
      <c r="J41" s="1867">
        <f t="shared" si="5"/>
        <v>2.4375</v>
      </c>
      <c r="K41" s="1868">
        <v>2.4</v>
      </c>
      <c r="L41" s="1869">
        <f t="shared" si="6"/>
        <v>3.1850000000000001</v>
      </c>
      <c r="M41" s="1870">
        <v>3.4</v>
      </c>
      <c r="N41" s="1871">
        <f t="shared" si="7"/>
        <v>2.2000000000000002</v>
      </c>
      <c r="O41" s="1901">
        <f t="shared" si="8"/>
        <v>33</v>
      </c>
      <c r="P41" s="1867">
        <f t="shared" si="9"/>
        <v>3.046875</v>
      </c>
      <c r="Q41" s="1868">
        <v>3.4</v>
      </c>
      <c r="R41" s="1869">
        <f t="shared" si="11"/>
        <v>4.4589999999999996</v>
      </c>
      <c r="S41" s="1919">
        <v>5</v>
      </c>
      <c r="T41" s="1871">
        <f t="shared" si="10"/>
        <v>3.3</v>
      </c>
      <c r="U41" s="1915"/>
      <c r="V41" s="1918"/>
    </row>
    <row r="42" spans="1:22">
      <c r="A42" s="1838">
        <v>30</v>
      </c>
      <c r="B42" s="1839">
        <v>50</v>
      </c>
      <c r="C42" s="1866">
        <f t="shared" si="0"/>
        <v>16</v>
      </c>
      <c r="D42" s="1867">
        <f t="shared" si="1"/>
        <v>2.4</v>
      </c>
      <c r="E42" s="1868">
        <v>2.4</v>
      </c>
      <c r="F42" s="1869">
        <f t="shared" si="2"/>
        <v>2.8</v>
      </c>
      <c r="G42" s="1870">
        <v>2.8</v>
      </c>
      <c r="H42" s="1871">
        <f t="shared" si="3"/>
        <v>1.6</v>
      </c>
      <c r="I42" s="1880">
        <f t="shared" si="4"/>
        <v>25</v>
      </c>
      <c r="J42" s="1867">
        <f t="shared" si="5"/>
        <v>3</v>
      </c>
      <c r="K42" s="1868">
        <v>3</v>
      </c>
      <c r="L42" s="1869">
        <f t="shared" si="6"/>
        <v>3.92</v>
      </c>
      <c r="M42" s="1870">
        <v>4</v>
      </c>
      <c r="N42" s="1871">
        <f t="shared" si="7"/>
        <v>2.5</v>
      </c>
      <c r="O42" s="1901">
        <f t="shared" si="8"/>
        <v>39</v>
      </c>
      <c r="P42" s="1867">
        <f t="shared" si="9"/>
        <v>3.75</v>
      </c>
      <c r="Q42" s="1868">
        <v>4</v>
      </c>
      <c r="R42" s="1869">
        <f t="shared" si="11"/>
        <v>5.4880000000000004</v>
      </c>
      <c r="S42" s="1919">
        <v>6</v>
      </c>
      <c r="T42" s="1871">
        <f t="shared" si="10"/>
        <v>4</v>
      </c>
      <c r="U42" s="1915"/>
      <c r="V42" s="1918"/>
    </row>
    <row r="43" spans="1:22">
      <c r="A43" s="1838">
        <v>50</v>
      </c>
      <c r="B43" s="1839">
        <v>80</v>
      </c>
      <c r="C43" s="1866">
        <f t="shared" si="0"/>
        <v>19</v>
      </c>
      <c r="D43" s="1867">
        <f t="shared" si="1"/>
        <v>2.85</v>
      </c>
      <c r="E43" s="1868">
        <v>2.8</v>
      </c>
      <c r="F43" s="1869">
        <f t="shared" si="2"/>
        <v>3.3250000000000002</v>
      </c>
      <c r="G43" s="1870">
        <v>3.4</v>
      </c>
      <c r="H43" s="1871">
        <f t="shared" si="3"/>
        <v>2</v>
      </c>
      <c r="I43" s="1880">
        <f t="shared" si="4"/>
        <v>30</v>
      </c>
      <c r="J43" s="1867">
        <f t="shared" si="5"/>
        <v>3.5625</v>
      </c>
      <c r="K43" s="1868">
        <v>3.6</v>
      </c>
      <c r="L43" s="1869">
        <f t="shared" si="6"/>
        <v>4.6550000000000002</v>
      </c>
      <c r="M43" s="1870">
        <v>4.5999999999999996</v>
      </c>
      <c r="N43" s="1871">
        <f t="shared" si="7"/>
        <v>2.8</v>
      </c>
      <c r="O43" s="1901">
        <f t="shared" si="8"/>
        <v>46</v>
      </c>
      <c r="P43" s="1867">
        <f t="shared" si="9"/>
        <v>4.453125</v>
      </c>
      <c r="Q43" s="1868">
        <v>4.5999999999999996</v>
      </c>
      <c r="R43" s="1869">
        <f t="shared" si="11"/>
        <v>6.5170000000000003</v>
      </c>
      <c r="S43" s="1919">
        <v>7</v>
      </c>
      <c r="T43" s="1871">
        <f t="shared" si="10"/>
        <v>4.7</v>
      </c>
      <c r="U43" s="1915"/>
      <c r="V43" s="1918"/>
    </row>
    <row r="44" spans="1:22">
      <c r="A44" s="1838">
        <v>80</v>
      </c>
      <c r="B44" s="1839">
        <v>120</v>
      </c>
      <c r="C44" s="1866">
        <f t="shared" si="0"/>
        <v>22</v>
      </c>
      <c r="D44" s="1867">
        <f t="shared" si="1"/>
        <v>3.3</v>
      </c>
      <c r="E44" s="1868">
        <v>3.2</v>
      </c>
      <c r="F44" s="1869">
        <f t="shared" si="2"/>
        <v>3.85</v>
      </c>
      <c r="G44" s="1870">
        <v>3.8</v>
      </c>
      <c r="H44" s="1871">
        <f t="shared" si="3"/>
        <v>2.2000000000000002</v>
      </c>
      <c r="I44" s="1880">
        <f t="shared" si="4"/>
        <v>35</v>
      </c>
      <c r="J44" s="1867">
        <f t="shared" si="5"/>
        <v>4.125</v>
      </c>
      <c r="K44" s="1868">
        <v>4.2</v>
      </c>
      <c r="L44" s="1869">
        <f t="shared" si="6"/>
        <v>5.39</v>
      </c>
      <c r="M44" s="1870">
        <v>5.4</v>
      </c>
      <c r="N44" s="1871">
        <f t="shared" si="7"/>
        <v>3.3</v>
      </c>
      <c r="O44" s="1901">
        <f t="shared" si="8"/>
        <v>54</v>
      </c>
      <c r="P44" s="1867">
        <f t="shared" si="9"/>
        <v>5.15625</v>
      </c>
      <c r="Q44" s="1868">
        <v>5.4</v>
      </c>
      <c r="R44" s="1869">
        <f t="shared" si="11"/>
        <v>7.5460000000000003</v>
      </c>
      <c r="S44" s="1919">
        <v>8</v>
      </c>
      <c r="T44" s="1871">
        <f t="shared" si="10"/>
        <v>5.3</v>
      </c>
      <c r="U44" s="1915"/>
      <c r="V44" s="1918"/>
    </row>
    <row r="45" spans="1:22">
      <c r="A45" s="1838">
        <v>120</v>
      </c>
      <c r="B45" s="1839">
        <v>180</v>
      </c>
      <c r="C45" s="1866">
        <f t="shared" si="0"/>
        <v>25</v>
      </c>
      <c r="D45" s="1867">
        <f t="shared" si="1"/>
        <v>3.75</v>
      </c>
      <c r="E45" s="1868">
        <v>3.8</v>
      </c>
      <c r="F45" s="1869">
        <f t="shared" si="2"/>
        <v>4.375</v>
      </c>
      <c r="G45" s="1870">
        <v>4.4000000000000004</v>
      </c>
      <c r="H45" s="1871">
        <f t="shared" si="3"/>
        <v>2.5</v>
      </c>
      <c r="I45" s="1880">
        <f t="shared" si="4"/>
        <v>40</v>
      </c>
      <c r="J45" s="1867">
        <f t="shared" si="5"/>
        <v>4.6875</v>
      </c>
      <c r="K45" s="1868">
        <v>4.8</v>
      </c>
      <c r="L45" s="1869">
        <f t="shared" si="6"/>
        <v>6.125</v>
      </c>
      <c r="M45" s="1870">
        <v>6</v>
      </c>
      <c r="N45" s="1871">
        <f t="shared" si="7"/>
        <v>3.6</v>
      </c>
      <c r="O45" s="1901">
        <f t="shared" si="8"/>
        <v>63</v>
      </c>
      <c r="P45" s="1867">
        <f t="shared" si="9"/>
        <v>5.859375</v>
      </c>
      <c r="Q45" s="1868">
        <v>6</v>
      </c>
      <c r="R45" s="1869">
        <f t="shared" si="11"/>
        <v>8.5749999999999993</v>
      </c>
      <c r="S45" s="1919">
        <v>9</v>
      </c>
      <c r="T45" s="1871">
        <f t="shared" si="10"/>
        <v>6</v>
      </c>
      <c r="U45" s="1915"/>
      <c r="V45" s="1918"/>
    </row>
    <row r="46" spans="1:22">
      <c r="A46" s="1838">
        <v>180</v>
      </c>
      <c r="B46" s="1839">
        <v>250</v>
      </c>
      <c r="C46" s="1866">
        <f t="shared" si="0"/>
        <v>29</v>
      </c>
      <c r="D46" s="1867">
        <f t="shared" si="1"/>
        <v>4.3499999999999996</v>
      </c>
      <c r="E46" s="1868">
        <v>4.4000000000000004</v>
      </c>
      <c r="F46" s="1869">
        <f t="shared" si="2"/>
        <v>5.0750000000000002</v>
      </c>
      <c r="G46" s="1870">
        <v>5</v>
      </c>
      <c r="H46" s="1871">
        <f t="shared" si="3"/>
        <v>2.8</v>
      </c>
      <c r="I46" s="1880">
        <f t="shared" si="4"/>
        <v>46</v>
      </c>
      <c r="J46" s="1867">
        <f t="shared" si="5"/>
        <v>5.4375</v>
      </c>
      <c r="K46" s="1868">
        <v>5.4</v>
      </c>
      <c r="L46" s="1869">
        <f t="shared" si="6"/>
        <v>7.1050000000000004</v>
      </c>
      <c r="M46" s="1870">
        <v>7</v>
      </c>
      <c r="N46" s="1871">
        <f t="shared" si="7"/>
        <v>4.3</v>
      </c>
      <c r="O46" s="1901">
        <f t="shared" si="8"/>
        <v>72</v>
      </c>
      <c r="P46" s="1867">
        <f t="shared" si="9"/>
        <v>6.796875</v>
      </c>
      <c r="Q46" s="1868">
        <v>7</v>
      </c>
      <c r="R46" s="1869">
        <f t="shared" si="11"/>
        <v>9.9469999999999992</v>
      </c>
      <c r="S46" s="1919">
        <v>10</v>
      </c>
      <c r="T46" s="1871">
        <f t="shared" si="10"/>
        <v>6.5</v>
      </c>
      <c r="U46" s="1915"/>
      <c r="V46" s="1918"/>
    </row>
    <row r="47" spans="1:22">
      <c r="A47" s="1838">
        <v>250</v>
      </c>
      <c r="B47" s="1839">
        <v>315</v>
      </c>
      <c r="C47" s="1866">
        <f t="shared" si="0"/>
        <v>32</v>
      </c>
      <c r="D47" s="1867">
        <f t="shared" si="1"/>
        <v>4.8</v>
      </c>
      <c r="E47" s="1868">
        <v>4.8</v>
      </c>
      <c r="F47" s="1869">
        <f t="shared" si="2"/>
        <v>5.6</v>
      </c>
      <c r="G47" s="1870">
        <v>5.6</v>
      </c>
      <c r="H47" s="1871">
        <f t="shared" si="3"/>
        <v>3.2</v>
      </c>
      <c r="I47" s="1880">
        <f t="shared" si="4"/>
        <v>52</v>
      </c>
      <c r="J47" s="1867">
        <f t="shared" si="5"/>
        <v>6</v>
      </c>
      <c r="K47" s="1868">
        <v>6</v>
      </c>
      <c r="L47" s="1869">
        <f t="shared" si="6"/>
        <v>7.84</v>
      </c>
      <c r="M47" s="1870">
        <v>8</v>
      </c>
      <c r="N47" s="1871">
        <f t="shared" si="7"/>
        <v>5</v>
      </c>
      <c r="O47" s="1901">
        <f t="shared" si="8"/>
        <v>81</v>
      </c>
      <c r="P47" s="1867">
        <f t="shared" si="9"/>
        <v>7.5</v>
      </c>
      <c r="Q47" s="1868">
        <v>8</v>
      </c>
      <c r="R47" s="1869">
        <f t="shared" si="11"/>
        <v>10.976000000000001</v>
      </c>
      <c r="S47" s="1919">
        <v>11</v>
      </c>
      <c r="T47" s="1871">
        <f t="shared" si="10"/>
        <v>7</v>
      </c>
      <c r="U47" s="1915"/>
      <c r="V47" s="1918"/>
    </row>
    <row r="48" spans="1:22">
      <c r="A48" s="1838">
        <v>315</v>
      </c>
      <c r="B48" s="1839">
        <v>400</v>
      </c>
      <c r="C48" s="1866">
        <f t="shared" si="0"/>
        <v>36</v>
      </c>
      <c r="D48" s="1867">
        <f t="shared" si="1"/>
        <v>5.4</v>
      </c>
      <c r="E48" s="1868">
        <v>5.4</v>
      </c>
      <c r="F48" s="1869">
        <f t="shared" si="2"/>
        <v>6.3</v>
      </c>
      <c r="G48" s="1870">
        <v>6.2</v>
      </c>
      <c r="H48" s="1871">
        <f t="shared" si="3"/>
        <v>3.5</v>
      </c>
      <c r="I48" s="1880">
        <f t="shared" si="4"/>
        <v>57</v>
      </c>
      <c r="J48" s="1867">
        <f t="shared" si="5"/>
        <v>6.75</v>
      </c>
      <c r="K48" s="1868">
        <v>7</v>
      </c>
      <c r="L48" s="1869">
        <f t="shared" si="6"/>
        <v>8.82</v>
      </c>
      <c r="M48" s="1870">
        <v>9</v>
      </c>
      <c r="N48" s="1871">
        <f t="shared" si="7"/>
        <v>5.5</v>
      </c>
      <c r="O48" s="1901">
        <f t="shared" si="8"/>
        <v>89</v>
      </c>
      <c r="P48" s="1867">
        <f t="shared" si="9"/>
        <v>8.4375</v>
      </c>
      <c r="Q48" s="1868">
        <v>9</v>
      </c>
      <c r="R48" s="1869">
        <f t="shared" si="11"/>
        <v>12.348000000000001</v>
      </c>
      <c r="S48" s="1919">
        <v>12</v>
      </c>
      <c r="T48" s="1871">
        <f t="shared" si="10"/>
        <v>7.5</v>
      </c>
      <c r="U48" s="1915"/>
      <c r="V48" s="1918"/>
    </row>
    <row r="49" spans="1:22">
      <c r="A49" s="1838">
        <v>400</v>
      </c>
      <c r="B49" s="1839">
        <v>500</v>
      </c>
      <c r="C49" s="1872">
        <f t="shared" si="0"/>
        <v>40</v>
      </c>
      <c r="D49" s="1873">
        <f t="shared" si="1"/>
        <v>6</v>
      </c>
      <c r="E49" s="1874">
        <v>6</v>
      </c>
      <c r="F49" s="1875">
        <f t="shared" si="2"/>
        <v>7</v>
      </c>
      <c r="G49" s="1876">
        <v>7</v>
      </c>
      <c r="H49" s="1877">
        <f t="shared" si="3"/>
        <v>4</v>
      </c>
      <c r="I49" s="1880">
        <f t="shared" si="4"/>
        <v>63</v>
      </c>
      <c r="J49" s="1873">
        <f t="shared" si="5"/>
        <v>7.5</v>
      </c>
      <c r="K49" s="1874">
        <v>8</v>
      </c>
      <c r="L49" s="1902">
        <f t="shared" si="6"/>
        <v>9.8000000000000007</v>
      </c>
      <c r="M49" s="1876">
        <v>10</v>
      </c>
      <c r="N49" s="1877">
        <f t="shared" si="7"/>
        <v>6</v>
      </c>
      <c r="O49" s="1901">
        <f t="shared" si="8"/>
        <v>97</v>
      </c>
      <c r="P49" s="1873">
        <f t="shared" si="9"/>
        <v>9.375</v>
      </c>
      <c r="Q49" s="1874">
        <v>10</v>
      </c>
      <c r="R49" s="1875">
        <f t="shared" si="11"/>
        <v>13.72</v>
      </c>
      <c r="S49" s="1920">
        <v>14</v>
      </c>
      <c r="T49" s="1877">
        <f t="shared" si="10"/>
        <v>9</v>
      </c>
      <c r="U49" s="1915"/>
      <c r="V49" s="1918"/>
    </row>
    <row r="50" spans="1:22">
      <c r="A50" s="3740" t="s">
        <v>7449</v>
      </c>
      <c r="B50" s="3741"/>
      <c r="C50" s="1878" t="s">
        <v>8043</v>
      </c>
      <c r="D50" s="1857" t="s">
        <v>8089</v>
      </c>
      <c r="E50" s="1857" t="s">
        <v>8090</v>
      </c>
      <c r="F50" s="1857" t="s">
        <v>8091</v>
      </c>
      <c r="G50" s="1879" t="s">
        <v>8092</v>
      </c>
      <c r="H50" s="1859" t="s">
        <v>8093</v>
      </c>
      <c r="I50" s="1897" t="s">
        <v>8044</v>
      </c>
      <c r="J50" s="1857" t="s">
        <v>8089</v>
      </c>
      <c r="K50" s="1857" t="s">
        <v>8090</v>
      </c>
      <c r="L50" s="1857" t="s">
        <v>8091</v>
      </c>
      <c r="M50" s="1898" t="s">
        <v>8092</v>
      </c>
      <c r="N50" s="1859" t="s">
        <v>8093</v>
      </c>
      <c r="O50" s="1897" t="s">
        <v>8045</v>
      </c>
      <c r="P50" s="1857" t="s">
        <v>8089</v>
      </c>
      <c r="Q50" s="1857" t="s">
        <v>8090</v>
      </c>
      <c r="R50" s="1857" t="s">
        <v>8091</v>
      </c>
      <c r="S50" s="1921" t="s">
        <v>8092</v>
      </c>
      <c r="T50" s="1859" t="s">
        <v>8093</v>
      </c>
      <c r="U50" s="1915"/>
      <c r="V50" s="1918"/>
    </row>
    <row r="51" spans="1:22">
      <c r="A51" s="1838" t="s">
        <v>2074</v>
      </c>
      <c r="B51" s="1839">
        <v>3</v>
      </c>
      <c r="C51" s="1880">
        <f t="shared" ref="C51:C63" si="12">M5</f>
        <v>25</v>
      </c>
      <c r="D51" s="1881">
        <f t="shared" ref="D51:D63" si="13">P37*1.25</f>
        <v>1.7578125</v>
      </c>
      <c r="E51" s="1882">
        <v>2</v>
      </c>
      <c r="F51" s="1883">
        <f t="shared" ref="F51:F63" si="14">1.4*R37</f>
        <v>2.8812000000000002</v>
      </c>
      <c r="G51" s="1884">
        <v>3</v>
      </c>
      <c r="H51" s="1865">
        <f t="shared" ref="H51:H63" si="15">G51-E51/2</f>
        <v>2</v>
      </c>
      <c r="I51" s="1901">
        <f t="shared" ref="I51:I63" si="16">N5</f>
        <v>40</v>
      </c>
      <c r="J51" s="1881">
        <f>1.25*D51</f>
        <v>2.197265625</v>
      </c>
      <c r="K51" s="1862">
        <v>2.4</v>
      </c>
      <c r="L51" s="1883">
        <f t="shared" ref="L51:L62" si="17">1.4*F51</f>
        <v>4.0336800000000004</v>
      </c>
      <c r="M51" s="1900">
        <v>4</v>
      </c>
      <c r="N51" s="1865">
        <f t="shared" ref="N51:N63" si="18">M51-K51/2</f>
        <v>2.8</v>
      </c>
      <c r="O51" s="1901">
        <f t="shared" ref="O51:O63" si="19">O5</f>
        <v>60</v>
      </c>
      <c r="P51" s="1881">
        <f t="shared" ref="P51:P63" si="20">1.25*J51</f>
        <v>2.74658203125</v>
      </c>
      <c r="Q51" s="1862">
        <v>3</v>
      </c>
      <c r="R51" s="1883">
        <f t="shared" ref="R51:R62" si="21">L51*1.4</f>
        <v>5.6471520000000002</v>
      </c>
      <c r="S51" s="1917">
        <v>6</v>
      </c>
      <c r="T51" s="1865">
        <f t="shared" ref="T51:T63" si="22">S51-Q51/2</f>
        <v>4.5</v>
      </c>
      <c r="U51" s="1915"/>
      <c r="V51" s="1918"/>
    </row>
    <row r="52" spans="1:22">
      <c r="A52" s="1838">
        <v>3</v>
      </c>
      <c r="B52" s="1839">
        <v>6</v>
      </c>
      <c r="C52" s="1880">
        <f t="shared" si="12"/>
        <v>30</v>
      </c>
      <c r="D52" s="1867">
        <f t="shared" si="13"/>
        <v>2.34375</v>
      </c>
      <c r="E52" s="1885">
        <v>2.4</v>
      </c>
      <c r="F52" s="1886">
        <f t="shared" si="14"/>
        <v>3.8416000000000001</v>
      </c>
      <c r="G52" s="1887">
        <v>4</v>
      </c>
      <c r="H52" s="1871">
        <f t="shared" si="15"/>
        <v>2.8</v>
      </c>
      <c r="I52" s="1901">
        <f t="shared" si="16"/>
        <v>48</v>
      </c>
      <c r="J52" s="1867">
        <f t="shared" ref="J52:J62" si="23">D52*1.25</f>
        <v>2.9296875</v>
      </c>
      <c r="K52" s="1868">
        <v>3</v>
      </c>
      <c r="L52" s="1883">
        <f t="shared" si="17"/>
        <v>5.3782399999999999</v>
      </c>
      <c r="M52" s="1870">
        <v>5</v>
      </c>
      <c r="N52" s="1871">
        <f t="shared" si="18"/>
        <v>3.5</v>
      </c>
      <c r="O52" s="1901">
        <f t="shared" si="19"/>
        <v>75</v>
      </c>
      <c r="P52" s="1867">
        <f t="shared" si="20"/>
        <v>3.662109375</v>
      </c>
      <c r="Q52" s="1868">
        <v>4</v>
      </c>
      <c r="R52" s="1883">
        <f t="shared" si="21"/>
        <v>7.5295360000000002</v>
      </c>
      <c r="S52" s="1919">
        <v>8</v>
      </c>
      <c r="T52" s="1871">
        <f t="shared" si="22"/>
        <v>6</v>
      </c>
      <c r="U52" s="1915"/>
      <c r="V52" s="1918"/>
    </row>
    <row r="53" spans="1:22">
      <c r="A53" s="1838">
        <v>6</v>
      </c>
      <c r="B53" s="1839">
        <v>10</v>
      </c>
      <c r="C53" s="1880">
        <f t="shared" si="12"/>
        <v>36</v>
      </c>
      <c r="D53" s="1867">
        <f t="shared" si="13"/>
        <v>2.63671875</v>
      </c>
      <c r="E53" s="1885">
        <v>2.8</v>
      </c>
      <c r="F53" s="1886">
        <f t="shared" si="14"/>
        <v>4.3217999999999996</v>
      </c>
      <c r="G53" s="1887">
        <v>5</v>
      </c>
      <c r="H53" s="1871">
        <f t="shared" si="15"/>
        <v>3.6</v>
      </c>
      <c r="I53" s="1901">
        <f t="shared" si="16"/>
        <v>58</v>
      </c>
      <c r="J53" s="1867">
        <f t="shared" si="23"/>
        <v>3.2958984375</v>
      </c>
      <c r="K53" s="1868">
        <v>3.6</v>
      </c>
      <c r="L53" s="1883">
        <f t="shared" si="17"/>
        <v>6.0505199999999997</v>
      </c>
      <c r="M53" s="1870">
        <v>6</v>
      </c>
      <c r="N53" s="1871">
        <f t="shared" si="18"/>
        <v>4.2</v>
      </c>
      <c r="O53" s="1901">
        <f t="shared" si="19"/>
        <v>90</v>
      </c>
      <c r="P53" s="1867">
        <f t="shared" si="20"/>
        <v>4.119873046875</v>
      </c>
      <c r="Q53" s="1868">
        <v>5</v>
      </c>
      <c r="R53" s="1883">
        <f t="shared" si="21"/>
        <v>8.4707279999999994</v>
      </c>
      <c r="S53" s="1919">
        <v>9</v>
      </c>
      <c r="T53" s="1871">
        <f t="shared" si="22"/>
        <v>6.5</v>
      </c>
      <c r="U53" s="1915"/>
      <c r="V53" s="1918"/>
    </row>
    <row r="54" spans="1:22">
      <c r="A54" s="1838">
        <v>10</v>
      </c>
      <c r="B54" s="1839">
        <v>18</v>
      </c>
      <c r="C54" s="1880">
        <f t="shared" si="12"/>
        <v>43</v>
      </c>
      <c r="D54" s="1867">
        <f t="shared" si="13"/>
        <v>3.22265625</v>
      </c>
      <c r="E54" s="1885">
        <v>3.4</v>
      </c>
      <c r="F54" s="1886">
        <f t="shared" si="14"/>
        <v>5.2821999999999996</v>
      </c>
      <c r="G54" s="1887">
        <v>6</v>
      </c>
      <c r="H54" s="1871">
        <f t="shared" si="15"/>
        <v>4.3</v>
      </c>
      <c r="I54" s="1901">
        <f t="shared" si="16"/>
        <v>70</v>
      </c>
      <c r="J54" s="1867">
        <f t="shared" si="23"/>
        <v>4.0283203125</v>
      </c>
      <c r="K54" s="1868">
        <v>4</v>
      </c>
      <c r="L54" s="1883">
        <f t="shared" si="17"/>
        <v>7.3950800000000001</v>
      </c>
      <c r="M54" s="1870">
        <v>8</v>
      </c>
      <c r="N54" s="1871">
        <f t="shared" si="18"/>
        <v>6</v>
      </c>
      <c r="O54" s="1901">
        <f t="shared" si="19"/>
        <v>110</v>
      </c>
      <c r="P54" s="1867">
        <f t="shared" si="20"/>
        <v>5.035400390625</v>
      </c>
      <c r="Q54" s="1868">
        <v>6</v>
      </c>
      <c r="R54" s="1883">
        <f t="shared" si="21"/>
        <v>10.353111999999999</v>
      </c>
      <c r="S54" s="1919">
        <v>11</v>
      </c>
      <c r="T54" s="1871">
        <f t="shared" si="22"/>
        <v>8</v>
      </c>
      <c r="U54" s="1915"/>
      <c r="V54" s="1918"/>
    </row>
    <row r="55" spans="1:22">
      <c r="A55" s="1838">
        <v>18</v>
      </c>
      <c r="B55" s="1839">
        <v>30</v>
      </c>
      <c r="C55" s="1880">
        <f t="shared" si="12"/>
        <v>52</v>
      </c>
      <c r="D55" s="1867">
        <f t="shared" si="13"/>
        <v>3.80859375</v>
      </c>
      <c r="E55" s="1885">
        <v>4</v>
      </c>
      <c r="F55" s="1886">
        <f t="shared" si="14"/>
        <v>6.2426000000000004</v>
      </c>
      <c r="G55" s="1887">
        <v>7</v>
      </c>
      <c r="H55" s="1871">
        <f t="shared" si="15"/>
        <v>5</v>
      </c>
      <c r="I55" s="1901">
        <f t="shared" si="16"/>
        <v>84</v>
      </c>
      <c r="J55" s="1867">
        <f t="shared" si="23"/>
        <v>4.7607421875</v>
      </c>
      <c r="K55" s="1868">
        <v>5</v>
      </c>
      <c r="L55" s="1883">
        <f t="shared" si="17"/>
        <v>8.7396399999999996</v>
      </c>
      <c r="M55" s="1870">
        <v>9</v>
      </c>
      <c r="N55" s="1871">
        <f t="shared" si="18"/>
        <v>6.5</v>
      </c>
      <c r="O55" s="1901">
        <f t="shared" si="19"/>
        <v>130</v>
      </c>
      <c r="P55" s="1867">
        <f t="shared" si="20"/>
        <v>5.950927734375</v>
      </c>
      <c r="Q55" s="1868">
        <v>7</v>
      </c>
      <c r="R55" s="1883">
        <f t="shared" si="21"/>
        <v>12.235495999999999</v>
      </c>
      <c r="S55" s="1919">
        <v>13</v>
      </c>
      <c r="T55" s="1871">
        <f t="shared" si="22"/>
        <v>9.5</v>
      </c>
      <c r="U55" s="1915"/>
      <c r="V55" s="1918"/>
    </row>
    <row r="56" spans="1:22">
      <c r="A56" s="1838">
        <v>30</v>
      </c>
      <c r="B56" s="1839">
        <v>50</v>
      </c>
      <c r="C56" s="1880">
        <f t="shared" si="12"/>
        <v>62</v>
      </c>
      <c r="D56" s="1867">
        <f t="shared" si="13"/>
        <v>4.6875</v>
      </c>
      <c r="E56" s="1885">
        <v>5</v>
      </c>
      <c r="F56" s="1886">
        <f t="shared" si="14"/>
        <v>7.6832000000000003</v>
      </c>
      <c r="G56" s="1887">
        <v>8</v>
      </c>
      <c r="H56" s="1871">
        <f t="shared" si="15"/>
        <v>5.5</v>
      </c>
      <c r="I56" s="1901">
        <f t="shared" si="16"/>
        <v>100</v>
      </c>
      <c r="J56" s="1867">
        <f t="shared" si="23"/>
        <v>5.859375</v>
      </c>
      <c r="K56" s="1868">
        <v>6</v>
      </c>
      <c r="L56" s="1883">
        <f t="shared" si="17"/>
        <v>10.75648</v>
      </c>
      <c r="M56" s="1870">
        <v>11</v>
      </c>
      <c r="N56" s="1871">
        <f t="shared" si="18"/>
        <v>8</v>
      </c>
      <c r="O56" s="1901">
        <f t="shared" si="19"/>
        <v>160</v>
      </c>
      <c r="P56" s="1867">
        <f t="shared" si="20"/>
        <v>7.32421875</v>
      </c>
      <c r="Q56" s="1868">
        <v>8</v>
      </c>
      <c r="R56" s="1883">
        <f t="shared" si="21"/>
        <v>15.059072</v>
      </c>
      <c r="S56" s="1919">
        <v>16</v>
      </c>
      <c r="T56" s="1871">
        <f t="shared" si="22"/>
        <v>12</v>
      </c>
      <c r="U56" s="1915"/>
      <c r="V56" s="1918"/>
    </row>
    <row r="57" spans="1:22">
      <c r="A57" s="1838">
        <v>50</v>
      </c>
      <c r="B57" s="1839">
        <v>80</v>
      </c>
      <c r="C57" s="1880">
        <f t="shared" si="12"/>
        <v>74</v>
      </c>
      <c r="D57" s="1867">
        <f t="shared" si="13"/>
        <v>5.56640625</v>
      </c>
      <c r="E57" s="1885">
        <v>6</v>
      </c>
      <c r="F57" s="1886">
        <f t="shared" si="14"/>
        <v>9.1237999999999992</v>
      </c>
      <c r="G57" s="1887">
        <v>9</v>
      </c>
      <c r="H57" s="1871">
        <f t="shared" si="15"/>
        <v>6</v>
      </c>
      <c r="I57" s="1901">
        <f t="shared" si="16"/>
        <v>120</v>
      </c>
      <c r="J57" s="1867">
        <f t="shared" si="23"/>
        <v>6.9580078125</v>
      </c>
      <c r="K57" s="1868">
        <v>7</v>
      </c>
      <c r="L57" s="1883">
        <f t="shared" si="17"/>
        <v>12.77332</v>
      </c>
      <c r="M57" s="1870">
        <v>13</v>
      </c>
      <c r="N57" s="1871">
        <f t="shared" si="18"/>
        <v>9.5</v>
      </c>
      <c r="O57" s="1901">
        <f t="shared" si="19"/>
        <v>190</v>
      </c>
      <c r="P57" s="1867">
        <f t="shared" si="20"/>
        <v>8.697509765625</v>
      </c>
      <c r="Q57" s="1868">
        <v>9</v>
      </c>
      <c r="R57" s="1883">
        <f t="shared" si="21"/>
        <v>17.882648</v>
      </c>
      <c r="S57" s="1919">
        <v>19</v>
      </c>
      <c r="T57" s="1871">
        <f t="shared" si="22"/>
        <v>14.5</v>
      </c>
      <c r="U57" s="1915"/>
      <c r="V57" s="1918"/>
    </row>
    <row r="58" spans="1:22">
      <c r="A58" s="1838">
        <v>80</v>
      </c>
      <c r="B58" s="1839">
        <v>120</v>
      </c>
      <c r="C58" s="1880">
        <f t="shared" si="12"/>
        <v>87</v>
      </c>
      <c r="D58" s="1867">
        <f t="shared" si="13"/>
        <v>6.4453125</v>
      </c>
      <c r="E58" s="1885">
        <v>7</v>
      </c>
      <c r="F58" s="1886">
        <f t="shared" si="14"/>
        <v>10.564399999999999</v>
      </c>
      <c r="G58" s="1887">
        <v>10</v>
      </c>
      <c r="H58" s="1871">
        <f t="shared" si="15"/>
        <v>6.5</v>
      </c>
      <c r="I58" s="1901">
        <f t="shared" si="16"/>
        <v>140</v>
      </c>
      <c r="J58" s="1867">
        <f t="shared" si="23"/>
        <v>8.056640625</v>
      </c>
      <c r="K58" s="1868">
        <v>8</v>
      </c>
      <c r="L58" s="1883">
        <f t="shared" si="17"/>
        <v>14.79016</v>
      </c>
      <c r="M58" s="1870">
        <v>15</v>
      </c>
      <c r="N58" s="1871">
        <f t="shared" si="18"/>
        <v>11</v>
      </c>
      <c r="O58" s="1901">
        <f t="shared" si="19"/>
        <v>220</v>
      </c>
      <c r="P58" s="1867">
        <f t="shared" si="20"/>
        <v>10.07080078125</v>
      </c>
      <c r="Q58" s="1868">
        <v>10</v>
      </c>
      <c r="R58" s="1883">
        <f t="shared" si="21"/>
        <v>20.706223999999999</v>
      </c>
      <c r="S58" s="1919">
        <v>22</v>
      </c>
      <c r="T58" s="1871">
        <f t="shared" si="22"/>
        <v>17</v>
      </c>
      <c r="U58" s="1915"/>
      <c r="V58" s="1918"/>
    </row>
    <row r="59" spans="1:22">
      <c r="A59" s="1838">
        <v>120</v>
      </c>
      <c r="B59" s="1839">
        <v>180</v>
      </c>
      <c r="C59" s="1880">
        <f t="shared" si="12"/>
        <v>100</v>
      </c>
      <c r="D59" s="1867">
        <f t="shared" si="13"/>
        <v>7.32421875</v>
      </c>
      <c r="E59" s="1885">
        <v>8</v>
      </c>
      <c r="F59" s="1886">
        <f t="shared" si="14"/>
        <v>12.005000000000001</v>
      </c>
      <c r="G59" s="1887">
        <v>12</v>
      </c>
      <c r="H59" s="1871">
        <f t="shared" si="15"/>
        <v>8</v>
      </c>
      <c r="I59" s="1901">
        <f t="shared" si="16"/>
        <v>160</v>
      </c>
      <c r="J59" s="1867">
        <f t="shared" si="23"/>
        <v>9.1552734375</v>
      </c>
      <c r="K59" s="1868">
        <v>9</v>
      </c>
      <c r="L59" s="1883">
        <f t="shared" si="17"/>
        <v>16.806999999999999</v>
      </c>
      <c r="M59" s="1870">
        <v>18</v>
      </c>
      <c r="N59" s="1871">
        <f t="shared" si="18"/>
        <v>13.5</v>
      </c>
      <c r="O59" s="1901">
        <f t="shared" si="19"/>
        <v>250</v>
      </c>
      <c r="P59" s="1867">
        <f t="shared" si="20"/>
        <v>11.444091796875</v>
      </c>
      <c r="Q59" s="1868">
        <v>12</v>
      </c>
      <c r="R59" s="1883">
        <f t="shared" si="21"/>
        <v>23.529800000000002</v>
      </c>
      <c r="S59" s="1919">
        <v>25</v>
      </c>
      <c r="T59" s="1871">
        <f t="shared" si="22"/>
        <v>19</v>
      </c>
      <c r="U59" s="1915"/>
      <c r="V59" s="1918"/>
    </row>
    <row r="60" spans="1:22">
      <c r="A60" s="1838">
        <v>180</v>
      </c>
      <c r="B60" s="1839">
        <v>250</v>
      </c>
      <c r="C60" s="1880">
        <f t="shared" si="12"/>
        <v>115</v>
      </c>
      <c r="D60" s="1867">
        <f t="shared" si="13"/>
        <v>8.49609375</v>
      </c>
      <c r="E60" s="1885">
        <v>9</v>
      </c>
      <c r="F60" s="1886">
        <f t="shared" si="14"/>
        <v>13.925800000000001</v>
      </c>
      <c r="G60" s="1887">
        <v>14</v>
      </c>
      <c r="H60" s="1871">
        <f t="shared" si="15"/>
        <v>9.5</v>
      </c>
      <c r="I60" s="1901">
        <f t="shared" si="16"/>
        <v>185</v>
      </c>
      <c r="J60" s="1867">
        <f t="shared" si="23"/>
        <v>10.6201171875</v>
      </c>
      <c r="K60" s="1868">
        <v>10</v>
      </c>
      <c r="L60" s="1883">
        <f t="shared" si="17"/>
        <v>19.496120000000001</v>
      </c>
      <c r="M60" s="1870">
        <v>20</v>
      </c>
      <c r="N60" s="1871">
        <f t="shared" si="18"/>
        <v>15</v>
      </c>
      <c r="O60" s="1901">
        <f t="shared" si="19"/>
        <v>290</v>
      </c>
      <c r="P60" s="1867">
        <f t="shared" si="20"/>
        <v>13.275146484375</v>
      </c>
      <c r="Q60" s="1868">
        <v>14</v>
      </c>
      <c r="R60" s="1883">
        <f t="shared" si="21"/>
        <v>27.294568000000002</v>
      </c>
      <c r="S60" s="1919">
        <v>29</v>
      </c>
      <c r="T60" s="1871">
        <f t="shared" si="22"/>
        <v>22</v>
      </c>
      <c r="U60" s="1915"/>
      <c r="V60" s="1918"/>
    </row>
    <row r="61" spans="1:22">
      <c r="A61" s="1838">
        <v>250</v>
      </c>
      <c r="B61" s="1839">
        <v>315</v>
      </c>
      <c r="C61" s="1880">
        <f t="shared" si="12"/>
        <v>130</v>
      </c>
      <c r="D61" s="1867">
        <f t="shared" si="13"/>
        <v>9.375</v>
      </c>
      <c r="E61" s="1885">
        <v>10</v>
      </c>
      <c r="F61" s="1886">
        <f t="shared" si="14"/>
        <v>15.366400000000001</v>
      </c>
      <c r="G61" s="1887">
        <v>16</v>
      </c>
      <c r="H61" s="1871">
        <f t="shared" si="15"/>
        <v>11</v>
      </c>
      <c r="I61" s="1901">
        <f t="shared" si="16"/>
        <v>210</v>
      </c>
      <c r="J61" s="1867">
        <f t="shared" si="23"/>
        <v>11.71875</v>
      </c>
      <c r="K61" s="1868">
        <v>12</v>
      </c>
      <c r="L61" s="1883">
        <f t="shared" si="17"/>
        <v>21.51296</v>
      </c>
      <c r="M61" s="1870">
        <v>22</v>
      </c>
      <c r="N61" s="1871">
        <f t="shared" si="18"/>
        <v>16</v>
      </c>
      <c r="O61" s="1901">
        <f t="shared" si="19"/>
        <v>320</v>
      </c>
      <c r="P61" s="1867">
        <f t="shared" si="20"/>
        <v>14.6484375</v>
      </c>
      <c r="Q61" s="1868">
        <v>16</v>
      </c>
      <c r="R61" s="1883">
        <f t="shared" si="21"/>
        <v>30.118144000000001</v>
      </c>
      <c r="S61" s="1919">
        <v>32</v>
      </c>
      <c r="T61" s="1871">
        <f t="shared" si="22"/>
        <v>24</v>
      </c>
      <c r="U61" s="1915"/>
      <c r="V61" s="1918"/>
    </row>
    <row r="62" spans="1:22">
      <c r="A62" s="1838">
        <v>315</v>
      </c>
      <c r="B62" s="1839">
        <v>400</v>
      </c>
      <c r="C62" s="1880">
        <f t="shared" si="12"/>
        <v>140</v>
      </c>
      <c r="D62" s="1867">
        <f t="shared" si="13"/>
        <v>10.546875</v>
      </c>
      <c r="E62" s="1885">
        <v>11</v>
      </c>
      <c r="F62" s="1886">
        <f t="shared" si="14"/>
        <v>17.287199999999999</v>
      </c>
      <c r="G62" s="1887">
        <v>18</v>
      </c>
      <c r="H62" s="1871">
        <f t="shared" si="15"/>
        <v>12.5</v>
      </c>
      <c r="I62" s="1901">
        <f t="shared" si="16"/>
        <v>230</v>
      </c>
      <c r="J62" s="1867">
        <f t="shared" si="23"/>
        <v>13.18359375</v>
      </c>
      <c r="K62" s="1868">
        <v>14</v>
      </c>
      <c r="L62" s="1883">
        <f t="shared" si="17"/>
        <v>24.202079999999999</v>
      </c>
      <c r="M62" s="1870">
        <v>25</v>
      </c>
      <c r="N62" s="1871">
        <f t="shared" si="18"/>
        <v>18</v>
      </c>
      <c r="O62" s="1901">
        <f t="shared" si="19"/>
        <v>360</v>
      </c>
      <c r="P62" s="1867">
        <f t="shared" si="20"/>
        <v>16.4794921875</v>
      </c>
      <c r="Q62" s="1868">
        <v>18</v>
      </c>
      <c r="R62" s="1883">
        <f t="shared" si="21"/>
        <v>33.882911999999997</v>
      </c>
      <c r="S62" s="1919">
        <v>36</v>
      </c>
      <c r="T62" s="1871">
        <f t="shared" si="22"/>
        <v>27</v>
      </c>
      <c r="U62" s="1915"/>
      <c r="V62" s="1918"/>
    </row>
    <row r="63" spans="1:22">
      <c r="A63" s="1843">
        <v>400</v>
      </c>
      <c r="B63" s="1844">
        <v>500</v>
      </c>
      <c r="C63" s="1872">
        <f t="shared" si="12"/>
        <v>155</v>
      </c>
      <c r="D63" s="1873">
        <f t="shared" si="13"/>
        <v>11.71875</v>
      </c>
      <c r="E63" s="1888">
        <v>12</v>
      </c>
      <c r="F63" s="1889">
        <f t="shared" si="14"/>
        <v>19.207999999999998</v>
      </c>
      <c r="G63" s="1890">
        <v>20</v>
      </c>
      <c r="H63" s="1877">
        <f t="shared" si="15"/>
        <v>14</v>
      </c>
      <c r="I63" s="1872">
        <f t="shared" si="16"/>
        <v>250</v>
      </c>
      <c r="J63" s="1873">
        <f>1.25*D63</f>
        <v>14.6484375</v>
      </c>
      <c r="K63" s="1874">
        <v>16</v>
      </c>
      <c r="L63" s="1903">
        <f>F63*1.4</f>
        <v>26.891200000000001</v>
      </c>
      <c r="M63" s="1876">
        <v>28</v>
      </c>
      <c r="N63" s="1877">
        <f t="shared" si="18"/>
        <v>20</v>
      </c>
      <c r="O63" s="1872">
        <f t="shared" si="19"/>
        <v>400</v>
      </c>
      <c r="P63" s="1873">
        <f t="shared" si="20"/>
        <v>18.310546875</v>
      </c>
      <c r="Q63" s="1874">
        <v>20</v>
      </c>
      <c r="R63" s="1889">
        <f>1.4*L63</f>
        <v>37.647680000000001</v>
      </c>
      <c r="S63" s="1920">
        <v>40</v>
      </c>
      <c r="T63" s="1877">
        <f t="shared" si="22"/>
        <v>30</v>
      </c>
      <c r="U63" s="3368" t="s">
        <v>12710</v>
      </c>
      <c r="V63" s="3368"/>
    </row>
  </sheetData>
  <mergeCells count="55">
    <mergeCell ref="E32:F32"/>
    <mergeCell ref="G32:H32"/>
    <mergeCell ref="U36:V36"/>
    <mergeCell ref="U63:V63"/>
    <mergeCell ref="U33:V34"/>
    <mergeCell ref="O31:P32"/>
    <mergeCell ref="Q31:R32"/>
    <mergeCell ref="S31:T32"/>
    <mergeCell ref="U31:V32"/>
    <mergeCell ref="A35:T35"/>
    <mergeCell ref="A36:B36"/>
    <mergeCell ref="A50:B50"/>
    <mergeCell ref="I32:J32"/>
    <mergeCell ref="K32:L32"/>
    <mergeCell ref="M32:N32"/>
    <mergeCell ref="O33:P34"/>
    <mergeCell ref="Q33:R34"/>
    <mergeCell ref="S33:T34"/>
    <mergeCell ref="E34:F34"/>
    <mergeCell ref="G34:H34"/>
    <mergeCell ref="I34:J34"/>
    <mergeCell ref="K34:L34"/>
    <mergeCell ref="M34:N34"/>
    <mergeCell ref="E33:F33"/>
    <mergeCell ref="G33:H33"/>
    <mergeCell ref="I33:J33"/>
    <mergeCell ref="K33:L33"/>
    <mergeCell ref="M33:N33"/>
    <mergeCell ref="E31:F31"/>
    <mergeCell ref="G31:H31"/>
    <mergeCell ref="I31:J31"/>
    <mergeCell ref="K31:L31"/>
    <mergeCell ref="M31:N31"/>
    <mergeCell ref="A26:V26"/>
    <mergeCell ref="A27:V27"/>
    <mergeCell ref="B28:N28"/>
    <mergeCell ref="O28:V28"/>
    <mergeCell ref="B29:N29"/>
    <mergeCell ref="O29:V29"/>
    <mergeCell ref="A28:A30"/>
    <mergeCell ref="O30:P30"/>
    <mergeCell ref="Q30:R30"/>
    <mergeCell ref="S30:T30"/>
    <mergeCell ref="U30:V30"/>
    <mergeCell ref="E30:F30"/>
    <mergeCell ref="G30:H30"/>
    <mergeCell ref="I30:J30"/>
    <mergeCell ref="K30:L30"/>
    <mergeCell ref="M30:N30"/>
    <mergeCell ref="A1:V1"/>
    <mergeCell ref="A2:B2"/>
    <mergeCell ref="C2:V2"/>
    <mergeCell ref="A3:B3"/>
    <mergeCell ref="C4:O4"/>
    <mergeCell ref="P4:V4"/>
  </mergeCells>
  <phoneticPr fontId="378" type="noConversion"/>
  <hyperlinks>
    <hyperlink ref="U36:V36" location="总目录!A1" display="返回目录"/>
    <hyperlink ref="U63:V63" location="总目录!A1" display="返回目录"/>
  </hyperlinks>
  <pageMargins left="0.75" right="0.75" top="1" bottom="1" header="0.50902777777777797" footer="0.50902777777777797"/>
  <pageSetup paperSize="9" orientation="portrait"/>
  <headerFooter scaleWithDoc="0" alignWithMargins="0"/>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D127"/>
  <sheetViews>
    <sheetView workbookViewId="0">
      <selection activeCell="V4" sqref="V4:Z4"/>
    </sheetView>
  </sheetViews>
  <sheetFormatPr defaultColWidth="8" defaultRowHeight="16.5"/>
  <cols>
    <col min="1" max="37" width="3.25" style="1441" customWidth="1"/>
    <col min="38" max="16384" width="8" style="1441"/>
  </cols>
  <sheetData>
    <row r="2" spans="1:26" ht="20.100000000000001" customHeight="1">
      <c r="A2" s="3807" t="s">
        <v>8094</v>
      </c>
      <c r="B2" s="3761"/>
      <c r="C2" s="3761"/>
      <c r="D2" s="3761"/>
      <c r="E2" s="3761"/>
      <c r="F2" s="3761"/>
      <c r="G2" s="3761"/>
      <c r="H2" s="3744" t="s">
        <v>8095</v>
      </c>
      <c r="I2" s="3744"/>
      <c r="J2" s="3744"/>
      <c r="K2" s="3744"/>
      <c r="L2" s="3744"/>
      <c r="M2" s="3744"/>
      <c r="N2" s="3744"/>
      <c r="O2" s="3744"/>
      <c r="P2" s="3744"/>
      <c r="Q2" s="3744"/>
      <c r="R2" s="3744"/>
      <c r="S2" s="3744"/>
      <c r="T2" s="3744"/>
      <c r="U2" s="3745" t="s">
        <v>8096</v>
      </c>
      <c r="V2" s="3745"/>
      <c r="W2" s="3745"/>
      <c r="X2" s="3745"/>
      <c r="Y2" s="3745"/>
      <c r="Z2" s="3746"/>
    </row>
    <row r="3" spans="1:26" ht="17.25" thickBot="1">
      <c r="A3" s="3808"/>
      <c r="B3" s="3747"/>
      <c r="C3" s="3747"/>
      <c r="D3" s="3747"/>
      <c r="E3" s="3747"/>
      <c r="F3" s="3747"/>
      <c r="G3" s="3747"/>
      <c r="H3" s="3747" t="s">
        <v>81</v>
      </c>
      <c r="I3" s="3747"/>
      <c r="J3" s="3747"/>
      <c r="K3" s="3747"/>
      <c r="L3" s="3747"/>
      <c r="M3" s="3747"/>
      <c r="N3" s="3747"/>
      <c r="O3" s="3747"/>
      <c r="P3" s="3747"/>
      <c r="Q3" s="3747"/>
      <c r="R3" s="3747"/>
      <c r="S3" s="3747"/>
      <c r="T3" s="3747"/>
      <c r="U3" s="3748" t="s">
        <v>8097</v>
      </c>
      <c r="V3" s="3748"/>
      <c r="W3" s="3748"/>
      <c r="X3" s="3748" t="s">
        <v>8098</v>
      </c>
      <c r="Y3" s="3748"/>
      <c r="Z3" s="3749"/>
    </row>
    <row r="4" spans="1:26">
      <c r="A4" s="1747"/>
      <c r="B4" s="1748"/>
      <c r="C4" s="1748"/>
      <c r="D4" s="1748"/>
      <c r="E4" s="1748"/>
      <c r="F4" s="1748"/>
      <c r="G4" s="1748"/>
      <c r="H4" s="1748"/>
      <c r="I4" s="1748"/>
      <c r="J4" s="1748"/>
      <c r="K4" s="1748"/>
      <c r="L4" s="1748"/>
      <c r="M4" s="1748"/>
      <c r="N4" s="1748"/>
      <c r="O4" s="1748"/>
      <c r="P4" s="1748"/>
      <c r="Q4" s="1748"/>
      <c r="R4" s="1748"/>
      <c r="S4" s="1748"/>
      <c r="T4" s="1748"/>
      <c r="U4" s="1748"/>
      <c r="V4" s="3841" t="s">
        <v>12716</v>
      </c>
      <c r="W4" s="3841"/>
      <c r="X4" s="3841"/>
      <c r="Y4" s="3841"/>
      <c r="Z4" s="3841"/>
    </row>
    <row r="5" spans="1:26">
      <c r="A5" s="3750" t="s">
        <v>8099</v>
      </c>
      <c r="B5" s="3751"/>
      <c r="C5" s="3751"/>
      <c r="D5" s="3751"/>
      <c r="E5" s="3751"/>
      <c r="F5" s="3751"/>
      <c r="G5" s="3751"/>
      <c r="H5" s="3751"/>
      <c r="I5" s="3751"/>
      <c r="J5" s="3751"/>
      <c r="K5" s="3751"/>
      <c r="L5" s="3751"/>
      <c r="M5" s="3751"/>
      <c r="N5" s="3751"/>
      <c r="O5" s="3751"/>
      <c r="P5" s="3751"/>
      <c r="Q5" s="3751"/>
      <c r="R5" s="3751"/>
      <c r="S5" s="3751"/>
      <c r="T5" s="3751"/>
      <c r="U5" s="3751"/>
      <c r="V5" s="3751"/>
      <c r="W5" s="3751"/>
      <c r="X5" s="3751"/>
      <c r="Y5" s="3751"/>
      <c r="Z5" s="3752"/>
    </row>
    <row r="6" spans="1:26">
      <c r="A6" s="3753" t="s">
        <v>8100</v>
      </c>
      <c r="B6" s="3754"/>
      <c r="C6" s="3754"/>
      <c r="D6" s="3754"/>
      <c r="E6" s="3754"/>
      <c r="F6" s="3754"/>
      <c r="G6" s="3754"/>
      <c r="H6" s="3754"/>
      <c r="I6" s="3754"/>
      <c r="J6" s="3754"/>
      <c r="K6" s="3754"/>
      <c r="L6" s="3754"/>
      <c r="M6" s="3754"/>
      <c r="N6" s="3754"/>
      <c r="O6" s="3754"/>
      <c r="P6" s="3754"/>
      <c r="Q6" s="3754"/>
      <c r="R6" s="3754"/>
      <c r="S6" s="3754"/>
      <c r="T6" s="3754"/>
      <c r="U6" s="3754"/>
      <c r="V6" s="3754"/>
      <c r="W6" s="3754"/>
      <c r="X6" s="3754"/>
      <c r="Y6" s="3754"/>
      <c r="Z6" s="3755"/>
    </row>
    <row r="7" spans="1:26">
      <c r="A7" s="3756" t="s">
        <v>8101</v>
      </c>
      <c r="B7" s="3757"/>
      <c r="C7" s="3757"/>
      <c r="D7" s="3757"/>
      <c r="E7" s="3757"/>
      <c r="F7" s="3757"/>
      <c r="G7" s="3757"/>
      <c r="H7" s="3757"/>
      <c r="I7" s="1800">
        <v>1.2</v>
      </c>
      <c r="J7" s="1800">
        <v>1.6</v>
      </c>
      <c r="K7" s="1800">
        <v>2</v>
      </c>
      <c r="L7" s="1800">
        <v>2.5</v>
      </c>
      <c r="M7" s="1800">
        <v>3</v>
      </c>
      <c r="N7" s="1800">
        <v>4</v>
      </c>
      <c r="O7" s="1800">
        <v>5</v>
      </c>
      <c r="P7" s="1800">
        <v>6</v>
      </c>
      <c r="Q7" s="1800">
        <v>8</v>
      </c>
      <c r="R7" s="1800">
        <v>10</v>
      </c>
      <c r="S7" s="1800">
        <v>12</v>
      </c>
      <c r="T7" s="1800">
        <v>16</v>
      </c>
      <c r="U7" s="1800">
        <v>20</v>
      </c>
      <c r="V7" s="1800">
        <v>24</v>
      </c>
      <c r="W7" s="1800">
        <v>30</v>
      </c>
      <c r="X7" s="1800">
        <v>36</v>
      </c>
      <c r="Y7" s="1800">
        <v>42</v>
      </c>
      <c r="Z7" s="1805">
        <v>48</v>
      </c>
    </row>
    <row r="8" spans="1:26">
      <c r="A8" s="3758" t="s">
        <v>8102</v>
      </c>
      <c r="B8" s="3759"/>
      <c r="C8" s="3759"/>
      <c r="D8" s="3759"/>
      <c r="E8" s="3759"/>
      <c r="F8" s="3759"/>
      <c r="G8" s="3759"/>
      <c r="H8" s="1823" t="s">
        <v>6565</v>
      </c>
      <c r="I8" s="1768">
        <v>1.5</v>
      </c>
      <c r="J8" s="1768">
        <v>2</v>
      </c>
      <c r="K8" s="1768">
        <v>2.6</v>
      </c>
      <c r="L8" s="1768">
        <v>3.1</v>
      </c>
      <c r="M8" s="1768">
        <v>3.6</v>
      </c>
      <c r="N8" s="1768">
        <v>4.8</v>
      </c>
      <c r="O8" s="1768">
        <v>5.8</v>
      </c>
      <c r="P8" s="1768">
        <v>7</v>
      </c>
      <c r="Q8" s="1768">
        <v>9</v>
      </c>
      <c r="R8" s="1768">
        <v>11</v>
      </c>
      <c r="S8" s="1768">
        <v>13</v>
      </c>
      <c r="T8" s="1768">
        <v>17</v>
      </c>
      <c r="U8" s="1768">
        <v>22</v>
      </c>
      <c r="V8" s="1768">
        <v>26</v>
      </c>
      <c r="W8" s="1768">
        <v>33</v>
      </c>
      <c r="X8" s="1768">
        <v>39</v>
      </c>
      <c r="Y8" s="1768">
        <v>45</v>
      </c>
      <c r="Z8" s="1776">
        <v>52</v>
      </c>
    </row>
    <row r="9" spans="1:26" ht="16.5" customHeight="1">
      <c r="A9" s="3817" t="s">
        <v>8103</v>
      </c>
      <c r="B9" s="3818"/>
      <c r="C9" s="3823"/>
      <c r="D9" s="3824"/>
      <c r="E9" s="3824"/>
      <c r="F9" s="3824"/>
      <c r="G9" s="3825"/>
      <c r="H9" s="3765" t="s">
        <v>4554</v>
      </c>
      <c r="I9" s="3768"/>
      <c r="J9" s="3768"/>
      <c r="K9" s="3768"/>
      <c r="L9" s="3768"/>
      <c r="M9" s="3768"/>
      <c r="N9" s="3765">
        <v>10</v>
      </c>
      <c r="O9" s="3765">
        <v>11</v>
      </c>
      <c r="P9" s="3765">
        <v>14</v>
      </c>
      <c r="Q9" s="3765">
        <v>17</v>
      </c>
      <c r="R9" s="3765">
        <v>20</v>
      </c>
      <c r="S9" s="3765">
        <v>26</v>
      </c>
      <c r="T9" s="3765">
        <v>32</v>
      </c>
      <c r="U9" s="3765">
        <v>38</v>
      </c>
      <c r="V9" s="3765">
        <v>45</v>
      </c>
      <c r="W9" s="3765">
        <v>52</v>
      </c>
      <c r="X9" s="3765">
        <v>60</v>
      </c>
      <c r="Y9" s="3765">
        <v>70</v>
      </c>
      <c r="Z9" s="3799">
        <v>82</v>
      </c>
    </row>
    <row r="10" spans="1:26">
      <c r="A10" s="3819"/>
      <c r="B10" s="3820"/>
      <c r="C10" s="3826"/>
      <c r="D10" s="3827"/>
      <c r="E10" s="3827"/>
      <c r="F10" s="3827"/>
      <c r="G10" s="3828"/>
      <c r="H10" s="3766"/>
      <c r="I10" s="3769"/>
      <c r="J10" s="3769"/>
      <c r="K10" s="3769"/>
      <c r="L10" s="3769"/>
      <c r="M10" s="3769"/>
      <c r="N10" s="3766"/>
      <c r="O10" s="3766"/>
      <c r="P10" s="3766"/>
      <c r="Q10" s="3766"/>
      <c r="R10" s="3766"/>
      <c r="S10" s="3766"/>
      <c r="T10" s="3766"/>
      <c r="U10" s="3766"/>
      <c r="V10" s="3766"/>
      <c r="W10" s="3766"/>
      <c r="X10" s="3766"/>
      <c r="Y10" s="3766"/>
      <c r="Z10" s="3842"/>
    </row>
    <row r="11" spans="1:26">
      <c r="A11" s="3819"/>
      <c r="B11" s="3820"/>
      <c r="C11" s="3826"/>
      <c r="D11" s="3827"/>
      <c r="E11" s="3827"/>
      <c r="F11" s="3827"/>
      <c r="G11" s="3828"/>
      <c r="H11" s="3766"/>
      <c r="I11" s="3769"/>
      <c r="J11" s="3769"/>
      <c r="K11" s="3769"/>
      <c r="L11" s="3769"/>
      <c r="M11" s="3769"/>
      <c r="N11" s="3766"/>
      <c r="O11" s="3766"/>
      <c r="P11" s="3766"/>
      <c r="Q11" s="3766"/>
      <c r="R11" s="3766"/>
      <c r="S11" s="3766"/>
      <c r="T11" s="3766"/>
      <c r="U11" s="3766"/>
      <c r="V11" s="3766"/>
      <c r="W11" s="3766"/>
      <c r="X11" s="3766"/>
      <c r="Y11" s="3766"/>
      <c r="Z11" s="3842"/>
    </row>
    <row r="12" spans="1:26">
      <c r="A12" s="3819"/>
      <c r="B12" s="3820"/>
      <c r="C12" s="3826"/>
      <c r="D12" s="3827"/>
      <c r="E12" s="3827"/>
      <c r="F12" s="3827"/>
      <c r="G12" s="3828"/>
      <c r="H12" s="3773"/>
      <c r="I12" s="3770"/>
      <c r="J12" s="3770"/>
      <c r="K12" s="3770"/>
      <c r="L12" s="3770"/>
      <c r="M12" s="3770"/>
      <c r="N12" s="3773"/>
      <c r="O12" s="3773"/>
      <c r="P12" s="3773"/>
      <c r="Q12" s="3773"/>
      <c r="R12" s="3773"/>
      <c r="S12" s="3773"/>
      <c r="T12" s="3773"/>
      <c r="U12" s="3773"/>
      <c r="V12" s="3773"/>
      <c r="W12" s="3773"/>
      <c r="X12" s="3773"/>
      <c r="Y12" s="3773"/>
      <c r="Z12" s="3800"/>
    </row>
    <row r="13" spans="1:26">
      <c r="A13" s="3819"/>
      <c r="B13" s="3820"/>
      <c r="C13" s="3826"/>
      <c r="D13" s="3827"/>
      <c r="E13" s="3827"/>
      <c r="F13" s="3827"/>
      <c r="G13" s="3828"/>
      <c r="H13" s="3765" t="s">
        <v>8104</v>
      </c>
      <c r="I13" s="3768"/>
      <c r="J13" s="3768"/>
      <c r="K13" s="3768"/>
      <c r="L13" s="3768"/>
      <c r="M13" s="3768"/>
      <c r="N13" s="3787"/>
      <c r="O13" s="3787"/>
      <c r="P13" s="3787"/>
      <c r="Q13" s="3787"/>
      <c r="R13" s="3787"/>
      <c r="S13" s="3787"/>
      <c r="T13" s="3787"/>
      <c r="U13" s="3787"/>
      <c r="V13" s="3787"/>
      <c r="W13" s="3787"/>
      <c r="X13" s="3787"/>
      <c r="Y13" s="3787"/>
      <c r="Z13" s="3843"/>
    </row>
    <row r="14" spans="1:26">
      <c r="A14" s="3819"/>
      <c r="B14" s="3820"/>
      <c r="C14" s="3826"/>
      <c r="D14" s="3827"/>
      <c r="E14" s="3827"/>
      <c r="F14" s="3827"/>
      <c r="G14" s="3828"/>
      <c r="H14" s="3766"/>
      <c r="I14" s="3769"/>
      <c r="J14" s="3769"/>
      <c r="K14" s="3769"/>
      <c r="L14" s="3769"/>
      <c r="M14" s="3769"/>
      <c r="N14" s="3788"/>
      <c r="O14" s="3788"/>
      <c r="P14" s="3788"/>
      <c r="Q14" s="3788"/>
      <c r="R14" s="3788"/>
      <c r="S14" s="3788"/>
      <c r="T14" s="3788"/>
      <c r="U14" s="3788"/>
      <c r="V14" s="3788"/>
      <c r="W14" s="3788"/>
      <c r="X14" s="3788"/>
      <c r="Y14" s="3788"/>
      <c r="Z14" s="3844"/>
    </row>
    <row r="15" spans="1:26">
      <c r="A15" s="3819"/>
      <c r="B15" s="3820"/>
      <c r="C15" s="3826"/>
      <c r="D15" s="3827"/>
      <c r="E15" s="3827"/>
      <c r="F15" s="3827"/>
      <c r="G15" s="3828"/>
      <c r="H15" s="3766"/>
      <c r="I15" s="3769"/>
      <c r="J15" s="3769"/>
      <c r="K15" s="3769"/>
      <c r="L15" s="3769"/>
      <c r="M15" s="3769"/>
      <c r="N15" s="3788"/>
      <c r="O15" s="3788"/>
      <c r="P15" s="3788"/>
      <c r="Q15" s="3788"/>
      <c r="R15" s="3788"/>
      <c r="S15" s="3788"/>
      <c r="T15" s="3788"/>
      <c r="U15" s="3788"/>
      <c r="V15" s="3788"/>
      <c r="W15" s="3788"/>
      <c r="X15" s="3788"/>
      <c r="Y15" s="3788"/>
      <c r="Z15" s="3844"/>
    </row>
    <row r="16" spans="1:26">
      <c r="A16" s="3821"/>
      <c r="B16" s="3822"/>
      <c r="C16" s="3829"/>
      <c r="D16" s="3830"/>
      <c r="E16" s="3830"/>
      <c r="F16" s="3830"/>
      <c r="G16" s="3831"/>
      <c r="H16" s="3773"/>
      <c r="I16" s="3770"/>
      <c r="J16" s="3770"/>
      <c r="K16" s="3770"/>
      <c r="L16" s="3770"/>
      <c r="M16" s="3770"/>
      <c r="N16" s="3789"/>
      <c r="O16" s="3789"/>
      <c r="P16" s="3789"/>
      <c r="Q16" s="3789"/>
      <c r="R16" s="3789"/>
      <c r="S16" s="3789"/>
      <c r="T16" s="3789"/>
      <c r="U16" s="3789"/>
      <c r="V16" s="3789"/>
      <c r="W16" s="3789"/>
      <c r="X16" s="3789"/>
      <c r="Y16" s="3789"/>
      <c r="Z16" s="3845"/>
    </row>
    <row r="17" spans="1:30">
      <c r="A17" s="3817" t="s">
        <v>8105</v>
      </c>
      <c r="B17" s="3818"/>
      <c r="C17" s="3823"/>
      <c r="D17" s="3824"/>
      <c r="E17" s="3824"/>
      <c r="F17" s="3824"/>
      <c r="G17" s="3825"/>
      <c r="H17" s="3765" t="s">
        <v>4554</v>
      </c>
      <c r="I17" s="3768"/>
      <c r="J17" s="3768"/>
      <c r="K17" s="3779">
        <v>5.5</v>
      </c>
      <c r="L17" s="3779"/>
      <c r="M17" s="3779">
        <v>8</v>
      </c>
      <c r="N17" s="3765">
        <v>10</v>
      </c>
      <c r="O17" s="3765">
        <v>11</v>
      </c>
      <c r="P17" s="3765">
        <v>14</v>
      </c>
      <c r="Q17" s="3765">
        <v>17</v>
      </c>
      <c r="R17" s="3765">
        <v>20</v>
      </c>
      <c r="S17" s="3765">
        <v>26</v>
      </c>
      <c r="T17" s="3765">
        <v>32</v>
      </c>
      <c r="U17" s="3765">
        <v>38</v>
      </c>
      <c r="V17" s="3765">
        <v>45</v>
      </c>
      <c r="W17" s="3765">
        <v>52</v>
      </c>
      <c r="X17" s="3765">
        <v>60</v>
      </c>
      <c r="Y17" s="3765">
        <v>70</v>
      </c>
      <c r="Z17" s="3799">
        <v>82</v>
      </c>
    </row>
    <row r="18" spans="1:30">
      <c r="A18" s="3819"/>
      <c r="B18" s="3820"/>
      <c r="C18" s="3826"/>
      <c r="D18" s="3827"/>
      <c r="E18" s="3827"/>
      <c r="F18" s="3827"/>
      <c r="G18" s="3828"/>
      <c r="H18" s="3774"/>
      <c r="I18" s="3771"/>
      <c r="J18" s="3771"/>
      <c r="K18" s="3771"/>
      <c r="L18" s="3771"/>
      <c r="M18" s="3771"/>
      <c r="N18" s="3790"/>
      <c r="O18" s="3790"/>
      <c r="P18" s="3790"/>
      <c r="Q18" s="3790"/>
      <c r="R18" s="3790"/>
      <c r="S18" s="3790"/>
      <c r="T18" s="3790"/>
      <c r="U18" s="3790"/>
      <c r="V18" s="3790"/>
      <c r="W18" s="3790"/>
      <c r="X18" s="3790"/>
      <c r="Y18" s="3790"/>
      <c r="Z18" s="3846"/>
    </row>
    <row r="19" spans="1:30">
      <c r="A19" s="3819"/>
      <c r="B19" s="3820"/>
      <c r="C19" s="3826"/>
      <c r="D19" s="3827"/>
      <c r="E19" s="3827"/>
      <c r="F19" s="3827"/>
      <c r="G19" s="3828"/>
      <c r="H19" s="3774"/>
      <c r="I19" s="3771"/>
      <c r="J19" s="3771"/>
      <c r="K19" s="3771"/>
      <c r="L19" s="3771"/>
      <c r="M19" s="3771"/>
      <c r="N19" s="3790"/>
      <c r="O19" s="3790"/>
      <c r="P19" s="3790"/>
      <c r="Q19" s="3790"/>
      <c r="R19" s="3790"/>
      <c r="S19" s="3790"/>
      <c r="T19" s="3790"/>
      <c r="U19" s="3790"/>
      <c r="V19" s="3790"/>
      <c r="W19" s="3790"/>
      <c r="X19" s="3790"/>
      <c r="Y19" s="3790"/>
      <c r="Z19" s="3846"/>
    </row>
    <row r="20" spans="1:30">
      <c r="A20" s="3819"/>
      <c r="B20" s="3820"/>
      <c r="C20" s="3826"/>
      <c r="D20" s="3827"/>
      <c r="E20" s="3827"/>
      <c r="F20" s="3827"/>
      <c r="G20" s="3828"/>
      <c r="H20" s="3775"/>
      <c r="I20" s="3772"/>
      <c r="J20" s="3772"/>
      <c r="K20" s="3772"/>
      <c r="L20" s="3772"/>
      <c r="M20" s="3772"/>
      <c r="N20" s="3791"/>
      <c r="O20" s="3791"/>
      <c r="P20" s="3791"/>
      <c r="Q20" s="3791"/>
      <c r="R20" s="3791"/>
      <c r="S20" s="3791"/>
      <c r="T20" s="3791"/>
      <c r="U20" s="3791"/>
      <c r="V20" s="3791"/>
      <c r="W20" s="3791"/>
      <c r="X20" s="3791"/>
      <c r="Y20" s="3791"/>
      <c r="Z20" s="3847"/>
    </row>
    <row r="21" spans="1:30">
      <c r="A21" s="3819"/>
      <c r="B21" s="3820"/>
      <c r="C21" s="3826"/>
      <c r="D21" s="3827"/>
      <c r="E21" s="3827"/>
      <c r="F21" s="3827"/>
      <c r="G21" s="3828"/>
      <c r="H21" s="3765" t="s">
        <v>8104</v>
      </c>
      <c r="I21" s="3768"/>
      <c r="J21" s="3768"/>
      <c r="K21" s="3768"/>
      <c r="L21" s="3768"/>
      <c r="M21" s="3768"/>
      <c r="N21" s="3787"/>
      <c r="O21" s="3787"/>
      <c r="P21" s="3787"/>
      <c r="Q21" s="3787"/>
      <c r="R21" s="3787"/>
      <c r="S21" s="3787"/>
      <c r="T21" s="3787"/>
      <c r="U21" s="3787"/>
      <c r="V21" s="3787"/>
      <c r="W21" s="3787"/>
      <c r="X21" s="3787"/>
      <c r="Y21" s="3787"/>
      <c r="Z21" s="3843"/>
      <c r="AD21" s="1830"/>
    </row>
    <row r="22" spans="1:30">
      <c r="A22" s="3819"/>
      <c r="B22" s="3820"/>
      <c r="C22" s="3826"/>
      <c r="D22" s="3827"/>
      <c r="E22" s="3827"/>
      <c r="F22" s="3827"/>
      <c r="G22" s="3828"/>
      <c r="H22" s="3766"/>
      <c r="I22" s="3769"/>
      <c r="J22" s="3769"/>
      <c r="K22" s="3769"/>
      <c r="L22" s="3769"/>
      <c r="M22" s="3769"/>
      <c r="N22" s="3788"/>
      <c r="O22" s="3788"/>
      <c r="P22" s="3788"/>
      <c r="Q22" s="3788"/>
      <c r="R22" s="3788"/>
      <c r="S22" s="3788"/>
      <c r="T22" s="3788"/>
      <c r="U22" s="3788"/>
      <c r="V22" s="3788"/>
      <c r="W22" s="3788"/>
      <c r="X22" s="3788"/>
      <c r="Y22" s="3788"/>
      <c r="Z22" s="3844"/>
    </row>
    <row r="23" spans="1:30">
      <c r="A23" s="3819"/>
      <c r="B23" s="3820"/>
      <c r="C23" s="3826"/>
      <c r="D23" s="3827"/>
      <c r="E23" s="3827"/>
      <c r="F23" s="3827"/>
      <c r="G23" s="3828"/>
      <c r="H23" s="3766"/>
      <c r="I23" s="3769"/>
      <c r="J23" s="3769"/>
      <c r="K23" s="3769"/>
      <c r="L23" s="3769"/>
      <c r="M23" s="3769"/>
      <c r="N23" s="3788"/>
      <c r="O23" s="3788"/>
      <c r="P23" s="3788"/>
      <c r="Q23" s="3788"/>
      <c r="R23" s="3788"/>
      <c r="S23" s="3788"/>
      <c r="T23" s="3788"/>
      <c r="U23" s="3788"/>
      <c r="V23" s="3788"/>
      <c r="W23" s="3788"/>
      <c r="X23" s="3788"/>
      <c r="Y23" s="3788"/>
      <c r="Z23" s="3844"/>
    </row>
    <row r="24" spans="1:30">
      <c r="A24" s="3821"/>
      <c r="B24" s="3822"/>
      <c r="C24" s="3829"/>
      <c r="D24" s="3830"/>
      <c r="E24" s="3830"/>
      <c r="F24" s="3830"/>
      <c r="G24" s="3831"/>
      <c r="H24" s="3773"/>
      <c r="I24" s="3770"/>
      <c r="J24" s="3770"/>
      <c r="K24" s="3770"/>
      <c r="L24" s="3770"/>
      <c r="M24" s="3770"/>
      <c r="N24" s="3789"/>
      <c r="O24" s="3789"/>
      <c r="P24" s="3789"/>
      <c r="Q24" s="3789"/>
      <c r="R24" s="3789"/>
      <c r="S24" s="3789"/>
      <c r="T24" s="3789"/>
      <c r="U24" s="3789"/>
      <c r="V24" s="3789"/>
      <c r="W24" s="3789"/>
      <c r="X24" s="3789"/>
      <c r="Y24" s="3789"/>
      <c r="Z24" s="3845"/>
    </row>
    <row r="25" spans="1:30">
      <c r="A25" s="3832" t="s">
        <v>8106</v>
      </c>
      <c r="B25" s="3778"/>
      <c r="C25" s="3834"/>
      <c r="D25" s="3834"/>
      <c r="E25" s="3834"/>
      <c r="F25" s="3834"/>
      <c r="G25" s="3834"/>
      <c r="H25" s="3765" t="s">
        <v>4554</v>
      </c>
      <c r="I25" s="3768"/>
      <c r="J25" s="3768"/>
      <c r="K25" s="3768"/>
      <c r="L25" s="3768"/>
      <c r="M25" s="3768"/>
      <c r="N25" s="3765">
        <v>11</v>
      </c>
      <c r="O25" s="3765">
        <v>14</v>
      </c>
      <c r="P25" s="3765">
        <v>17</v>
      </c>
      <c r="Q25" s="3765">
        <v>20</v>
      </c>
      <c r="R25" s="3765">
        <v>26</v>
      </c>
      <c r="S25" s="3765">
        <v>32</v>
      </c>
      <c r="T25" s="3765">
        <v>38</v>
      </c>
      <c r="U25" s="3765">
        <v>45</v>
      </c>
      <c r="V25" s="3765">
        <v>52</v>
      </c>
      <c r="W25" s="3765">
        <v>60</v>
      </c>
      <c r="X25" s="3765">
        <v>70</v>
      </c>
      <c r="Y25" s="3765">
        <v>82</v>
      </c>
      <c r="Z25" s="3799">
        <v>95</v>
      </c>
    </row>
    <row r="26" spans="1:30">
      <c r="A26" s="3833"/>
      <c r="B26" s="3778"/>
      <c r="C26" s="3834"/>
      <c r="D26" s="3834"/>
      <c r="E26" s="3834"/>
      <c r="F26" s="3834"/>
      <c r="G26" s="3834"/>
      <c r="H26" s="3773"/>
      <c r="I26" s="3770"/>
      <c r="J26" s="3770"/>
      <c r="K26" s="3770"/>
      <c r="L26" s="3770"/>
      <c r="M26" s="3770"/>
      <c r="N26" s="3773"/>
      <c r="O26" s="3773"/>
      <c r="P26" s="3773"/>
      <c r="Q26" s="3773"/>
      <c r="R26" s="3773"/>
      <c r="S26" s="3773"/>
      <c r="T26" s="3773"/>
      <c r="U26" s="3773"/>
      <c r="V26" s="3773"/>
      <c r="W26" s="3773"/>
      <c r="X26" s="3773"/>
      <c r="Y26" s="3773"/>
      <c r="Z26" s="3800"/>
    </row>
    <row r="27" spans="1:30">
      <c r="A27" s="3833"/>
      <c r="B27" s="3778"/>
      <c r="C27" s="3834"/>
      <c r="D27" s="3834"/>
      <c r="E27" s="3834"/>
      <c r="F27" s="3834"/>
      <c r="G27" s="3834"/>
      <c r="H27" s="3765" t="s">
        <v>8104</v>
      </c>
      <c r="I27" s="3759"/>
      <c r="J27" s="3759"/>
      <c r="K27" s="3759"/>
      <c r="L27" s="3759"/>
      <c r="M27" s="3759"/>
      <c r="N27" s="3783"/>
      <c r="O27" s="3783"/>
      <c r="P27" s="3783"/>
      <c r="Q27" s="3783"/>
      <c r="R27" s="3783"/>
      <c r="S27" s="3783"/>
      <c r="T27" s="3783"/>
      <c r="U27" s="3783"/>
      <c r="V27" s="3783"/>
      <c r="W27" s="3783"/>
      <c r="X27" s="3783"/>
      <c r="Y27" s="3783"/>
      <c r="Z27" s="3801"/>
    </row>
    <row r="28" spans="1:30">
      <c r="A28" s="3833"/>
      <c r="B28" s="3778"/>
      <c r="C28" s="3834"/>
      <c r="D28" s="3834"/>
      <c r="E28" s="3834"/>
      <c r="F28" s="3834"/>
      <c r="G28" s="3834"/>
      <c r="H28" s="3776"/>
      <c r="I28" s="3759"/>
      <c r="J28" s="3759"/>
      <c r="K28" s="3759"/>
      <c r="L28" s="3759"/>
      <c r="M28" s="3759"/>
      <c r="N28" s="3783"/>
      <c r="O28" s="3783"/>
      <c r="P28" s="3783"/>
      <c r="Q28" s="3783"/>
      <c r="R28" s="3783"/>
      <c r="S28" s="3783"/>
      <c r="T28" s="3783"/>
      <c r="U28" s="3783"/>
      <c r="V28" s="3783"/>
      <c r="W28" s="3783"/>
      <c r="X28" s="3783"/>
      <c r="Y28" s="3783"/>
      <c r="Z28" s="3801"/>
    </row>
    <row r="29" spans="1:30">
      <c r="A29" s="3833"/>
      <c r="B29" s="3778"/>
      <c r="C29" s="3834"/>
      <c r="D29" s="3834"/>
      <c r="E29" s="3834"/>
      <c r="F29" s="3834"/>
      <c r="G29" s="3834"/>
      <c r="H29" s="3777"/>
      <c r="I29" s="3759"/>
      <c r="J29" s="3759"/>
      <c r="K29" s="3759"/>
      <c r="L29" s="3759"/>
      <c r="M29" s="3759"/>
      <c r="N29" s="3783"/>
      <c r="O29" s="3783"/>
      <c r="P29" s="3783"/>
      <c r="Q29" s="3783"/>
      <c r="R29" s="3783"/>
      <c r="S29" s="3783"/>
      <c r="T29" s="3783"/>
      <c r="U29" s="3783"/>
      <c r="V29" s="3783"/>
      <c r="W29" s="3783"/>
      <c r="X29" s="3783"/>
      <c r="Y29" s="3783"/>
      <c r="Z29" s="3801"/>
    </row>
    <row r="30" spans="1:30">
      <c r="A30" s="3832" t="s">
        <v>8106</v>
      </c>
      <c r="B30" s="3778"/>
      <c r="C30" s="3834"/>
      <c r="D30" s="3834"/>
      <c r="E30" s="3834"/>
      <c r="F30" s="3834"/>
      <c r="G30" s="3834"/>
      <c r="H30" s="3765" t="s">
        <v>4554</v>
      </c>
      <c r="I30" s="3759"/>
      <c r="J30" s="3759"/>
      <c r="K30" s="3759"/>
      <c r="L30" s="3759"/>
      <c r="M30" s="3759"/>
      <c r="N30" s="3778">
        <v>8</v>
      </c>
      <c r="O30" s="3778">
        <v>10</v>
      </c>
      <c r="P30" s="3778">
        <v>11</v>
      </c>
      <c r="Q30" s="3778">
        <v>14</v>
      </c>
      <c r="R30" s="3778">
        <v>17</v>
      </c>
      <c r="S30" s="3778">
        <v>20</v>
      </c>
      <c r="T30" s="3778">
        <v>26</v>
      </c>
      <c r="U30" s="3778">
        <v>32</v>
      </c>
      <c r="V30" s="3778">
        <v>38</v>
      </c>
      <c r="W30" s="3778">
        <v>45</v>
      </c>
      <c r="X30" s="3778">
        <v>52</v>
      </c>
      <c r="Y30" s="3778">
        <v>60</v>
      </c>
      <c r="Z30" s="3802"/>
    </row>
    <row r="31" spans="1:30">
      <c r="A31" s="3833"/>
      <c r="B31" s="3778"/>
      <c r="C31" s="3834"/>
      <c r="D31" s="3834"/>
      <c r="E31" s="3834"/>
      <c r="F31" s="3834"/>
      <c r="G31" s="3834"/>
      <c r="H31" s="3776"/>
      <c r="I31" s="3759"/>
      <c r="J31" s="3759"/>
      <c r="K31" s="3759"/>
      <c r="L31" s="3759"/>
      <c r="M31" s="3759"/>
      <c r="N31" s="3778"/>
      <c r="O31" s="3778"/>
      <c r="P31" s="3778"/>
      <c r="Q31" s="3778"/>
      <c r="R31" s="3778"/>
      <c r="S31" s="3778"/>
      <c r="T31" s="3778"/>
      <c r="U31" s="3778"/>
      <c r="V31" s="3778"/>
      <c r="W31" s="3778"/>
      <c r="X31" s="3778"/>
      <c r="Y31" s="3778"/>
      <c r="Z31" s="3802"/>
    </row>
    <row r="32" spans="1:30">
      <c r="A32" s="3833"/>
      <c r="B32" s="3778"/>
      <c r="C32" s="3834"/>
      <c r="D32" s="3834"/>
      <c r="E32" s="3834"/>
      <c r="F32" s="3834"/>
      <c r="G32" s="3834"/>
      <c r="H32" s="3777"/>
      <c r="I32" s="3759"/>
      <c r="J32" s="3759"/>
      <c r="K32" s="3759"/>
      <c r="L32" s="3759"/>
      <c r="M32" s="3759"/>
      <c r="N32" s="3778"/>
      <c r="O32" s="3778"/>
      <c r="P32" s="3778"/>
      <c r="Q32" s="3778"/>
      <c r="R32" s="3778"/>
      <c r="S32" s="3778"/>
      <c r="T32" s="3778"/>
      <c r="U32" s="3778"/>
      <c r="V32" s="3778"/>
      <c r="W32" s="3778"/>
      <c r="X32" s="3778"/>
      <c r="Y32" s="3778"/>
      <c r="Z32" s="3802"/>
    </row>
    <row r="33" spans="1:26">
      <c r="A33" s="3833"/>
      <c r="B33" s="3778"/>
      <c r="C33" s="3834"/>
      <c r="D33" s="3834"/>
      <c r="E33" s="3834"/>
      <c r="F33" s="3834"/>
      <c r="G33" s="3834"/>
      <c r="H33" s="3764" t="s">
        <v>6556</v>
      </c>
      <c r="I33" s="3759"/>
      <c r="J33" s="3759"/>
      <c r="K33" s="3759"/>
      <c r="L33" s="3759"/>
      <c r="M33" s="3759"/>
      <c r="N33" s="3784" t="s">
        <v>8107</v>
      </c>
      <c r="O33" s="3784" t="s">
        <v>8108</v>
      </c>
      <c r="P33" s="3784" t="s">
        <v>8109</v>
      </c>
      <c r="Q33" s="3780" t="s">
        <v>8110</v>
      </c>
      <c r="R33" s="3784" t="s">
        <v>8111</v>
      </c>
      <c r="S33" s="3784" t="s">
        <v>8112</v>
      </c>
      <c r="T33" s="3780" t="s">
        <v>8113</v>
      </c>
      <c r="U33" s="3780" t="s">
        <v>8114</v>
      </c>
      <c r="V33" s="3780" t="s">
        <v>8115</v>
      </c>
      <c r="W33" s="3780" t="s">
        <v>8116</v>
      </c>
      <c r="X33" s="3780" t="s">
        <v>8117</v>
      </c>
      <c r="Y33" s="3780" t="s">
        <v>8118</v>
      </c>
      <c r="Z33" s="3803"/>
    </row>
    <row r="34" spans="1:26">
      <c r="A34" s="3833"/>
      <c r="B34" s="3778"/>
      <c r="C34" s="3834"/>
      <c r="D34" s="3834"/>
      <c r="E34" s="3834"/>
      <c r="F34" s="3834"/>
      <c r="G34" s="3834"/>
      <c r="H34" s="3778"/>
      <c r="I34" s="3759"/>
      <c r="J34" s="3759"/>
      <c r="K34" s="3759"/>
      <c r="L34" s="3759"/>
      <c r="M34" s="3759"/>
      <c r="N34" s="3785"/>
      <c r="O34" s="3785"/>
      <c r="P34" s="3792"/>
      <c r="Q34" s="3795"/>
      <c r="R34" s="3785"/>
      <c r="S34" s="3797"/>
      <c r="T34" s="3795"/>
      <c r="U34" s="3795"/>
      <c r="V34" s="3795"/>
      <c r="W34" s="3795"/>
      <c r="X34" s="3795"/>
      <c r="Y34" s="3795"/>
      <c r="Z34" s="3804"/>
    </row>
    <row r="35" spans="1:26">
      <c r="A35" s="3833"/>
      <c r="B35" s="3778"/>
      <c r="C35" s="3834"/>
      <c r="D35" s="3834"/>
      <c r="E35" s="3834"/>
      <c r="F35" s="3834"/>
      <c r="G35" s="3834"/>
      <c r="H35" s="3764" t="s">
        <v>6580</v>
      </c>
      <c r="I35" s="3759"/>
      <c r="J35" s="3759"/>
      <c r="K35" s="3759"/>
      <c r="L35" s="3759"/>
      <c r="M35" s="3759"/>
      <c r="N35" s="3784" t="s">
        <v>8119</v>
      </c>
      <c r="O35" s="3784" t="s">
        <v>8109</v>
      </c>
      <c r="P35" s="3793" t="s">
        <v>8120</v>
      </c>
      <c r="Q35" s="3780" t="s">
        <v>8121</v>
      </c>
      <c r="R35" s="3784" t="s">
        <v>8122</v>
      </c>
      <c r="S35" s="3780" t="s">
        <v>8123</v>
      </c>
      <c r="T35" s="3780" t="s">
        <v>8124</v>
      </c>
      <c r="U35" s="3780" t="s">
        <v>8125</v>
      </c>
      <c r="V35" s="3780" t="s">
        <v>8126</v>
      </c>
      <c r="W35" s="3780" t="s">
        <v>8127</v>
      </c>
      <c r="X35" s="3780" t="s">
        <v>8128</v>
      </c>
      <c r="Y35" s="3780" t="s">
        <v>8129</v>
      </c>
      <c r="Z35" s="3802"/>
    </row>
    <row r="36" spans="1:26">
      <c r="A36" s="3835"/>
      <c r="B36" s="3779"/>
      <c r="C36" s="3836"/>
      <c r="D36" s="3836"/>
      <c r="E36" s="3836"/>
      <c r="F36" s="3836"/>
      <c r="G36" s="3836"/>
      <c r="H36" s="3779"/>
      <c r="I36" s="3768"/>
      <c r="J36" s="3768"/>
      <c r="K36" s="3768"/>
      <c r="L36" s="3768"/>
      <c r="M36" s="3768"/>
      <c r="N36" s="3786"/>
      <c r="O36" s="3786"/>
      <c r="P36" s="3786"/>
      <c r="Q36" s="3796"/>
      <c r="R36" s="3786"/>
      <c r="S36" s="3796"/>
      <c r="T36" s="3796"/>
      <c r="U36" s="3796"/>
      <c r="V36" s="3796"/>
      <c r="W36" s="3796"/>
      <c r="X36" s="3796"/>
      <c r="Y36" s="3796"/>
      <c r="Z36" s="3805"/>
    </row>
    <row r="37" spans="1:26">
      <c r="A37" s="3832" t="s">
        <v>8130</v>
      </c>
      <c r="B37" s="3837"/>
      <c r="C37" s="3834"/>
      <c r="D37" s="3834"/>
      <c r="E37" s="3834"/>
      <c r="F37" s="3834"/>
      <c r="G37" s="3834"/>
      <c r="H37" s="3764" t="s">
        <v>4554</v>
      </c>
      <c r="I37" s="3764">
        <v>2.5</v>
      </c>
      <c r="J37" s="3764">
        <v>3.8</v>
      </c>
      <c r="K37" s="3765">
        <v>4.5999999999999996</v>
      </c>
      <c r="L37" s="3765">
        <v>5.5</v>
      </c>
      <c r="M37" s="3765">
        <v>6</v>
      </c>
      <c r="N37" s="3765">
        <v>8</v>
      </c>
      <c r="O37" s="3765">
        <v>10</v>
      </c>
      <c r="P37" s="3765">
        <v>11</v>
      </c>
      <c r="Q37" s="3765">
        <v>14</v>
      </c>
      <c r="R37" s="3765">
        <v>17</v>
      </c>
      <c r="S37" s="3765">
        <v>20</v>
      </c>
      <c r="T37" s="3765">
        <v>26</v>
      </c>
      <c r="U37" s="3765">
        <v>32</v>
      </c>
      <c r="V37" s="3783"/>
      <c r="W37" s="3783"/>
      <c r="X37" s="3783"/>
      <c r="Y37" s="3783"/>
      <c r="Z37" s="3802"/>
    </row>
    <row r="38" spans="1:26">
      <c r="A38" s="3832"/>
      <c r="B38" s="3837"/>
      <c r="C38" s="3834"/>
      <c r="D38" s="3834"/>
      <c r="E38" s="3834"/>
      <c r="F38" s="3834"/>
      <c r="G38" s="3834"/>
      <c r="H38" s="3764"/>
      <c r="I38" s="3764"/>
      <c r="J38" s="3764"/>
      <c r="K38" s="3773"/>
      <c r="L38" s="3773"/>
      <c r="M38" s="3773"/>
      <c r="N38" s="3773"/>
      <c r="O38" s="3773"/>
      <c r="P38" s="3773"/>
      <c r="Q38" s="3773"/>
      <c r="R38" s="3773"/>
      <c r="S38" s="3773"/>
      <c r="T38" s="3773"/>
      <c r="U38" s="3773"/>
      <c r="V38" s="3783"/>
      <c r="W38" s="3783"/>
      <c r="X38" s="3783"/>
      <c r="Y38" s="3783"/>
      <c r="Z38" s="3802"/>
    </row>
    <row r="39" spans="1:26">
      <c r="A39" s="3832"/>
      <c r="B39" s="3837"/>
      <c r="C39" s="3834"/>
      <c r="D39" s="3834"/>
      <c r="E39" s="3834"/>
      <c r="F39" s="3834"/>
      <c r="G39" s="3834"/>
      <c r="H39" s="3764" t="s">
        <v>6556</v>
      </c>
      <c r="I39" s="3780" t="s">
        <v>8131</v>
      </c>
      <c r="J39" s="3780" t="s">
        <v>8132</v>
      </c>
      <c r="K39" s="3780" t="s">
        <v>8133</v>
      </c>
      <c r="L39" s="3780" t="s">
        <v>8134</v>
      </c>
      <c r="M39" s="3780" t="s">
        <v>8135</v>
      </c>
      <c r="N39" s="3780" t="s">
        <v>8136</v>
      </c>
      <c r="O39" s="3780" t="s">
        <v>8137</v>
      </c>
      <c r="P39" s="3780" t="s">
        <v>8138</v>
      </c>
      <c r="Q39" s="3780" t="s">
        <v>8108</v>
      </c>
      <c r="R39" s="3780" t="s">
        <v>8109</v>
      </c>
      <c r="S39" s="3780" t="s">
        <v>8139</v>
      </c>
      <c r="T39" s="3780" t="s">
        <v>8121</v>
      </c>
      <c r="U39" s="3780" t="s">
        <v>8140</v>
      </c>
      <c r="V39" s="3783"/>
      <c r="W39" s="3783"/>
      <c r="X39" s="3783"/>
      <c r="Y39" s="3783"/>
      <c r="Z39" s="3802"/>
    </row>
    <row r="40" spans="1:26">
      <c r="A40" s="3832"/>
      <c r="B40" s="3837"/>
      <c r="C40" s="3834"/>
      <c r="D40" s="3834"/>
      <c r="E40" s="3834"/>
      <c r="F40" s="3834"/>
      <c r="G40" s="3834"/>
      <c r="H40" s="3764"/>
      <c r="I40" s="3780"/>
      <c r="J40" s="3780"/>
      <c r="K40" s="3780"/>
      <c r="L40" s="3780"/>
      <c r="M40" s="3780"/>
      <c r="N40" s="3780"/>
      <c r="O40" s="3780"/>
      <c r="P40" s="3780"/>
      <c r="Q40" s="3780"/>
      <c r="R40" s="3780"/>
      <c r="S40" s="3780"/>
      <c r="T40" s="3780"/>
      <c r="U40" s="3780"/>
      <c r="V40" s="3783"/>
      <c r="W40" s="3783"/>
      <c r="X40" s="3783"/>
      <c r="Y40" s="3783"/>
      <c r="Z40" s="3802"/>
    </row>
    <row r="41" spans="1:26">
      <c r="A41" s="3832"/>
      <c r="B41" s="3837"/>
      <c r="C41" s="3834"/>
      <c r="D41" s="3834"/>
      <c r="E41" s="3834"/>
      <c r="F41" s="3834"/>
      <c r="G41" s="3834"/>
      <c r="H41" s="3764" t="s">
        <v>8141</v>
      </c>
      <c r="I41" s="3780" t="s">
        <v>8142</v>
      </c>
      <c r="J41" s="3780" t="s">
        <v>8143</v>
      </c>
      <c r="K41" s="3780" t="s">
        <v>8134</v>
      </c>
      <c r="L41" s="3780" t="s">
        <v>8144</v>
      </c>
      <c r="M41" s="3780" t="s">
        <v>8145</v>
      </c>
      <c r="N41" s="3780" t="s">
        <v>8137</v>
      </c>
      <c r="O41" s="3780" t="s">
        <v>8146</v>
      </c>
      <c r="P41" s="3780" t="s">
        <v>8107</v>
      </c>
      <c r="Q41" s="3784" t="s">
        <v>8147</v>
      </c>
      <c r="R41" s="3784" t="s">
        <v>8120</v>
      </c>
      <c r="S41" s="3784" t="s">
        <v>8110</v>
      </c>
      <c r="T41" s="3784" t="s">
        <v>8111</v>
      </c>
      <c r="U41" s="3780" t="s">
        <v>8112</v>
      </c>
      <c r="V41" s="3783"/>
      <c r="W41" s="3783"/>
      <c r="X41" s="3783"/>
      <c r="Y41" s="3783"/>
      <c r="Z41" s="3802"/>
    </row>
    <row r="42" spans="1:26">
      <c r="A42" s="3832"/>
      <c r="B42" s="3837"/>
      <c r="C42" s="3834"/>
      <c r="D42" s="3834"/>
      <c r="E42" s="3834"/>
      <c r="F42" s="3834"/>
      <c r="G42" s="3834"/>
      <c r="H42" s="3764"/>
      <c r="I42" s="3780"/>
      <c r="J42" s="3780"/>
      <c r="K42" s="3780"/>
      <c r="L42" s="3780"/>
      <c r="M42" s="3780"/>
      <c r="N42" s="3780"/>
      <c r="O42" s="3780"/>
      <c r="P42" s="3780"/>
      <c r="Q42" s="3794"/>
      <c r="R42" s="3794"/>
      <c r="S42" s="3794"/>
      <c r="T42" s="3794"/>
      <c r="U42" s="3780"/>
      <c r="V42" s="3783"/>
      <c r="W42" s="3783"/>
      <c r="X42" s="3783"/>
      <c r="Y42" s="3783"/>
      <c r="Z42" s="3802"/>
    </row>
    <row r="43" spans="1:26">
      <c r="A43" s="3832" t="s">
        <v>8130</v>
      </c>
      <c r="B43" s="3837"/>
      <c r="C43" s="3834"/>
      <c r="D43" s="3834"/>
      <c r="E43" s="3834"/>
      <c r="F43" s="3834"/>
      <c r="G43" s="3834"/>
      <c r="H43" s="3764" t="s">
        <v>4554</v>
      </c>
      <c r="I43" s="3764">
        <v>3</v>
      </c>
      <c r="J43" s="3764">
        <v>4</v>
      </c>
      <c r="K43" s="3764">
        <v>5</v>
      </c>
      <c r="L43" s="3764">
        <v>6</v>
      </c>
      <c r="M43" s="3764">
        <v>7</v>
      </c>
      <c r="N43" s="3764">
        <v>9</v>
      </c>
      <c r="O43" s="3764">
        <v>11</v>
      </c>
      <c r="P43" s="3764">
        <v>13</v>
      </c>
      <c r="Q43" s="3764">
        <v>17</v>
      </c>
      <c r="R43" s="3764">
        <v>21</v>
      </c>
      <c r="S43" s="3764">
        <v>25</v>
      </c>
      <c r="T43" s="3764">
        <v>32</v>
      </c>
      <c r="U43" s="3764">
        <v>40</v>
      </c>
      <c r="V43" s="3798"/>
      <c r="W43" s="3798"/>
      <c r="X43" s="3798"/>
      <c r="Y43" s="3798"/>
      <c r="Z43" s="3806"/>
    </row>
    <row r="44" spans="1:26">
      <c r="A44" s="3832"/>
      <c r="B44" s="3837"/>
      <c r="C44" s="3834"/>
      <c r="D44" s="3834"/>
      <c r="E44" s="3834"/>
      <c r="F44" s="3834"/>
      <c r="G44" s="3834"/>
      <c r="H44" s="3764"/>
      <c r="I44" s="3764"/>
      <c r="J44" s="3764"/>
      <c r="K44" s="3764"/>
      <c r="L44" s="3764"/>
      <c r="M44" s="3764"/>
      <c r="N44" s="3764"/>
      <c r="O44" s="3764"/>
      <c r="P44" s="3764"/>
      <c r="Q44" s="3764"/>
      <c r="R44" s="3764"/>
      <c r="S44" s="3764"/>
      <c r="T44" s="3764"/>
      <c r="U44" s="3764"/>
      <c r="V44" s="3798"/>
      <c r="W44" s="3798"/>
      <c r="X44" s="3798"/>
      <c r="Y44" s="3798"/>
      <c r="Z44" s="3806"/>
    </row>
    <row r="45" spans="1:26">
      <c r="A45" s="3832"/>
      <c r="B45" s="3837"/>
      <c r="C45" s="3834"/>
      <c r="D45" s="3834"/>
      <c r="E45" s="3834"/>
      <c r="F45" s="3834"/>
      <c r="G45" s="3834"/>
      <c r="H45" s="3764"/>
      <c r="I45" s="3764"/>
      <c r="J45" s="3764"/>
      <c r="K45" s="3764"/>
      <c r="L45" s="3764"/>
      <c r="M45" s="3764"/>
      <c r="N45" s="3764"/>
      <c r="O45" s="3764"/>
      <c r="P45" s="3764"/>
      <c r="Q45" s="3764"/>
      <c r="R45" s="3764"/>
      <c r="S45" s="3764"/>
      <c r="T45" s="3764"/>
      <c r="U45" s="3764"/>
      <c r="V45" s="3798"/>
      <c r="W45" s="3798"/>
      <c r="X45" s="3798"/>
      <c r="Y45" s="3798"/>
      <c r="Z45" s="3806"/>
    </row>
    <row r="46" spans="1:26">
      <c r="A46" s="3832"/>
      <c r="B46" s="3837"/>
      <c r="C46" s="3834"/>
      <c r="D46" s="3834"/>
      <c r="E46" s="3834"/>
      <c r="F46" s="3834"/>
      <c r="G46" s="3834"/>
      <c r="H46" s="3765" t="s">
        <v>6556</v>
      </c>
      <c r="I46" s="3781" t="s">
        <v>8148</v>
      </c>
      <c r="J46" s="3781" t="s">
        <v>8149</v>
      </c>
      <c r="K46" s="3781" t="s">
        <v>8150</v>
      </c>
      <c r="L46" s="3781" t="s">
        <v>8151</v>
      </c>
      <c r="M46" s="3781" t="s">
        <v>8152</v>
      </c>
      <c r="N46" s="3781" t="s">
        <v>8153</v>
      </c>
      <c r="O46" s="3781" t="s">
        <v>8154</v>
      </c>
      <c r="P46" s="3781" t="s">
        <v>8155</v>
      </c>
      <c r="Q46" s="3781" t="s">
        <v>8107</v>
      </c>
      <c r="R46" s="3781" t="s">
        <v>8156</v>
      </c>
      <c r="S46" s="3781" t="s">
        <v>8157</v>
      </c>
      <c r="T46" s="3781" t="s">
        <v>8158</v>
      </c>
      <c r="U46" s="3781" t="s">
        <v>8159</v>
      </c>
      <c r="V46" s="3798"/>
      <c r="W46" s="3798"/>
      <c r="X46" s="3798"/>
      <c r="Y46" s="3798"/>
      <c r="Z46" s="3806"/>
    </row>
    <row r="47" spans="1:26">
      <c r="A47" s="3832"/>
      <c r="B47" s="3837"/>
      <c r="C47" s="3834"/>
      <c r="D47" s="3834"/>
      <c r="E47" s="3834"/>
      <c r="F47" s="3834"/>
      <c r="G47" s="3834"/>
      <c r="H47" s="3766"/>
      <c r="I47" s="3781"/>
      <c r="J47" s="3781"/>
      <c r="K47" s="3781"/>
      <c r="L47" s="3781"/>
      <c r="M47" s="3781"/>
      <c r="N47" s="3781"/>
      <c r="O47" s="3781"/>
      <c r="P47" s="3781"/>
      <c r="Q47" s="3781"/>
      <c r="R47" s="3781"/>
      <c r="S47" s="3781"/>
      <c r="T47" s="3781"/>
      <c r="U47" s="3781"/>
      <c r="V47" s="3798"/>
      <c r="W47" s="3798"/>
      <c r="X47" s="3798"/>
      <c r="Y47" s="3798"/>
      <c r="Z47" s="3806"/>
    </row>
    <row r="48" spans="1:26">
      <c r="A48" s="3838"/>
      <c r="B48" s="3839"/>
      <c r="C48" s="3840"/>
      <c r="D48" s="3840"/>
      <c r="E48" s="3840"/>
      <c r="F48" s="3840"/>
      <c r="G48" s="3840"/>
      <c r="H48" s="3767"/>
      <c r="I48" s="3782"/>
      <c r="J48" s="3782"/>
      <c r="K48" s="3782"/>
      <c r="L48" s="3782"/>
      <c r="M48" s="3782"/>
      <c r="N48" s="3782"/>
      <c r="O48" s="3782"/>
      <c r="P48" s="3782"/>
      <c r="Q48" s="3782"/>
      <c r="R48" s="3782"/>
      <c r="S48" s="3782"/>
      <c r="T48" s="3782"/>
      <c r="U48" s="3782"/>
      <c r="V48" s="3798"/>
      <c r="W48" s="3798"/>
      <c r="X48" s="3798"/>
      <c r="Y48" s="3798"/>
      <c r="Z48" s="3806"/>
    </row>
    <row r="49" spans="1:26">
      <c r="A49" s="3760" t="s">
        <v>8160</v>
      </c>
      <c r="B49" s="3761"/>
      <c r="C49" s="3761"/>
      <c r="D49" s="3761"/>
      <c r="E49" s="3761"/>
      <c r="F49" s="3761"/>
      <c r="G49" s="3761"/>
      <c r="H49" s="3761" t="s">
        <v>8161</v>
      </c>
      <c r="I49" s="3761"/>
      <c r="J49" s="3761"/>
      <c r="K49" s="3761" t="s">
        <v>8162</v>
      </c>
      <c r="L49" s="3761"/>
      <c r="M49" s="3761"/>
      <c r="N49" s="3761"/>
      <c r="O49" s="3761"/>
      <c r="P49" s="3761"/>
      <c r="Q49" s="3761"/>
      <c r="R49" s="3761"/>
      <c r="S49" s="3761"/>
      <c r="T49" s="3761"/>
      <c r="U49" s="3761" t="s">
        <v>8163</v>
      </c>
      <c r="V49" s="3761"/>
      <c r="W49" s="3761"/>
      <c r="X49" s="3761"/>
      <c r="Y49" s="3761"/>
      <c r="Z49" s="3762"/>
    </row>
    <row r="50" spans="1:26">
      <c r="A50" s="3809" t="s">
        <v>8164</v>
      </c>
      <c r="B50" s="3810"/>
      <c r="C50" s="3810"/>
      <c r="D50" s="3810"/>
      <c r="E50" s="3810"/>
      <c r="F50" s="3810"/>
      <c r="G50" s="3811"/>
      <c r="H50" s="3763"/>
      <c r="I50" s="3763"/>
      <c r="J50" s="3763"/>
      <c r="K50" s="3763" t="s">
        <v>8165</v>
      </c>
      <c r="L50" s="3763"/>
      <c r="M50" s="3763" t="s">
        <v>5928</v>
      </c>
      <c r="N50" s="3763"/>
      <c r="O50" s="3763" t="s">
        <v>7453</v>
      </c>
      <c r="P50" s="3763"/>
      <c r="Q50" s="3763" t="s">
        <v>5930</v>
      </c>
      <c r="R50" s="3763"/>
      <c r="S50" s="3763" t="s">
        <v>4554</v>
      </c>
      <c r="T50" s="3763"/>
      <c r="U50" s="3763"/>
      <c r="V50" s="3763"/>
      <c r="W50" s="3763"/>
      <c r="X50" s="3763"/>
      <c r="Y50" s="3763"/>
      <c r="Z50" s="3815"/>
    </row>
    <row r="51" spans="1:26">
      <c r="A51" s="3812"/>
      <c r="B51" s="3813"/>
      <c r="C51" s="3813"/>
      <c r="D51" s="3813"/>
      <c r="E51" s="3813"/>
      <c r="F51" s="3813"/>
      <c r="G51" s="3814"/>
      <c r="H51" s="3747"/>
      <c r="I51" s="3747"/>
      <c r="J51" s="3747"/>
      <c r="K51" s="3747" t="s">
        <v>8166</v>
      </c>
      <c r="L51" s="3747"/>
      <c r="M51" s="3747"/>
      <c r="N51" s="3747"/>
      <c r="O51" s="3747"/>
      <c r="P51" s="3747"/>
      <c r="Q51" s="3747"/>
      <c r="R51" s="3747"/>
      <c r="S51" s="3747"/>
      <c r="T51" s="3747"/>
      <c r="U51" s="3747"/>
      <c r="V51" s="3747"/>
      <c r="W51" s="3747"/>
      <c r="X51" s="3747"/>
      <c r="Y51" s="3747"/>
      <c r="Z51" s="3816"/>
    </row>
    <row r="53" spans="1:26" ht="20.25">
      <c r="A53" s="1824"/>
      <c r="B53" s="1825"/>
      <c r="C53" s="1825"/>
      <c r="D53" s="1825"/>
      <c r="E53" s="1825"/>
      <c r="F53" s="1825"/>
      <c r="G53" s="1825"/>
      <c r="H53" s="1826"/>
      <c r="I53" s="1826"/>
      <c r="J53" s="1826"/>
      <c r="K53" s="1826"/>
      <c r="L53" s="1826"/>
      <c r="M53" s="1826"/>
      <c r="N53" s="1826"/>
      <c r="O53" s="1826"/>
      <c r="P53" s="1826"/>
      <c r="Q53" s="1826"/>
      <c r="R53" s="1826"/>
      <c r="S53" s="1826"/>
      <c r="T53" s="1826"/>
      <c r="U53" s="1829"/>
      <c r="V53" s="1829"/>
      <c r="W53" s="1829"/>
      <c r="X53" s="1829"/>
      <c r="Y53" s="1829"/>
      <c r="Z53" s="1829"/>
    </row>
    <row r="54" spans="1:26">
      <c r="A54" s="1825"/>
      <c r="B54" s="1825"/>
      <c r="C54" s="1825"/>
      <c r="D54" s="1825"/>
      <c r="E54" s="1825"/>
      <c r="F54" s="1825"/>
      <c r="G54" s="1825"/>
      <c r="H54" s="1825"/>
      <c r="I54" s="1825"/>
      <c r="J54" s="1825"/>
      <c r="K54" s="1825"/>
      <c r="L54" s="1825"/>
      <c r="M54" s="1825"/>
      <c r="N54" s="1825"/>
      <c r="O54" s="1825"/>
      <c r="P54" s="1825"/>
      <c r="Q54" s="1825"/>
      <c r="R54" s="1825"/>
      <c r="S54" s="1825"/>
      <c r="T54" s="1825"/>
      <c r="U54" s="1754"/>
      <c r="V54" s="1754"/>
      <c r="W54" s="1754"/>
      <c r="X54" s="1754"/>
      <c r="Y54" s="1754"/>
      <c r="Z54" s="1754"/>
    </row>
    <row r="55" spans="1:26">
      <c r="A55" s="1766"/>
      <c r="B55" s="1766"/>
      <c r="C55" s="1766"/>
      <c r="D55" s="1766"/>
      <c r="E55" s="1766"/>
      <c r="F55" s="1766"/>
      <c r="G55" s="1766"/>
      <c r="H55" s="1766"/>
      <c r="I55" s="1766"/>
      <c r="J55" s="1766"/>
      <c r="K55" s="1766"/>
      <c r="L55" s="1766"/>
      <c r="M55" s="1766"/>
      <c r="N55" s="1766"/>
      <c r="O55" s="1766"/>
      <c r="P55" s="1766"/>
      <c r="Q55" s="1766"/>
      <c r="R55" s="1766"/>
      <c r="S55" s="1766"/>
      <c r="T55" s="1766"/>
      <c r="U55" s="1766"/>
      <c r="V55" s="1766"/>
      <c r="W55" s="1766"/>
      <c r="X55" s="1766"/>
      <c r="Y55" s="1766"/>
      <c r="Z55" s="1766"/>
    </row>
    <row r="56" spans="1:26">
      <c r="A56" s="1827"/>
      <c r="B56" s="1770"/>
      <c r="C56" s="1770"/>
      <c r="D56" s="1770"/>
      <c r="E56" s="1770"/>
      <c r="F56" s="1770"/>
      <c r="G56" s="1770"/>
      <c r="H56" s="1770"/>
      <c r="I56" s="1770"/>
      <c r="J56" s="1770"/>
      <c r="K56" s="1770"/>
      <c r="L56" s="1770"/>
      <c r="M56" s="1770"/>
      <c r="N56" s="1770"/>
      <c r="O56" s="1770"/>
      <c r="P56" s="1770"/>
      <c r="Q56" s="1770"/>
      <c r="R56" s="1770"/>
      <c r="S56" s="1770"/>
      <c r="T56" s="1770"/>
      <c r="U56" s="1770"/>
      <c r="V56" s="1770"/>
      <c r="W56" s="1770"/>
      <c r="X56" s="1770"/>
      <c r="Y56" s="1770"/>
      <c r="Z56" s="1770"/>
    </row>
    <row r="57" spans="1:26">
      <c r="A57" s="1752"/>
      <c r="B57" s="1752"/>
      <c r="C57" s="1752"/>
      <c r="D57" s="1752"/>
      <c r="E57" s="1752"/>
      <c r="F57" s="1752"/>
      <c r="G57" s="1752"/>
      <c r="H57" s="1752"/>
      <c r="I57" s="1752"/>
      <c r="J57" s="1752"/>
      <c r="K57" s="1752"/>
      <c r="L57" s="1752"/>
      <c r="M57" s="1752"/>
      <c r="N57" s="1752"/>
      <c r="O57" s="1752"/>
      <c r="P57" s="1752"/>
      <c r="Q57" s="1752"/>
      <c r="R57" s="1752"/>
      <c r="S57" s="1752"/>
      <c r="T57" s="1752"/>
      <c r="U57" s="1752"/>
      <c r="V57" s="1752"/>
      <c r="W57" s="1752"/>
      <c r="X57" s="1752"/>
      <c r="Y57" s="1752"/>
      <c r="Z57" s="1752"/>
    </row>
    <row r="58" spans="1:26">
      <c r="A58" s="1752"/>
      <c r="B58" s="1752"/>
      <c r="C58" s="1752"/>
      <c r="D58" s="1752"/>
      <c r="E58" s="1752"/>
      <c r="F58" s="1752"/>
      <c r="G58" s="1752"/>
      <c r="H58" s="1752"/>
      <c r="I58" s="1761"/>
      <c r="J58" s="1761"/>
      <c r="K58" s="1761"/>
      <c r="L58" s="1761"/>
      <c r="M58" s="1761"/>
      <c r="N58" s="1761"/>
      <c r="O58" s="1761"/>
      <c r="P58" s="1761"/>
      <c r="Q58" s="1761"/>
      <c r="R58" s="1761"/>
      <c r="S58" s="1761"/>
      <c r="T58" s="1761"/>
      <c r="U58" s="1761"/>
      <c r="V58" s="1761"/>
      <c r="W58" s="1761"/>
      <c r="X58" s="1761"/>
      <c r="Y58" s="1761"/>
      <c r="Z58" s="1761"/>
    </row>
    <row r="59" spans="1:26">
      <c r="A59" s="1752"/>
      <c r="B59" s="1752"/>
      <c r="C59" s="1752"/>
      <c r="D59" s="1752"/>
      <c r="E59" s="1752"/>
      <c r="F59" s="1752"/>
      <c r="G59" s="1752"/>
      <c r="H59" s="1828"/>
      <c r="I59" s="1761"/>
      <c r="J59" s="1761"/>
      <c r="K59" s="1761"/>
      <c r="L59" s="1761"/>
      <c r="M59" s="1761"/>
      <c r="N59" s="1761"/>
      <c r="O59" s="1761"/>
      <c r="P59" s="1761"/>
      <c r="Q59" s="1761"/>
      <c r="R59" s="1761"/>
      <c r="S59" s="1761"/>
      <c r="T59" s="1761"/>
      <c r="U59" s="1761"/>
      <c r="V59" s="1761"/>
      <c r="W59" s="1761"/>
      <c r="X59" s="1761"/>
      <c r="Y59" s="1761"/>
      <c r="Z59" s="1761"/>
    </row>
    <row r="60" spans="1:26">
      <c r="A60" s="1766"/>
      <c r="B60" s="1766"/>
      <c r="C60" s="1766"/>
      <c r="D60" s="1766"/>
      <c r="E60" s="1766"/>
      <c r="F60" s="1766"/>
      <c r="G60" s="1766"/>
      <c r="H60" s="1766"/>
      <c r="I60" s="1766"/>
      <c r="J60" s="1766"/>
      <c r="K60" s="1766"/>
      <c r="L60" s="1766"/>
      <c r="M60" s="1766"/>
      <c r="N60" s="1766"/>
      <c r="O60" s="1766"/>
      <c r="P60" s="1766"/>
      <c r="Q60" s="1766"/>
      <c r="R60" s="1766"/>
      <c r="S60" s="1766"/>
      <c r="T60" s="1766"/>
      <c r="U60" s="1766"/>
      <c r="V60" s="1766"/>
      <c r="W60" s="1766"/>
      <c r="X60" s="1766"/>
      <c r="Y60" s="1766"/>
      <c r="Z60" s="1766"/>
    </row>
    <row r="61" spans="1:26">
      <c r="A61" s="1766"/>
      <c r="B61" s="1766"/>
      <c r="C61" s="1766"/>
      <c r="D61" s="1766"/>
      <c r="E61" s="1766"/>
      <c r="F61" s="1766"/>
      <c r="G61" s="1766"/>
      <c r="H61" s="1766"/>
      <c r="I61" s="1766"/>
      <c r="J61" s="1766"/>
      <c r="K61" s="1766"/>
      <c r="L61" s="1766"/>
      <c r="M61" s="1766"/>
      <c r="N61" s="1766"/>
      <c r="O61" s="1766"/>
      <c r="P61" s="1766"/>
      <c r="Q61" s="1766"/>
      <c r="R61" s="1766"/>
      <c r="S61" s="1766"/>
      <c r="T61" s="1766"/>
      <c r="U61" s="1766"/>
      <c r="V61" s="1766"/>
      <c r="W61" s="1766"/>
      <c r="X61" s="1766"/>
      <c r="Y61" s="1766"/>
      <c r="Z61" s="1766"/>
    </row>
    <row r="62" spans="1:26">
      <c r="A62" s="1766"/>
      <c r="B62" s="1766"/>
      <c r="C62" s="1766"/>
      <c r="D62" s="1766"/>
      <c r="E62" s="1766"/>
      <c r="F62" s="1766"/>
      <c r="G62" s="1766"/>
      <c r="H62" s="1766"/>
      <c r="I62" s="1766"/>
      <c r="J62" s="1766"/>
      <c r="K62" s="1766"/>
      <c r="L62" s="1766"/>
      <c r="M62" s="1766"/>
      <c r="N62" s="1766"/>
      <c r="O62" s="1766"/>
      <c r="P62" s="1766"/>
      <c r="Q62" s="1766"/>
      <c r="R62" s="1766"/>
      <c r="S62" s="1766"/>
      <c r="T62" s="1766"/>
      <c r="U62" s="1766"/>
      <c r="V62" s="1766"/>
      <c r="W62" s="1766"/>
      <c r="X62" s="1766"/>
      <c r="Y62" s="1766"/>
      <c r="Z62" s="1766"/>
    </row>
    <row r="63" spans="1:26">
      <c r="A63" s="1766"/>
      <c r="B63" s="1766"/>
      <c r="C63" s="1766"/>
      <c r="D63" s="1766"/>
      <c r="E63" s="1766"/>
      <c r="F63" s="1766"/>
      <c r="G63" s="1766"/>
      <c r="H63" s="1766"/>
      <c r="I63" s="1766"/>
      <c r="J63" s="1766"/>
      <c r="K63" s="1766"/>
      <c r="L63" s="1766"/>
      <c r="M63" s="1766"/>
      <c r="N63" s="1766"/>
      <c r="O63" s="1766"/>
      <c r="P63" s="1766"/>
      <c r="Q63" s="1766"/>
      <c r="R63" s="1766"/>
      <c r="S63" s="1766"/>
      <c r="T63" s="1766"/>
      <c r="U63" s="1766"/>
      <c r="V63" s="1766"/>
      <c r="W63" s="1766"/>
      <c r="X63" s="1766"/>
      <c r="Y63" s="1766"/>
      <c r="Z63" s="1766"/>
    </row>
    <row r="64" spans="1:26">
      <c r="A64" s="1766"/>
      <c r="B64" s="1766"/>
      <c r="C64" s="1766"/>
      <c r="D64" s="1766"/>
      <c r="E64" s="1766"/>
      <c r="F64" s="1766"/>
      <c r="G64" s="1766"/>
      <c r="H64" s="1766"/>
      <c r="I64" s="1766"/>
      <c r="J64" s="1766"/>
      <c r="K64" s="1766"/>
      <c r="L64" s="1766"/>
      <c r="M64" s="1766"/>
      <c r="N64" s="1766"/>
      <c r="O64" s="1766"/>
      <c r="P64" s="1766"/>
      <c r="Q64" s="1766"/>
      <c r="R64" s="1766"/>
      <c r="S64" s="1766"/>
      <c r="T64" s="1766"/>
      <c r="U64" s="1766"/>
      <c r="V64" s="1766"/>
      <c r="W64" s="1766"/>
      <c r="X64" s="1766"/>
      <c r="Y64" s="1766"/>
      <c r="Z64" s="1766"/>
    </row>
    <row r="65" spans="1:26">
      <c r="A65" s="1766"/>
      <c r="B65" s="1766"/>
      <c r="C65" s="1766"/>
      <c r="D65" s="1766"/>
      <c r="E65" s="1766"/>
      <c r="F65" s="1766"/>
      <c r="G65" s="1766"/>
      <c r="H65" s="1766"/>
      <c r="I65" s="1766"/>
      <c r="J65" s="1766"/>
      <c r="K65" s="1766"/>
      <c r="L65" s="1766"/>
      <c r="M65" s="1766"/>
      <c r="N65" s="1766"/>
      <c r="O65" s="1766"/>
      <c r="P65" s="1766"/>
      <c r="Q65" s="1766"/>
      <c r="R65" s="1766"/>
      <c r="S65" s="1766"/>
      <c r="T65" s="1766"/>
      <c r="U65" s="1766"/>
      <c r="V65" s="1766"/>
      <c r="W65" s="1766"/>
      <c r="X65" s="1766"/>
      <c r="Y65" s="1766"/>
      <c r="Z65" s="1766"/>
    </row>
    <row r="66" spans="1:26">
      <c r="A66" s="1766"/>
      <c r="B66" s="1766"/>
      <c r="C66" s="1766"/>
      <c r="D66" s="1766"/>
      <c r="E66" s="1766"/>
      <c r="F66" s="1766"/>
      <c r="G66" s="1766"/>
      <c r="H66" s="1766"/>
      <c r="I66" s="1766"/>
      <c r="J66" s="1766"/>
      <c r="K66" s="1766"/>
      <c r="L66" s="1766"/>
      <c r="M66" s="1766"/>
      <c r="N66" s="1766"/>
      <c r="O66" s="1766"/>
      <c r="P66" s="1766"/>
      <c r="Q66" s="1766"/>
      <c r="R66" s="1766"/>
      <c r="S66" s="1766"/>
      <c r="T66" s="1766"/>
      <c r="U66" s="1766"/>
      <c r="V66" s="1766"/>
      <c r="W66" s="1766"/>
      <c r="X66" s="1766"/>
      <c r="Y66" s="1766"/>
      <c r="Z66" s="1766"/>
    </row>
    <row r="67" spans="1:26">
      <c r="A67" s="1766"/>
      <c r="B67" s="1766"/>
      <c r="C67" s="1766"/>
      <c r="D67" s="1766"/>
      <c r="E67" s="1766"/>
      <c r="F67" s="1766"/>
      <c r="G67" s="1766"/>
      <c r="H67" s="1766"/>
      <c r="I67" s="1766"/>
      <c r="J67" s="1766"/>
      <c r="K67" s="1766"/>
      <c r="L67" s="1766"/>
      <c r="M67" s="1766"/>
      <c r="N67" s="1766"/>
      <c r="O67" s="1766"/>
      <c r="P67" s="1766"/>
      <c r="Q67" s="1766"/>
      <c r="R67" s="1766"/>
      <c r="S67" s="1766"/>
      <c r="T67" s="1766"/>
      <c r="U67" s="1766"/>
      <c r="V67" s="1766"/>
      <c r="W67" s="1766"/>
      <c r="X67" s="1766"/>
      <c r="Y67" s="1766"/>
      <c r="Z67" s="1766"/>
    </row>
    <row r="68" spans="1:26">
      <c r="A68" s="1766"/>
      <c r="B68" s="1766"/>
      <c r="C68" s="1766"/>
      <c r="D68" s="1766"/>
      <c r="E68" s="1766"/>
      <c r="F68" s="1766"/>
      <c r="G68" s="1766"/>
      <c r="H68" s="1766"/>
      <c r="I68" s="1766"/>
      <c r="J68" s="1766"/>
      <c r="K68" s="1766"/>
      <c r="L68" s="1766"/>
      <c r="M68" s="1766"/>
      <c r="N68" s="1766"/>
      <c r="O68" s="1766"/>
      <c r="P68" s="1766"/>
      <c r="Q68" s="1766"/>
      <c r="R68" s="1766"/>
      <c r="S68" s="1766"/>
      <c r="T68" s="1766"/>
      <c r="U68" s="1766"/>
      <c r="V68" s="1766"/>
      <c r="W68" s="1766"/>
      <c r="X68" s="1766"/>
      <c r="Y68" s="1766"/>
      <c r="Z68" s="1766"/>
    </row>
    <row r="69" spans="1:26">
      <c r="A69" s="1766"/>
      <c r="B69" s="1766"/>
      <c r="C69" s="1766"/>
      <c r="D69" s="1766"/>
      <c r="E69" s="1766"/>
      <c r="F69" s="1766"/>
      <c r="G69" s="1766"/>
      <c r="H69" s="1766"/>
      <c r="I69" s="1766"/>
      <c r="J69" s="1766"/>
      <c r="K69" s="1766"/>
      <c r="L69" s="1766"/>
      <c r="M69" s="1766"/>
      <c r="N69" s="1766"/>
      <c r="O69" s="1766"/>
      <c r="P69" s="1766"/>
      <c r="Q69" s="1766"/>
      <c r="R69" s="1766"/>
      <c r="S69" s="1766"/>
      <c r="T69" s="1766"/>
      <c r="U69" s="1766"/>
      <c r="V69" s="1766"/>
      <c r="W69" s="1766"/>
      <c r="X69" s="1766"/>
      <c r="Y69" s="1766"/>
      <c r="Z69" s="1766"/>
    </row>
    <row r="70" spans="1:26">
      <c r="A70" s="1766"/>
      <c r="B70" s="1766"/>
      <c r="C70" s="1766"/>
      <c r="D70" s="1766"/>
      <c r="E70" s="1766"/>
      <c r="F70" s="1766"/>
      <c r="G70" s="1766"/>
      <c r="H70" s="1766"/>
      <c r="I70" s="1766"/>
      <c r="J70" s="1766"/>
      <c r="K70" s="1766"/>
      <c r="L70" s="1766"/>
      <c r="M70" s="1766"/>
      <c r="N70" s="1766"/>
      <c r="O70" s="1766"/>
      <c r="P70" s="1766"/>
      <c r="Q70" s="1766"/>
      <c r="R70" s="1766"/>
      <c r="S70" s="1766"/>
      <c r="T70" s="1766"/>
      <c r="U70" s="1766"/>
      <c r="V70" s="1766"/>
      <c r="W70" s="1766"/>
      <c r="X70" s="1766"/>
      <c r="Y70" s="1766"/>
      <c r="Z70" s="1766"/>
    </row>
    <row r="71" spans="1:26">
      <c r="A71" s="1766"/>
      <c r="B71" s="1766"/>
      <c r="C71" s="1766"/>
      <c r="D71" s="1766"/>
      <c r="E71" s="1766"/>
      <c r="F71" s="1766"/>
      <c r="G71" s="1766"/>
      <c r="H71" s="1766"/>
      <c r="I71" s="1766"/>
      <c r="J71" s="1766"/>
      <c r="K71" s="1766"/>
      <c r="L71" s="1766"/>
      <c r="M71" s="1766"/>
      <c r="N71" s="1766"/>
      <c r="O71" s="1766"/>
      <c r="P71" s="1766"/>
      <c r="Q71" s="1766"/>
      <c r="R71" s="1766"/>
      <c r="S71" s="1766"/>
      <c r="T71" s="1766"/>
      <c r="U71" s="1766"/>
      <c r="V71" s="1766"/>
      <c r="W71" s="1766"/>
      <c r="X71" s="1766"/>
      <c r="Y71" s="1766"/>
      <c r="Z71" s="1766"/>
    </row>
    <row r="72" spans="1:26">
      <c r="A72" s="1751"/>
      <c r="B72" s="1751"/>
      <c r="C72" s="1752"/>
      <c r="D72" s="1752"/>
      <c r="E72" s="1752"/>
      <c r="F72" s="1752"/>
      <c r="G72" s="1752"/>
      <c r="H72" s="1755"/>
      <c r="I72" s="1760"/>
      <c r="J72" s="1760"/>
      <c r="K72" s="1760"/>
      <c r="L72" s="1760"/>
      <c r="M72" s="1760"/>
      <c r="N72" s="1760"/>
      <c r="O72" s="1760"/>
      <c r="P72" s="1760"/>
      <c r="Q72" s="1760"/>
      <c r="R72" s="1760"/>
      <c r="S72" s="1760"/>
      <c r="T72" s="1760"/>
      <c r="U72" s="1760"/>
      <c r="V72" s="1760"/>
      <c r="W72" s="1760"/>
      <c r="X72" s="1760"/>
      <c r="Y72" s="1760"/>
      <c r="Z72" s="1760"/>
    </row>
    <row r="73" spans="1:26">
      <c r="A73" s="1751"/>
      <c r="B73" s="1759"/>
      <c r="C73" s="1752"/>
      <c r="D73" s="1752"/>
      <c r="E73" s="1752"/>
      <c r="F73" s="1752"/>
      <c r="G73" s="1752"/>
      <c r="H73" s="1137"/>
      <c r="I73" s="1752"/>
      <c r="J73" s="1752"/>
      <c r="K73" s="1752"/>
      <c r="L73" s="1752"/>
      <c r="M73" s="1752"/>
      <c r="N73" s="1752"/>
      <c r="O73" s="1752"/>
      <c r="P73" s="1752"/>
      <c r="Q73" s="1752"/>
      <c r="R73" s="1752"/>
      <c r="S73" s="1752"/>
      <c r="T73" s="1752"/>
      <c r="U73" s="1752"/>
      <c r="V73" s="1752"/>
      <c r="W73" s="1752"/>
      <c r="X73" s="1752"/>
      <c r="Y73" s="1752"/>
      <c r="Z73" s="1752"/>
    </row>
    <row r="74" spans="1:26">
      <c r="A74" s="1759"/>
      <c r="B74" s="1759"/>
      <c r="C74" s="1752"/>
      <c r="D74" s="1752"/>
      <c r="E74" s="1752"/>
      <c r="F74" s="1752"/>
      <c r="G74" s="1752"/>
      <c r="H74" s="1752"/>
      <c r="I74" s="1752"/>
      <c r="J74" s="1752"/>
      <c r="K74" s="1752"/>
      <c r="L74" s="1752"/>
      <c r="M74" s="1752"/>
      <c r="N74" s="1752"/>
      <c r="O74" s="1752"/>
      <c r="P74" s="1752"/>
      <c r="Q74" s="1752"/>
      <c r="R74" s="1752"/>
      <c r="S74" s="1752"/>
      <c r="T74" s="1752"/>
      <c r="U74" s="1752"/>
      <c r="V74" s="1752"/>
      <c r="W74" s="1752"/>
      <c r="X74" s="1752"/>
      <c r="Y74" s="1752"/>
      <c r="Z74" s="1752"/>
    </row>
    <row r="75" spans="1:26">
      <c r="A75" s="1759"/>
      <c r="B75" s="1759"/>
      <c r="C75" s="1752"/>
      <c r="D75" s="1752"/>
      <c r="E75" s="1752"/>
      <c r="F75" s="1752"/>
      <c r="G75" s="1752"/>
      <c r="H75" s="1752"/>
      <c r="I75" s="1752"/>
      <c r="J75" s="1752"/>
      <c r="K75" s="1752"/>
      <c r="L75" s="1752"/>
      <c r="M75" s="1752"/>
      <c r="N75" s="1752"/>
      <c r="O75" s="1752"/>
      <c r="P75" s="1752"/>
      <c r="Q75" s="1752"/>
      <c r="R75" s="1752"/>
      <c r="S75" s="1752"/>
      <c r="T75" s="1752"/>
      <c r="U75" s="1752"/>
      <c r="V75" s="1752"/>
      <c r="W75" s="1752"/>
      <c r="X75" s="1752"/>
      <c r="Y75" s="1752"/>
      <c r="Z75" s="1752"/>
    </row>
    <row r="76" spans="1:26">
      <c r="A76" s="1759"/>
      <c r="B76" s="1759"/>
      <c r="C76" s="1752"/>
      <c r="D76" s="1752"/>
      <c r="E76" s="1752"/>
      <c r="F76" s="1752"/>
      <c r="G76" s="1752"/>
      <c r="H76" s="1752"/>
      <c r="I76" s="1752"/>
      <c r="J76" s="1752"/>
      <c r="K76" s="1752"/>
      <c r="L76" s="1752"/>
      <c r="M76" s="1752"/>
      <c r="N76" s="1752"/>
      <c r="O76" s="1752"/>
      <c r="P76" s="1752"/>
      <c r="Q76" s="1752"/>
      <c r="R76" s="1752"/>
      <c r="S76" s="1752"/>
      <c r="T76" s="1752"/>
      <c r="U76" s="1752"/>
      <c r="V76" s="1752"/>
      <c r="W76" s="1752"/>
      <c r="X76" s="1752"/>
      <c r="Y76" s="1752"/>
      <c r="Z76" s="1752"/>
    </row>
    <row r="77" spans="1:26">
      <c r="A77" s="1759"/>
      <c r="B77" s="1759"/>
      <c r="C77" s="1752"/>
      <c r="D77" s="1752"/>
      <c r="E77" s="1752"/>
      <c r="F77" s="1752"/>
      <c r="G77" s="1752"/>
      <c r="H77" s="1752"/>
      <c r="I77" s="1752"/>
      <c r="J77" s="1752"/>
      <c r="K77" s="1752"/>
      <c r="L77" s="1752"/>
      <c r="M77" s="1752"/>
      <c r="N77" s="1752"/>
      <c r="O77" s="1752"/>
      <c r="P77" s="1752"/>
      <c r="Q77" s="1752"/>
      <c r="R77" s="1752"/>
      <c r="S77" s="1752"/>
      <c r="T77" s="1752"/>
      <c r="U77" s="1752"/>
      <c r="V77" s="1752"/>
      <c r="W77" s="1752"/>
      <c r="X77" s="1752"/>
      <c r="Y77" s="1752"/>
      <c r="Z77" s="1752"/>
    </row>
    <row r="78" spans="1:26">
      <c r="A78" s="1759"/>
      <c r="B78" s="1759"/>
      <c r="C78" s="1752"/>
      <c r="D78" s="1752"/>
      <c r="E78" s="1752"/>
      <c r="F78" s="1752"/>
      <c r="G78" s="1752"/>
      <c r="H78" s="1755"/>
      <c r="I78" s="1760"/>
      <c r="J78" s="1760"/>
      <c r="K78" s="1760"/>
      <c r="L78" s="1760"/>
      <c r="M78" s="1760"/>
      <c r="N78" s="1760"/>
      <c r="O78" s="1760"/>
      <c r="P78" s="1760"/>
      <c r="Q78" s="1760"/>
      <c r="R78" s="1760"/>
      <c r="S78" s="1760"/>
      <c r="T78" s="1760"/>
      <c r="U78" s="1760"/>
      <c r="V78" s="1760"/>
      <c r="W78" s="1760"/>
      <c r="X78" s="1760"/>
      <c r="Y78" s="1760"/>
      <c r="Z78" s="1760"/>
    </row>
    <row r="79" spans="1:26">
      <c r="A79" s="1759"/>
      <c r="B79" s="1759"/>
      <c r="C79" s="1752"/>
      <c r="D79" s="1752"/>
      <c r="E79" s="1752"/>
      <c r="F79" s="1752"/>
      <c r="G79" s="1752"/>
      <c r="H79" s="1755"/>
      <c r="I79" s="1760"/>
      <c r="J79" s="1760"/>
      <c r="K79" s="1760"/>
      <c r="L79" s="1760"/>
      <c r="M79" s="1760"/>
      <c r="N79" s="1760"/>
      <c r="O79" s="1760"/>
      <c r="P79" s="1760"/>
      <c r="Q79" s="1760"/>
      <c r="R79" s="1760"/>
      <c r="S79" s="1760"/>
      <c r="T79" s="1760"/>
      <c r="U79" s="1760"/>
      <c r="V79" s="1760"/>
      <c r="W79" s="1760"/>
      <c r="X79" s="1760"/>
      <c r="Y79" s="1760"/>
      <c r="Z79" s="1760"/>
    </row>
    <row r="80" spans="1:26">
      <c r="A80" s="1759"/>
      <c r="B80" s="1759"/>
      <c r="C80" s="1752"/>
      <c r="D80" s="1752"/>
      <c r="E80" s="1752"/>
      <c r="F80" s="1752"/>
      <c r="G80" s="1752"/>
      <c r="H80" s="1755"/>
      <c r="I80" s="1760"/>
      <c r="J80" s="1760"/>
      <c r="K80" s="1760"/>
      <c r="L80" s="1760"/>
      <c r="M80" s="1760"/>
      <c r="N80" s="1760"/>
      <c r="O80" s="1760"/>
      <c r="P80" s="1760"/>
      <c r="Q80" s="1760"/>
      <c r="R80" s="1760"/>
      <c r="S80" s="1760"/>
      <c r="T80" s="1760"/>
      <c r="U80" s="1760"/>
      <c r="V80" s="1760"/>
      <c r="W80" s="1760"/>
      <c r="X80" s="1760"/>
      <c r="Y80" s="1760"/>
      <c r="Z80" s="1760"/>
    </row>
    <row r="81" spans="1:26">
      <c r="A81" s="1759"/>
      <c r="B81" s="1759"/>
      <c r="C81" s="1752"/>
      <c r="D81" s="1752"/>
      <c r="E81" s="1752"/>
      <c r="F81" s="1752"/>
      <c r="G81" s="1752"/>
      <c r="H81" s="1755"/>
      <c r="I81" s="1760"/>
      <c r="J81" s="1760"/>
      <c r="K81" s="1760"/>
      <c r="L81" s="1760"/>
      <c r="M81" s="1760"/>
      <c r="N81" s="1760"/>
      <c r="O81" s="1760"/>
      <c r="P81" s="1760"/>
      <c r="Q81" s="1760"/>
      <c r="R81" s="1760"/>
      <c r="S81" s="1760"/>
      <c r="T81" s="1760"/>
      <c r="U81" s="1760"/>
      <c r="V81" s="1760"/>
      <c r="W81" s="1760"/>
      <c r="X81" s="1760"/>
      <c r="Y81" s="1760"/>
      <c r="Z81" s="1760"/>
    </row>
    <row r="82" spans="1:26">
      <c r="A82" s="1759"/>
      <c r="B82" s="1759"/>
      <c r="C82" s="1752"/>
      <c r="D82" s="1752"/>
      <c r="E82" s="1752"/>
      <c r="F82" s="1752"/>
      <c r="G82" s="1752"/>
      <c r="H82" s="1755"/>
      <c r="I82" s="1760"/>
      <c r="J82" s="1760"/>
      <c r="K82" s="1760"/>
      <c r="L82" s="1760"/>
      <c r="M82" s="1760"/>
      <c r="N82" s="1760"/>
      <c r="O82" s="1760"/>
      <c r="P82" s="1760"/>
      <c r="Q82" s="1760"/>
      <c r="R82" s="1760"/>
      <c r="S82" s="1760"/>
      <c r="T82" s="1760"/>
      <c r="U82" s="1760"/>
      <c r="V82" s="1760"/>
      <c r="W82" s="1760"/>
      <c r="X82" s="1760"/>
      <c r="Y82" s="1760"/>
      <c r="Z82" s="1760"/>
    </row>
    <row r="83" spans="1:26">
      <c r="A83" s="1759"/>
      <c r="B83" s="1759"/>
      <c r="C83" s="1752"/>
      <c r="D83" s="1752"/>
      <c r="E83" s="1752"/>
      <c r="F83" s="1752"/>
      <c r="G83" s="1752"/>
      <c r="H83" s="1755"/>
      <c r="I83" s="1760"/>
      <c r="J83" s="1760"/>
      <c r="K83" s="1760"/>
      <c r="L83" s="1760"/>
      <c r="M83" s="1760"/>
      <c r="N83" s="1760"/>
      <c r="O83" s="1760"/>
      <c r="P83" s="1760"/>
      <c r="Q83" s="1760"/>
      <c r="R83" s="1760"/>
      <c r="S83" s="1760"/>
      <c r="T83" s="1760"/>
      <c r="U83" s="1760"/>
      <c r="V83" s="1760"/>
      <c r="W83" s="1760"/>
      <c r="X83" s="1760"/>
      <c r="Y83" s="1760"/>
      <c r="Z83" s="1760"/>
    </row>
    <row r="84" spans="1:26">
      <c r="A84" s="1759"/>
      <c r="B84" s="1759"/>
      <c r="C84" s="1752"/>
      <c r="D84" s="1752"/>
      <c r="E84" s="1752"/>
      <c r="F84" s="1752"/>
      <c r="G84" s="1752"/>
      <c r="H84" s="1755"/>
      <c r="I84" s="1760"/>
      <c r="J84" s="1760"/>
      <c r="K84" s="1760"/>
      <c r="L84" s="1760"/>
      <c r="M84" s="1760"/>
      <c r="N84" s="1760"/>
      <c r="O84" s="1760"/>
      <c r="P84" s="1760"/>
      <c r="Q84" s="1760"/>
      <c r="R84" s="1760"/>
      <c r="S84" s="1760"/>
      <c r="T84" s="1760"/>
      <c r="U84" s="1760"/>
      <c r="V84" s="1760"/>
      <c r="W84" s="1760"/>
      <c r="X84" s="1760"/>
      <c r="Y84" s="1760"/>
      <c r="Z84" s="1760"/>
    </row>
    <row r="85" spans="1:26">
      <c r="A85" s="1759"/>
      <c r="B85" s="1759"/>
      <c r="C85" s="1752"/>
      <c r="D85" s="1752"/>
      <c r="E85" s="1752"/>
      <c r="F85" s="1752"/>
      <c r="G85" s="1752"/>
      <c r="H85" s="1755"/>
      <c r="I85" s="1760"/>
      <c r="J85" s="1760"/>
      <c r="K85" s="1760"/>
      <c r="L85" s="1760"/>
      <c r="M85" s="1760"/>
      <c r="N85" s="1760"/>
      <c r="O85" s="1760"/>
      <c r="P85" s="1760"/>
      <c r="Q85" s="1760"/>
      <c r="R85" s="1760"/>
      <c r="S85" s="1760"/>
      <c r="T85" s="1760"/>
      <c r="U85" s="1760"/>
      <c r="V85" s="1760"/>
      <c r="W85" s="1760"/>
      <c r="X85" s="1760"/>
      <c r="Y85" s="1760"/>
      <c r="Z85" s="1760"/>
    </row>
    <row r="86" spans="1:26">
      <c r="A86" s="1751"/>
      <c r="B86" s="1759"/>
      <c r="C86" s="1752"/>
      <c r="D86" s="1752"/>
      <c r="E86" s="1752"/>
      <c r="F86" s="1752"/>
      <c r="G86" s="1752"/>
      <c r="H86" s="1137"/>
      <c r="I86" s="1752"/>
      <c r="J86" s="1752"/>
      <c r="K86" s="1752"/>
      <c r="L86" s="1752"/>
      <c r="M86" s="1752"/>
      <c r="N86" s="1752"/>
      <c r="O86" s="1752"/>
      <c r="P86" s="1752"/>
      <c r="Q86" s="1752"/>
      <c r="R86" s="1752"/>
      <c r="S86" s="1752"/>
      <c r="T86" s="1752"/>
      <c r="U86" s="1752"/>
      <c r="V86" s="1752"/>
      <c r="W86" s="1752"/>
      <c r="X86" s="1752"/>
      <c r="Y86" s="1752"/>
      <c r="Z86" s="1752"/>
    </row>
    <row r="87" spans="1:26">
      <c r="A87" s="1759"/>
      <c r="B87" s="1759"/>
      <c r="C87" s="1752"/>
      <c r="D87" s="1752"/>
      <c r="E87" s="1752"/>
      <c r="F87" s="1752"/>
      <c r="G87" s="1752"/>
      <c r="H87" s="1752"/>
      <c r="I87" s="1752"/>
      <c r="J87" s="1752"/>
      <c r="K87" s="1752"/>
      <c r="L87" s="1752"/>
      <c r="M87" s="1752"/>
      <c r="N87" s="1752"/>
      <c r="O87" s="1752"/>
      <c r="P87" s="1752"/>
      <c r="Q87" s="1752"/>
      <c r="R87" s="1752"/>
      <c r="S87" s="1752"/>
      <c r="T87" s="1752"/>
      <c r="U87" s="1752"/>
      <c r="V87" s="1752"/>
      <c r="W87" s="1752"/>
      <c r="X87" s="1752"/>
      <c r="Y87" s="1752"/>
      <c r="Z87" s="1752"/>
    </row>
    <row r="88" spans="1:26">
      <c r="A88" s="1759"/>
      <c r="B88" s="1759"/>
      <c r="C88" s="1752"/>
      <c r="D88" s="1752"/>
      <c r="E88" s="1752"/>
      <c r="F88" s="1752"/>
      <c r="G88" s="1752"/>
      <c r="H88" s="1752"/>
      <c r="I88" s="1752"/>
      <c r="J88" s="1752"/>
      <c r="K88" s="1752"/>
      <c r="L88" s="1752"/>
      <c r="M88" s="1752"/>
      <c r="N88" s="1752"/>
      <c r="O88" s="1752"/>
      <c r="P88" s="1752"/>
      <c r="Q88" s="1752"/>
      <c r="R88" s="1752"/>
      <c r="S88" s="1752"/>
      <c r="T88" s="1752"/>
      <c r="U88" s="1752"/>
      <c r="V88" s="1752"/>
      <c r="W88" s="1752"/>
      <c r="X88" s="1752"/>
      <c r="Y88" s="1752"/>
      <c r="Z88" s="1752"/>
    </row>
    <row r="89" spans="1:26">
      <c r="A89" s="1759"/>
      <c r="B89" s="1759"/>
      <c r="C89" s="1752"/>
      <c r="D89" s="1752"/>
      <c r="E89" s="1752"/>
      <c r="F89" s="1752"/>
      <c r="G89" s="1752"/>
      <c r="H89" s="1752"/>
      <c r="I89" s="1752"/>
      <c r="J89" s="1752"/>
      <c r="K89" s="1752"/>
      <c r="L89" s="1752"/>
      <c r="M89" s="1752"/>
      <c r="N89" s="1752"/>
      <c r="O89" s="1752"/>
      <c r="P89" s="1752"/>
      <c r="Q89" s="1752"/>
      <c r="R89" s="1752"/>
      <c r="S89" s="1752"/>
      <c r="T89" s="1752"/>
      <c r="U89" s="1752"/>
      <c r="V89" s="1752"/>
      <c r="W89" s="1752"/>
      <c r="X89" s="1752"/>
      <c r="Y89" s="1752"/>
      <c r="Z89" s="1752"/>
    </row>
    <row r="90" spans="1:26">
      <c r="A90" s="1759"/>
      <c r="B90" s="1759"/>
      <c r="C90" s="1752"/>
      <c r="D90" s="1752"/>
      <c r="E90" s="1752"/>
      <c r="F90" s="1752"/>
      <c r="G90" s="1752"/>
      <c r="H90" s="1755"/>
      <c r="I90" s="1752"/>
      <c r="J90" s="1752"/>
      <c r="K90" s="1752"/>
      <c r="L90" s="1752"/>
      <c r="M90" s="1752"/>
      <c r="N90" s="1752"/>
      <c r="O90" s="1752"/>
      <c r="P90" s="1752"/>
      <c r="Q90" s="1752"/>
      <c r="R90" s="1752"/>
      <c r="S90" s="1752"/>
      <c r="T90" s="1752"/>
      <c r="U90" s="1752"/>
      <c r="V90" s="1752"/>
      <c r="W90" s="1752"/>
      <c r="X90" s="1752"/>
      <c r="Y90" s="1752"/>
      <c r="Z90" s="1752"/>
    </row>
    <row r="91" spans="1:26">
      <c r="A91" s="1759"/>
      <c r="B91" s="1759"/>
      <c r="C91" s="1752"/>
      <c r="D91" s="1752"/>
      <c r="E91" s="1752"/>
      <c r="F91" s="1752"/>
      <c r="G91" s="1752"/>
      <c r="H91" s="1760"/>
      <c r="I91" s="1752"/>
      <c r="J91" s="1752"/>
      <c r="K91" s="1752"/>
      <c r="L91" s="1752"/>
      <c r="M91" s="1752"/>
      <c r="N91" s="1752"/>
      <c r="O91" s="1752"/>
      <c r="P91" s="1752"/>
      <c r="Q91" s="1752"/>
      <c r="R91" s="1752"/>
      <c r="S91" s="1752"/>
      <c r="T91" s="1752"/>
      <c r="U91" s="1752"/>
      <c r="V91" s="1752"/>
      <c r="W91" s="1752"/>
      <c r="X91" s="1752"/>
      <c r="Y91" s="1752"/>
      <c r="Z91" s="1752"/>
    </row>
    <row r="92" spans="1:26">
      <c r="A92" s="1759"/>
      <c r="B92" s="1759"/>
      <c r="C92" s="1752"/>
      <c r="D92" s="1752"/>
      <c r="E92" s="1752"/>
      <c r="F92" s="1752"/>
      <c r="G92" s="1752"/>
      <c r="H92" s="1760"/>
      <c r="I92" s="1752"/>
      <c r="J92" s="1752"/>
      <c r="K92" s="1752"/>
      <c r="L92" s="1752"/>
      <c r="M92" s="1752"/>
      <c r="N92" s="1752"/>
      <c r="O92" s="1752"/>
      <c r="P92" s="1752"/>
      <c r="Q92" s="1752"/>
      <c r="R92" s="1752"/>
      <c r="S92" s="1752"/>
      <c r="T92" s="1752"/>
      <c r="U92" s="1752"/>
      <c r="V92" s="1752"/>
      <c r="W92" s="1752"/>
      <c r="X92" s="1752"/>
      <c r="Y92" s="1752"/>
      <c r="Z92" s="1752"/>
    </row>
    <row r="93" spans="1:26">
      <c r="A93" s="1751"/>
      <c r="B93" s="1759"/>
      <c r="C93" s="1752"/>
      <c r="D93" s="1752"/>
      <c r="E93" s="1752"/>
      <c r="F93" s="1752"/>
      <c r="G93" s="1752"/>
      <c r="H93" s="1137"/>
      <c r="I93" s="1752"/>
      <c r="J93" s="1752"/>
      <c r="K93" s="1752"/>
      <c r="L93" s="1752"/>
      <c r="M93" s="1752"/>
      <c r="N93" s="1752"/>
      <c r="O93" s="1752"/>
      <c r="P93" s="1752"/>
      <c r="Q93" s="1752"/>
      <c r="R93" s="1752"/>
      <c r="S93" s="1752"/>
      <c r="T93" s="1752"/>
      <c r="U93" s="1752"/>
      <c r="V93" s="1752"/>
      <c r="W93" s="1752"/>
      <c r="X93" s="1752"/>
      <c r="Y93" s="1752"/>
      <c r="Z93" s="1752"/>
    </row>
    <row r="94" spans="1:26">
      <c r="A94" s="1759"/>
      <c r="B94" s="1759"/>
      <c r="C94" s="1752"/>
      <c r="D94" s="1752"/>
      <c r="E94" s="1752"/>
      <c r="F94" s="1752"/>
      <c r="G94" s="1752"/>
      <c r="H94" s="1752"/>
      <c r="I94" s="1752"/>
      <c r="J94" s="1752"/>
      <c r="K94" s="1752"/>
      <c r="L94" s="1752"/>
      <c r="M94" s="1752"/>
      <c r="N94" s="1752"/>
      <c r="O94" s="1752"/>
      <c r="P94" s="1752"/>
      <c r="Q94" s="1752"/>
      <c r="R94" s="1752"/>
      <c r="S94" s="1752"/>
      <c r="T94" s="1752"/>
      <c r="U94" s="1752"/>
      <c r="V94" s="1752"/>
      <c r="W94" s="1752"/>
      <c r="X94" s="1752"/>
      <c r="Y94" s="1752"/>
      <c r="Z94" s="1752"/>
    </row>
    <row r="95" spans="1:26">
      <c r="A95" s="1759"/>
      <c r="B95" s="1759"/>
      <c r="C95" s="1752"/>
      <c r="D95" s="1752"/>
      <c r="E95" s="1752"/>
      <c r="F95" s="1752"/>
      <c r="G95" s="1752"/>
      <c r="H95" s="1752"/>
      <c r="I95" s="1752"/>
      <c r="J95" s="1752"/>
      <c r="K95" s="1752"/>
      <c r="L95" s="1752"/>
      <c r="M95" s="1752"/>
      <c r="N95" s="1752"/>
      <c r="O95" s="1752"/>
      <c r="P95" s="1752"/>
      <c r="Q95" s="1752"/>
      <c r="R95" s="1752"/>
      <c r="S95" s="1752"/>
      <c r="T95" s="1752"/>
      <c r="U95" s="1752"/>
      <c r="V95" s="1752"/>
      <c r="W95" s="1752"/>
      <c r="X95" s="1752"/>
      <c r="Y95" s="1752"/>
      <c r="Z95" s="1752"/>
    </row>
    <row r="96" spans="1:26">
      <c r="A96" s="1759"/>
      <c r="B96" s="1759"/>
      <c r="C96" s="1752"/>
      <c r="D96" s="1752"/>
      <c r="E96" s="1752"/>
      <c r="F96" s="1752"/>
      <c r="G96" s="1752"/>
      <c r="H96" s="1761"/>
      <c r="I96" s="1752"/>
      <c r="J96" s="1752"/>
      <c r="K96" s="1752"/>
      <c r="L96" s="1752"/>
      <c r="M96" s="1752"/>
      <c r="N96" s="1831"/>
      <c r="O96" s="1831"/>
      <c r="P96" s="1831"/>
      <c r="Q96" s="1831"/>
      <c r="R96" s="1831"/>
      <c r="S96" s="1831"/>
      <c r="T96" s="1831"/>
      <c r="U96" s="1831"/>
      <c r="V96" s="1831"/>
      <c r="W96" s="1831"/>
      <c r="X96" s="1831"/>
      <c r="Y96" s="1831"/>
      <c r="Z96" s="1832"/>
    </row>
    <row r="97" spans="1:26">
      <c r="A97" s="1759"/>
      <c r="B97" s="1759"/>
      <c r="C97" s="1752"/>
      <c r="D97" s="1752"/>
      <c r="E97" s="1752"/>
      <c r="F97" s="1752"/>
      <c r="G97" s="1752"/>
      <c r="H97" s="1759"/>
      <c r="I97" s="1752"/>
      <c r="J97" s="1752"/>
      <c r="K97" s="1752"/>
      <c r="L97" s="1752"/>
      <c r="M97" s="1752"/>
      <c r="N97" s="1832"/>
      <c r="O97" s="1832"/>
      <c r="P97" s="1832"/>
      <c r="Q97" s="1832"/>
      <c r="R97" s="1832"/>
      <c r="S97" s="1835"/>
      <c r="T97" s="1832"/>
      <c r="U97" s="1832"/>
      <c r="V97" s="1832"/>
      <c r="W97" s="1832"/>
      <c r="X97" s="1832"/>
      <c r="Y97" s="1832"/>
      <c r="Z97" s="1832"/>
    </row>
    <row r="98" spans="1:26">
      <c r="A98" s="1759"/>
      <c r="B98" s="1759"/>
      <c r="C98" s="1752"/>
      <c r="D98" s="1752"/>
      <c r="E98" s="1752"/>
      <c r="F98" s="1752"/>
      <c r="G98" s="1752"/>
      <c r="H98" s="1761"/>
      <c r="I98" s="1752"/>
      <c r="J98" s="1752"/>
      <c r="K98" s="1752"/>
      <c r="L98" s="1752"/>
      <c r="M98" s="1752"/>
      <c r="N98" s="1833"/>
      <c r="O98" s="1831"/>
      <c r="P98" s="1831"/>
      <c r="Q98" s="1831"/>
      <c r="R98" s="1833"/>
      <c r="S98" s="1831"/>
      <c r="T98" s="1831"/>
      <c r="U98" s="1831"/>
      <c r="V98" s="1831"/>
      <c r="W98" s="1831"/>
      <c r="X98" s="1831"/>
      <c r="Y98" s="1831"/>
      <c r="Z98" s="1752"/>
    </row>
    <row r="99" spans="1:26">
      <c r="A99" s="1759"/>
      <c r="B99" s="1759"/>
      <c r="C99" s="1752"/>
      <c r="D99" s="1752"/>
      <c r="E99" s="1752"/>
      <c r="F99" s="1752"/>
      <c r="G99" s="1752"/>
      <c r="H99" s="1759"/>
      <c r="I99" s="1752"/>
      <c r="J99" s="1752"/>
      <c r="K99" s="1752"/>
      <c r="L99" s="1752"/>
      <c r="M99" s="1752"/>
      <c r="N99" s="1834"/>
      <c r="O99" s="1832"/>
      <c r="P99" s="1832"/>
      <c r="Q99" s="1832"/>
      <c r="R99" s="1834"/>
      <c r="S99" s="1832"/>
      <c r="T99" s="1832"/>
      <c r="U99" s="1832"/>
      <c r="V99" s="1832"/>
      <c r="W99" s="1832"/>
      <c r="X99" s="1832"/>
      <c r="Y99" s="1832"/>
      <c r="Z99" s="1752"/>
    </row>
    <row r="100" spans="1:26">
      <c r="A100" s="1825"/>
      <c r="B100" s="1825"/>
      <c r="C100" s="1825"/>
      <c r="D100" s="1825"/>
      <c r="E100" s="1825"/>
      <c r="F100" s="1825"/>
      <c r="G100" s="1825"/>
      <c r="H100" s="1825"/>
      <c r="I100" s="1825"/>
      <c r="J100" s="1825"/>
      <c r="K100" s="1825"/>
      <c r="L100" s="1825"/>
      <c r="M100" s="1825"/>
      <c r="N100" s="1825"/>
      <c r="O100" s="1825"/>
      <c r="P100" s="1825"/>
      <c r="Q100" s="1825"/>
      <c r="R100" s="1825"/>
      <c r="S100" s="1825"/>
      <c r="T100" s="1825"/>
      <c r="U100" s="1825"/>
      <c r="V100" s="1825"/>
      <c r="W100" s="1825"/>
      <c r="X100" s="1825"/>
      <c r="Y100" s="1825"/>
      <c r="Z100" s="1825"/>
    </row>
    <row r="101" spans="1:26">
      <c r="A101" s="1825"/>
      <c r="B101" s="1825"/>
      <c r="C101" s="1825"/>
      <c r="D101" s="1825"/>
      <c r="E101" s="1825"/>
      <c r="F101" s="1825"/>
      <c r="G101" s="1825"/>
      <c r="H101" s="1825"/>
      <c r="I101" s="1825"/>
      <c r="J101" s="1825"/>
      <c r="K101" s="1825"/>
      <c r="L101" s="1825"/>
      <c r="M101" s="1825"/>
      <c r="N101" s="1825"/>
      <c r="O101" s="1825"/>
      <c r="P101" s="1825"/>
      <c r="Q101" s="1825"/>
      <c r="R101" s="1825"/>
      <c r="S101" s="1825"/>
      <c r="T101" s="1825"/>
      <c r="U101" s="1825"/>
      <c r="V101" s="1825"/>
      <c r="W101" s="1825"/>
      <c r="X101" s="1825"/>
      <c r="Y101" s="1825"/>
      <c r="Z101" s="1825"/>
    </row>
    <row r="102" spans="1:26">
      <c r="A102" s="1825"/>
      <c r="B102" s="1825"/>
      <c r="C102" s="1825"/>
      <c r="D102" s="1825"/>
      <c r="E102" s="1825"/>
      <c r="F102" s="1825"/>
      <c r="G102" s="1825"/>
      <c r="H102" s="1825"/>
      <c r="I102" s="1825"/>
      <c r="J102" s="1825"/>
      <c r="K102" s="1825"/>
      <c r="L102" s="1825"/>
      <c r="M102" s="1825"/>
      <c r="N102" s="1825"/>
      <c r="O102" s="1825"/>
      <c r="P102" s="1825"/>
      <c r="Q102" s="1825"/>
      <c r="R102" s="1825"/>
      <c r="S102" s="1825"/>
      <c r="T102" s="1825"/>
      <c r="U102" s="1825"/>
      <c r="V102" s="1825"/>
      <c r="W102" s="1825"/>
      <c r="X102" s="1825"/>
      <c r="Y102" s="1825"/>
      <c r="Z102" s="1825"/>
    </row>
    <row r="103" spans="1:26">
      <c r="A103" s="1766"/>
      <c r="B103" s="1766"/>
      <c r="C103" s="1766"/>
      <c r="D103" s="1766"/>
      <c r="E103" s="1766"/>
      <c r="F103" s="1766"/>
      <c r="G103" s="1766"/>
      <c r="H103" s="1766"/>
      <c r="I103" s="1766"/>
      <c r="J103" s="1766"/>
      <c r="K103" s="1766"/>
      <c r="L103" s="1766"/>
      <c r="M103" s="1766"/>
      <c r="N103" s="1766"/>
      <c r="O103" s="1766"/>
      <c r="P103" s="1766"/>
      <c r="Q103" s="1766"/>
      <c r="R103" s="1766"/>
      <c r="S103" s="1766"/>
      <c r="T103" s="1766"/>
      <c r="U103" s="1766"/>
      <c r="V103" s="1766"/>
      <c r="W103" s="1766"/>
      <c r="X103" s="1766"/>
      <c r="Y103" s="1766"/>
      <c r="Z103" s="1766"/>
    </row>
    <row r="104" spans="1:26">
      <c r="A104" s="1766"/>
      <c r="B104" s="1766"/>
      <c r="C104" s="1766"/>
      <c r="D104" s="1766"/>
      <c r="E104" s="1766"/>
      <c r="F104" s="1766"/>
      <c r="G104" s="1766"/>
      <c r="H104" s="1766"/>
      <c r="I104" s="1766"/>
      <c r="J104" s="1766"/>
      <c r="K104" s="1766"/>
      <c r="L104" s="1766"/>
      <c r="M104" s="1766"/>
      <c r="N104" s="1766"/>
      <c r="O104" s="1766"/>
      <c r="P104" s="1766"/>
      <c r="Q104" s="1766"/>
      <c r="R104" s="1766"/>
      <c r="S104" s="1766"/>
      <c r="T104" s="1766"/>
      <c r="U104" s="1766"/>
      <c r="V104" s="1766"/>
      <c r="W104" s="1766"/>
      <c r="X104" s="1766"/>
      <c r="Y104" s="1766"/>
      <c r="Z104" s="1766"/>
    </row>
    <row r="105" spans="1:26">
      <c r="A105" s="1766"/>
      <c r="B105" s="1766"/>
      <c r="C105" s="1766"/>
      <c r="D105" s="1766"/>
      <c r="E105" s="1766"/>
      <c r="F105" s="1766"/>
      <c r="G105" s="1766"/>
      <c r="H105" s="1766"/>
      <c r="I105" s="1766"/>
      <c r="J105" s="1766"/>
      <c r="K105" s="1766"/>
      <c r="L105" s="1766"/>
      <c r="M105" s="1766"/>
      <c r="N105" s="1766"/>
      <c r="O105" s="1766"/>
      <c r="P105" s="1766"/>
      <c r="Q105" s="1766"/>
      <c r="R105" s="1766"/>
      <c r="S105" s="1766"/>
      <c r="T105" s="1766"/>
      <c r="U105" s="1766"/>
      <c r="V105" s="1766"/>
      <c r="W105" s="1766"/>
      <c r="X105" s="1766"/>
      <c r="Y105" s="1766"/>
      <c r="Z105" s="1766"/>
    </row>
    <row r="106" spans="1:26">
      <c r="A106" s="1766"/>
      <c r="B106" s="1766"/>
      <c r="C106" s="1766"/>
      <c r="D106" s="1766"/>
      <c r="E106" s="1766"/>
      <c r="F106" s="1766"/>
      <c r="G106" s="1766"/>
      <c r="H106" s="1766"/>
      <c r="I106" s="1766"/>
      <c r="J106" s="1766"/>
      <c r="K106" s="1766"/>
      <c r="L106" s="1766"/>
      <c r="M106" s="1766"/>
      <c r="N106" s="1766"/>
      <c r="O106" s="1766"/>
      <c r="P106" s="1766"/>
      <c r="Q106" s="1766"/>
      <c r="R106" s="1766"/>
      <c r="S106" s="1766"/>
      <c r="T106" s="1766"/>
      <c r="U106" s="1766"/>
      <c r="V106" s="1766"/>
      <c r="W106" s="1766"/>
      <c r="X106" s="1766"/>
      <c r="Y106" s="1766"/>
      <c r="Z106" s="1766"/>
    </row>
    <row r="107" spans="1:26">
      <c r="A107" s="1766"/>
      <c r="B107" s="1766"/>
      <c r="C107" s="1766"/>
      <c r="D107" s="1766"/>
      <c r="E107" s="1766"/>
      <c r="F107" s="1766"/>
      <c r="G107" s="1766"/>
      <c r="H107" s="1766"/>
      <c r="I107" s="1766"/>
      <c r="J107" s="1766"/>
      <c r="K107" s="1766"/>
      <c r="L107" s="1766"/>
      <c r="M107" s="1766"/>
      <c r="N107" s="1766"/>
      <c r="O107" s="1766"/>
      <c r="P107" s="1766"/>
      <c r="Q107" s="1766"/>
      <c r="R107" s="1766"/>
      <c r="S107" s="1766"/>
      <c r="T107" s="1766"/>
      <c r="U107" s="1766"/>
      <c r="V107" s="1766"/>
      <c r="W107" s="1766"/>
      <c r="X107" s="1766"/>
      <c r="Y107" s="1766"/>
      <c r="Z107" s="1766"/>
    </row>
    <row r="108" spans="1:26">
      <c r="A108" s="1766"/>
      <c r="B108" s="1766"/>
      <c r="C108" s="1766"/>
      <c r="D108" s="1766"/>
      <c r="E108" s="1766"/>
      <c r="F108" s="1766"/>
      <c r="G108" s="1766"/>
      <c r="H108" s="1766"/>
      <c r="I108" s="1766"/>
      <c r="J108" s="1766"/>
      <c r="K108" s="1766"/>
      <c r="L108" s="1766"/>
      <c r="M108" s="1766"/>
      <c r="N108" s="1766"/>
      <c r="O108" s="1766"/>
      <c r="P108" s="1766"/>
      <c r="Q108" s="1766"/>
      <c r="R108" s="1766"/>
      <c r="S108" s="1766"/>
      <c r="T108" s="1766"/>
      <c r="U108" s="1766"/>
      <c r="V108" s="1766"/>
      <c r="W108" s="1766"/>
      <c r="X108" s="1766"/>
      <c r="Y108" s="1766"/>
      <c r="Z108" s="1766"/>
    </row>
    <row r="109" spans="1:26">
      <c r="A109" s="1766"/>
      <c r="B109" s="1766"/>
      <c r="C109" s="1766"/>
      <c r="D109" s="1766"/>
      <c r="E109" s="1766"/>
      <c r="F109" s="1766"/>
      <c r="G109" s="1766"/>
      <c r="H109" s="1766"/>
      <c r="I109" s="1766"/>
      <c r="J109" s="1766"/>
      <c r="K109" s="1766"/>
      <c r="L109" s="1766"/>
      <c r="M109" s="1766"/>
      <c r="N109" s="1766"/>
      <c r="O109" s="1766"/>
      <c r="P109" s="1766"/>
      <c r="Q109" s="1766"/>
      <c r="R109" s="1766"/>
      <c r="S109" s="1766"/>
      <c r="T109" s="1766"/>
      <c r="U109" s="1766"/>
      <c r="V109" s="1766"/>
      <c r="W109" s="1766"/>
      <c r="X109" s="1766"/>
      <c r="Y109" s="1766"/>
      <c r="Z109" s="1766"/>
    </row>
    <row r="110" spans="1:26">
      <c r="A110" s="1766"/>
      <c r="B110" s="1766"/>
      <c r="C110" s="1766"/>
      <c r="D110" s="1766"/>
      <c r="E110" s="1766"/>
      <c r="F110" s="1766"/>
      <c r="G110" s="1766"/>
      <c r="H110" s="1766"/>
      <c r="I110" s="1766"/>
      <c r="J110" s="1766"/>
      <c r="K110" s="1766"/>
      <c r="L110" s="1766"/>
      <c r="M110" s="1766"/>
      <c r="N110" s="1766"/>
      <c r="O110" s="1766"/>
      <c r="P110" s="1766"/>
      <c r="Q110" s="1766"/>
      <c r="R110" s="1766"/>
      <c r="S110" s="1766"/>
      <c r="T110" s="1766"/>
      <c r="U110" s="1766"/>
      <c r="V110" s="1766"/>
      <c r="W110" s="1766"/>
      <c r="X110" s="1766"/>
      <c r="Y110" s="1766"/>
      <c r="Z110" s="1766"/>
    </row>
    <row r="111" spans="1:26">
      <c r="A111" s="1766"/>
      <c r="B111" s="1766"/>
      <c r="C111" s="1766"/>
      <c r="D111" s="1766"/>
      <c r="E111" s="1766"/>
      <c r="F111" s="1766"/>
      <c r="G111" s="1766"/>
      <c r="H111" s="1766"/>
      <c r="I111" s="1766"/>
      <c r="J111" s="1766"/>
      <c r="K111" s="1766"/>
      <c r="L111" s="1766"/>
      <c r="M111" s="1766"/>
      <c r="N111" s="1766"/>
      <c r="O111" s="1766"/>
      <c r="P111" s="1766"/>
      <c r="Q111" s="1766"/>
      <c r="R111" s="1766"/>
      <c r="S111" s="1766"/>
      <c r="T111" s="1766"/>
      <c r="U111" s="1766"/>
      <c r="V111" s="1766"/>
      <c r="W111" s="1766"/>
      <c r="X111" s="1766"/>
      <c r="Y111" s="1766"/>
      <c r="Z111" s="1766"/>
    </row>
    <row r="112" spans="1:26">
      <c r="A112" s="1766"/>
      <c r="B112" s="1766"/>
      <c r="C112" s="1766"/>
      <c r="D112" s="1766"/>
      <c r="E112" s="1766"/>
      <c r="F112" s="1766"/>
      <c r="G112" s="1766"/>
      <c r="H112" s="1766"/>
      <c r="I112" s="1766"/>
      <c r="J112" s="1766"/>
      <c r="K112" s="1766"/>
      <c r="L112" s="1766"/>
      <c r="M112" s="1766"/>
      <c r="N112" s="1766"/>
      <c r="O112" s="1766"/>
      <c r="P112" s="1766"/>
      <c r="Q112" s="1766"/>
      <c r="R112" s="1766"/>
      <c r="S112" s="1766"/>
      <c r="T112" s="1766"/>
      <c r="U112" s="1766"/>
      <c r="V112" s="1766"/>
      <c r="W112" s="1766"/>
      <c r="X112" s="1766"/>
      <c r="Y112" s="1766"/>
      <c r="Z112" s="1766"/>
    </row>
    <row r="113" spans="1:26">
      <c r="A113" s="1766"/>
      <c r="B113" s="1766"/>
      <c r="C113" s="1766"/>
      <c r="D113" s="1766"/>
      <c r="E113" s="1766"/>
      <c r="F113" s="1766"/>
      <c r="G113" s="1766"/>
      <c r="H113" s="1766"/>
      <c r="I113" s="1766"/>
      <c r="J113" s="1766"/>
      <c r="K113" s="1766"/>
      <c r="L113" s="1766"/>
      <c r="M113" s="1766"/>
      <c r="N113" s="1766"/>
      <c r="O113" s="1766"/>
      <c r="P113" s="1766"/>
      <c r="Q113" s="1766"/>
      <c r="R113" s="1766"/>
      <c r="S113" s="1766"/>
      <c r="T113" s="1766"/>
      <c r="U113" s="1766"/>
      <c r="V113" s="1766"/>
      <c r="W113" s="1766"/>
      <c r="X113" s="1766"/>
      <c r="Y113" s="1766"/>
      <c r="Z113" s="1766"/>
    </row>
    <row r="114" spans="1:26">
      <c r="A114" s="1766"/>
      <c r="B114" s="1766"/>
      <c r="C114" s="1766"/>
      <c r="D114" s="1766"/>
      <c r="E114" s="1766"/>
      <c r="F114" s="1766"/>
      <c r="G114" s="1766"/>
      <c r="H114" s="1766"/>
      <c r="I114" s="1766"/>
      <c r="J114" s="1766"/>
      <c r="K114" s="1766"/>
      <c r="L114" s="1766"/>
      <c r="M114" s="1766"/>
      <c r="N114" s="1766"/>
      <c r="O114" s="1766"/>
      <c r="P114" s="1766"/>
      <c r="Q114" s="1766"/>
      <c r="R114" s="1766"/>
      <c r="S114" s="1766"/>
      <c r="T114" s="1766"/>
      <c r="U114" s="1766"/>
      <c r="V114" s="1766"/>
      <c r="W114" s="1766"/>
      <c r="X114" s="1766"/>
      <c r="Y114" s="1766"/>
      <c r="Z114" s="1766"/>
    </row>
    <row r="115" spans="1:26">
      <c r="A115" s="1766"/>
      <c r="B115" s="1766"/>
      <c r="C115" s="1766"/>
      <c r="D115" s="1766"/>
      <c r="E115" s="1766"/>
      <c r="F115" s="1766"/>
      <c r="G115" s="1766"/>
      <c r="H115" s="1766"/>
      <c r="I115" s="1766"/>
      <c r="J115" s="1766"/>
      <c r="K115" s="1766"/>
      <c r="L115" s="1766"/>
      <c r="M115" s="1766"/>
      <c r="N115" s="1766"/>
      <c r="O115" s="1766"/>
      <c r="P115" s="1766"/>
      <c r="Q115" s="1766"/>
      <c r="R115" s="1766"/>
      <c r="S115" s="1766"/>
      <c r="T115" s="1766"/>
      <c r="U115" s="1766"/>
      <c r="V115" s="1766"/>
      <c r="W115" s="1766"/>
      <c r="X115" s="1766"/>
      <c r="Y115" s="1766"/>
      <c r="Z115" s="1766"/>
    </row>
    <row r="116" spans="1:26">
      <c r="A116" s="1766"/>
      <c r="B116" s="1766"/>
      <c r="C116" s="1766"/>
      <c r="D116" s="1766"/>
      <c r="E116" s="1766"/>
      <c r="F116" s="1766"/>
      <c r="G116" s="1766"/>
      <c r="H116" s="1766"/>
      <c r="I116" s="1766"/>
      <c r="J116" s="1766"/>
      <c r="K116" s="1766"/>
      <c r="L116" s="1766"/>
      <c r="M116" s="1766"/>
      <c r="N116" s="1766"/>
      <c r="O116" s="1766"/>
      <c r="P116" s="1766"/>
      <c r="Q116" s="1766"/>
      <c r="R116" s="1766"/>
      <c r="S116" s="1766"/>
      <c r="T116" s="1766"/>
      <c r="U116" s="1766"/>
      <c r="V116" s="1766"/>
      <c r="W116" s="1766"/>
      <c r="X116" s="1766"/>
      <c r="Y116" s="1766"/>
      <c r="Z116" s="1766"/>
    </row>
    <row r="117" spans="1:26">
      <c r="A117" s="1766"/>
      <c r="B117" s="1766"/>
      <c r="C117" s="1766"/>
      <c r="D117" s="1766"/>
      <c r="E117" s="1766"/>
      <c r="F117" s="1766"/>
      <c r="G117" s="1766"/>
      <c r="H117" s="1766"/>
      <c r="I117" s="1766"/>
      <c r="J117" s="1766"/>
      <c r="K117" s="1766"/>
      <c r="L117" s="1766"/>
      <c r="M117" s="1766"/>
      <c r="N117" s="1766"/>
      <c r="O117" s="1766"/>
      <c r="P117" s="1766"/>
      <c r="Q117" s="1766"/>
      <c r="R117" s="1766"/>
      <c r="S117" s="1766"/>
      <c r="T117" s="1766"/>
      <c r="U117" s="1766"/>
      <c r="V117" s="1766"/>
      <c r="W117" s="1766"/>
      <c r="X117" s="1766"/>
      <c r="Y117" s="1766"/>
      <c r="Z117" s="1766"/>
    </row>
    <row r="118" spans="1:26">
      <c r="A118" s="1766"/>
      <c r="B118" s="1766"/>
      <c r="C118" s="1766"/>
      <c r="D118" s="1766"/>
      <c r="E118" s="1766"/>
      <c r="F118" s="1766"/>
      <c r="G118" s="1766"/>
      <c r="H118" s="1766"/>
      <c r="I118" s="1766"/>
      <c r="J118" s="1766"/>
      <c r="K118" s="1766"/>
      <c r="L118" s="1766"/>
      <c r="M118" s="1766"/>
      <c r="N118" s="1766"/>
      <c r="O118" s="1766"/>
      <c r="P118" s="1766"/>
      <c r="Q118" s="1766"/>
      <c r="R118" s="1766"/>
      <c r="S118" s="1766"/>
      <c r="T118" s="1766"/>
      <c r="U118" s="1766"/>
      <c r="V118" s="1766"/>
      <c r="W118" s="1766"/>
      <c r="X118" s="1766"/>
      <c r="Y118" s="1766"/>
      <c r="Z118" s="1766"/>
    </row>
    <row r="119" spans="1:26">
      <c r="A119" s="1766"/>
      <c r="B119" s="1766"/>
      <c r="C119" s="1766"/>
      <c r="D119" s="1766"/>
      <c r="E119" s="1766"/>
      <c r="F119" s="1766"/>
      <c r="G119" s="1766"/>
      <c r="H119" s="1766"/>
      <c r="I119" s="1766"/>
      <c r="J119" s="1766"/>
      <c r="K119" s="1766"/>
      <c r="L119" s="1766"/>
      <c r="M119" s="1766"/>
      <c r="N119" s="1766"/>
      <c r="O119" s="1766"/>
      <c r="P119" s="1766"/>
      <c r="Q119" s="1766"/>
      <c r="R119" s="1766"/>
      <c r="S119" s="1766"/>
      <c r="T119" s="1766"/>
      <c r="U119" s="1766"/>
      <c r="V119" s="1766"/>
      <c r="W119" s="1766"/>
      <c r="X119" s="1766"/>
      <c r="Y119" s="1766"/>
      <c r="Z119" s="1766"/>
    </row>
    <row r="120" spans="1:26">
      <c r="A120" s="1766"/>
      <c r="B120" s="1766"/>
      <c r="C120" s="1766"/>
      <c r="D120" s="1766"/>
      <c r="E120" s="1766"/>
      <c r="F120" s="1766"/>
      <c r="G120" s="1766"/>
      <c r="H120" s="1766"/>
      <c r="I120" s="1766"/>
      <c r="J120" s="1766"/>
      <c r="K120" s="1766"/>
      <c r="L120" s="1766"/>
      <c r="M120" s="1766"/>
      <c r="N120" s="1766"/>
      <c r="O120" s="1766"/>
      <c r="P120" s="1766"/>
      <c r="Q120" s="1766"/>
      <c r="R120" s="1766"/>
      <c r="S120" s="1766"/>
      <c r="T120" s="1766"/>
      <c r="U120" s="1766"/>
      <c r="V120" s="1766"/>
      <c r="W120" s="1766"/>
      <c r="X120" s="1766"/>
      <c r="Y120" s="1766"/>
      <c r="Z120" s="1766"/>
    </row>
    <row r="121" spans="1:26">
      <c r="A121" s="1766"/>
      <c r="B121" s="1766"/>
      <c r="C121" s="1766"/>
      <c r="D121" s="1766"/>
      <c r="E121" s="1766"/>
      <c r="F121" s="1766"/>
      <c r="G121" s="1766"/>
      <c r="H121" s="1766"/>
      <c r="I121" s="1766"/>
      <c r="J121" s="1766"/>
      <c r="K121" s="1766"/>
      <c r="L121" s="1766"/>
      <c r="M121" s="1766"/>
      <c r="N121" s="1766"/>
      <c r="O121" s="1766"/>
      <c r="P121" s="1766"/>
      <c r="Q121" s="1766"/>
      <c r="R121" s="1766"/>
      <c r="S121" s="1766"/>
      <c r="T121" s="1766"/>
      <c r="U121" s="1766"/>
      <c r="V121" s="1766"/>
      <c r="W121" s="1766"/>
      <c r="X121" s="1766"/>
      <c r="Y121" s="1766"/>
      <c r="Z121" s="1766"/>
    </row>
    <row r="122" spans="1:26">
      <c r="A122" s="1766"/>
      <c r="B122" s="1766"/>
      <c r="C122" s="1766"/>
      <c r="D122" s="1766"/>
      <c r="E122" s="1766"/>
      <c r="F122" s="1766"/>
      <c r="G122" s="1766"/>
      <c r="H122" s="1766"/>
      <c r="I122" s="1766"/>
      <c r="J122" s="1766"/>
      <c r="K122" s="1766"/>
      <c r="L122" s="1766"/>
      <c r="M122" s="1766"/>
      <c r="N122" s="1766"/>
      <c r="O122" s="1766"/>
      <c r="P122" s="1766"/>
      <c r="Q122" s="1766"/>
      <c r="R122" s="1766"/>
      <c r="S122" s="1766"/>
      <c r="T122" s="1766"/>
      <c r="U122" s="1766"/>
      <c r="V122" s="1766"/>
      <c r="W122" s="1766"/>
      <c r="X122" s="1766"/>
      <c r="Y122" s="1766"/>
      <c r="Z122" s="1766"/>
    </row>
    <row r="123" spans="1:26">
      <c r="A123" s="1766"/>
      <c r="B123" s="1766"/>
      <c r="C123" s="1766"/>
      <c r="D123" s="1766"/>
      <c r="E123" s="1766"/>
      <c r="F123" s="1766"/>
      <c r="G123" s="1766"/>
      <c r="H123" s="1766"/>
      <c r="I123" s="1766"/>
      <c r="J123" s="1766"/>
      <c r="K123" s="1766"/>
      <c r="L123" s="1766"/>
      <c r="M123" s="1766"/>
      <c r="N123" s="1766"/>
      <c r="O123" s="1766"/>
      <c r="P123" s="1766"/>
      <c r="Q123" s="1766"/>
      <c r="R123" s="1766"/>
      <c r="S123" s="1766"/>
      <c r="T123" s="1766"/>
      <c r="U123" s="1766"/>
      <c r="V123" s="1766"/>
      <c r="W123" s="1766"/>
      <c r="X123" s="1766"/>
      <c r="Y123" s="1766"/>
      <c r="Z123" s="1766"/>
    </row>
    <row r="124" spans="1:26">
      <c r="A124" s="1766"/>
      <c r="B124" s="1766"/>
      <c r="C124" s="1766"/>
      <c r="D124" s="1766"/>
      <c r="E124" s="1766"/>
      <c r="F124" s="1766"/>
      <c r="G124" s="1766"/>
      <c r="H124" s="1766"/>
      <c r="I124" s="1766"/>
      <c r="J124" s="1766"/>
      <c r="K124" s="1766"/>
      <c r="L124" s="1766"/>
      <c r="M124" s="1766"/>
      <c r="N124" s="1766"/>
      <c r="O124" s="1766"/>
      <c r="P124" s="1766"/>
      <c r="Q124" s="1766"/>
      <c r="R124" s="1766"/>
      <c r="S124" s="1766"/>
      <c r="T124" s="1766"/>
      <c r="U124" s="1766"/>
      <c r="V124" s="1766"/>
      <c r="W124" s="1766"/>
      <c r="X124" s="1766"/>
      <c r="Y124" s="1766"/>
      <c r="Z124" s="1766"/>
    </row>
    <row r="125" spans="1:26">
      <c r="A125" s="1766"/>
      <c r="B125" s="1766"/>
      <c r="C125" s="1766"/>
      <c r="D125" s="1766"/>
      <c r="E125" s="1766"/>
      <c r="F125" s="1766"/>
      <c r="G125" s="1766"/>
      <c r="H125" s="1766"/>
      <c r="I125" s="1766"/>
      <c r="J125" s="1766"/>
      <c r="K125" s="1766"/>
      <c r="L125" s="1766"/>
      <c r="M125" s="1766"/>
      <c r="N125" s="1766"/>
      <c r="O125" s="1766"/>
      <c r="P125" s="1766"/>
      <c r="Q125" s="1766"/>
      <c r="R125" s="1766"/>
      <c r="S125" s="1766"/>
      <c r="T125" s="1766"/>
      <c r="U125" s="1766"/>
      <c r="V125" s="1766"/>
      <c r="W125" s="1766"/>
      <c r="X125" s="1766"/>
      <c r="Y125" s="1766"/>
      <c r="Z125" s="1766"/>
    </row>
    <row r="126" spans="1:26">
      <c r="A126" s="1766"/>
      <c r="B126" s="1766"/>
      <c r="C126" s="1766"/>
      <c r="D126" s="1766"/>
      <c r="E126" s="1766"/>
      <c r="F126" s="1766"/>
      <c r="G126" s="1766"/>
      <c r="H126" s="1766"/>
      <c r="I126" s="1766"/>
      <c r="J126" s="1766"/>
      <c r="K126" s="1766"/>
      <c r="L126" s="1766"/>
      <c r="M126" s="1766"/>
      <c r="N126" s="1766"/>
      <c r="O126" s="1766"/>
      <c r="P126" s="1766"/>
      <c r="Q126" s="1766"/>
      <c r="R126" s="1766"/>
      <c r="S126" s="1766"/>
      <c r="T126" s="1766"/>
      <c r="U126" s="1766"/>
      <c r="V126" s="1766"/>
      <c r="W126" s="1766"/>
      <c r="X126" s="1766"/>
      <c r="Y126" s="1766"/>
      <c r="Z126" s="1766"/>
    </row>
    <row r="127" spans="1:26">
      <c r="A127" s="1766"/>
      <c r="B127" s="1766"/>
      <c r="C127" s="1766"/>
      <c r="D127" s="1766"/>
      <c r="E127" s="1766"/>
      <c r="F127" s="1766"/>
      <c r="G127" s="1766"/>
      <c r="H127" s="1766"/>
      <c r="I127" s="1766"/>
      <c r="J127" s="1766"/>
      <c r="K127" s="1766"/>
      <c r="L127" s="1766"/>
      <c r="M127" s="1766"/>
      <c r="N127" s="1766"/>
      <c r="O127" s="1766"/>
      <c r="P127" s="1766"/>
      <c r="Q127" s="1766"/>
      <c r="R127" s="1766"/>
      <c r="S127" s="1766"/>
      <c r="T127" s="1766"/>
      <c r="U127" s="1766"/>
      <c r="V127" s="1766"/>
      <c r="W127" s="1766"/>
      <c r="X127" s="1766"/>
      <c r="Y127" s="1766"/>
      <c r="Z127" s="1766"/>
    </row>
  </sheetData>
  <mergeCells count="306">
    <mergeCell ref="Z41:Z42"/>
    <mergeCell ref="Z43:Z45"/>
    <mergeCell ref="Z46:Z48"/>
    <mergeCell ref="A2:G3"/>
    <mergeCell ref="A50:G51"/>
    <mergeCell ref="H50:J51"/>
    <mergeCell ref="U50:Z51"/>
    <mergeCell ref="A9:B16"/>
    <mergeCell ref="C9:G16"/>
    <mergeCell ref="A17:B24"/>
    <mergeCell ref="C17:G24"/>
    <mergeCell ref="A25:B29"/>
    <mergeCell ref="C25:G29"/>
    <mergeCell ref="A30:B36"/>
    <mergeCell ref="C30:G36"/>
    <mergeCell ref="A37:B42"/>
    <mergeCell ref="C37:G42"/>
    <mergeCell ref="A43:B48"/>
    <mergeCell ref="C43:G48"/>
    <mergeCell ref="V4:Z4"/>
    <mergeCell ref="Z9:Z12"/>
    <mergeCell ref="Z13:Z16"/>
    <mergeCell ref="Z17:Z20"/>
    <mergeCell ref="Z21:Z24"/>
    <mergeCell ref="Z25:Z26"/>
    <mergeCell ref="Z27:Z29"/>
    <mergeCell ref="Z30:Z32"/>
    <mergeCell ref="Z33:Z34"/>
    <mergeCell ref="Z35:Z36"/>
    <mergeCell ref="X37:X38"/>
    <mergeCell ref="X39:X40"/>
    <mergeCell ref="X33:X34"/>
    <mergeCell ref="X35:X36"/>
    <mergeCell ref="Z37:Z38"/>
    <mergeCell ref="Z39:Z40"/>
    <mergeCell ref="X41:X42"/>
    <mergeCell ref="X43:X45"/>
    <mergeCell ref="X46:X48"/>
    <mergeCell ref="Y9:Y12"/>
    <mergeCell ref="Y13:Y16"/>
    <mergeCell ref="Y17:Y20"/>
    <mergeCell ref="Y21:Y24"/>
    <mergeCell ref="Y25:Y26"/>
    <mergeCell ref="Y27:Y29"/>
    <mergeCell ref="Y30:Y32"/>
    <mergeCell ref="Y33:Y34"/>
    <mergeCell ref="Y35:Y36"/>
    <mergeCell ref="Y37:Y38"/>
    <mergeCell ref="Y39:Y40"/>
    <mergeCell ref="Y41:Y42"/>
    <mergeCell ref="Y43:Y45"/>
    <mergeCell ref="Y46:Y48"/>
    <mergeCell ref="X9:X12"/>
    <mergeCell ref="X13:X16"/>
    <mergeCell ref="X17:X20"/>
    <mergeCell ref="X21:X24"/>
    <mergeCell ref="X25:X26"/>
    <mergeCell ref="X27:X29"/>
    <mergeCell ref="X30:X32"/>
    <mergeCell ref="W37:W38"/>
    <mergeCell ref="W39:W40"/>
    <mergeCell ref="W41:W42"/>
    <mergeCell ref="W43:W45"/>
    <mergeCell ref="W46:W48"/>
    <mergeCell ref="V9:V12"/>
    <mergeCell ref="V13:V16"/>
    <mergeCell ref="V17:V20"/>
    <mergeCell ref="V21:V24"/>
    <mergeCell ref="V25:V26"/>
    <mergeCell ref="W9:W12"/>
    <mergeCell ref="W13:W16"/>
    <mergeCell ref="W17:W20"/>
    <mergeCell ref="W21:W24"/>
    <mergeCell ref="W25:W26"/>
    <mergeCell ref="W27:W29"/>
    <mergeCell ref="W30:W32"/>
    <mergeCell ref="W33:W34"/>
    <mergeCell ref="W35:W36"/>
    <mergeCell ref="V27:V29"/>
    <mergeCell ref="V30:V32"/>
    <mergeCell ref="V33:V34"/>
    <mergeCell ref="V35:V36"/>
    <mergeCell ref="V37:V38"/>
    <mergeCell ref="T37:T38"/>
    <mergeCell ref="T39:T40"/>
    <mergeCell ref="T41:T42"/>
    <mergeCell ref="T43:T45"/>
    <mergeCell ref="T46:T48"/>
    <mergeCell ref="U37:U38"/>
    <mergeCell ref="U39:U40"/>
    <mergeCell ref="U41:U42"/>
    <mergeCell ref="U43:U45"/>
    <mergeCell ref="U46:U48"/>
    <mergeCell ref="V39:V40"/>
    <mergeCell ref="V41:V42"/>
    <mergeCell ref="V43:V45"/>
    <mergeCell ref="V46:V48"/>
    <mergeCell ref="U9:U12"/>
    <mergeCell ref="U13:U16"/>
    <mergeCell ref="U17:U20"/>
    <mergeCell ref="U21:U24"/>
    <mergeCell ref="U25:U26"/>
    <mergeCell ref="U27:U29"/>
    <mergeCell ref="U30:U32"/>
    <mergeCell ref="U33:U34"/>
    <mergeCell ref="U35:U36"/>
    <mergeCell ref="T9:T12"/>
    <mergeCell ref="T13:T16"/>
    <mergeCell ref="T17:T20"/>
    <mergeCell ref="T21:T24"/>
    <mergeCell ref="T25:T26"/>
    <mergeCell ref="T27:T29"/>
    <mergeCell ref="T30:T32"/>
    <mergeCell ref="T33:T34"/>
    <mergeCell ref="T35:T36"/>
    <mergeCell ref="S37:S38"/>
    <mergeCell ref="S39:S40"/>
    <mergeCell ref="S41:S42"/>
    <mergeCell ref="S43:S45"/>
    <mergeCell ref="S46:S48"/>
    <mergeCell ref="R9:R12"/>
    <mergeCell ref="R13:R16"/>
    <mergeCell ref="R17:R20"/>
    <mergeCell ref="R21:R24"/>
    <mergeCell ref="R25:R26"/>
    <mergeCell ref="S9:S12"/>
    <mergeCell ref="S13:S16"/>
    <mergeCell ref="S17:S20"/>
    <mergeCell ref="S21:S24"/>
    <mergeCell ref="S25:S26"/>
    <mergeCell ref="S27:S29"/>
    <mergeCell ref="S30:S32"/>
    <mergeCell ref="S33:S34"/>
    <mergeCell ref="S35:S36"/>
    <mergeCell ref="R27:R29"/>
    <mergeCell ref="R30:R32"/>
    <mergeCell ref="R33:R34"/>
    <mergeCell ref="R35:R36"/>
    <mergeCell ref="R37:R38"/>
    <mergeCell ref="P37:P38"/>
    <mergeCell ref="P39:P40"/>
    <mergeCell ref="P41:P42"/>
    <mergeCell ref="P43:P45"/>
    <mergeCell ref="P46:P48"/>
    <mergeCell ref="Q37:Q38"/>
    <mergeCell ref="Q39:Q40"/>
    <mergeCell ref="Q41:Q42"/>
    <mergeCell ref="Q43:Q45"/>
    <mergeCell ref="Q46:Q48"/>
    <mergeCell ref="R39:R40"/>
    <mergeCell ref="R41:R42"/>
    <mergeCell ref="R43:R45"/>
    <mergeCell ref="R46:R48"/>
    <mergeCell ref="Q9:Q12"/>
    <mergeCell ref="Q13:Q16"/>
    <mergeCell ref="Q17:Q20"/>
    <mergeCell ref="Q21:Q24"/>
    <mergeCell ref="Q25:Q26"/>
    <mergeCell ref="Q27:Q29"/>
    <mergeCell ref="Q30:Q32"/>
    <mergeCell ref="Q33:Q34"/>
    <mergeCell ref="Q35:Q36"/>
    <mergeCell ref="P9:P12"/>
    <mergeCell ref="P13:P16"/>
    <mergeCell ref="P17:P20"/>
    <mergeCell ref="P21:P24"/>
    <mergeCell ref="P25:P26"/>
    <mergeCell ref="P27:P29"/>
    <mergeCell ref="P30:P32"/>
    <mergeCell ref="P33:P34"/>
    <mergeCell ref="P35:P36"/>
    <mergeCell ref="N46:N48"/>
    <mergeCell ref="O37:O38"/>
    <mergeCell ref="O39:O40"/>
    <mergeCell ref="O41:O42"/>
    <mergeCell ref="O43:O45"/>
    <mergeCell ref="O46:O48"/>
    <mergeCell ref="N9:N12"/>
    <mergeCell ref="N13:N16"/>
    <mergeCell ref="N17:N20"/>
    <mergeCell ref="N21:N24"/>
    <mergeCell ref="N25:N26"/>
    <mergeCell ref="O9:O12"/>
    <mergeCell ref="O13:O16"/>
    <mergeCell ref="O17:O20"/>
    <mergeCell ref="O21:O24"/>
    <mergeCell ref="O25:O26"/>
    <mergeCell ref="O27:O29"/>
    <mergeCell ref="O30:O32"/>
    <mergeCell ref="O33:O34"/>
    <mergeCell ref="O35:O36"/>
    <mergeCell ref="M9:M12"/>
    <mergeCell ref="M13:M16"/>
    <mergeCell ref="M17:M20"/>
    <mergeCell ref="M21:M24"/>
    <mergeCell ref="M25:M26"/>
    <mergeCell ref="M27:M29"/>
    <mergeCell ref="M30:M32"/>
    <mergeCell ref="M33:M34"/>
    <mergeCell ref="M35:M36"/>
    <mergeCell ref="J9:J12"/>
    <mergeCell ref="J13:J16"/>
    <mergeCell ref="J17:J20"/>
    <mergeCell ref="J21:J24"/>
    <mergeCell ref="J25:J26"/>
    <mergeCell ref="L9:L12"/>
    <mergeCell ref="L13:L16"/>
    <mergeCell ref="L17:L20"/>
    <mergeCell ref="L21:L24"/>
    <mergeCell ref="L25:L26"/>
    <mergeCell ref="K9:K12"/>
    <mergeCell ref="K13:K16"/>
    <mergeCell ref="K17:K20"/>
    <mergeCell ref="K21:K24"/>
    <mergeCell ref="K25:K26"/>
    <mergeCell ref="K27:K29"/>
    <mergeCell ref="K30:K32"/>
    <mergeCell ref="K33:K34"/>
    <mergeCell ref="K35:K36"/>
    <mergeCell ref="I30:I32"/>
    <mergeCell ref="I33:I34"/>
    <mergeCell ref="I35:I36"/>
    <mergeCell ref="I37:I38"/>
    <mergeCell ref="J37:J38"/>
    <mergeCell ref="J27:J29"/>
    <mergeCell ref="J30:J32"/>
    <mergeCell ref="J33:J34"/>
    <mergeCell ref="J35:J36"/>
    <mergeCell ref="K37:K38"/>
    <mergeCell ref="J39:J40"/>
    <mergeCell ref="J41:J42"/>
    <mergeCell ref="J43:J45"/>
    <mergeCell ref="J46:J48"/>
    <mergeCell ref="K51:L51"/>
    <mergeCell ref="M51:N51"/>
    <mergeCell ref="O51:P51"/>
    <mergeCell ref="Q51:R51"/>
    <mergeCell ref="S51:T51"/>
    <mergeCell ref="K39:K40"/>
    <mergeCell ref="K41:K42"/>
    <mergeCell ref="K43:K45"/>
    <mergeCell ref="K46:K48"/>
    <mergeCell ref="L39:L40"/>
    <mergeCell ref="L41:L42"/>
    <mergeCell ref="L43:L45"/>
    <mergeCell ref="L46:L48"/>
    <mergeCell ref="M39:M40"/>
    <mergeCell ref="M41:M42"/>
    <mergeCell ref="M43:M45"/>
    <mergeCell ref="M46:M48"/>
    <mergeCell ref="N39:N40"/>
    <mergeCell ref="N41:N42"/>
    <mergeCell ref="N43:N45"/>
    <mergeCell ref="L27:L29"/>
    <mergeCell ref="L30:L32"/>
    <mergeCell ref="L33:L34"/>
    <mergeCell ref="L35:L36"/>
    <mergeCell ref="N27:N29"/>
    <mergeCell ref="N30:N32"/>
    <mergeCell ref="N33:N34"/>
    <mergeCell ref="N35:N36"/>
    <mergeCell ref="L37:L38"/>
    <mergeCell ref="M37:M38"/>
    <mergeCell ref="N37:N38"/>
    <mergeCell ref="H37:H38"/>
    <mergeCell ref="H39:H40"/>
    <mergeCell ref="H41:H42"/>
    <mergeCell ref="H43:H45"/>
    <mergeCell ref="H46:H48"/>
    <mergeCell ref="I9:I12"/>
    <mergeCell ref="I13:I16"/>
    <mergeCell ref="I17:I20"/>
    <mergeCell ref="I21:I24"/>
    <mergeCell ref="I25:I26"/>
    <mergeCell ref="H9:H12"/>
    <mergeCell ref="H13:H16"/>
    <mergeCell ref="H17:H20"/>
    <mergeCell ref="H21:H24"/>
    <mergeCell ref="H25:H26"/>
    <mergeCell ref="H27:H29"/>
    <mergeCell ref="H30:H32"/>
    <mergeCell ref="H33:H34"/>
    <mergeCell ref="H35:H36"/>
    <mergeCell ref="I39:I40"/>
    <mergeCell ref="I41:I42"/>
    <mergeCell ref="I43:I45"/>
    <mergeCell ref="I46:I48"/>
    <mergeCell ref="I27:I29"/>
    <mergeCell ref="A49:G49"/>
    <mergeCell ref="H49:J49"/>
    <mergeCell ref="K49:T49"/>
    <mergeCell ref="U49:Z49"/>
    <mergeCell ref="K50:L50"/>
    <mergeCell ref="M50:N50"/>
    <mergeCell ref="O50:P50"/>
    <mergeCell ref="Q50:R50"/>
    <mergeCell ref="S50:T50"/>
    <mergeCell ref="H2:T2"/>
    <mergeCell ref="U2:Z2"/>
    <mergeCell ref="H3:T3"/>
    <mergeCell ref="U3:W3"/>
    <mergeCell ref="X3:Z3"/>
    <mergeCell ref="A5:Z5"/>
    <mergeCell ref="A6:Z6"/>
    <mergeCell ref="A7:H7"/>
    <mergeCell ref="A8:G8"/>
  </mergeCells>
  <phoneticPr fontId="378" type="noConversion"/>
  <hyperlinks>
    <hyperlink ref="V4:Z4" location="总目录!A1" display="总目录!A1"/>
  </hyperlinks>
  <pageMargins left="0.58888888888888902" right="0.2" top="0.2" bottom="0.2" header="0.11874999999999999" footer="0.30902777777777801"/>
  <pageSetup paperSize="9" orientation="portrait"/>
  <headerFooter scaleWithDoc="0" alignWithMargins="0"/>
  <drawing r:id="rId1"/>
  <legacyDrawing r:id="rId2"/>
  <oleObjects>
    <mc:AlternateContent xmlns:mc="http://schemas.openxmlformats.org/markup-compatibility/2006">
      <mc:Choice Requires="x14">
        <oleObject progId="Equation.3" shapeId="1211393" r:id="rId3">
          <objectPr defaultSize="0" autoPict="0" altText="" r:id="rId4">
            <anchor moveWithCells="1" sizeWithCells="1">
              <from>
                <xdr:col>18</xdr:col>
                <xdr:colOff>38100</xdr:colOff>
                <xdr:row>13</xdr:row>
                <xdr:rowOff>0</xdr:rowOff>
              </from>
              <to>
                <xdr:col>18</xdr:col>
                <xdr:colOff>142875</xdr:colOff>
                <xdr:row>15</xdr:row>
                <xdr:rowOff>0</xdr:rowOff>
              </to>
            </anchor>
          </objectPr>
        </oleObject>
      </mc:Choice>
      <mc:Fallback>
        <oleObject progId="Equation.3" shapeId="1211393" r:id="rId3"/>
      </mc:Fallback>
    </mc:AlternateContent>
    <mc:AlternateContent xmlns:mc="http://schemas.openxmlformats.org/markup-compatibility/2006">
      <mc:Choice Requires="x14">
        <oleObject progId="Equation.3" shapeId="1211394" r:id="rId5">
          <objectPr defaultSize="0" autoPict="0" altText="" r:id="rId6">
            <anchor moveWithCells="1" sizeWithCells="1">
              <from>
                <xdr:col>13</xdr:col>
                <xdr:colOff>0</xdr:colOff>
                <xdr:row>13</xdr:row>
                <xdr:rowOff>0</xdr:rowOff>
              </from>
              <to>
                <xdr:col>13</xdr:col>
                <xdr:colOff>209550</xdr:colOff>
                <xdr:row>15</xdr:row>
                <xdr:rowOff>0</xdr:rowOff>
              </to>
            </anchor>
          </objectPr>
        </oleObject>
      </mc:Choice>
      <mc:Fallback>
        <oleObject progId="Equation.3" shapeId="1211394" r:id="rId5"/>
      </mc:Fallback>
    </mc:AlternateContent>
    <mc:AlternateContent xmlns:mc="http://schemas.openxmlformats.org/markup-compatibility/2006">
      <mc:Choice Requires="x14">
        <oleObject progId="Equation.3" shapeId="1211395" r:id="rId7">
          <objectPr defaultSize="0" autoPict="0" altText="" r:id="rId8">
            <anchor moveWithCells="1" sizeWithCells="1">
              <from>
                <xdr:col>14</xdr:col>
                <xdr:colOff>19050</xdr:colOff>
                <xdr:row>13</xdr:row>
                <xdr:rowOff>19050</xdr:rowOff>
              </from>
              <to>
                <xdr:col>14</xdr:col>
                <xdr:colOff>228600</xdr:colOff>
                <xdr:row>15</xdr:row>
                <xdr:rowOff>0</xdr:rowOff>
              </to>
            </anchor>
          </objectPr>
        </oleObject>
      </mc:Choice>
      <mc:Fallback>
        <oleObject progId="Equation.3" shapeId="1211395" r:id="rId7"/>
      </mc:Fallback>
    </mc:AlternateContent>
    <mc:AlternateContent xmlns:mc="http://schemas.openxmlformats.org/markup-compatibility/2006">
      <mc:Choice Requires="x14">
        <oleObject progId="Equation.3" shapeId="1211396" r:id="rId9">
          <objectPr defaultSize="0" autoPict="0" altText="" r:id="rId10">
            <anchor moveWithCells="1" sizeWithCells="1">
              <from>
                <xdr:col>15</xdr:col>
                <xdr:colOff>85725</xdr:colOff>
                <xdr:row>13</xdr:row>
                <xdr:rowOff>0</xdr:rowOff>
              </from>
              <to>
                <xdr:col>15</xdr:col>
                <xdr:colOff>200025</xdr:colOff>
                <xdr:row>14</xdr:row>
                <xdr:rowOff>180975</xdr:rowOff>
              </to>
            </anchor>
          </objectPr>
        </oleObject>
      </mc:Choice>
      <mc:Fallback>
        <oleObject progId="Equation.3" shapeId="1211396" r:id="rId9"/>
      </mc:Fallback>
    </mc:AlternateContent>
    <mc:AlternateContent xmlns:mc="http://schemas.openxmlformats.org/markup-compatibility/2006">
      <mc:Choice Requires="x14">
        <oleObject progId="Equation.3" shapeId="1211397" r:id="rId11">
          <objectPr defaultSize="0" autoPict="0" altText="" r:id="rId12">
            <anchor moveWithCells="1" sizeWithCells="1">
              <from>
                <xdr:col>16</xdr:col>
                <xdr:colOff>47625</xdr:colOff>
                <xdr:row>13</xdr:row>
                <xdr:rowOff>0</xdr:rowOff>
              </from>
              <to>
                <xdr:col>17</xdr:col>
                <xdr:colOff>0</xdr:colOff>
                <xdr:row>14</xdr:row>
                <xdr:rowOff>180975</xdr:rowOff>
              </to>
            </anchor>
          </objectPr>
        </oleObject>
      </mc:Choice>
      <mc:Fallback>
        <oleObject progId="Equation.3" shapeId="1211397" r:id="rId11"/>
      </mc:Fallback>
    </mc:AlternateContent>
    <mc:AlternateContent xmlns:mc="http://schemas.openxmlformats.org/markup-compatibility/2006">
      <mc:Choice Requires="x14">
        <oleObject progId="Equation.3" shapeId="1211398" r:id="rId13">
          <objectPr defaultSize="0" autoPict="0" altText="" r:id="rId12">
            <anchor moveWithCells="1" sizeWithCells="1">
              <from>
                <xdr:col>17</xdr:col>
                <xdr:colOff>38100</xdr:colOff>
                <xdr:row>12</xdr:row>
                <xdr:rowOff>200025</xdr:rowOff>
              </from>
              <to>
                <xdr:col>17</xdr:col>
                <xdr:colOff>238125</xdr:colOff>
                <xdr:row>14</xdr:row>
                <xdr:rowOff>171450</xdr:rowOff>
              </to>
            </anchor>
          </objectPr>
        </oleObject>
      </mc:Choice>
      <mc:Fallback>
        <oleObject progId="Equation.3" shapeId="1211398" r:id="rId13"/>
      </mc:Fallback>
    </mc:AlternateContent>
    <mc:AlternateContent xmlns:mc="http://schemas.openxmlformats.org/markup-compatibility/2006">
      <mc:Choice Requires="x14">
        <oleObject progId="Equation.3" shapeId="1211399" r:id="rId14">
          <objectPr defaultSize="0" autoPict="0" altText="" r:id="rId4">
            <anchor moveWithCells="1" sizeWithCells="1">
              <from>
                <xdr:col>19</xdr:col>
                <xdr:colOff>47625</xdr:colOff>
                <xdr:row>13</xdr:row>
                <xdr:rowOff>0</xdr:rowOff>
              </from>
              <to>
                <xdr:col>19</xdr:col>
                <xdr:colOff>152400</xdr:colOff>
                <xdr:row>15</xdr:row>
                <xdr:rowOff>0</xdr:rowOff>
              </to>
            </anchor>
          </objectPr>
        </oleObject>
      </mc:Choice>
      <mc:Fallback>
        <oleObject progId="Equation.3" shapeId="1211399" r:id="rId14"/>
      </mc:Fallback>
    </mc:AlternateContent>
    <mc:AlternateContent xmlns:mc="http://schemas.openxmlformats.org/markup-compatibility/2006">
      <mc:Choice Requires="x14">
        <oleObject progId="Equation.3" shapeId="1211400" r:id="rId15">
          <objectPr defaultSize="0" autoPict="0" altText="" r:id="rId16">
            <anchor moveWithCells="1" sizeWithCells="1">
              <from>
                <xdr:col>20</xdr:col>
                <xdr:colOff>85725</xdr:colOff>
                <xdr:row>13</xdr:row>
                <xdr:rowOff>0</xdr:rowOff>
              </from>
              <to>
                <xdr:col>20</xdr:col>
                <xdr:colOff>200025</xdr:colOff>
                <xdr:row>14</xdr:row>
                <xdr:rowOff>180975</xdr:rowOff>
              </to>
            </anchor>
          </objectPr>
        </oleObject>
      </mc:Choice>
      <mc:Fallback>
        <oleObject progId="Equation.3" shapeId="1211400" r:id="rId15"/>
      </mc:Fallback>
    </mc:AlternateContent>
    <mc:AlternateContent xmlns:mc="http://schemas.openxmlformats.org/markup-compatibility/2006">
      <mc:Choice Requires="x14">
        <oleObject progId="Equation.3" shapeId="1211401" r:id="rId17">
          <objectPr defaultSize="0" autoPict="0" altText="" r:id="rId16">
            <anchor moveWithCells="1" sizeWithCells="1">
              <from>
                <xdr:col>21</xdr:col>
                <xdr:colOff>57150</xdr:colOff>
                <xdr:row>13</xdr:row>
                <xdr:rowOff>19050</xdr:rowOff>
              </from>
              <to>
                <xdr:col>21</xdr:col>
                <xdr:colOff>171450</xdr:colOff>
                <xdr:row>15</xdr:row>
                <xdr:rowOff>0</xdr:rowOff>
              </to>
            </anchor>
          </objectPr>
        </oleObject>
      </mc:Choice>
      <mc:Fallback>
        <oleObject progId="Equation.3" shapeId="1211401" r:id="rId17"/>
      </mc:Fallback>
    </mc:AlternateContent>
    <mc:AlternateContent xmlns:mc="http://schemas.openxmlformats.org/markup-compatibility/2006">
      <mc:Choice Requires="x14">
        <oleObject progId="Equation.3" shapeId="1211402" r:id="rId18">
          <objectPr defaultSize="0" autoPict="0" altText="" r:id="rId16">
            <anchor moveWithCells="1" sizeWithCells="1">
              <from>
                <xdr:col>22</xdr:col>
                <xdr:colOff>85725</xdr:colOff>
                <xdr:row>13</xdr:row>
                <xdr:rowOff>0</xdr:rowOff>
              </from>
              <to>
                <xdr:col>22</xdr:col>
                <xdr:colOff>200025</xdr:colOff>
                <xdr:row>15</xdr:row>
                <xdr:rowOff>0</xdr:rowOff>
              </to>
            </anchor>
          </objectPr>
        </oleObject>
      </mc:Choice>
      <mc:Fallback>
        <oleObject progId="Equation.3" shapeId="1211402" r:id="rId18"/>
      </mc:Fallback>
    </mc:AlternateContent>
    <mc:AlternateContent xmlns:mc="http://schemas.openxmlformats.org/markup-compatibility/2006">
      <mc:Choice Requires="x14">
        <oleObject progId="Equation.3" shapeId="1211403" r:id="rId19">
          <objectPr defaultSize="0" autoPict="0" altText="" r:id="rId16">
            <anchor moveWithCells="1" sizeWithCells="1">
              <from>
                <xdr:col>23</xdr:col>
                <xdr:colOff>114300</xdr:colOff>
                <xdr:row>13</xdr:row>
                <xdr:rowOff>0</xdr:rowOff>
              </from>
              <to>
                <xdr:col>23</xdr:col>
                <xdr:colOff>228600</xdr:colOff>
                <xdr:row>14</xdr:row>
                <xdr:rowOff>180975</xdr:rowOff>
              </to>
            </anchor>
          </objectPr>
        </oleObject>
      </mc:Choice>
      <mc:Fallback>
        <oleObject progId="Equation.3" shapeId="1211403" r:id="rId19"/>
      </mc:Fallback>
    </mc:AlternateContent>
    <mc:AlternateContent xmlns:mc="http://schemas.openxmlformats.org/markup-compatibility/2006">
      <mc:Choice Requires="x14">
        <oleObject progId="Equation.3" shapeId="1211404" r:id="rId20">
          <objectPr defaultSize="0" autoPict="0" altText="" r:id="rId16">
            <anchor moveWithCells="1" sizeWithCells="1">
              <from>
                <xdr:col>24</xdr:col>
                <xdr:colOff>66675</xdr:colOff>
                <xdr:row>13</xdr:row>
                <xdr:rowOff>0</xdr:rowOff>
              </from>
              <to>
                <xdr:col>24</xdr:col>
                <xdr:colOff>180975</xdr:colOff>
                <xdr:row>15</xdr:row>
                <xdr:rowOff>0</xdr:rowOff>
              </to>
            </anchor>
          </objectPr>
        </oleObject>
      </mc:Choice>
      <mc:Fallback>
        <oleObject progId="Equation.3" shapeId="1211404" r:id="rId20"/>
      </mc:Fallback>
    </mc:AlternateContent>
    <mc:AlternateContent xmlns:mc="http://schemas.openxmlformats.org/markup-compatibility/2006">
      <mc:Choice Requires="x14">
        <oleObject progId="Equation.3" shapeId="1211405" r:id="rId21">
          <objectPr defaultSize="0" autoPict="0" altText="" r:id="rId16">
            <anchor moveWithCells="1" sizeWithCells="1">
              <from>
                <xdr:col>25</xdr:col>
                <xdr:colOff>19050</xdr:colOff>
                <xdr:row>9</xdr:row>
                <xdr:rowOff>0</xdr:rowOff>
              </from>
              <to>
                <xdr:col>25</xdr:col>
                <xdr:colOff>133350</xdr:colOff>
                <xdr:row>9</xdr:row>
                <xdr:rowOff>9525</xdr:rowOff>
              </to>
            </anchor>
          </objectPr>
        </oleObject>
      </mc:Choice>
      <mc:Fallback>
        <oleObject progId="Equation.3" shapeId="1211405" r:id="rId21"/>
      </mc:Fallback>
    </mc:AlternateContent>
    <mc:AlternateContent xmlns:mc="http://schemas.openxmlformats.org/markup-compatibility/2006">
      <mc:Choice Requires="x14">
        <oleObject progId="Equation.3" shapeId="1211406" r:id="rId22">
          <objectPr defaultSize="0" autoPict="0" altText="" r:id="rId4">
            <anchor moveWithCells="1" sizeWithCells="1">
              <from>
                <xdr:col>18</xdr:col>
                <xdr:colOff>57150</xdr:colOff>
                <xdr:row>21</xdr:row>
                <xdr:rowOff>57150</xdr:rowOff>
              </from>
              <to>
                <xdr:col>18</xdr:col>
                <xdr:colOff>171450</xdr:colOff>
                <xdr:row>23</xdr:row>
                <xdr:rowOff>19050</xdr:rowOff>
              </to>
            </anchor>
          </objectPr>
        </oleObject>
      </mc:Choice>
      <mc:Fallback>
        <oleObject progId="Equation.3" shapeId="1211406" r:id="rId22"/>
      </mc:Fallback>
    </mc:AlternateContent>
    <mc:AlternateContent xmlns:mc="http://schemas.openxmlformats.org/markup-compatibility/2006">
      <mc:Choice Requires="x14">
        <oleObject progId="Equation.3" shapeId="1211407" r:id="rId23">
          <objectPr defaultSize="0" autoPict="0" altText="" r:id="rId6">
            <anchor moveWithCells="1" sizeWithCells="1">
              <from>
                <xdr:col>13</xdr:col>
                <xdr:colOff>19050</xdr:colOff>
                <xdr:row>21</xdr:row>
                <xdr:rowOff>114300</xdr:rowOff>
              </from>
              <to>
                <xdr:col>14</xdr:col>
                <xdr:colOff>0</xdr:colOff>
                <xdr:row>23</xdr:row>
                <xdr:rowOff>66675</xdr:rowOff>
              </to>
            </anchor>
          </objectPr>
        </oleObject>
      </mc:Choice>
      <mc:Fallback>
        <oleObject progId="Equation.3" shapeId="1211407" r:id="rId23"/>
      </mc:Fallback>
    </mc:AlternateContent>
    <mc:AlternateContent xmlns:mc="http://schemas.openxmlformats.org/markup-compatibility/2006">
      <mc:Choice Requires="x14">
        <oleObject progId="Equation.3" shapeId="1211408" r:id="rId24">
          <objectPr defaultSize="0" autoPict="0" altText="" r:id="rId8">
            <anchor moveWithCells="1" sizeWithCells="1">
              <from>
                <xdr:col>14</xdr:col>
                <xdr:colOff>19050</xdr:colOff>
                <xdr:row>21</xdr:row>
                <xdr:rowOff>104775</xdr:rowOff>
              </from>
              <to>
                <xdr:col>14</xdr:col>
                <xdr:colOff>228600</xdr:colOff>
                <xdr:row>23</xdr:row>
                <xdr:rowOff>57150</xdr:rowOff>
              </to>
            </anchor>
          </objectPr>
        </oleObject>
      </mc:Choice>
      <mc:Fallback>
        <oleObject progId="Equation.3" shapeId="1211408" r:id="rId24"/>
      </mc:Fallback>
    </mc:AlternateContent>
    <mc:AlternateContent xmlns:mc="http://schemas.openxmlformats.org/markup-compatibility/2006">
      <mc:Choice Requires="x14">
        <oleObject progId="Equation.3" shapeId="1211409" r:id="rId25">
          <objectPr defaultSize="0" autoPict="0" altText="" r:id="rId10">
            <anchor moveWithCells="1" sizeWithCells="1">
              <from>
                <xdr:col>15</xdr:col>
                <xdr:colOff>57150</xdr:colOff>
                <xdr:row>21</xdr:row>
                <xdr:rowOff>95250</xdr:rowOff>
              </from>
              <to>
                <xdr:col>15</xdr:col>
                <xdr:colOff>171450</xdr:colOff>
                <xdr:row>23</xdr:row>
                <xdr:rowOff>57150</xdr:rowOff>
              </to>
            </anchor>
          </objectPr>
        </oleObject>
      </mc:Choice>
      <mc:Fallback>
        <oleObject progId="Equation.3" shapeId="1211409" r:id="rId25"/>
      </mc:Fallback>
    </mc:AlternateContent>
    <mc:AlternateContent xmlns:mc="http://schemas.openxmlformats.org/markup-compatibility/2006">
      <mc:Choice Requires="x14">
        <oleObject progId="Equation.3" shapeId="1211410" r:id="rId26">
          <objectPr defaultSize="0" autoPict="0" altText="" r:id="rId12">
            <anchor moveWithCells="1" sizeWithCells="1">
              <from>
                <xdr:col>16</xdr:col>
                <xdr:colOff>47625</xdr:colOff>
                <xdr:row>21</xdr:row>
                <xdr:rowOff>66675</xdr:rowOff>
              </from>
              <to>
                <xdr:col>17</xdr:col>
                <xdr:colOff>0</xdr:colOff>
                <xdr:row>23</xdr:row>
                <xdr:rowOff>28575</xdr:rowOff>
              </to>
            </anchor>
          </objectPr>
        </oleObject>
      </mc:Choice>
      <mc:Fallback>
        <oleObject progId="Equation.3" shapeId="1211410" r:id="rId26"/>
      </mc:Fallback>
    </mc:AlternateContent>
    <mc:AlternateContent xmlns:mc="http://schemas.openxmlformats.org/markup-compatibility/2006">
      <mc:Choice Requires="x14">
        <oleObject progId="Equation.3" shapeId="1211411" r:id="rId27">
          <objectPr defaultSize="0" autoPict="0" altText="" r:id="rId12">
            <anchor moveWithCells="1" sizeWithCells="1">
              <from>
                <xdr:col>17</xdr:col>
                <xdr:colOff>57150</xdr:colOff>
                <xdr:row>21</xdr:row>
                <xdr:rowOff>66675</xdr:rowOff>
              </from>
              <to>
                <xdr:col>18</xdr:col>
                <xdr:colOff>0</xdr:colOff>
                <xdr:row>23</xdr:row>
                <xdr:rowOff>28575</xdr:rowOff>
              </to>
            </anchor>
          </objectPr>
        </oleObject>
      </mc:Choice>
      <mc:Fallback>
        <oleObject progId="Equation.3" shapeId="1211411" r:id="rId27"/>
      </mc:Fallback>
    </mc:AlternateContent>
    <mc:AlternateContent xmlns:mc="http://schemas.openxmlformats.org/markup-compatibility/2006">
      <mc:Choice Requires="x14">
        <oleObject progId="Equation.3" shapeId="1211412" r:id="rId28">
          <objectPr defaultSize="0" autoPict="0" altText="" r:id="rId4">
            <anchor moveWithCells="1" sizeWithCells="1">
              <from>
                <xdr:col>19</xdr:col>
                <xdr:colOff>66675</xdr:colOff>
                <xdr:row>21</xdr:row>
                <xdr:rowOff>66675</xdr:rowOff>
              </from>
              <to>
                <xdr:col>19</xdr:col>
                <xdr:colOff>180975</xdr:colOff>
                <xdr:row>23</xdr:row>
                <xdr:rowOff>28575</xdr:rowOff>
              </to>
            </anchor>
          </objectPr>
        </oleObject>
      </mc:Choice>
      <mc:Fallback>
        <oleObject progId="Equation.3" shapeId="1211412" r:id="rId28"/>
      </mc:Fallback>
    </mc:AlternateContent>
    <mc:AlternateContent xmlns:mc="http://schemas.openxmlformats.org/markup-compatibility/2006">
      <mc:Choice Requires="x14">
        <oleObject progId="Equation.3" shapeId="1211413" r:id="rId29">
          <objectPr defaultSize="0" autoPict="0" altText="" r:id="rId16">
            <anchor moveWithCells="1" sizeWithCells="1">
              <from>
                <xdr:col>20</xdr:col>
                <xdr:colOff>85725</xdr:colOff>
                <xdr:row>21</xdr:row>
                <xdr:rowOff>66675</xdr:rowOff>
              </from>
              <to>
                <xdr:col>20</xdr:col>
                <xdr:colOff>200025</xdr:colOff>
                <xdr:row>23</xdr:row>
                <xdr:rowOff>28575</xdr:rowOff>
              </to>
            </anchor>
          </objectPr>
        </oleObject>
      </mc:Choice>
      <mc:Fallback>
        <oleObject progId="Equation.3" shapeId="1211413" r:id="rId29"/>
      </mc:Fallback>
    </mc:AlternateContent>
    <mc:AlternateContent xmlns:mc="http://schemas.openxmlformats.org/markup-compatibility/2006">
      <mc:Choice Requires="x14">
        <oleObject progId="Equation.3" shapeId="1211414" r:id="rId30">
          <objectPr defaultSize="0" autoPict="0" altText="" r:id="rId16">
            <anchor moveWithCells="1" sizeWithCells="1">
              <from>
                <xdr:col>21</xdr:col>
                <xdr:colOff>57150</xdr:colOff>
                <xdr:row>21</xdr:row>
                <xdr:rowOff>66675</xdr:rowOff>
              </from>
              <to>
                <xdr:col>21</xdr:col>
                <xdr:colOff>171450</xdr:colOff>
                <xdr:row>23</xdr:row>
                <xdr:rowOff>28575</xdr:rowOff>
              </to>
            </anchor>
          </objectPr>
        </oleObject>
      </mc:Choice>
      <mc:Fallback>
        <oleObject progId="Equation.3" shapeId="1211414" r:id="rId30"/>
      </mc:Fallback>
    </mc:AlternateContent>
    <mc:AlternateContent xmlns:mc="http://schemas.openxmlformats.org/markup-compatibility/2006">
      <mc:Choice Requires="x14">
        <oleObject progId="Equation.3" shapeId="1211415" r:id="rId31">
          <objectPr defaultSize="0" autoPict="0" altText="" r:id="rId16">
            <anchor moveWithCells="1" sizeWithCells="1">
              <from>
                <xdr:col>22</xdr:col>
                <xdr:colOff>66675</xdr:colOff>
                <xdr:row>21</xdr:row>
                <xdr:rowOff>57150</xdr:rowOff>
              </from>
              <to>
                <xdr:col>22</xdr:col>
                <xdr:colOff>180975</xdr:colOff>
                <xdr:row>23</xdr:row>
                <xdr:rowOff>19050</xdr:rowOff>
              </to>
            </anchor>
          </objectPr>
        </oleObject>
      </mc:Choice>
      <mc:Fallback>
        <oleObject progId="Equation.3" shapeId="1211415" r:id="rId31"/>
      </mc:Fallback>
    </mc:AlternateContent>
    <mc:AlternateContent xmlns:mc="http://schemas.openxmlformats.org/markup-compatibility/2006">
      <mc:Choice Requires="x14">
        <oleObject progId="Equation.3" shapeId="1211416" r:id="rId32">
          <objectPr defaultSize="0" autoPict="0" altText="" r:id="rId16">
            <anchor moveWithCells="1" sizeWithCells="1">
              <from>
                <xdr:col>23</xdr:col>
                <xdr:colOff>19050</xdr:colOff>
                <xdr:row>21</xdr:row>
                <xdr:rowOff>57150</xdr:rowOff>
              </from>
              <to>
                <xdr:col>23</xdr:col>
                <xdr:colOff>133350</xdr:colOff>
                <xdr:row>23</xdr:row>
                <xdr:rowOff>19050</xdr:rowOff>
              </to>
            </anchor>
          </objectPr>
        </oleObject>
      </mc:Choice>
      <mc:Fallback>
        <oleObject progId="Equation.3" shapeId="1211416" r:id="rId32"/>
      </mc:Fallback>
    </mc:AlternateContent>
    <mc:AlternateContent xmlns:mc="http://schemas.openxmlformats.org/markup-compatibility/2006">
      <mc:Choice Requires="x14">
        <oleObject progId="Equation.3" shapeId="1211417" r:id="rId33">
          <objectPr defaultSize="0" autoPict="0" altText="" r:id="rId16">
            <anchor moveWithCells="1" sizeWithCells="1">
              <from>
                <xdr:col>24</xdr:col>
                <xdr:colOff>57150</xdr:colOff>
                <xdr:row>21</xdr:row>
                <xdr:rowOff>57150</xdr:rowOff>
              </from>
              <to>
                <xdr:col>24</xdr:col>
                <xdr:colOff>171450</xdr:colOff>
                <xdr:row>23</xdr:row>
                <xdr:rowOff>0</xdr:rowOff>
              </to>
            </anchor>
          </objectPr>
        </oleObject>
      </mc:Choice>
      <mc:Fallback>
        <oleObject progId="Equation.3" shapeId="1211417" r:id="rId33"/>
      </mc:Fallback>
    </mc:AlternateContent>
    <mc:AlternateContent xmlns:mc="http://schemas.openxmlformats.org/markup-compatibility/2006">
      <mc:Choice Requires="x14">
        <oleObject progId="Equation.3" shapeId="1211418" r:id="rId34">
          <objectPr defaultSize="0" autoPict="0" altText="" r:id="rId16">
            <anchor moveWithCells="1" sizeWithCells="1">
              <from>
                <xdr:col>25</xdr:col>
                <xdr:colOff>57150</xdr:colOff>
                <xdr:row>21</xdr:row>
                <xdr:rowOff>57150</xdr:rowOff>
              </from>
              <to>
                <xdr:col>25</xdr:col>
                <xdr:colOff>171450</xdr:colOff>
                <xdr:row>23</xdr:row>
                <xdr:rowOff>0</xdr:rowOff>
              </to>
            </anchor>
          </objectPr>
        </oleObject>
      </mc:Choice>
      <mc:Fallback>
        <oleObject progId="Equation.3" shapeId="1211418" r:id="rId34"/>
      </mc:Fallback>
    </mc:AlternateContent>
    <mc:AlternateContent xmlns:mc="http://schemas.openxmlformats.org/markup-compatibility/2006">
      <mc:Choice Requires="x14">
        <oleObject progId="Equation.3" shapeId="1211419" r:id="rId35">
          <objectPr defaultSize="0" autoPict="0" altText="" r:id="rId6">
            <anchor moveWithCells="1" sizeWithCells="1">
              <from>
                <xdr:col>13</xdr:col>
                <xdr:colOff>9525</xdr:colOff>
                <xdr:row>26</xdr:row>
                <xdr:rowOff>66675</xdr:rowOff>
              </from>
              <to>
                <xdr:col>13</xdr:col>
                <xdr:colOff>228600</xdr:colOff>
                <xdr:row>28</xdr:row>
                <xdr:rowOff>28575</xdr:rowOff>
              </to>
            </anchor>
          </objectPr>
        </oleObject>
      </mc:Choice>
      <mc:Fallback>
        <oleObject progId="Equation.3" shapeId="1211419" r:id="rId35"/>
      </mc:Fallback>
    </mc:AlternateContent>
    <mc:AlternateContent xmlns:mc="http://schemas.openxmlformats.org/markup-compatibility/2006">
      <mc:Choice Requires="x14">
        <oleObject progId="Equation.3" shapeId="1211420" r:id="rId36">
          <objectPr defaultSize="0" autoPict="0" altText="" r:id="rId8">
            <anchor moveWithCells="1" sizeWithCells="1">
              <from>
                <xdr:col>14</xdr:col>
                <xdr:colOff>38100</xdr:colOff>
                <xdr:row>26</xdr:row>
                <xdr:rowOff>104775</xdr:rowOff>
              </from>
              <to>
                <xdr:col>15</xdr:col>
                <xdr:colOff>0</xdr:colOff>
                <xdr:row>28</xdr:row>
                <xdr:rowOff>57150</xdr:rowOff>
              </to>
            </anchor>
          </objectPr>
        </oleObject>
      </mc:Choice>
      <mc:Fallback>
        <oleObject progId="Equation.3" shapeId="1211420" r:id="rId36"/>
      </mc:Fallback>
    </mc:AlternateContent>
    <mc:AlternateContent xmlns:mc="http://schemas.openxmlformats.org/markup-compatibility/2006">
      <mc:Choice Requires="x14">
        <oleObject progId="Equation.3" shapeId="1211421" r:id="rId37">
          <objectPr defaultSize="0" autoPict="0" altText="" r:id="rId10">
            <anchor moveWithCells="1" sizeWithCells="1">
              <from>
                <xdr:col>15</xdr:col>
                <xdr:colOff>57150</xdr:colOff>
                <xdr:row>26</xdr:row>
                <xdr:rowOff>95250</xdr:rowOff>
              </from>
              <to>
                <xdr:col>15</xdr:col>
                <xdr:colOff>171450</xdr:colOff>
                <xdr:row>28</xdr:row>
                <xdr:rowOff>57150</xdr:rowOff>
              </to>
            </anchor>
          </objectPr>
        </oleObject>
      </mc:Choice>
      <mc:Fallback>
        <oleObject progId="Equation.3" shapeId="1211421" r:id="rId37"/>
      </mc:Fallback>
    </mc:AlternateContent>
    <mc:AlternateContent xmlns:mc="http://schemas.openxmlformats.org/markup-compatibility/2006">
      <mc:Choice Requires="x14">
        <oleObject progId="Equation.3" shapeId="1211422" r:id="rId38">
          <objectPr defaultSize="0" autoPict="0" altText="" r:id="rId12">
            <anchor moveWithCells="1" sizeWithCells="1">
              <from>
                <xdr:col>16</xdr:col>
                <xdr:colOff>9525</xdr:colOff>
                <xdr:row>26</xdr:row>
                <xdr:rowOff>104775</xdr:rowOff>
              </from>
              <to>
                <xdr:col>16</xdr:col>
                <xdr:colOff>209550</xdr:colOff>
                <xdr:row>28</xdr:row>
                <xdr:rowOff>57150</xdr:rowOff>
              </to>
            </anchor>
          </objectPr>
        </oleObject>
      </mc:Choice>
      <mc:Fallback>
        <oleObject progId="Equation.3" shapeId="1211422" r:id="rId38"/>
      </mc:Fallback>
    </mc:AlternateContent>
    <mc:AlternateContent xmlns:mc="http://schemas.openxmlformats.org/markup-compatibility/2006">
      <mc:Choice Requires="x14">
        <oleObject progId="Equation.3" shapeId="1211423" r:id="rId39">
          <objectPr defaultSize="0" autoPict="0" altText="" r:id="rId12">
            <anchor moveWithCells="1" sizeWithCells="1">
              <from>
                <xdr:col>17</xdr:col>
                <xdr:colOff>38100</xdr:colOff>
                <xdr:row>26</xdr:row>
                <xdr:rowOff>66675</xdr:rowOff>
              </from>
              <to>
                <xdr:col>17</xdr:col>
                <xdr:colOff>238125</xdr:colOff>
                <xdr:row>28</xdr:row>
                <xdr:rowOff>28575</xdr:rowOff>
              </to>
            </anchor>
          </objectPr>
        </oleObject>
      </mc:Choice>
      <mc:Fallback>
        <oleObject progId="Equation.3" shapeId="1211423" r:id="rId39"/>
      </mc:Fallback>
    </mc:AlternateContent>
    <mc:AlternateContent xmlns:mc="http://schemas.openxmlformats.org/markup-compatibility/2006">
      <mc:Choice Requires="x14">
        <oleObject progId="Equation.3" shapeId="1211424" r:id="rId40">
          <objectPr defaultSize="0" autoPict="0" altText="" r:id="rId4">
            <anchor moveWithCells="1" sizeWithCells="1">
              <from>
                <xdr:col>18</xdr:col>
                <xdr:colOff>57150</xdr:colOff>
                <xdr:row>26</xdr:row>
                <xdr:rowOff>95250</xdr:rowOff>
              </from>
              <to>
                <xdr:col>18</xdr:col>
                <xdr:colOff>171450</xdr:colOff>
                <xdr:row>28</xdr:row>
                <xdr:rowOff>57150</xdr:rowOff>
              </to>
            </anchor>
          </objectPr>
        </oleObject>
      </mc:Choice>
      <mc:Fallback>
        <oleObject progId="Equation.3" shapeId="1211424" r:id="rId40"/>
      </mc:Fallback>
    </mc:AlternateContent>
    <mc:AlternateContent xmlns:mc="http://schemas.openxmlformats.org/markup-compatibility/2006">
      <mc:Choice Requires="x14">
        <oleObject progId="Equation.3" shapeId="1211425" r:id="rId41">
          <objectPr defaultSize="0" autoPict="0" altText="" r:id="rId4">
            <anchor moveWithCells="1" sizeWithCells="1">
              <from>
                <xdr:col>19</xdr:col>
                <xdr:colOff>76200</xdr:colOff>
                <xdr:row>26</xdr:row>
                <xdr:rowOff>114300</xdr:rowOff>
              </from>
              <to>
                <xdr:col>19</xdr:col>
                <xdr:colOff>190500</xdr:colOff>
                <xdr:row>28</xdr:row>
                <xdr:rowOff>66675</xdr:rowOff>
              </to>
            </anchor>
          </objectPr>
        </oleObject>
      </mc:Choice>
      <mc:Fallback>
        <oleObject progId="Equation.3" shapeId="1211425" r:id="rId41"/>
      </mc:Fallback>
    </mc:AlternateContent>
    <mc:AlternateContent xmlns:mc="http://schemas.openxmlformats.org/markup-compatibility/2006">
      <mc:Choice Requires="x14">
        <oleObject progId="Equation.3" shapeId="1211426" r:id="rId42">
          <objectPr defaultSize="0" autoPict="0" altText="" r:id="rId16">
            <anchor moveWithCells="1" sizeWithCells="1">
              <from>
                <xdr:col>20</xdr:col>
                <xdr:colOff>66675</xdr:colOff>
                <xdr:row>26</xdr:row>
                <xdr:rowOff>114300</xdr:rowOff>
              </from>
              <to>
                <xdr:col>20</xdr:col>
                <xdr:colOff>180975</xdr:colOff>
                <xdr:row>28</xdr:row>
                <xdr:rowOff>66675</xdr:rowOff>
              </to>
            </anchor>
          </objectPr>
        </oleObject>
      </mc:Choice>
      <mc:Fallback>
        <oleObject progId="Equation.3" shapeId="1211426" r:id="rId42"/>
      </mc:Fallback>
    </mc:AlternateContent>
    <mc:AlternateContent xmlns:mc="http://schemas.openxmlformats.org/markup-compatibility/2006">
      <mc:Choice Requires="x14">
        <oleObject progId="Equation.3" shapeId="1211427" r:id="rId43">
          <objectPr defaultSize="0" autoPict="0" altText="" r:id="rId16">
            <anchor moveWithCells="1" sizeWithCells="1">
              <from>
                <xdr:col>21</xdr:col>
                <xdr:colOff>57150</xdr:colOff>
                <xdr:row>26</xdr:row>
                <xdr:rowOff>114300</xdr:rowOff>
              </from>
              <to>
                <xdr:col>21</xdr:col>
                <xdr:colOff>171450</xdr:colOff>
                <xdr:row>28</xdr:row>
                <xdr:rowOff>66675</xdr:rowOff>
              </to>
            </anchor>
          </objectPr>
        </oleObject>
      </mc:Choice>
      <mc:Fallback>
        <oleObject progId="Equation.3" shapeId="1211427" r:id="rId43"/>
      </mc:Fallback>
    </mc:AlternateContent>
    <mc:AlternateContent xmlns:mc="http://schemas.openxmlformats.org/markup-compatibility/2006">
      <mc:Choice Requires="x14">
        <oleObject progId="Equation.3" shapeId="1211428" r:id="rId44">
          <objectPr defaultSize="0" autoPict="0" altText="" r:id="rId16">
            <anchor moveWithCells="1" sizeWithCells="1">
              <from>
                <xdr:col>22</xdr:col>
                <xdr:colOff>38100</xdr:colOff>
                <xdr:row>26</xdr:row>
                <xdr:rowOff>133350</xdr:rowOff>
              </from>
              <to>
                <xdr:col>22</xdr:col>
                <xdr:colOff>142875</xdr:colOff>
                <xdr:row>28</xdr:row>
                <xdr:rowOff>66675</xdr:rowOff>
              </to>
            </anchor>
          </objectPr>
        </oleObject>
      </mc:Choice>
      <mc:Fallback>
        <oleObject progId="Equation.3" shapeId="1211428" r:id="rId44"/>
      </mc:Fallback>
    </mc:AlternateContent>
    <mc:AlternateContent xmlns:mc="http://schemas.openxmlformats.org/markup-compatibility/2006">
      <mc:Choice Requires="x14">
        <oleObject progId="Equation.3" shapeId="1211429" r:id="rId45">
          <objectPr defaultSize="0" autoPict="0" altText="" r:id="rId16">
            <anchor moveWithCells="1" sizeWithCells="1">
              <from>
                <xdr:col>23</xdr:col>
                <xdr:colOff>76200</xdr:colOff>
                <xdr:row>26</xdr:row>
                <xdr:rowOff>114300</xdr:rowOff>
              </from>
              <to>
                <xdr:col>23</xdr:col>
                <xdr:colOff>190500</xdr:colOff>
                <xdr:row>28</xdr:row>
                <xdr:rowOff>66675</xdr:rowOff>
              </to>
            </anchor>
          </objectPr>
        </oleObject>
      </mc:Choice>
      <mc:Fallback>
        <oleObject progId="Equation.3" shapeId="1211429" r:id="rId45"/>
      </mc:Fallback>
    </mc:AlternateContent>
    <mc:AlternateContent xmlns:mc="http://schemas.openxmlformats.org/markup-compatibility/2006">
      <mc:Choice Requires="x14">
        <oleObject progId="Equation.3" shapeId="1211430" r:id="rId46">
          <objectPr defaultSize="0" autoPict="0" altText="" r:id="rId16">
            <anchor moveWithCells="1" sizeWithCells="1">
              <from>
                <xdr:col>24</xdr:col>
                <xdr:colOff>38100</xdr:colOff>
                <xdr:row>26</xdr:row>
                <xdr:rowOff>133350</xdr:rowOff>
              </from>
              <to>
                <xdr:col>24</xdr:col>
                <xdr:colOff>142875</xdr:colOff>
                <xdr:row>28</xdr:row>
                <xdr:rowOff>66675</xdr:rowOff>
              </to>
            </anchor>
          </objectPr>
        </oleObject>
      </mc:Choice>
      <mc:Fallback>
        <oleObject progId="Equation.3" shapeId="1211430" r:id="rId46"/>
      </mc:Fallback>
    </mc:AlternateContent>
    <mc:AlternateContent xmlns:mc="http://schemas.openxmlformats.org/markup-compatibility/2006">
      <mc:Choice Requires="x14">
        <oleObject progId="Equation.3" shapeId="1211431" r:id="rId47">
          <objectPr defaultSize="0" autoPict="0" altText="" r:id="rId16">
            <anchor moveWithCells="1" sizeWithCells="1">
              <from>
                <xdr:col>25</xdr:col>
                <xdr:colOff>57150</xdr:colOff>
                <xdr:row>26</xdr:row>
                <xdr:rowOff>142875</xdr:rowOff>
              </from>
              <to>
                <xdr:col>25</xdr:col>
                <xdr:colOff>171450</xdr:colOff>
                <xdr:row>28</xdr:row>
                <xdr:rowOff>104775</xdr:rowOff>
              </to>
            </anchor>
          </objectPr>
        </oleObject>
      </mc:Choice>
      <mc:Fallback>
        <oleObject progId="Equation.3" shapeId="1211431" r:id="rId47"/>
      </mc:Fallback>
    </mc:AlternateContent>
    <mc:AlternateContent xmlns:mc="http://schemas.openxmlformats.org/markup-compatibility/2006">
      <mc:Choice Requires="x14">
        <oleObject progId="Paint.Picture" shapeId="1211432" r:id="rId48">
          <objectPr defaultSize="0" autoPict="0" altText="" r:id="rId49">
            <anchor moveWithCells="1">
              <from>
                <xdr:col>2</xdr:col>
                <xdr:colOff>19050</xdr:colOff>
                <xdr:row>36</xdr:row>
                <xdr:rowOff>133350</xdr:rowOff>
              </from>
              <to>
                <xdr:col>6</xdr:col>
                <xdr:colOff>142875</xdr:colOff>
                <xdr:row>41</xdr:row>
                <xdr:rowOff>66675</xdr:rowOff>
              </to>
            </anchor>
          </objectPr>
        </oleObject>
      </mc:Choice>
      <mc:Fallback>
        <oleObject progId="Paint.Picture" shapeId="1211432" r:id="rId48"/>
      </mc:Fallback>
    </mc:AlternateContent>
    <mc:AlternateContent xmlns:mc="http://schemas.openxmlformats.org/markup-compatibility/2006">
      <mc:Choice Requires="x14">
        <oleObject progId="Equation.3" shapeId="1211433" r:id="rId50">
          <objectPr defaultSize="0" autoPict="0" altText="" r:id="rId51">
            <anchor moveWithCells="1" sizeWithCells="1">
              <from>
                <xdr:col>7</xdr:col>
                <xdr:colOff>76200</xdr:colOff>
                <xdr:row>43</xdr:row>
                <xdr:rowOff>142875</xdr:rowOff>
              </from>
              <to>
                <xdr:col>7</xdr:col>
                <xdr:colOff>190500</xdr:colOff>
                <xdr:row>44</xdr:row>
                <xdr:rowOff>57150</xdr:rowOff>
              </to>
            </anchor>
          </objectPr>
        </oleObject>
      </mc:Choice>
      <mc:Fallback>
        <oleObject progId="Equation.3" shapeId="1211433" r:id="rId50"/>
      </mc:Fallback>
    </mc:AlternateContent>
    <mc:AlternateContent xmlns:mc="http://schemas.openxmlformats.org/markup-compatibility/2006">
      <mc:Choice Requires="x14">
        <oleObject progId="Paint.Picture" shapeId="1211434" r:id="rId52">
          <objectPr defaultSize="0" autoPict="0" altText="" r:id="rId53">
            <anchor moveWithCells="1">
              <from>
                <xdr:col>2</xdr:col>
                <xdr:colOff>152400</xdr:colOff>
                <xdr:row>8</xdr:row>
                <xdr:rowOff>38100</xdr:rowOff>
              </from>
              <to>
                <xdr:col>6</xdr:col>
                <xdr:colOff>19050</xdr:colOff>
                <xdr:row>15</xdr:row>
                <xdr:rowOff>133350</xdr:rowOff>
              </to>
            </anchor>
          </objectPr>
        </oleObject>
      </mc:Choice>
      <mc:Fallback>
        <oleObject progId="Paint.Picture" shapeId="1211434" r:id="rId52"/>
      </mc:Fallback>
    </mc:AlternateContent>
    <mc:AlternateContent xmlns:mc="http://schemas.openxmlformats.org/markup-compatibility/2006">
      <mc:Choice Requires="x14">
        <oleObject progId="Paint.Picture" shapeId="1211435" r:id="rId54">
          <objectPr defaultSize="0" autoPict="0" altText="" r:id="rId55">
            <anchor moveWithCells="1">
              <from>
                <xdr:col>2</xdr:col>
                <xdr:colOff>85725</xdr:colOff>
                <xdr:row>24</xdr:row>
                <xdr:rowOff>19050</xdr:rowOff>
              </from>
              <to>
                <xdr:col>6</xdr:col>
                <xdr:colOff>66675</xdr:colOff>
                <xdr:row>29</xdr:row>
                <xdr:rowOff>0</xdr:rowOff>
              </to>
            </anchor>
          </objectPr>
        </oleObject>
      </mc:Choice>
      <mc:Fallback>
        <oleObject progId="Paint.Picture" shapeId="1211435" r:id="rId54"/>
      </mc:Fallback>
    </mc:AlternateContent>
    <mc:AlternateContent xmlns:mc="http://schemas.openxmlformats.org/markup-compatibility/2006">
      <mc:Choice Requires="x14">
        <oleObject progId="Paint.Picture" shapeId="1211436" r:id="rId56">
          <objectPr defaultSize="0" autoPict="0" altText="" r:id="rId57">
            <anchor moveWithCells="1">
              <from>
                <xdr:col>2</xdr:col>
                <xdr:colOff>133350</xdr:colOff>
                <xdr:row>16</xdr:row>
                <xdr:rowOff>28575</xdr:rowOff>
              </from>
              <to>
                <xdr:col>6</xdr:col>
                <xdr:colOff>38100</xdr:colOff>
                <xdr:row>23</xdr:row>
                <xdr:rowOff>171450</xdr:rowOff>
              </to>
            </anchor>
          </objectPr>
        </oleObject>
      </mc:Choice>
      <mc:Fallback>
        <oleObject progId="Paint.Picture" shapeId="1211436" r:id="rId56"/>
      </mc:Fallback>
    </mc:AlternateContent>
    <mc:AlternateContent xmlns:mc="http://schemas.openxmlformats.org/markup-compatibility/2006">
      <mc:Choice Requires="x14">
        <oleObject progId="Paint.Picture" shapeId="1211437" r:id="rId58">
          <objectPr defaultSize="0" autoPict="0" altText="" r:id="rId59">
            <anchor moveWithCells="1">
              <from>
                <xdr:col>2</xdr:col>
                <xdr:colOff>66675</xdr:colOff>
                <xdr:row>29</xdr:row>
                <xdr:rowOff>200025</xdr:rowOff>
              </from>
              <to>
                <xdr:col>6</xdr:col>
                <xdr:colOff>171450</xdr:colOff>
                <xdr:row>34</xdr:row>
                <xdr:rowOff>171450</xdr:rowOff>
              </to>
            </anchor>
          </objectPr>
        </oleObject>
      </mc:Choice>
      <mc:Fallback>
        <oleObject progId="Paint.Picture" shapeId="1211437" r:id="rId58"/>
      </mc:Fallback>
    </mc:AlternateContent>
    <mc:AlternateContent xmlns:mc="http://schemas.openxmlformats.org/markup-compatibility/2006">
      <mc:Choice Requires="x14">
        <oleObject progId="Paint.Picture" shapeId="1211438" r:id="rId60">
          <objectPr defaultSize="0" autoPict="0" altText="" r:id="rId61">
            <anchor moveWithCells="1">
              <from>
                <xdr:col>2</xdr:col>
                <xdr:colOff>66675</xdr:colOff>
                <xdr:row>42</xdr:row>
                <xdr:rowOff>104775</xdr:rowOff>
              </from>
              <to>
                <xdr:col>6</xdr:col>
                <xdr:colOff>152400</xdr:colOff>
                <xdr:row>47</xdr:row>
                <xdr:rowOff>133350</xdr:rowOff>
              </to>
            </anchor>
          </objectPr>
        </oleObject>
      </mc:Choice>
      <mc:Fallback>
        <oleObject progId="Paint.Picture" shapeId="1211438" r:id="rId60"/>
      </mc:Fallback>
    </mc:AlternateContent>
  </oleObjects>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70"/>
  <sheetViews>
    <sheetView workbookViewId="0">
      <selection activeCell="X7" sqref="X7:Z11"/>
    </sheetView>
  </sheetViews>
  <sheetFormatPr defaultColWidth="8" defaultRowHeight="16.5"/>
  <cols>
    <col min="1" max="26" width="3.25" style="1441" customWidth="1"/>
    <col min="27" max="16384" width="8" style="1441"/>
  </cols>
  <sheetData>
    <row r="1" spans="1:26" ht="20.25">
      <c r="A1" s="3807" t="s">
        <v>12726</v>
      </c>
      <c r="B1" s="3761"/>
      <c r="C1" s="3761"/>
      <c r="D1" s="3761"/>
      <c r="E1" s="3761"/>
      <c r="F1" s="3761"/>
      <c r="G1" s="3761"/>
      <c r="H1" s="3744" t="s">
        <v>8095</v>
      </c>
      <c r="I1" s="3744"/>
      <c r="J1" s="3744"/>
      <c r="K1" s="3744"/>
      <c r="L1" s="3744"/>
      <c r="M1" s="3744"/>
      <c r="N1" s="3744"/>
      <c r="O1" s="3744"/>
      <c r="P1" s="3744"/>
      <c r="Q1" s="3744"/>
      <c r="R1" s="3744"/>
      <c r="S1" s="3744"/>
      <c r="T1" s="3744"/>
      <c r="U1" s="3745" t="s">
        <v>8096</v>
      </c>
      <c r="V1" s="3745"/>
      <c r="W1" s="3745"/>
      <c r="X1" s="3745"/>
      <c r="Y1" s="3745"/>
      <c r="Z1" s="3746"/>
    </row>
    <row r="2" spans="1:26">
      <c r="A2" s="3808"/>
      <c r="B2" s="3747"/>
      <c r="C2" s="3747"/>
      <c r="D2" s="3747"/>
      <c r="E2" s="3747"/>
      <c r="F2" s="3747"/>
      <c r="G2" s="3747"/>
      <c r="H2" s="3747" t="s">
        <v>8168</v>
      </c>
      <c r="I2" s="3747"/>
      <c r="J2" s="3747"/>
      <c r="K2" s="3747"/>
      <c r="L2" s="3747"/>
      <c r="M2" s="3747"/>
      <c r="N2" s="3747"/>
      <c r="O2" s="3747"/>
      <c r="P2" s="3747"/>
      <c r="Q2" s="3747"/>
      <c r="R2" s="3747"/>
      <c r="S2" s="3747"/>
      <c r="T2" s="3747"/>
      <c r="U2" s="3748" t="s">
        <v>8097</v>
      </c>
      <c r="V2" s="3748"/>
      <c r="W2" s="3748"/>
      <c r="X2" s="3748" t="s">
        <v>8098</v>
      </c>
      <c r="Y2" s="3748"/>
      <c r="Z2" s="3749"/>
    </row>
    <row r="3" spans="1:26">
      <c r="A3" s="1747"/>
      <c r="B3" s="1748"/>
      <c r="C3" s="1748"/>
      <c r="D3" s="1748"/>
      <c r="E3" s="1748"/>
      <c r="F3" s="1748"/>
      <c r="G3" s="1748"/>
      <c r="H3" s="1748"/>
      <c r="I3" s="1748"/>
      <c r="J3" s="1748"/>
      <c r="K3" s="1748"/>
      <c r="L3" s="1748"/>
      <c r="M3" s="1748"/>
      <c r="N3" s="1748"/>
      <c r="O3" s="1748"/>
      <c r="P3" s="1748"/>
      <c r="Q3" s="1748"/>
      <c r="R3" s="1748"/>
      <c r="S3" s="1748"/>
      <c r="T3" s="1748"/>
      <c r="U3" s="1748"/>
      <c r="V3" s="1748"/>
      <c r="W3" s="1748"/>
      <c r="X3" s="1748"/>
      <c r="Y3" s="1748"/>
      <c r="Z3" s="1772"/>
    </row>
    <row r="4" spans="1:26">
      <c r="A4" s="3750" t="s">
        <v>8169</v>
      </c>
      <c r="B4" s="3848"/>
      <c r="C4" s="3848"/>
      <c r="D4" s="3848"/>
      <c r="E4" s="3848"/>
      <c r="F4" s="3848"/>
      <c r="G4" s="3848"/>
      <c r="H4" s="3848"/>
      <c r="I4" s="3848"/>
      <c r="J4" s="3848"/>
      <c r="K4" s="3848"/>
      <c r="L4" s="3848"/>
      <c r="M4" s="3848"/>
      <c r="N4" s="3848"/>
      <c r="O4" s="1766"/>
      <c r="P4" s="1766"/>
      <c r="Q4" s="1766"/>
      <c r="R4" s="1766"/>
      <c r="S4" s="1766"/>
      <c r="T4" s="1766"/>
      <c r="U4" s="1766"/>
      <c r="V4" s="1766"/>
      <c r="W4" s="1766"/>
      <c r="X4" s="1766"/>
      <c r="Y4" s="1766"/>
      <c r="Z4" s="1773"/>
    </row>
    <row r="5" spans="1:26">
      <c r="A5" s="1813"/>
      <c r="B5" s="1799"/>
      <c r="C5" s="1137"/>
      <c r="D5" s="1752"/>
      <c r="E5" s="1137"/>
      <c r="F5" s="1752"/>
      <c r="G5" s="1752"/>
      <c r="H5" s="1752"/>
      <c r="I5" s="1137"/>
      <c r="J5" s="1752"/>
      <c r="K5" s="1752"/>
      <c r="L5" s="1752"/>
      <c r="M5" s="1752"/>
      <c r="N5" s="1137"/>
      <c r="O5" s="1752"/>
      <c r="P5" s="1752"/>
      <c r="Q5" s="1752"/>
      <c r="R5" s="1752"/>
      <c r="S5" s="1137"/>
      <c r="T5" s="1752"/>
      <c r="U5" s="1752"/>
      <c r="V5" s="1752"/>
      <c r="W5" s="1137"/>
      <c r="X5" s="1752"/>
      <c r="Y5" s="1137"/>
      <c r="Z5" s="1775"/>
    </row>
    <row r="6" spans="1:26">
      <c r="A6" s="1813"/>
      <c r="B6" s="1799"/>
      <c r="C6" s="1799"/>
      <c r="D6" s="1799"/>
      <c r="E6" s="1799"/>
      <c r="F6" s="1799"/>
      <c r="G6" s="1799"/>
      <c r="H6" s="1799"/>
      <c r="I6" s="1799"/>
      <c r="J6" s="1799"/>
      <c r="K6" s="1799"/>
      <c r="L6" s="1799"/>
      <c r="M6" s="1799"/>
      <c r="N6" s="1799"/>
      <c r="O6" s="1799"/>
      <c r="P6" s="1799"/>
      <c r="Q6" s="1799"/>
      <c r="R6" s="1799"/>
      <c r="S6" s="1799"/>
      <c r="T6" s="1799"/>
      <c r="U6" s="1799"/>
      <c r="V6" s="1799"/>
      <c r="W6" s="1799"/>
      <c r="X6" s="1799"/>
      <c r="Y6" s="1799"/>
      <c r="Z6" s="1810"/>
    </row>
    <row r="7" spans="1:26">
      <c r="A7" s="1813"/>
      <c r="B7" s="1799"/>
      <c r="C7" s="1799"/>
      <c r="D7" s="1799"/>
      <c r="E7" s="1799"/>
      <c r="F7" s="1799"/>
      <c r="G7" s="1799"/>
      <c r="H7" s="1799"/>
      <c r="I7" s="1799"/>
      <c r="J7" s="1799"/>
      <c r="K7" s="1799"/>
      <c r="L7" s="1799"/>
      <c r="M7" s="1799"/>
      <c r="N7" s="1799"/>
      <c r="O7" s="1799"/>
      <c r="P7" s="1799"/>
      <c r="Q7" s="1799"/>
      <c r="R7" s="1799"/>
      <c r="S7" s="1799"/>
      <c r="T7" s="1799"/>
      <c r="U7" s="1799"/>
      <c r="V7" s="1799"/>
      <c r="W7" s="1799"/>
      <c r="X7" s="3361" t="s">
        <v>12727</v>
      </c>
      <c r="Y7" s="3361"/>
      <c r="Z7" s="3361"/>
    </row>
    <row r="8" spans="1:26">
      <c r="A8" s="1814"/>
      <c r="B8" s="1753"/>
      <c r="C8" s="1753"/>
      <c r="D8" s="1753"/>
      <c r="E8" s="1137"/>
      <c r="F8" s="1137"/>
      <c r="G8" s="1815"/>
      <c r="H8" s="1815"/>
      <c r="I8" s="1137"/>
      <c r="J8" s="1137"/>
      <c r="K8" s="1137"/>
      <c r="L8" s="1137"/>
      <c r="M8" s="1137"/>
      <c r="N8" s="1137"/>
      <c r="O8" s="1137"/>
      <c r="P8" s="1137"/>
      <c r="Q8" s="1137"/>
      <c r="R8" s="1137"/>
      <c r="S8" s="1137"/>
      <c r="T8" s="1137"/>
      <c r="U8" s="1137"/>
      <c r="V8" s="1137"/>
      <c r="W8" s="1761"/>
      <c r="X8" s="3361"/>
      <c r="Y8" s="3361"/>
      <c r="Z8" s="3361"/>
    </row>
    <row r="9" spans="1:26">
      <c r="A9" s="1814"/>
      <c r="B9" s="1753"/>
      <c r="C9" s="1753"/>
      <c r="D9" s="1753"/>
      <c r="E9" s="1137"/>
      <c r="F9" s="1137"/>
      <c r="G9" s="1815"/>
      <c r="H9" s="1815"/>
      <c r="I9" s="1137"/>
      <c r="J9" s="1137"/>
      <c r="K9" s="1137"/>
      <c r="L9" s="1137"/>
      <c r="M9" s="1137"/>
      <c r="N9" s="1137"/>
      <c r="O9" s="1137"/>
      <c r="P9" s="1137"/>
      <c r="Q9" s="1137"/>
      <c r="R9" s="1137"/>
      <c r="S9" s="1137"/>
      <c r="T9" s="1137"/>
      <c r="U9" s="1137"/>
      <c r="V9" s="1137"/>
      <c r="W9" s="1761"/>
      <c r="X9" s="3361"/>
      <c r="Y9" s="3361"/>
      <c r="Z9" s="3361"/>
    </row>
    <row r="10" spans="1:26">
      <c r="A10" s="1814"/>
      <c r="B10" s="1753"/>
      <c r="C10" s="1753"/>
      <c r="D10" s="1753"/>
      <c r="E10" s="1137"/>
      <c r="F10" s="1137"/>
      <c r="G10" s="1815"/>
      <c r="H10" s="1815"/>
      <c r="I10" s="1137"/>
      <c r="J10" s="1137"/>
      <c r="K10" s="1137"/>
      <c r="L10" s="1137"/>
      <c r="M10" s="1137"/>
      <c r="N10" s="1137"/>
      <c r="O10" s="1137"/>
      <c r="P10" s="1137"/>
      <c r="Q10" s="1137"/>
      <c r="R10" s="1137"/>
      <c r="S10" s="1137"/>
      <c r="T10" s="1137"/>
      <c r="U10" s="1137"/>
      <c r="V10" s="1137"/>
      <c r="W10" s="1761"/>
      <c r="X10" s="3361"/>
      <c r="Y10" s="3361"/>
      <c r="Z10" s="3361"/>
    </row>
    <row r="11" spans="1:26">
      <c r="A11" s="1814"/>
      <c r="B11" s="1753"/>
      <c r="C11" s="1753"/>
      <c r="D11" s="1753"/>
      <c r="E11" s="1137"/>
      <c r="F11" s="1137"/>
      <c r="G11" s="1815"/>
      <c r="H11" s="1815"/>
      <c r="I11" s="1137"/>
      <c r="J11" s="1137"/>
      <c r="K11" s="1137"/>
      <c r="L11" s="1137"/>
      <c r="M11" s="1137"/>
      <c r="N11" s="1137"/>
      <c r="O11" s="1137"/>
      <c r="P11" s="1137"/>
      <c r="Q11" s="1137"/>
      <c r="R11" s="1137"/>
      <c r="S11" s="1137"/>
      <c r="T11" s="1137"/>
      <c r="U11" s="1137"/>
      <c r="V11" s="1137"/>
      <c r="W11" s="1761"/>
      <c r="X11" s="3361"/>
      <c r="Y11" s="3361"/>
      <c r="Z11" s="3361"/>
    </row>
    <row r="12" spans="1:26">
      <c r="A12" s="1814"/>
      <c r="B12" s="1753"/>
      <c r="C12" s="1753"/>
      <c r="D12" s="1753"/>
      <c r="E12" s="1137"/>
      <c r="F12" s="1137"/>
      <c r="G12" s="1137"/>
      <c r="H12" s="1137"/>
      <c r="I12" s="1137"/>
      <c r="J12" s="1137"/>
      <c r="K12" s="1137"/>
      <c r="L12" s="1137"/>
      <c r="M12" s="1137"/>
      <c r="N12" s="1137"/>
      <c r="O12" s="1137"/>
      <c r="P12" s="1137"/>
      <c r="Q12" s="1137"/>
      <c r="R12" s="1137"/>
      <c r="S12" s="1137"/>
      <c r="T12" s="1137"/>
      <c r="U12" s="1137"/>
      <c r="V12" s="1137"/>
      <c r="W12" s="1761"/>
      <c r="X12" s="1761"/>
      <c r="Y12" s="1761"/>
      <c r="Z12" s="1821"/>
    </row>
    <row r="13" spans="1:26">
      <c r="A13" s="1814"/>
      <c r="B13" s="1753"/>
      <c r="C13" s="1753"/>
      <c r="D13" s="1753"/>
      <c r="E13" s="1137"/>
      <c r="F13" s="1137"/>
      <c r="G13" s="1137"/>
      <c r="H13" s="1137"/>
      <c r="I13" s="1137"/>
      <c r="J13" s="1137"/>
      <c r="K13" s="1137"/>
      <c r="L13" s="1137"/>
      <c r="M13" s="1137"/>
      <c r="N13" s="1137"/>
      <c r="O13" s="1137"/>
      <c r="P13" s="1137"/>
      <c r="Q13" s="1137"/>
      <c r="R13" s="1137"/>
      <c r="S13" s="1137"/>
      <c r="T13" s="1137"/>
      <c r="U13" s="1137"/>
      <c r="V13" s="1137"/>
      <c r="W13" s="1761"/>
      <c r="X13" s="1761"/>
      <c r="Y13" s="1761"/>
      <c r="Z13" s="1821"/>
    </row>
    <row r="14" spans="1:26">
      <c r="A14" s="1814"/>
      <c r="B14" s="1753"/>
      <c r="C14" s="1753"/>
      <c r="D14" s="1753"/>
      <c r="E14" s="1137"/>
      <c r="F14" s="1137"/>
      <c r="G14" s="1137"/>
      <c r="H14" s="1137"/>
      <c r="I14" s="1137"/>
      <c r="J14" s="1137"/>
      <c r="K14" s="1137"/>
      <c r="L14" s="1137"/>
      <c r="M14" s="1137"/>
      <c r="N14" s="1137"/>
      <c r="O14" s="1137"/>
      <c r="P14" s="1137"/>
      <c r="Q14" s="1137"/>
      <c r="R14" s="1137"/>
      <c r="S14" s="1137"/>
      <c r="T14" s="1137"/>
      <c r="U14" s="1137"/>
      <c r="V14" s="1137"/>
      <c r="W14" s="1761"/>
      <c r="X14" s="1761"/>
      <c r="Y14" s="1761"/>
      <c r="Z14" s="1821"/>
    </row>
    <row r="15" spans="1:26">
      <c r="A15" s="1814"/>
      <c r="B15" s="1753"/>
      <c r="C15" s="1753"/>
      <c r="D15" s="1753"/>
      <c r="E15" s="1137"/>
      <c r="F15" s="1137"/>
      <c r="G15" s="1137"/>
      <c r="H15" s="1137"/>
      <c r="I15" s="1137"/>
      <c r="J15" s="1137"/>
      <c r="K15" s="1137"/>
      <c r="L15" s="1137"/>
      <c r="M15" s="1137"/>
      <c r="N15" s="1137"/>
      <c r="O15" s="1137"/>
      <c r="P15" s="1137"/>
      <c r="Q15" s="1137"/>
      <c r="R15" s="1137"/>
      <c r="S15" s="1137"/>
      <c r="T15" s="1137"/>
      <c r="U15" s="1137"/>
      <c r="V15" s="1137"/>
      <c r="W15" s="1761"/>
      <c r="X15" s="1761"/>
      <c r="Y15" s="1761"/>
      <c r="Z15" s="1821"/>
    </row>
    <row r="16" spans="1:26">
      <c r="A16" s="1814"/>
      <c r="B16" s="1753"/>
      <c r="C16" s="1753"/>
      <c r="D16" s="1753"/>
      <c r="E16" s="1137"/>
      <c r="F16" s="1137"/>
      <c r="G16" s="1137"/>
      <c r="H16" s="1137"/>
      <c r="I16" s="1137"/>
      <c r="J16" s="1137"/>
      <c r="K16" s="1137"/>
      <c r="L16" s="1137"/>
      <c r="M16" s="1137"/>
      <c r="N16" s="1137"/>
      <c r="O16" s="1137"/>
      <c r="P16" s="1137"/>
      <c r="Q16" s="1137"/>
      <c r="R16" s="1137"/>
      <c r="S16" s="1137"/>
      <c r="T16" s="1137"/>
      <c r="U16" s="1137"/>
      <c r="V16" s="1137"/>
      <c r="W16" s="1761"/>
      <c r="X16" s="1761"/>
      <c r="Y16" s="1761"/>
      <c r="Z16" s="1821"/>
    </row>
    <row r="17" spans="1:26">
      <c r="A17" s="1814"/>
      <c r="B17" s="1753"/>
      <c r="C17" s="1753"/>
      <c r="D17" s="1753"/>
      <c r="E17" s="1137"/>
      <c r="F17" s="1137"/>
      <c r="G17" s="1137"/>
      <c r="H17" s="1137"/>
      <c r="I17" s="1137"/>
      <c r="J17" s="1137"/>
      <c r="K17" s="1137"/>
      <c r="L17" s="1137"/>
      <c r="M17" s="1137"/>
      <c r="N17" s="1137"/>
      <c r="O17" s="1137"/>
      <c r="P17" s="1137"/>
      <c r="Q17" s="1137"/>
      <c r="R17" s="1137"/>
      <c r="S17" s="1137"/>
      <c r="T17" s="1137"/>
      <c r="U17" s="1137"/>
      <c r="V17" s="1137"/>
      <c r="W17" s="1761"/>
      <c r="X17" s="1761"/>
      <c r="Y17" s="1761"/>
      <c r="Z17" s="1821"/>
    </row>
    <row r="18" spans="1:26">
      <c r="A18" s="1814"/>
      <c r="B18" s="1753"/>
      <c r="C18" s="1753"/>
      <c r="D18" s="1753"/>
      <c r="E18" s="1137"/>
      <c r="F18" s="1137"/>
      <c r="G18" s="1137"/>
      <c r="H18" s="1137"/>
      <c r="I18" s="1137"/>
      <c r="J18" s="1137"/>
      <c r="K18" s="1137"/>
      <c r="L18" s="1137"/>
      <c r="M18" s="1137"/>
      <c r="N18" s="1137"/>
      <c r="O18" s="1137"/>
      <c r="P18" s="1137"/>
      <c r="Q18" s="1137"/>
      <c r="R18" s="1137"/>
      <c r="S18" s="1137"/>
      <c r="T18" s="1137"/>
      <c r="U18" s="1137"/>
      <c r="V18" s="1137"/>
      <c r="W18" s="1761"/>
      <c r="X18" s="1761"/>
      <c r="Y18" s="1761"/>
      <c r="Z18" s="1821"/>
    </row>
    <row r="19" spans="1:26">
      <c r="A19" s="1814"/>
      <c r="B19" s="1753"/>
      <c r="C19" s="1753"/>
      <c r="D19" s="1753"/>
      <c r="E19" s="1137"/>
      <c r="F19" s="1137"/>
      <c r="G19" s="1137"/>
      <c r="H19" s="1137"/>
      <c r="I19" s="1137"/>
      <c r="J19" s="1137"/>
      <c r="K19" s="1137"/>
      <c r="L19" s="1137"/>
      <c r="M19" s="1137"/>
      <c r="N19" s="1137"/>
      <c r="O19" s="1137"/>
      <c r="P19" s="1137"/>
      <c r="Q19" s="1137"/>
      <c r="R19" s="1137"/>
      <c r="S19" s="1137"/>
      <c r="T19" s="1137"/>
      <c r="U19" s="1137"/>
      <c r="V19" s="1137"/>
      <c r="W19" s="1761"/>
      <c r="X19" s="1761"/>
      <c r="Y19" s="1761"/>
      <c r="Z19" s="1821"/>
    </row>
    <row r="20" spans="1:26">
      <c r="A20" s="1814"/>
      <c r="B20" s="1753"/>
      <c r="C20" s="1753"/>
      <c r="D20" s="1753"/>
      <c r="E20" s="1137"/>
      <c r="F20" s="1137"/>
      <c r="G20" s="1137"/>
      <c r="H20" s="1137"/>
      <c r="I20" s="1137"/>
      <c r="J20" s="1137"/>
      <c r="K20" s="1137"/>
      <c r="L20" s="1137"/>
      <c r="M20" s="1137"/>
      <c r="N20" s="1137"/>
      <c r="O20" s="1137"/>
      <c r="P20" s="1137"/>
      <c r="Q20" s="1137"/>
      <c r="R20" s="1137"/>
      <c r="S20" s="1137"/>
      <c r="T20" s="1137"/>
      <c r="U20" s="1137"/>
      <c r="V20" s="1137"/>
      <c r="W20" s="1761"/>
      <c r="X20" s="1761"/>
      <c r="Y20" s="1761"/>
      <c r="Z20" s="1821"/>
    </row>
    <row r="21" spans="1:26" ht="18" customHeight="1">
      <c r="A21" s="1795"/>
      <c r="B21" s="1796"/>
      <c r="C21" s="1796"/>
      <c r="D21" s="1796"/>
      <c r="E21" s="1796"/>
      <c r="F21" s="1796"/>
      <c r="G21" s="1796"/>
      <c r="H21" s="1796"/>
      <c r="I21" s="1796"/>
      <c r="J21" s="1796"/>
      <c r="K21" s="1796"/>
      <c r="L21" s="1796"/>
      <c r="M21" s="1796"/>
      <c r="N21" s="1796"/>
      <c r="O21" s="1796"/>
      <c r="P21" s="1796"/>
      <c r="Q21" s="1796"/>
      <c r="R21" s="1796"/>
      <c r="S21" s="1796"/>
      <c r="T21" s="1796"/>
      <c r="U21" s="1796"/>
      <c r="V21" s="1796"/>
      <c r="W21" s="1796"/>
      <c r="X21" s="1796"/>
      <c r="Y21" s="1796"/>
      <c r="Z21" s="1809"/>
    </row>
    <row r="22" spans="1:26" ht="14.25" customHeight="1">
      <c r="A22" s="1795"/>
      <c r="B22" s="1796"/>
      <c r="C22" s="1796"/>
      <c r="D22" s="1796"/>
      <c r="E22" s="1796"/>
      <c r="F22" s="1796"/>
      <c r="G22" s="1796"/>
      <c r="H22" s="1796"/>
      <c r="I22" s="1796"/>
      <c r="J22" s="1796"/>
      <c r="K22" s="1796"/>
      <c r="L22" s="1796"/>
      <c r="M22" s="1796"/>
      <c r="N22" s="1796"/>
      <c r="O22" s="1796"/>
      <c r="P22" s="1796"/>
      <c r="Q22" s="1796"/>
      <c r="R22" s="1796"/>
      <c r="S22" s="1796"/>
      <c r="T22" s="1796"/>
      <c r="U22" s="1796"/>
      <c r="V22" s="1796"/>
      <c r="W22" s="1796"/>
      <c r="X22" s="1796"/>
      <c r="Y22" s="1796"/>
      <c r="Z22" s="1809"/>
    </row>
    <row r="23" spans="1:26">
      <c r="A23" s="3851" t="s">
        <v>8170</v>
      </c>
      <c r="B23" s="3852"/>
      <c r="C23" s="3852" t="s">
        <v>8171</v>
      </c>
      <c r="D23" s="3852"/>
      <c r="E23" s="3852"/>
      <c r="F23" s="3852"/>
      <c r="G23" s="3852"/>
      <c r="H23" s="3852"/>
      <c r="I23" s="3852" t="s">
        <v>8172</v>
      </c>
      <c r="J23" s="3852"/>
      <c r="K23" s="3852"/>
      <c r="L23" s="3852"/>
      <c r="M23" s="3852"/>
      <c r="N23" s="3852"/>
      <c r="O23" s="3852" t="s">
        <v>8173</v>
      </c>
      <c r="P23" s="3852"/>
      <c r="Q23" s="3852"/>
      <c r="R23" s="3852"/>
      <c r="S23" s="3852"/>
      <c r="T23" s="3852"/>
      <c r="U23" s="3852" t="s">
        <v>8174</v>
      </c>
      <c r="V23" s="3852"/>
      <c r="W23" s="3852"/>
      <c r="X23" s="3852"/>
      <c r="Y23" s="3852"/>
      <c r="Z23" s="3886"/>
    </row>
    <row r="24" spans="1:26">
      <c r="A24" s="3832"/>
      <c r="B24" s="3837"/>
      <c r="C24" s="3837"/>
      <c r="D24" s="3837"/>
      <c r="E24" s="3837"/>
      <c r="F24" s="3837"/>
      <c r="G24" s="3837"/>
      <c r="H24" s="3837"/>
      <c r="I24" s="3837"/>
      <c r="J24" s="3837"/>
      <c r="K24" s="3837"/>
      <c r="L24" s="3837"/>
      <c r="M24" s="3837"/>
      <c r="N24" s="3837"/>
      <c r="O24" s="3837"/>
      <c r="P24" s="3837"/>
      <c r="Q24" s="3837"/>
      <c r="R24" s="3837"/>
      <c r="S24" s="3837"/>
      <c r="T24" s="3837"/>
      <c r="U24" s="3837"/>
      <c r="V24" s="3837"/>
      <c r="W24" s="3837"/>
      <c r="X24" s="3837"/>
      <c r="Y24" s="3837"/>
      <c r="Z24" s="3850"/>
    </row>
    <row r="25" spans="1:26">
      <c r="A25" s="3832"/>
      <c r="B25" s="3837"/>
      <c r="C25" s="3837"/>
      <c r="D25" s="3837"/>
      <c r="E25" s="3837"/>
      <c r="F25" s="3837"/>
      <c r="G25" s="3837"/>
      <c r="H25" s="3837"/>
      <c r="I25" s="3849"/>
      <c r="J25" s="3837"/>
      <c r="K25" s="3837"/>
      <c r="L25" s="3837"/>
      <c r="M25" s="3837"/>
      <c r="N25" s="3837"/>
      <c r="O25" s="3849"/>
      <c r="P25" s="3837"/>
      <c r="Q25" s="3837"/>
      <c r="R25" s="3837"/>
      <c r="S25" s="3837"/>
      <c r="T25" s="3837"/>
      <c r="U25" s="3849"/>
      <c r="V25" s="3837"/>
      <c r="W25" s="3837"/>
      <c r="X25" s="3837"/>
      <c r="Y25" s="3837"/>
      <c r="Z25" s="3850"/>
    </row>
    <row r="26" spans="1:26" ht="18.75" customHeight="1">
      <c r="A26" s="3854" t="s">
        <v>6343</v>
      </c>
      <c r="B26" s="3855"/>
      <c r="C26" s="3856">
        <v>0.5</v>
      </c>
      <c r="D26" s="3857"/>
      <c r="E26" s="3856">
        <v>2</v>
      </c>
      <c r="F26" s="3857"/>
      <c r="G26" s="3862">
        <v>2</v>
      </c>
      <c r="H26" s="3863"/>
      <c r="I26" s="3783">
        <v>4</v>
      </c>
      <c r="J26" s="3783"/>
      <c r="K26" s="3783">
        <v>3</v>
      </c>
      <c r="L26" s="3783"/>
      <c r="M26" s="3783">
        <v>5</v>
      </c>
      <c r="N26" s="3783"/>
      <c r="O26" s="3783">
        <v>6</v>
      </c>
      <c r="P26" s="3783"/>
      <c r="Q26" s="3783">
        <v>5</v>
      </c>
      <c r="R26" s="3783"/>
      <c r="S26" s="3783">
        <v>7</v>
      </c>
      <c r="T26" s="3783"/>
      <c r="U26" s="3783">
        <v>11</v>
      </c>
      <c r="V26" s="3783"/>
      <c r="W26" s="3783">
        <v>10</v>
      </c>
      <c r="X26" s="3783"/>
      <c r="Y26" s="3764">
        <v>12</v>
      </c>
      <c r="Z26" s="3853"/>
    </row>
    <row r="27" spans="1:26" ht="18.75" customHeight="1">
      <c r="A27" s="3854" t="s">
        <v>8175</v>
      </c>
      <c r="B27" s="3855"/>
      <c r="C27" s="3856">
        <v>0.7</v>
      </c>
      <c r="D27" s="3857"/>
      <c r="E27" s="3858">
        <v>2.5</v>
      </c>
      <c r="F27" s="3859"/>
      <c r="G27" s="3864"/>
      <c r="H27" s="3865"/>
      <c r="I27" s="3783">
        <v>5.5</v>
      </c>
      <c r="J27" s="3783"/>
      <c r="K27" s="3783">
        <v>4</v>
      </c>
      <c r="L27" s="3783"/>
      <c r="M27" s="3783">
        <v>7</v>
      </c>
      <c r="N27" s="3783"/>
      <c r="O27" s="3783">
        <v>8</v>
      </c>
      <c r="P27" s="3783"/>
      <c r="Q27" s="3783">
        <v>7</v>
      </c>
      <c r="R27" s="3783"/>
      <c r="S27" s="3783">
        <v>10</v>
      </c>
      <c r="T27" s="3783"/>
      <c r="U27" s="3783">
        <v>15</v>
      </c>
      <c r="V27" s="3783"/>
      <c r="W27" s="3783">
        <v>13</v>
      </c>
      <c r="X27" s="3783"/>
      <c r="Y27" s="3764">
        <v>16</v>
      </c>
      <c r="Z27" s="3853"/>
    </row>
    <row r="28" spans="1:26" ht="18.75" customHeight="1">
      <c r="A28" s="3854" t="s">
        <v>8176</v>
      </c>
      <c r="B28" s="3855"/>
      <c r="C28" s="3856">
        <v>0.8</v>
      </c>
      <c r="D28" s="3857"/>
      <c r="E28" s="3860"/>
      <c r="F28" s="3861"/>
      <c r="G28" s="3866"/>
      <c r="H28" s="3867"/>
      <c r="I28" s="3783">
        <v>6.5</v>
      </c>
      <c r="J28" s="3783"/>
      <c r="K28" s="3783">
        <v>5</v>
      </c>
      <c r="L28" s="3783"/>
      <c r="M28" s="3783">
        <v>8</v>
      </c>
      <c r="N28" s="3783"/>
      <c r="O28" s="3783">
        <v>10</v>
      </c>
      <c r="P28" s="3783"/>
      <c r="Q28" s="3783">
        <v>8</v>
      </c>
      <c r="R28" s="3783"/>
      <c r="S28" s="3783">
        <v>11</v>
      </c>
      <c r="T28" s="3783"/>
      <c r="U28" s="3783">
        <v>18.5</v>
      </c>
      <c r="V28" s="3783"/>
      <c r="W28" s="3783">
        <v>16</v>
      </c>
      <c r="X28" s="3783"/>
      <c r="Y28" s="3764">
        <v>19</v>
      </c>
      <c r="Z28" s="3853"/>
    </row>
    <row r="29" spans="1:26">
      <c r="A29" s="3854" t="s">
        <v>8177</v>
      </c>
      <c r="B29" s="3855"/>
      <c r="C29" s="3856">
        <v>1</v>
      </c>
      <c r="D29" s="3857"/>
      <c r="E29" s="3856">
        <v>3.5</v>
      </c>
      <c r="F29" s="3857"/>
      <c r="G29" s="3858">
        <v>3</v>
      </c>
      <c r="H29" s="3859"/>
      <c r="I29" s="3783">
        <v>8</v>
      </c>
      <c r="J29" s="3783"/>
      <c r="K29" s="3783">
        <v>6</v>
      </c>
      <c r="L29" s="3783"/>
      <c r="M29" s="3783">
        <v>10</v>
      </c>
      <c r="N29" s="3783"/>
      <c r="O29" s="3783">
        <v>12</v>
      </c>
      <c r="P29" s="3783"/>
      <c r="Q29" s="3783">
        <v>10</v>
      </c>
      <c r="R29" s="3783"/>
      <c r="S29" s="3783">
        <v>14</v>
      </c>
      <c r="T29" s="3783"/>
      <c r="U29" s="3783">
        <v>22</v>
      </c>
      <c r="V29" s="3783"/>
      <c r="W29" s="3783">
        <v>19</v>
      </c>
      <c r="X29" s="3783"/>
      <c r="Y29" s="3764">
        <v>23</v>
      </c>
      <c r="Z29" s="3853"/>
    </row>
    <row r="30" spans="1:26">
      <c r="A30" s="3854" t="s">
        <v>8178</v>
      </c>
      <c r="B30" s="3855"/>
      <c r="C30" s="3856">
        <v>1.25</v>
      </c>
      <c r="D30" s="3857"/>
      <c r="E30" s="3856">
        <v>4</v>
      </c>
      <c r="F30" s="3857"/>
      <c r="G30" s="3860"/>
      <c r="H30" s="3861"/>
      <c r="I30" s="3783">
        <v>10</v>
      </c>
      <c r="J30" s="3783"/>
      <c r="K30" s="3783">
        <v>8</v>
      </c>
      <c r="L30" s="3783"/>
      <c r="M30" s="3783">
        <v>13</v>
      </c>
      <c r="N30" s="3783"/>
      <c r="O30" s="3783">
        <v>15</v>
      </c>
      <c r="P30" s="3783"/>
      <c r="Q30" s="3783">
        <v>12</v>
      </c>
      <c r="R30" s="3783"/>
      <c r="S30" s="3783">
        <v>17</v>
      </c>
      <c r="T30" s="3783"/>
      <c r="U30" s="3783">
        <v>26</v>
      </c>
      <c r="V30" s="3783"/>
      <c r="W30" s="3783">
        <v>22</v>
      </c>
      <c r="X30" s="3783"/>
      <c r="Y30" s="3764">
        <v>27</v>
      </c>
      <c r="Z30" s="3853"/>
    </row>
    <row r="31" spans="1:26">
      <c r="A31" s="3854" t="s">
        <v>8179</v>
      </c>
      <c r="B31" s="3855"/>
      <c r="C31" s="3856">
        <v>1.5</v>
      </c>
      <c r="D31" s="3857"/>
      <c r="E31" s="3856">
        <v>4.5</v>
      </c>
      <c r="F31" s="3857"/>
      <c r="G31" s="3858">
        <v>4</v>
      </c>
      <c r="H31" s="3859"/>
      <c r="I31" s="3783">
        <v>12</v>
      </c>
      <c r="J31" s="3783"/>
      <c r="K31" s="3783">
        <v>10</v>
      </c>
      <c r="L31" s="3783"/>
      <c r="M31" s="3783">
        <v>16</v>
      </c>
      <c r="N31" s="3783"/>
      <c r="O31" s="3783">
        <v>18</v>
      </c>
      <c r="P31" s="3783"/>
      <c r="Q31" s="3783">
        <v>15</v>
      </c>
      <c r="R31" s="3783"/>
      <c r="S31" s="3783">
        <v>21</v>
      </c>
      <c r="T31" s="3783"/>
      <c r="U31" s="3783">
        <v>35</v>
      </c>
      <c r="V31" s="3783"/>
      <c r="W31" s="3783">
        <v>28</v>
      </c>
      <c r="X31" s="3783"/>
      <c r="Y31" s="3764">
        <v>34</v>
      </c>
      <c r="Z31" s="3853"/>
    </row>
    <row r="32" spans="1:26">
      <c r="A32" s="3854" t="s">
        <v>8180</v>
      </c>
      <c r="B32" s="3855"/>
      <c r="C32" s="3856">
        <v>1.75</v>
      </c>
      <c r="D32" s="3857"/>
      <c r="E32" s="3856">
        <v>5.5</v>
      </c>
      <c r="F32" s="3857"/>
      <c r="G32" s="3860"/>
      <c r="H32" s="3861"/>
      <c r="I32" s="3783">
        <v>15</v>
      </c>
      <c r="J32" s="3783"/>
      <c r="K32" s="3783">
        <v>12</v>
      </c>
      <c r="L32" s="3783"/>
      <c r="M32" s="3783">
        <v>19</v>
      </c>
      <c r="N32" s="3783"/>
      <c r="O32" s="3783">
        <v>22</v>
      </c>
      <c r="P32" s="3783"/>
      <c r="Q32" s="3783">
        <v>18</v>
      </c>
      <c r="R32" s="3783"/>
      <c r="S32" s="3783">
        <v>25</v>
      </c>
      <c r="T32" s="3783"/>
      <c r="U32" s="3783">
        <v>38</v>
      </c>
      <c r="V32" s="3783"/>
      <c r="W32" s="3783">
        <v>33</v>
      </c>
      <c r="X32" s="3783"/>
      <c r="Y32" s="3764">
        <v>40</v>
      </c>
      <c r="Z32" s="3853"/>
    </row>
    <row r="33" spans="1:26">
      <c r="A33" s="3854" t="s">
        <v>8181</v>
      </c>
      <c r="B33" s="3855"/>
      <c r="C33" s="3858">
        <v>2</v>
      </c>
      <c r="D33" s="3859"/>
      <c r="E33" s="3858">
        <v>6</v>
      </c>
      <c r="F33" s="3859"/>
      <c r="G33" s="3858">
        <v>5</v>
      </c>
      <c r="H33" s="3859"/>
      <c r="I33" s="3783">
        <v>18</v>
      </c>
      <c r="J33" s="3783"/>
      <c r="K33" s="3783">
        <v>14</v>
      </c>
      <c r="L33" s="3783"/>
      <c r="M33" s="3783">
        <v>22</v>
      </c>
      <c r="N33" s="3783"/>
      <c r="O33" s="3783">
        <v>24</v>
      </c>
      <c r="P33" s="3783"/>
      <c r="Q33" s="3783">
        <v>20</v>
      </c>
      <c r="R33" s="3783"/>
      <c r="S33" s="3783">
        <v>28</v>
      </c>
      <c r="T33" s="3783"/>
      <c r="U33" s="3783">
        <v>42</v>
      </c>
      <c r="V33" s="3783"/>
      <c r="W33" s="3783">
        <v>37</v>
      </c>
      <c r="X33" s="3783"/>
      <c r="Y33" s="3764">
        <v>45</v>
      </c>
      <c r="Z33" s="3853"/>
    </row>
    <row r="34" spans="1:26">
      <c r="A34" s="3854" t="s">
        <v>8182</v>
      </c>
      <c r="B34" s="3855"/>
      <c r="C34" s="3860"/>
      <c r="D34" s="3861"/>
      <c r="E34" s="3860"/>
      <c r="F34" s="3861"/>
      <c r="G34" s="3887"/>
      <c r="H34" s="3888"/>
      <c r="I34" s="3783">
        <v>20</v>
      </c>
      <c r="J34" s="3783"/>
      <c r="K34" s="3783">
        <v>16</v>
      </c>
      <c r="L34" s="3783"/>
      <c r="M34" s="3783">
        <v>24</v>
      </c>
      <c r="N34" s="3783"/>
      <c r="O34" s="3783">
        <v>26</v>
      </c>
      <c r="P34" s="3783"/>
      <c r="Q34" s="3783">
        <v>22</v>
      </c>
      <c r="R34" s="3783"/>
      <c r="S34" s="3783">
        <v>30</v>
      </c>
      <c r="T34" s="3783"/>
      <c r="U34" s="3783">
        <v>50</v>
      </c>
      <c r="V34" s="3783"/>
      <c r="W34" s="3783">
        <v>42</v>
      </c>
      <c r="X34" s="3783"/>
      <c r="Y34" s="3764">
        <v>50</v>
      </c>
      <c r="Z34" s="3853"/>
    </row>
    <row r="35" spans="1:26">
      <c r="A35" s="3854" t="s">
        <v>8183</v>
      </c>
      <c r="B35" s="3855"/>
      <c r="C35" s="3858">
        <v>2.5</v>
      </c>
      <c r="D35" s="3859"/>
      <c r="E35" s="3858">
        <v>7</v>
      </c>
      <c r="F35" s="3859"/>
      <c r="G35" s="3887"/>
      <c r="H35" s="3888"/>
      <c r="I35" s="3783">
        <v>22</v>
      </c>
      <c r="J35" s="3783"/>
      <c r="K35" s="3783">
        <v>18</v>
      </c>
      <c r="L35" s="3783"/>
      <c r="M35" s="3783">
        <v>28</v>
      </c>
      <c r="N35" s="3783"/>
      <c r="O35" s="3783">
        <v>29</v>
      </c>
      <c r="P35" s="3783"/>
      <c r="Q35" s="3783">
        <v>25</v>
      </c>
      <c r="R35" s="3783"/>
      <c r="S35" s="3783">
        <v>35</v>
      </c>
      <c r="T35" s="3783"/>
      <c r="U35" s="3783">
        <v>55</v>
      </c>
      <c r="V35" s="3783"/>
      <c r="W35" s="3783">
        <v>46</v>
      </c>
      <c r="X35" s="3783"/>
      <c r="Y35" s="3764">
        <v>56</v>
      </c>
      <c r="Z35" s="3853"/>
    </row>
    <row r="36" spans="1:26">
      <c r="A36" s="3854" t="s">
        <v>8184</v>
      </c>
      <c r="B36" s="3855"/>
      <c r="C36" s="3887"/>
      <c r="D36" s="3888"/>
      <c r="E36" s="3887"/>
      <c r="F36" s="3888"/>
      <c r="G36" s="3887"/>
      <c r="H36" s="3888"/>
      <c r="I36" s="3783">
        <v>24</v>
      </c>
      <c r="J36" s="3783"/>
      <c r="K36" s="3783">
        <v>20</v>
      </c>
      <c r="L36" s="3783"/>
      <c r="M36" s="3783">
        <v>30</v>
      </c>
      <c r="N36" s="3783"/>
      <c r="O36" s="3783">
        <v>32</v>
      </c>
      <c r="P36" s="3783"/>
      <c r="Q36" s="3783">
        <v>28</v>
      </c>
      <c r="R36" s="3783"/>
      <c r="S36" s="3783">
        <v>38</v>
      </c>
      <c r="T36" s="3783"/>
      <c r="U36" s="3783">
        <v>60</v>
      </c>
      <c r="V36" s="3783"/>
      <c r="W36" s="3783">
        <v>52</v>
      </c>
      <c r="X36" s="3783"/>
      <c r="Y36" s="3764">
        <v>62</v>
      </c>
      <c r="Z36" s="3853"/>
    </row>
    <row r="37" spans="1:26">
      <c r="A37" s="3854" t="s">
        <v>8185</v>
      </c>
      <c r="B37" s="3855"/>
      <c r="C37" s="3860"/>
      <c r="D37" s="3861"/>
      <c r="E37" s="3860"/>
      <c r="F37" s="3861"/>
      <c r="G37" s="3860"/>
      <c r="H37" s="3861"/>
      <c r="I37" s="3783">
        <v>27</v>
      </c>
      <c r="J37" s="3783"/>
      <c r="K37" s="3783">
        <v>22</v>
      </c>
      <c r="L37" s="3783"/>
      <c r="M37" s="3783">
        <v>32</v>
      </c>
      <c r="N37" s="3783"/>
      <c r="O37" s="3783">
        <v>36</v>
      </c>
      <c r="P37" s="3783"/>
      <c r="Q37" s="3783">
        <v>31</v>
      </c>
      <c r="R37" s="3783"/>
      <c r="S37" s="3783">
        <v>41</v>
      </c>
      <c r="T37" s="3783"/>
      <c r="U37" s="3783">
        <v>65</v>
      </c>
      <c r="V37" s="3783"/>
      <c r="W37" s="3783">
        <v>58</v>
      </c>
      <c r="X37" s="3783"/>
      <c r="Y37" s="3764">
        <v>68</v>
      </c>
      <c r="Z37" s="3853"/>
    </row>
    <row r="38" spans="1:26">
      <c r="A38" s="3854" t="s">
        <v>8186</v>
      </c>
      <c r="B38" s="3855"/>
      <c r="C38" s="3858">
        <v>3</v>
      </c>
      <c r="D38" s="3859"/>
      <c r="E38" s="3858">
        <v>8</v>
      </c>
      <c r="F38" s="3859"/>
      <c r="G38" s="3858">
        <v>6</v>
      </c>
      <c r="H38" s="3859"/>
      <c r="I38" s="3783">
        <v>30</v>
      </c>
      <c r="J38" s="3783"/>
      <c r="K38" s="3783">
        <v>24</v>
      </c>
      <c r="L38" s="3783"/>
      <c r="M38" s="3783">
        <v>36</v>
      </c>
      <c r="N38" s="3783"/>
      <c r="O38" s="3783">
        <v>42</v>
      </c>
      <c r="P38" s="3783"/>
      <c r="Q38" s="3783">
        <v>35</v>
      </c>
      <c r="R38" s="3783"/>
      <c r="S38" s="3783">
        <v>47</v>
      </c>
      <c r="T38" s="3783"/>
      <c r="U38" s="3783">
        <v>75</v>
      </c>
      <c r="V38" s="3783"/>
      <c r="W38" s="3783">
        <v>65</v>
      </c>
      <c r="X38" s="3783"/>
      <c r="Y38" s="3764">
        <v>77</v>
      </c>
      <c r="Z38" s="3853"/>
    </row>
    <row r="39" spans="1:26">
      <c r="A39" s="3854" t="s">
        <v>8187</v>
      </c>
      <c r="B39" s="3855"/>
      <c r="C39" s="3860"/>
      <c r="D39" s="3861"/>
      <c r="E39" s="3860"/>
      <c r="F39" s="3861"/>
      <c r="G39" s="3860"/>
      <c r="H39" s="3861"/>
      <c r="I39" s="3783">
        <v>32</v>
      </c>
      <c r="J39" s="3783"/>
      <c r="K39" s="3783">
        <v>27</v>
      </c>
      <c r="L39" s="3783"/>
      <c r="M39" s="3783">
        <v>39</v>
      </c>
      <c r="N39" s="3783"/>
      <c r="O39" s="3783">
        <v>45</v>
      </c>
      <c r="P39" s="3783"/>
      <c r="Q39" s="3783">
        <v>38</v>
      </c>
      <c r="R39" s="3783"/>
      <c r="S39" s="3783">
        <v>50</v>
      </c>
      <c r="T39" s="3783"/>
      <c r="U39" s="3783">
        <v>80</v>
      </c>
      <c r="V39" s="3783"/>
      <c r="W39" s="3783">
        <v>70</v>
      </c>
      <c r="X39" s="3783"/>
      <c r="Y39" s="3764">
        <v>82</v>
      </c>
      <c r="Z39" s="3853"/>
    </row>
    <row r="40" spans="1:26">
      <c r="A40" s="3854" t="s">
        <v>8188</v>
      </c>
      <c r="B40" s="3855"/>
      <c r="C40" s="3856">
        <v>3.5</v>
      </c>
      <c r="D40" s="3857"/>
      <c r="E40" s="3856">
        <v>9</v>
      </c>
      <c r="F40" s="3857"/>
      <c r="G40" s="3868">
        <v>7</v>
      </c>
      <c r="H40" s="3869"/>
      <c r="I40" s="3783">
        <v>35</v>
      </c>
      <c r="J40" s="3783"/>
      <c r="K40" s="3783">
        <v>30</v>
      </c>
      <c r="L40" s="3783"/>
      <c r="M40" s="3783">
        <v>44</v>
      </c>
      <c r="N40" s="3783"/>
      <c r="O40" s="3783">
        <v>48</v>
      </c>
      <c r="P40" s="3783"/>
      <c r="Q40" s="3783">
        <v>42</v>
      </c>
      <c r="R40" s="3783"/>
      <c r="S40" s="3783">
        <v>56</v>
      </c>
      <c r="T40" s="3783"/>
      <c r="U40" s="3783">
        <v>90</v>
      </c>
      <c r="V40" s="3783"/>
      <c r="W40" s="3783">
        <v>78</v>
      </c>
      <c r="X40" s="3783"/>
      <c r="Y40" s="3764">
        <v>92</v>
      </c>
      <c r="Z40" s="3853"/>
    </row>
    <row r="41" spans="1:26">
      <c r="A41" s="3854" t="s">
        <v>8189</v>
      </c>
      <c r="B41" s="3855"/>
      <c r="C41" s="3856">
        <v>4</v>
      </c>
      <c r="D41" s="3857"/>
      <c r="E41" s="3856">
        <v>10</v>
      </c>
      <c r="F41" s="3857"/>
      <c r="G41" s="3875">
        <v>10</v>
      </c>
      <c r="H41" s="3876"/>
      <c r="I41" s="3783">
        <v>42</v>
      </c>
      <c r="J41" s="3783"/>
      <c r="K41" s="3783">
        <v>36</v>
      </c>
      <c r="L41" s="3783"/>
      <c r="M41" s="3783">
        <v>52</v>
      </c>
      <c r="N41" s="3783"/>
      <c r="O41" s="3783">
        <v>56</v>
      </c>
      <c r="P41" s="3783"/>
      <c r="Q41" s="3783">
        <v>50</v>
      </c>
      <c r="R41" s="3783"/>
      <c r="S41" s="3783">
        <v>66</v>
      </c>
      <c r="T41" s="3783"/>
      <c r="U41" s="3783">
        <v>105</v>
      </c>
      <c r="V41" s="3783"/>
      <c r="W41" s="3783">
        <v>90</v>
      </c>
      <c r="X41" s="3783"/>
      <c r="Y41" s="3764">
        <v>106</v>
      </c>
      <c r="Z41" s="3853"/>
    </row>
    <row r="42" spans="1:26">
      <c r="A42" s="3854" t="s">
        <v>812</v>
      </c>
      <c r="B42" s="3855"/>
      <c r="C42" s="3856">
        <v>4.5</v>
      </c>
      <c r="D42" s="3857"/>
      <c r="E42" s="3856">
        <v>11</v>
      </c>
      <c r="F42" s="3857"/>
      <c r="G42" s="3877"/>
      <c r="H42" s="3878"/>
      <c r="I42" s="3783">
        <v>48</v>
      </c>
      <c r="J42" s="3783"/>
      <c r="K42" s="3783">
        <v>42</v>
      </c>
      <c r="L42" s="3783"/>
      <c r="M42" s="3783">
        <v>60</v>
      </c>
      <c r="N42" s="3783"/>
      <c r="O42" s="3783">
        <v>64</v>
      </c>
      <c r="P42" s="3783"/>
      <c r="Q42" s="3783">
        <v>58</v>
      </c>
      <c r="R42" s="3783"/>
      <c r="S42" s="3783">
        <v>75</v>
      </c>
      <c r="T42" s="3783"/>
      <c r="U42" s="3783">
        <v>115</v>
      </c>
      <c r="V42" s="3783"/>
      <c r="W42" s="3783">
        <v>105</v>
      </c>
      <c r="X42" s="3783"/>
      <c r="Y42" s="3764">
        <v>123</v>
      </c>
      <c r="Z42" s="3853"/>
    </row>
    <row r="43" spans="1:26">
      <c r="A43" s="3854" t="s">
        <v>8190</v>
      </c>
      <c r="B43" s="3855"/>
      <c r="C43" s="3856">
        <v>5</v>
      </c>
      <c r="D43" s="3857"/>
      <c r="E43" s="3856">
        <v>13</v>
      </c>
      <c r="F43" s="3857"/>
      <c r="G43" s="3870">
        <v>12</v>
      </c>
      <c r="H43" s="3871"/>
      <c r="I43" s="3872">
        <v>55</v>
      </c>
      <c r="J43" s="3872"/>
      <c r="K43" s="3872">
        <v>48</v>
      </c>
      <c r="L43" s="3872"/>
      <c r="M43" s="3872">
        <v>68</v>
      </c>
      <c r="N43" s="3872"/>
      <c r="O43" s="3872">
        <v>72</v>
      </c>
      <c r="P43" s="3872"/>
      <c r="Q43" s="3872">
        <v>65</v>
      </c>
      <c r="R43" s="3872"/>
      <c r="S43" s="3872">
        <v>85</v>
      </c>
      <c r="T43" s="3872"/>
      <c r="U43" s="3872">
        <v>130</v>
      </c>
      <c r="V43" s="3872"/>
      <c r="W43" s="3872">
        <v>120</v>
      </c>
      <c r="X43" s="3872"/>
      <c r="Y43" s="3873">
        <v>140</v>
      </c>
      <c r="Z43" s="3874"/>
    </row>
    <row r="44" spans="1:26" ht="13.5" customHeight="1">
      <c r="A44" s="3879" t="s">
        <v>8191</v>
      </c>
      <c r="B44" s="3880"/>
      <c r="C44" s="3880"/>
      <c r="D44" s="3880"/>
      <c r="E44" s="3880"/>
      <c r="F44" s="3880"/>
      <c r="G44" s="3880"/>
      <c r="H44" s="3880"/>
      <c r="I44" s="3880"/>
      <c r="J44" s="3880"/>
      <c r="K44" s="3880"/>
      <c r="L44" s="3880"/>
      <c r="M44" s="3880"/>
      <c r="N44" s="3880"/>
      <c r="O44" s="3880"/>
      <c r="P44" s="3880"/>
      <c r="Q44" s="3880"/>
      <c r="R44" s="3880"/>
      <c r="S44" s="3880"/>
      <c r="T44" s="3880"/>
      <c r="U44" s="3880"/>
      <c r="V44" s="3880"/>
      <c r="W44" s="3880"/>
      <c r="X44" s="3880"/>
      <c r="Y44" s="3880"/>
      <c r="Z44" s="3881"/>
    </row>
    <row r="45" spans="1:26" ht="13.5" customHeight="1">
      <c r="A45" s="3882"/>
      <c r="B45" s="3880"/>
      <c r="C45" s="3880"/>
      <c r="D45" s="3880"/>
      <c r="E45" s="3880"/>
      <c r="F45" s="3880"/>
      <c r="G45" s="3880"/>
      <c r="H45" s="3880"/>
      <c r="I45" s="3880"/>
      <c r="J45" s="3880"/>
      <c r="K45" s="3880"/>
      <c r="L45" s="3880"/>
      <c r="M45" s="3880"/>
      <c r="N45" s="3880"/>
      <c r="O45" s="3880"/>
      <c r="P45" s="3880"/>
      <c r="Q45" s="3880"/>
      <c r="R45" s="3880"/>
      <c r="S45" s="3880"/>
      <c r="T45" s="3880"/>
      <c r="U45" s="3880"/>
      <c r="V45" s="3880"/>
      <c r="W45" s="3880"/>
      <c r="X45" s="3880"/>
      <c r="Y45" s="3880"/>
      <c r="Z45" s="3881"/>
    </row>
    <row r="46" spans="1:26" ht="13.5" customHeight="1">
      <c r="A46" s="3882"/>
      <c r="B46" s="3880"/>
      <c r="C46" s="3880"/>
      <c r="D46" s="3880"/>
      <c r="E46" s="3880"/>
      <c r="F46" s="3880"/>
      <c r="G46" s="3880"/>
      <c r="H46" s="3880"/>
      <c r="I46" s="3880"/>
      <c r="J46" s="3880"/>
      <c r="K46" s="3880"/>
      <c r="L46" s="3880"/>
      <c r="M46" s="3880"/>
      <c r="N46" s="3880"/>
      <c r="O46" s="3880"/>
      <c r="P46" s="3880"/>
      <c r="Q46" s="3880"/>
      <c r="R46" s="3880"/>
      <c r="S46" s="3880"/>
      <c r="T46" s="3880"/>
      <c r="U46" s="3880"/>
      <c r="V46" s="3880"/>
      <c r="W46" s="3880"/>
      <c r="X46" s="3880"/>
      <c r="Y46" s="3880"/>
      <c r="Z46" s="3881"/>
    </row>
    <row r="47" spans="1:26" ht="13.5" customHeight="1">
      <c r="A47" s="3883"/>
      <c r="B47" s="3884"/>
      <c r="C47" s="3884"/>
      <c r="D47" s="3884"/>
      <c r="E47" s="3884"/>
      <c r="F47" s="3884"/>
      <c r="G47" s="3884"/>
      <c r="H47" s="3884"/>
      <c r="I47" s="3884"/>
      <c r="J47" s="3884"/>
      <c r="K47" s="3884"/>
      <c r="L47" s="3884"/>
      <c r="M47" s="3884"/>
      <c r="N47" s="3884"/>
      <c r="O47" s="3884"/>
      <c r="P47" s="3884"/>
      <c r="Q47" s="3884"/>
      <c r="R47" s="3884"/>
      <c r="S47" s="3884"/>
      <c r="T47" s="3884"/>
      <c r="U47" s="3884"/>
      <c r="V47" s="3884"/>
      <c r="W47" s="3884"/>
      <c r="X47" s="3884"/>
      <c r="Y47" s="3884"/>
      <c r="Z47" s="3885"/>
    </row>
    <row r="48" spans="1:26">
      <c r="A48" s="3760" t="s">
        <v>8160</v>
      </c>
      <c r="B48" s="3761"/>
      <c r="C48" s="3761"/>
      <c r="D48" s="3761"/>
      <c r="E48" s="3761"/>
      <c r="F48" s="3761"/>
      <c r="G48" s="3761"/>
      <c r="H48" s="3761" t="s">
        <v>8161</v>
      </c>
      <c r="I48" s="3761"/>
      <c r="J48" s="3761"/>
      <c r="K48" s="3761" t="s">
        <v>8162</v>
      </c>
      <c r="L48" s="3761"/>
      <c r="M48" s="3761"/>
      <c r="N48" s="3761"/>
      <c r="O48" s="3761"/>
      <c r="P48" s="3761"/>
      <c r="Q48" s="3761"/>
      <c r="R48" s="3761"/>
      <c r="S48" s="3761"/>
      <c r="T48" s="3761"/>
      <c r="U48" s="3761" t="s">
        <v>8163</v>
      </c>
      <c r="V48" s="3761"/>
      <c r="W48" s="3761"/>
      <c r="X48" s="3761"/>
      <c r="Y48" s="3761"/>
      <c r="Z48" s="3762"/>
    </row>
    <row r="49" spans="1:26">
      <c r="A49" s="3809" t="s">
        <v>8192</v>
      </c>
      <c r="B49" s="3810"/>
      <c r="C49" s="3810"/>
      <c r="D49" s="3810"/>
      <c r="E49" s="3810"/>
      <c r="F49" s="3810"/>
      <c r="G49" s="3811"/>
      <c r="H49" s="3763"/>
      <c r="I49" s="3763"/>
      <c r="J49" s="3763"/>
      <c r="K49" s="3763" t="s">
        <v>8165</v>
      </c>
      <c r="L49" s="3763"/>
      <c r="M49" s="3763" t="s">
        <v>5928</v>
      </c>
      <c r="N49" s="3763"/>
      <c r="O49" s="3763" t="s">
        <v>7453</v>
      </c>
      <c r="P49" s="3763"/>
      <c r="Q49" s="3763" t="s">
        <v>5930</v>
      </c>
      <c r="R49" s="3763"/>
      <c r="S49" s="3763" t="s">
        <v>4554</v>
      </c>
      <c r="T49" s="3763"/>
      <c r="U49" s="3763"/>
      <c r="V49" s="3763"/>
      <c r="W49" s="3763"/>
      <c r="X49" s="3763"/>
      <c r="Y49" s="3763"/>
      <c r="Z49" s="3815"/>
    </row>
    <row r="50" spans="1:26">
      <c r="A50" s="3812"/>
      <c r="B50" s="3813"/>
      <c r="C50" s="3813"/>
      <c r="D50" s="3813"/>
      <c r="E50" s="3813"/>
      <c r="F50" s="3813"/>
      <c r="G50" s="3814"/>
      <c r="H50" s="3747"/>
      <c r="I50" s="3747"/>
      <c r="J50" s="3747"/>
      <c r="K50" s="3747" t="s">
        <v>8166</v>
      </c>
      <c r="L50" s="3747"/>
      <c r="M50" s="3747"/>
      <c r="N50" s="3747"/>
      <c r="O50" s="3747"/>
      <c r="P50" s="3747"/>
      <c r="Q50" s="3747"/>
      <c r="R50" s="3747"/>
      <c r="S50" s="3747"/>
      <c r="T50" s="3747"/>
      <c r="U50" s="3747"/>
      <c r="V50" s="3747"/>
      <c r="W50" s="3747"/>
      <c r="X50" s="3747"/>
      <c r="Y50" s="3747"/>
      <c r="Z50" s="3816"/>
    </row>
    <row r="51" spans="1:26">
      <c r="A51" s="1766"/>
      <c r="B51" s="1766"/>
      <c r="C51" s="1766"/>
      <c r="D51" s="1766"/>
      <c r="E51" s="1766"/>
      <c r="F51" s="1766"/>
      <c r="G51" s="1766"/>
      <c r="H51" s="1766"/>
      <c r="I51" s="1766"/>
      <c r="J51" s="1766"/>
      <c r="K51" s="1766"/>
      <c r="L51" s="1766"/>
      <c r="M51" s="1766"/>
      <c r="N51" s="1766"/>
      <c r="O51" s="1766"/>
      <c r="P51" s="1766"/>
      <c r="Q51" s="1766"/>
      <c r="R51" s="1766"/>
      <c r="S51" s="1766"/>
      <c r="T51" s="1766"/>
      <c r="U51" s="1766"/>
      <c r="V51" s="1766"/>
      <c r="W51" s="1766"/>
      <c r="X51" s="1766"/>
      <c r="Y51" s="1766"/>
      <c r="Z51" s="1766"/>
    </row>
    <row r="52" spans="1:26">
      <c r="A52" s="1766"/>
      <c r="B52" s="1766"/>
      <c r="C52" s="1766"/>
      <c r="D52" s="1766"/>
      <c r="E52" s="1766"/>
      <c r="F52" s="1766"/>
      <c r="G52" s="1766"/>
      <c r="H52" s="1766"/>
      <c r="I52" s="1766"/>
      <c r="J52" s="1766"/>
      <c r="K52" s="1766"/>
      <c r="L52" s="1766"/>
      <c r="M52" s="1766"/>
      <c r="N52" s="1766"/>
      <c r="O52" s="1766"/>
      <c r="P52" s="1766"/>
      <c r="Q52" s="1766"/>
      <c r="R52" s="1766"/>
      <c r="S52" s="1766"/>
      <c r="T52" s="1766"/>
      <c r="U52" s="1766"/>
      <c r="V52" s="1766"/>
      <c r="W52" s="1766"/>
      <c r="X52" s="1766"/>
      <c r="Y52" s="1766"/>
      <c r="Z52" s="1766"/>
    </row>
    <row r="53" spans="1:26">
      <c r="A53" s="1766"/>
      <c r="B53" s="1766"/>
      <c r="C53" s="1766"/>
      <c r="D53" s="1766"/>
      <c r="E53" s="1766"/>
      <c r="F53" s="1766"/>
      <c r="G53" s="1766"/>
      <c r="H53" s="1766"/>
      <c r="I53" s="1766"/>
      <c r="J53" s="1766"/>
      <c r="K53" s="1766"/>
      <c r="L53" s="1766"/>
      <c r="M53" s="1766"/>
      <c r="N53" s="1766"/>
      <c r="O53" s="1766"/>
      <c r="P53" s="1766"/>
      <c r="Q53" s="1766"/>
      <c r="R53" s="1766"/>
      <c r="S53" s="1766"/>
      <c r="T53" s="1766"/>
      <c r="U53" s="1766"/>
      <c r="V53" s="1766"/>
      <c r="W53" s="1766"/>
      <c r="X53" s="1766"/>
      <c r="Y53" s="1766"/>
      <c r="Z53" s="1766"/>
    </row>
    <row r="54" spans="1:26">
      <c r="A54" s="1766"/>
      <c r="B54" s="1766"/>
      <c r="C54" s="1766"/>
      <c r="D54" s="1766"/>
      <c r="E54" s="1766"/>
      <c r="F54" s="1766"/>
      <c r="G54" s="1766"/>
      <c r="H54" s="1766"/>
      <c r="I54" s="1766"/>
      <c r="J54" s="1766"/>
      <c r="K54" s="1766"/>
      <c r="L54" s="1766"/>
      <c r="M54" s="1766"/>
      <c r="N54" s="1766"/>
      <c r="O54" s="1766"/>
      <c r="P54" s="1766"/>
      <c r="Q54" s="1766"/>
      <c r="R54" s="1766"/>
      <c r="S54" s="1766"/>
      <c r="T54" s="1766"/>
      <c r="U54" s="1766"/>
      <c r="V54" s="1766"/>
      <c r="W54" s="1766"/>
      <c r="X54" s="1766"/>
      <c r="Y54" s="1766"/>
      <c r="Z54" s="1766"/>
    </row>
    <row r="55" spans="1:26">
      <c r="A55" s="1766"/>
      <c r="B55" s="1766"/>
      <c r="C55" s="1766"/>
      <c r="D55" s="1766"/>
      <c r="E55" s="1766"/>
      <c r="F55" s="1766"/>
      <c r="G55" s="1766"/>
      <c r="H55" s="1766"/>
      <c r="I55" s="1766"/>
      <c r="J55" s="1766"/>
      <c r="K55" s="1766"/>
      <c r="L55" s="1766"/>
      <c r="M55" s="1766"/>
      <c r="N55" s="1766"/>
      <c r="O55" s="1766"/>
      <c r="P55" s="1766"/>
      <c r="Q55" s="1766"/>
      <c r="R55" s="1766"/>
      <c r="S55" s="1766"/>
      <c r="T55" s="1766"/>
      <c r="U55" s="1766"/>
      <c r="V55" s="1766"/>
      <c r="W55" s="1766"/>
      <c r="X55" s="1766"/>
      <c r="Y55" s="1766"/>
      <c r="Z55" s="1766"/>
    </row>
    <row r="56" spans="1:26">
      <c r="A56" s="1766"/>
      <c r="B56" s="1766"/>
      <c r="C56" s="1766"/>
      <c r="D56" s="1766"/>
      <c r="E56" s="1766"/>
      <c r="F56" s="1766"/>
      <c r="G56" s="1766"/>
      <c r="H56" s="1766"/>
      <c r="I56" s="1766"/>
      <c r="J56" s="1766"/>
      <c r="K56" s="1766"/>
      <c r="L56" s="1766"/>
      <c r="M56" s="1766"/>
      <c r="N56" s="1766"/>
      <c r="O56" s="1766"/>
      <c r="P56" s="1766"/>
      <c r="Q56" s="1766"/>
      <c r="R56" s="1766"/>
      <c r="S56" s="1766"/>
      <c r="T56" s="1766"/>
      <c r="U56" s="1766"/>
      <c r="V56" s="1766"/>
      <c r="W56" s="1766"/>
      <c r="X56" s="1766"/>
      <c r="Y56" s="1766"/>
      <c r="Z56" s="1766"/>
    </row>
    <row r="57" spans="1:26">
      <c r="A57" s="1766"/>
      <c r="B57" s="1766"/>
      <c r="C57" s="1766"/>
      <c r="D57" s="1766"/>
      <c r="E57" s="1766"/>
      <c r="F57" s="1766"/>
      <c r="G57" s="1766"/>
      <c r="H57" s="1766"/>
      <c r="I57" s="1766"/>
      <c r="J57" s="1766"/>
      <c r="K57" s="1766"/>
      <c r="L57" s="1766"/>
      <c r="M57" s="1766"/>
      <c r="N57" s="1766"/>
      <c r="O57" s="1766"/>
      <c r="P57" s="1766"/>
      <c r="Q57" s="1766"/>
      <c r="R57" s="1766"/>
      <c r="S57" s="1766"/>
      <c r="T57" s="1766"/>
      <c r="U57" s="1766"/>
      <c r="V57" s="1766"/>
      <c r="W57" s="1766"/>
      <c r="X57" s="1766"/>
      <c r="Y57" s="1766"/>
      <c r="Z57" s="1766"/>
    </row>
    <row r="58" spans="1:26">
      <c r="A58" s="1766"/>
      <c r="B58" s="1766"/>
      <c r="C58" s="1766"/>
      <c r="D58" s="1766"/>
      <c r="E58" s="1766"/>
      <c r="F58" s="1766"/>
      <c r="G58" s="1766"/>
      <c r="H58" s="1766"/>
      <c r="I58" s="1766"/>
      <c r="J58" s="1766"/>
      <c r="K58" s="1766"/>
      <c r="L58" s="1766"/>
      <c r="M58" s="1766"/>
      <c r="N58" s="1766"/>
      <c r="O58" s="1766"/>
      <c r="P58" s="1766"/>
      <c r="Q58" s="1766"/>
      <c r="R58" s="1766"/>
      <c r="S58" s="1766"/>
      <c r="T58" s="1766"/>
      <c r="U58" s="1766"/>
      <c r="V58" s="1766"/>
      <c r="W58" s="1766"/>
      <c r="X58" s="1766"/>
      <c r="Y58" s="1766"/>
      <c r="Z58" s="1766"/>
    </row>
    <row r="59" spans="1:26">
      <c r="A59" s="1766"/>
      <c r="B59" s="1766"/>
      <c r="C59" s="1766"/>
      <c r="D59" s="1766"/>
      <c r="E59" s="1766"/>
      <c r="F59" s="1766"/>
      <c r="G59" s="1766"/>
      <c r="H59" s="1766"/>
      <c r="I59" s="1766"/>
      <c r="J59" s="1766"/>
      <c r="K59" s="1766"/>
      <c r="L59" s="1766"/>
      <c r="M59" s="1766"/>
      <c r="N59" s="1766"/>
      <c r="O59" s="1766"/>
      <c r="P59" s="1766"/>
      <c r="Q59" s="1766"/>
      <c r="R59" s="1766"/>
      <c r="S59" s="1766"/>
      <c r="T59" s="1766"/>
      <c r="U59" s="1766"/>
      <c r="V59" s="1766"/>
      <c r="W59" s="1766"/>
      <c r="X59" s="1766"/>
      <c r="Y59" s="1766"/>
      <c r="Z59" s="1766"/>
    </row>
    <row r="60" spans="1:26">
      <c r="A60" s="1766"/>
      <c r="B60" s="1766"/>
      <c r="C60" s="1766"/>
      <c r="D60" s="1766"/>
      <c r="E60" s="1766"/>
      <c r="F60" s="1766"/>
      <c r="G60" s="1766"/>
      <c r="H60" s="1766"/>
      <c r="I60" s="1766"/>
      <c r="J60" s="1766"/>
      <c r="K60" s="1766"/>
      <c r="L60" s="1766"/>
      <c r="M60" s="1766"/>
      <c r="N60" s="1766"/>
      <c r="O60" s="1766"/>
      <c r="P60" s="1766"/>
      <c r="Q60" s="1766"/>
      <c r="R60" s="1766"/>
      <c r="S60" s="1766"/>
      <c r="T60" s="1766"/>
      <c r="U60" s="1766"/>
      <c r="V60" s="1766"/>
      <c r="W60" s="1766"/>
      <c r="X60" s="1766"/>
      <c r="Y60" s="1766"/>
      <c r="Z60" s="1766"/>
    </row>
    <row r="61" spans="1:26">
      <c r="A61" s="1766"/>
      <c r="B61" s="1766"/>
      <c r="C61" s="1766"/>
      <c r="D61" s="1766"/>
      <c r="E61" s="1766"/>
      <c r="F61" s="1766"/>
      <c r="G61" s="1766"/>
      <c r="H61" s="1766"/>
      <c r="I61" s="1766"/>
      <c r="J61" s="1766"/>
      <c r="K61" s="1766"/>
      <c r="L61" s="1766"/>
      <c r="M61" s="1766"/>
      <c r="N61" s="1766"/>
      <c r="O61" s="1766"/>
      <c r="P61" s="1766"/>
      <c r="Q61" s="1766"/>
      <c r="R61" s="1766"/>
      <c r="S61" s="1766"/>
      <c r="T61" s="1766"/>
      <c r="U61" s="1766"/>
      <c r="V61" s="1766"/>
      <c r="W61" s="1766"/>
      <c r="X61" s="1766"/>
      <c r="Y61" s="1766"/>
      <c r="Z61" s="1766"/>
    </row>
    <row r="62" spans="1:26">
      <c r="A62" s="1766"/>
      <c r="B62" s="1766"/>
      <c r="C62" s="1766"/>
      <c r="D62" s="1766"/>
      <c r="E62" s="1766"/>
      <c r="F62" s="1766"/>
      <c r="G62" s="1766"/>
      <c r="H62" s="1766"/>
      <c r="I62" s="1766"/>
      <c r="J62" s="1766"/>
      <c r="K62" s="1766"/>
      <c r="L62" s="1766"/>
      <c r="M62" s="1766"/>
      <c r="N62" s="1766"/>
      <c r="O62" s="1766"/>
      <c r="P62" s="1766"/>
      <c r="Q62" s="1766"/>
      <c r="R62" s="1766"/>
      <c r="S62" s="1766"/>
      <c r="T62" s="1766"/>
      <c r="U62" s="1766"/>
      <c r="V62" s="1766"/>
      <c r="W62" s="1766"/>
      <c r="X62" s="1766"/>
      <c r="Y62" s="1766"/>
      <c r="Z62" s="1766"/>
    </row>
    <row r="63" spans="1:26">
      <c r="A63" s="1766"/>
      <c r="B63" s="1766"/>
      <c r="C63" s="1766"/>
      <c r="D63" s="1766"/>
      <c r="E63" s="1766"/>
      <c r="F63" s="1766"/>
      <c r="G63" s="1766"/>
      <c r="H63" s="1766"/>
      <c r="I63" s="1766"/>
      <c r="J63" s="1766"/>
      <c r="K63" s="1766"/>
      <c r="L63" s="1766"/>
      <c r="M63" s="1766"/>
      <c r="N63" s="1766"/>
      <c r="O63" s="1766"/>
      <c r="P63" s="1766"/>
      <c r="Q63" s="1766"/>
      <c r="R63" s="1766"/>
      <c r="S63" s="1766"/>
      <c r="T63" s="1766"/>
      <c r="U63" s="1766"/>
      <c r="V63" s="1766"/>
      <c r="W63" s="1766"/>
      <c r="X63" s="1766"/>
      <c r="Y63" s="1766"/>
      <c r="Z63" s="1766"/>
    </row>
    <row r="64" spans="1:26">
      <c r="A64" s="1766"/>
      <c r="B64" s="1766"/>
      <c r="C64" s="1766"/>
      <c r="D64" s="1766"/>
      <c r="E64" s="1766"/>
      <c r="F64" s="1766"/>
      <c r="G64" s="1766"/>
      <c r="H64" s="1766"/>
      <c r="I64" s="1766"/>
      <c r="J64" s="1766"/>
      <c r="K64" s="1766"/>
      <c r="L64" s="1766"/>
      <c r="M64" s="1766"/>
      <c r="N64" s="1766"/>
      <c r="O64" s="1766"/>
      <c r="P64" s="1766"/>
      <c r="Q64" s="1766"/>
      <c r="R64" s="1766"/>
      <c r="S64" s="1766"/>
      <c r="T64" s="1766"/>
      <c r="U64" s="1766"/>
      <c r="V64" s="1766"/>
      <c r="W64" s="1766"/>
      <c r="X64" s="1766"/>
      <c r="Y64" s="1766"/>
      <c r="Z64" s="1766"/>
    </row>
    <row r="65" spans="1:26">
      <c r="A65" s="1766"/>
      <c r="B65" s="1766"/>
      <c r="C65" s="1766"/>
      <c r="D65" s="1766"/>
      <c r="E65" s="1766"/>
      <c r="F65" s="1766"/>
      <c r="G65" s="1766"/>
      <c r="H65" s="1766"/>
      <c r="I65" s="1766"/>
      <c r="J65" s="1766"/>
      <c r="K65" s="1766"/>
      <c r="L65" s="1766"/>
      <c r="M65" s="1766"/>
      <c r="N65" s="1766"/>
      <c r="O65" s="1766"/>
      <c r="P65" s="1766"/>
      <c r="Q65" s="1766"/>
      <c r="R65" s="1766"/>
      <c r="S65" s="1766"/>
      <c r="T65" s="1766"/>
      <c r="U65" s="1766"/>
      <c r="V65" s="1766"/>
      <c r="W65" s="1766"/>
      <c r="X65" s="1766"/>
      <c r="Y65" s="1766"/>
      <c r="Z65" s="1766"/>
    </row>
    <row r="66" spans="1:26">
      <c r="A66" s="1766"/>
      <c r="B66" s="1766"/>
      <c r="C66" s="1766"/>
      <c r="D66" s="1766"/>
      <c r="E66" s="1766"/>
      <c r="F66" s="1766"/>
      <c r="G66" s="1766"/>
      <c r="H66" s="1766"/>
      <c r="I66" s="1766"/>
      <c r="J66" s="1766"/>
      <c r="K66" s="1766"/>
      <c r="L66" s="1766"/>
      <c r="M66" s="1766"/>
      <c r="N66" s="1766"/>
      <c r="O66" s="1766"/>
      <c r="P66" s="1766"/>
      <c r="Q66" s="1766"/>
      <c r="R66" s="1766"/>
      <c r="S66" s="1766"/>
      <c r="T66" s="1766"/>
      <c r="U66" s="1766"/>
      <c r="V66" s="1766"/>
      <c r="W66" s="1766"/>
      <c r="X66" s="1766"/>
      <c r="Y66" s="1766"/>
      <c r="Z66" s="1766"/>
    </row>
    <row r="67" spans="1:26">
      <c r="A67" s="1766"/>
      <c r="B67" s="1766"/>
      <c r="C67" s="1766"/>
      <c r="D67" s="1766"/>
      <c r="E67" s="1766"/>
      <c r="F67" s="1766"/>
      <c r="G67" s="1766"/>
      <c r="H67" s="1766"/>
      <c r="I67" s="1766"/>
      <c r="J67" s="1766"/>
      <c r="K67" s="1766"/>
      <c r="L67" s="1766"/>
      <c r="M67" s="1766"/>
      <c r="N67" s="1766"/>
      <c r="O67" s="1766"/>
      <c r="P67" s="1766"/>
      <c r="Q67" s="1766"/>
      <c r="R67" s="1766"/>
      <c r="S67" s="1766"/>
      <c r="T67" s="1766"/>
      <c r="U67" s="1766"/>
      <c r="V67" s="1766"/>
      <c r="W67" s="1766"/>
      <c r="X67" s="1766"/>
      <c r="Y67" s="1766"/>
      <c r="Z67" s="1766"/>
    </row>
    <row r="68" spans="1:26">
      <c r="A68" s="1766"/>
      <c r="B68" s="1766"/>
      <c r="C68" s="1766"/>
      <c r="D68" s="1766"/>
      <c r="E68" s="1766"/>
      <c r="F68" s="1766"/>
      <c r="G68" s="1766"/>
      <c r="H68" s="1766"/>
      <c r="I68" s="1766"/>
      <c r="J68" s="1766"/>
      <c r="K68" s="1766"/>
      <c r="L68" s="1766"/>
      <c r="M68" s="1766"/>
      <c r="N68" s="1766"/>
      <c r="O68" s="1766"/>
      <c r="P68" s="1766"/>
      <c r="Q68" s="1766"/>
      <c r="R68" s="1766"/>
      <c r="S68" s="1766"/>
      <c r="T68" s="1766"/>
      <c r="U68" s="1766"/>
      <c r="V68" s="1766"/>
      <c r="W68" s="1766"/>
      <c r="X68" s="1766"/>
      <c r="Y68" s="1766"/>
      <c r="Z68" s="1766"/>
    </row>
    <row r="69" spans="1:26">
      <c r="A69" s="1766"/>
      <c r="B69" s="1766"/>
      <c r="C69" s="1766"/>
      <c r="D69" s="1766"/>
      <c r="E69" s="1766"/>
      <c r="F69" s="1766"/>
      <c r="G69" s="1766"/>
      <c r="H69" s="1766"/>
      <c r="I69" s="1766"/>
      <c r="J69" s="1766"/>
      <c r="K69" s="1766"/>
      <c r="L69" s="1766"/>
      <c r="M69" s="1766"/>
      <c r="N69" s="1766"/>
      <c r="O69" s="1766"/>
      <c r="P69" s="1766"/>
      <c r="Q69" s="1766"/>
      <c r="R69" s="1766"/>
      <c r="S69" s="1766"/>
      <c r="T69" s="1766"/>
      <c r="U69" s="1766"/>
      <c r="V69" s="1766"/>
      <c r="W69" s="1766"/>
      <c r="X69" s="1766"/>
      <c r="Y69" s="1766"/>
      <c r="Z69" s="1766"/>
    </row>
    <row r="70" spans="1:26">
      <c r="A70" s="1766"/>
      <c r="B70" s="1766"/>
      <c r="C70" s="1766"/>
      <c r="D70" s="1766"/>
      <c r="E70" s="1766"/>
      <c r="F70" s="1766"/>
      <c r="G70" s="1766"/>
      <c r="H70" s="1766"/>
      <c r="I70" s="1766"/>
      <c r="J70" s="1766"/>
      <c r="K70" s="1766"/>
      <c r="L70" s="1766"/>
      <c r="M70" s="1766"/>
      <c r="N70" s="1766"/>
      <c r="O70" s="1766"/>
      <c r="P70" s="1766"/>
      <c r="Q70" s="1766"/>
      <c r="R70" s="1766"/>
      <c r="S70" s="1766"/>
      <c r="T70" s="1766"/>
      <c r="U70" s="1766"/>
      <c r="V70" s="1766"/>
      <c r="W70" s="1766"/>
      <c r="X70" s="1766"/>
      <c r="Y70" s="1766"/>
      <c r="Z70" s="1766"/>
    </row>
    <row r="71" spans="1:26">
      <c r="A71" s="1766"/>
      <c r="B71" s="1766"/>
      <c r="C71" s="1766"/>
      <c r="D71" s="1766"/>
      <c r="E71" s="1766"/>
      <c r="F71" s="1766"/>
      <c r="G71" s="1766"/>
      <c r="H71" s="1766"/>
      <c r="I71" s="1766"/>
      <c r="J71" s="1766"/>
      <c r="K71" s="1766"/>
      <c r="L71" s="1766"/>
      <c r="M71" s="1766"/>
      <c r="N71" s="1766"/>
      <c r="O71" s="1766"/>
      <c r="P71" s="1766"/>
      <c r="Q71" s="1766"/>
      <c r="R71" s="1766"/>
      <c r="S71" s="1766"/>
      <c r="T71" s="1766"/>
      <c r="U71" s="1766"/>
      <c r="V71" s="1766"/>
      <c r="W71" s="1766"/>
      <c r="X71" s="1766"/>
      <c r="Y71" s="1766"/>
      <c r="Z71" s="1766"/>
    </row>
    <row r="72" spans="1:26">
      <c r="A72" s="1766"/>
      <c r="B72" s="1766"/>
      <c r="C72" s="1766"/>
      <c r="D72" s="1766"/>
      <c r="E72" s="1766"/>
      <c r="F72" s="1766"/>
      <c r="G72" s="1766"/>
      <c r="H72" s="1766"/>
      <c r="I72" s="1766"/>
      <c r="J72" s="1766"/>
      <c r="K72" s="1766"/>
      <c r="L72" s="1766"/>
      <c r="M72" s="1766"/>
      <c r="N72" s="1766"/>
      <c r="O72" s="1766"/>
      <c r="P72" s="1766"/>
      <c r="Q72" s="1766"/>
      <c r="R72" s="1766"/>
      <c r="S72" s="1766"/>
      <c r="T72" s="1766"/>
      <c r="U72" s="1766"/>
      <c r="V72" s="1766"/>
      <c r="W72" s="1766"/>
      <c r="X72" s="1766"/>
      <c r="Y72" s="1766"/>
      <c r="Z72" s="1766"/>
    </row>
    <row r="73" spans="1:26">
      <c r="A73" s="1766"/>
      <c r="B73" s="1766"/>
      <c r="C73" s="1766"/>
      <c r="D73" s="1766"/>
      <c r="E73" s="1766"/>
      <c r="F73" s="1766"/>
      <c r="G73" s="1766"/>
      <c r="H73" s="1766"/>
      <c r="I73" s="1766"/>
      <c r="J73" s="1766"/>
      <c r="K73" s="1766"/>
      <c r="L73" s="1766"/>
      <c r="M73" s="1766"/>
      <c r="N73" s="1766"/>
      <c r="O73" s="1766"/>
      <c r="P73" s="1766"/>
      <c r="Q73" s="1766"/>
      <c r="R73" s="1766"/>
      <c r="S73" s="1766"/>
      <c r="T73" s="1766"/>
      <c r="U73" s="1766"/>
      <c r="V73" s="1766"/>
      <c r="W73" s="1766"/>
      <c r="X73" s="1766"/>
      <c r="Y73" s="1766"/>
      <c r="Z73" s="1766"/>
    </row>
    <row r="74" spans="1:26">
      <c r="A74" s="1766"/>
      <c r="B74" s="1766"/>
      <c r="C74" s="1766"/>
      <c r="D74" s="1766"/>
      <c r="E74" s="1766"/>
      <c r="F74" s="1766"/>
      <c r="G74" s="1766"/>
      <c r="H74" s="1766"/>
      <c r="I74" s="1766"/>
      <c r="J74" s="1766"/>
      <c r="K74" s="1766"/>
      <c r="L74" s="1766"/>
      <c r="M74" s="1766"/>
      <c r="N74" s="1766"/>
      <c r="O74" s="1766"/>
      <c r="P74" s="1766"/>
      <c r="Q74" s="1766"/>
      <c r="R74" s="1766"/>
      <c r="S74" s="1766"/>
      <c r="T74" s="1766"/>
      <c r="U74" s="1766"/>
      <c r="V74" s="1766"/>
      <c r="W74" s="1766"/>
      <c r="X74" s="1766"/>
      <c r="Y74" s="1766"/>
      <c r="Z74" s="1766"/>
    </row>
    <row r="75" spans="1:26">
      <c r="A75" s="1766"/>
      <c r="B75" s="1766"/>
      <c r="C75" s="1766"/>
      <c r="D75" s="1766"/>
      <c r="E75" s="1766"/>
      <c r="F75" s="1766"/>
      <c r="G75" s="1766"/>
      <c r="H75" s="1766"/>
      <c r="I75" s="1766"/>
      <c r="J75" s="1766"/>
      <c r="K75" s="1766"/>
      <c r="L75" s="1766"/>
      <c r="M75" s="1766"/>
      <c r="N75" s="1766"/>
      <c r="O75" s="1766"/>
      <c r="P75" s="1766"/>
      <c r="Q75" s="1766"/>
      <c r="R75" s="1766"/>
      <c r="S75" s="1766"/>
      <c r="T75" s="1766"/>
      <c r="U75" s="1766"/>
      <c r="V75" s="1766"/>
      <c r="W75" s="1766"/>
      <c r="X75" s="1766"/>
      <c r="Y75" s="1766"/>
      <c r="Z75" s="1766"/>
    </row>
    <row r="76" spans="1:26">
      <c r="A76" s="1766"/>
      <c r="B76" s="1766"/>
      <c r="C76" s="1766"/>
      <c r="D76" s="1766"/>
      <c r="E76" s="1766"/>
      <c r="F76" s="1766"/>
      <c r="G76" s="1766"/>
      <c r="H76" s="1766"/>
      <c r="I76" s="1766"/>
      <c r="J76" s="1766"/>
      <c r="K76" s="1766"/>
      <c r="L76" s="1766"/>
      <c r="M76" s="1766"/>
      <c r="N76" s="1766"/>
      <c r="O76" s="1766"/>
      <c r="P76" s="1766"/>
      <c r="Q76" s="1766"/>
      <c r="R76" s="1766"/>
      <c r="S76" s="1766"/>
      <c r="T76" s="1766"/>
      <c r="U76" s="1766"/>
      <c r="V76" s="1766"/>
      <c r="W76" s="1766"/>
      <c r="X76" s="1766"/>
      <c r="Y76" s="1766"/>
      <c r="Z76" s="1766"/>
    </row>
    <row r="77" spans="1:26">
      <c r="A77" s="1766"/>
      <c r="B77" s="1766"/>
      <c r="C77" s="1766"/>
      <c r="D77" s="1766"/>
      <c r="E77" s="1766"/>
      <c r="F77" s="1766"/>
      <c r="G77" s="1766"/>
      <c r="H77" s="1766"/>
      <c r="I77" s="1766"/>
      <c r="J77" s="1766"/>
      <c r="K77" s="1766"/>
      <c r="L77" s="1766"/>
      <c r="M77" s="1766"/>
      <c r="N77" s="1766"/>
      <c r="O77" s="1766"/>
      <c r="P77" s="1766"/>
      <c r="Q77" s="1766"/>
      <c r="R77" s="1766"/>
      <c r="S77" s="1766"/>
      <c r="T77" s="1766"/>
      <c r="U77" s="1766"/>
      <c r="V77" s="1766"/>
      <c r="W77" s="1766"/>
      <c r="X77" s="1766"/>
      <c r="Y77" s="1766"/>
      <c r="Z77" s="1766"/>
    </row>
    <row r="78" spans="1:26">
      <c r="A78" s="1766"/>
      <c r="B78" s="1766"/>
      <c r="C78" s="1766"/>
      <c r="D78" s="1766"/>
      <c r="E78" s="1766"/>
      <c r="F78" s="1766"/>
      <c r="G78" s="1766"/>
      <c r="H78" s="1766"/>
      <c r="I78" s="1766"/>
      <c r="J78" s="1766"/>
      <c r="K78" s="1766"/>
      <c r="L78" s="1766"/>
      <c r="M78" s="1766"/>
      <c r="N78" s="1766"/>
      <c r="O78" s="1766"/>
      <c r="P78" s="1766"/>
      <c r="Q78" s="1766"/>
      <c r="R78" s="1766"/>
      <c r="S78" s="1766"/>
      <c r="T78" s="1766"/>
      <c r="U78" s="1766"/>
      <c r="V78" s="1766"/>
      <c r="W78" s="1766"/>
      <c r="X78" s="1766"/>
      <c r="Y78" s="1766"/>
      <c r="Z78" s="1766"/>
    </row>
    <row r="79" spans="1:26">
      <c r="A79" s="1766"/>
      <c r="B79" s="1766"/>
      <c r="C79" s="1766"/>
      <c r="D79" s="1766"/>
      <c r="E79" s="1766"/>
      <c r="F79" s="1766"/>
      <c r="G79" s="1766"/>
      <c r="H79" s="1766"/>
      <c r="I79" s="1766"/>
      <c r="J79" s="1766"/>
      <c r="K79" s="1766"/>
      <c r="L79" s="1766"/>
      <c r="M79" s="1766"/>
      <c r="N79" s="1766"/>
      <c r="O79" s="1766"/>
      <c r="P79" s="1766"/>
      <c r="Q79" s="1766"/>
      <c r="R79" s="1766"/>
      <c r="S79" s="1766"/>
      <c r="T79" s="1766"/>
      <c r="U79" s="1766"/>
      <c r="V79" s="1766"/>
      <c r="W79" s="1766"/>
      <c r="X79" s="1766"/>
      <c r="Y79" s="1766"/>
      <c r="Z79" s="1766"/>
    </row>
    <row r="80" spans="1:26">
      <c r="A80" s="1766"/>
      <c r="B80" s="1766"/>
      <c r="C80" s="1766"/>
      <c r="D80" s="1766"/>
      <c r="E80" s="1766"/>
      <c r="F80" s="1766"/>
      <c r="G80" s="1766"/>
      <c r="H80" s="1766"/>
      <c r="I80" s="1766"/>
      <c r="J80" s="1766"/>
      <c r="K80" s="1766"/>
      <c r="L80" s="1766"/>
      <c r="M80" s="1766"/>
      <c r="N80" s="1766"/>
      <c r="O80" s="1766"/>
      <c r="P80" s="1766"/>
      <c r="Q80" s="1766"/>
      <c r="R80" s="1766"/>
      <c r="S80" s="1766"/>
      <c r="T80" s="1766"/>
      <c r="U80" s="1766"/>
      <c r="V80" s="1766"/>
      <c r="W80" s="1766"/>
      <c r="X80" s="1766"/>
      <c r="Y80" s="1766"/>
      <c r="Z80" s="1766"/>
    </row>
    <row r="81" spans="1:26">
      <c r="A81" s="1766"/>
      <c r="B81" s="1766"/>
      <c r="C81" s="1766"/>
      <c r="D81" s="1766"/>
      <c r="E81" s="1766"/>
      <c r="F81" s="1766"/>
      <c r="G81" s="1766"/>
      <c r="H81" s="1766"/>
      <c r="I81" s="1766"/>
      <c r="J81" s="1766"/>
      <c r="K81" s="1766"/>
      <c r="L81" s="1766"/>
      <c r="M81" s="1766"/>
      <c r="N81" s="1766"/>
      <c r="O81" s="1766"/>
      <c r="P81" s="1766"/>
      <c r="Q81" s="1766"/>
      <c r="R81" s="1766"/>
      <c r="S81" s="1766"/>
      <c r="T81" s="1766"/>
      <c r="U81" s="1766"/>
      <c r="V81" s="1766"/>
      <c r="W81" s="1766"/>
      <c r="X81" s="1766"/>
      <c r="Y81" s="1766"/>
      <c r="Z81" s="1766"/>
    </row>
    <row r="82" spans="1:26">
      <c r="A82" s="1766"/>
      <c r="B82" s="1766"/>
      <c r="C82" s="1766"/>
      <c r="D82" s="1766"/>
      <c r="E82" s="1766"/>
      <c r="F82" s="1766"/>
      <c r="G82" s="1766"/>
      <c r="H82" s="1766"/>
      <c r="I82" s="1766"/>
      <c r="J82" s="1766"/>
      <c r="K82" s="1766"/>
      <c r="L82" s="1766"/>
      <c r="M82" s="1766"/>
      <c r="N82" s="1766"/>
      <c r="O82" s="1766"/>
      <c r="P82" s="1766"/>
      <c r="Q82" s="1766"/>
      <c r="R82" s="1766"/>
      <c r="S82" s="1766"/>
      <c r="T82" s="1766"/>
      <c r="U82" s="1766"/>
      <c r="V82" s="1766"/>
      <c r="W82" s="1766"/>
      <c r="X82" s="1766"/>
      <c r="Y82" s="1766"/>
      <c r="Z82" s="1766"/>
    </row>
    <row r="83" spans="1:26">
      <c r="A83" s="1766"/>
      <c r="B83" s="1766"/>
      <c r="C83" s="1766"/>
      <c r="D83" s="1766"/>
      <c r="E83" s="1766"/>
      <c r="F83" s="1766"/>
      <c r="G83" s="1766"/>
      <c r="H83" s="1766"/>
      <c r="I83" s="1766"/>
      <c r="J83" s="1766"/>
      <c r="K83" s="1766"/>
      <c r="L83" s="1766"/>
      <c r="M83" s="1766"/>
      <c r="N83" s="1766"/>
      <c r="O83" s="1766"/>
      <c r="P83" s="1766"/>
      <c r="Q83" s="1766"/>
      <c r="R83" s="1766"/>
      <c r="S83" s="1766"/>
      <c r="T83" s="1766"/>
      <c r="U83" s="1766"/>
      <c r="V83" s="1766"/>
      <c r="W83" s="1766"/>
      <c r="X83" s="1766"/>
      <c r="Y83" s="1766"/>
      <c r="Z83" s="1766"/>
    </row>
    <row r="84" spans="1:26">
      <c r="A84" s="1766"/>
      <c r="B84" s="1766"/>
      <c r="C84" s="1766"/>
      <c r="D84" s="1766"/>
      <c r="E84" s="1766"/>
      <c r="F84" s="1766"/>
      <c r="G84" s="1766"/>
      <c r="H84" s="1766"/>
      <c r="I84" s="1766"/>
      <c r="J84" s="1766"/>
      <c r="K84" s="1766"/>
      <c r="L84" s="1766"/>
      <c r="M84" s="1766"/>
      <c r="N84" s="1766"/>
      <c r="O84" s="1766"/>
      <c r="P84" s="1766"/>
      <c r="Q84" s="1766"/>
      <c r="R84" s="1766"/>
      <c r="S84" s="1766"/>
      <c r="T84" s="1766"/>
      <c r="U84" s="1766"/>
      <c r="V84" s="1766"/>
      <c r="W84" s="1766"/>
      <c r="X84" s="1766"/>
      <c r="Y84" s="1766"/>
      <c r="Z84" s="1766"/>
    </row>
    <row r="85" spans="1:26">
      <c r="A85" s="1766"/>
      <c r="B85" s="1766"/>
      <c r="C85" s="1766"/>
      <c r="D85" s="1766"/>
      <c r="E85" s="1766"/>
      <c r="F85" s="1766"/>
      <c r="G85" s="1766"/>
      <c r="H85" s="1766"/>
      <c r="I85" s="1766"/>
      <c r="J85" s="1766"/>
      <c r="K85" s="1766"/>
      <c r="L85" s="1766"/>
      <c r="M85" s="1766"/>
      <c r="N85" s="1766"/>
      <c r="O85" s="1766"/>
      <c r="P85" s="1766"/>
      <c r="Q85" s="1766"/>
      <c r="R85" s="1766"/>
      <c r="S85" s="1766"/>
      <c r="T85" s="1766"/>
      <c r="U85" s="1766"/>
      <c r="V85" s="1766"/>
      <c r="W85" s="1766"/>
      <c r="X85" s="1766"/>
      <c r="Y85" s="1766"/>
      <c r="Z85" s="1766"/>
    </row>
    <row r="86" spans="1:26">
      <c r="A86" s="1766"/>
      <c r="B86" s="1766"/>
      <c r="C86" s="1766"/>
      <c r="D86" s="1766"/>
      <c r="E86" s="1766"/>
      <c r="F86" s="1766"/>
      <c r="G86" s="1766"/>
      <c r="H86" s="1766"/>
      <c r="I86" s="1766"/>
      <c r="J86" s="1766"/>
      <c r="K86" s="1766"/>
      <c r="L86" s="1766"/>
      <c r="M86" s="1766"/>
      <c r="N86" s="1766"/>
      <c r="O86" s="1766"/>
      <c r="P86" s="1766"/>
      <c r="Q86" s="1766"/>
      <c r="R86" s="1766"/>
      <c r="S86" s="1766"/>
      <c r="T86" s="1766"/>
      <c r="U86" s="1766"/>
      <c r="V86" s="1766"/>
      <c r="W86" s="1766"/>
      <c r="X86" s="1766"/>
      <c r="Y86" s="1766"/>
      <c r="Z86" s="1766"/>
    </row>
    <row r="87" spans="1:26">
      <c r="A87" s="1766"/>
      <c r="B87" s="1766"/>
      <c r="C87" s="1766"/>
      <c r="D87" s="1766"/>
      <c r="E87" s="1766"/>
      <c r="F87" s="1766"/>
      <c r="G87" s="1766"/>
      <c r="H87" s="1766"/>
      <c r="I87" s="1766"/>
      <c r="J87" s="1766"/>
      <c r="K87" s="1766"/>
      <c r="L87" s="1766"/>
      <c r="M87" s="1766"/>
      <c r="N87" s="1766"/>
      <c r="O87" s="1766"/>
      <c r="P87" s="1766"/>
      <c r="Q87" s="1766"/>
      <c r="R87" s="1766"/>
      <c r="S87" s="1766"/>
      <c r="T87" s="1766"/>
      <c r="U87" s="1766"/>
      <c r="V87" s="1766"/>
      <c r="W87" s="1766"/>
      <c r="X87" s="1766"/>
      <c r="Y87" s="1766"/>
      <c r="Z87" s="1766"/>
    </row>
    <row r="88" spans="1:26">
      <c r="A88" s="1766"/>
      <c r="B88" s="1766"/>
      <c r="C88" s="1766"/>
      <c r="D88" s="1766"/>
      <c r="E88" s="1766"/>
      <c r="F88" s="1766"/>
      <c r="G88" s="1766"/>
      <c r="H88" s="1766"/>
      <c r="I88" s="1766"/>
      <c r="J88" s="1766"/>
      <c r="K88" s="1766"/>
      <c r="L88" s="1766"/>
      <c r="M88" s="1766"/>
      <c r="N88" s="1766"/>
      <c r="O88" s="1766"/>
      <c r="P88" s="1766"/>
      <c r="Q88" s="1766"/>
      <c r="R88" s="1766"/>
      <c r="S88" s="1766"/>
      <c r="T88" s="1766"/>
      <c r="U88" s="1766"/>
      <c r="V88" s="1766"/>
      <c r="W88" s="1766"/>
      <c r="X88" s="1766"/>
      <c r="Y88" s="1766"/>
      <c r="Z88" s="1766"/>
    </row>
    <row r="89" spans="1:26">
      <c r="A89" s="1766"/>
      <c r="B89" s="1766"/>
      <c r="C89" s="1766"/>
      <c r="D89" s="1766"/>
      <c r="E89" s="1766"/>
      <c r="F89" s="1766"/>
      <c r="G89" s="1766"/>
      <c r="H89" s="1766"/>
      <c r="I89" s="1766"/>
      <c r="J89" s="1766"/>
      <c r="K89" s="1766"/>
      <c r="L89" s="1766"/>
      <c r="M89" s="1766"/>
      <c r="N89" s="1766"/>
      <c r="O89" s="1766"/>
      <c r="P89" s="1766"/>
      <c r="Q89" s="1766"/>
      <c r="R89" s="1766"/>
      <c r="S89" s="1766"/>
      <c r="T89" s="1766"/>
      <c r="U89" s="1766"/>
      <c r="V89" s="1766"/>
      <c r="W89" s="1766"/>
      <c r="X89" s="1766"/>
      <c r="Y89" s="1766"/>
      <c r="Z89" s="1766"/>
    </row>
    <row r="90" spans="1:26">
      <c r="A90" s="1766"/>
      <c r="B90" s="1766"/>
      <c r="C90" s="1766"/>
      <c r="D90" s="1766"/>
      <c r="E90" s="1766"/>
      <c r="F90" s="1766"/>
      <c r="G90" s="1766"/>
      <c r="H90" s="1766"/>
      <c r="I90" s="1766"/>
      <c r="J90" s="1766"/>
      <c r="K90" s="1766"/>
      <c r="L90" s="1766"/>
      <c r="M90" s="1766"/>
      <c r="N90" s="1766"/>
      <c r="O90" s="1766"/>
      <c r="P90" s="1766"/>
      <c r="Q90" s="1766"/>
      <c r="R90" s="1766"/>
      <c r="S90" s="1766"/>
      <c r="T90" s="1766"/>
      <c r="U90" s="1766"/>
      <c r="V90" s="1766"/>
      <c r="W90" s="1766"/>
      <c r="X90" s="1766"/>
      <c r="Y90" s="1766"/>
      <c r="Z90" s="1766"/>
    </row>
    <row r="91" spans="1:26">
      <c r="A91" s="1766"/>
      <c r="B91" s="1766"/>
      <c r="C91" s="1766"/>
      <c r="D91" s="1766"/>
      <c r="E91" s="1766"/>
      <c r="F91" s="1766"/>
      <c r="G91" s="1766"/>
      <c r="H91" s="1766"/>
      <c r="I91" s="1766"/>
      <c r="J91" s="1766"/>
      <c r="K91" s="1766"/>
      <c r="L91" s="1766"/>
      <c r="M91" s="1766"/>
      <c r="N91" s="1766"/>
      <c r="O91" s="1766"/>
      <c r="P91" s="1766"/>
      <c r="Q91" s="1766"/>
      <c r="R91" s="1766"/>
      <c r="S91" s="1766"/>
      <c r="T91" s="1766"/>
      <c r="U91" s="1766"/>
      <c r="V91" s="1766"/>
      <c r="W91" s="1766"/>
      <c r="X91" s="1766"/>
      <c r="Y91" s="1766"/>
      <c r="Z91" s="1766"/>
    </row>
    <row r="92" spans="1:26">
      <c r="A92" s="1766"/>
      <c r="B92" s="1766"/>
      <c r="C92" s="1766"/>
      <c r="D92" s="1766"/>
      <c r="E92" s="1766"/>
      <c r="F92" s="1766"/>
      <c r="G92" s="1766"/>
      <c r="H92" s="1766"/>
      <c r="I92" s="1766"/>
      <c r="J92" s="1766"/>
      <c r="K92" s="1766"/>
      <c r="L92" s="1766"/>
      <c r="M92" s="1766"/>
      <c r="N92" s="1766"/>
      <c r="O92" s="1766"/>
      <c r="P92" s="1766"/>
      <c r="Q92" s="1766"/>
      <c r="R92" s="1766"/>
      <c r="S92" s="1766"/>
      <c r="T92" s="1766"/>
      <c r="U92" s="1766"/>
      <c r="V92" s="1766"/>
      <c r="W92" s="1766"/>
      <c r="X92" s="1766"/>
      <c r="Y92" s="1766"/>
      <c r="Z92" s="1766"/>
    </row>
    <row r="93" spans="1:26">
      <c r="A93" s="1766"/>
      <c r="B93" s="1766"/>
      <c r="C93" s="1766"/>
      <c r="D93" s="1766"/>
      <c r="E93" s="1766"/>
      <c r="F93" s="1766"/>
      <c r="G93" s="1766"/>
      <c r="H93" s="1766"/>
      <c r="I93" s="1766"/>
      <c r="J93" s="1766"/>
      <c r="K93" s="1766"/>
      <c r="L93" s="1766"/>
      <c r="M93" s="1766"/>
      <c r="N93" s="1766"/>
      <c r="O93" s="1766"/>
      <c r="P93" s="1766"/>
      <c r="Q93" s="1766"/>
      <c r="R93" s="1766"/>
      <c r="S93" s="1766"/>
      <c r="T93" s="1766"/>
      <c r="U93" s="1766"/>
      <c r="V93" s="1766"/>
      <c r="W93" s="1766"/>
      <c r="X93" s="1766"/>
      <c r="Y93" s="1766"/>
      <c r="Z93" s="1766"/>
    </row>
    <row r="94" spans="1:26">
      <c r="A94" s="1766"/>
      <c r="B94" s="1766"/>
      <c r="C94" s="1766"/>
      <c r="D94" s="1766"/>
      <c r="E94" s="1766"/>
      <c r="F94" s="1766"/>
      <c r="G94" s="1766"/>
      <c r="H94" s="1766"/>
      <c r="I94" s="1766"/>
      <c r="J94" s="1766"/>
      <c r="K94" s="1766"/>
      <c r="L94" s="1766"/>
      <c r="M94" s="1766"/>
      <c r="N94" s="1766"/>
      <c r="O94" s="1766"/>
      <c r="P94" s="1766"/>
      <c r="Q94" s="1766"/>
      <c r="R94" s="1766"/>
      <c r="S94" s="1766"/>
      <c r="T94" s="1766"/>
      <c r="U94" s="1766"/>
      <c r="V94" s="1766"/>
      <c r="W94" s="1766"/>
      <c r="X94" s="1766"/>
      <c r="Y94" s="1766"/>
      <c r="Z94" s="1766"/>
    </row>
    <row r="95" spans="1:26">
      <c r="A95" s="1766"/>
      <c r="B95" s="1766"/>
      <c r="C95" s="1766"/>
      <c r="D95" s="1766"/>
      <c r="E95" s="1766"/>
      <c r="F95" s="1766"/>
      <c r="G95" s="1766"/>
      <c r="H95" s="1766"/>
      <c r="I95" s="1766"/>
      <c r="J95" s="1766"/>
      <c r="K95" s="1766"/>
      <c r="L95" s="1766"/>
      <c r="M95" s="1766"/>
      <c r="N95" s="1766"/>
      <c r="O95" s="1766"/>
      <c r="P95" s="1766"/>
      <c r="Q95" s="1766"/>
      <c r="R95" s="1766"/>
      <c r="S95" s="1766"/>
      <c r="T95" s="1766"/>
      <c r="U95" s="1766"/>
      <c r="V95" s="1766"/>
      <c r="W95" s="1766"/>
      <c r="X95" s="1766"/>
      <c r="Y95" s="1766"/>
      <c r="Z95" s="1766"/>
    </row>
    <row r="96" spans="1:26">
      <c r="A96" s="1766"/>
      <c r="B96" s="1766"/>
      <c r="C96" s="1766"/>
      <c r="D96" s="1766"/>
      <c r="E96" s="1766"/>
      <c r="F96" s="1766"/>
      <c r="G96" s="1766"/>
      <c r="H96" s="1766"/>
      <c r="I96" s="1766"/>
      <c r="J96" s="1766"/>
      <c r="K96" s="1766"/>
      <c r="L96" s="1766"/>
      <c r="M96" s="1766"/>
      <c r="N96" s="1766"/>
      <c r="O96" s="1766"/>
      <c r="P96" s="1766"/>
      <c r="Q96" s="1766"/>
      <c r="R96" s="1766"/>
      <c r="S96" s="1766"/>
      <c r="T96" s="1766"/>
      <c r="U96" s="1766"/>
      <c r="V96" s="1766"/>
      <c r="W96" s="1766"/>
      <c r="X96" s="1766"/>
      <c r="Y96" s="1766"/>
      <c r="Z96" s="1766"/>
    </row>
    <row r="97" spans="1:26">
      <c r="A97" s="1766"/>
      <c r="B97" s="1766"/>
      <c r="C97" s="1766"/>
      <c r="D97" s="1766"/>
      <c r="E97" s="1766"/>
      <c r="F97" s="1766"/>
      <c r="G97" s="1766"/>
      <c r="H97" s="1766"/>
      <c r="I97" s="1766"/>
      <c r="J97" s="1766"/>
      <c r="K97" s="1766"/>
      <c r="L97" s="1766"/>
      <c r="M97" s="1766"/>
      <c r="N97" s="1766"/>
      <c r="O97" s="1766"/>
      <c r="P97" s="1766"/>
      <c r="Q97" s="1766"/>
      <c r="R97" s="1766"/>
      <c r="S97" s="1766"/>
      <c r="T97" s="1766"/>
      <c r="U97" s="1766"/>
      <c r="V97" s="1766"/>
      <c r="W97" s="1766"/>
      <c r="X97" s="1766"/>
      <c r="Y97" s="1766"/>
      <c r="Z97" s="1766"/>
    </row>
    <row r="98" spans="1:26">
      <c r="A98" s="1766"/>
      <c r="B98" s="1766"/>
      <c r="C98" s="1766"/>
      <c r="D98" s="1766"/>
      <c r="E98" s="1766"/>
      <c r="F98" s="1766"/>
      <c r="G98" s="1766"/>
      <c r="H98" s="1766"/>
      <c r="I98" s="1766"/>
      <c r="J98" s="1766"/>
      <c r="K98" s="1766"/>
      <c r="L98" s="1766"/>
      <c r="M98" s="1766"/>
      <c r="N98" s="1766"/>
      <c r="O98" s="1766"/>
      <c r="P98" s="1766"/>
      <c r="Q98" s="1766"/>
      <c r="R98" s="1766"/>
      <c r="S98" s="1766"/>
      <c r="T98" s="1766"/>
      <c r="U98" s="1766"/>
      <c r="V98" s="1766"/>
      <c r="W98" s="1766"/>
      <c r="X98" s="1766"/>
      <c r="Y98" s="1766"/>
      <c r="Z98" s="1766"/>
    </row>
    <row r="99" spans="1:26">
      <c r="A99" s="1766"/>
      <c r="B99" s="1766"/>
      <c r="C99" s="1766"/>
      <c r="D99" s="1766"/>
      <c r="E99" s="1766"/>
      <c r="F99" s="1766"/>
      <c r="G99" s="1766"/>
      <c r="H99" s="1766"/>
      <c r="I99" s="1766"/>
      <c r="J99" s="1766"/>
      <c r="K99" s="1766"/>
      <c r="L99" s="1766"/>
      <c r="M99" s="1766"/>
      <c r="N99" s="1766"/>
      <c r="O99" s="1766"/>
      <c r="P99" s="1766"/>
      <c r="Q99" s="1766"/>
      <c r="R99" s="1766"/>
      <c r="S99" s="1766"/>
      <c r="T99" s="1766"/>
      <c r="U99" s="1766"/>
      <c r="V99" s="1766"/>
      <c r="W99" s="1766"/>
      <c r="X99" s="1766"/>
      <c r="Y99" s="1766"/>
      <c r="Z99" s="1766"/>
    </row>
    <row r="100" spans="1:26">
      <c r="A100" s="1766"/>
      <c r="B100" s="1766"/>
      <c r="C100" s="1766"/>
      <c r="D100" s="1766"/>
      <c r="E100" s="1766"/>
      <c r="F100" s="1766"/>
      <c r="G100" s="1766"/>
      <c r="H100" s="1766"/>
      <c r="I100" s="1766"/>
      <c r="J100" s="1766"/>
      <c r="K100" s="1766"/>
      <c r="L100" s="1766"/>
      <c r="M100" s="1766"/>
      <c r="N100" s="1766"/>
      <c r="O100" s="1766"/>
      <c r="P100" s="1766"/>
      <c r="Q100" s="1766"/>
      <c r="R100" s="1766"/>
      <c r="S100" s="1766"/>
      <c r="T100" s="1766"/>
      <c r="U100" s="1766"/>
      <c r="V100" s="1766"/>
      <c r="W100" s="1766"/>
      <c r="X100" s="1766"/>
      <c r="Y100" s="1766"/>
      <c r="Z100" s="1766"/>
    </row>
    <row r="101" spans="1:26">
      <c r="A101" s="1766"/>
      <c r="B101" s="1766"/>
      <c r="C101" s="1766"/>
      <c r="D101" s="1766"/>
      <c r="E101" s="1766"/>
      <c r="F101" s="1766"/>
      <c r="G101" s="1766"/>
      <c r="H101" s="1766"/>
      <c r="I101" s="1766"/>
      <c r="J101" s="1766"/>
      <c r="K101" s="1766"/>
      <c r="L101" s="1766"/>
      <c r="M101" s="1766"/>
      <c r="N101" s="1766"/>
      <c r="O101" s="1766"/>
      <c r="P101" s="1766"/>
      <c r="Q101" s="1766"/>
      <c r="R101" s="1766"/>
      <c r="S101" s="1766"/>
      <c r="T101" s="1766"/>
      <c r="U101" s="1766"/>
      <c r="V101" s="1766"/>
      <c r="W101" s="1766"/>
      <c r="X101" s="1766"/>
      <c r="Y101" s="1766"/>
      <c r="Z101" s="1766"/>
    </row>
    <row r="102" spans="1:26">
      <c r="A102" s="1766"/>
      <c r="B102" s="1766"/>
      <c r="C102" s="1766"/>
      <c r="D102" s="1766"/>
      <c r="E102" s="1766"/>
      <c r="F102" s="1766"/>
      <c r="G102" s="1766"/>
      <c r="H102" s="1766"/>
      <c r="I102" s="1766"/>
      <c r="J102" s="1766"/>
      <c r="K102" s="1766"/>
      <c r="L102" s="1766"/>
      <c r="M102" s="1766"/>
      <c r="N102" s="1766"/>
      <c r="O102" s="1766"/>
      <c r="P102" s="1766"/>
      <c r="Q102" s="1766"/>
      <c r="R102" s="1766"/>
      <c r="S102" s="1766"/>
      <c r="T102" s="1766"/>
      <c r="U102" s="1766"/>
      <c r="V102" s="1766"/>
      <c r="W102" s="1766"/>
      <c r="X102" s="1766"/>
      <c r="Y102" s="1766"/>
      <c r="Z102" s="1766"/>
    </row>
    <row r="103" spans="1:26">
      <c r="A103" s="1766"/>
      <c r="B103" s="1766"/>
      <c r="C103" s="1766"/>
      <c r="D103" s="1766"/>
      <c r="E103" s="1766"/>
      <c r="F103" s="1766"/>
      <c r="G103" s="1766"/>
      <c r="H103" s="1766"/>
      <c r="I103" s="1766"/>
      <c r="J103" s="1766"/>
      <c r="K103" s="1766"/>
      <c r="L103" s="1766"/>
      <c r="M103" s="1766"/>
      <c r="N103" s="1766"/>
      <c r="O103" s="1766"/>
      <c r="P103" s="1766"/>
      <c r="Q103" s="1766"/>
      <c r="R103" s="1766"/>
      <c r="S103" s="1766"/>
      <c r="T103" s="1766"/>
      <c r="U103" s="1766"/>
      <c r="V103" s="1766"/>
      <c r="W103" s="1766"/>
      <c r="X103" s="1766"/>
      <c r="Y103" s="1766"/>
      <c r="Z103" s="1766"/>
    </row>
    <row r="104" spans="1:26">
      <c r="A104" s="1766"/>
      <c r="B104" s="1766"/>
      <c r="C104" s="1766"/>
      <c r="D104" s="1766"/>
      <c r="E104" s="1766"/>
      <c r="F104" s="1766"/>
      <c r="G104" s="1766"/>
      <c r="H104" s="1766"/>
      <c r="I104" s="1766"/>
      <c r="J104" s="1766"/>
      <c r="K104" s="1766"/>
      <c r="L104" s="1766"/>
      <c r="M104" s="1766"/>
      <c r="N104" s="1766"/>
      <c r="O104" s="1766"/>
      <c r="P104" s="1766"/>
      <c r="Q104" s="1766"/>
      <c r="R104" s="1766"/>
      <c r="S104" s="1766"/>
      <c r="T104" s="1766"/>
      <c r="U104" s="1766"/>
      <c r="V104" s="1766"/>
      <c r="W104" s="1766"/>
      <c r="X104" s="1766"/>
      <c r="Y104" s="1766"/>
      <c r="Z104" s="1766"/>
    </row>
    <row r="105" spans="1:26">
      <c r="A105" s="1766"/>
      <c r="B105" s="1766"/>
      <c r="C105" s="1766"/>
      <c r="D105" s="1766"/>
      <c r="E105" s="1766"/>
      <c r="F105" s="1766"/>
      <c r="G105" s="1766"/>
      <c r="H105" s="1766"/>
      <c r="I105" s="1766"/>
      <c r="J105" s="1766"/>
      <c r="K105" s="1766"/>
      <c r="L105" s="1766"/>
      <c r="M105" s="1766"/>
      <c r="N105" s="1766"/>
      <c r="O105" s="1766"/>
      <c r="P105" s="1766"/>
      <c r="Q105" s="1766"/>
      <c r="R105" s="1766"/>
      <c r="S105" s="1766"/>
      <c r="T105" s="1766"/>
      <c r="U105" s="1766"/>
      <c r="V105" s="1766"/>
      <c r="W105" s="1766"/>
      <c r="X105" s="1766"/>
      <c r="Y105" s="1766"/>
      <c r="Z105" s="1766"/>
    </row>
    <row r="106" spans="1:26">
      <c r="A106" s="1766"/>
      <c r="B106" s="1766"/>
      <c r="C106" s="1766"/>
      <c r="D106" s="1766"/>
      <c r="E106" s="1766"/>
      <c r="F106" s="1766"/>
      <c r="G106" s="1766"/>
      <c r="H106" s="1766"/>
      <c r="I106" s="1766"/>
      <c r="J106" s="1766"/>
      <c r="K106" s="1766"/>
      <c r="L106" s="1766"/>
      <c r="M106" s="1766"/>
      <c r="N106" s="1766"/>
      <c r="O106" s="1766"/>
      <c r="P106" s="1766"/>
      <c r="Q106" s="1766"/>
      <c r="R106" s="1766"/>
      <c r="S106" s="1766"/>
      <c r="T106" s="1766"/>
      <c r="U106" s="1766"/>
      <c r="V106" s="1766"/>
      <c r="W106" s="1766"/>
      <c r="X106" s="1766"/>
      <c r="Y106" s="1766"/>
      <c r="Z106" s="1766"/>
    </row>
    <row r="107" spans="1:26">
      <c r="A107" s="1766"/>
      <c r="B107" s="1766"/>
      <c r="C107" s="1766"/>
      <c r="D107" s="1766"/>
      <c r="E107" s="1766"/>
      <c r="F107" s="1766"/>
      <c r="G107" s="1766"/>
      <c r="H107" s="1766"/>
      <c r="I107" s="1766"/>
      <c r="J107" s="1766"/>
      <c r="K107" s="1766"/>
      <c r="L107" s="1766"/>
      <c r="M107" s="1766"/>
      <c r="N107" s="1766"/>
      <c r="O107" s="1766"/>
      <c r="P107" s="1766"/>
      <c r="Q107" s="1766"/>
      <c r="R107" s="1766"/>
      <c r="S107" s="1766"/>
      <c r="T107" s="1766"/>
      <c r="U107" s="1766"/>
      <c r="V107" s="1766"/>
      <c r="W107" s="1766"/>
      <c r="X107" s="1766"/>
      <c r="Y107" s="1766"/>
      <c r="Z107" s="1766"/>
    </row>
    <row r="108" spans="1:26">
      <c r="A108" s="1766"/>
      <c r="B108" s="1766"/>
      <c r="C108" s="1766"/>
      <c r="D108" s="1766"/>
      <c r="E108" s="1766"/>
      <c r="F108" s="1766"/>
      <c r="G108" s="1766"/>
      <c r="H108" s="1766"/>
      <c r="I108" s="1766"/>
      <c r="J108" s="1766"/>
      <c r="K108" s="1766"/>
      <c r="L108" s="1766"/>
      <c r="M108" s="1766"/>
      <c r="N108" s="1766"/>
      <c r="O108" s="1766"/>
      <c r="P108" s="1766"/>
      <c r="Q108" s="1766"/>
      <c r="R108" s="1766"/>
      <c r="S108" s="1766"/>
      <c r="T108" s="1766"/>
      <c r="U108" s="1766"/>
      <c r="V108" s="1766"/>
      <c r="W108" s="1766"/>
      <c r="X108" s="1766"/>
      <c r="Y108" s="1766"/>
      <c r="Z108" s="1766"/>
    </row>
    <row r="109" spans="1:26">
      <c r="A109" s="1766"/>
      <c r="B109" s="1766"/>
      <c r="C109" s="1766"/>
      <c r="D109" s="1766"/>
      <c r="E109" s="1766"/>
      <c r="F109" s="1766"/>
      <c r="G109" s="1766"/>
      <c r="H109" s="1766"/>
      <c r="I109" s="1766"/>
      <c r="J109" s="1766"/>
      <c r="K109" s="1766"/>
      <c r="L109" s="1766"/>
      <c r="M109" s="1766"/>
      <c r="N109" s="1766"/>
      <c r="O109" s="1766"/>
      <c r="P109" s="1766"/>
      <c r="Q109" s="1766"/>
      <c r="R109" s="1766"/>
      <c r="S109" s="1766"/>
      <c r="T109" s="1766"/>
      <c r="U109" s="1766"/>
      <c r="V109" s="1766"/>
      <c r="W109" s="1766"/>
      <c r="X109" s="1766"/>
      <c r="Y109" s="1766"/>
      <c r="Z109" s="1766"/>
    </row>
    <row r="110" spans="1:26">
      <c r="A110" s="1766"/>
      <c r="B110" s="1766"/>
      <c r="C110" s="1766"/>
      <c r="D110" s="1766"/>
      <c r="E110" s="1766"/>
      <c r="F110" s="1766"/>
      <c r="G110" s="1766"/>
      <c r="H110" s="1766"/>
      <c r="I110" s="1766"/>
      <c r="J110" s="1766"/>
      <c r="K110" s="1766"/>
      <c r="L110" s="1766"/>
      <c r="M110" s="1766"/>
      <c r="N110" s="1766"/>
      <c r="O110" s="1766"/>
      <c r="P110" s="1766"/>
      <c r="Q110" s="1766"/>
      <c r="R110" s="1766"/>
      <c r="S110" s="1766"/>
      <c r="T110" s="1766"/>
      <c r="U110" s="1766"/>
      <c r="V110" s="1766"/>
      <c r="W110" s="1766"/>
      <c r="X110" s="1766"/>
      <c r="Y110" s="1766"/>
      <c r="Z110" s="1766"/>
    </row>
    <row r="111" spans="1:26">
      <c r="A111" s="1766"/>
      <c r="B111" s="1766"/>
      <c r="C111" s="1766"/>
      <c r="D111" s="1766"/>
      <c r="E111" s="1766"/>
      <c r="F111" s="1766"/>
      <c r="G111" s="1766"/>
      <c r="H111" s="1766"/>
      <c r="I111" s="1766"/>
      <c r="J111" s="1766"/>
      <c r="K111" s="1766"/>
      <c r="L111" s="1766"/>
      <c r="M111" s="1766"/>
      <c r="N111" s="1766"/>
      <c r="O111" s="1766"/>
      <c r="P111" s="1766"/>
      <c r="Q111" s="1766"/>
      <c r="R111" s="1766"/>
      <c r="S111" s="1766"/>
      <c r="T111" s="1766"/>
      <c r="U111" s="1766"/>
      <c r="V111" s="1766"/>
      <c r="W111" s="1766"/>
      <c r="X111" s="1766"/>
      <c r="Y111" s="1766"/>
      <c r="Z111" s="1766"/>
    </row>
    <row r="112" spans="1:26">
      <c r="A112" s="1766"/>
      <c r="B112" s="1766"/>
      <c r="C112" s="1766"/>
      <c r="D112" s="1766"/>
      <c r="E112" s="1766"/>
      <c r="F112" s="1766"/>
      <c r="G112" s="1766"/>
      <c r="H112" s="1766"/>
      <c r="I112" s="1766"/>
      <c r="J112" s="1766"/>
      <c r="K112" s="1766"/>
      <c r="L112" s="1766"/>
      <c r="M112" s="1766"/>
      <c r="N112" s="1766"/>
      <c r="O112" s="1766"/>
      <c r="P112" s="1766"/>
      <c r="Q112" s="1766"/>
      <c r="R112" s="1766"/>
      <c r="S112" s="1766"/>
      <c r="T112" s="1766"/>
      <c r="U112" s="1766"/>
      <c r="V112" s="1766"/>
      <c r="W112" s="1766"/>
      <c r="X112" s="1766"/>
      <c r="Y112" s="1766"/>
      <c r="Z112" s="1766"/>
    </row>
    <row r="113" spans="1:26">
      <c r="A113" s="1766"/>
      <c r="B113" s="1766"/>
      <c r="C113" s="1766"/>
      <c r="D113" s="1766"/>
      <c r="E113" s="1766"/>
      <c r="F113" s="1766"/>
      <c r="G113" s="1766"/>
      <c r="H113" s="1766"/>
      <c r="I113" s="1766"/>
      <c r="J113" s="1766"/>
      <c r="K113" s="1766"/>
      <c r="L113" s="1766"/>
      <c r="M113" s="1766"/>
      <c r="N113" s="1766"/>
      <c r="O113" s="1766"/>
      <c r="P113" s="1766"/>
      <c r="Q113" s="1766"/>
      <c r="R113" s="1766"/>
      <c r="S113" s="1766"/>
      <c r="T113" s="1766"/>
      <c r="U113" s="1766"/>
      <c r="V113" s="1766"/>
      <c r="W113" s="1766"/>
      <c r="X113" s="1766"/>
      <c r="Y113" s="1766"/>
      <c r="Z113" s="1766"/>
    </row>
    <row r="114" spans="1:26">
      <c r="A114" s="1766"/>
      <c r="B114" s="1766"/>
      <c r="C114" s="1766"/>
      <c r="D114" s="1766"/>
      <c r="E114" s="1766"/>
      <c r="F114" s="1766"/>
      <c r="G114" s="1766"/>
      <c r="H114" s="1766"/>
      <c r="I114" s="1766"/>
      <c r="J114" s="1766"/>
      <c r="K114" s="1766"/>
      <c r="L114" s="1766"/>
      <c r="M114" s="1766"/>
      <c r="N114" s="1766"/>
      <c r="O114" s="1766"/>
      <c r="P114" s="1766"/>
      <c r="Q114" s="1766"/>
      <c r="R114" s="1766"/>
      <c r="S114" s="1766"/>
      <c r="T114" s="1766"/>
      <c r="U114" s="1766"/>
      <c r="V114" s="1766"/>
      <c r="W114" s="1766"/>
      <c r="X114" s="1766"/>
      <c r="Y114" s="1766"/>
      <c r="Z114" s="1766"/>
    </row>
    <row r="115" spans="1:26">
      <c r="A115" s="1766"/>
      <c r="B115" s="1766"/>
      <c r="C115" s="1766"/>
      <c r="D115" s="1766"/>
      <c r="E115" s="1766"/>
      <c r="F115" s="1766"/>
      <c r="G115" s="1766"/>
      <c r="H115" s="1766"/>
      <c r="I115" s="1766"/>
      <c r="J115" s="1766"/>
      <c r="K115" s="1766"/>
      <c r="L115" s="1766"/>
      <c r="M115" s="1766"/>
      <c r="N115" s="1766"/>
      <c r="O115" s="1766"/>
      <c r="P115" s="1766"/>
      <c r="Q115" s="1766"/>
      <c r="R115" s="1766"/>
      <c r="S115" s="1766"/>
      <c r="T115" s="1766"/>
      <c r="U115" s="1766"/>
      <c r="V115" s="1766"/>
      <c r="W115" s="1766"/>
      <c r="X115" s="1766"/>
      <c r="Y115" s="1766"/>
      <c r="Z115" s="1766"/>
    </row>
    <row r="116" spans="1:26">
      <c r="A116" s="1766"/>
      <c r="B116" s="1766"/>
      <c r="C116" s="1766"/>
      <c r="D116" s="1766"/>
      <c r="E116" s="1766"/>
      <c r="F116" s="1766"/>
      <c r="G116" s="1766"/>
      <c r="H116" s="1766"/>
      <c r="I116" s="1766"/>
      <c r="J116" s="1766"/>
      <c r="K116" s="1766"/>
      <c r="L116" s="1766"/>
      <c r="M116" s="1766"/>
      <c r="N116" s="1766"/>
      <c r="O116" s="1766"/>
      <c r="P116" s="1766"/>
      <c r="Q116" s="1766"/>
      <c r="R116" s="1766"/>
      <c r="S116" s="1766"/>
      <c r="T116" s="1766"/>
      <c r="U116" s="1766"/>
      <c r="V116" s="1766"/>
      <c r="W116" s="1766"/>
      <c r="X116" s="1766"/>
      <c r="Y116" s="1766"/>
      <c r="Z116" s="1766"/>
    </row>
    <row r="117" spans="1:26">
      <c r="A117" s="1766"/>
      <c r="B117" s="1766"/>
      <c r="C117" s="1766"/>
      <c r="D117" s="1766"/>
      <c r="E117" s="1766"/>
      <c r="F117" s="1766"/>
      <c r="G117" s="1766"/>
      <c r="H117" s="1766"/>
      <c r="I117" s="1766"/>
      <c r="J117" s="1766"/>
      <c r="K117" s="1766"/>
      <c r="L117" s="1766"/>
      <c r="M117" s="1766"/>
      <c r="N117" s="1766"/>
      <c r="O117" s="1766"/>
      <c r="P117" s="1766"/>
      <c r="Q117" s="1766"/>
      <c r="R117" s="1766"/>
      <c r="S117" s="1766"/>
      <c r="T117" s="1766"/>
      <c r="U117" s="1766"/>
      <c r="V117" s="1766"/>
      <c r="W117" s="1766"/>
      <c r="X117" s="1766"/>
      <c r="Y117" s="1766"/>
      <c r="Z117" s="1766"/>
    </row>
    <row r="118" spans="1:26">
      <c r="A118" s="1766"/>
      <c r="B118" s="1766"/>
      <c r="C118" s="1766"/>
      <c r="D118" s="1766"/>
      <c r="E118" s="1766"/>
      <c r="F118" s="1766"/>
      <c r="G118" s="1766"/>
      <c r="H118" s="1766"/>
      <c r="I118" s="1766"/>
      <c r="J118" s="1766"/>
      <c r="K118" s="1766"/>
      <c r="L118" s="1766"/>
      <c r="M118" s="1766"/>
      <c r="N118" s="1766"/>
      <c r="O118" s="1766"/>
      <c r="P118" s="1766"/>
      <c r="Q118" s="1766"/>
      <c r="R118" s="1766"/>
      <c r="S118" s="1766"/>
      <c r="T118" s="1766"/>
      <c r="U118" s="1766"/>
      <c r="V118" s="1766"/>
      <c r="W118" s="1766"/>
      <c r="X118" s="1766"/>
      <c r="Y118" s="1766"/>
      <c r="Z118" s="1766"/>
    </row>
    <row r="119" spans="1:26">
      <c r="A119" s="1766"/>
      <c r="B119" s="1766"/>
      <c r="C119" s="1766"/>
      <c r="D119" s="1766"/>
      <c r="E119" s="1766"/>
      <c r="F119" s="1766"/>
      <c r="G119" s="1766"/>
      <c r="H119" s="1766"/>
      <c r="I119" s="1766"/>
      <c r="J119" s="1766"/>
      <c r="K119" s="1766"/>
      <c r="L119" s="1766"/>
      <c r="M119" s="1766"/>
      <c r="N119" s="1766"/>
      <c r="O119" s="1766"/>
      <c r="P119" s="1766"/>
      <c r="Q119" s="1766"/>
      <c r="R119" s="1766"/>
      <c r="S119" s="1766"/>
      <c r="T119" s="1766"/>
      <c r="U119" s="1766"/>
      <c r="V119" s="1766"/>
      <c r="W119" s="1766"/>
      <c r="X119" s="1766"/>
      <c r="Y119" s="1766"/>
      <c r="Z119" s="1766"/>
    </row>
    <row r="120" spans="1:26">
      <c r="A120" s="1766"/>
      <c r="B120" s="1766"/>
      <c r="C120" s="1766"/>
      <c r="D120" s="1766"/>
      <c r="E120" s="1766"/>
      <c r="F120" s="1766"/>
      <c r="G120" s="1766"/>
      <c r="H120" s="1766"/>
      <c r="I120" s="1766"/>
      <c r="J120" s="1766"/>
      <c r="K120" s="1766"/>
      <c r="L120" s="1766"/>
      <c r="M120" s="1766"/>
      <c r="N120" s="1766"/>
      <c r="O120" s="1766"/>
      <c r="P120" s="1766"/>
      <c r="Q120" s="1766"/>
      <c r="R120" s="1766"/>
      <c r="S120" s="1766"/>
      <c r="T120" s="1766"/>
      <c r="U120" s="1766"/>
      <c r="V120" s="1766"/>
      <c r="W120" s="1766"/>
      <c r="X120" s="1766"/>
      <c r="Y120" s="1766"/>
      <c r="Z120" s="1766"/>
    </row>
    <row r="121" spans="1:26">
      <c r="A121" s="1766"/>
      <c r="B121" s="1766"/>
      <c r="C121" s="1766"/>
      <c r="D121" s="1766"/>
      <c r="E121" s="1766"/>
      <c r="F121" s="1766"/>
      <c r="G121" s="1766"/>
      <c r="H121" s="1766"/>
      <c r="I121" s="1766"/>
      <c r="J121" s="1766"/>
      <c r="K121" s="1766"/>
      <c r="L121" s="1766"/>
      <c r="M121" s="1766"/>
      <c r="N121" s="1766"/>
      <c r="O121" s="1766"/>
      <c r="P121" s="1766"/>
      <c r="Q121" s="1766"/>
      <c r="R121" s="1766"/>
      <c r="S121" s="1766"/>
      <c r="T121" s="1766"/>
      <c r="U121" s="1766"/>
      <c r="V121" s="1766"/>
      <c r="W121" s="1766"/>
      <c r="X121" s="1766"/>
      <c r="Y121" s="1766"/>
      <c r="Z121" s="1766"/>
    </row>
    <row r="122" spans="1:26">
      <c r="A122" s="1766"/>
      <c r="B122" s="1766"/>
      <c r="C122" s="1766"/>
      <c r="D122" s="1766"/>
      <c r="E122" s="1766"/>
      <c r="F122" s="1766"/>
      <c r="G122" s="1766"/>
      <c r="H122" s="1766"/>
      <c r="I122" s="1766"/>
      <c r="J122" s="1766"/>
      <c r="K122" s="1766"/>
      <c r="L122" s="1766"/>
      <c r="M122" s="1766"/>
      <c r="N122" s="1766"/>
      <c r="O122" s="1766"/>
      <c r="P122" s="1766"/>
      <c r="Q122" s="1766"/>
      <c r="R122" s="1766"/>
      <c r="S122" s="1766"/>
      <c r="T122" s="1766"/>
      <c r="U122" s="1766"/>
      <c r="V122" s="1766"/>
      <c r="W122" s="1766"/>
      <c r="X122" s="1766"/>
      <c r="Y122" s="1766"/>
      <c r="Z122" s="1766"/>
    </row>
    <row r="123" spans="1:26">
      <c r="A123" s="1766"/>
      <c r="B123" s="1766"/>
      <c r="C123" s="1766"/>
      <c r="D123" s="1766"/>
      <c r="E123" s="1766"/>
      <c r="F123" s="1766"/>
      <c r="G123" s="1766"/>
      <c r="H123" s="1766"/>
      <c r="I123" s="1766"/>
      <c r="J123" s="1766"/>
      <c r="K123" s="1766"/>
      <c r="L123" s="1766"/>
      <c r="M123" s="1766"/>
      <c r="N123" s="1766"/>
      <c r="O123" s="1766"/>
      <c r="P123" s="1766"/>
      <c r="Q123" s="1766"/>
      <c r="R123" s="1766"/>
      <c r="S123" s="1766"/>
      <c r="T123" s="1766"/>
      <c r="U123" s="1766"/>
      <c r="V123" s="1766"/>
      <c r="W123" s="1766"/>
      <c r="X123" s="1766"/>
      <c r="Y123" s="1766"/>
      <c r="Z123" s="1766"/>
    </row>
    <row r="124" spans="1:26">
      <c r="A124" s="1766"/>
      <c r="B124" s="1766"/>
      <c r="C124" s="1766"/>
      <c r="D124" s="1766"/>
      <c r="E124" s="1766"/>
      <c r="F124" s="1766"/>
      <c r="G124" s="1766"/>
      <c r="H124" s="1766"/>
      <c r="I124" s="1766"/>
      <c r="J124" s="1766"/>
      <c r="K124" s="1766"/>
      <c r="L124" s="1766"/>
      <c r="M124" s="1766"/>
      <c r="N124" s="1766"/>
      <c r="O124" s="1766"/>
      <c r="P124" s="1766"/>
      <c r="Q124" s="1766"/>
      <c r="R124" s="1766"/>
      <c r="S124" s="1766"/>
      <c r="T124" s="1766"/>
      <c r="U124" s="1766"/>
      <c r="V124" s="1766"/>
      <c r="W124" s="1766"/>
      <c r="X124" s="1766"/>
      <c r="Y124" s="1766"/>
      <c r="Z124" s="1766"/>
    </row>
    <row r="125" spans="1:26">
      <c r="A125" s="1766"/>
      <c r="B125" s="1766"/>
      <c r="C125" s="1766"/>
      <c r="D125" s="1766"/>
      <c r="E125" s="1766"/>
      <c r="F125" s="1766"/>
      <c r="G125" s="1766"/>
      <c r="H125" s="1766"/>
      <c r="I125" s="1766"/>
      <c r="J125" s="1766"/>
      <c r="K125" s="1766"/>
      <c r="L125" s="1766"/>
      <c r="M125" s="1766"/>
      <c r="N125" s="1766"/>
      <c r="O125" s="1766"/>
      <c r="P125" s="1766"/>
      <c r="Q125" s="1766"/>
      <c r="R125" s="1766"/>
      <c r="S125" s="1766"/>
      <c r="T125" s="1766"/>
      <c r="U125" s="1766"/>
      <c r="V125" s="1766"/>
      <c r="W125" s="1766"/>
      <c r="X125" s="1766"/>
      <c r="Y125" s="1766"/>
      <c r="Z125" s="1766"/>
    </row>
    <row r="126" spans="1:26">
      <c r="A126" s="1766"/>
      <c r="B126" s="1766"/>
      <c r="C126" s="1766"/>
      <c r="D126" s="1766"/>
      <c r="E126" s="1766"/>
      <c r="F126" s="1766"/>
      <c r="G126" s="1766"/>
      <c r="H126" s="1766"/>
      <c r="I126" s="1766"/>
      <c r="J126" s="1766"/>
      <c r="K126" s="1766"/>
      <c r="L126" s="1766"/>
      <c r="M126" s="1766"/>
      <c r="N126" s="1766"/>
      <c r="O126" s="1766"/>
      <c r="P126" s="1766"/>
      <c r="Q126" s="1766"/>
      <c r="R126" s="1766"/>
      <c r="S126" s="1766"/>
      <c r="T126" s="1766"/>
      <c r="U126" s="1766"/>
      <c r="V126" s="1766"/>
      <c r="W126" s="1766"/>
      <c r="X126" s="1766"/>
      <c r="Y126" s="1766"/>
      <c r="Z126" s="1766"/>
    </row>
    <row r="127" spans="1:26">
      <c r="A127" s="1766"/>
      <c r="B127" s="1766"/>
      <c r="C127" s="1766"/>
      <c r="D127" s="1766"/>
      <c r="E127" s="1766"/>
      <c r="F127" s="1766"/>
      <c r="G127" s="1766"/>
      <c r="H127" s="1766"/>
      <c r="I127" s="1766"/>
      <c r="J127" s="1766"/>
      <c r="K127" s="1766"/>
      <c r="L127" s="1766"/>
      <c r="M127" s="1766"/>
      <c r="N127" s="1766"/>
      <c r="O127" s="1766"/>
      <c r="P127" s="1766"/>
      <c r="Q127" s="1766"/>
      <c r="R127" s="1766"/>
      <c r="S127" s="1766"/>
      <c r="T127" s="1766"/>
      <c r="U127" s="1766"/>
      <c r="V127" s="1766"/>
      <c r="W127" s="1766"/>
      <c r="X127" s="1766"/>
      <c r="Y127" s="1766"/>
      <c r="Z127" s="1766"/>
    </row>
    <row r="128" spans="1:26">
      <c r="A128" s="1766"/>
      <c r="B128" s="1766"/>
      <c r="C128" s="1766"/>
      <c r="D128" s="1766"/>
      <c r="E128" s="1766"/>
      <c r="F128" s="1766"/>
      <c r="G128" s="1766"/>
      <c r="H128" s="1766"/>
      <c r="I128" s="1766"/>
      <c r="J128" s="1766"/>
      <c r="K128" s="1766"/>
      <c r="L128" s="1766"/>
      <c r="M128" s="1766"/>
      <c r="N128" s="1766"/>
      <c r="O128" s="1766"/>
      <c r="P128" s="1766"/>
      <c r="Q128" s="1766"/>
      <c r="R128" s="1766"/>
      <c r="S128" s="1766"/>
      <c r="T128" s="1766"/>
      <c r="U128" s="1766"/>
      <c r="V128" s="1766"/>
      <c r="W128" s="1766"/>
      <c r="X128" s="1766"/>
      <c r="Y128" s="1766"/>
      <c r="Z128" s="1766"/>
    </row>
    <row r="129" spans="1:26">
      <c r="A129" s="1766"/>
      <c r="B129" s="1766"/>
      <c r="C129" s="1766"/>
      <c r="D129" s="1766"/>
      <c r="E129" s="1766"/>
      <c r="F129" s="1766"/>
      <c r="G129" s="1766"/>
      <c r="H129" s="1766"/>
      <c r="I129" s="1766"/>
      <c r="J129" s="1766"/>
      <c r="K129" s="1766"/>
      <c r="L129" s="1766"/>
      <c r="M129" s="1766"/>
      <c r="N129" s="1766"/>
      <c r="O129" s="1766"/>
      <c r="P129" s="1766"/>
      <c r="Q129" s="1766"/>
      <c r="R129" s="1766"/>
      <c r="S129" s="1766"/>
      <c r="T129" s="1766"/>
      <c r="U129" s="1766"/>
      <c r="V129" s="1766"/>
      <c r="W129" s="1766"/>
      <c r="X129" s="1766"/>
      <c r="Y129" s="1766"/>
      <c r="Z129" s="1766"/>
    </row>
    <row r="130" spans="1:26">
      <c r="A130" s="1766"/>
      <c r="B130" s="1766"/>
      <c r="C130" s="1766"/>
      <c r="D130" s="1766"/>
      <c r="E130" s="1766"/>
      <c r="F130" s="1766"/>
      <c r="G130" s="1766"/>
      <c r="H130" s="1766"/>
      <c r="I130" s="1766"/>
      <c r="J130" s="1766"/>
      <c r="K130" s="1766"/>
      <c r="L130" s="1766"/>
      <c r="M130" s="1766"/>
      <c r="N130" s="1766"/>
      <c r="O130" s="1766"/>
      <c r="P130" s="1766"/>
      <c r="Q130" s="1766"/>
      <c r="R130" s="1766"/>
      <c r="S130" s="1766"/>
      <c r="T130" s="1766"/>
      <c r="U130" s="1766"/>
      <c r="V130" s="1766"/>
      <c r="W130" s="1766"/>
      <c r="X130" s="1766"/>
      <c r="Y130" s="1766"/>
      <c r="Z130" s="1766"/>
    </row>
    <row r="131" spans="1:26">
      <c r="A131" s="1766"/>
      <c r="B131" s="1766"/>
      <c r="C131" s="1766"/>
      <c r="D131" s="1766"/>
      <c r="E131" s="1766"/>
      <c r="F131" s="1766"/>
      <c r="G131" s="1766"/>
      <c r="H131" s="1766"/>
      <c r="I131" s="1766"/>
      <c r="J131" s="1766"/>
      <c r="K131" s="1766"/>
      <c r="L131" s="1766"/>
      <c r="M131" s="1766"/>
      <c r="N131" s="1766"/>
      <c r="O131" s="1766"/>
      <c r="P131" s="1766"/>
      <c r="Q131" s="1766"/>
      <c r="R131" s="1766"/>
      <c r="S131" s="1766"/>
      <c r="T131" s="1766"/>
      <c r="U131" s="1766"/>
      <c r="V131" s="1766"/>
      <c r="W131" s="1766"/>
      <c r="X131" s="1766"/>
      <c r="Y131" s="1766"/>
      <c r="Z131" s="1766"/>
    </row>
    <row r="132" spans="1:26">
      <c r="A132" s="1766"/>
      <c r="B132" s="1766"/>
      <c r="C132" s="1766"/>
      <c r="D132" s="1766"/>
      <c r="E132" s="1766"/>
      <c r="F132" s="1766"/>
      <c r="G132" s="1766"/>
      <c r="H132" s="1766"/>
      <c r="I132" s="1766"/>
      <c r="J132" s="1766"/>
      <c r="K132" s="1766"/>
      <c r="L132" s="1766"/>
      <c r="M132" s="1766"/>
      <c r="N132" s="1766"/>
      <c r="O132" s="1766"/>
      <c r="P132" s="1766"/>
      <c r="Q132" s="1766"/>
      <c r="R132" s="1766"/>
      <c r="S132" s="1766"/>
      <c r="T132" s="1766"/>
      <c r="U132" s="1766"/>
      <c r="V132" s="1766"/>
      <c r="W132" s="1766"/>
      <c r="X132" s="1766"/>
      <c r="Y132" s="1766"/>
      <c r="Z132" s="1766"/>
    </row>
    <row r="133" spans="1:26">
      <c r="A133" s="1766"/>
      <c r="B133" s="1766"/>
      <c r="C133" s="1766"/>
      <c r="D133" s="1766"/>
      <c r="E133" s="1766"/>
      <c r="F133" s="1766"/>
      <c r="G133" s="1766"/>
      <c r="H133" s="1766"/>
      <c r="I133" s="1766"/>
      <c r="J133" s="1766"/>
      <c r="K133" s="1766"/>
      <c r="L133" s="1766"/>
      <c r="M133" s="1766"/>
      <c r="N133" s="1766"/>
      <c r="O133" s="1766"/>
      <c r="P133" s="1766"/>
      <c r="Q133" s="1766"/>
      <c r="R133" s="1766"/>
      <c r="S133" s="1766"/>
      <c r="T133" s="1766"/>
      <c r="U133" s="1766"/>
      <c r="V133" s="1766"/>
      <c r="W133" s="1766"/>
      <c r="X133" s="1766"/>
      <c r="Y133" s="1766"/>
      <c r="Z133" s="1766"/>
    </row>
    <row r="134" spans="1:26">
      <c r="A134" s="1766"/>
      <c r="B134" s="1766"/>
      <c r="C134" s="1766"/>
      <c r="D134" s="1766"/>
      <c r="E134" s="1766"/>
      <c r="F134" s="1766"/>
      <c r="G134" s="1766"/>
      <c r="H134" s="1766"/>
      <c r="I134" s="1766"/>
      <c r="J134" s="1766"/>
      <c r="K134" s="1766"/>
      <c r="L134" s="1766"/>
      <c r="M134" s="1766"/>
      <c r="N134" s="1766"/>
      <c r="O134" s="1766"/>
      <c r="P134" s="1766"/>
      <c r="Q134" s="1766"/>
      <c r="R134" s="1766"/>
      <c r="S134" s="1766"/>
      <c r="T134" s="1766"/>
      <c r="U134" s="1766"/>
      <c r="V134" s="1766"/>
      <c r="W134" s="1766"/>
      <c r="X134" s="1766"/>
      <c r="Y134" s="1766"/>
      <c r="Z134" s="1766"/>
    </row>
    <row r="135" spans="1:26">
      <c r="A135" s="1766"/>
      <c r="B135" s="1766"/>
      <c r="C135" s="1766"/>
      <c r="D135" s="1766"/>
      <c r="E135" s="1766"/>
      <c r="F135" s="1766"/>
      <c r="G135" s="1766"/>
      <c r="H135" s="1766"/>
      <c r="I135" s="1766"/>
      <c r="J135" s="1766"/>
      <c r="K135" s="1766"/>
      <c r="L135" s="1766"/>
      <c r="M135" s="1766"/>
      <c r="N135" s="1766"/>
      <c r="O135" s="1766"/>
      <c r="P135" s="1766"/>
      <c r="Q135" s="1766"/>
      <c r="R135" s="1766"/>
      <c r="S135" s="1766"/>
      <c r="T135" s="1766"/>
      <c r="U135" s="1766"/>
      <c r="V135" s="1766"/>
      <c r="W135" s="1766"/>
      <c r="X135" s="1766"/>
      <c r="Y135" s="1766"/>
      <c r="Z135" s="1766"/>
    </row>
    <row r="136" spans="1:26">
      <c r="A136" s="1766"/>
      <c r="B136" s="1766"/>
      <c r="C136" s="1766"/>
      <c r="D136" s="1766"/>
      <c r="E136" s="1766"/>
      <c r="F136" s="1766"/>
      <c r="G136" s="1766"/>
      <c r="H136" s="1766"/>
      <c r="I136" s="1766"/>
      <c r="J136" s="1766"/>
      <c r="K136" s="1766"/>
      <c r="L136" s="1766"/>
      <c r="M136" s="1766"/>
      <c r="N136" s="1766"/>
      <c r="O136" s="1766"/>
      <c r="P136" s="1766"/>
      <c r="Q136" s="1766"/>
      <c r="R136" s="1766"/>
      <c r="S136" s="1766"/>
      <c r="T136" s="1766"/>
      <c r="U136" s="1766"/>
      <c r="V136" s="1766"/>
      <c r="W136" s="1766"/>
      <c r="X136" s="1766"/>
      <c r="Y136" s="1766"/>
      <c r="Z136" s="1766"/>
    </row>
    <row r="137" spans="1:26">
      <c r="A137" s="1766"/>
      <c r="B137" s="1766"/>
      <c r="C137" s="1766"/>
      <c r="D137" s="1766"/>
      <c r="E137" s="1766"/>
      <c r="F137" s="1766"/>
      <c r="G137" s="1766"/>
      <c r="H137" s="1766"/>
      <c r="I137" s="1766"/>
      <c r="J137" s="1766"/>
      <c r="K137" s="1766"/>
      <c r="L137" s="1766"/>
      <c r="M137" s="1766"/>
      <c r="N137" s="1766"/>
      <c r="O137" s="1766"/>
      <c r="P137" s="1766"/>
      <c r="Q137" s="1766"/>
      <c r="R137" s="1766"/>
      <c r="S137" s="1766"/>
      <c r="T137" s="1766"/>
      <c r="U137" s="1766"/>
      <c r="V137" s="1766"/>
      <c r="W137" s="1766"/>
      <c r="X137" s="1766"/>
      <c r="Y137" s="1766"/>
      <c r="Z137" s="1766"/>
    </row>
    <row r="138" spans="1:26">
      <c r="A138" s="1766"/>
      <c r="B138" s="1766"/>
      <c r="C138" s="1766"/>
      <c r="D138" s="1766"/>
      <c r="E138" s="1766"/>
      <c r="F138" s="1766"/>
      <c r="G138" s="1766"/>
      <c r="H138" s="1766"/>
      <c r="I138" s="1766"/>
      <c r="J138" s="1766"/>
      <c r="K138" s="1766"/>
      <c r="L138" s="1766"/>
      <c r="M138" s="1766"/>
      <c r="N138" s="1766"/>
      <c r="O138" s="1766"/>
      <c r="P138" s="1766"/>
      <c r="Q138" s="1766"/>
      <c r="R138" s="1766"/>
      <c r="S138" s="1766"/>
      <c r="T138" s="1766"/>
      <c r="U138" s="1766"/>
      <c r="V138" s="1766"/>
      <c r="W138" s="1766"/>
      <c r="X138" s="1766"/>
      <c r="Y138" s="1766"/>
      <c r="Z138" s="1766"/>
    </row>
    <row r="139" spans="1:26">
      <c r="A139" s="1766"/>
      <c r="B139" s="1766"/>
      <c r="C139" s="1766"/>
      <c r="D139" s="1766"/>
      <c r="E139" s="1766"/>
      <c r="F139" s="1766"/>
      <c r="G139" s="1766"/>
      <c r="H139" s="1766"/>
      <c r="I139" s="1766"/>
      <c r="J139" s="1766"/>
      <c r="K139" s="1766"/>
      <c r="L139" s="1766"/>
      <c r="M139" s="1766"/>
      <c r="N139" s="1766"/>
      <c r="O139" s="1766"/>
      <c r="P139" s="1766"/>
      <c r="Q139" s="1766"/>
      <c r="R139" s="1766"/>
      <c r="S139" s="1766"/>
      <c r="T139" s="1766"/>
      <c r="U139" s="1766"/>
      <c r="V139" s="1766"/>
      <c r="W139" s="1766"/>
      <c r="X139" s="1766"/>
      <c r="Y139" s="1766"/>
      <c r="Z139" s="1766"/>
    </row>
    <row r="140" spans="1:26">
      <c r="A140" s="1766"/>
      <c r="B140" s="1766"/>
      <c r="C140" s="1766"/>
      <c r="D140" s="1766"/>
      <c r="E140" s="1766"/>
      <c r="F140" s="1766"/>
      <c r="G140" s="1766"/>
      <c r="H140" s="1766"/>
      <c r="I140" s="1766"/>
      <c r="J140" s="1766"/>
      <c r="K140" s="1766"/>
      <c r="L140" s="1766"/>
      <c r="M140" s="1766"/>
      <c r="N140" s="1766"/>
      <c r="O140" s="1766"/>
      <c r="P140" s="1766"/>
      <c r="Q140" s="1766"/>
      <c r="R140" s="1766"/>
      <c r="S140" s="1766"/>
      <c r="T140" s="1766"/>
      <c r="U140" s="1766"/>
      <c r="V140" s="1766"/>
      <c r="W140" s="1766"/>
      <c r="X140" s="1766"/>
      <c r="Y140" s="1766"/>
      <c r="Z140" s="1766"/>
    </row>
    <row r="141" spans="1:26">
      <c r="A141" s="1766"/>
      <c r="B141" s="1766"/>
      <c r="C141" s="1766"/>
      <c r="D141" s="1766"/>
      <c r="E141" s="1766"/>
      <c r="F141" s="1766"/>
      <c r="G141" s="1766"/>
      <c r="H141" s="1766"/>
      <c r="I141" s="1766"/>
      <c r="J141" s="1766"/>
      <c r="K141" s="1766"/>
      <c r="L141" s="1766"/>
      <c r="M141" s="1766"/>
      <c r="N141" s="1766"/>
      <c r="O141" s="1766"/>
      <c r="P141" s="1766"/>
      <c r="Q141" s="1766"/>
      <c r="R141" s="1766"/>
      <c r="S141" s="1766"/>
      <c r="T141" s="1766"/>
      <c r="U141" s="1766"/>
      <c r="V141" s="1766"/>
      <c r="W141" s="1766"/>
      <c r="X141" s="1766"/>
      <c r="Y141" s="1766"/>
      <c r="Z141" s="1766"/>
    </row>
    <row r="142" spans="1:26">
      <c r="A142" s="1766"/>
      <c r="B142" s="1766"/>
      <c r="C142" s="1766"/>
      <c r="D142" s="1766"/>
      <c r="E142" s="1766"/>
      <c r="F142" s="1766"/>
      <c r="G142" s="1766"/>
      <c r="H142" s="1766"/>
      <c r="I142" s="1766"/>
      <c r="J142" s="1766"/>
      <c r="K142" s="1766"/>
      <c r="L142" s="1766"/>
      <c r="M142" s="1766"/>
      <c r="N142" s="1766"/>
      <c r="O142" s="1766"/>
      <c r="P142" s="1766"/>
      <c r="Q142" s="1766"/>
      <c r="R142" s="1766"/>
      <c r="S142" s="1766"/>
      <c r="T142" s="1766"/>
      <c r="U142" s="1766"/>
      <c r="V142" s="1766"/>
      <c r="W142" s="1766"/>
      <c r="X142" s="1766"/>
      <c r="Y142" s="1766"/>
      <c r="Z142" s="1766"/>
    </row>
    <row r="143" spans="1:26">
      <c r="A143" s="1766"/>
      <c r="B143" s="1766"/>
      <c r="C143" s="1766"/>
      <c r="D143" s="1766"/>
      <c r="E143" s="1766"/>
      <c r="F143" s="1766"/>
      <c r="G143" s="1766"/>
      <c r="H143" s="1766"/>
      <c r="I143" s="1766"/>
      <c r="J143" s="1766"/>
      <c r="K143" s="1766"/>
      <c r="L143" s="1766"/>
      <c r="M143" s="1766"/>
      <c r="N143" s="1766"/>
      <c r="O143" s="1766"/>
      <c r="P143" s="1766"/>
      <c r="Q143" s="1766"/>
      <c r="R143" s="1766"/>
      <c r="S143" s="1766"/>
      <c r="T143" s="1766"/>
      <c r="U143" s="1766"/>
      <c r="V143" s="1766"/>
      <c r="W143" s="1766"/>
      <c r="X143" s="1766"/>
      <c r="Y143" s="1766"/>
      <c r="Z143" s="1766"/>
    </row>
    <row r="144" spans="1:26">
      <c r="A144" s="1766"/>
      <c r="B144" s="1766"/>
      <c r="C144" s="1766"/>
      <c r="D144" s="1766"/>
      <c r="E144" s="1766"/>
      <c r="F144" s="1766"/>
      <c r="G144" s="1766"/>
      <c r="H144" s="1766"/>
      <c r="I144" s="1766"/>
      <c r="J144" s="1766"/>
      <c r="K144" s="1766"/>
      <c r="L144" s="1766"/>
      <c r="M144" s="1766"/>
      <c r="N144" s="1766"/>
      <c r="O144" s="1766"/>
      <c r="P144" s="1766"/>
      <c r="Q144" s="1766"/>
      <c r="R144" s="1766"/>
      <c r="S144" s="1766"/>
      <c r="T144" s="1766"/>
      <c r="U144" s="1766"/>
      <c r="V144" s="1766"/>
      <c r="W144" s="1766"/>
      <c r="X144" s="1766"/>
      <c r="Y144" s="1766"/>
      <c r="Z144" s="1766"/>
    </row>
    <row r="145" spans="1:26">
      <c r="A145" s="1766"/>
      <c r="B145" s="1766"/>
      <c r="C145" s="1766"/>
      <c r="D145" s="1766"/>
      <c r="E145" s="1766"/>
      <c r="F145" s="1766"/>
      <c r="G145" s="1766"/>
      <c r="H145" s="1766"/>
      <c r="I145" s="1766"/>
      <c r="J145" s="1766"/>
      <c r="K145" s="1766"/>
      <c r="L145" s="1766"/>
      <c r="M145" s="1766"/>
      <c r="N145" s="1766"/>
      <c r="O145" s="1766"/>
      <c r="P145" s="1766"/>
      <c r="Q145" s="1766"/>
      <c r="R145" s="1766"/>
      <c r="S145" s="1766"/>
      <c r="T145" s="1766"/>
      <c r="U145" s="1766"/>
      <c r="V145" s="1766"/>
      <c r="W145" s="1766"/>
      <c r="X145" s="1766"/>
      <c r="Y145" s="1766"/>
      <c r="Z145" s="1766"/>
    </row>
    <row r="146" spans="1:26">
      <c r="A146" s="1766"/>
      <c r="B146" s="1766"/>
      <c r="C146" s="1766"/>
      <c r="D146" s="1766"/>
      <c r="E146" s="1766"/>
      <c r="F146" s="1766"/>
      <c r="G146" s="1766"/>
      <c r="H146" s="1766"/>
      <c r="I146" s="1766"/>
      <c r="J146" s="1766"/>
      <c r="K146" s="1766"/>
      <c r="L146" s="1766"/>
      <c r="M146" s="1766"/>
      <c r="N146" s="1766"/>
      <c r="O146" s="1766"/>
      <c r="P146" s="1766"/>
      <c r="Q146" s="1766"/>
      <c r="R146" s="1766"/>
      <c r="S146" s="1766"/>
      <c r="T146" s="1766"/>
      <c r="U146" s="1766"/>
      <c r="V146" s="1766"/>
      <c r="W146" s="1766"/>
      <c r="X146" s="1766"/>
      <c r="Y146" s="1766"/>
      <c r="Z146" s="1766"/>
    </row>
    <row r="147" spans="1:26">
      <c r="A147" s="1766"/>
      <c r="B147" s="1766"/>
      <c r="C147" s="1766"/>
      <c r="D147" s="1766"/>
      <c r="E147" s="1766"/>
      <c r="F147" s="1766"/>
      <c r="G147" s="1766"/>
      <c r="H147" s="1766"/>
      <c r="I147" s="1766"/>
      <c r="J147" s="1766"/>
      <c r="K147" s="1766"/>
      <c r="L147" s="1766"/>
      <c r="M147" s="1766"/>
      <c r="N147" s="1766"/>
      <c r="O147" s="1766"/>
      <c r="P147" s="1766"/>
      <c r="Q147" s="1766"/>
      <c r="R147" s="1766"/>
      <c r="S147" s="1766"/>
      <c r="T147" s="1766"/>
      <c r="U147" s="1766"/>
      <c r="V147" s="1766"/>
      <c r="W147" s="1766"/>
      <c r="X147" s="1766"/>
      <c r="Y147" s="1766"/>
      <c r="Z147" s="1766"/>
    </row>
    <row r="148" spans="1:26">
      <c r="A148" s="1766"/>
      <c r="B148" s="1766"/>
      <c r="C148" s="1766"/>
      <c r="D148" s="1766"/>
      <c r="E148" s="1766"/>
      <c r="F148" s="1766"/>
      <c r="G148" s="1766"/>
      <c r="H148" s="1766"/>
      <c r="I148" s="1766"/>
      <c r="J148" s="1766"/>
      <c r="K148" s="1766"/>
      <c r="L148" s="1766"/>
      <c r="M148" s="1766"/>
      <c r="N148" s="1766"/>
      <c r="O148" s="1766"/>
      <c r="P148" s="1766"/>
      <c r="Q148" s="1766"/>
      <c r="R148" s="1766"/>
      <c r="S148" s="1766"/>
      <c r="T148" s="1766"/>
      <c r="U148" s="1766"/>
      <c r="V148" s="1766"/>
      <c r="W148" s="1766"/>
      <c r="X148" s="1766"/>
      <c r="Y148" s="1766"/>
      <c r="Z148" s="1766"/>
    </row>
    <row r="149" spans="1:26">
      <c r="A149" s="1766"/>
      <c r="B149" s="1766"/>
      <c r="C149" s="1766"/>
      <c r="D149" s="1766"/>
      <c r="E149" s="1766"/>
      <c r="F149" s="1766"/>
      <c r="G149" s="1766"/>
      <c r="H149" s="1766"/>
      <c r="I149" s="1766"/>
      <c r="J149" s="1766"/>
      <c r="K149" s="1766"/>
      <c r="L149" s="1766"/>
      <c r="M149" s="1766"/>
      <c r="N149" s="1766"/>
      <c r="O149" s="1766"/>
      <c r="P149" s="1766"/>
      <c r="Q149" s="1766"/>
      <c r="R149" s="1766"/>
      <c r="S149" s="1766"/>
      <c r="T149" s="1766"/>
      <c r="U149" s="1766"/>
      <c r="V149" s="1766"/>
      <c r="W149" s="1766"/>
      <c r="X149" s="1766"/>
      <c r="Y149" s="1766"/>
      <c r="Z149" s="1766"/>
    </row>
    <row r="150" spans="1:26">
      <c r="A150" s="1766"/>
      <c r="B150" s="1766"/>
      <c r="C150" s="1766"/>
      <c r="D150" s="1766"/>
      <c r="E150" s="1766"/>
      <c r="F150" s="1766"/>
      <c r="G150" s="1766"/>
      <c r="H150" s="1766"/>
      <c r="I150" s="1766"/>
      <c r="J150" s="1766"/>
      <c r="K150" s="1766"/>
      <c r="L150" s="1766"/>
      <c r="M150" s="1766"/>
      <c r="N150" s="1766"/>
      <c r="O150" s="1766"/>
      <c r="P150" s="1766"/>
      <c r="Q150" s="1766"/>
      <c r="R150" s="1766"/>
      <c r="S150" s="1766"/>
      <c r="T150" s="1766"/>
      <c r="U150" s="1766"/>
      <c r="V150" s="1766"/>
      <c r="W150" s="1766"/>
      <c r="X150" s="1766"/>
      <c r="Y150" s="1766"/>
      <c r="Z150" s="1766"/>
    </row>
    <row r="151" spans="1:26">
      <c r="A151" s="1766"/>
      <c r="B151" s="1766"/>
      <c r="C151" s="1766"/>
      <c r="D151" s="1766"/>
      <c r="E151" s="1766"/>
      <c r="F151" s="1766"/>
      <c r="G151" s="1766"/>
      <c r="H151" s="1766"/>
      <c r="I151" s="1766"/>
      <c r="J151" s="1766"/>
      <c r="K151" s="1766"/>
      <c r="L151" s="1766"/>
      <c r="M151" s="1766"/>
      <c r="N151" s="1766"/>
      <c r="O151" s="1766"/>
      <c r="P151" s="1766"/>
      <c r="Q151" s="1766"/>
      <c r="R151" s="1766"/>
      <c r="S151" s="1766"/>
      <c r="T151" s="1766"/>
      <c r="U151" s="1766"/>
      <c r="V151" s="1766"/>
      <c r="W151" s="1766"/>
      <c r="X151" s="1766"/>
      <c r="Y151" s="1766"/>
      <c r="Z151" s="1766"/>
    </row>
    <row r="152" spans="1:26">
      <c r="A152" s="1766"/>
      <c r="B152" s="1766"/>
      <c r="C152" s="1766"/>
      <c r="D152" s="1766"/>
      <c r="E152" s="1766"/>
      <c r="F152" s="1766"/>
      <c r="G152" s="1766"/>
      <c r="H152" s="1766"/>
      <c r="I152" s="1766"/>
      <c r="J152" s="1766"/>
      <c r="K152" s="1766"/>
      <c r="L152" s="1766"/>
      <c r="M152" s="1766"/>
      <c r="N152" s="1766"/>
      <c r="O152" s="1766"/>
      <c r="P152" s="1766"/>
      <c r="Q152" s="1766"/>
      <c r="R152" s="1766"/>
      <c r="S152" s="1766"/>
      <c r="T152" s="1766"/>
      <c r="U152" s="1766"/>
      <c r="V152" s="1766"/>
      <c r="W152" s="1766"/>
      <c r="X152" s="1766"/>
      <c r="Y152" s="1766"/>
      <c r="Z152" s="1766"/>
    </row>
    <row r="153" spans="1:26">
      <c r="A153" s="1766"/>
      <c r="B153" s="1766"/>
      <c r="C153" s="1766"/>
      <c r="D153" s="1766"/>
      <c r="E153" s="1766"/>
      <c r="F153" s="1766"/>
      <c r="G153" s="1766"/>
      <c r="H153" s="1766"/>
      <c r="I153" s="1766"/>
      <c r="J153" s="1766"/>
      <c r="K153" s="1766"/>
      <c r="L153" s="1766"/>
      <c r="M153" s="1766"/>
      <c r="N153" s="1766"/>
      <c r="O153" s="1766"/>
      <c r="P153" s="1766"/>
      <c r="Q153" s="1766"/>
      <c r="R153" s="1766"/>
      <c r="S153" s="1766"/>
      <c r="T153" s="1766"/>
      <c r="U153" s="1766"/>
      <c r="V153" s="1766"/>
      <c r="W153" s="1766"/>
      <c r="X153" s="1766"/>
      <c r="Y153" s="1766"/>
      <c r="Z153" s="1766"/>
    </row>
    <row r="154" spans="1:26">
      <c r="A154" s="1766"/>
      <c r="B154" s="1766"/>
      <c r="C154" s="1766"/>
      <c r="D154" s="1766"/>
      <c r="E154" s="1766"/>
      <c r="F154" s="1766"/>
      <c r="G154" s="1766"/>
      <c r="H154" s="1766"/>
      <c r="I154" s="1766"/>
      <c r="J154" s="1766"/>
      <c r="K154" s="1766"/>
      <c r="L154" s="1766"/>
      <c r="M154" s="1766"/>
      <c r="N154" s="1766"/>
      <c r="O154" s="1766"/>
      <c r="P154" s="1766"/>
      <c r="Q154" s="1766"/>
      <c r="R154" s="1766"/>
      <c r="S154" s="1766"/>
      <c r="T154" s="1766"/>
      <c r="U154" s="1766"/>
      <c r="V154" s="1766"/>
      <c r="W154" s="1766"/>
      <c r="X154" s="1766"/>
      <c r="Y154" s="1766"/>
      <c r="Z154" s="1766"/>
    </row>
    <row r="155" spans="1:26">
      <c r="A155" s="1766"/>
      <c r="B155" s="1766"/>
      <c r="C155" s="1766"/>
      <c r="D155" s="1766"/>
      <c r="E155" s="1766"/>
      <c r="F155" s="1766"/>
      <c r="G155" s="1766"/>
      <c r="H155" s="1766"/>
      <c r="I155" s="1766"/>
      <c r="J155" s="1766"/>
      <c r="K155" s="1766"/>
      <c r="L155" s="1766"/>
      <c r="M155" s="1766"/>
      <c r="N155" s="1766"/>
      <c r="O155" s="1766"/>
      <c r="P155" s="1766"/>
      <c r="Q155" s="1766"/>
      <c r="R155" s="1766"/>
      <c r="S155" s="1766"/>
      <c r="T155" s="1766"/>
      <c r="U155" s="1766"/>
      <c r="V155" s="1766"/>
      <c r="W155" s="1766"/>
      <c r="X155" s="1766"/>
      <c r="Y155" s="1766"/>
      <c r="Z155" s="1766"/>
    </row>
    <row r="156" spans="1:26">
      <c r="A156" s="1766"/>
      <c r="B156" s="1766"/>
      <c r="C156" s="1766"/>
      <c r="D156" s="1766"/>
      <c r="E156" s="1766"/>
      <c r="F156" s="1766"/>
      <c r="G156" s="1766"/>
      <c r="H156" s="1766"/>
      <c r="I156" s="1766"/>
      <c r="J156" s="1766"/>
      <c r="K156" s="1766"/>
      <c r="L156" s="1766"/>
      <c r="M156" s="1766"/>
      <c r="N156" s="1766"/>
      <c r="O156" s="1766"/>
      <c r="P156" s="1766"/>
      <c r="Q156" s="1766"/>
      <c r="R156" s="1766"/>
      <c r="S156" s="1766"/>
      <c r="T156" s="1766"/>
      <c r="U156" s="1766"/>
      <c r="V156" s="1766"/>
      <c r="W156" s="1766"/>
      <c r="X156" s="1766"/>
      <c r="Y156" s="1766"/>
      <c r="Z156" s="1766"/>
    </row>
    <row r="157" spans="1:26">
      <c r="A157" s="1766"/>
      <c r="B157" s="1766"/>
      <c r="C157" s="1766"/>
      <c r="D157" s="1766"/>
      <c r="E157" s="1766"/>
      <c r="F157" s="1766"/>
      <c r="G157" s="1766"/>
      <c r="H157" s="1766"/>
      <c r="I157" s="1766"/>
      <c r="J157" s="1766"/>
      <c r="K157" s="1766"/>
      <c r="L157" s="1766"/>
      <c r="M157" s="1766"/>
      <c r="N157" s="1766"/>
      <c r="O157" s="1766"/>
      <c r="P157" s="1766"/>
      <c r="Q157" s="1766"/>
      <c r="R157" s="1766"/>
      <c r="S157" s="1766"/>
      <c r="T157" s="1766"/>
      <c r="U157" s="1766"/>
      <c r="V157" s="1766"/>
      <c r="W157" s="1766"/>
      <c r="X157" s="1766"/>
      <c r="Y157" s="1766"/>
      <c r="Z157" s="1766"/>
    </row>
    <row r="158" spans="1:26">
      <c r="A158" s="1766"/>
      <c r="B158" s="1766"/>
      <c r="C158" s="1766"/>
      <c r="D158" s="1766"/>
      <c r="E158" s="1766"/>
      <c r="F158" s="1766"/>
      <c r="G158" s="1766"/>
      <c r="H158" s="1766"/>
      <c r="I158" s="1766"/>
      <c r="J158" s="1766"/>
      <c r="K158" s="1766"/>
      <c r="L158" s="1766"/>
      <c r="M158" s="1766"/>
      <c r="N158" s="1766"/>
      <c r="O158" s="1766"/>
      <c r="P158" s="1766"/>
      <c r="Q158" s="1766"/>
      <c r="R158" s="1766"/>
      <c r="S158" s="1766"/>
      <c r="T158" s="1766"/>
      <c r="U158" s="1766"/>
      <c r="V158" s="1766"/>
      <c r="W158" s="1766"/>
      <c r="X158" s="1766"/>
      <c r="Y158" s="1766"/>
      <c r="Z158" s="1766"/>
    </row>
    <row r="159" spans="1:26">
      <c r="A159" s="1766"/>
      <c r="B159" s="1766"/>
      <c r="C159" s="1766"/>
      <c r="D159" s="1766"/>
      <c r="E159" s="1766"/>
      <c r="F159" s="1766"/>
      <c r="G159" s="1766"/>
      <c r="H159" s="1766"/>
      <c r="I159" s="1766"/>
      <c r="J159" s="1766"/>
      <c r="K159" s="1766"/>
      <c r="L159" s="1766"/>
      <c r="M159" s="1766"/>
      <c r="N159" s="1766"/>
      <c r="O159" s="1766"/>
      <c r="P159" s="1766"/>
      <c r="Q159" s="1766"/>
      <c r="R159" s="1766"/>
      <c r="S159" s="1766"/>
      <c r="T159" s="1766"/>
      <c r="U159" s="1766"/>
      <c r="V159" s="1766"/>
      <c r="W159" s="1766"/>
      <c r="X159" s="1766"/>
      <c r="Y159" s="1766"/>
      <c r="Z159" s="1766"/>
    </row>
    <row r="160" spans="1:26">
      <c r="A160" s="1766"/>
      <c r="B160" s="1766"/>
      <c r="C160" s="1766"/>
      <c r="D160" s="1766"/>
      <c r="E160" s="1766"/>
      <c r="F160" s="1766"/>
      <c r="G160" s="1766"/>
      <c r="H160" s="1766"/>
      <c r="I160" s="1766"/>
      <c r="J160" s="1766"/>
      <c r="K160" s="1766"/>
      <c r="L160" s="1766"/>
      <c r="M160" s="1766"/>
      <c r="N160" s="1766"/>
      <c r="O160" s="1766"/>
      <c r="P160" s="1766"/>
      <c r="Q160" s="1766"/>
      <c r="R160" s="1766"/>
      <c r="S160" s="1766"/>
      <c r="T160" s="1766"/>
      <c r="U160" s="1766"/>
      <c r="V160" s="1766"/>
      <c r="W160" s="1766"/>
      <c r="X160" s="1766"/>
      <c r="Y160" s="1766"/>
      <c r="Z160" s="1766"/>
    </row>
    <row r="161" spans="1:26">
      <c r="A161" s="1766"/>
      <c r="B161" s="1766"/>
      <c r="C161" s="1766"/>
      <c r="D161" s="1766"/>
      <c r="E161" s="1766"/>
      <c r="F161" s="1766"/>
      <c r="G161" s="1766"/>
      <c r="H161" s="1766"/>
      <c r="I161" s="1766"/>
      <c r="J161" s="1766"/>
      <c r="K161" s="1766"/>
      <c r="L161" s="1766"/>
      <c r="M161" s="1766"/>
      <c r="N161" s="1766"/>
      <c r="O161" s="1766"/>
      <c r="P161" s="1766"/>
      <c r="Q161" s="1766"/>
      <c r="R161" s="1766"/>
      <c r="S161" s="1766"/>
      <c r="T161" s="1766"/>
      <c r="U161" s="1766"/>
      <c r="V161" s="1766"/>
      <c r="W161" s="1766"/>
      <c r="X161" s="1766"/>
      <c r="Y161" s="1766"/>
      <c r="Z161" s="1766"/>
    </row>
    <row r="162" spans="1:26">
      <c r="A162" s="1766"/>
      <c r="B162" s="1766"/>
      <c r="C162" s="1766"/>
      <c r="D162" s="1766"/>
      <c r="E162" s="1766"/>
      <c r="F162" s="1766"/>
      <c r="G162" s="1766"/>
      <c r="H162" s="1766"/>
      <c r="I162" s="1766"/>
      <c r="J162" s="1766"/>
      <c r="K162" s="1766"/>
      <c r="L162" s="1766"/>
      <c r="M162" s="1766"/>
      <c r="N162" s="1766"/>
      <c r="O162" s="1766"/>
      <c r="P162" s="1766"/>
      <c r="Q162" s="1766"/>
      <c r="R162" s="1766"/>
      <c r="S162" s="1766"/>
      <c r="T162" s="1766"/>
      <c r="U162" s="1766"/>
      <c r="V162" s="1766"/>
      <c r="W162" s="1766"/>
      <c r="X162" s="1766"/>
      <c r="Y162" s="1766"/>
      <c r="Z162" s="1766"/>
    </row>
    <row r="163" spans="1:26">
      <c r="A163" s="1766"/>
      <c r="B163" s="1766"/>
      <c r="C163" s="1766"/>
      <c r="D163" s="1766"/>
      <c r="E163" s="1766"/>
      <c r="F163" s="1766"/>
      <c r="G163" s="1766"/>
      <c r="H163" s="1766"/>
      <c r="I163" s="1766"/>
      <c r="J163" s="1766"/>
      <c r="K163" s="1766"/>
      <c r="L163" s="1766"/>
      <c r="M163" s="1766"/>
      <c r="N163" s="1766"/>
      <c r="O163" s="1766"/>
      <c r="P163" s="1766"/>
      <c r="Q163" s="1766"/>
      <c r="R163" s="1766"/>
      <c r="S163" s="1766"/>
      <c r="T163" s="1766"/>
      <c r="U163" s="1766"/>
      <c r="V163" s="1766"/>
      <c r="W163" s="1766"/>
      <c r="X163" s="1766"/>
      <c r="Y163" s="1766"/>
      <c r="Z163" s="1766"/>
    </row>
    <row r="164" spans="1:26">
      <c r="A164" s="1766"/>
      <c r="B164" s="1766"/>
      <c r="C164" s="1766"/>
      <c r="D164" s="1766"/>
      <c r="E164" s="1766"/>
      <c r="F164" s="1766"/>
      <c r="G164" s="1766"/>
      <c r="H164" s="1766"/>
      <c r="I164" s="1766"/>
      <c r="J164" s="1766"/>
      <c r="K164" s="1766"/>
      <c r="L164" s="1766"/>
      <c r="M164" s="1766"/>
      <c r="N164" s="1766"/>
      <c r="O164" s="1766"/>
      <c r="P164" s="1766"/>
      <c r="Q164" s="1766"/>
      <c r="R164" s="1766"/>
      <c r="S164" s="1766"/>
      <c r="T164" s="1766"/>
      <c r="U164" s="1766"/>
      <c r="V164" s="1766"/>
      <c r="W164" s="1766"/>
      <c r="X164" s="1766"/>
      <c r="Y164" s="1766"/>
      <c r="Z164" s="1766"/>
    </row>
    <row r="165" spans="1:26">
      <c r="A165" s="1766"/>
      <c r="B165" s="1766"/>
      <c r="C165" s="1766"/>
      <c r="D165" s="1766"/>
      <c r="E165" s="1766"/>
      <c r="F165" s="1766"/>
      <c r="G165" s="1766"/>
      <c r="H165" s="1766"/>
      <c r="I165" s="1766"/>
      <c r="J165" s="1766"/>
      <c r="K165" s="1766"/>
      <c r="L165" s="1766"/>
      <c r="M165" s="1766"/>
      <c r="N165" s="1766"/>
      <c r="O165" s="1766"/>
      <c r="P165" s="1766"/>
      <c r="Q165" s="1766"/>
      <c r="R165" s="1766"/>
      <c r="S165" s="1766"/>
      <c r="T165" s="1766"/>
      <c r="U165" s="1766"/>
      <c r="V165" s="1766"/>
      <c r="W165" s="1766"/>
      <c r="X165" s="1766"/>
      <c r="Y165" s="1766"/>
      <c r="Z165" s="1766"/>
    </row>
    <row r="166" spans="1:26">
      <c r="A166" s="1766"/>
      <c r="B166" s="1766"/>
      <c r="C166" s="1766"/>
      <c r="D166" s="1766"/>
      <c r="E166" s="1766"/>
      <c r="F166" s="1766"/>
      <c r="G166" s="1766"/>
      <c r="H166" s="1766"/>
      <c r="I166" s="1766"/>
      <c r="J166" s="1766"/>
      <c r="K166" s="1766"/>
      <c r="L166" s="1766"/>
      <c r="M166" s="1766"/>
      <c r="N166" s="1766"/>
      <c r="O166" s="1766"/>
      <c r="P166" s="1766"/>
      <c r="Q166" s="1766"/>
      <c r="R166" s="1766"/>
      <c r="S166" s="1766"/>
      <c r="T166" s="1766"/>
      <c r="U166" s="1766"/>
      <c r="V166" s="1766"/>
      <c r="W166" s="1766"/>
      <c r="X166" s="1766"/>
      <c r="Y166" s="1766"/>
      <c r="Z166" s="1766"/>
    </row>
    <row r="167" spans="1:26">
      <c r="A167" s="1766"/>
      <c r="B167" s="1766"/>
      <c r="C167" s="1766"/>
      <c r="D167" s="1766"/>
      <c r="E167" s="1766"/>
      <c r="F167" s="1766"/>
      <c r="G167" s="1766"/>
      <c r="H167" s="1766"/>
      <c r="I167" s="1766"/>
      <c r="J167" s="1766"/>
      <c r="K167" s="1766"/>
      <c r="L167" s="1766"/>
      <c r="M167" s="1766"/>
      <c r="N167" s="1766"/>
      <c r="O167" s="1766"/>
      <c r="P167" s="1766"/>
      <c r="Q167" s="1766"/>
      <c r="R167" s="1766"/>
      <c r="S167" s="1766"/>
      <c r="T167" s="1766"/>
      <c r="U167" s="1766"/>
      <c r="V167" s="1766"/>
      <c r="W167" s="1766"/>
      <c r="X167" s="1766"/>
      <c r="Y167" s="1766"/>
      <c r="Z167" s="1766"/>
    </row>
    <row r="168" spans="1:26">
      <c r="A168" s="1766"/>
      <c r="B168" s="1766"/>
      <c r="C168" s="1766"/>
      <c r="D168" s="1766"/>
      <c r="E168" s="1766"/>
      <c r="F168" s="1766"/>
      <c r="G168" s="1766"/>
      <c r="H168" s="1766"/>
      <c r="I168" s="1766"/>
      <c r="J168" s="1766"/>
      <c r="K168" s="1766"/>
      <c r="L168" s="1766"/>
      <c r="M168" s="1766"/>
      <c r="N168" s="1766"/>
      <c r="O168" s="1766"/>
      <c r="P168" s="1766"/>
      <c r="Q168" s="1766"/>
      <c r="R168" s="1766"/>
      <c r="S168" s="1766"/>
      <c r="T168" s="1766"/>
      <c r="U168" s="1766"/>
      <c r="V168" s="1766"/>
      <c r="W168" s="1766"/>
      <c r="X168" s="1766"/>
      <c r="Y168" s="1766"/>
      <c r="Z168" s="1766"/>
    </row>
    <row r="169" spans="1:26">
      <c r="A169" s="1766"/>
      <c r="B169" s="1766"/>
      <c r="C169" s="1766"/>
      <c r="D169" s="1766"/>
      <c r="E169" s="1766"/>
      <c r="F169" s="1766"/>
      <c r="G169" s="1766"/>
      <c r="H169" s="1766"/>
      <c r="I169" s="1766"/>
      <c r="J169" s="1766"/>
      <c r="K169" s="1766"/>
      <c r="L169" s="1766"/>
      <c r="M169" s="1766"/>
      <c r="N169" s="1766"/>
      <c r="O169" s="1766"/>
      <c r="P169" s="1766"/>
      <c r="Q169" s="1766"/>
      <c r="R169" s="1766"/>
      <c r="S169" s="1766"/>
      <c r="T169" s="1766"/>
      <c r="U169" s="1766"/>
      <c r="V169" s="1766"/>
      <c r="W169" s="1766"/>
      <c r="X169" s="1766"/>
      <c r="Y169" s="1766"/>
      <c r="Z169" s="1766"/>
    </row>
    <row r="170" spans="1:26">
      <c r="A170" s="1766"/>
      <c r="B170" s="1766"/>
      <c r="C170" s="1766"/>
      <c r="D170" s="1766"/>
      <c r="E170" s="1766"/>
      <c r="F170" s="1766"/>
      <c r="G170" s="1766"/>
      <c r="H170" s="1766"/>
      <c r="I170" s="1766"/>
      <c r="J170" s="1766"/>
      <c r="K170" s="1766"/>
      <c r="L170" s="1766"/>
      <c r="M170" s="1766"/>
      <c r="N170" s="1766"/>
      <c r="O170" s="1766"/>
      <c r="P170" s="1766"/>
      <c r="Q170" s="1766"/>
      <c r="R170" s="1766"/>
      <c r="S170" s="1766"/>
      <c r="T170" s="1766"/>
      <c r="U170" s="1766"/>
      <c r="V170" s="1766"/>
      <c r="W170" s="1766"/>
      <c r="X170" s="1766"/>
      <c r="Y170" s="1766"/>
      <c r="Z170" s="1766"/>
    </row>
  </sheetData>
  <mergeCells count="257">
    <mergeCell ref="G29:H30"/>
    <mergeCell ref="G31:H32"/>
    <mergeCell ref="H1:T1"/>
    <mergeCell ref="A44:Z47"/>
    <mergeCell ref="A49:G50"/>
    <mergeCell ref="H49:J50"/>
    <mergeCell ref="U49:Z50"/>
    <mergeCell ref="X7:Z11"/>
    <mergeCell ref="K50:L50"/>
    <mergeCell ref="M50:N50"/>
    <mergeCell ref="O50:P50"/>
    <mergeCell ref="Q50:R50"/>
    <mergeCell ref="S50:T50"/>
    <mergeCell ref="I23:N24"/>
    <mergeCell ref="O23:T24"/>
    <mergeCell ref="U23:Z24"/>
    <mergeCell ref="C33:D34"/>
    <mergeCell ref="E33:F34"/>
    <mergeCell ref="G33:H37"/>
    <mergeCell ref="C35:D37"/>
    <mergeCell ref="E35:F37"/>
    <mergeCell ref="A48:G48"/>
    <mergeCell ref="K49:L49"/>
    <mergeCell ref="M49:N49"/>
    <mergeCell ref="O49:P49"/>
    <mergeCell ref="Q49:R49"/>
    <mergeCell ref="S49:T49"/>
    <mergeCell ref="U42:V42"/>
    <mergeCell ref="S42:T42"/>
    <mergeCell ref="S40:T40"/>
    <mergeCell ref="U40:V40"/>
    <mergeCell ref="H48:J48"/>
    <mergeCell ref="K48:T48"/>
    <mergeCell ref="U48:Z48"/>
    <mergeCell ref="W42:X42"/>
    <mergeCell ref="Y42:Z42"/>
    <mergeCell ref="S43:T43"/>
    <mergeCell ref="U43:V43"/>
    <mergeCell ref="W43:X43"/>
    <mergeCell ref="Y43:Z43"/>
    <mergeCell ref="G41:H42"/>
    <mergeCell ref="Y40:Z40"/>
    <mergeCell ref="Y41:Z41"/>
    <mergeCell ref="I40:J40"/>
    <mergeCell ref="K40:L40"/>
    <mergeCell ref="M40:N40"/>
    <mergeCell ref="O40:P40"/>
    <mergeCell ref="Q40:R40"/>
    <mergeCell ref="A43:B43"/>
    <mergeCell ref="C43:D43"/>
    <mergeCell ref="E43:F43"/>
    <mergeCell ref="G43:H43"/>
    <mergeCell ref="I43:J43"/>
    <mergeCell ref="K43:L43"/>
    <mergeCell ref="M43:N43"/>
    <mergeCell ref="O43:P43"/>
    <mergeCell ref="Q43:R43"/>
    <mergeCell ref="A42:B42"/>
    <mergeCell ref="C42:D42"/>
    <mergeCell ref="E42:F42"/>
    <mergeCell ref="I42:J42"/>
    <mergeCell ref="K42:L42"/>
    <mergeCell ref="M42:N42"/>
    <mergeCell ref="O42:P42"/>
    <mergeCell ref="Q42:R42"/>
    <mergeCell ref="W40:X40"/>
    <mergeCell ref="A41:B41"/>
    <mergeCell ref="C41:D41"/>
    <mergeCell ref="E41:F41"/>
    <mergeCell ref="I41:J41"/>
    <mergeCell ref="K41:L41"/>
    <mergeCell ref="M41:N41"/>
    <mergeCell ref="O41:P41"/>
    <mergeCell ref="Q41:R41"/>
    <mergeCell ref="S41:T41"/>
    <mergeCell ref="U41:V41"/>
    <mergeCell ref="W41:X41"/>
    <mergeCell ref="A40:B40"/>
    <mergeCell ref="C40:D40"/>
    <mergeCell ref="E40:F40"/>
    <mergeCell ref="G40:H40"/>
    <mergeCell ref="Y38:Z38"/>
    <mergeCell ref="A39:B39"/>
    <mergeCell ref="I39:J39"/>
    <mergeCell ref="K39:L39"/>
    <mergeCell ref="M39:N39"/>
    <mergeCell ref="O39:P39"/>
    <mergeCell ref="Q39:R39"/>
    <mergeCell ref="S39:T39"/>
    <mergeCell ref="U39:V39"/>
    <mergeCell ref="W39:X39"/>
    <mergeCell ref="Y39:Z39"/>
    <mergeCell ref="G38:H39"/>
    <mergeCell ref="A38:B38"/>
    <mergeCell ref="I38:J38"/>
    <mergeCell ref="K38:L38"/>
    <mergeCell ref="M38:N38"/>
    <mergeCell ref="O38:P38"/>
    <mergeCell ref="Q38:R38"/>
    <mergeCell ref="S38:T38"/>
    <mergeCell ref="U38:V38"/>
    <mergeCell ref="W38:X38"/>
    <mergeCell ref="C38:D39"/>
    <mergeCell ref="E38:F39"/>
    <mergeCell ref="Y36:Z36"/>
    <mergeCell ref="A37:B37"/>
    <mergeCell ref="I37:J37"/>
    <mergeCell ref="K37:L37"/>
    <mergeCell ref="M37:N37"/>
    <mergeCell ref="O37:P37"/>
    <mergeCell ref="Q37:R37"/>
    <mergeCell ref="S37:T37"/>
    <mergeCell ref="U37:V37"/>
    <mergeCell ref="W37:X37"/>
    <mergeCell ref="Y37:Z37"/>
    <mergeCell ref="A36:B36"/>
    <mergeCell ref="I36:J36"/>
    <mergeCell ref="K36:L36"/>
    <mergeCell ref="M36:N36"/>
    <mergeCell ref="O36:P36"/>
    <mergeCell ref="Q36:R36"/>
    <mergeCell ref="S36:T36"/>
    <mergeCell ref="U36:V36"/>
    <mergeCell ref="W36:X36"/>
    <mergeCell ref="Y34:Z34"/>
    <mergeCell ref="A35:B35"/>
    <mergeCell ref="I35:J35"/>
    <mergeCell ref="K35:L35"/>
    <mergeCell ref="M35:N35"/>
    <mergeCell ref="O35:P35"/>
    <mergeCell ref="Q35:R35"/>
    <mergeCell ref="S35:T35"/>
    <mergeCell ref="U35:V35"/>
    <mergeCell ref="W35:X35"/>
    <mergeCell ref="Y35:Z35"/>
    <mergeCell ref="A34:B34"/>
    <mergeCell ref="I34:J34"/>
    <mergeCell ref="K34:L34"/>
    <mergeCell ref="M34:N34"/>
    <mergeCell ref="O34:P34"/>
    <mergeCell ref="Q34:R34"/>
    <mergeCell ref="S34:T34"/>
    <mergeCell ref="U34:V34"/>
    <mergeCell ref="W34:X34"/>
    <mergeCell ref="U32:V32"/>
    <mergeCell ref="W32:X32"/>
    <mergeCell ref="Y32:Z32"/>
    <mergeCell ref="A33:B33"/>
    <mergeCell ref="I33:J33"/>
    <mergeCell ref="K33:L33"/>
    <mergeCell ref="M33:N33"/>
    <mergeCell ref="O33:P33"/>
    <mergeCell ref="Q33:R33"/>
    <mergeCell ref="S33:T33"/>
    <mergeCell ref="U33:V33"/>
    <mergeCell ref="W33:X33"/>
    <mergeCell ref="Y33:Z33"/>
    <mergeCell ref="A32:B32"/>
    <mergeCell ref="C32:D32"/>
    <mergeCell ref="E32:F32"/>
    <mergeCell ref="I32:J32"/>
    <mergeCell ref="K32:L32"/>
    <mergeCell ref="M32:N32"/>
    <mergeCell ref="O32:P32"/>
    <mergeCell ref="Q32:R32"/>
    <mergeCell ref="S32:T32"/>
    <mergeCell ref="U30:V30"/>
    <mergeCell ref="W30:X30"/>
    <mergeCell ref="Y30:Z30"/>
    <mergeCell ref="A31:B31"/>
    <mergeCell ref="C31:D31"/>
    <mergeCell ref="E31:F31"/>
    <mergeCell ref="I31:J31"/>
    <mergeCell ref="K31:L31"/>
    <mergeCell ref="M31:N31"/>
    <mergeCell ref="O31:P31"/>
    <mergeCell ref="Q31:R31"/>
    <mergeCell ref="S31:T31"/>
    <mergeCell ref="U31:V31"/>
    <mergeCell ref="W31:X31"/>
    <mergeCell ref="Y31:Z31"/>
    <mergeCell ref="A30:B30"/>
    <mergeCell ref="C30:D30"/>
    <mergeCell ref="E30:F30"/>
    <mergeCell ref="I30:J30"/>
    <mergeCell ref="K30:L30"/>
    <mergeCell ref="M30:N30"/>
    <mergeCell ref="O30:P30"/>
    <mergeCell ref="Q30:R30"/>
    <mergeCell ref="S30:T30"/>
    <mergeCell ref="W28:X28"/>
    <mergeCell ref="Y28:Z28"/>
    <mergeCell ref="A29:B29"/>
    <mergeCell ref="C29:D29"/>
    <mergeCell ref="E29:F29"/>
    <mergeCell ref="I29:J29"/>
    <mergeCell ref="K29:L29"/>
    <mergeCell ref="M29:N29"/>
    <mergeCell ref="O29:P29"/>
    <mergeCell ref="Q29:R29"/>
    <mergeCell ref="S29:T29"/>
    <mergeCell ref="U29:V29"/>
    <mergeCell ref="W29:X29"/>
    <mergeCell ref="Y29:Z29"/>
    <mergeCell ref="A28:B28"/>
    <mergeCell ref="C28:D28"/>
    <mergeCell ref="I28:J28"/>
    <mergeCell ref="K28:L28"/>
    <mergeCell ref="M28:N28"/>
    <mergeCell ref="O28:P28"/>
    <mergeCell ref="Q28:R28"/>
    <mergeCell ref="S28:T28"/>
    <mergeCell ref="U28:V28"/>
    <mergeCell ref="G26:H28"/>
    <mergeCell ref="U26:V26"/>
    <mergeCell ref="W26:X26"/>
    <mergeCell ref="Y26:Z26"/>
    <mergeCell ref="A27:B27"/>
    <mergeCell ref="C27:D27"/>
    <mergeCell ref="I27:J27"/>
    <mergeCell ref="K27:L27"/>
    <mergeCell ref="M27:N27"/>
    <mergeCell ref="O27:P27"/>
    <mergeCell ref="Q27:R27"/>
    <mergeCell ref="S27:T27"/>
    <mergeCell ref="U27:V27"/>
    <mergeCell ref="W27:X27"/>
    <mergeCell ref="Y27:Z27"/>
    <mergeCell ref="A26:B26"/>
    <mergeCell ref="C26:D26"/>
    <mergeCell ref="E26:F26"/>
    <mergeCell ref="I26:J26"/>
    <mergeCell ref="K26:L26"/>
    <mergeCell ref="M26:N26"/>
    <mergeCell ref="O26:P26"/>
    <mergeCell ref="Q26:R26"/>
    <mergeCell ref="S26:T26"/>
    <mergeCell ref="E27:F28"/>
    <mergeCell ref="U1:Z1"/>
    <mergeCell ref="H2:T2"/>
    <mergeCell ref="U2:W2"/>
    <mergeCell ref="X2:Z2"/>
    <mergeCell ref="A4:N4"/>
    <mergeCell ref="I25:J25"/>
    <mergeCell ref="K25:L25"/>
    <mergeCell ref="M25:N25"/>
    <mergeCell ref="O25:P25"/>
    <mergeCell ref="Q25:R25"/>
    <mergeCell ref="S25:T25"/>
    <mergeCell ref="U25:V25"/>
    <mergeCell ref="W25:X25"/>
    <mergeCell ref="Y25:Z25"/>
    <mergeCell ref="A1:G2"/>
    <mergeCell ref="A23:B25"/>
    <mergeCell ref="C23:D25"/>
    <mergeCell ref="E23:F25"/>
    <mergeCell ref="G23:H25"/>
  </mergeCells>
  <phoneticPr fontId="378" type="noConversion"/>
  <hyperlinks>
    <hyperlink ref="X7:Z11" location="总目录!A1" display="返回 目录"/>
  </hyperlinks>
  <pageMargins left="0.58888888888888902" right="0.2" top="0.2" bottom="0.2" header="0.11874999999999999" footer="0.30902777777777801"/>
  <pageSetup paperSize="9" orientation="portrait"/>
  <headerFooter scaleWithDoc="0" alignWithMargins="0"/>
  <drawing r:id="rId1"/>
  <legacyDrawing r:id="rId2"/>
  <oleObjects>
    <mc:AlternateContent xmlns:mc="http://schemas.openxmlformats.org/markup-compatibility/2006">
      <mc:Choice Requires="x14">
        <oleObject progId="Equation.3" shapeId="1212417" r:id="rId3">
          <objectPr defaultSize="0" autoPict="0" altText="" r:id="rId4">
            <anchor moveWithCells="1" sizeWithCells="1">
              <from>
                <xdr:col>8</xdr:col>
                <xdr:colOff>209550</xdr:colOff>
                <xdr:row>24</xdr:row>
                <xdr:rowOff>0</xdr:rowOff>
              </from>
              <to>
                <xdr:col>9</xdr:col>
                <xdr:colOff>85725</xdr:colOff>
                <xdr:row>25</xdr:row>
                <xdr:rowOff>9525</xdr:rowOff>
              </to>
            </anchor>
          </objectPr>
        </oleObject>
      </mc:Choice>
      <mc:Fallback>
        <oleObject progId="Equation.3" shapeId="1212417" r:id="rId3"/>
      </mc:Fallback>
    </mc:AlternateContent>
    <mc:AlternateContent xmlns:mc="http://schemas.openxmlformats.org/markup-compatibility/2006">
      <mc:Choice Requires="x14">
        <oleObject progId="Equation.3" shapeId="1212418" r:id="rId5">
          <objectPr defaultSize="0" autoPict="0" altText="" r:id="rId6">
            <anchor moveWithCells="1" sizeWithCells="1">
              <from>
                <xdr:col>10</xdr:col>
                <xdr:colOff>209550</xdr:colOff>
                <xdr:row>23</xdr:row>
                <xdr:rowOff>200025</xdr:rowOff>
              </from>
              <to>
                <xdr:col>11</xdr:col>
                <xdr:colOff>85725</xdr:colOff>
                <xdr:row>25</xdr:row>
                <xdr:rowOff>9525</xdr:rowOff>
              </to>
            </anchor>
          </objectPr>
        </oleObject>
      </mc:Choice>
      <mc:Fallback>
        <oleObject progId="Equation.3" shapeId="1212418" r:id="rId5"/>
      </mc:Fallback>
    </mc:AlternateContent>
    <mc:AlternateContent xmlns:mc="http://schemas.openxmlformats.org/markup-compatibility/2006">
      <mc:Choice Requires="x14">
        <oleObject progId="Equation.3" shapeId="1212419" r:id="rId7">
          <objectPr defaultSize="0" autoPict="0" altText="" r:id="rId8">
            <anchor moveWithCells="1" sizeWithCells="1">
              <from>
                <xdr:col>12</xdr:col>
                <xdr:colOff>209550</xdr:colOff>
                <xdr:row>23</xdr:row>
                <xdr:rowOff>200025</xdr:rowOff>
              </from>
              <to>
                <xdr:col>13</xdr:col>
                <xdr:colOff>85725</xdr:colOff>
                <xdr:row>25</xdr:row>
                <xdr:rowOff>0</xdr:rowOff>
              </to>
            </anchor>
          </objectPr>
        </oleObject>
      </mc:Choice>
      <mc:Fallback>
        <oleObject progId="Equation.3" shapeId="1212419" r:id="rId7"/>
      </mc:Fallback>
    </mc:AlternateContent>
    <mc:AlternateContent xmlns:mc="http://schemas.openxmlformats.org/markup-compatibility/2006">
      <mc:Choice Requires="x14">
        <oleObject progId="Equation.3" shapeId="1212420" r:id="rId9">
          <objectPr defaultSize="0" autoPict="0" altText="" r:id="rId4">
            <anchor moveWithCells="1" sizeWithCells="1">
              <from>
                <xdr:col>14</xdr:col>
                <xdr:colOff>209550</xdr:colOff>
                <xdr:row>24</xdr:row>
                <xdr:rowOff>0</xdr:rowOff>
              </from>
              <to>
                <xdr:col>15</xdr:col>
                <xdr:colOff>85725</xdr:colOff>
                <xdr:row>25</xdr:row>
                <xdr:rowOff>9525</xdr:rowOff>
              </to>
            </anchor>
          </objectPr>
        </oleObject>
      </mc:Choice>
      <mc:Fallback>
        <oleObject progId="Equation.3" shapeId="1212420" r:id="rId9"/>
      </mc:Fallback>
    </mc:AlternateContent>
    <mc:AlternateContent xmlns:mc="http://schemas.openxmlformats.org/markup-compatibility/2006">
      <mc:Choice Requires="x14">
        <oleObject progId="Equation.3" shapeId="1212421" r:id="rId10">
          <objectPr defaultSize="0" autoPict="0" altText="" r:id="rId6">
            <anchor moveWithCells="1" sizeWithCells="1">
              <from>
                <xdr:col>16</xdr:col>
                <xdr:colOff>209550</xdr:colOff>
                <xdr:row>23</xdr:row>
                <xdr:rowOff>200025</xdr:rowOff>
              </from>
              <to>
                <xdr:col>17</xdr:col>
                <xdr:colOff>85725</xdr:colOff>
                <xdr:row>25</xdr:row>
                <xdr:rowOff>9525</xdr:rowOff>
              </to>
            </anchor>
          </objectPr>
        </oleObject>
      </mc:Choice>
      <mc:Fallback>
        <oleObject progId="Equation.3" shapeId="1212421" r:id="rId10"/>
      </mc:Fallback>
    </mc:AlternateContent>
    <mc:AlternateContent xmlns:mc="http://schemas.openxmlformats.org/markup-compatibility/2006">
      <mc:Choice Requires="x14">
        <oleObject progId="Equation.3" shapeId="1212422" r:id="rId11">
          <objectPr defaultSize="0" autoPict="0" altText="" r:id="rId8">
            <anchor moveWithCells="1" sizeWithCells="1">
              <from>
                <xdr:col>18</xdr:col>
                <xdr:colOff>209550</xdr:colOff>
                <xdr:row>23</xdr:row>
                <xdr:rowOff>200025</xdr:rowOff>
              </from>
              <to>
                <xdr:col>19</xdr:col>
                <xdr:colOff>85725</xdr:colOff>
                <xdr:row>25</xdr:row>
                <xdr:rowOff>0</xdr:rowOff>
              </to>
            </anchor>
          </objectPr>
        </oleObject>
      </mc:Choice>
      <mc:Fallback>
        <oleObject progId="Equation.3" shapeId="1212422" r:id="rId11"/>
      </mc:Fallback>
    </mc:AlternateContent>
    <mc:AlternateContent xmlns:mc="http://schemas.openxmlformats.org/markup-compatibility/2006">
      <mc:Choice Requires="x14">
        <oleObject progId="Equation.3" shapeId="1212423" r:id="rId12">
          <objectPr defaultSize="0" autoPict="0" altText="" r:id="rId4">
            <anchor moveWithCells="1" sizeWithCells="1">
              <from>
                <xdr:col>20</xdr:col>
                <xdr:colOff>209550</xdr:colOff>
                <xdr:row>24</xdr:row>
                <xdr:rowOff>0</xdr:rowOff>
              </from>
              <to>
                <xdr:col>21</xdr:col>
                <xdr:colOff>85725</xdr:colOff>
                <xdr:row>25</xdr:row>
                <xdr:rowOff>9525</xdr:rowOff>
              </to>
            </anchor>
          </objectPr>
        </oleObject>
      </mc:Choice>
      <mc:Fallback>
        <oleObject progId="Equation.3" shapeId="1212423" r:id="rId12"/>
      </mc:Fallback>
    </mc:AlternateContent>
    <mc:AlternateContent xmlns:mc="http://schemas.openxmlformats.org/markup-compatibility/2006">
      <mc:Choice Requires="x14">
        <oleObject progId="Equation.3" shapeId="1212424" r:id="rId13">
          <objectPr defaultSize="0" autoPict="0" altText="" r:id="rId6">
            <anchor moveWithCells="1" sizeWithCells="1">
              <from>
                <xdr:col>22</xdr:col>
                <xdr:colOff>209550</xdr:colOff>
                <xdr:row>23</xdr:row>
                <xdr:rowOff>200025</xdr:rowOff>
              </from>
              <to>
                <xdr:col>23</xdr:col>
                <xdr:colOff>85725</xdr:colOff>
                <xdr:row>25</xdr:row>
                <xdr:rowOff>9525</xdr:rowOff>
              </to>
            </anchor>
          </objectPr>
        </oleObject>
      </mc:Choice>
      <mc:Fallback>
        <oleObject progId="Equation.3" shapeId="1212424" r:id="rId13"/>
      </mc:Fallback>
    </mc:AlternateContent>
    <mc:AlternateContent xmlns:mc="http://schemas.openxmlformats.org/markup-compatibility/2006">
      <mc:Choice Requires="x14">
        <oleObject progId="Equation.3" shapeId="1212425" r:id="rId14">
          <objectPr defaultSize="0" autoPict="0" altText="" r:id="rId8">
            <anchor moveWithCells="1" sizeWithCells="1">
              <from>
                <xdr:col>24</xdr:col>
                <xdr:colOff>209550</xdr:colOff>
                <xdr:row>23</xdr:row>
                <xdr:rowOff>200025</xdr:rowOff>
              </from>
              <to>
                <xdr:col>25</xdr:col>
                <xdr:colOff>85725</xdr:colOff>
                <xdr:row>25</xdr:row>
                <xdr:rowOff>0</xdr:rowOff>
              </to>
            </anchor>
          </objectPr>
        </oleObject>
      </mc:Choice>
      <mc:Fallback>
        <oleObject progId="Equation.3" shapeId="1212425" r:id="rId14"/>
      </mc:Fallback>
    </mc:AlternateContent>
    <mc:AlternateContent xmlns:mc="http://schemas.openxmlformats.org/markup-compatibility/2006">
      <mc:Choice Requires="x14">
        <oleObject progId="Equation.3" shapeId="1212426" r:id="rId15">
          <objectPr defaultSize="0" autoPict="0" altText="" r:id="rId16">
            <anchor moveWithCells="1" sizeWithCells="1">
              <from>
                <xdr:col>6</xdr:col>
                <xdr:colOff>209550</xdr:colOff>
                <xdr:row>23</xdr:row>
                <xdr:rowOff>0</xdr:rowOff>
              </from>
              <to>
                <xdr:col>7</xdr:col>
                <xdr:colOff>66675</xdr:colOff>
                <xdr:row>24</xdr:row>
                <xdr:rowOff>0</xdr:rowOff>
              </to>
            </anchor>
          </objectPr>
        </oleObject>
      </mc:Choice>
      <mc:Fallback>
        <oleObject progId="Equation.3" shapeId="1212426" r:id="rId15"/>
      </mc:Fallback>
    </mc:AlternateContent>
    <mc:AlternateContent xmlns:mc="http://schemas.openxmlformats.org/markup-compatibility/2006">
      <mc:Choice Requires="x14">
        <oleObject progId="Equation.3" shapeId="1212427" r:id="rId17">
          <objectPr defaultSize="0" autoPict="0" altText="" r:id="rId18">
            <anchor moveWithCells="1" sizeWithCells="1">
              <from>
                <xdr:col>4</xdr:col>
                <xdr:colOff>133350</xdr:colOff>
                <xdr:row>23</xdr:row>
                <xdr:rowOff>28575</xdr:rowOff>
              </from>
              <to>
                <xdr:col>5</xdr:col>
                <xdr:colOff>85725</xdr:colOff>
                <xdr:row>24</xdr:row>
                <xdr:rowOff>0</xdr:rowOff>
              </to>
            </anchor>
          </objectPr>
        </oleObject>
      </mc:Choice>
      <mc:Fallback>
        <oleObject progId="Equation.3" shapeId="1212427" r:id="rId17"/>
      </mc:Fallback>
    </mc:AlternateContent>
    <mc:AlternateContent xmlns:mc="http://schemas.openxmlformats.org/markup-compatibility/2006">
      <mc:Choice Requires="x14">
        <oleObject progId="Paint.Picture" shapeId="1212428" r:id="rId19">
          <objectPr defaultSize="0" autoPict="0" altText="" r:id="rId20">
            <anchor moveWithCells="1">
              <from>
                <xdr:col>1</xdr:col>
                <xdr:colOff>66675</xdr:colOff>
                <xdr:row>4</xdr:row>
                <xdr:rowOff>171450</xdr:rowOff>
              </from>
              <to>
                <xdr:col>11</xdr:col>
                <xdr:colOff>19050</xdr:colOff>
                <xdr:row>21</xdr:row>
                <xdr:rowOff>114300</xdr:rowOff>
              </to>
            </anchor>
          </objectPr>
        </oleObject>
      </mc:Choice>
      <mc:Fallback>
        <oleObject progId="Paint.Picture" shapeId="1212428" r:id="rId19"/>
      </mc:Fallback>
    </mc:AlternateContent>
    <mc:AlternateContent xmlns:mc="http://schemas.openxmlformats.org/markup-compatibility/2006">
      <mc:Choice Requires="x14">
        <oleObject progId="Paint.Picture" shapeId="1212429" r:id="rId21">
          <objectPr defaultSize="0" autoPict="0" altText="" r:id="rId22">
            <anchor moveWithCells="1">
              <from>
                <xdr:col>14</xdr:col>
                <xdr:colOff>57150</xdr:colOff>
                <xdr:row>4</xdr:row>
                <xdr:rowOff>133350</xdr:rowOff>
              </from>
              <to>
                <xdr:col>22</xdr:col>
                <xdr:colOff>228600</xdr:colOff>
                <xdr:row>21</xdr:row>
                <xdr:rowOff>152400</xdr:rowOff>
              </to>
            </anchor>
          </objectPr>
        </oleObject>
      </mc:Choice>
      <mc:Fallback>
        <oleObject progId="Paint.Picture" shapeId="1212429" r:id="rId21"/>
      </mc:Fallback>
    </mc:AlternateContent>
    <mc:AlternateContent xmlns:mc="http://schemas.openxmlformats.org/markup-compatibility/2006">
      <mc:Choice Requires="x14">
        <oleObject progId="Equation.3" shapeId="1212430" r:id="rId23">
          <objectPr defaultSize="0" autoPict="0" altText="" r:id="rId24">
            <anchor moveWithCells="1" sizeWithCells="1">
              <from>
                <xdr:col>0</xdr:col>
                <xdr:colOff>133350</xdr:colOff>
                <xdr:row>43</xdr:row>
                <xdr:rowOff>38100</xdr:rowOff>
              </from>
              <to>
                <xdr:col>1</xdr:col>
                <xdr:colOff>19050</xdr:colOff>
                <xdr:row>44</xdr:row>
                <xdr:rowOff>95250</xdr:rowOff>
              </to>
            </anchor>
          </objectPr>
        </oleObject>
      </mc:Choice>
      <mc:Fallback>
        <oleObject progId="Equation.3" shapeId="1212430" r:id="rId23"/>
      </mc:Fallback>
    </mc:AlternateContent>
    <mc:AlternateContent xmlns:mc="http://schemas.openxmlformats.org/markup-compatibility/2006">
      <mc:Choice Requires="x14">
        <oleObject progId="Equation.3" shapeId="1212431" r:id="rId25">
          <objectPr defaultSize="0" autoPict="0" altText="" r:id="rId26">
            <anchor moveWithCells="1" sizeWithCells="1">
              <from>
                <xdr:col>5</xdr:col>
                <xdr:colOff>238125</xdr:colOff>
                <xdr:row>43</xdr:row>
                <xdr:rowOff>57150</xdr:rowOff>
              </from>
              <to>
                <xdr:col>6</xdr:col>
                <xdr:colOff>114300</xdr:colOff>
                <xdr:row>44</xdr:row>
                <xdr:rowOff>104775</xdr:rowOff>
              </to>
            </anchor>
          </objectPr>
        </oleObject>
      </mc:Choice>
      <mc:Fallback>
        <oleObject progId="Equation.3" shapeId="1212431" r:id="rId25"/>
      </mc:Fallback>
    </mc:AlternateContent>
    <mc:AlternateContent xmlns:mc="http://schemas.openxmlformats.org/markup-compatibility/2006">
      <mc:Choice Requires="x14">
        <oleObject progId="Equation.3" shapeId="1212432" r:id="rId27">
          <objectPr defaultSize="0" autoPict="0" altText="" r:id="rId28">
            <anchor moveWithCells="1" sizeWithCells="1">
              <from>
                <xdr:col>2</xdr:col>
                <xdr:colOff>123825</xdr:colOff>
                <xdr:row>44</xdr:row>
                <xdr:rowOff>95250</xdr:rowOff>
              </from>
              <to>
                <xdr:col>3</xdr:col>
                <xdr:colOff>0</xdr:colOff>
                <xdr:row>45</xdr:row>
                <xdr:rowOff>152400</xdr:rowOff>
              </to>
            </anchor>
          </objectPr>
        </oleObject>
      </mc:Choice>
      <mc:Fallback>
        <oleObject progId="Equation.3" shapeId="1212432" r:id="rId27"/>
      </mc:Fallback>
    </mc:AlternateContent>
  </oleObjects>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71"/>
  <sheetViews>
    <sheetView topLeftCell="A4" workbookViewId="0">
      <selection activeCell="Y18" sqref="Y18:Z22"/>
    </sheetView>
  </sheetViews>
  <sheetFormatPr defaultColWidth="8" defaultRowHeight="16.5"/>
  <cols>
    <col min="1" max="26" width="3.25" style="1441" customWidth="1"/>
    <col min="27" max="16384" width="8" style="1441"/>
  </cols>
  <sheetData>
    <row r="1" spans="1:26">
      <c r="A1" s="3165"/>
    </row>
    <row r="2" spans="1:26" ht="20.25">
      <c r="A2" s="3807" t="s">
        <v>8167</v>
      </c>
      <c r="B2" s="3761"/>
      <c r="C2" s="3761"/>
      <c r="D2" s="3761"/>
      <c r="E2" s="3761"/>
      <c r="F2" s="3761"/>
      <c r="G2" s="3761"/>
      <c r="H2" s="3744" t="s">
        <v>8095</v>
      </c>
      <c r="I2" s="3744"/>
      <c r="J2" s="3744"/>
      <c r="K2" s="3744"/>
      <c r="L2" s="3744"/>
      <c r="M2" s="3744"/>
      <c r="N2" s="3744"/>
      <c r="O2" s="3744"/>
      <c r="P2" s="3744"/>
      <c r="Q2" s="3744"/>
      <c r="R2" s="3744"/>
      <c r="S2" s="3744"/>
      <c r="T2" s="3744"/>
      <c r="U2" s="3745" t="s">
        <v>8096</v>
      </c>
      <c r="V2" s="3745"/>
      <c r="W2" s="3745"/>
      <c r="X2" s="3745"/>
      <c r="Y2" s="3745"/>
      <c r="Z2" s="3746"/>
    </row>
    <row r="3" spans="1:26">
      <c r="A3" s="3808"/>
      <c r="B3" s="3747"/>
      <c r="C3" s="3747"/>
      <c r="D3" s="3747"/>
      <c r="E3" s="3747"/>
      <c r="F3" s="3747"/>
      <c r="G3" s="3747"/>
      <c r="H3" s="3747" t="s">
        <v>8193</v>
      </c>
      <c r="I3" s="3747"/>
      <c r="J3" s="3747"/>
      <c r="K3" s="3747"/>
      <c r="L3" s="3747"/>
      <c r="M3" s="3747"/>
      <c r="N3" s="3747"/>
      <c r="O3" s="3747"/>
      <c r="P3" s="3747"/>
      <c r="Q3" s="3747"/>
      <c r="R3" s="3747"/>
      <c r="S3" s="3747"/>
      <c r="T3" s="3747"/>
      <c r="U3" s="3748" t="s">
        <v>8097</v>
      </c>
      <c r="V3" s="3748"/>
      <c r="W3" s="3748"/>
      <c r="X3" s="3748" t="s">
        <v>8098</v>
      </c>
      <c r="Y3" s="3748"/>
      <c r="Z3" s="3749"/>
    </row>
    <row r="4" spans="1:26">
      <c r="A4" s="1747"/>
      <c r="B4" s="1748"/>
      <c r="C4" s="1748"/>
      <c r="D4" s="1748"/>
      <c r="E4" s="1748"/>
      <c r="F4" s="1748"/>
      <c r="G4" s="1748"/>
      <c r="H4" s="1748"/>
      <c r="I4" s="1748"/>
      <c r="J4" s="1748"/>
      <c r="K4" s="1748"/>
      <c r="L4" s="1748"/>
      <c r="M4" s="1748"/>
      <c r="N4" s="1748"/>
      <c r="O4" s="1748"/>
      <c r="P4" s="1748"/>
      <c r="Q4" s="1748"/>
      <c r="R4" s="1748"/>
      <c r="S4" s="1748"/>
      <c r="T4" s="1748"/>
      <c r="U4" s="1748"/>
      <c r="V4" s="1748"/>
      <c r="W4" s="1748"/>
      <c r="X4" s="1748"/>
      <c r="Y4" s="1748"/>
      <c r="Z4" s="1772"/>
    </row>
    <row r="5" spans="1:26">
      <c r="A5" s="3750" t="s">
        <v>8194</v>
      </c>
      <c r="B5" s="3848"/>
      <c r="C5" s="3848"/>
      <c r="D5" s="3848"/>
      <c r="E5" s="3848"/>
      <c r="F5" s="3848"/>
      <c r="G5" s="3848"/>
      <c r="H5" s="3848"/>
      <c r="I5" s="3848"/>
      <c r="J5" s="3848"/>
      <c r="K5" s="3848"/>
      <c r="L5" s="3848"/>
      <c r="M5" s="3848"/>
      <c r="N5" s="3848"/>
      <c r="O5" s="3848"/>
      <c r="P5" s="3848"/>
      <c r="Q5" s="3848"/>
      <c r="R5" s="3848"/>
      <c r="S5" s="3848"/>
      <c r="T5" s="3848"/>
      <c r="U5" s="3848"/>
      <c r="V5" s="3848"/>
      <c r="W5" s="3848"/>
      <c r="X5" s="3848"/>
      <c r="Y5" s="3848"/>
      <c r="Z5" s="3889"/>
    </row>
    <row r="6" spans="1:26">
      <c r="A6" s="1813"/>
      <c r="B6" s="1799"/>
      <c r="C6" s="1137"/>
      <c r="D6" s="1752"/>
      <c r="E6" s="1137"/>
      <c r="F6" s="1752"/>
      <c r="G6" s="1752"/>
      <c r="H6" s="1752"/>
      <c r="I6" s="1137"/>
      <c r="J6" s="1752"/>
      <c r="K6" s="1752"/>
      <c r="L6" s="1752"/>
      <c r="M6" s="1752"/>
      <c r="N6" s="1137"/>
      <c r="O6" s="1752"/>
      <c r="P6" s="1752"/>
      <c r="Q6" s="1752"/>
      <c r="R6" s="1752"/>
      <c r="S6" s="1137"/>
      <c r="T6" s="1752"/>
      <c r="U6" s="1752"/>
      <c r="V6" s="1752"/>
      <c r="W6" s="1137"/>
      <c r="X6" s="1752"/>
      <c r="Y6" s="1137"/>
      <c r="Z6" s="1775"/>
    </row>
    <row r="7" spans="1:26">
      <c r="A7" s="1813"/>
      <c r="B7" s="1799"/>
      <c r="C7" s="1799"/>
      <c r="D7" s="1799"/>
      <c r="E7" s="1799"/>
      <c r="F7" s="1799"/>
      <c r="G7" s="1799"/>
      <c r="H7" s="1799"/>
      <c r="I7" s="1799"/>
      <c r="J7" s="1799"/>
      <c r="K7" s="1799"/>
      <c r="L7" s="1799"/>
      <c r="M7" s="1799"/>
      <c r="N7" s="1799"/>
      <c r="O7" s="1799"/>
      <c r="P7" s="1799"/>
      <c r="Q7" s="1799"/>
      <c r="R7" s="1799"/>
      <c r="S7" s="1799"/>
      <c r="T7" s="1799"/>
      <c r="U7" s="1799"/>
      <c r="V7" s="1799"/>
      <c r="W7" s="1799"/>
      <c r="X7" s="1799"/>
      <c r="Y7" s="1799"/>
      <c r="Z7" s="1810"/>
    </row>
    <row r="8" spans="1:26">
      <c r="A8" s="1813"/>
      <c r="B8" s="1799"/>
      <c r="C8" s="1799"/>
      <c r="D8" s="1799"/>
      <c r="E8" s="1799"/>
      <c r="F8" s="1799"/>
      <c r="G8" s="1799"/>
      <c r="H8" s="1799"/>
      <c r="I8" s="1799"/>
      <c r="J8" s="1799"/>
      <c r="K8" s="1799"/>
      <c r="L8" s="1799"/>
      <c r="M8" s="1799"/>
      <c r="N8" s="1799"/>
      <c r="O8" s="1799"/>
      <c r="P8" s="1799"/>
      <c r="Q8" s="1799"/>
      <c r="R8" s="1799"/>
      <c r="S8" s="1799"/>
      <c r="T8" s="1799"/>
      <c r="U8" s="1799"/>
      <c r="V8" s="1799"/>
      <c r="W8" s="1799"/>
      <c r="X8" s="1799"/>
      <c r="Y8" s="1799"/>
      <c r="Z8" s="1810"/>
    </row>
    <row r="9" spans="1:26">
      <c r="A9" s="1814"/>
      <c r="B9" s="1753"/>
      <c r="C9" s="1753"/>
      <c r="D9" s="1753"/>
      <c r="E9" s="1137"/>
      <c r="F9" s="1137"/>
      <c r="G9" s="1815"/>
      <c r="H9" s="1815"/>
      <c r="I9" s="1137"/>
      <c r="J9" s="1137"/>
      <c r="K9" s="1137"/>
      <c r="L9" s="1137"/>
      <c r="M9" s="1137"/>
      <c r="N9" s="1137"/>
      <c r="O9" s="1137"/>
      <c r="P9" s="1137"/>
      <c r="Q9" s="1137"/>
      <c r="R9" s="1137"/>
      <c r="S9" s="1137"/>
      <c r="T9" s="1137"/>
      <c r="U9" s="1137"/>
      <c r="V9" s="1137"/>
      <c r="W9" s="1761"/>
      <c r="X9" s="1761"/>
      <c r="Y9" s="1761"/>
      <c r="Z9" s="1821"/>
    </row>
    <row r="10" spans="1:26">
      <c r="A10" s="1814"/>
      <c r="B10" s="1753"/>
      <c r="C10" s="1753"/>
      <c r="D10" s="1753"/>
      <c r="E10" s="1137"/>
      <c r="F10" s="1137"/>
      <c r="G10" s="1815"/>
      <c r="H10" s="1815"/>
      <c r="I10" s="1137"/>
      <c r="J10" s="1137"/>
      <c r="K10" s="1137"/>
      <c r="L10" s="1137"/>
      <c r="M10" s="1137"/>
      <c r="N10" s="1137"/>
      <c r="O10" s="1137"/>
      <c r="P10" s="1137"/>
      <c r="Q10" s="1137"/>
      <c r="R10" s="1137"/>
      <c r="S10" s="1137"/>
      <c r="T10" s="1137"/>
      <c r="U10" s="1137"/>
      <c r="V10" s="1137"/>
      <c r="W10" s="1761"/>
      <c r="X10" s="1761"/>
      <c r="Y10" s="1761"/>
      <c r="Z10" s="1821"/>
    </row>
    <row r="11" spans="1:26">
      <c r="A11" s="1814"/>
      <c r="B11" s="1753"/>
      <c r="C11" s="1753"/>
      <c r="D11" s="1753"/>
      <c r="E11" s="1137"/>
      <c r="F11" s="1137"/>
      <c r="G11" s="1815"/>
      <c r="H11" s="1815"/>
      <c r="I11" s="1137"/>
      <c r="J11" s="1137"/>
      <c r="K11" s="1137"/>
      <c r="L11" s="1137"/>
      <c r="M11" s="1137"/>
      <c r="N11" s="1137"/>
      <c r="O11" s="1137"/>
      <c r="P11" s="1137"/>
      <c r="Q11" s="1137"/>
      <c r="R11" s="1137"/>
      <c r="S11" s="1137"/>
      <c r="T11" s="1137"/>
      <c r="U11" s="1137"/>
      <c r="V11" s="1137"/>
      <c r="W11" s="1761"/>
      <c r="X11" s="1761"/>
      <c r="Y11" s="1761"/>
      <c r="Z11" s="1821"/>
    </row>
    <row r="12" spans="1:26">
      <c r="A12" s="1814"/>
      <c r="B12" s="1753"/>
      <c r="C12" s="1753"/>
      <c r="D12" s="1753"/>
      <c r="E12" s="1137"/>
      <c r="F12" s="1137"/>
      <c r="G12" s="1815"/>
      <c r="H12" s="1815"/>
      <c r="I12" s="1137"/>
      <c r="J12" s="1137"/>
      <c r="K12" s="1137"/>
      <c r="L12" s="1137"/>
      <c r="M12" s="1137"/>
      <c r="N12" s="1137"/>
      <c r="O12" s="1137"/>
      <c r="P12" s="1137"/>
      <c r="Q12" s="1137"/>
      <c r="R12" s="1137"/>
      <c r="S12" s="1137"/>
      <c r="T12" s="1137"/>
      <c r="U12" s="1137"/>
      <c r="V12" s="1137"/>
      <c r="W12" s="1761"/>
      <c r="X12" s="1761"/>
      <c r="Y12" s="1761"/>
      <c r="Z12" s="1821"/>
    </row>
    <row r="13" spans="1:26">
      <c r="A13" s="1814"/>
      <c r="B13" s="1753"/>
      <c r="C13" s="1753"/>
      <c r="D13" s="1753"/>
      <c r="E13" s="1137"/>
      <c r="F13" s="1137"/>
      <c r="G13" s="1137"/>
      <c r="H13" s="1137"/>
      <c r="I13" s="1137"/>
      <c r="J13" s="1137"/>
      <c r="K13" s="1137"/>
      <c r="L13" s="1137"/>
      <c r="M13" s="1137"/>
      <c r="N13" s="1137"/>
      <c r="O13" s="1137"/>
      <c r="P13" s="1137"/>
      <c r="Q13" s="1137"/>
      <c r="R13" s="1137"/>
      <c r="S13" s="1137"/>
      <c r="T13" s="1137"/>
      <c r="U13" s="1137"/>
      <c r="V13" s="1137"/>
      <c r="W13" s="1761"/>
      <c r="X13" s="1761"/>
      <c r="Y13" s="1761"/>
      <c r="Z13" s="1821"/>
    </row>
    <row r="14" spans="1:26">
      <c r="A14" s="1814"/>
      <c r="B14" s="1753"/>
      <c r="C14" s="1753"/>
      <c r="D14" s="1753"/>
      <c r="E14" s="1137"/>
      <c r="F14" s="1137"/>
      <c r="G14" s="1137"/>
      <c r="H14" s="1137"/>
      <c r="I14" s="1137"/>
      <c r="J14" s="1137"/>
      <c r="K14" s="1137"/>
      <c r="L14" s="1137"/>
      <c r="M14" s="1137"/>
      <c r="N14" s="1137"/>
      <c r="O14" s="1137"/>
      <c r="P14" s="1137"/>
      <c r="Q14" s="1137"/>
      <c r="R14" s="1137"/>
      <c r="S14" s="1137"/>
      <c r="T14" s="1137"/>
      <c r="U14" s="1137"/>
      <c r="V14" s="1137"/>
      <c r="W14" s="1761"/>
      <c r="X14" s="1761"/>
      <c r="Y14" s="1761"/>
      <c r="Z14" s="1821"/>
    </row>
    <row r="15" spans="1:26">
      <c r="A15" s="1814"/>
      <c r="B15" s="1753"/>
      <c r="C15" s="1753"/>
      <c r="D15" s="1753"/>
      <c r="E15" s="1137"/>
      <c r="F15" s="1137"/>
      <c r="G15" s="1137"/>
      <c r="H15" s="1137"/>
      <c r="I15" s="1137"/>
      <c r="J15" s="1137"/>
      <c r="K15" s="1137"/>
      <c r="L15" s="1137"/>
      <c r="M15" s="1137"/>
      <c r="N15" s="1137"/>
      <c r="O15" s="1137"/>
      <c r="P15" s="1137"/>
      <c r="Q15" s="1137"/>
      <c r="R15" s="1137"/>
      <c r="S15" s="1137"/>
      <c r="T15" s="1137"/>
      <c r="U15" s="1137"/>
      <c r="V15" s="1137"/>
      <c r="W15" s="1761"/>
      <c r="X15" s="1761"/>
      <c r="Y15" s="1761"/>
      <c r="Z15" s="1821"/>
    </row>
    <row r="16" spans="1:26">
      <c r="A16" s="1814"/>
      <c r="B16" s="1753"/>
      <c r="C16" s="1753"/>
      <c r="D16" s="1753"/>
      <c r="E16" s="1137"/>
      <c r="F16" s="1137"/>
      <c r="G16" s="1137"/>
      <c r="H16" s="1137"/>
      <c r="I16" s="1137"/>
      <c r="J16" s="1137"/>
      <c r="K16" s="1137"/>
      <c r="L16" s="1137"/>
      <c r="M16" s="1137"/>
      <c r="N16" s="1137"/>
      <c r="O16" s="1137"/>
      <c r="P16" s="1137"/>
      <c r="Q16" s="1137"/>
      <c r="R16" s="1137"/>
      <c r="S16" s="1137"/>
      <c r="T16" s="1137"/>
      <c r="U16" s="1137"/>
      <c r="V16" s="1137"/>
      <c r="W16" s="1761"/>
      <c r="X16" s="1761"/>
      <c r="Y16" s="1761"/>
      <c r="Z16" s="1821"/>
    </row>
    <row r="17" spans="1:26">
      <c r="A17" s="1814"/>
      <c r="B17" s="1753"/>
      <c r="C17" s="1753"/>
      <c r="D17" s="1753"/>
      <c r="E17" s="1137"/>
      <c r="F17" s="1137"/>
      <c r="G17" s="1137"/>
      <c r="H17" s="1137"/>
      <c r="I17" s="1137"/>
      <c r="J17" s="1137"/>
      <c r="K17" s="1137"/>
      <c r="L17" s="1137"/>
      <c r="M17" s="1137"/>
      <c r="N17" s="1137"/>
      <c r="O17" s="1137"/>
      <c r="P17" s="1137"/>
      <c r="Q17" s="1137"/>
      <c r="R17" s="1137"/>
      <c r="S17" s="1137"/>
      <c r="T17" s="1137"/>
      <c r="U17" s="1137"/>
      <c r="V17" s="1137"/>
      <c r="W17" s="1761"/>
      <c r="X17" s="1761"/>
      <c r="Y17" s="1761"/>
      <c r="Z17" s="1821"/>
    </row>
    <row r="18" spans="1:26">
      <c r="A18" s="1814"/>
      <c r="B18" s="1753"/>
      <c r="C18" s="1753"/>
      <c r="D18" s="1753"/>
      <c r="E18" s="1137"/>
      <c r="F18" s="1137"/>
      <c r="G18" s="1137"/>
      <c r="H18" s="1137"/>
      <c r="I18" s="1137"/>
      <c r="J18" s="1137"/>
      <c r="K18" s="1137"/>
      <c r="L18" s="1137"/>
      <c r="M18" s="1137"/>
      <c r="N18" s="1137"/>
      <c r="O18" s="1137"/>
      <c r="P18" s="1137"/>
      <c r="Q18" s="1137"/>
      <c r="R18" s="1137"/>
      <c r="S18" s="1137"/>
      <c r="T18" s="1137"/>
      <c r="U18" s="1137"/>
      <c r="V18" s="1137"/>
      <c r="W18" s="1761"/>
      <c r="X18" s="1761"/>
      <c r="Y18" s="3912" t="s">
        <v>12718</v>
      </c>
      <c r="Z18" s="3912"/>
    </row>
    <row r="19" spans="1:26">
      <c r="A19" s="1814"/>
      <c r="B19" s="1753"/>
      <c r="C19" s="1753"/>
      <c r="D19" s="1753"/>
      <c r="E19" s="1137"/>
      <c r="F19" s="1137"/>
      <c r="G19" s="1137"/>
      <c r="H19" s="1137"/>
      <c r="I19" s="1137"/>
      <c r="J19" s="1137"/>
      <c r="K19" s="1137"/>
      <c r="L19" s="1137"/>
      <c r="M19" s="1137"/>
      <c r="N19" s="1137"/>
      <c r="O19" s="1137"/>
      <c r="P19" s="1137"/>
      <c r="Q19" s="1137"/>
      <c r="R19" s="1137"/>
      <c r="S19" s="1137"/>
      <c r="T19" s="1137"/>
      <c r="U19" s="1137"/>
      <c r="V19" s="1137"/>
      <c r="W19" s="1761"/>
      <c r="X19" s="1761"/>
      <c r="Y19" s="3912"/>
      <c r="Z19" s="3912"/>
    </row>
    <row r="20" spans="1:26">
      <c r="A20" s="1814"/>
      <c r="B20" s="1753"/>
      <c r="C20" s="1753"/>
      <c r="D20" s="1753"/>
      <c r="E20" s="1137"/>
      <c r="F20" s="1137"/>
      <c r="G20" s="1137"/>
      <c r="H20" s="1137"/>
      <c r="I20" s="1137"/>
      <c r="J20" s="1137"/>
      <c r="K20" s="1137"/>
      <c r="L20" s="1137"/>
      <c r="M20" s="1137"/>
      <c r="N20" s="1137"/>
      <c r="O20" s="1137"/>
      <c r="P20" s="1137"/>
      <c r="Q20" s="1137"/>
      <c r="R20" s="1137"/>
      <c r="S20" s="1137"/>
      <c r="T20" s="1137"/>
      <c r="U20" s="1137"/>
      <c r="V20" s="1137"/>
      <c r="W20" s="1761"/>
      <c r="X20" s="1761"/>
      <c r="Y20" s="3912"/>
      <c r="Z20" s="3912"/>
    </row>
    <row r="21" spans="1:26">
      <c r="A21" s="1814"/>
      <c r="B21" s="1753"/>
      <c r="C21" s="1753"/>
      <c r="D21" s="1753"/>
      <c r="E21" s="1137"/>
      <c r="F21" s="1137"/>
      <c r="G21" s="1137"/>
      <c r="H21" s="1137"/>
      <c r="I21" s="1137"/>
      <c r="J21" s="1137"/>
      <c r="K21" s="1137"/>
      <c r="L21" s="1137"/>
      <c r="M21" s="1137"/>
      <c r="N21" s="1137"/>
      <c r="O21" s="1137"/>
      <c r="P21" s="1137"/>
      <c r="Q21" s="1137"/>
      <c r="R21" s="1137"/>
      <c r="S21" s="1137"/>
      <c r="T21" s="1137"/>
      <c r="U21" s="1137"/>
      <c r="V21" s="1137"/>
      <c r="W21" s="1761"/>
      <c r="X21" s="1761"/>
      <c r="Y21" s="3912"/>
      <c r="Z21" s="3912"/>
    </row>
    <row r="22" spans="1:26">
      <c r="A22" s="1795"/>
      <c r="B22" s="1796"/>
      <c r="C22" s="1796"/>
      <c r="D22" s="1796"/>
      <c r="E22" s="1796"/>
      <c r="F22" s="1796"/>
      <c r="G22" s="1796"/>
      <c r="H22" s="1796"/>
      <c r="I22" s="1796"/>
      <c r="J22" s="1796"/>
      <c r="K22" s="1796"/>
      <c r="L22" s="1796"/>
      <c r="M22" s="1796"/>
      <c r="N22" s="1796"/>
      <c r="O22" s="1796"/>
      <c r="P22" s="1796"/>
      <c r="Q22" s="1796"/>
      <c r="R22" s="1796"/>
      <c r="S22" s="1796"/>
      <c r="T22" s="1796"/>
      <c r="U22" s="1796"/>
      <c r="V22" s="1796"/>
      <c r="W22" s="1796"/>
      <c r="X22" s="1796"/>
      <c r="Y22" s="3912"/>
      <c r="Z22" s="3912"/>
    </row>
    <row r="23" spans="1:26">
      <c r="A23" s="1795"/>
      <c r="B23" s="1796"/>
      <c r="C23" s="1796"/>
      <c r="D23" s="1796"/>
      <c r="E23" s="1796"/>
      <c r="F23" s="1796"/>
      <c r="G23" s="1796"/>
      <c r="H23" s="1796"/>
      <c r="I23" s="1796"/>
      <c r="J23" s="1796"/>
      <c r="K23" s="1796"/>
      <c r="L23" s="1796"/>
      <c r="M23" s="1796"/>
      <c r="N23" s="1796"/>
      <c r="O23" s="1796"/>
      <c r="P23" s="1796"/>
      <c r="Q23" s="1796"/>
      <c r="R23" s="1796"/>
      <c r="S23" s="1796"/>
      <c r="T23" s="1796"/>
      <c r="U23" s="1796"/>
      <c r="V23" s="1796"/>
      <c r="W23" s="1796"/>
      <c r="X23" s="1796"/>
      <c r="Y23" s="1796"/>
      <c r="Z23" s="1809"/>
    </row>
    <row r="24" spans="1:26">
      <c r="A24" s="1795"/>
      <c r="B24" s="1796"/>
      <c r="C24" s="1796"/>
      <c r="D24" s="1796"/>
      <c r="E24" s="1796"/>
      <c r="F24" s="1796"/>
      <c r="G24" s="1796"/>
      <c r="H24" s="1796"/>
      <c r="I24" s="1796"/>
      <c r="J24" s="1796"/>
      <c r="K24" s="1796"/>
      <c r="L24" s="1796"/>
      <c r="M24" s="1796"/>
      <c r="N24" s="1796"/>
      <c r="O24" s="1796"/>
      <c r="P24" s="1796"/>
      <c r="Q24" s="1796"/>
      <c r="R24" s="1796"/>
      <c r="S24" s="1796"/>
      <c r="T24" s="1796"/>
      <c r="U24" s="1796"/>
      <c r="V24" s="1796"/>
      <c r="W24" s="1796"/>
      <c r="X24" s="1796"/>
      <c r="Y24" s="1796"/>
      <c r="Z24" s="1809"/>
    </row>
    <row r="25" spans="1:26">
      <c r="A25" s="1797"/>
      <c r="B25" s="1798"/>
      <c r="C25" s="1799"/>
      <c r="D25" s="1799"/>
      <c r="E25" s="1799"/>
      <c r="F25" s="1799"/>
      <c r="G25" s="1799"/>
      <c r="H25" s="1799"/>
      <c r="I25" s="1799"/>
      <c r="J25" s="1799"/>
      <c r="K25" s="1799"/>
      <c r="L25" s="1799"/>
      <c r="M25" s="1799"/>
      <c r="N25" s="1799"/>
      <c r="O25" s="1799"/>
      <c r="P25" s="1799"/>
      <c r="Q25" s="1799"/>
      <c r="R25" s="1799"/>
      <c r="S25" s="1799"/>
      <c r="T25" s="1799"/>
      <c r="U25" s="1799"/>
      <c r="V25" s="1799"/>
      <c r="W25" s="1799"/>
      <c r="X25" s="1799"/>
      <c r="Y25" s="1799"/>
      <c r="Z25" s="1810"/>
    </row>
    <row r="26" spans="1:26">
      <c r="A26" s="1797"/>
      <c r="C26" s="1799"/>
      <c r="D26" s="1799"/>
      <c r="E26" s="1799"/>
      <c r="F26" s="1799"/>
      <c r="G26" s="1799"/>
      <c r="H26" s="1799"/>
      <c r="I26" s="1799"/>
      <c r="J26" s="1799"/>
      <c r="K26" s="1799"/>
      <c r="L26" s="1799"/>
      <c r="M26" s="1799"/>
      <c r="N26" s="1799"/>
      <c r="O26" s="1799"/>
      <c r="P26" s="1799"/>
      <c r="Q26" s="1799"/>
      <c r="R26" s="1799"/>
      <c r="S26" s="1799"/>
      <c r="T26" s="1799"/>
      <c r="U26" s="1799"/>
      <c r="V26" s="1799"/>
      <c r="W26" s="1799"/>
      <c r="X26" s="1799"/>
      <c r="Y26" s="1799"/>
      <c r="Z26" s="1810"/>
    </row>
    <row r="27" spans="1:26">
      <c r="A27" s="3890" t="s">
        <v>8195</v>
      </c>
      <c r="B27" s="3891"/>
      <c r="C27" s="3891"/>
      <c r="D27" s="3891"/>
      <c r="E27" s="3891"/>
      <c r="F27" s="3907" t="s">
        <v>6565</v>
      </c>
      <c r="G27" s="1767" t="s">
        <v>6343</v>
      </c>
      <c r="H27" s="1767" t="s">
        <v>8175</v>
      </c>
      <c r="I27" s="1767" t="s">
        <v>8176</v>
      </c>
      <c r="J27" s="1767" t="s">
        <v>8177</v>
      </c>
      <c r="K27" s="1767"/>
      <c r="L27" s="1767" t="s">
        <v>8178</v>
      </c>
      <c r="M27" s="1767" t="s">
        <v>8179</v>
      </c>
      <c r="N27" s="1817" t="s">
        <v>8180</v>
      </c>
      <c r="O27" s="1800"/>
      <c r="P27" s="1818" t="s">
        <v>8182</v>
      </c>
      <c r="Q27" s="1800"/>
      <c r="R27" s="1818" t="s">
        <v>8184</v>
      </c>
      <c r="S27" s="1800"/>
      <c r="T27" s="1818" t="s">
        <v>8186</v>
      </c>
      <c r="U27" s="1800"/>
      <c r="V27" s="1818" t="s">
        <v>8188</v>
      </c>
      <c r="W27" s="1800"/>
      <c r="X27" s="1800" t="s">
        <v>8189</v>
      </c>
      <c r="Y27" s="1800" t="s">
        <v>812</v>
      </c>
      <c r="Z27" s="1822" t="s">
        <v>8190</v>
      </c>
    </row>
    <row r="28" spans="1:26" ht="24">
      <c r="A28" s="3892" t="s">
        <v>8196</v>
      </c>
      <c r="B28" s="3849"/>
      <c r="C28" s="3849"/>
      <c r="D28" s="3849"/>
      <c r="E28" s="3849"/>
      <c r="F28" s="3908"/>
      <c r="G28" s="1756"/>
      <c r="H28" s="1756" t="s">
        <v>8175</v>
      </c>
      <c r="I28" s="1756" t="s">
        <v>8176</v>
      </c>
      <c r="J28" s="1756" t="s">
        <v>8177</v>
      </c>
      <c r="K28" s="1756" t="s">
        <v>8178</v>
      </c>
      <c r="L28" s="1819" t="s">
        <v>8179</v>
      </c>
      <c r="M28" s="1819" t="s">
        <v>8180</v>
      </c>
      <c r="N28" s="1756"/>
      <c r="O28" s="1820" t="s">
        <v>8182</v>
      </c>
      <c r="P28" s="1768"/>
      <c r="Q28" s="1820" t="s">
        <v>8184</v>
      </c>
      <c r="R28" s="1768"/>
      <c r="S28" s="1820" t="s">
        <v>8186</v>
      </c>
      <c r="T28" s="1768"/>
      <c r="U28" s="1820" t="s">
        <v>8188</v>
      </c>
      <c r="V28" s="1768"/>
      <c r="W28" s="1768" t="s">
        <v>8189</v>
      </c>
      <c r="X28" s="1768" t="s">
        <v>812</v>
      </c>
      <c r="Y28" s="1820" t="s">
        <v>8190</v>
      </c>
      <c r="Z28" s="1776"/>
    </row>
    <row r="29" spans="1:26" ht="18.75">
      <c r="A29" s="3892" t="s">
        <v>8197</v>
      </c>
      <c r="B29" s="3849"/>
      <c r="C29" s="3849"/>
      <c r="D29" s="3849"/>
      <c r="E29" s="3849"/>
      <c r="F29" s="1816" t="s">
        <v>6085</v>
      </c>
      <c r="G29" s="1756">
        <v>5.5</v>
      </c>
      <c r="H29" s="1756">
        <v>7</v>
      </c>
      <c r="I29" s="1756">
        <v>8</v>
      </c>
      <c r="J29" s="1756">
        <v>10</v>
      </c>
      <c r="K29" s="1756">
        <v>12</v>
      </c>
      <c r="L29" s="1756">
        <v>14</v>
      </c>
      <c r="M29" s="1756">
        <v>17</v>
      </c>
      <c r="N29" s="1756">
        <v>19</v>
      </c>
      <c r="O29" s="1768">
        <v>22</v>
      </c>
      <c r="P29" s="1768">
        <v>24</v>
      </c>
      <c r="Q29" s="1768">
        <v>27</v>
      </c>
      <c r="R29" s="1768">
        <v>30</v>
      </c>
      <c r="S29" s="1768">
        <v>32</v>
      </c>
      <c r="T29" s="1768">
        <v>36</v>
      </c>
      <c r="U29" s="1768">
        <v>41</v>
      </c>
      <c r="V29" s="1768">
        <v>46</v>
      </c>
      <c r="W29" s="1768">
        <v>50</v>
      </c>
      <c r="X29" s="1768">
        <v>55</v>
      </c>
      <c r="Y29" s="1768">
        <v>65</v>
      </c>
      <c r="Z29" s="1776">
        <v>75</v>
      </c>
    </row>
    <row r="30" spans="1:26">
      <c r="A30" s="3893" t="s">
        <v>4554</v>
      </c>
      <c r="B30" s="3849"/>
      <c r="C30" s="3849"/>
      <c r="D30" s="3849"/>
      <c r="E30" s="3849"/>
      <c r="F30" s="3849"/>
      <c r="G30" s="3849">
        <v>20</v>
      </c>
      <c r="H30" s="3849"/>
      <c r="I30" s="3849">
        <v>22</v>
      </c>
      <c r="J30" s="3849"/>
      <c r="K30" s="3849">
        <v>26</v>
      </c>
      <c r="L30" s="3849"/>
      <c r="M30" s="1756">
        <v>32</v>
      </c>
      <c r="N30" s="1756">
        <v>38</v>
      </c>
      <c r="O30" s="3764">
        <v>45</v>
      </c>
      <c r="P30" s="3764"/>
      <c r="Q30" s="1768">
        <v>48</v>
      </c>
      <c r="R30" s="3764">
        <v>55</v>
      </c>
      <c r="S30" s="3764"/>
      <c r="T30" s="1768">
        <v>65</v>
      </c>
      <c r="U30" s="1768">
        <v>70</v>
      </c>
      <c r="V30" s="1768">
        <v>78</v>
      </c>
      <c r="W30" s="3764"/>
      <c r="X30" s="3764"/>
      <c r="Y30" s="3764"/>
      <c r="Z30" s="3853"/>
    </row>
    <row r="31" spans="1:26">
      <c r="A31" s="3893"/>
      <c r="B31" s="3849"/>
      <c r="C31" s="3849"/>
      <c r="D31" s="3849"/>
      <c r="E31" s="3849"/>
      <c r="F31" s="3849"/>
      <c r="G31" s="1756">
        <v>10</v>
      </c>
      <c r="H31" s="3849">
        <v>12</v>
      </c>
      <c r="I31" s="3849"/>
      <c r="J31" s="1756">
        <v>15</v>
      </c>
      <c r="K31" s="1756">
        <v>18</v>
      </c>
      <c r="L31" s="1756">
        <v>20</v>
      </c>
      <c r="M31" s="1756">
        <v>22</v>
      </c>
      <c r="N31" s="1756">
        <v>25</v>
      </c>
      <c r="O31" s="1768">
        <v>28</v>
      </c>
      <c r="P31" s="1768">
        <v>30</v>
      </c>
      <c r="Q31" s="1768">
        <v>32</v>
      </c>
      <c r="R31" s="1768">
        <v>35</v>
      </c>
      <c r="S31" s="1768">
        <v>38</v>
      </c>
      <c r="T31" s="1768">
        <v>42</v>
      </c>
      <c r="U31" s="1768">
        <v>48</v>
      </c>
      <c r="V31" s="1768">
        <v>52</v>
      </c>
      <c r="W31" s="1768">
        <v>55</v>
      </c>
      <c r="X31" s="1768">
        <v>60</v>
      </c>
      <c r="Y31" s="1768">
        <v>70</v>
      </c>
      <c r="Z31" s="1776">
        <v>80</v>
      </c>
    </row>
    <row r="32" spans="1:26">
      <c r="A32" s="3893"/>
      <c r="B32" s="3849"/>
      <c r="C32" s="3849"/>
      <c r="D32" s="3849"/>
      <c r="E32" s="3849"/>
      <c r="F32" s="3849"/>
      <c r="G32" s="1756">
        <v>10</v>
      </c>
      <c r="H32" s="3849">
        <v>12</v>
      </c>
      <c r="I32" s="3849"/>
      <c r="J32" s="1756">
        <v>15</v>
      </c>
      <c r="K32" s="3849">
        <v>20</v>
      </c>
      <c r="L32" s="3849"/>
      <c r="M32" s="1756">
        <v>25</v>
      </c>
      <c r="N32" s="1756">
        <v>28</v>
      </c>
      <c r="O32" s="1768">
        <v>30</v>
      </c>
      <c r="P32" s="1768">
        <v>32</v>
      </c>
      <c r="Q32" s="1768">
        <v>35</v>
      </c>
      <c r="R32" s="1768">
        <v>38</v>
      </c>
      <c r="S32" s="1768">
        <v>40</v>
      </c>
      <c r="T32" s="1768">
        <v>45</v>
      </c>
      <c r="U32" s="1768">
        <v>50</v>
      </c>
      <c r="V32" s="1768">
        <v>55</v>
      </c>
      <c r="W32" s="1768">
        <v>60</v>
      </c>
      <c r="X32" s="1768">
        <v>70</v>
      </c>
      <c r="Y32" s="1768">
        <v>80</v>
      </c>
      <c r="Z32" s="1776">
        <v>90</v>
      </c>
    </row>
    <row r="33" spans="1:26">
      <c r="A33" s="3893"/>
      <c r="B33" s="3849"/>
      <c r="C33" s="3849"/>
      <c r="D33" s="3849"/>
      <c r="E33" s="3849"/>
      <c r="F33" s="3849"/>
      <c r="G33" s="1756">
        <v>12</v>
      </c>
      <c r="H33" s="1756">
        <v>14</v>
      </c>
      <c r="I33" s="1756">
        <v>16</v>
      </c>
      <c r="J33" s="1756">
        <v>18</v>
      </c>
      <c r="K33" s="1756">
        <v>20</v>
      </c>
      <c r="L33" s="1756">
        <v>22</v>
      </c>
      <c r="M33" s="1756">
        <v>25</v>
      </c>
      <c r="N33" s="1756">
        <v>28</v>
      </c>
      <c r="O33" s="1768">
        <v>32</v>
      </c>
      <c r="P33" s="1768">
        <v>35</v>
      </c>
      <c r="Q33" s="1768">
        <v>40</v>
      </c>
      <c r="R33" s="1768">
        <v>45</v>
      </c>
      <c r="S33" s="1768">
        <v>50</v>
      </c>
      <c r="T33" s="1768">
        <v>55</v>
      </c>
      <c r="U33" s="1768">
        <v>60</v>
      </c>
      <c r="V33" s="1768">
        <v>70</v>
      </c>
      <c r="W33" s="1768">
        <v>75</v>
      </c>
      <c r="X33" s="1768">
        <v>80</v>
      </c>
      <c r="Y33" s="1768">
        <v>95</v>
      </c>
      <c r="Z33" s="1776">
        <v>105</v>
      </c>
    </row>
    <row r="34" spans="1:26">
      <c r="A34" s="3893"/>
      <c r="B34" s="3849"/>
      <c r="C34" s="3849"/>
      <c r="D34" s="3849"/>
      <c r="E34" s="3849"/>
      <c r="F34" s="3849"/>
      <c r="G34" s="1756">
        <v>18</v>
      </c>
      <c r="H34" s="3849">
        <v>20</v>
      </c>
      <c r="I34" s="3849"/>
      <c r="J34" s="1756">
        <v>24</v>
      </c>
      <c r="K34" s="1756">
        <v>28</v>
      </c>
      <c r="L34" s="1756">
        <v>30</v>
      </c>
      <c r="M34" s="1756">
        <v>36</v>
      </c>
      <c r="N34" s="1756">
        <v>40</v>
      </c>
      <c r="O34" s="1768">
        <v>45</v>
      </c>
      <c r="P34" s="1768">
        <v>50</v>
      </c>
      <c r="Q34" s="1768">
        <v>55</v>
      </c>
      <c r="R34" s="1768">
        <v>60</v>
      </c>
      <c r="S34" s="1768">
        <v>65</v>
      </c>
      <c r="T34" s="1768">
        <v>75</v>
      </c>
      <c r="U34" s="1768">
        <v>85</v>
      </c>
      <c r="V34" s="1768">
        <v>95</v>
      </c>
      <c r="W34" s="1768">
        <v>100</v>
      </c>
      <c r="X34" s="1768">
        <v>110</v>
      </c>
      <c r="Y34" s="1768">
        <v>125</v>
      </c>
      <c r="Z34" s="1776">
        <v>140</v>
      </c>
    </row>
    <row r="35" spans="1:26">
      <c r="A35" s="3893"/>
      <c r="B35" s="3849"/>
      <c r="C35" s="3849"/>
      <c r="D35" s="3849"/>
      <c r="E35" s="3849"/>
      <c r="F35" s="3849"/>
      <c r="G35" s="3849">
        <v>5</v>
      </c>
      <c r="H35" s="3849"/>
      <c r="I35" s="1756">
        <v>6</v>
      </c>
      <c r="J35" s="1756">
        <v>7</v>
      </c>
      <c r="K35" s="1756">
        <v>8</v>
      </c>
      <c r="L35" s="1756">
        <v>9</v>
      </c>
      <c r="M35" s="1756">
        <v>11</v>
      </c>
      <c r="N35" s="1756">
        <v>12</v>
      </c>
      <c r="O35" s="1768">
        <v>15</v>
      </c>
      <c r="P35" s="1768">
        <v>16</v>
      </c>
      <c r="Q35" s="1768">
        <v>18</v>
      </c>
      <c r="R35" s="1768">
        <v>20</v>
      </c>
      <c r="S35" s="1768">
        <v>21</v>
      </c>
      <c r="T35" s="1768">
        <v>24</v>
      </c>
      <c r="U35" s="1768">
        <v>27</v>
      </c>
      <c r="V35" s="1768">
        <v>30</v>
      </c>
      <c r="W35" s="1768">
        <v>32</v>
      </c>
      <c r="X35" s="1768">
        <v>35</v>
      </c>
      <c r="Y35" s="1768">
        <v>40</v>
      </c>
      <c r="Z35" s="1776">
        <v>50</v>
      </c>
    </row>
    <row r="36" spans="1:26">
      <c r="A36" s="3893"/>
      <c r="B36" s="3849"/>
      <c r="C36" s="3849"/>
      <c r="D36" s="3849"/>
      <c r="E36" s="3849"/>
      <c r="F36" s="3849"/>
      <c r="G36" s="1756">
        <v>8</v>
      </c>
      <c r="H36" s="3849">
        <v>10</v>
      </c>
      <c r="I36" s="3849"/>
      <c r="J36" s="1756">
        <v>12</v>
      </c>
      <c r="K36" s="1756">
        <v>14</v>
      </c>
      <c r="L36" s="1756">
        <v>16</v>
      </c>
      <c r="M36" s="1756">
        <v>18</v>
      </c>
      <c r="N36" s="1756">
        <v>20</v>
      </c>
      <c r="O36" s="1768">
        <v>22</v>
      </c>
      <c r="P36" s="1768">
        <v>25</v>
      </c>
      <c r="Q36" s="1768">
        <v>28</v>
      </c>
      <c r="R36" s="1768">
        <v>30</v>
      </c>
      <c r="S36" s="1768">
        <v>32</v>
      </c>
      <c r="T36" s="1768">
        <v>35</v>
      </c>
      <c r="U36" s="1768">
        <v>40</v>
      </c>
      <c r="V36" s="1768">
        <v>45</v>
      </c>
      <c r="W36" s="1768">
        <v>48</v>
      </c>
      <c r="X36" s="1768">
        <v>50</v>
      </c>
      <c r="Y36" s="1768">
        <v>60</v>
      </c>
      <c r="Z36" s="1776">
        <v>65</v>
      </c>
    </row>
    <row r="37" spans="1:26">
      <c r="A37" s="3893"/>
      <c r="B37" s="3849"/>
      <c r="C37" s="3849"/>
      <c r="D37" s="3849"/>
      <c r="E37" s="3849"/>
      <c r="F37" s="3849"/>
      <c r="G37" s="1756">
        <v>5</v>
      </c>
      <c r="H37" s="3849">
        <v>6</v>
      </c>
      <c r="I37" s="3849"/>
      <c r="J37" s="1756">
        <v>8</v>
      </c>
      <c r="K37" s="1756">
        <v>10</v>
      </c>
      <c r="L37" s="1756">
        <v>12</v>
      </c>
      <c r="M37" s="1756">
        <v>14</v>
      </c>
      <c r="N37" s="1756">
        <v>16</v>
      </c>
      <c r="O37" s="1768">
        <v>18</v>
      </c>
      <c r="P37" s="1768">
        <v>20</v>
      </c>
      <c r="Q37" s="1768">
        <v>22</v>
      </c>
      <c r="R37" s="3764">
        <v>25</v>
      </c>
      <c r="S37" s="3764"/>
      <c r="T37" s="1768">
        <v>28</v>
      </c>
      <c r="U37" s="1768">
        <v>32</v>
      </c>
      <c r="V37" s="1768">
        <v>36</v>
      </c>
      <c r="W37" s="1768">
        <v>40</v>
      </c>
      <c r="X37" s="1768">
        <v>45</v>
      </c>
      <c r="Y37" s="1768">
        <v>50</v>
      </c>
      <c r="Z37" s="1776">
        <v>55</v>
      </c>
    </row>
    <row r="38" spans="1:26">
      <c r="A38" s="3893"/>
      <c r="B38" s="3849"/>
      <c r="C38" s="3849"/>
      <c r="D38" s="3849"/>
      <c r="E38" s="3849"/>
      <c r="F38" s="3849"/>
      <c r="G38" s="1756">
        <v>35</v>
      </c>
      <c r="H38" s="3849">
        <v>40</v>
      </c>
      <c r="I38" s="3849"/>
      <c r="J38" s="1756">
        <v>45</v>
      </c>
      <c r="K38" s="1756">
        <v>55</v>
      </c>
      <c r="L38" s="1756">
        <v>60</v>
      </c>
      <c r="M38" s="1756">
        <v>70</v>
      </c>
      <c r="N38" s="1756">
        <v>80</v>
      </c>
      <c r="O38" s="1768">
        <v>90</v>
      </c>
      <c r="P38" s="1768">
        <v>100</v>
      </c>
      <c r="Q38" s="1768">
        <v>110</v>
      </c>
      <c r="R38" s="3764">
        <v>120</v>
      </c>
      <c r="S38" s="3764"/>
      <c r="T38" s="1768">
        <v>130</v>
      </c>
      <c r="U38" s="1768">
        <v>140</v>
      </c>
      <c r="V38" s="1768">
        <v>155</v>
      </c>
      <c r="W38" s="1768">
        <v>170</v>
      </c>
      <c r="X38" s="1768">
        <v>190</v>
      </c>
      <c r="Y38" s="1768">
        <v>210</v>
      </c>
      <c r="Z38" s="1776">
        <v>250</v>
      </c>
    </row>
    <row r="39" spans="1:26">
      <c r="A39" s="3894"/>
      <c r="B39" s="3895"/>
      <c r="C39" s="3895"/>
      <c r="D39" s="3895"/>
      <c r="E39" s="3895"/>
      <c r="F39" s="3895"/>
      <c r="G39" s="1757">
        <v>25</v>
      </c>
      <c r="H39" s="3895">
        <v>30</v>
      </c>
      <c r="I39" s="3895"/>
      <c r="J39" s="1757">
        <v>35</v>
      </c>
      <c r="K39" s="1757">
        <v>45</v>
      </c>
      <c r="L39" s="1757">
        <v>50</v>
      </c>
      <c r="M39" s="1757">
        <v>55</v>
      </c>
      <c r="N39" s="1757">
        <v>60</v>
      </c>
      <c r="O39" s="1769">
        <v>65</v>
      </c>
      <c r="P39" s="1769">
        <v>70</v>
      </c>
      <c r="Q39" s="1769">
        <v>75</v>
      </c>
      <c r="R39" s="3873">
        <v>80</v>
      </c>
      <c r="S39" s="3873"/>
      <c r="T39" s="1769">
        <v>90</v>
      </c>
      <c r="U39" s="1769">
        <v>100</v>
      </c>
      <c r="V39" s="1769">
        <v>110</v>
      </c>
      <c r="W39" s="1769">
        <v>120</v>
      </c>
      <c r="X39" s="1769">
        <v>130</v>
      </c>
      <c r="Y39" s="1769">
        <v>150</v>
      </c>
      <c r="Z39" s="1777">
        <v>170</v>
      </c>
    </row>
    <row r="40" spans="1:26">
      <c r="A40" s="1758"/>
      <c r="B40" s="1759"/>
      <c r="C40" s="1752"/>
      <c r="D40" s="1752"/>
      <c r="E40" s="1752"/>
      <c r="F40" s="1752"/>
      <c r="G40" s="1752"/>
      <c r="H40" s="1755"/>
      <c r="I40" s="1760"/>
      <c r="J40" s="1760"/>
      <c r="K40" s="1760"/>
      <c r="L40" s="1760"/>
      <c r="M40" s="1760"/>
      <c r="N40" s="1760"/>
      <c r="O40" s="1760"/>
      <c r="P40" s="1760"/>
      <c r="Q40" s="1760"/>
      <c r="R40" s="1760"/>
      <c r="S40" s="1760"/>
      <c r="T40" s="1760"/>
      <c r="U40" s="1760"/>
      <c r="V40" s="1760"/>
      <c r="W40" s="1760"/>
      <c r="X40" s="1760"/>
      <c r="Y40" s="1760"/>
      <c r="Z40" s="1778"/>
    </row>
    <row r="41" spans="1:26">
      <c r="A41" s="3903" t="s">
        <v>8198</v>
      </c>
      <c r="B41" s="3904"/>
      <c r="C41" s="3904"/>
      <c r="D41" s="3904"/>
      <c r="E41" s="3896" t="s">
        <v>8177</v>
      </c>
      <c r="F41" s="3757"/>
      <c r="G41" s="3896" t="s">
        <v>8178</v>
      </c>
      <c r="H41" s="3757"/>
      <c r="I41" s="3896" t="s">
        <v>8179</v>
      </c>
      <c r="J41" s="3757"/>
      <c r="K41" s="3896" t="s">
        <v>8180</v>
      </c>
      <c r="L41" s="3757"/>
      <c r="M41" s="3896" t="s">
        <v>8182</v>
      </c>
      <c r="N41" s="3757"/>
      <c r="O41" s="3896" t="s">
        <v>8184</v>
      </c>
      <c r="P41" s="3757"/>
      <c r="Q41" s="3896" t="s">
        <v>8186</v>
      </c>
      <c r="R41" s="3757"/>
      <c r="S41" s="3896" t="s">
        <v>8188</v>
      </c>
      <c r="T41" s="3757"/>
      <c r="U41" s="3896" t="s">
        <v>8189</v>
      </c>
      <c r="V41" s="3757"/>
      <c r="W41" s="3896" t="s">
        <v>812</v>
      </c>
      <c r="X41" s="3757"/>
      <c r="Y41" s="3897" t="s">
        <v>8190</v>
      </c>
      <c r="Z41" s="3898"/>
    </row>
    <row r="42" spans="1:26">
      <c r="A42" s="3899"/>
      <c r="B42" s="3900"/>
      <c r="C42" s="3900"/>
      <c r="D42" s="3900"/>
      <c r="E42" s="3783">
        <v>22</v>
      </c>
      <c r="F42" s="3783"/>
      <c r="G42" s="3783">
        <v>28</v>
      </c>
      <c r="H42" s="3783"/>
      <c r="I42" s="3783">
        <v>32</v>
      </c>
      <c r="J42" s="3783"/>
      <c r="K42" s="3783">
        <v>43</v>
      </c>
      <c r="L42" s="3783"/>
      <c r="M42" s="3783">
        <v>50</v>
      </c>
      <c r="N42" s="3783"/>
      <c r="O42" s="3783">
        <v>60</v>
      </c>
      <c r="P42" s="3783"/>
      <c r="Q42" s="3783">
        <v>66</v>
      </c>
      <c r="R42" s="3783"/>
      <c r="S42" s="3783">
        <v>85</v>
      </c>
      <c r="T42" s="3783"/>
      <c r="U42" s="3783">
        <v>100</v>
      </c>
      <c r="V42" s="3783"/>
      <c r="W42" s="3783">
        <v>120</v>
      </c>
      <c r="X42" s="3783"/>
      <c r="Y42" s="3901">
        <v>140</v>
      </c>
      <c r="Z42" s="3902"/>
    </row>
    <row r="43" spans="1:26">
      <c r="A43" s="3909" t="s">
        <v>5899</v>
      </c>
      <c r="B43" s="3910"/>
      <c r="C43" s="3759" t="s">
        <v>8199</v>
      </c>
      <c r="D43" s="3759"/>
      <c r="E43" s="3783">
        <v>15</v>
      </c>
      <c r="F43" s="3783"/>
      <c r="G43" s="3783">
        <v>18</v>
      </c>
      <c r="H43" s="3783"/>
      <c r="I43" s="3783">
        <v>20</v>
      </c>
      <c r="J43" s="3783"/>
      <c r="K43" s="3783">
        <v>25</v>
      </c>
      <c r="L43" s="3783"/>
      <c r="M43" s="3783">
        <v>30</v>
      </c>
      <c r="N43" s="3783"/>
      <c r="O43" s="3783">
        <v>40</v>
      </c>
      <c r="P43" s="3783"/>
      <c r="Q43" s="3783">
        <v>45</v>
      </c>
      <c r="R43" s="3783"/>
      <c r="S43" s="3783">
        <v>55</v>
      </c>
      <c r="T43" s="3783"/>
      <c r="U43" s="3783">
        <v>70</v>
      </c>
      <c r="V43" s="3783"/>
      <c r="W43" s="3783">
        <v>80</v>
      </c>
      <c r="X43" s="3783"/>
      <c r="Y43" s="3901">
        <v>90</v>
      </c>
      <c r="Z43" s="3902"/>
    </row>
    <row r="44" spans="1:26">
      <c r="A44" s="3911"/>
      <c r="B44" s="3910"/>
      <c r="C44" s="3759" t="s">
        <v>8200</v>
      </c>
      <c r="D44" s="3759"/>
      <c r="E44" s="3783">
        <v>13</v>
      </c>
      <c r="F44" s="3783"/>
      <c r="G44" s="3783">
        <v>14</v>
      </c>
      <c r="H44" s="3783"/>
      <c r="I44" s="3783">
        <v>15</v>
      </c>
      <c r="J44" s="3783"/>
      <c r="K44" s="3783">
        <v>18</v>
      </c>
      <c r="L44" s="3783"/>
      <c r="M44" s="3783">
        <v>22</v>
      </c>
      <c r="N44" s="3783"/>
      <c r="O44" s="3783">
        <v>25</v>
      </c>
      <c r="P44" s="3783"/>
      <c r="Q44" s="3783">
        <v>30</v>
      </c>
      <c r="R44" s="3783"/>
      <c r="S44" s="3783">
        <v>35</v>
      </c>
      <c r="T44" s="3783"/>
      <c r="U44" s="3783">
        <v>42</v>
      </c>
      <c r="V44" s="3783"/>
      <c r="W44" s="3783">
        <v>48</v>
      </c>
      <c r="X44" s="3783"/>
      <c r="Y44" s="3901">
        <v>55</v>
      </c>
      <c r="Z44" s="3902"/>
    </row>
    <row r="45" spans="1:26">
      <c r="A45" s="3899"/>
      <c r="B45" s="3900"/>
      <c r="C45" s="3900"/>
      <c r="D45" s="3900"/>
      <c r="E45" s="3783">
        <v>13</v>
      </c>
      <c r="F45" s="3783"/>
      <c r="G45" s="3783">
        <v>14</v>
      </c>
      <c r="H45" s="3783"/>
      <c r="I45" s="3783">
        <v>16</v>
      </c>
      <c r="J45" s="3783"/>
      <c r="K45" s="3783">
        <v>20</v>
      </c>
      <c r="L45" s="3783"/>
      <c r="M45" s="3783">
        <v>24</v>
      </c>
      <c r="N45" s="3783"/>
      <c r="O45" s="3783">
        <v>28</v>
      </c>
      <c r="P45" s="3783"/>
      <c r="Q45" s="3783">
        <v>32</v>
      </c>
      <c r="R45" s="3783"/>
      <c r="S45" s="3783">
        <v>38</v>
      </c>
      <c r="T45" s="3783"/>
      <c r="U45" s="3783">
        <v>45</v>
      </c>
      <c r="V45" s="3783"/>
      <c r="W45" s="3783">
        <v>50</v>
      </c>
      <c r="X45" s="3783"/>
      <c r="Y45" s="3901">
        <v>58</v>
      </c>
      <c r="Z45" s="3902"/>
    </row>
    <row r="46" spans="1:26">
      <c r="A46" s="3899"/>
      <c r="B46" s="3900"/>
      <c r="C46" s="3900"/>
      <c r="D46" s="3900"/>
      <c r="E46" s="3783">
        <v>12</v>
      </c>
      <c r="F46" s="3783"/>
      <c r="G46" s="3783">
        <v>13</v>
      </c>
      <c r="H46" s="3783"/>
      <c r="I46" s="3783">
        <v>14</v>
      </c>
      <c r="J46" s="3783"/>
      <c r="K46" s="3783">
        <v>17</v>
      </c>
      <c r="L46" s="3783"/>
      <c r="M46" s="3783">
        <v>21</v>
      </c>
      <c r="N46" s="3783"/>
      <c r="O46" s="3783">
        <v>24</v>
      </c>
      <c r="P46" s="3783"/>
      <c r="Q46" s="3783">
        <v>27</v>
      </c>
      <c r="R46" s="3783"/>
      <c r="S46" s="3783">
        <v>33</v>
      </c>
      <c r="T46" s="3783"/>
      <c r="U46" s="3783">
        <v>40</v>
      </c>
      <c r="V46" s="3783"/>
      <c r="W46" s="3783">
        <v>46</v>
      </c>
      <c r="X46" s="3783"/>
      <c r="Y46" s="3901">
        <v>54</v>
      </c>
      <c r="Z46" s="3902"/>
    </row>
    <row r="47" spans="1:26">
      <c r="A47" s="3899"/>
      <c r="B47" s="3900"/>
      <c r="C47" s="3900"/>
      <c r="D47" s="3900"/>
      <c r="E47" s="3759">
        <v>5</v>
      </c>
      <c r="F47" s="3759"/>
      <c r="G47" s="3759"/>
      <c r="H47" s="3759"/>
      <c r="I47" s="3759"/>
      <c r="J47" s="3759"/>
      <c r="K47" s="3759"/>
      <c r="L47" s="3759"/>
      <c r="M47" s="3759"/>
      <c r="N47" s="3759"/>
      <c r="O47" s="3759">
        <v>8</v>
      </c>
      <c r="P47" s="3759"/>
      <c r="Q47" s="3759">
        <v>10</v>
      </c>
      <c r="R47" s="3759"/>
      <c r="S47" s="3759"/>
      <c r="T47" s="3759"/>
      <c r="U47" s="3759"/>
      <c r="V47" s="3759"/>
      <c r="W47" s="3759">
        <v>12</v>
      </c>
      <c r="X47" s="3759"/>
      <c r="Y47" s="3759"/>
      <c r="Z47" s="3802"/>
    </row>
    <row r="48" spans="1:26">
      <c r="A48" s="3905"/>
      <c r="B48" s="3906"/>
      <c r="C48" s="3906"/>
      <c r="D48" s="3906"/>
      <c r="E48" s="3748">
        <v>3</v>
      </c>
      <c r="F48" s="3748"/>
      <c r="G48" s="3748"/>
      <c r="H48" s="3748"/>
      <c r="I48" s="3748">
        <v>4</v>
      </c>
      <c r="J48" s="3748"/>
      <c r="K48" s="3748"/>
      <c r="L48" s="3748"/>
      <c r="M48" s="3748">
        <v>5</v>
      </c>
      <c r="N48" s="3748"/>
      <c r="O48" s="3748"/>
      <c r="P48" s="3748"/>
      <c r="Q48" s="3748">
        <v>6</v>
      </c>
      <c r="R48" s="3748"/>
      <c r="S48" s="3748"/>
      <c r="T48" s="3748"/>
      <c r="U48" s="3748">
        <v>8</v>
      </c>
      <c r="V48" s="3748"/>
      <c r="W48" s="3748"/>
      <c r="X48" s="3748"/>
      <c r="Y48" s="3748">
        <v>10</v>
      </c>
      <c r="Z48" s="3749"/>
    </row>
    <row r="49" spans="1:26">
      <c r="A49" s="3760" t="s">
        <v>8160</v>
      </c>
      <c r="B49" s="3761"/>
      <c r="C49" s="3761"/>
      <c r="D49" s="3761"/>
      <c r="E49" s="3761"/>
      <c r="F49" s="3761"/>
      <c r="G49" s="3761"/>
      <c r="H49" s="3761" t="s">
        <v>8161</v>
      </c>
      <c r="I49" s="3761"/>
      <c r="J49" s="3761"/>
      <c r="K49" s="3761" t="s">
        <v>8162</v>
      </c>
      <c r="L49" s="3761"/>
      <c r="M49" s="3761"/>
      <c r="N49" s="3761"/>
      <c r="O49" s="3761"/>
      <c r="P49" s="3761"/>
      <c r="Q49" s="3761"/>
      <c r="R49" s="3761"/>
      <c r="S49" s="3761"/>
      <c r="T49" s="3761"/>
      <c r="U49" s="3761" t="s">
        <v>8163</v>
      </c>
      <c r="V49" s="3761"/>
      <c r="W49" s="3761"/>
      <c r="X49" s="3761"/>
      <c r="Y49" s="3761"/>
      <c r="Z49" s="3762"/>
    </row>
    <row r="50" spans="1:26">
      <c r="A50" s="3809" t="s">
        <v>8201</v>
      </c>
      <c r="B50" s="3810"/>
      <c r="C50" s="3810"/>
      <c r="D50" s="3810"/>
      <c r="E50" s="3810"/>
      <c r="F50" s="3810"/>
      <c r="G50" s="3811"/>
      <c r="H50" s="3763"/>
      <c r="I50" s="3763"/>
      <c r="J50" s="3763"/>
      <c r="K50" s="3763" t="s">
        <v>8165</v>
      </c>
      <c r="L50" s="3763"/>
      <c r="M50" s="3763" t="s">
        <v>5928</v>
      </c>
      <c r="N50" s="3763"/>
      <c r="O50" s="3763" t="s">
        <v>7453</v>
      </c>
      <c r="P50" s="3763"/>
      <c r="Q50" s="3763" t="s">
        <v>5930</v>
      </c>
      <c r="R50" s="3763"/>
      <c r="S50" s="3763" t="s">
        <v>4554</v>
      </c>
      <c r="T50" s="3763"/>
      <c r="U50" s="3763"/>
      <c r="V50" s="3763"/>
      <c r="W50" s="3763"/>
      <c r="X50" s="3763"/>
      <c r="Y50" s="3763"/>
      <c r="Z50" s="3815"/>
    </row>
    <row r="51" spans="1:26">
      <c r="A51" s="3812"/>
      <c r="B51" s="3813"/>
      <c r="C51" s="3813"/>
      <c r="D51" s="3813"/>
      <c r="E51" s="3813"/>
      <c r="F51" s="3813"/>
      <c r="G51" s="3814"/>
      <c r="H51" s="3747"/>
      <c r="I51" s="3747"/>
      <c r="J51" s="3747"/>
      <c r="K51" s="3747" t="s">
        <v>8166</v>
      </c>
      <c r="L51" s="3747"/>
      <c r="M51" s="3747"/>
      <c r="N51" s="3747"/>
      <c r="O51" s="3747"/>
      <c r="P51" s="3747"/>
      <c r="Q51" s="3747"/>
      <c r="R51" s="3747"/>
      <c r="S51" s="3747"/>
      <c r="T51" s="3747"/>
      <c r="U51" s="3747"/>
      <c r="V51" s="3747"/>
      <c r="W51" s="3747"/>
      <c r="X51" s="3747"/>
      <c r="Y51" s="3747"/>
      <c r="Z51" s="3816"/>
    </row>
    <row r="52" spans="1:26">
      <c r="A52" s="1766"/>
      <c r="B52" s="1766"/>
      <c r="C52" s="1766"/>
      <c r="D52" s="1766"/>
      <c r="E52" s="1766"/>
      <c r="F52" s="1766"/>
      <c r="G52" s="1766"/>
      <c r="H52" s="1766"/>
      <c r="I52" s="1766"/>
      <c r="J52" s="1766"/>
      <c r="K52" s="1766"/>
      <c r="L52" s="1766"/>
      <c r="M52" s="1766"/>
      <c r="N52" s="1766"/>
      <c r="O52" s="1766"/>
      <c r="P52" s="1766"/>
      <c r="Q52" s="1766"/>
      <c r="R52" s="1766"/>
      <c r="S52" s="1766"/>
      <c r="T52" s="1766"/>
      <c r="U52" s="1766"/>
      <c r="V52" s="1766"/>
      <c r="W52" s="1766"/>
      <c r="X52" s="1766"/>
      <c r="Y52" s="1766"/>
      <c r="Z52" s="1766"/>
    </row>
    <row r="53" spans="1:26">
      <c r="A53" s="1766"/>
      <c r="B53" s="1766"/>
      <c r="C53" s="1766"/>
      <c r="D53" s="1766"/>
      <c r="E53" s="1766"/>
      <c r="F53" s="1766"/>
      <c r="G53" s="1766"/>
      <c r="H53" s="1766"/>
      <c r="I53" s="1766"/>
      <c r="J53" s="1766"/>
      <c r="K53" s="1766"/>
      <c r="L53" s="1766"/>
      <c r="M53" s="1766"/>
      <c r="N53" s="1766"/>
      <c r="O53" s="1766"/>
      <c r="P53" s="1766"/>
      <c r="Q53" s="1766"/>
      <c r="R53" s="1766"/>
      <c r="S53" s="1766"/>
      <c r="T53" s="1766"/>
      <c r="U53" s="1766"/>
      <c r="V53" s="1766"/>
      <c r="W53" s="1766"/>
      <c r="X53" s="1766"/>
      <c r="Y53" s="1766"/>
      <c r="Z53" s="1766"/>
    </row>
    <row r="54" spans="1:26">
      <c r="A54" s="1766"/>
      <c r="B54" s="1766"/>
      <c r="C54" s="1766"/>
      <c r="D54" s="1766"/>
      <c r="E54" s="1766"/>
      <c r="F54" s="1766"/>
      <c r="G54" s="1766"/>
      <c r="H54" s="1766"/>
      <c r="I54" s="1766"/>
      <c r="J54" s="1766"/>
      <c r="K54" s="1766"/>
      <c r="L54" s="1766"/>
      <c r="M54" s="1766"/>
      <c r="N54" s="1766"/>
      <c r="O54" s="1766"/>
      <c r="P54" s="1766"/>
      <c r="Q54" s="1766"/>
      <c r="R54" s="1766"/>
      <c r="S54" s="1766"/>
      <c r="T54" s="1766"/>
      <c r="U54" s="1766"/>
      <c r="V54" s="1766"/>
      <c r="W54" s="1766"/>
      <c r="X54" s="1766"/>
      <c r="Z54" s="1766"/>
    </row>
    <row r="55" spans="1:26">
      <c r="A55" s="1766"/>
      <c r="B55" s="1766"/>
      <c r="C55" s="1766"/>
      <c r="D55" s="1766"/>
      <c r="E55" s="1766"/>
      <c r="F55" s="1766"/>
      <c r="G55" s="1766"/>
      <c r="H55" s="1766"/>
      <c r="I55" s="1766"/>
      <c r="J55" s="1766"/>
      <c r="K55" s="1766"/>
      <c r="L55" s="1766"/>
      <c r="M55" s="1766"/>
      <c r="N55" s="1766"/>
      <c r="O55" s="1766"/>
      <c r="P55" s="1766"/>
      <c r="Q55" s="1766"/>
      <c r="R55" s="1766"/>
      <c r="S55" s="1766"/>
      <c r="T55" s="1766"/>
      <c r="U55" s="1766"/>
      <c r="V55" s="1766"/>
      <c r="W55" s="1766"/>
      <c r="X55" s="1766"/>
      <c r="Y55" s="1766"/>
      <c r="Z55" s="1766"/>
    </row>
    <row r="56" spans="1:26">
      <c r="A56" s="1766"/>
      <c r="B56" s="1766"/>
      <c r="C56" s="1766"/>
      <c r="D56" s="1766"/>
      <c r="E56" s="1766"/>
      <c r="F56" s="1766"/>
      <c r="G56" s="1766"/>
      <c r="H56" s="1766"/>
      <c r="I56" s="1766"/>
      <c r="J56" s="1766"/>
      <c r="K56" s="1766"/>
      <c r="L56" s="1766"/>
      <c r="M56" s="1766"/>
      <c r="N56" s="1766"/>
      <c r="O56" s="1766"/>
      <c r="P56" s="1766"/>
      <c r="Q56" s="1766"/>
      <c r="R56" s="1766"/>
      <c r="S56" s="1766"/>
      <c r="T56" s="1766"/>
      <c r="U56" s="1766"/>
      <c r="V56" s="1766"/>
      <c r="W56" s="1766"/>
      <c r="X56" s="1766"/>
      <c r="Y56" s="1766"/>
      <c r="Z56" s="1766"/>
    </row>
    <row r="57" spans="1:26">
      <c r="A57" s="1766"/>
      <c r="B57" s="1766"/>
      <c r="C57" s="1766"/>
      <c r="D57" s="1766"/>
      <c r="E57" s="1766"/>
      <c r="F57" s="1766"/>
      <c r="G57" s="1766"/>
      <c r="H57" s="1766"/>
      <c r="I57" s="1766"/>
      <c r="J57" s="1766"/>
      <c r="K57" s="1766"/>
      <c r="L57" s="1766"/>
      <c r="M57" s="1766"/>
      <c r="N57" s="1766"/>
      <c r="O57" s="1766"/>
      <c r="P57" s="1766"/>
      <c r="Q57" s="1766"/>
      <c r="R57" s="1766"/>
      <c r="S57" s="1766"/>
      <c r="T57" s="1766"/>
      <c r="U57" s="1766"/>
      <c r="V57" s="1766"/>
      <c r="W57" s="1766"/>
      <c r="X57" s="1766"/>
      <c r="Y57" s="1766"/>
      <c r="Z57" s="1766"/>
    </row>
    <row r="58" spans="1:26">
      <c r="A58" s="1766"/>
      <c r="B58" s="1766"/>
      <c r="C58" s="1766"/>
      <c r="D58" s="1766"/>
      <c r="E58" s="1766"/>
      <c r="F58" s="1766"/>
      <c r="G58" s="1766"/>
      <c r="H58" s="1766"/>
      <c r="I58" s="1766"/>
      <c r="J58" s="1766"/>
      <c r="K58" s="1766"/>
      <c r="L58" s="1766"/>
      <c r="M58" s="1766"/>
      <c r="N58" s="1766"/>
      <c r="O58" s="1766"/>
      <c r="P58" s="1766"/>
      <c r="Q58" s="1766"/>
      <c r="R58" s="1766"/>
      <c r="S58" s="1766"/>
      <c r="T58" s="1766"/>
      <c r="U58" s="1766"/>
      <c r="V58" s="1766"/>
      <c r="W58" s="1766"/>
      <c r="X58" s="1766"/>
      <c r="Y58" s="1766"/>
      <c r="Z58" s="1766"/>
    </row>
    <row r="59" spans="1:26">
      <c r="A59" s="1766"/>
      <c r="B59" s="1766"/>
      <c r="C59" s="1766"/>
      <c r="D59" s="1766"/>
      <c r="E59" s="1766"/>
      <c r="F59" s="1766"/>
      <c r="G59" s="1766"/>
      <c r="H59" s="1766"/>
      <c r="I59" s="1766"/>
      <c r="J59" s="1766"/>
      <c r="K59" s="1766"/>
      <c r="L59" s="1766"/>
      <c r="M59" s="1766"/>
      <c r="N59" s="1766"/>
      <c r="O59" s="1766"/>
      <c r="P59" s="1766"/>
      <c r="Q59" s="1766"/>
      <c r="R59" s="1766"/>
      <c r="S59" s="1766"/>
      <c r="T59" s="1766"/>
      <c r="U59" s="1766"/>
      <c r="V59" s="1766"/>
      <c r="W59" s="1766"/>
      <c r="X59" s="1766"/>
      <c r="Y59" s="1766"/>
      <c r="Z59" s="1766"/>
    </row>
    <row r="60" spans="1:26">
      <c r="A60" s="1766"/>
      <c r="B60" s="1766"/>
      <c r="C60" s="1766"/>
      <c r="D60" s="1766"/>
      <c r="E60" s="1766"/>
      <c r="F60" s="1766"/>
      <c r="G60" s="1766"/>
      <c r="H60" s="1766"/>
      <c r="I60" s="1766"/>
      <c r="J60" s="1766"/>
      <c r="K60" s="1766"/>
      <c r="L60" s="1766"/>
      <c r="M60" s="1766"/>
      <c r="N60" s="1766"/>
      <c r="O60" s="1766"/>
      <c r="P60" s="1766"/>
      <c r="Q60" s="1766"/>
      <c r="R60" s="1766"/>
      <c r="S60" s="1766"/>
      <c r="T60" s="1766"/>
      <c r="U60" s="1766"/>
      <c r="V60" s="1766"/>
      <c r="W60" s="1766"/>
      <c r="X60" s="1766"/>
      <c r="Y60" s="1766"/>
      <c r="Z60" s="1766"/>
    </row>
    <row r="61" spans="1:26">
      <c r="A61" s="1766"/>
      <c r="B61" s="1766"/>
      <c r="C61" s="1766"/>
      <c r="D61" s="1766"/>
      <c r="E61" s="1766"/>
      <c r="F61" s="1766"/>
      <c r="G61" s="1766"/>
      <c r="H61" s="1766"/>
      <c r="I61" s="1766"/>
      <c r="J61" s="1766"/>
      <c r="K61" s="1766"/>
      <c r="L61" s="1766"/>
      <c r="M61" s="1766"/>
      <c r="N61" s="1766"/>
      <c r="O61" s="1766"/>
      <c r="P61" s="1766"/>
      <c r="Q61" s="1766"/>
      <c r="R61" s="1766"/>
      <c r="S61" s="1766"/>
      <c r="T61" s="1766"/>
      <c r="U61" s="1766"/>
      <c r="V61" s="1766"/>
      <c r="W61" s="1766"/>
      <c r="X61" s="1766"/>
      <c r="Y61" s="1766"/>
      <c r="Z61" s="1766"/>
    </row>
    <row r="62" spans="1:26">
      <c r="A62" s="1766"/>
      <c r="B62" s="1766"/>
      <c r="C62" s="1766"/>
      <c r="D62" s="1766"/>
      <c r="E62" s="1766"/>
      <c r="F62" s="1766"/>
      <c r="G62" s="1766"/>
      <c r="H62" s="1766"/>
      <c r="I62" s="1766"/>
      <c r="J62" s="1766"/>
      <c r="K62" s="1766"/>
      <c r="L62" s="1766"/>
      <c r="M62" s="1766"/>
      <c r="N62" s="1766"/>
      <c r="O62" s="1766"/>
      <c r="P62" s="1766"/>
      <c r="Q62" s="1766"/>
      <c r="R62" s="1766"/>
      <c r="S62" s="1766"/>
      <c r="T62" s="1766"/>
      <c r="U62" s="1766"/>
      <c r="V62" s="1766"/>
      <c r="W62" s="1766"/>
      <c r="X62" s="1766"/>
      <c r="Y62" s="1766"/>
      <c r="Z62" s="1766"/>
    </row>
    <row r="63" spans="1:26">
      <c r="A63" s="1766"/>
      <c r="B63" s="1766"/>
      <c r="C63" s="1766"/>
      <c r="D63" s="1766"/>
      <c r="E63" s="1766"/>
      <c r="F63" s="1766"/>
      <c r="G63" s="1766"/>
      <c r="H63" s="1766"/>
      <c r="I63" s="1766"/>
      <c r="J63" s="1766"/>
      <c r="K63" s="1766"/>
      <c r="L63" s="1766"/>
      <c r="M63" s="1766"/>
      <c r="N63" s="1766"/>
      <c r="O63" s="1766"/>
      <c r="P63" s="1766"/>
      <c r="Q63" s="1766"/>
      <c r="R63" s="1766"/>
      <c r="S63" s="1766"/>
      <c r="T63" s="1766"/>
      <c r="U63" s="1766"/>
      <c r="V63" s="1766"/>
      <c r="W63" s="1766"/>
      <c r="X63" s="1766"/>
      <c r="Y63" s="1766"/>
      <c r="Z63" s="1766"/>
    </row>
    <row r="64" spans="1:26">
      <c r="A64" s="1766"/>
      <c r="B64" s="1766"/>
      <c r="C64" s="1766"/>
      <c r="D64" s="1766"/>
      <c r="E64" s="1766"/>
      <c r="F64" s="1766"/>
      <c r="G64" s="1766"/>
      <c r="H64" s="1766"/>
      <c r="I64" s="1766"/>
      <c r="J64" s="1766"/>
      <c r="K64" s="1766"/>
      <c r="L64" s="1766"/>
      <c r="M64" s="1766"/>
      <c r="N64" s="1766"/>
      <c r="O64" s="1766"/>
      <c r="P64" s="1766"/>
      <c r="Q64" s="1766"/>
      <c r="R64" s="1766"/>
      <c r="S64" s="1766"/>
      <c r="T64" s="1766"/>
      <c r="U64" s="1766"/>
      <c r="V64" s="1766"/>
      <c r="W64" s="1766"/>
      <c r="X64" s="1766"/>
      <c r="Y64" s="1766"/>
      <c r="Z64" s="1766"/>
    </row>
    <row r="65" spans="1:26">
      <c r="A65" s="1766"/>
      <c r="B65" s="1766"/>
      <c r="C65" s="1766"/>
      <c r="D65" s="1766"/>
      <c r="E65" s="1766"/>
      <c r="F65" s="1766"/>
      <c r="G65" s="1766"/>
      <c r="H65" s="1766"/>
      <c r="I65" s="1766"/>
      <c r="J65" s="1766"/>
      <c r="K65" s="1766"/>
      <c r="L65" s="1766"/>
      <c r="M65" s="1766"/>
      <c r="N65" s="1766"/>
      <c r="O65" s="1766"/>
      <c r="P65" s="1766"/>
      <c r="Q65" s="1766"/>
      <c r="R65" s="1766"/>
      <c r="S65" s="1766"/>
      <c r="T65" s="1766"/>
      <c r="U65" s="1766"/>
      <c r="V65" s="1766"/>
      <c r="W65" s="1766"/>
      <c r="X65" s="1766"/>
      <c r="Y65" s="1766"/>
      <c r="Z65" s="1766"/>
    </row>
    <row r="66" spans="1:26">
      <c r="A66" s="1766"/>
      <c r="B66" s="1766"/>
      <c r="C66" s="1766"/>
      <c r="D66" s="1766"/>
      <c r="E66" s="1766"/>
      <c r="F66" s="1766"/>
      <c r="G66" s="1766"/>
      <c r="H66" s="1766"/>
      <c r="I66" s="1766"/>
      <c r="J66" s="1766"/>
      <c r="K66" s="1766"/>
      <c r="L66" s="1766"/>
      <c r="M66" s="1766"/>
      <c r="N66" s="1766"/>
      <c r="O66" s="1766"/>
      <c r="P66" s="1766"/>
      <c r="Q66" s="1766"/>
      <c r="R66" s="1766"/>
      <c r="S66" s="1766"/>
      <c r="T66" s="1766"/>
      <c r="U66" s="1766"/>
      <c r="V66" s="1766"/>
      <c r="W66" s="1766"/>
      <c r="X66" s="1766"/>
      <c r="Y66" s="1766"/>
      <c r="Z66" s="1766"/>
    </row>
    <row r="67" spans="1:26">
      <c r="A67" s="1766"/>
      <c r="B67" s="1766"/>
      <c r="C67" s="1766"/>
      <c r="D67" s="1766"/>
      <c r="E67" s="1766"/>
      <c r="F67" s="1766"/>
      <c r="G67" s="1766"/>
      <c r="H67" s="1766"/>
      <c r="I67" s="1766"/>
      <c r="J67" s="1766"/>
      <c r="K67" s="1766"/>
      <c r="L67" s="1766"/>
      <c r="M67" s="1766"/>
      <c r="N67" s="1766"/>
      <c r="O67" s="1766"/>
      <c r="P67" s="1766"/>
      <c r="Q67" s="1766"/>
      <c r="R67" s="1766"/>
      <c r="S67" s="1766"/>
      <c r="T67" s="1766"/>
      <c r="U67" s="1766"/>
      <c r="V67" s="1766"/>
      <c r="W67" s="1766"/>
      <c r="X67" s="1766"/>
      <c r="Y67" s="1766"/>
      <c r="Z67" s="1766"/>
    </row>
    <row r="68" spans="1:26">
      <c r="A68" s="1766"/>
      <c r="B68" s="1766"/>
      <c r="C68" s="1766"/>
      <c r="D68" s="1766"/>
      <c r="E68" s="1766"/>
      <c r="F68" s="1766"/>
      <c r="G68" s="1766"/>
      <c r="H68" s="1766"/>
      <c r="I68" s="1766"/>
      <c r="J68" s="1766"/>
      <c r="K68" s="1766"/>
      <c r="L68" s="1766"/>
      <c r="M68" s="1766"/>
      <c r="N68" s="1766"/>
      <c r="O68" s="1766"/>
      <c r="P68" s="1766"/>
      <c r="Q68" s="1766"/>
      <c r="R68" s="1766"/>
      <c r="S68" s="1766"/>
      <c r="T68" s="1766"/>
      <c r="U68" s="1766"/>
      <c r="V68" s="1766"/>
      <c r="W68" s="1766"/>
      <c r="X68" s="1766"/>
      <c r="Y68" s="1766"/>
      <c r="Z68" s="1766"/>
    </row>
    <row r="69" spans="1:26">
      <c r="A69" s="1766"/>
      <c r="B69" s="1766"/>
      <c r="C69" s="1766"/>
      <c r="D69" s="1766"/>
      <c r="E69" s="1766"/>
      <c r="F69" s="1766"/>
      <c r="G69" s="1766"/>
      <c r="H69" s="1766"/>
      <c r="I69" s="1766"/>
      <c r="J69" s="1766"/>
      <c r="K69" s="1766"/>
      <c r="L69" s="1766"/>
      <c r="M69" s="1766"/>
      <c r="N69" s="1766"/>
      <c r="O69" s="1766"/>
      <c r="P69" s="1766"/>
      <c r="Q69" s="1766"/>
      <c r="R69" s="1766"/>
      <c r="S69" s="1766"/>
      <c r="T69" s="1766"/>
      <c r="U69" s="1766"/>
      <c r="V69" s="1766"/>
      <c r="W69" s="1766"/>
      <c r="X69" s="1766"/>
      <c r="Y69" s="1766"/>
      <c r="Z69" s="1766"/>
    </row>
    <row r="70" spans="1:26">
      <c r="A70" s="1766"/>
      <c r="B70" s="1766"/>
      <c r="C70" s="1766"/>
      <c r="D70" s="1766"/>
      <c r="E70" s="1766"/>
      <c r="F70" s="1766"/>
      <c r="G70" s="1766"/>
      <c r="H70" s="1766"/>
      <c r="I70" s="1766"/>
      <c r="J70" s="1766"/>
      <c r="K70" s="1766"/>
      <c r="L70" s="1766"/>
      <c r="M70" s="1766"/>
      <c r="N70" s="1766"/>
      <c r="O70" s="1766"/>
      <c r="P70" s="1766"/>
      <c r="Q70" s="1766"/>
      <c r="R70" s="1766"/>
      <c r="S70" s="1766"/>
      <c r="T70" s="1766"/>
      <c r="U70" s="1766"/>
      <c r="V70" s="1766"/>
      <c r="W70" s="1766"/>
      <c r="X70" s="1766"/>
      <c r="Y70" s="1766"/>
      <c r="Z70" s="1766"/>
    </row>
    <row r="71" spans="1:26">
      <c r="A71" s="1766"/>
      <c r="B71" s="1766"/>
      <c r="C71" s="1766"/>
      <c r="D71" s="1766"/>
      <c r="E71" s="1766"/>
      <c r="F71" s="1766"/>
      <c r="G71" s="1766"/>
      <c r="H71" s="1766"/>
      <c r="I71" s="1766"/>
      <c r="J71" s="1766"/>
      <c r="K71" s="1766"/>
      <c r="L71" s="1766"/>
      <c r="M71" s="1766"/>
      <c r="N71" s="1766"/>
      <c r="O71" s="1766"/>
      <c r="P71" s="1766"/>
      <c r="Q71" s="1766"/>
      <c r="R71" s="1766"/>
      <c r="S71" s="1766"/>
      <c r="T71" s="1766"/>
      <c r="U71" s="1766"/>
      <c r="V71" s="1766"/>
      <c r="W71" s="1766"/>
      <c r="X71" s="1766"/>
      <c r="Y71" s="1766"/>
      <c r="Z71" s="1766"/>
    </row>
    <row r="72" spans="1:26">
      <c r="A72" s="1766"/>
      <c r="B72" s="1766"/>
      <c r="C72" s="1766"/>
      <c r="D72" s="1766"/>
      <c r="E72" s="1766"/>
      <c r="F72" s="1766"/>
      <c r="G72" s="1766"/>
      <c r="H72" s="1766"/>
      <c r="I72" s="1766"/>
      <c r="J72" s="1766"/>
      <c r="K72" s="1766"/>
      <c r="L72" s="1766"/>
      <c r="M72" s="1766"/>
      <c r="N72" s="1766"/>
      <c r="O72" s="1766"/>
      <c r="P72" s="1766"/>
      <c r="Q72" s="1766"/>
      <c r="R72" s="1766"/>
      <c r="S72" s="1766"/>
      <c r="T72" s="1766"/>
      <c r="U72" s="1766"/>
      <c r="V72" s="1766"/>
      <c r="W72" s="1766"/>
      <c r="X72" s="1766"/>
      <c r="Y72" s="1766"/>
      <c r="Z72" s="1766"/>
    </row>
    <row r="73" spans="1:26">
      <c r="A73" s="1766"/>
      <c r="B73" s="1766"/>
      <c r="C73" s="1766"/>
      <c r="D73" s="1766"/>
      <c r="E73" s="1766"/>
      <c r="F73" s="1766"/>
      <c r="G73" s="1766"/>
      <c r="H73" s="1766"/>
      <c r="I73" s="1766"/>
      <c r="J73" s="1766"/>
      <c r="K73" s="1766"/>
      <c r="L73" s="1766"/>
      <c r="M73" s="1766"/>
      <c r="N73" s="1766"/>
      <c r="O73" s="1766"/>
      <c r="P73" s="1766"/>
      <c r="Q73" s="1766"/>
      <c r="R73" s="1766"/>
      <c r="S73" s="1766"/>
      <c r="T73" s="1766"/>
      <c r="U73" s="1766"/>
      <c r="V73" s="1766"/>
      <c r="W73" s="1766"/>
      <c r="X73" s="1766"/>
      <c r="Y73" s="1766"/>
      <c r="Z73" s="1766"/>
    </row>
    <row r="74" spans="1:26">
      <c r="A74" s="1766"/>
      <c r="B74" s="1766"/>
      <c r="C74" s="1766"/>
      <c r="D74" s="1766"/>
      <c r="E74" s="1766"/>
      <c r="F74" s="1766"/>
      <c r="G74" s="1766"/>
      <c r="H74" s="1766"/>
      <c r="I74" s="1766"/>
      <c r="J74" s="1766"/>
      <c r="K74" s="1766"/>
      <c r="L74" s="1766"/>
      <c r="M74" s="1766"/>
      <c r="N74" s="1766"/>
      <c r="O74" s="1766"/>
      <c r="P74" s="1766"/>
      <c r="Q74" s="1766"/>
      <c r="R74" s="1766"/>
      <c r="S74" s="1766"/>
      <c r="T74" s="1766"/>
      <c r="U74" s="1766"/>
      <c r="V74" s="1766"/>
      <c r="W74" s="1766"/>
      <c r="X74" s="1766"/>
      <c r="Y74" s="1766"/>
      <c r="Z74" s="1766"/>
    </row>
    <row r="75" spans="1:26">
      <c r="A75" s="1766"/>
      <c r="B75" s="1766"/>
      <c r="C75" s="1766"/>
      <c r="D75" s="1766"/>
      <c r="E75" s="1766"/>
      <c r="F75" s="1766"/>
      <c r="G75" s="1766"/>
      <c r="H75" s="1766"/>
      <c r="I75" s="1766"/>
      <c r="J75" s="1766"/>
      <c r="K75" s="1766"/>
      <c r="L75" s="1766"/>
      <c r="M75" s="1766"/>
      <c r="N75" s="1766"/>
      <c r="O75" s="1766"/>
      <c r="P75" s="1766"/>
      <c r="Q75" s="1766"/>
      <c r="R75" s="1766"/>
      <c r="S75" s="1766"/>
      <c r="T75" s="1766"/>
      <c r="U75" s="1766"/>
      <c r="V75" s="1766"/>
      <c r="W75" s="1766"/>
      <c r="X75" s="1766"/>
      <c r="Y75" s="1766"/>
      <c r="Z75" s="1766"/>
    </row>
    <row r="76" spans="1:26">
      <c r="A76" s="1766"/>
      <c r="B76" s="1766"/>
      <c r="C76" s="1766"/>
      <c r="D76" s="1766"/>
      <c r="E76" s="1766"/>
      <c r="F76" s="1766"/>
      <c r="G76" s="1766"/>
      <c r="H76" s="1766"/>
      <c r="I76" s="1766"/>
      <c r="J76" s="1766"/>
      <c r="K76" s="1766"/>
      <c r="L76" s="1766"/>
      <c r="M76" s="1766"/>
      <c r="N76" s="1766"/>
      <c r="O76" s="1766"/>
      <c r="P76" s="1766"/>
      <c r="Q76" s="1766"/>
      <c r="R76" s="1766"/>
      <c r="S76" s="1766"/>
      <c r="T76" s="1766"/>
      <c r="U76" s="1766"/>
      <c r="V76" s="1766"/>
      <c r="W76" s="1766"/>
      <c r="X76" s="1766"/>
      <c r="Y76" s="1766"/>
      <c r="Z76" s="1766"/>
    </row>
    <row r="77" spans="1:26">
      <c r="A77" s="1766"/>
      <c r="B77" s="1766"/>
      <c r="C77" s="1766"/>
      <c r="D77" s="1766"/>
      <c r="E77" s="1766"/>
      <c r="F77" s="1766"/>
      <c r="G77" s="1766"/>
      <c r="H77" s="1766"/>
      <c r="I77" s="1766"/>
      <c r="J77" s="1766"/>
      <c r="K77" s="1766"/>
      <c r="L77" s="1766"/>
      <c r="M77" s="1766"/>
      <c r="N77" s="1766"/>
      <c r="O77" s="1766"/>
      <c r="P77" s="1766"/>
      <c r="Q77" s="1766"/>
      <c r="R77" s="1766"/>
      <c r="S77" s="1766"/>
      <c r="T77" s="1766"/>
      <c r="U77" s="1766"/>
      <c r="V77" s="1766"/>
      <c r="W77" s="1766"/>
      <c r="X77" s="1766"/>
      <c r="Y77" s="1766"/>
      <c r="Z77" s="1766"/>
    </row>
    <row r="78" spans="1:26">
      <c r="A78" s="1766"/>
      <c r="B78" s="1766"/>
      <c r="C78" s="1766"/>
      <c r="D78" s="1766"/>
      <c r="E78" s="1766"/>
      <c r="F78" s="1766"/>
      <c r="G78" s="1766"/>
      <c r="H78" s="1766"/>
      <c r="I78" s="1766"/>
      <c r="J78" s="1766"/>
      <c r="K78" s="1766"/>
      <c r="L78" s="1766"/>
      <c r="M78" s="1766"/>
      <c r="N78" s="1766"/>
      <c r="O78" s="1766"/>
      <c r="P78" s="1766"/>
      <c r="Q78" s="1766"/>
      <c r="R78" s="1766"/>
      <c r="S78" s="1766"/>
      <c r="T78" s="1766"/>
      <c r="U78" s="1766"/>
      <c r="V78" s="1766"/>
      <c r="W78" s="1766"/>
      <c r="X78" s="1766"/>
      <c r="Y78" s="1766"/>
      <c r="Z78" s="1766"/>
    </row>
    <row r="79" spans="1:26">
      <c r="A79" s="1766"/>
      <c r="B79" s="1766"/>
      <c r="C79" s="1766"/>
      <c r="D79" s="1766"/>
      <c r="E79" s="1766"/>
      <c r="F79" s="1766"/>
      <c r="G79" s="1766"/>
      <c r="H79" s="1766"/>
      <c r="I79" s="1766"/>
      <c r="J79" s="1766"/>
      <c r="K79" s="1766"/>
      <c r="L79" s="1766"/>
      <c r="M79" s="1766"/>
      <c r="N79" s="1766"/>
      <c r="O79" s="1766"/>
      <c r="P79" s="1766"/>
      <c r="Q79" s="1766"/>
      <c r="R79" s="1766"/>
      <c r="S79" s="1766"/>
      <c r="T79" s="1766"/>
      <c r="U79" s="1766"/>
      <c r="V79" s="1766"/>
      <c r="W79" s="1766"/>
      <c r="X79" s="1766"/>
      <c r="Y79" s="1766"/>
      <c r="Z79" s="1766"/>
    </row>
    <row r="80" spans="1:26">
      <c r="A80" s="1766"/>
      <c r="B80" s="1766"/>
      <c r="C80" s="1766"/>
      <c r="D80" s="1766"/>
      <c r="E80" s="1766"/>
      <c r="F80" s="1766"/>
      <c r="G80" s="1766"/>
      <c r="H80" s="1766"/>
      <c r="I80" s="1766"/>
      <c r="J80" s="1766"/>
      <c r="K80" s="1766"/>
      <c r="L80" s="1766"/>
      <c r="M80" s="1766"/>
      <c r="N80" s="1766"/>
      <c r="O80" s="1766"/>
      <c r="P80" s="1766"/>
      <c r="Q80" s="1766"/>
      <c r="R80" s="1766"/>
      <c r="S80" s="1766"/>
      <c r="T80" s="1766"/>
      <c r="U80" s="1766"/>
      <c r="V80" s="1766"/>
      <c r="W80" s="1766"/>
      <c r="X80" s="1766"/>
      <c r="Y80" s="1766"/>
      <c r="Z80" s="1766"/>
    </row>
    <row r="81" spans="1:26">
      <c r="A81" s="1766"/>
      <c r="B81" s="1766"/>
      <c r="C81" s="1766"/>
      <c r="D81" s="1766"/>
      <c r="E81" s="1766"/>
      <c r="F81" s="1766"/>
      <c r="G81" s="1766"/>
      <c r="H81" s="1766"/>
      <c r="I81" s="1766"/>
      <c r="J81" s="1766"/>
      <c r="K81" s="1766"/>
      <c r="L81" s="1766"/>
      <c r="M81" s="1766"/>
      <c r="N81" s="1766"/>
      <c r="O81" s="1766"/>
      <c r="P81" s="1766"/>
      <c r="Q81" s="1766"/>
      <c r="R81" s="1766"/>
      <c r="S81" s="1766"/>
      <c r="T81" s="1766"/>
      <c r="U81" s="1766"/>
      <c r="V81" s="1766"/>
      <c r="W81" s="1766"/>
      <c r="X81" s="1766"/>
      <c r="Y81" s="1766"/>
      <c r="Z81" s="1766"/>
    </row>
    <row r="82" spans="1:26">
      <c r="A82" s="1766"/>
      <c r="B82" s="1766"/>
      <c r="C82" s="1766"/>
      <c r="D82" s="1766"/>
      <c r="E82" s="1766"/>
      <c r="F82" s="1766"/>
      <c r="G82" s="1766"/>
      <c r="H82" s="1766"/>
      <c r="I82" s="1766"/>
      <c r="J82" s="1766"/>
      <c r="K82" s="1766"/>
      <c r="L82" s="1766"/>
      <c r="M82" s="1766"/>
      <c r="N82" s="1766"/>
      <c r="O82" s="1766"/>
      <c r="P82" s="1766"/>
      <c r="Q82" s="1766"/>
      <c r="R82" s="1766"/>
      <c r="S82" s="1766"/>
      <c r="T82" s="1766"/>
      <c r="U82" s="1766"/>
      <c r="V82" s="1766"/>
      <c r="W82" s="1766"/>
      <c r="X82" s="1766"/>
      <c r="Y82" s="1766"/>
      <c r="Z82" s="1766"/>
    </row>
    <row r="83" spans="1:26">
      <c r="A83" s="1766"/>
      <c r="B83" s="1766"/>
      <c r="C83" s="1766"/>
      <c r="D83" s="1766"/>
      <c r="E83" s="1766"/>
      <c r="F83" s="1766"/>
      <c r="G83" s="1766"/>
      <c r="H83" s="1766"/>
      <c r="I83" s="1766"/>
      <c r="J83" s="1766"/>
      <c r="K83" s="1766"/>
      <c r="L83" s="1766"/>
      <c r="M83" s="1766"/>
      <c r="N83" s="1766"/>
      <c r="O83" s="1766"/>
      <c r="P83" s="1766"/>
      <c r="Q83" s="1766"/>
      <c r="R83" s="1766"/>
      <c r="S83" s="1766"/>
      <c r="T83" s="1766"/>
      <c r="U83" s="1766"/>
      <c r="V83" s="1766"/>
      <c r="W83" s="1766"/>
      <c r="X83" s="1766"/>
      <c r="Y83" s="1766"/>
      <c r="Z83" s="1766"/>
    </row>
    <row r="84" spans="1:26">
      <c r="A84" s="1766"/>
      <c r="B84" s="1766"/>
      <c r="C84" s="1766"/>
      <c r="D84" s="1766"/>
      <c r="E84" s="1766"/>
      <c r="F84" s="1766"/>
      <c r="G84" s="1766"/>
      <c r="H84" s="1766"/>
      <c r="I84" s="1766"/>
      <c r="J84" s="1766"/>
      <c r="K84" s="1766"/>
      <c r="L84" s="1766"/>
      <c r="M84" s="1766"/>
      <c r="N84" s="1766"/>
      <c r="O84" s="1766"/>
      <c r="P84" s="1766"/>
      <c r="Q84" s="1766"/>
      <c r="R84" s="1766"/>
      <c r="S84" s="1766"/>
      <c r="T84" s="1766"/>
      <c r="U84" s="1766"/>
      <c r="V84" s="1766"/>
      <c r="W84" s="1766"/>
      <c r="X84" s="1766"/>
      <c r="Y84" s="1766"/>
      <c r="Z84" s="1766"/>
    </row>
    <row r="85" spans="1:26">
      <c r="A85" s="1766"/>
      <c r="B85" s="1766"/>
      <c r="C85" s="1766"/>
      <c r="D85" s="1766"/>
      <c r="E85" s="1766"/>
      <c r="F85" s="1766"/>
      <c r="G85" s="1766"/>
      <c r="H85" s="1766"/>
      <c r="I85" s="1766"/>
      <c r="J85" s="1766"/>
      <c r="K85" s="1766"/>
      <c r="L85" s="1766"/>
      <c r="M85" s="1766"/>
      <c r="N85" s="1766"/>
      <c r="O85" s="1766"/>
      <c r="P85" s="1766"/>
      <c r="Q85" s="1766"/>
      <c r="R85" s="1766"/>
      <c r="S85" s="1766"/>
      <c r="T85" s="1766"/>
      <c r="U85" s="1766"/>
      <c r="V85" s="1766"/>
      <c r="W85" s="1766"/>
      <c r="X85" s="1766"/>
      <c r="Y85" s="1766"/>
      <c r="Z85" s="1766"/>
    </row>
    <row r="86" spans="1:26">
      <c r="A86" s="1766"/>
      <c r="B86" s="1766"/>
      <c r="C86" s="1766"/>
      <c r="D86" s="1766"/>
      <c r="E86" s="1766"/>
      <c r="F86" s="1766"/>
      <c r="G86" s="1766"/>
      <c r="H86" s="1766"/>
      <c r="I86" s="1766"/>
      <c r="J86" s="1766"/>
      <c r="K86" s="1766"/>
      <c r="L86" s="1766"/>
      <c r="M86" s="1766"/>
      <c r="N86" s="1766"/>
      <c r="O86" s="1766"/>
      <c r="P86" s="1766"/>
      <c r="Q86" s="1766"/>
      <c r="R86" s="1766"/>
      <c r="S86" s="1766"/>
      <c r="T86" s="1766"/>
      <c r="U86" s="1766"/>
      <c r="V86" s="1766"/>
      <c r="W86" s="1766"/>
      <c r="X86" s="1766"/>
      <c r="Y86" s="1766"/>
      <c r="Z86" s="1766"/>
    </row>
    <row r="87" spans="1:26">
      <c r="A87" s="1766"/>
      <c r="B87" s="1766"/>
      <c r="C87" s="1766"/>
      <c r="D87" s="1766"/>
      <c r="E87" s="1766"/>
      <c r="F87" s="1766"/>
      <c r="G87" s="1766"/>
      <c r="H87" s="1766"/>
      <c r="I87" s="1766"/>
      <c r="J87" s="1766"/>
      <c r="K87" s="1766"/>
      <c r="L87" s="1766"/>
      <c r="M87" s="1766"/>
      <c r="N87" s="1766"/>
      <c r="O87" s="1766"/>
      <c r="P87" s="1766"/>
      <c r="Q87" s="1766"/>
      <c r="R87" s="1766"/>
      <c r="S87" s="1766"/>
      <c r="T87" s="1766"/>
      <c r="U87" s="1766"/>
      <c r="V87" s="1766"/>
      <c r="W87" s="1766"/>
      <c r="X87" s="1766"/>
      <c r="Y87" s="1766"/>
      <c r="Z87" s="1766"/>
    </row>
    <row r="88" spans="1:26">
      <c r="A88" s="1766"/>
      <c r="B88" s="1766"/>
      <c r="C88" s="1766"/>
      <c r="D88" s="1766"/>
      <c r="E88" s="1766"/>
      <c r="F88" s="1766"/>
      <c r="G88" s="1766"/>
      <c r="H88" s="1766"/>
      <c r="I88" s="1766"/>
      <c r="J88" s="1766"/>
      <c r="K88" s="1766"/>
      <c r="L88" s="1766"/>
      <c r="M88" s="1766"/>
      <c r="N88" s="1766"/>
      <c r="O88" s="1766"/>
      <c r="P88" s="1766"/>
      <c r="Q88" s="1766"/>
      <c r="R88" s="1766"/>
      <c r="S88" s="1766"/>
      <c r="T88" s="1766"/>
      <c r="U88" s="1766"/>
      <c r="V88" s="1766"/>
      <c r="W88" s="1766"/>
      <c r="X88" s="1766"/>
      <c r="Y88" s="1766"/>
      <c r="Z88" s="1766"/>
    </row>
    <row r="89" spans="1:26">
      <c r="A89" s="1766"/>
      <c r="B89" s="1766"/>
      <c r="C89" s="1766"/>
      <c r="D89" s="1766"/>
      <c r="E89" s="1766"/>
      <c r="F89" s="1766"/>
      <c r="G89" s="1766"/>
      <c r="H89" s="1766"/>
      <c r="I89" s="1766"/>
      <c r="J89" s="1766"/>
      <c r="K89" s="1766"/>
      <c r="L89" s="1766"/>
      <c r="M89" s="1766"/>
      <c r="N89" s="1766"/>
      <c r="O89" s="1766"/>
      <c r="P89" s="1766"/>
      <c r="Q89" s="1766"/>
      <c r="R89" s="1766"/>
      <c r="S89" s="1766"/>
      <c r="T89" s="1766"/>
      <c r="U89" s="1766"/>
      <c r="V89" s="1766"/>
      <c r="W89" s="1766"/>
      <c r="X89" s="1766"/>
      <c r="Y89" s="1766"/>
      <c r="Z89" s="1766"/>
    </row>
    <row r="90" spans="1:26">
      <c r="A90" s="1766"/>
      <c r="B90" s="1766"/>
      <c r="C90" s="1766"/>
      <c r="D90" s="1766"/>
      <c r="E90" s="1766"/>
      <c r="F90" s="1766"/>
      <c r="G90" s="1766"/>
      <c r="H90" s="1766"/>
      <c r="I90" s="1766"/>
      <c r="J90" s="1766"/>
      <c r="K90" s="1766"/>
      <c r="L90" s="1766"/>
      <c r="M90" s="1766"/>
      <c r="N90" s="1766"/>
      <c r="O90" s="1766"/>
      <c r="P90" s="1766"/>
      <c r="Q90" s="1766"/>
      <c r="R90" s="1766"/>
      <c r="S90" s="1766"/>
      <c r="T90" s="1766"/>
      <c r="U90" s="1766"/>
      <c r="V90" s="1766"/>
      <c r="W90" s="1766"/>
      <c r="X90" s="1766"/>
      <c r="Y90" s="1766"/>
      <c r="Z90" s="1766"/>
    </row>
    <row r="91" spans="1:26">
      <c r="A91" s="1766"/>
      <c r="B91" s="1766"/>
      <c r="C91" s="1766"/>
      <c r="D91" s="1766"/>
      <c r="E91" s="1766"/>
      <c r="F91" s="1766"/>
      <c r="G91" s="1766"/>
      <c r="H91" s="1766"/>
      <c r="I91" s="1766"/>
      <c r="J91" s="1766"/>
      <c r="K91" s="1766"/>
      <c r="L91" s="1766"/>
      <c r="M91" s="1766"/>
      <c r="N91" s="1766"/>
      <c r="O91" s="1766"/>
      <c r="P91" s="1766"/>
      <c r="Q91" s="1766"/>
      <c r="R91" s="1766"/>
      <c r="S91" s="1766"/>
      <c r="T91" s="1766"/>
      <c r="U91" s="1766"/>
      <c r="V91" s="1766"/>
      <c r="W91" s="1766"/>
      <c r="X91" s="1766"/>
      <c r="Y91" s="1766"/>
      <c r="Z91" s="1766"/>
    </row>
    <row r="92" spans="1:26">
      <c r="A92" s="1766"/>
      <c r="B92" s="1766"/>
      <c r="C92" s="1766"/>
      <c r="D92" s="1766"/>
      <c r="E92" s="1766"/>
      <c r="F92" s="1766"/>
      <c r="G92" s="1766"/>
      <c r="H92" s="1766"/>
      <c r="I92" s="1766"/>
      <c r="J92" s="1766"/>
      <c r="K92" s="1766"/>
      <c r="L92" s="1766"/>
      <c r="M92" s="1766"/>
      <c r="N92" s="1766"/>
      <c r="O92" s="1766"/>
      <c r="P92" s="1766"/>
      <c r="Q92" s="1766"/>
      <c r="R92" s="1766"/>
      <c r="S92" s="1766"/>
      <c r="T92" s="1766"/>
      <c r="U92" s="1766"/>
      <c r="V92" s="1766"/>
      <c r="W92" s="1766"/>
      <c r="X92" s="1766"/>
      <c r="Y92" s="1766"/>
      <c r="Z92" s="1766"/>
    </row>
    <row r="93" spans="1:26">
      <c r="A93" s="1766"/>
      <c r="B93" s="1766"/>
      <c r="C93" s="1766"/>
      <c r="D93" s="1766"/>
      <c r="E93" s="1766"/>
      <c r="F93" s="1766"/>
      <c r="G93" s="1766"/>
      <c r="H93" s="1766"/>
      <c r="I93" s="1766"/>
      <c r="J93" s="1766"/>
      <c r="K93" s="1766"/>
      <c r="L93" s="1766"/>
      <c r="M93" s="1766"/>
      <c r="N93" s="1766"/>
      <c r="O93" s="1766"/>
      <c r="P93" s="1766"/>
      <c r="Q93" s="1766"/>
      <c r="R93" s="1766"/>
      <c r="S93" s="1766"/>
      <c r="T93" s="1766"/>
      <c r="U93" s="1766"/>
      <c r="V93" s="1766"/>
      <c r="W93" s="1766"/>
      <c r="X93" s="1766"/>
      <c r="Y93" s="1766"/>
      <c r="Z93" s="1766"/>
    </row>
    <row r="94" spans="1:26">
      <c r="A94" s="1766"/>
      <c r="B94" s="1766"/>
      <c r="C94" s="1766"/>
      <c r="D94" s="1766"/>
      <c r="E94" s="1766"/>
      <c r="F94" s="1766"/>
      <c r="G94" s="1766"/>
      <c r="H94" s="1766"/>
      <c r="I94" s="1766"/>
      <c r="J94" s="1766"/>
      <c r="K94" s="1766"/>
      <c r="L94" s="1766"/>
      <c r="M94" s="1766"/>
      <c r="N94" s="1766"/>
      <c r="O94" s="1766"/>
      <c r="P94" s="1766"/>
      <c r="Q94" s="1766"/>
      <c r="R94" s="1766"/>
      <c r="S94" s="1766"/>
      <c r="T94" s="1766"/>
      <c r="U94" s="1766"/>
      <c r="V94" s="1766"/>
      <c r="W94" s="1766"/>
      <c r="X94" s="1766"/>
      <c r="Y94" s="1766"/>
      <c r="Z94" s="1766"/>
    </row>
    <row r="95" spans="1:26">
      <c r="A95" s="1766"/>
      <c r="B95" s="1766"/>
      <c r="C95" s="1766"/>
      <c r="D95" s="1766"/>
      <c r="E95" s="1766"/>
      <c r="F95" s="1766"/>
      <c r="G95" s="1766"/>
      <c r="H95" s="1766"/>
      <c r="I95" s="1766"/>
      <c r="J95" s="1766"/>
      <c r="K95" s="1766"/>
      <c r="L95" s="1766"/>
      <c r="M95" s="1766"/>
      <c r="N95" s="1766"/>
      <c r="O95" s="1766"/>
      <c r="P95" s="1766"/>
      <c r="Q95" s="1766"/>
      <c r="R95" s="1766"/>
      <c r="S95" s="1766"/>
      <c r="T95" s="1766"/>
      <c r="U95" s="1766"/>
      <c r="V95" s="1766"/>
      <c r="W95" s="1766"/>
      <c r="X95" s="1766"/>
      <c r="Y95" s="1766"/>
      <c r="Z95" s="1766"/>
    </row>
    <row r="96" spans="1:26">
      <c r="A96" s="1766"/>
      <c r="B96" s="1766"/>
      <c r="C96" s="1766"/>
      <c r="D96" s="1766"/>
      <c r="E96" s="1766"/>
      <c r="F96" s="1766"/>
      <c r="G96" s="1766"/>
      <c r="H96" s="1766"/>
      <c r="I96" s="1766"/>
      <c r="J96" s="1766"/>
      <c r="K96" s="1766"/>
      <c r="L96" s="1766"/>
      <c r="M96" s="1766"/>
      <c r="N96" s="1766"/>
      <c r="O96" s="1766"/>
      <c r="P96" s="1766"/>
      <c r="Q96" s="1766"/>
      <c r="R96" s="1766"/>
      <c r="S96" s="1766"/>
      <c r="T96" s="1766"/>
      <c r="U96" s="1766"/>
      <c r="V96" s="1766"/>
      <c r="W96" s="1766"/>
      <c r="X96" s="1766"/>
      <c r="Y96" s="1766"/>
      <c r="Z96" s="1766"/>
    </row>
    <row r="97" spans="1:26">
      <c r="A97" s="1766"/>
      <c r="B97" s="1766"/>
      <c r="C97" s="1766"/>
      <c r="D97" s="1766"/>
      <c r="E97" s="1766"/>
      <c r="F97" s="1766"/>
      <c r="G97" s="1766"/>
      <c r="H97" s="1766"/>
      <c r="I97" s="1766"/>
      <c r="J97" s="1766"/>
      <c r="K97" s="1766"/>
      <c r="L97" s="1766"/>
      <c r="M97" s="1766"/>
      <c r="N97" s="1766"/>
      <c r="O97" s="1766"/>
      <c r="P97" s="1766"/>
      <c r="Q97" s="1766"/>
      <c r="R97" s="1766"/>
      <c r="S97" s="1766"/>
      <c r="T97" s="1766"/>
      <c r="U97" s="1766"/>
      <c r="V97" s="1766"/>
      <c r="W97" s="1766"/>
      <c r="X97" s="1766"/>
      <c r="Y97" s="1766"/>
      <c r="Z97" s="1766"/>
    </row>
    <row r="98" spans="1:26">
      <c r="A98" s="1766"/>
      <c r="B98" s="1766"/>
      <c r="C98" s="1766"/>
      <c r="D98" s="1766"/>
      <c r="E98" s="1766"/>
      <c r="F98" s="1766"/>
      <c r="G98" s="1766"/>
      <c r="H98" s="1766"/>
      <c r="I98" s="1766"/>
      <c r="J98" s="1766"/>
      <c r="K98" s="1766"/>
      <c r="L98" s="1766"/>
      <c r="M98" s="1766"/>
      <c r="N98" s="1766"/>
      <c r="O98" s="1766"/>
      <c r="P98" s="1766"/>
      <c r="Q98" s="1766"/>
      <c r="R98" s="1766"/>
      <c r="S98" s="1766"/>
      <c r="T98" s="1766"/>
      <c r="U98" s="1766"/>
      <c r="V98" s="1766"/>
      <c r="W98" s="1766"/>
      <c r="X98" s="1766"/>
      <c r="Y98" s="1766"/>
      <c r="Z98" s="1766"/>
    </row>
    <row r="99" spans="1:26">
      <c r="A99" s="1766"/>
      <c r="B99" s="1766"/>
      <c r="C99" s="1766"/>
      <c r="D99" s="1766"/>
      <c r="E99" s="1766"/>
      <c r="F99" s="1766"/>
      <c r="G99" s="1766"/>
      <c r="H99" s="1766"/>
      <c r="I99" s="1766"/>
      <c r="J99" s="1766"/>
      <c r="K99" s="1766"/>
      <c r="L99" s="1766"/>
      <c r="M99" s="1766"/>
      <c r="N99" s="1766"/>
      <c r="O99" s="1766"/>
      <c r="P99" s="1766"/>
      <c r="Q99" s="1766"/>
      <c r="R99" s="1766"/>
      <c r="S99" s="1766"/>
      <c r="T99" s="1766"/>
      <c r="U99" s="1766"/>
      <c r="V99" s="1766"/>
      <c r="W99" s="1766"/>
      <c r="X99" s="1766"/>
      <c r="Y99" s="1766"/>
      <c r="Z99" s="1766"/>
    </row>
    <row r="100" spans="1:26">
      <c r="A100" s="1766"/>
      <c r="B100" s="1766"/>
      <c r="C100" s="1766"/>
      <c r="D100" s="1766"/>
      <c r="E100" s="1766"/>
      <c r="F100" s="1766"/>
      <c r="G100" s="1766"/>
      <c r="H100" s="1766"/>
      <c r="I100" s="1766"/>
      <c r="J100" s="1766"/>
      <c r="K100" s="1766"/>
      <c r="L100" s="1766"/>
      <c r="M100" s="1766"/>
      <c r="N100" s="1766"/>
      <c r="O100" s="1766"/>
      <c r="P100" s="1766"/>
      <c r="Q100" s="1766"/>
      <c r="R100" s="1766"/>
      <c r="S100" s="1766"/>
      <c r="T100" s="1766"/>
      <c r="U100" s="1766"/>
      <c r="V100" s="1766"/>
      <c r="W100" s="1766"/>
      <c r="X100" s="1766"/>
      <c r="Y100" s="1766"/>
      <c r="Z100" s="1766"/>
    </row>
    <row r="101" spans="1:26">
      <c r="A101" s="1766"/>
      <c r="B101" s="1766"/>
      <c r="C101" s="1766"/>
      <c r="D101" s="1766"/>
      <c r="E101" s="1766"/>
      <c r="F101" s="1766"/>
      <c r="G101" s="1766"/>
      <c r="H101" s="1766"/>
      <c r="I101" s="1766"/>
      <c r="J101" s="1766"/>
      <c r="K101" s="1766"/>
      <c r="L101" s="1766"/>
      <c r="M101" s="1766"/>
      <c r="N101" s="1766"/>
      <c r="O101" s="1766"/>
      <c r="P101" s="1766"/>
      <c r="Q101" s="1766"/>
      <c r="R101" s="1766"/>
      <c r="S101" s="1766"/>
      <c r="T101" s="1766"/>
      <c r="U101" s="1766"/>
      <c r="V101" s="1766"/>
      <c r="W101" s="1766"/>
      <c r="X101" s="1766"/>
      <c r="Y101" s="1766"/>
      <c r="Z101" s="1766"/>
    </row>
    <row r="102" spans="1:26">
      <c r="A102" s="1766"/>
      <c r="B102" s="1766"/>
      <c r="C102" s="1766"/>
      <c r="D102" s="1766"/>
      <c r="E102" s="1766"/>
      <c r="F102" s="1766"/>
      <c r="G102" s="1766"/>
      <c r="H102" s="1766"/>
      <c r="I102" s="1766"/>
      <c r="J102" s="1766"/>
      <c r="K102" s="1766"/>
      <c r="L102" s="1766"/>
      <c r="M102" s="1766"/>
      <c r="N102" s="1766"/>
      <c r="O102" s="1766"/>
      <c r="P102" s="1766"/>
      <c r="Q102" s="1766"/>
      <c r="R102" s="1766"/>
      <c r="S102" s="1766"/>
      <c r="T102" s="1766"/>
      <c r="U102" s="1766"/>
      <c r="V102" s="1766"/>
      <c r="W102" s="1766"/>
      <c r="X102" s="1766"/>
      <c r="Y102" s="1766"/>
      <c r="Z102" s="1766"/>
    </row>
    <row r="103" spans="1:26">
      <c r="A103" s="1766"/>
      <c r="B103" s="1766"/>
      <c r="C103" s="1766"/>
      <c r="D103" s="1766"/>
      <c r="E103" s="1766"/>
      <c r="F103" s="1766"/>
      <c r="G103" s="1766"/>
      <c r="H103" s="1766"/>
      <c r="I103" s="1766"/>
      <c r="J103" s="1766"/>
      <c r="K103" s="1766"/>
      <c r="L103" s="1766"/>
      <c r="M103" s="1766"/>
      <c r="N103" s="1766"/>
      <c r="O103" s="1766"/>
      <c r="P103" s="1766"/>
      <c r="Q103" s="1766"/>
      <c r="R103" s="1766"/>
      <c r="S103" s="1766"/>
      <c r="T103" s="1766"/>
      <c r="U103" s="1766"/>
      <c r="V103" s="1766"/>
      <c r="W103" s="1766"/>
      <c r="X103" s="1766"/>
      <c r="Y103" s="1766"/>
      <c r="Z103" s="1766"/>
    </row>
    <row r="104" spans="1:26">
      <c r="A104" s="1766"/>
      <c r="B104" s="1766"/>
      <c r="C104" s="1766"/>
      <c r="D104" s="1766"/>
      <c r="E104" s="1766"/>
      <c r="F104" s="1766"/>
      <c r="G104" s="1766"/>
      <c r="H104" s="1766"/>
      <c r="I104" s="1766"/>
      <c r="J104" s="1766"/>
      <c r="K104" s="1766"/>
      <c r="L104" s="1766"/>
      <c r="M104" s="1766"/>
      <c r="N104" s="1766"/>
      <c r="O104" s="1766"/>
      <c r="P104" s="1766"/>
      <c r="Q104" s="1766"/>
      <c r="R104" s="1766"/>
      <c r="S104" s="1766"/>
      <c r="T104" s="1766"/>
      <c r="U104" s="1766"/>
      <c r="V104" s="1766"/>
      <c r="W104" s="1766"/>
      <c r="X104" s="1766"/>
      <c r="Y104" s="1766"/>
      <c r="Z104" s="1766"/>
    </row>
    <row r="105" spans="1:26">
      <c r="A105" s="1766"/>
      <c r="B105" s="1766"/>
      <c r="C105" s="1766"/>
      <c r="D105" s="1766"/>
      <c r="E105" s="1766"/>
      <c r="F105" s="1766"/>
      <c r="G105" s="1766"/>
      <c r="H105" s="1766"/>
      <c r="I105" s="1766"/>
      <c r="J105" s="1766"/>
      <c r="K105" s="1766"/>
      <c r="L105" s="1766"/>
      <c r="M105" s="1766"/>
      <c r="N105" s="1766"/>
      <c r="O105" s="1766"/>
      <c r="P105" s="1766"/>
      <c r="Q105" s="1766"/>
      <c r="R105" s="1766"/>
      <c r="S105" s="1766"/>
      <c r="T105" s="1766"/>
      <c r="U105" s="1766"/>
      <c r="V105" s="1766"/>
      <c r="W105" s="1766"/>
      <c r="X105" s="1766"/>
      <c r="Y105" s="1766"/>
      <c r="Z105" s="1766"/>
    </row>
    <row r="106" spans="1:26">
      <c r="A106" s="1766"/>
      <c r="B106" s="1766"/>
      <c r="C106" s="1766"/>
      <c r="D106" s="1766"/>
      <c r="E106" s="1766"/>
      <c r="F106" s="1766"/>
      <c r="G106" s="1766"/>
      <c r="H106" s="1766"/>
      <c r="I106" s="1766"/>
      <c r="J106" s="1766"/>
      <c r="K106" s="1766"/>
      <c r="L106" s="1766"/>
      <c r="M106" s="1766"/>
      <c r="N106" s="1766"/>
      <c r="O106" s="1766"/>
      <c r="P106" s="1766"/>
      <c r="Q106" s="1766"/>
      <c r="R106" s="1766"/>
      <c r="S106" s="1766"/>
      <c r="T106" s="1766"/>
      <c r="U106" s="1766"/>
      <c r="V106" s="1766"/>
      <c r="W106" s="1766"/>
      <c r="X106" s="1766"/>
      <c r="Y106" s="1766"/>
      <c r="Z106" s="1766"/>
    </row>
    <row r="107" spans="1:26">
      <c r="A107" s="1766"/>
      <c r="B107" s="1766"/>
      <c r="C107" s="1766"/>
      <c r="D107" s="1766"/>
      <c r="E107" s="1766"/>
      <c r="F107" s="1766"/>
      <c r="G107" s="1766"/>
      <c r="H107" s="1766"/>
      <c r="I107" s="1766"/>
      <c r="J107" s="1766"/>
      <c r="K107" s="1766"/>
      <c r="L107" s="1766"/>
      <c r="M107" s="1766"/>
      <c r="N107" s="1766"/>
      <c r="O107" s="1766"/>
      <c r="P107" s="1766"/>
      <c r="Q107" s="1766"/>
      <c r="R107" s="1766"/>
      <c r="S107" s="1766"/>
      <c r="T107" s="1766"/>
      <c r="U107" s="1766"/>
      <c r="V107" s="1766"/>
      <c r="W107" s="1766"/>
      <c r="X107" s="1766"/>
      <c r="Y107" s="1766"/>
      <c r="Z107" s="1766"/>
    </row>
    <row r="108" spans="1:26">
      <c r="A108" s="1766"/>
      <c r="B108" s="1766"/>
      <c r="C108" s="1766"/>
      <c r="D108" s="1766"/>
      <c r="E108" s="1766"/>
      <c r="F108" s="1766"/>
      <c r="G108" s="1766"/>
      <c r="H108" s="1766"/>
      <c r="I108" s="1766"/>
      <c r="J108" s="1766"/>
      <c r="K108" s="1766"/>
      <c r="L108" s="1766"/>
      <c r="M108" s="1766"/>
      <c r="N108" s="1766"/>
      <c r="O108" s="1766"/>
      <c r="P108" s="1766"/>
      <c r="Q108" s="1766"/>
      <c r="R108" s="1766"/>
      <c r="S108" s="1766"/>
      <c r="T108" s="1766"/>
      <c r="U108" s="1766"/>
      <c r="V108" s="1766"/>
      <c r="W108" s="1766"/>
      <c r="X108" s="1766"/>
      <c r="Y108" s="1766"/>
      <c r="Z108" s="1766"/>
    </row>
    <row r="109" spans="1:26">
      <c r="A109" s="1766"/>
      <c r="B109" s="1766"/>
      <c r="C109" s="1766"/>
      <c r="D109" s="1766"/>
      <c r="E109" s="1766"/>
      <c r="F109" s="1766"/>
      <c r="G109" s="1766"/>
      <c r="H109" s="1766"/>
      <c r="I109" s="1766"/>
      <c r="J109" s="1766"/>
      <c r="K109" s="1766"/>
      <c r="L109" s="1766"/>
      <c r="M109" s="1766"/>
      <c r="N109" s="1766"/>
      <c r="O109" s="1766"/>
      <c r="P109" s="1766"/>
      <c r="Q109" s="1766"/>
      <c r="R109" s="1766"/>
      <c r="S109" s="1766"/>
      <c r="T109" s="1766"/>
      <c r="U109" s="1766"/>
      <c r="V109" s="1766"/>
      <c r="W109" s="1766"/>
      <c r="X109" s="1766"/>
      <c r="Y109" s="1766"/>
      <c r="Z109" s="1766"/>
    </row>
    <row r="110" spans="1:26">
      <c r="A110" s="1766"/>
      <c r="B110" s="1766"/>
      <c r="C110" s="1766"/>
      <c r="D110" s="1766"/>
      <c r="E110" s="1766"/>
      <c r="F110" s="1766"/>
      <c r="G110" s="1766"/>
      <c r="H110" s="1766"/>
      <c r="I110" s="1766"/>
      <c r="J110" s="1766"/>
      <c r="K110" s="1766"/>
      <c r="L110" s="1766"/>
      <c r="M110" s="1766"/>
      <c r="N110" s="1766"/>
      <c r="O110" s="1766"/>
      <c r="P110" s="1766"/>
      <c r="Q110" s="1766"/>
      <c r="R110" s="1766"/>
      <c r="S110" s="1766"/>
      <c r="T110" s="1766"/>
      <c r="U110" s="1766"/>
      <c r="V110" s="1766"/>
      <c r="W110" s="1766"/>
      <c r="X110" s="1766"/>
      <c r="Y110" s="1766"/>
      <c r="Z110" s="1766"/>
    </row>
    <row r="111" spans="1:26">
      <c r="A111" s="1766"/>
      <c r="B111" s="1766"/>
      <c r="C111" s="1766"/>
      <c r="D111" s="1766"/>
      <c r="E111" s="1766"/>
      <c r="F111" s="1766"/>
      <c r="G111" s="1766"/>
      <c r="H111" s="1766"/>
      <c r="I111" s="1766"/>
      <c r="J111" s="1766"/>
      <c r="K111" s="1766"/>
      <c r="L111" s="1766"/>
      <c r="M111" s="1766"/>
      <c r="N111" s="1766"/>
      <c r="O111" s="1766"/>
      <c r="P111" s="1766"/>
      <c r="Q111" s="1766"/>
      <c r="R111" s="1766"/>
      <c r="S111" s="1766"/>
      <c r="T111" s="1766"/>
      <c r="U111" s="1766"/>
      <c r="V111" s="1766"/>
      <c r="W111" s="1766"/>
      <c r="X111" s="1766"/>
      <c r="Y111" s="1766"/>
      <c r="Z111" s="1766"/>
    </row>
    <row r="112" spans="1:26">
      <c r="A112" s="1766"/>
      <c r="B112" s="1766"/>
      <c r="C112" s="1766"/>
      <c r="D112" s="1766"/>
      <c r="E112" s="1766"/>
      <c r="F112" s="1766"/>
      <c r="G112" s="1766"/>
      <c r="H112" s="1766"/>
      <c r="I112" s="1766"/>
      <c r="J112" s="1766"/>
      <c r="K112" s="1766"/>
      <c r="L112" s="1766"/>
      <c r="M112" s="1766"/>
      <c r="N112" s="1766"/>
      <c r="O112" s="1766"/>
      <c r="P112" s="1766"/>
      <c r="Q112" s="1766"/>
      <c r="R112" s="1766"/>
      <c r="S112" s="1766"/>
      <c r="T112" s="1766"/>
      <c r="U112" s="1766"/>
      <c r="V112" s="1766"/>
      <c r="W112" s="1766"/>
      <c r="X112" s="1766"/>
      <c r="Y112" s="1766"/>
      <c r="Z112" s="1766"/>
    </row>
    <row r="113" spans="1:26">
      <c r="A113" s="1766"/>
      <c r="B113" s="1766"/>
      <c r="C113" s="1766"/>
      <c r="D113" s="1766"/>
      <c r="E113" s="1766"/>
      <c r="F113" s="1766"/>
      <c r="G113" s="1766"/>
      <c r="H113" s="1766"/>
      <c r="I113" s="1766"/>
      <c r="J113" s="1766"/>
      <c r="K113" s="1766"/>
      <c r="L113" s="1766"/>
      <c r="M113" s="1766"/>
      <c r="N113" s="1766"/>
      <c r="O113" s="1766"/>
      <c r="P113" s="1766"/>
      <c r="Q113" s="1766"/>
      <c r="R113" s="1766"/>
      <c r="S113" s="1766"/>
      <c r="T113" s="1766"/>
      <c r="U113" s="1766"/>
      <c r="V113" s="1766"/>
      <c r="W113" s="1766"/>
      <c r="X113" s="1766"/>
      <c r="Y113" s="1766"/>
      <c r="Z113" s="1766"/>
    </row>
    <row r="114" spans="1:26">
      <c r="A114" s="1766"/>
      <c r="B114" s="1766"/>
      <c r="C114" s="1766"/>
      <c r="D114" s="1766"/>
      <c r="E114" s="1766"/>
      <c r="F114" s="1766"/>
      <c r="G114" s="1766"/>
      <c r="H114" s="1766"/>
      <c r="I114" s="1766"/>
      <c r="J114" s="1766"/>
      <c r="K114" s="1766"/>
      <c r="L114" s="1766"/>
      <c r="M114" s="1766"/>
      <c r="N114" s="1766"/>
      <c r="O114" s="1766"/>
      <c r="P114" s="1766"/>
      <c r="Q114" s="1766"/>
      <c r="R114" s="1766"/>
      <c r="S114" s="1766"/>
      <c r="T114" s="1766"/>
      <c r="U114" s="1766"/>
      <c r="V114" s="1766"/>
      <c r="W114" s="1766"/>
      <c r="X114" s="1766"/>
      <c r="Y114" s="1766"/>
      <c r="Z114" s="1766"/>
    </row>
    <row r="115" spans="1:26">
      <c r="A115" s="1766"/>
      <c r="B115" s="1766"/>
      <c r="C115" s="1766"/>
      <c r="D115" s="1766"/>
      <c r="E115" s="1766"/>
      <c r="F115" s="1766"/>
      <c r="G115" s="1766"/>
      <c r="H115" s="1766"/>
      <c r="I115" s="1766"/>
      <c r="J115" s="1766"/>
      <c r="K115" s="1766"/>
      <c r="L115" s="1766"/>
      <c r="M115" s="1766"/>
      <c r="N115" s="1766"/>
      <c r="O115" s="1766"/>
      <c r="P115" s="1766"/>
      <c r="Q115" s="1766"/>
      <c r="R115" s="1766"/>
      <c r="S115" s="1766"/>
      <c r="T115" s="1766"/>
      <c r="U115" s="1766"/>
      <c r="V115" s="1766"/>
      <c r="W115" s="1766"/>
      <c r="X115" s="1766"/>
      <c r="Y115" s="1766"/>
      <c r="Z115" s="1766"/>
    </row>
    <row r="116" spans="1:26">
      <c r="A116" s="1766"/>
      <c r="B116" s="1766"/>
      <c r="C116" s="1766"/>
      <c r="D116" s="1766"/>
      <c r="E116" s="1766"/>
      <c r="F116" s="1766"/>
      <c r="G116" s="1766"/>
      <c r="H116" s="1766"/>
      <c r="I116" s="1766"/>
      <c r="J116" s="1766"/>
      <c r="K116" s="1766"/>
      <c r="L116" s="1766"/>
      <c r="M116" s="1766"/>
      <c r="N116" s="1766"/>
      <c r="O116" s="1766"/>
      <c r="P116" s="1766"/>
      <c r="Q116" s="1766"/>
      <c r="R116" s="1766"/>
      <c r="S116" s="1766"/>
      <c r="T116" s="1766"/>
      <c r="U116" s="1766"/>
      <c r="V116" s="1766"/>
      <c r="W116" s="1766"/>
      <c r="X116" s="1766"/>
      <c r="Y116" s="1766"/>
      <c r="Z116" s="1766"/>
    </row>
    <row r="117" spans="1:26">
      <c r="A117" s="1766"/>
      <c r="B117" s="1766"/>
      <c r="C117" s="1766"/>
      <c r="D117" s="1766"/>
      <c r="E117" s="1766"/>
      <c r="F117" s="1766"/>
      <c r="G117" s="1766"/>
      <c r="H117" s="1766"/>
      <c r="I117" s="1766"/>
      <c r="J117" s="1766"/>
      <c r="K117" s="1766"/>
      <c r="L117" s="1766"/>
      <c r="M117" s="1766"/>
      <c r="N117" s="1766"/>
      <c r="O117" s="1766"/>
      <c r="P117" s="1766"/>
      <c r="Q117" s="1766"/>
      <c r="R117" s="1766"/>
      <c r="S117" s="1766"/>
      <c r="T117" s="1766"/>
      <c r="U117" s="1766"/>
      <c r="V117" s="1766"/>
      <c r="W117" s="1766"/>
      <c r="X117" s="1766"/>
      <c r="Y117" s="1766"/>
      <c r="Z117" s="1766"/>
    </row>
    <row r="118" spans="1:26">
      <c r="A118" s="1766"/>
      <c r="B118" s="1766"/>
      <c r="C118" s="1766"/>
      <c r="D118" s="1766"/>
      <c r="E118" s="1766"/>
      <c r="F118" s="1766"/>
      <c r="G118" s="1766"/>
      <c r="H118" s="1766"/>
      <c r="I118" s="1766"/>
      <c r="J118" s="1766"/>
      <c r="K118" s="1766"/>
      <c r="L118" s="1766"/>
      <c r="M118" s="1766"/>
      <c r="N118" s="1766"/>
      <c r="O118" s="1766"/>
      <c r="P118" s="1766"/>
      <c r="Q118" s="1766"/>
      <c r="R118" s="1766"/>
      <c r="S118" s="1766"/>
      <c r="T118" s="1766"/>
      <c r="U118" s="1766"/>
      <c r="V118" s="1766"/>
      <c r="W118" s="1766"/>
      <c r="X118" s="1766"/>
      <c r="Y118" s="1766"/>
      <c r="Z118" s="1766"/>
    </row>
    <row r="119" spans="1:26">
      <c r="A119" s="1766"/>
      <c r="B119" s="1766"/>
      <c r="C119" s="1766"/>
      <c r="D119" s="1766"/>
      <c r="E119" s="1766"/>
      <c r="F119" s="1766"/>
      <c r="G119" s="1766"/>
      <c r="H119" s="1766"/>
      <c r="I119" s="1766"/>
      <c r="J119" s="1766"/>
      <c r="K119" s="1766"/>
      <c r="L119" s="1766"/>
      <c r="M119" s="1766"/>
      <c r="N119" s="1766"/>
      <c r="O119" s="1766"/>
      <c r="P119" s="1766"/>
      <c r="Q119" s="1766"/>
      <c r="R119" s="1766"/>
      <c r="S119" s="1766"/>
      <c r="T119" s="1766"/>
      <c r="U119" s="1766"/>
      <c r="V119" s="1766"/>
      <c r="W119" s="1766"/>
      <c r="X119" s="1766"/>
      <c r="Y119" s="1766"/>
      <c r="Z119" s="1766"/>
    </row>
    <row r="120" spans="1:26">
      <c r="A120" s="1766"/>
      <c r="B120" s="1766"/>
      <c r="C120" s="1766"/>
      <c r="D120" s="1766"/>
      <c r="E120" s="1766"/>
      <c r="F120" s="1766"/>
      <c r="G120" s="1766"/>
      <c r="H120" s="1766"/>
      <c r="I120" s="1766"/>
      <c r="J120" s="1766"/>
      <c r="K120" s="1766"/>
      <c r="L120" s="1766"/>
      <c r="M120" s="1766"/>
      <c r="N120" s="1766"/>
      <c r="O120" s="1766"/>
      <c r="P120" s="1766"/>
      <c r="Q120" s="1766"/>
      <c r="R120" s="1766"/>
      <c r="S120" s="1766"/>
      <c r="T120" s="1766"/>
      <c r="U120" s="1766"/>
      <c r="V120" s="1766"/>
      <c r="W120" s="1766"/>
      <c r="X120" s="1766"/>
      <c r="Y120" s="1766"/>
      <c r="Z120" s="1766"/>
    </row>
    <row r="121" spans="1:26">
      <c r="A121" s="1766"/>
      <c r="B121" s="1766"/>
      <c r="C121" s="1766"/>
      <c r="D121" s="1766"/>
      <c r="E121" s="1766"/>
      <c r="F121" s="1766"/>
      <c r="G121" s="1766"/>
      <c r="H121" s="1766"/>
      <c r="I121" s="1766"/>
      <c r="J121" s="1766"/>
      <c r="K121" s="1766"/>
      <c r="L121" s="1766"/>
      <c r="M121" s="1766"/>
      <c r="N121" s="1766"/>
      <c r="O121" s="1766"/>
      <c r="P121" s="1766"/>
      <c r="Q121" s="1766"/>
      <c r="R121" s="1766"/>
      <c r="S121" s="1766"/>
      <c r="T121" s="1766"/>
      <c r="U121" s="1766"/>
      <c r="V121" s="1766"/>
      <c r="W121" s="1766"/>
      <c r="X121" s="1766"/>
      <c r="Y121" s="1766"/>
      <c r="Z121" s="1766"/>
    </row>
    <row r="122" spans="1:26">
      <c r="A122" s="1766"/>
      <c r="B122" s="1766"/>
      <c r="C122" s="1766"/>
      <c r="D122" s="1766"/>
      <c r="E122" s="1766"/>
      <c r="F122" s="1766"/>
      <c r="G122" s="1766"/>
      <c r="H122" s="1766"/>
      <c r="I122" s="1766"/>
      <c r="J122" s="1766"/>
      <c r="K122" s="1766"/>
      <c r="L122" s="1766"/>
      <c r="M122" s="1766"/>
      <c r="N122" s="1766"/>
      <c r="O122" s="1766"/>
      <c r="P122" s="1766"/>
      <c r="Q122" s="1766"/>
      <c r="R122" s="1766"/>
      <c r="S122" s="1766"/>
      <c r="T122" s="1766"/>
      <c r="U122" s="1766"/>
      <c r="V122" s="1766"/>
      <c r="W122" s="1766"/>
      <c r="X122" s="1766"/>
      <c r="Y122" s="1766"/>
      <c r="Z122" s="1766"/>
    </row>
    <row r="123" spans="1:26">
      <c r="A123" s="1766"/>
      <c r="B123" s="1766"/>
      <c r="C123" s="1766"/>
      <c r="D123" s="1766"/>
      <c r="E123" s="1766"/>
      <c r="F123" s="1766"/>
      <c r="G123" s="1766"/>
      <c r="H123" s="1766"/>
      <c r="I123" s="1766"/>
      <c r="J123" s="1766"/>
      <c r="K123" s="1766"/>
      <c r="L123" s="1766"/>
      <c r="M123" s="1766"/>
      <c r="N123" s="1766"/>
      <c r="O123" s="1766"/>
      <c r="P123" s="1766"/>
      <c r="Q123" s="1766"/>
      <c r="R123" s="1766"/>
      <c r="S123" s="1766"/>
      <c r="T123" s="1766"/>
      <c r="U123" s="1766"/>
      <c r="V123" s="1766"/>
      <c r="W123" s="1766"/>
      <c r="X123" s="1766"/>
      <c r="Y123" s="1766"/>
      <c r="Z123" s="1766"/>
    </row>
    <row r="124" spans="1:26">
      <c r="A124" s="1766"/>
      <c r="B124" s="1766"/>
      <c r="C124" s="1766"/>
      <c r="D124" s="1766"/>
      <c r="E124" s="1766"/>
      <c r="F124" s="1766"/>
      <c r="G124" s="1766"/>
      <c r="H124" s="1766"/>
      <c r="I124" s="1766"/>
      <c r="J124" s="1766"/>
      <c r="K124" s="1766"/>
      <c r="L124" s="1766"/>
      <c r="M124" s="1766"/>
      <c r="N124" s="1766"/>
      <c r="O124" s="1766"/>
      <c r="P124" s="1766"/>
      <c r="Q124" s="1766"/>
      <c r="R124" s="1766"/>
      <c r="S124" s="1766"/>
      <c r="T124" s="1766"/>
      <c r="U124" s="1766"/>
      <c r="V124" s="1766"/>
      <c r="W124" s="1766"/>
      <c r="X124" s="1766"/>
      <c r="Y124" s="1766"/>
      <c r="Z124" s="1766"/>
    </row>
    <row r="125" spans="1:26">
      <c r="A125" s="1766"/>
      <c r="B125" s="1766"/>
      <c r="C125" s="1766"/>
      <c r="D125" s="1766"/>
      <c r="E125" s="1766"/>
      <c r="F125" s="1766"/>
      <c r="G125" s="1766"/>
      <c r="H125" s="1766"/>
      <c r="I125" s="1766"/>
      <c r="J125" s="1766"/>
      <c r="K125" s="1766"/>
      <c r="L125" s="1766"/>
      <c r="M125" s="1766"/>
      <c r="N125" s="1766"/>
      <c r="O125" s="1766"/>
      <c r="P125" s="1766"/>
      <c r="Q125" s="1766"/>
      <c r="R125" s="1766"/>
      <c r="S125" s="1766"/>
      <c r="T125" s="1766"/>
      <c r="U125" s="1766"/>
      <c r="V125" s="1766"/>
      <c r="W125" s="1766"/>
      <c r="X125" s="1766"/>
      <c r="Y125" s="1766"/>
      <c r="Z125" s="1766"/>
    </row>
    <row r="126" spans="1:26">
      <c r="A126" s="1766"/>
      <c r="B126" s="1766"/>
      <c r="C126" s="1766"/>
      <c r="D126" s="1766"/>
      <c r="E126" s="1766"/>
      <c r="F126" s="1766"/>
      <c r="G126" s="1766"/>
      <c r="H126" s="1766"/>
      <c r="I126" s="1766"/>
      <c r="J126" s="1766"/>
      <c r="K126" s="1766"/>
      <c r="L126" s="1766"/>
      <c r="M126" s="1766"/>
      <c r="N126" s="1766"/>
      <c r="O126" s="1766"/>
      <c r="P126" s="1766"/>
      <c r="Q126" s="1766"/>
      <c r="R126" s="1766"/>
      <c r="S126" s="1766"/>
      <c r="T126" s="1766"/>
      <c r="U126" s="1766"/>
      <c r="V126" s="1766"/>
      <c r="W126" s="1766"/>
      <c r="X126" s="1766"/>
      <c r="Y126" s="1766"/>
      <c r="Z126" s="1766"/>
    </row>
    <row r="127" spans="1:26">
      <c r="A127" s="1766"/>
      <c r="B127" s="1766"/>
      <c r="C127" s="1766"/>
      <c r="D127" s="1766"/>
      <c r="E127" s="1766"/>
      <c r="F127" s="1766"/>
      <c r="G127" s="1766"/>
      <c r="H127" s="1766"/>
      <c r="I127" s="1766"/>
      <c r="J127" s="1766"/>
      <c r="K127" s="1766"/>
      <c r="L127" s="1766"/>
      <c r="M127" s="1766"/>
      <c r="N127" s="1766"/>
      <c r="O127" s="1766"/>
      <c r="P127" s="1766"/>
      <c r="Q127" s="1766"/>
      <c r="R127" s="1766"/>
      <c r="S127" s="1766"/>
      <c r="T127" s="1766"/>
      <c r="U127" s="1766"/>
      <c r="V127" s="1766"/>
      <c r="W127" s="1766"/>
      <c r="X127" s="1766"/>
      <c r="Y127" s="1766"/>
      <c r="Z127" s="1766"/>
    </row>
    <row r="128" spans="1:26">
      <c r="A128" s="1766"/>
      <c r="B128" s="1766"/>
      <c r="C128" s="1766"/>
      <c r="D128" s="1766"/>
      <c r="E128" s="1766"/>
      <c r="F128" s="1766"/>
      <c r="G128" s="1766"/>
      <c r="H128" s="1766"/>
      <c r="I128" s="1766"/>
      <c r="J128" s="1766"/>
      <c r="K128" s="1766"/>
      <c r="L128" s="1766"/>
      <c r="M128" s="1766"/>
      <c r="N128" s="1766"/>
      <c r="O128" s="1766"/>
      <c r="P128" s="1766"/>
      <c r="Q128" s="1766"/>
      <c r="R128" s="1766"/>
      <c r="S128" s="1766"/>
      <c r="T128" s="1766"/>
      <c r="U128" s="1766"/>
      <c r="V128" s="1766"/>
      <c r="W128" s="1766"/>
      <c r="X128" s="1766"/>
      <c r="Y128" s="1766"/>
      <c r="Z128" s="1766"/>
    </row>
    <row r="129" spans="1:26">
      <c r="A129" s="1766"/>
      <c r="B129" s="1766"/>
      <c r="C129" s="1766"/>
      <c r="D129" s="1766"/>
      <c r="E129" s="1766"/>
      <c r="F129" s="1766"/>
      <c r="G129" s="1766"/>
      <c r="H129" s="1766"/>
      <c r="I129" s="1766"/>
      <c r="J129" s="1766"/>
      <c r="K129" s="1766"/>
      <c r="L129" s="1766"/>
      <c r="M129" s="1766"/>
      <c r="N129" s="1766"/>
      <c r="O129" s="1766"/>
      <c r="P129" s="1766"/>
      <c r="Q129" s="1766"/>
      <c r="R129" s="1766"/>
      <c r="S129" s="1766"/>
      <c r="T129" s="1766"/>
      <c r="U129" s="1766"/>
      <c r="V129" s="1766"/>
      <c r="W129" s="1766"/>
      <c r="X129" s="1766"/>
      <c r="Y129" s="1766"/>
      <c r="Z129" s="1766"/>
    </row>
    <row r="130" spans="1:26">
      <c r="A130" s="1766"/>
      <c r="B130" s="1766"/>
      <c r="C130" s="1766"/>
      <c r="D130" s="1766"/>
      <c r="E130" s="1766"/>
      <c r="F130" s="1766"/>
      <c r="G130" s="1766"/>
      <c r="H130" s="1766"/>
      <c r="I130" s="1766"/>
      <c r="J130" s="1766"/>
      <c r="K130" s="1766"/>
      <c r="L130" s="1766"/>
      <c r="M130" s="1766"/>
      <c r="N130" s="1766"/>
      <c r="O130" s="1766"/>
      <c r="P130" s="1766"/>
      <c r="Q130" s="1766"/>
      <c r="R130" s="1766"/>
      <c r="S130" s="1766"/>
      <c r="T130" s="1766"/>
      <c r="U130" s="1766"/>
      <c r="V130" s="1766"/>
      <c r="W130" s="1766"/>
      <c r="X130" s="1766"/>
      <c r="Y130" s="1766"/>
      <c r="Z130" s="1766"/>
    </row>
    <row r="131" spans="1:26">
      <c r="A131" s="1766"/>
      <c r="B131" s="1766"/>
      <c r="C131" s="1766"/>
      <c r="D131" s="1766"/>
      <c r="E131" s="1766"/>
      <c r="F131" s="1766"/>
      <c r="G131" s="1766"/>
      <c r="H131" s="1766"/>
      <c r="I131" s="1766"/>
      <c r="J131" s="1766"/>
      <c r="K131" s="1766"/>
      <c r="L131" s="1766"/>
      <c r="M131" s="1766"/>
      <c r="N131" s="1766"/>
      <c r="O131" s="1766"/>
      <c r="P131" s="1766"/>
      <c r="Q131" s="1766"/>
      <c r="R131" s="1766"/>
      <c r="S131" s="1766"/>
      <c r="T131" s="1766"/>
      <c r="U131" s="1766"/>
      <c r="V131" s="1766"/>
      <c r="W131" s="1766"/>
      <c r="X131" s="1766"/>
      <c r="Y131" s="1766"/>
      <c r="Z131" s="1766"/>
    </row>
    <row r="132" spans="1:26">
      <c r="A132" s="1766"/>
      <c r="B132" s="1766"/>
      <c r="C132" s="1766"/>
      <c r="D132" s="1766"/>
      <c r="E132" s="1766"/>
      <c r="F132" s="1766"/>
      <c r="G132" s="1766"/>
      <c r="H132" s="1766"/>
      <c r="I132" s="1766"/>
      <c r="J132" s="1766"/>
      <c r="K132" s="1766"/>
      <c r="L132" s="1766"/>
      <c r="M132" s="1766"/>
      <c r="N132" s="1766"/>
      <c r="O132" s="1766"/>
      <c r="P132" s="1766"/>
      <c r="Q132" s="1766"/>
      <c r="R132" s="1766"/>
      <c r="S132" s="1766"/>
      <c r="T132" s="1766"/>
      <c r="U132" s="1766"/>
      <c r="V132" s="1766"/>
      <c r="W132" s="1766"/>
      <c r="X132" s="1766"/>
      <c r="Y132" s="1766"/>
      <c r="Z132" s="1766"/>
    </row>
    <row r="133" spans="1:26">
      <c r="A133" s="1766"/>
      <c r="B133" s="1766"/>
      <c r="C133" s="1766"/>
      <c r="D133" s="1766"/>
      <c r="E133" s="1766"/>
      <c r="F133" s="1766"/>
      <c r="G133" s="1766"/>
      <c r="H133" s="1766"/>
      <c r="I133" s="1766"/>
      <c r="J133" s="1766"/>
      <c r="K133" s="1766"/>
      <c r="L133" s="1766"/>
      <c r="M133" s="1766"/>
      <c r="N133" s="1766"/>
      <c r="O133" s="1766"/>
      <c r="P133" s="1766"/>
      <c r="Q133" s="1766"/>
      <c r="R133" s="1766"/>
      <c r="S133" s="1766"/>
      <c r="T133" s="1766"/>
      <c r="U133" s="1766"/>
      <c r="V133" s="1766"/>
      <c r="W133" s="1766"/>
      <c r="X133" s="1766"/>
      <c r="Y133" s="1766"/>
      <c r="Z133" s="1766"/>
    </row>
    <row r="134" spans="1:26">
      <c r="A134" s="1766"/>
      <c r="B134" s="1766"/>
      <c r="C134" s="1766"/>
      <c r="D134" s="1766"/>
      <c r="E134" s="1766"/>
      <c r="F134" s="1766"/>
      <c r="G134" s="1766"/>
      <c r="H134" s="1766"/>
      <c r="I134" s="1766"/>
      <c r="J134" s="1766"/>
      <c r="K134" s="1766"/>
      <c r="L134" s="1766"/>
      <c r="M134" s="1766"/>
      <c r="N134" s="1766"/>
      <c r="O134" s="1766"/>
      <c r="P134" s="1766"/>
      <c r="Q134" s="1766"/>
      <c r="R134" s="1766"/>
      <c r="S134" s="1766"/>
      <c r="T134" s="1766"/>
      <c r="U134" s="1766"/>
      <c r="V134" s="1766"/>
      <c r="W134" s="1766"/>
      <c r="X134" s="1766"/>
      <c r="Y134" s="1766"/>
      <c r="Z134" s="1766"/>
    </row>
    <row r="135" spans="1:26">
      <c r="A135" s="1766"/>
      <c r="B135" s="1766"/>
      <c r="C135" s="1766"/>
      <c r="D135" s="1766"/>
      <c r="E135" s="1766"/>
      <c r="F135" s="1766"/>
      <c r="G135" s="1766"/>
      <c r="H135" s="1766"/>
      <c r="I135" s="1766"/>
      <c r="J135" s="1766"/>
      <c r="K135" s="1766"/>
      <c r="L135" s="1766"/>
      <c r="M135" s="1766"/>
      <c r="N135" s="1766"/>
      <c r="O135" s="1766"/>
      <c r="P135" s="1766"/>
      <c r="Q135" s="1766"/>
      <c r="R135" s="1766"/>
      <c r="S135" s="1766"/>
      <c r="T135" s="1766"/>
      <c r="U135" s="1766"/>
      <c r="V135" s="1766"/>
      <c r="W135" s="1766"/>
      <c r="X135" s="1766"/>
      <c r="Y135" s="1766"/>
      <c r="Z135" s="1766"/>
    </row>
    <row r="136" spans="1:26">
      <c r="A136" s="1766"/>
      <c r="B136" s="1766"/>
      <c r="C136" s="1766"/>
      <c r="D136" s="1766"/>
      <c r="E136" s="1766"/>
      <c r="F136" s="1766"/>
      <c r="G136" s="1766"/>
      <c r="H136" s="1766"/>
      <c r="I136" s="1766"/>
      <c r="J136" s="1766"/>
      <c r="K136" s="1766"/>
      <c r="L136" s="1766"/>
      <c r="M136" s="1766"/>
      <c r="N136" s="1766"/>
      <c r="O136" s="1766"/>
      <c r="P136" s="1766"/>
      <c r="Q136" s="1766"/>
      <c r="R136" s="1766"/>
      <c r="S136" s="1766"/>
      <c r="T136" s="1766"/>
      <c r="U136" s="1766"/>
      <c r="V136" s="1766"/>
      <c r="W136" s="1766"/>
      <c r="X136" s="1766"/>
      <c r="Y136" s="1766"/>
      <c r="Z136" s="1766"/>
    </row>
    <row r="137" spans="1:26">
      <c r="A137" s="1766"/>
      <c r="B137" s="1766"/>
      <c r="C137" s="1766"/>
      <c r="D137" s="1766"/>
      <c r="E137" s="1766"/>
      <c r="F137" s="1766"/>
      <c r="G137" s="1766"/>
      <c r="H137" s="1766"/>
      <c r="I137" s="1766"/>
      <c r="J137" s="1766"/>
      <c r="K137" s="1766"/>
      <c r="L137" s="1766"/>
      <c r="M137" s="1766"/>
      <c r="N137" s="1766"/>
      <c r="O137" s="1766"/>
      <c r="P137" s="1766"/>
      <c r="Q137" s="1766"/>
      <c r="R137" s="1766"/>
      <c r="S137" s="1766"/>
      <c r="T137" s="1766"/>
      <c r="U137" s="1766"/>
      <c r="V137" s="1766"/>
      <c r="W137" s="1766"/>
      <c r="X137" s="1766"/>
      <c r="Y137" s="1766"/>
      <c r="Z137" s="1766"/>
    </row>
    <row r="138" spans="1:26">
      <c r="A138" s="1766"/>
      <c r="B138" s="1766"/>
      <c r="C138" s="1766"/>
      <c r="D138" s="1766"/>
      <c r="E138" s="1766"/>
      <c r="F138" s="1766"/>
      <c r="G138" s="1766"/>
      <c r="H138" s="1766"/>
      <c r="I138" s="1766"/>
      <c r="J138" s="1766"/>
      <c r="K138" s="1766"/>
      <c r="L138" s="1766"/>
      <c r="M138" s="1766"/>
      <c r="N138" s="1766"/>
      <c r="O138" s="1766"/>
      <c r="P138" s="1766"/>
      <c r="Q138" s="1766"/>
      <c r="R138" s="1766"/>
      <c r="S138" s="1766"/>
      <c r="T138" s="1766"/>
      <c r="U138" s="1766"/>
      <c r="V138" s="1766"/>
      <c r="W138" s="1766"/>
      <c r="X138" s="1766"/>
      <c r="Y138" s="1766"/>
      <c r="Z138" s="1766"/>
    </row>
    <row r="139" spans="1:26">
      <c r="A139" s="1766"/>
      <c r="B139" s="1766"/>
      <c r="C139" s="1766"/>
      <c r="D139" s="1766"/>
      <c r="E139" s="1766"/>
      <c r="F139" s="1766"/>
      <c r="G139" s="1766"/>
      <c r="H139" s="1766"/>
      <c r="I139" s="1766"/>
      <c r="J139" s="1766"/>
      <c r="K139" s="1766"/>
      <c r="L139" s="1766"/>
      <c r="M139" s="1766"/>
      <c r="N139" s="1766"/>
      <c r="O139" s="1766"/>
      <c r="P139" s="1766"/>
      <c r="Q139" s="1766"/>
      <c r="R139" s="1766"/>
      <c r="S139" s="1766"/>
      <c r="T139" s="1766"/>
      <c r="U139" s="1766"/>
      <c r="V139" s="1766"/>
      <c r="W139" s="1766"/>
      <c r="X139" s="1766"/>
      <c r="Y139" s="1766"/>
      <c r="Z139" s="1766"/>
    </row>
    <row r="140" spans="1:26">
      <c r="A140" s="1766"/>
      <c r="B140" s="1766"/>
      <c r="C140" s="1766"/>
      <c r="D140" s="1766"/>
      <c r="E140" s="1766"/>
      <c r="F140" s="1766"/>
      <c r="G140" s="1766"/>
      <c r="H140" s="1766"/>
      <c r="I140" s="1766"/>
      <c r="J140" s="1766"/>
      <c r="K140" s="1766"/>
      <c r="L140" s="1766"/>
      <c r="M140" s="1766"/>
      <c r="N140" s="1766"/>
      <c r="O140" s="1766"/>
      <c r="P140" s="1766"/>
      <c r="Q140" s="1766"/>
      <c r="R140" s="1766"/>
      <c r="S140" s="1766"/>
      <c r="T140" s="1766"/>
      <c r="U140" s="1766"/>
      <c r="V140" s="1766"/>
      <c r="W140" s="1766"/>
      <c r="X140" s="1766"/>
      <c r="Y140" s="1766"/>
      <c r="Z140" s="1766"/>
    </row>
    <row r="141" spans="1:26">
      <c r="A141" s="1766"/>
      <c r="B141" s="1766"/>
      <c r="C141" s="1766"/>
      <c r="D141" s="1766"/>
      <c r="E141" s="1766"/>
      <c r="F141" s="1766"/>
      <c r="G141" s="1766"/>
      <c r="H141" s="1766"/>
      <c r="I141" s="1766"/>
      <c r="J141" s="1766"/>
      <c r="K141" s="1766"/>
      <c r="L141" s="1766"/>
      <c r="M141" s="1766"/>
      <c r="N141" s="1766"/>
      <c r="O141" s="1766"/>
      <c r="P141" s="1766"/>
      <c r="Q141" s="1766"/>
      <c r="R141" s="1766"/>
      <c r="S141" s="1766"/>
      <c r="T141" s="1766"/>
      <c r="U141" s="1766"/>
      <c r="V141" s="1766"/>
      <c r="W141" s="1766"/>
      <c r="X141" s="1766"/>
      <c r="Y141" s="1766"/>
      <c r="Z141" s="1766"/>
    </row>
    <row r="142" spans="1:26">
      <c r="A142" s="1766"/>
      <c r="B142" s="1766"/>
      <c r="C142" s="1766"/>
      <c r="D142" s="1766"/>
      <c r="E142" s="1766"/>
      <c r="F142" s="1766"/>
      <c r="G142" s="1766"/>
      <c r="H142" s="1766"/>
      <c r="I142" s="1766"/>
      <c r="J142" s="1766"/>
      <c r="K142" s="1766"/>
      <c r="L142" s="1766"/>
      <c r="M142" s="1766"/>
      <c r="N142" s="1766"/>
      <c r="O142" s="1766"/>
      <c r="P142" s="1766"/>
      <c r="Q142" s="1766"/>
      <c r="R142" s="1766"/>
      <c r="S142" s="1766"/>
      <c r="T142" s="1766"/>
      <c r="U142" s="1766"/>
      <c r="V142" s="1766"/>
      <c r="W142" s="1766"/>
      <c r="X142" s="1766"/>
      <c r="Y142" s="1766"/>
      <c r="Z142" s="1766"/>
    </row>
    <row r="143" spans="1:26">
      <c r="A143" s="1766"/>
      <c r="B143" s="1766"/>
      <c r="C143" s="1766"/>
      <c r="D143" s="1766"/>
      <c r="E143" s="1766"/>
      <c r="F143" s="1766"/>
      <c r="G143" s="1766"/>
      <c r="H143" s="1766"/>
      <c r="I143" s="1766"/>
      <c r="J143" s="1766"/>
      <c r="K143" s="1766"/>
      <c r="L143" s="1766"/>
      <c r="M143" s="1766"/>
      <c r="N143" s="1766"/>
      <c r="O143" s="1766"/>
      <c r="P143" s="1766"/>
      <c r="Q143" s="1766"/>
      <c r="R143" s="1766"/>
      <c r="S143" s="1766"/>
      <c r="T143" s="1766"/>
      <c r="U143" s="1766"/>
      <c r="V143" s="1766"/>
      <c r="W143" s="1766"/>
      <c r="X143" s="1766"/>
      <c r="Y143" s="1766"/>
      <c r="Z143" s="1766"/>
    </row>
    <row r="144" spans="1:26">
      <c r="A144" s="1766"/>
      <c r="B144" s="1766"/>
      <c r="C144" s="1766"/>
      <c r="D144" s="1766"/>
      <c r="E144" s="1766"/>
      <c r="F144" s="1766"/>
      <c r="G144" s="1766"/>
      <c r="H144" s="1766"/>
      <c r="I144" s="1766"/>
      <c r="J144" s="1766"/>
      <c r="K144" s="1766"/>
      <c r="L144" s="1766"/>
      <c r="M144" s="1766"/>
      <c r="N144" s="1766"/>
      <c r="O144" s="1766"/>
      <c r="P144" s="1766"/>
      <c r="Q144" s="1766"/>
      <c r="R144" s="1766"/>
      <c r="S144" s="1766"/>
      <c r="T144" s="1766"/>
      <c r="U144" s="1766"/>
      <c r="V144" s="1766"/>
      <c r="W144" s="1766"/>
      <c r="X144" s="1766"/>
      <c r="Y144" s="1766"/>
      <c r="Z144" s="1766"/>
    </row>
    <row r="145" spans="1:26">
      <c r="A145" s="1766"/>
      <c r="B145" s="1766"/>
      <c r="C145" s="1766"/>
      <c r="D145" s="1766"/>
      <c r="E145" s="1766"/>
      <c r="F145" s="1766"/>
      <c r="G145" s="1766"/>
      <c r="H145" s="1766"/>
      <c r="I145" s="1766"/>
      <c r="J145" s="1766"/>
      <c r="K145" s="1766"/>
      <c r="L145" s="1766"/>
      <c r="M145" s="1766"/>
      <c r="N145" s="1766"/>
      <c r="O145" s="1766"/>
      <c r="P145" s="1766"/>
      <c r="Q145" s="1766"/>
      <c r="R145" s="1766"/>
      <c r="S145" s="1766"/>
      <c r="T145" s="1766"/>
      <c r="U145" s="1766"/>
      <c r="V145" s="1766"/>
      <c r="W145" s="1766"/>
      <c r="X145" s="1766"/>
      <c r="Y145" s="1766"/>
      <c r="Z145" s="1766"/>
    </row>
    <row r="146" spans="1:26">
      <c r="A146" s="1766"/>
      <c r="B146" s="1766"/>
      <c r="C146" s="1766"/>
      <c r="D146" s="1766"/>
      <c r="E146" s="1766"/>
      <c r="F146" s="1766"/>
      <c r="G146" s="1766"/>
      <c r="H146" s="1766"/>
      <c r="I146" s="1766"/>
      <c r="J146" s="1766"/>
      <c r="K146" s="1766"/>
      <c r="L146" s="1766"/>
      <c r="M146" s="1766"/>
      <c r="N146" s="1766"/>
      <c r="O146" s="1766"/>
      <c r="P146" s="1766"/>
      <c r="Q146" s="1766"/>
      <c r="R146" s="1766"/>
      <c r="S146" s="1766"/>
      <c r="T146" s="1766"/>
      <c r="U146" s="1766"/>
      <c r="V146" s="1766"/>
      <c r="W146" s="1766"/>
      <c r="X146" s="1766"/>
      <c r="Y146" s="1766"/>
      <c r="Z146" s="1766"/>
    </row>
    <row r="147" spans="1:26">
      <c r="A147" s="1766"/>
      <c r="B147" s="1766"/>
      <c r="C147" s="1766"/>
      <c r="D147" s="1766"/>
      <c r="E147" s="1766"/>
      <c r="F147" s="1766"/>
      <c r="G147" s="1766"/>
      <c r="H147" s="1766"/>
      <c r="I147" s="1766"/>
      <c r="J147" s="1766"/>
      <c r="K147" s="1766"/>
      <c r="L147" s="1766"/>
      <c r="M147" s="1766"/>
      <c r="N147" s="1766"/>
      <c r="O147" s="1766"/>
      <c r="P147" s="1766"/>
      <c r="Q147" s="1766"/>
      <c r="R147" s="1766"/>
      <c r="S147" s="1766"/>
      <c r="T147" s="1766"/>
      <c r="U147" s="1766"/>
      <c r="V147" s="1766"/>
      <c r="W147" s="1766"/>
      <c r="X147" s="1766"/>
      <c r="Y147" s="1766"/>
      <c r="Z147" s="1766"/>
    </row>
    <row r="148" spans="1:26">
      <c r="A148" s="1766"/>
      <c r="B148" s="1766"/>
      <c r="C148" s="1766"/>
      <c r="D148" s="1766"/>
      <c r="E148" s="1766"/>
      <c r="F148" s="1766"/>
      <c r="G148" s="1766"/>
      <c r="H148" s="1766"/>
      <c r="I148" s="1766"/>
      <c r="J148" s="1766"/>
      <c r="K148" s="1766"/>
      <c r="L148" s="1766"/>
      <c r="M148" s="1766"/>
      <c r="N148" s="1766"/>
      <c r="O148" s="1766"/>
      <c r="P148" s="1766"/>
      <c r="Q148" s="1766"/>
      <c r="R148" s="1766"/>
      <c r="S148" s="1766"/>
      <c r="T148" s="1766"/>
      <c r="U148" s="1766"/>
      <c r="V148" s="1766"/>
      <c r="W148" s="1766"/>
      <c r="X148" s="1766"/>
      <c r="Y148" s="1766"/>
      <c r="Z148" s="1766"/>
    </row>
    <row r="149" spans="1:26">
      <c r="A149" s="1766"/>
      <c r="B149" s="1766"/>
      <c r="C149" s="1766"/>
      <c r="D149" s="1766"/>
      <c r="E149" s="1766"/>
      <c r="F149" s="1766"/>
      <c r="G149" s="1766"/>
      <c r="H149" s="1766"/>
      <c r="I149" s="1766"/>
      <c r="J149" s="1766"/>
      <c r="K149" s="1766"/>
      <c r="L149" s="1766"/>
      <c r="M149" s="1766"/>
      <c r="N149" s="1766"/>
      <c r="O149" s="1766"/>
      <c r="P149" s="1766"/>
      <c r="Q149" s="1766"/>
      <c r="R149" s="1766"/>
      <c r="S149" s="1766"/>
      <c r="T149" s="1766"/>
      <c r="U149" s="1766"/>
      <c r="V149" s="1766"/>
      <c r="W149" s="1766"/>
      <c r="X149" s="1766"/>
      <c r="Y149" s="1766"/>
      <c r="Z149" s="1766"/>
    </row>
    <row r="150" spans="1:26">
      <c r="A150" s="1766"/>
      <c r="B150" s="1766"/>
      <c r="C150" s="1766"/>
      <c r="D150" s="1766"/>
      <c r="E150" s="1766"/>
      <c r="F150" s="1766"/>
      <c r="G150" s="1766"/>
      <c r="H150" s="1766"/>
      <c r="I150" s="1766"/>
      <c r="J150" s="1766"/>
      <c r="K150" s="1766"/>
      <c r="L150" s="1766"/>
      <c r="M150" s="1766"/>
      <c r="N150" s="1766"/>
      <c r="O150" s="1766"/>
      <c r="P150" s="1766"/>
      <c r="Q150" s="1766"/>
      <c r="R150" s="1766"/>
      <c r="S150" s="1766"/>
      <c r="T150" s="1766"/>
      <c r="U150" s="1766"/>
      <c r="V150" s="1766"/>
      <c r="W150" s="1766"/>
      <c r="X150" s="1766"/>
      <c r="Y150" s="1766"/>
      <c r="Z150" s="1766"/>
    </row>
    <row r="151" spans="1:26">
      <c r="A151" s="1766"/>
      <c r="B151" s="1766"/>
      <c r="C151" s="1766"/>
      <c r="D151" s="1766"/>
      <c r="E151" s="1766"/>
      <c r="F151" s="1766"/>
      <c r="G151" s="1766"/>
      <c r="H151" s="1766"/>
      <c r="I151" s="1766"/>
      <c r="J151" s="1766"/>
      <c r="K151" s="1766"/>
      <c r="L151" s="1766"/>
      <c r="M151" s="1766"/>
      <c r="N151" s="1766"/>
      <c r="O151" s="1766"/>
      <c r="P151" s="1766"/>
      <c r="Q151" s="1766"/>
      <c r="R151" s="1766"/>
      <c r="S151" s="1766"/>
      <c r="T151" s="1766"/>
      <c r="U151" s="1766"/>
      <c r="V151" s="1766"/>
      <c r="W151" s="1766"/>
      <c r="X151" s="1766"/>
      <c r="Y151" s="1766"/>
      <c r="Z151" s="1766"/>
    </row>
    <row r="152" spans="1:26">
      <c r="A152" s="1766"/>
      <c r="B152" s="1766"/>
      <c r="C152" s="1766"/>
      <c r="D152" s="1766"/>
      <c r="E152" s="1766"/>
      <c r="F152" s="1766"/>
      <c r="G152" s="1766"/>
      <c r="H152" s="1766"/>
      <c r="I152" s="1766"/>
      <c r="J152" s="1766"/>
      <c r="K152" s="1766"/>
      <c r="L152" s="1766"/>
      <c r="M152" s="1766"/>
      <c r="N152" s="1766"/>
      <c r="O152" s="1766"/>
      <c r="P152" s="1766"/>
      <c r="Q152" s="1766"/>
      <c r="R152" s="1766"/>
      <c r="S152" s="1766"/>
      <c r="T152" s="1766"/>
      <c r="U152" s="1766"/>
      <c r="V152" s="1766"/>
      <c r="W152" s="1766"/>
      <c r="X152" s="1766"/>
      <c r="Y152" s="1766"/>
      <c r="Z152" s="1766"/>
    </row>
    <row r="153" spans="1:26">
      <c r="A153" s="1766"/>
      <c r="B153" s="1766"/>
      <c r="C153" s="1766"/>
      <c r="D153" s="1766"/>
      <c r="E153" s="1766"/>
      <c r="F153" s="1766"/>
      <c r="G153" s="1766"/>
      <c r="H153" s="1766"/>
      <c r="I153" s="1766"/>
      <c r="J153" s="1766"/>
      <c r="K153" s="1766"/>
      <c r="L153" s="1766"/>
      <c r="M153" s="1766"/>
      <c r="N153" s="1766"/>
      <c r="O153" s="1766"/>
      <c r="P153" s="1766"/>
      <c r="Q153" s="1766"/>
      <c r="R153" s="1766"/>
      <c r="S153" s="1766"/>
      <c r="T153" s="1766"/>
      <c r="U153" s="1766"/>
      <c r="V153" s="1766"/>
      <c r="W153" s="1766"/>
      <c r="X153" s="1766"/>
      <c r="Y153" s="1766"/>
      <c r="Z153" s="1766"/>
    </row>
    <row r="154" spans="1:26">
      <c r="A154" s="1766"/>
      <c r="B154" s="1766"/>
      <c r="C154" s="1766"/>
      <c r="D154" s="1766"/>
      <c r="E154" s="1766"/>
      <c r="F154" s="1766"/>
      <c r="G154" s="1766"/>
      <c r="H154" s="1766"/>
      <c r="I154" s="1766"/>
      <c r="J154" s="1766"/>
      <c r="K154" s="1766"/>
      <c r="L154" s="1766"/>
      <c r="M154" s="1766"/>
      <c r="N154" s="1766"/>
      <c r="O154" s="1766"/>
      <c r="P154" s="1766"/>
      <c r="Q154" s="1766"/>
      <c r="R154" s="1766"/>
      <c r="S154" s="1766"/>
      <c r="T154" s="1766"/>
      <c r="U154" s="1766"/>
      <c r="V154" s="1766"/>
      <c r="W154" s="1766"/>
      <c r="X154" s="1766"/>
      <c r="Y154" s="1766"/>
      <c r="Z154" s="1766"/>
    </row>
    <row r="155" spans="1:26">
      <c r="A155" s="1766"/>
      <c r="B155" s="1766"/>
      <c r="C155" s="1766"/>
      <c r="D155" s="1766"/>
      <c r="E155" s="1766"/>
      <c r="F155" s="1766"/>
      <c r="G155" s="1766"/>
      <c r="H155" s="1766"/>
      <c r="I155" s="1766"/>
      <c r="J155" s="1766"/>
      <c r="K155" s="1766"/>
      <c r="L155" s="1766"/>
      <c r="M155" s="1766"/>
      <c r="N155" s="1766"/>
      <c r="O155" s="1766"/>
      <c r="P155" s="1766"/>
      <c r="Q155" s="1766"/>
      <c r="R155" s="1766"/>
      <c r="S155" s="1766"/>
      <c r="T155" s="1766"/>
      <c r="U155" s="1766"/>
      <c r="V155" s="1766"/>
      <c r="W155" s="1766"/>
      <c r="X155" s="1766"/>
      <c r="Y155" s="1766"/>
      <c r="Z155" s="1766"/>
    </row>
    <row r="156" spans="1:26">
      <c r="A156" s="1766"/>
      <c r="B156" s="1766"/>
      <c r="C156" s="1766"/>
      <c r="D156" s="1766"/>
      <c r="E156" s="1766"/>
      <c r="F156" s="1766"/>
      <c r="G156" s="1766"/>
      <c r="H156" s="1766"/>
      <c r="I156" s="1766"/>
      <c r="J156" s="1766"/>
      <c r="K156" s="1766"/>
      <c r="L156" s="1766"/>
      <c r="M156" s="1766"/>
      <c r="N156" s="1766"/>
      <c r="O156" s="1766"/>
      <c r="P156" s="1766"/>
      <c r="Q156" s="1766"/>
      <c r="R156" s="1766"/>
      <c r="S156" s="1766"/>
      <c r="T156" s="1766"/>
      <c r="U156" s="1766"/>
      <c r="V156" s="1766"/>
      <c r="W156" s="1766"/>
      <c r="X156" s="1766"/>
      <c r="Y156" s="1766"/>
      <c r="Z156" s="1766"/>
    </row>
    <row r="157" spans="1:26">
      <c r="A157" s="1766"/>
      <c r="B157" s="1766"/>
      <c r="C157" s="1766"/>
      <c r="D157" s="1766"/>
      <c r="E157" s="1766"/>
      <c r="F157" s="1766"/>
      <c r="G157" s="1766"/>
      <c r="H157" s="1766"/>
      <c r="I157" s="1766"/>
      <c r="J157" s="1766"/>
      <c r="K157" s="1766"/>
      <c r="L157" s="1766"/>
      <c r="M157" s="1766"/>
      <c r="N157" s="1766"/>
      <c r="O157" s="1766"/>
      <c r="P157" s="1766"/>
      <c r="Q157" s="1766"/>
      <c r="R157" s="1766"/>
      <c r="S157" s="1766"/>
      <c r="T157" s="1766"/>
      <c r="U157" s="1766"/>
      <c r="V157" s="1766"/>
      <c r="W157" s="1766"/>
      <c r="X157" s="1766"/>
      <c r="Y157" s="1766"/>
      <c r="Z157" s="1766"/>
    </row>
    <row r="158" spans="1:26">
      <c r="A158" s="1766"/>
      <c r="B158" s="1766"/>
      <c r="C158" s="1766"/>
      <c r="D158" s="1766"/>
      <c r="E158" s="1766"/>
      <c r="F158" s="1766"/>
      <c r="G158" s="1766"/>
      <c r="H158" s="1766"/>
      <c r="I158" s="1766"/>
      <c r="J158" s="1766"/>
      <c r="K158" s="1766"/>
      <c r="L158" s="1766"/>
      <c r="M158" s="1766"/>
      <c r="N158" s="1766"/>
      <c r="O158" s="1766"/>
      <c r="P158" s="1766"/>
      <c r="Q158" s="1766"/>
      <c r="R158" s="1766"/>
      <c r="S158" s="1766"/>
      <c r="T158" s="1766"/>
      <c r="U158" s="1766"/>
      <c r="V158" s="1766"/>
      <c r="W158" s="1766"/>
      <c r="X158" s="1766"/>
      <c r="Y158" s="1766"/>
      <c r="Z158" s="1766"/>
    </row>
    <row r="159" spans="1:26">
      <c r="A159" s="1766"/>
      <c r="B159" s="1766"/>
      <c r="C159" s="1766"/>
      <c r="D159" s="1766"/>
      <c r="E159" s="1766"/>
      <c r="F159" s="1766"/>
      <c r="G159" s="1766"/>
      <c r="H159" s="1766"/>
      <c r="I159" s="1766"/>
      <c r="J159" s="1766"/>
      <c r="K159" s="1766"/>
      <c r="L159" s="1766"/>
      <c r="M159" s="1766"/>
      <c r="N159" s="1766"/>
      <c r="O159" s="1766"/>
      <c r="P159" s="1766"/>
      <c r="Q159" s="1766"/>
      <c r="R159" s="1766"/>
      <c r="S159" s="1766"/>
      <c r="T159" s="1766"/>
      <c r="U159" s="1766"/>
      <c r="V159" s="1766"/>
      <c r="W159" s="1766"/>
      <c r="X159" s="1766"/>
      <c r="Y159" s="1766"/>
      <c r="Z159" s="1766"/>
    </row>
    <row r="160" spans="1:26">
      <c r="A160" s="1766"/>
      <c r="B160" s="1766"/>
      <c r="C160" s="1766"/>
      <c r="D160" s="1766"/>
      <c r="E160" s="1766"/>
      <c r="F160" s="1766"/>
      <c r="G160" s="1766"/>
      <c r="H160" s="1766"/>
      <c r="I160" s="1766"/>
      <c r="J160" s="1766"/>
      <c r="K160" s="1766"/>
      <c r="L160" s="1766"/>
      <c r="M160" s="1766"/>
      <c r="N160" s="1766"/>
      <c r="O160" s="1766"/>
      <c r="P160" s="1766"/>
      <c r="Q160" s="1766"/>
      <c r="R160" s="1766"/>
      <c r="S160" s="1766"/>
      <c r="T160" s="1766"/>
      <c r="U160" s="1766"/>
      <c r="V160" s="1766"/>
      <c r="W160" s="1766"/>
      <c r="X160" s="1766"/>
      <c r="Y160" s="1766"/>
      <c r="Z160" s="1766"/>
    </row>
    <row r="161" spans="1:26">
      <c r="A161" s="1766"/>
      <c r="B161" s="1766"/>
      <c r="C161" s="1766"/>
      <c r="D161" s="1766"/>
      <c r="E161" s="1766"/>
      <c r="F161" s="1766"/>
      <c r="G161" s="1766"/>
      <c r="H161" s="1766"/>
      <c r="I161" s="1766"/>
      <c r="J161" s="1766"/>
      <c r="K161" s="1766"/>
      <c r="L161" s="1766"/>
      <c r="M161" s="1766"/>
      <c r="N161" s="1766"/>
      <c r="O161" s="1766"/>
      <c r="P161" s="1766"/>
      <c r="Q161" s="1766"/>
      <c r="R161" s="1766"/>
      <c r="S161" s="1766"/>
      <c r="T161" s="1766"/>
      <c r="U161" s="1766"/>
      <c r="V161" s="1766"/>
      <c r="W161" s="1766"/>
      <c r="X161" s="1766"/>
      <c r="Y161" s="1766"/>
      <c r="Z161" s="1766"/>
    </row>
    <row r="162" spans="1:26">
      <c r="A162" s="1766"/>
      <c r="B162" s="1766"/>
      <c r="C162" s="1766"/>
      <c r="D162" s="1766"/>
      <c r="E162" s="1766"/>
      <c r="F162" s="1766"/>
      <c r="G162" s="1766"/>
      <c r="H162" s="1766"/>
      <c r="I162" s="1766"/>
      <c r="J162" s="1766"/>
      <c r="K162" s="1766"/>
      <c r="L162" s="1766"/>
      <c r="M162" s="1766"/>
      <c r="N162" s="1766"/>
      <c r="O162" s="1766"/>
      <c r="P162" s="1766"/>
      <c r="Q162" s="1766"/>
      <c r="R162" s="1766"/>
      <c r="S162" s="1766"/>
      <c r="T162" s="1766"/>
      <c r="U162" s="1766"/>
      <c r="V162" s="1766"/>
      <c r="W162" s="1766"/>
      <c r="X162" s="1766"/>
      <c r="Y162" s="1766"/>
      <c r="Z162" s="1766"/>
    </row>
    <row r="163" spans="1:26">
      <c r="A163" s="1766"/>
      <c r="B163" s="1766"/>
      <c r="C163" s="1766"/>
      <c r="D163" s="1766"/>
      <c r="E163" s="1766"/>
      <c r="F163" s="1766"/>
      <c r="G163" s="1766"/>
      <c r="H163" s="1766"/>
      <c r="I163" s="1766"/>
      <c r="J163" s="1766"/>
      <c r="K163" s="1766"/>
      <c r="L163" s="1766"/>
      <c r="M163" s="1766"/>
      <c r="N163" s="1766"/>
      <c r="O163" s="1766"/>
      <c r="P163" s="1766"/>
      <c r="Q163" s="1766"/>
      <c r="R163" s="1766"/>
      <c r="S163" s="1766"/>
      <c r="T163" s="1766"/>
      <c r="U163" s="1766"/>
      <c r="V163" s="1766"/>
      <c r="W163" s="1766"/>
      <c r="X163" s="1766"/>
      <c r="Y163" s="1766"/>
      <c r="Z163" s="1766"/>
    </row>
    <row r="164" spans="1:26">
      <c r="A164" s="1766"/>
      <c r="B164" s="1766"/>
      <c r="C164" s="1766"/>
      <c r="D164" s="1766"/>
      <c r="E164" s="1766"/>
      <c r="F164" s="1766"/>
      <c r="G164" s="1766"/>
      <c r="H164" s="1766"/>
      <c r="I164" s="1766"/>
      <c r="J164" s="1766"/>
      <c r="K164" s="1766"/>
      <c r="L164" s="1766"/>
      <c r="M164" s="1766"/>
      <c r="N164" s="1766"/>
      <c r="O164" s="1766"/>
      <c r="P164" s="1766"/>
      <c r="Q164" s="1766"/>
      <c r="R164" s="1766"/>
      <c r="S164" s="1766"/>
      <c r="T164" s="1766"/>
      <c r="U164" s="1766"/>
      <c r="V164" s="1766"/>
      <c r="W164" s="1766"/>
      <c r="X164" s="1766"/>
      <c r="Y164" s="1766"/>
      <c r="Z164" s="1766"/>
    </row>
    <row r="165" spans="1:26">
      <c r="A165" s="1766"/>
      <c r="B165" s="1766"/>
      <c r="C165" s="1766"/>
      <c r="D165" s="1766"/>
      <c r="E165" s="1766"/>
      <c r="F165" s="1766"/>
      <c r="G165" s="1766"/>
      <c r="H165" s="1766"/>
      <c r="I165" s="1766"/>
      <c r="J165" s="1766"/>
      <c r="K165" s="1766"/>
      <c r="L165" s="1766"/>
      <c r="M165" s="1766"/>
      <c r="N165" s="1766"/>
      <c r="O165" s="1766"/>
      <c r="P165" s="1766"/>
      <c r="Q165" s="1766"/>
      <c r="R165" s="1766"/>
      <c r="S165" s="1766"/>
      <c r="T165" s="1766"/>
      <c r="U165" s="1766"/>
      <c r="V165" s="1766"/>
      <c r="W165" s="1766"/>
      <c r="X165" s="1766"/>
      <c r="Y165" s="1766"/>
      <c r="Z165" s="1766"/>
    </row>
    <row r="166" spans="1:26">
      <c r="A166" s="1766"/>
      <c r="B166" s="1766"/>
      <c r="C166" s="1766"/>
      <c r="D166" s="1766"/>
      <c r="E166" s="1766"/>
      <c r="F166" s="1766"/>
      <c r="G166" s="1766"/>
      <c r="H166" s="1766"/>
      <c r="I166" s="1766"/>
      <c r="J166" s="1766"/>
      <c r="K166" s="1766"/>
      <c r="L166" s="1766"/>
      <c r="M166" s="1766"/>
      <c r="N166" s="1766"/>
      <c r="O166" s="1766"/>
      <c r="P166" s="1766"/>
      <c r="Q166" s="1766"/>
      <c r="R166" s="1766"/>
      <c r="S166" s="1766"/>
      <c r="T166" s="1766"/>
      <c r="U166" s="1766"/>
      <c r="V166" s="1766"/>
      <c r="W166" s="1766"/>
      <c r="X166" s="1766"/>
      <c r="Y166" s="1766"/>
      <c r="Z166" s="1766"/>
    </row>
    <row r="167" spans="1:26">
      <c r="A167" s="1766"/>
      <c r="B167" s="1766"/>
      <c r="C167" s="1766"/>
      <c r="D167" s="1766"/>
      <c r="E167" s="1766"/>
      <c r="F167" s="1766"/>
      <c r="G167" s="1766"/>
      <c r="H167" s="1766"/>
      <c r="I167" s="1766"/>
      <c r="J167" s="1766"/>
      <c r="K167" s="1766"/>
      <c r="L167" s="1766"/>
      <c r="M167" s="1766"/>
      <c r="N167" s="1766"/>
      <c r="O167" s="1766"/>
      <c r="P167" s="1766"/>
      <c r="Q167" s="1766"/>
      <c r="R167" s="1766"/>
      <c r="S167" s="1766"/>
      <c r="T167" s="1766"/>
      <c r="U167" s="1766"/>
      <c r="V167" s="1766"/>
      <c r="W167" s="1766"/>
      <c r="X167" s="1766"/>
      <c r="Y167" s="1766"/>
      <c r="Z167" s="1766"/>
    </row>
    <row r="168" spans="1:26">
      <c r="A168" s="1766"/>
      <c r="B168" s="1766"/>
      <c r="C168" s="1766"/>
      <c r="D168" s="1766"/>
      <c r="E168" s="1766"/>
      <c r="F168" s="1766"/>
      <c r="G168" s="1766"/>
      <c r="H168" s="1766"/>
      <c r="I168" s="1766"/>
      <c r="J168" s="1766"/>
      <c r="K168" s="1766"/>
      <c r="L168" s="1766"/>
      <c r="M168" s="1766"/>
      <c r="N168" s="1766"/>
      <c r="O168" s="1766"/>
      <c r="P168" s="1766"/>
      <c r="Q168" s="1766"/>
      <c r="R168" s="1766"/>
      <c r="S168" s="1766"/>
      <c r="T168" s="1766"/>
      <c r="U168" s="1766"/>
      <c r="V168" s="1766"/>
      <c r="W168" s="1766"/>
      <c r="X168" s="1766"/>
      <c r="Y168" s="1766"/>
      <c r="Z168" s="1766"/>
    </row>
    <row r="169" spans="1:26">
      <c r="A169" s="1766"/>
      <c r="B169" s="1766"/>
      <c r="C169" s="1766"/>
      <c r="D169" s="1766"/>
      <c r="E169" s="1766"/>
      <c r="F169" s="1766"/>
      <c r="G169" s="1766"/>
      <c r="H169" s="1766"/>
      <c r="I169" s="1766"/>
      <c r="J169" s="1766"/>
      <c r="K169" s="1766"/>
      <c r="L169" s="1766"/>
      <c r="M169" s="1766"/>
      <c r="N169" s="1766"/>
      <c r="O169" s="1766"/>
      <c r="P169" s="1766"/>
      <c r="Q169" s="1766"/>
      <c r="R169" s="1766"/>
      <c r="S169" s="1766"/>
      <c r="T169" s="1766"/>
      <c r="U169" s="1766"/>
      <c r="V169" s="1766"/>
      <c r="W169" s="1766"/>
      <c r="X169" s="1766"/>
      <c r="Y169" s="1766"/>
      <c r="Z169" s="1766"/>
    </row>
    <row r="170" spans="1:26">
      <c r="A170" s="1766"/>
      <c r="B170" s="1766"/>
      <c r="C170" s="1766"/>
      <c r="D170" s="1766"/>
      <c r="E170" s="1766"/>
      <c r="F170" s="1766"/>
      <c r="G170" s="1766"/>
      <c r="H170" s="1766"/>
      <c r="I170" s="1766"/>
      <c r="J170" s="1766"/>
      <c r="K170" s="1766"/>
      <c r="L170" s="1766"/>
      <c r="M170" s="1766"/>
      <c r="N170" s="1766"/>
      <c r="O170" s="1766"/>
      <c r="P170" s="1766"/>
      <c r="Q170" s="1766"/>
      <c r="R170" s="1766"/>
      <c r="S170" s="1766"/>
      <c r="T170" s="1766"/>
      <c r="U170" s="1766"/>
      <c r="V170" s="1766"/>
      <c r="W170" s="1766"/>
      <c r="X170" s="1766"/>
      <c r="Y170" s="1766"/>
      <c r="Z170" s="1766"/>
    </row>
    <row r="171" spans="1:26">
      <c r="A171" s="1766"/>
      <c r="B171" s="1766"/>
      <c r="C171" s="1766"/>
      <c r="D171" s="1766"/>
      <c r="E171" s="1766"/>
      <c r="F171" s="1766"/>
      <c r="G171" s="1766"/>
      <c r="H171" s="1766"/>
      <c r="I171" s="1766"/>
      <c r="J171" s="1766"/>
      <c r="K171" s="1766"/>
      <c r="L171" s="1766"/>
      <c r="M171" s="1766"/>
      <c r="N171" s="1766"/>
      <c r="O171" s="1766"/>
      <c r="P171" s="1766"/>
      <c r="Q171" s="1766"/>
      <c r="R171" s="1766"/>
      <c r="S171" s="1766"/>
      <c r="T171" s="1766"/>
      <c r="U171" s="1766"/>
      <c r="V171" s="1766"/>
      <c r="W171" s="1766"/>
      <c r="X171" s="1766"/>
      <c r="Y171" s="1766"/>
      <c r="Z171" s="1766"/>
    </row>
  </sheetData>
  <mergeCells count="142">
    <mergeCell ref="K51:L51"/>
    <mergeCell ref="M51:N51"/>
    <mergeCell ref="O51:P51"/>
    <mergeCell ref="Q51:R51"/>
    <mergeCell ref="S51:T51"/>
    <mergeCell ref="F27:F28"/>
    <mergeCell ref="A2:G3"/>
    <mergeCell ref="U50:Z51"/>
    <mergeCell ref="A43:B44"/>
    <mergeCell ref="A50:G51"/>
    <mergeCell ref="H50:J51"/>
    <mergeCell ref="Y18:Z22"/>
    <mergeCell ref="A49:G49"/>
    <mergeCell ref="H49:J49"/>
    <mergeCell ref="K49:T49"/>
    <mergeCell ref="U49:Z49"/>
    <mergeCell ref="K50:L50"/>
    <mergeCell ref="M50:N50"/>
    <mergeCell ref="O50:P50"/>
    <mergeCell ref="Q50:R50"/>
    <mergeCell ref="S50:T50"/>
    <mergeCell ref="A47:D47"/>
    <mergeCell ref="E47:N47"/>
    <mergeCell ref="O47:P47"/>
    <mergeCell ref="Q47:V47"/>
    <mergeCell ref="W47:Z47"/>
    <mergeCell ref="A48:D48"/>
    <mergeCell ref="E48:H48"/>
    <mergeCell ref="I48:L48"/>
    <mergeCell ref="M48:P48"/>
    <mergeCell ref="Q48:T48"/>
    <mergeCell ref="U48:X48"/>
    <mergeCell ref="Y48:Z48"/>
    <mergeCell ref="U45:V45"/>
    <mergeCell ref="W45:X45"/>
    <mergeCell ref="Y45:Z45"/>
    <mergeCell ref="A46:D46"/>
    <mergeCell ref="E46:F46"/>
    <mergeCell ref="G46:H46"/>
    <mergeCell ref="I46:J46"/>
    <mergeCell ref="K46:L46"/>
    <mergeCell ref="M46:N46"/>
    <mergeCell ref="O46:P46"/>
    <mergeCell ref="Q46:R46"/>
    <mergeCell ref="S46:T46"/>
    <mergeCell ref="U46:V46"/>
    <mergeCell ref="W46:X46"/>
    <mergeCell ref="Y46:Z46"/>
    <mergeCell ref="A45:D45"/>
    <mergeCell ref="E45:F45"/>
    <mergeCell ref="G45:H45"/>
    <mergeCell ref="I45:J45"/>
    <mergeCell ref="K45:L45"/>
    <mergeCell ref="M45:N45"/>
    <mergeCell ref="O45:P45"/>
    <mergeCell ref="Q45:R45"/>
    <mergeCell ref="S45:T45"/>
    <mergeCell ref="U43:V43"/>
    <mergeCell ref="W43:X43"/>
    <mergeCell ref="Y43:Z43"/>
    <mergeCell ref="C44:D44"/>
    <mergeCell ref="E44:F44"/>
    <mergeCell ref="G44:H44"/>
    <mergeCell ref="I44:J44"/>
    <mergeCell ref="K44:L44"/>
    <mergeCell ref="M44:N44"/>
    <mergeCell ref="O44:P44"/>
    <mergeCell ref="Q44:R44"/>
    <mergeCell ref="S44:T44"/>
    <mergeCell ref="U44:V44"/>
    <mergeCell ref="W44:X44"/>
    <mergeCell ref="Y44:Z44"/>
    <mergeCell ref="C43:D43"/>
    <mergeCell ref="E43:F43"/>
    <mergeCell ref="G43:H43"/>
    <mergeCell ref="I43:J43"/>
    <mergeCell ref="K43:L43"/>
    <mergeCell ref="M43:N43"/>
    <mergeCell ref="O43:P43"/>
    <mergeCell ref="Q43:R43"/>
    <mergeCell ref="S43:T43"/>
    <mergeCell ref="U41:V41"/>
    <mergeCell ref="W41:X41"/>
    <mergeCell ref="Y41:Z41"/>
    <mergeCell ref="A42:D42"/>
    <mergeCell ref="E42:F42"/>
    <mergeCell ref="G42:H42"/>
    <mergeCell ref="I42:J42"/>
    <mergeCell ref="K42:L42"/>
    <mergeCell ref="M42:N42"/>
    <mergeCell ref="O42:P42"/>
    <mergeCell ref="Q42:R42"/>
    <mergeCell ref="S42:T42"/>
    <mergeCell ref="U42:V42"/>
    <mergeCell ref="W42:X42"/>
    <mergeCell ref="Y42:Z42"/>
    <mergeCell ref="A41:D41"/>
    <mergeCell ref="E41:F41"/>
    <mergeCell ref="G41:H41"/>
    <mergeCell ref="I41:J41"/>
    <mergeCell ref="K41:L41"/>
    <mergeCell ref="M41:N41"/>
    <mergeCell ref="O41:P41"/>
    <mergeCell ref="Q41:R41"/>
    <mergeCell ref="S41:T41"/>
    <mergeCell ref="A37:F37"/>
    <mergeCell ref="H37:I37"/>
    <mergeCell ref="R37:S37"/>
    <mergeCell ref="A38:F38"/>
    <mergeCell ref="H38:I38"/>
    <mergeCell ref="R38:S38"/>
    <mergeCell ref="A39:F39"/>
    <mergeCell ref="H39:I39"/>
    <mergeCell ref="R39:S39"/>
    <mergeCell ref="A32:F32"/>
    <mergeCell ref="H32:I32"/>
    <mergeCell ref="K32:L32"/>
    <mergeCell ref="A33:F33"/>
    <mergeCell ref="A34:F34"/>
    <mergeCell ref="H34:I34"/>
    <mergeCell ref="A35:F35"/>
    <mergeCell ref="G35:H35"/>
    <mergeCell ref="A36:F36"/>
    <mergeCell ref="H36:I36"/>
    <mergeCell ref="A30:F30"/>
    <mergeCell ref="G30:H30"/>
    <mergeCell ref="I30:J30"/>
    <mergeCell ref="K30:L30"/>
    <mergeCell ref="O30:P30"/>
    <mergeCell ref="R30:S30"/>
    <mergeCell ref="W30:Z30"/>
    <mergeCell ref="A31:F31"/>
    <mergeCell ref="H31:I31"/>
    <mergeCell ref="H2:T2"/>
    <mergeCell ref="U2:Z2"/>
    <mergeCell ref="H3:T3"/>
    <mergeCell ref="U3:W3"/>
    <mergeCell ref="X3:Z3"/>
    <mergeCell ref="A5:Z5"/>
    <mergeCell ref="A27:E27"/>
    <mergeCell ref="A28:E28"/>
    <mergeCell ref="A29:E29"/>
  </mergeCells>
  <phoneticPr fontId="378" type="noConversion"/>
  <hyperlinks>
    <hyperlink ref="Y18:Z22" location="总目录!A1" display="返回  目录"/>
  </hyperlinks>
  <pageMargins left="0.58888888888888902" right="0.2" top="0.2" bottom="0.2" header="0.11874999999999999" footer="0.30902777777777801"/>
  <pageSetup paperSize="9" orientation="portrait"/>
  <headerFooter scaleWithDoc="0" alignWithMargins="0"/>
  <drawing r:id="rId1"/>
  <legacyDrawing r:id="rId2"/>
  <oleObjects>
    <mc:AlternateContent xmlns:mc="http://schemas.openxmlformats.org/markup-compatibility/2006">
      <mc:Choice Requires="x14">
        <oleObject progId="Equation.3" shapeId="1213441" r:id="rId3">
          <objectPr defaultSize="0" autoPict="0" altText="" r:id="rId4">
            <anchor moveWithCells="1" sizeWithCells="1">
              <from>
                <xdr:col>1</xdr:col>
                <xdr:colOff>171450</xdr:colOff>
                <xdr:row>41</xdr:row>
                <xdr:rowOff>19050</xdr:rowOff>
              </from>
              <to>
                <xdr:col>2</xdr:col>
                <xdr:colOff>114300</xdr:colOff>
                <xdr:row>41</xdr:row>
                <xdr:rowOff>200025</xdr:rowOff>
              </to>
            </anchor>
          </objectPr>
        </oleObject>
      </mc:Choice>
      <mc:Fallback>
        <oleObject progId="Equation.3" shapeId="1213441" r:id="rId3"/>
      </mc:Fallback>
    </mc:AlternateContent>
    <mc:AlternateContent xmlns:mc="http://schemas.openxmlformats.org/markup-compatibility/2006">
      <mc:Choice Requires="x14">
        <oleObject progId="Equation.3" shapeId="1213442" r:id="rId5">
          <objectPr defaultSize="0" autoPict="0" altText="" r:id="rId6">
            <anchor moveWithCells="1" sizeWithCells="1">
              <from>
                <xdr:col>1</xdr:col>
                <xdr:colOff>133350</xdr:colOff>
                <xdr:row>44</xdr:row>
                <xdr:rowOff>19050</xdr:rowOff>
              </from>
              <to>
                <xdr:col>2</xdr:col>
                <xdr:colOff>95250</xdr:colOff>
                <xdr:row>44</xdr:row>
                <xdr:rowOff>200025</xdr:rowOff>
              </to>
            </anchor>
          </objectPr>
        </oleObject>
      </mc:Choice>
      <mc:Fallback>
        <oleObject progId="Equation.3" shapeId="1213442" r:id="rId5"/>
      </mc:Fallback>
    </mc:AlternateContent>
    <mc:AlternateContent xmlns:mc="http://schemas.openxmlformats.org/markup-compatibility/2006">
      <mc:Choice Requires="x14">
        <oleObject progId="Equation.3" shapeId="1213443" r:id="rId7">
          <objectPr defaultSize="0" autoPict="0" altText="" r:id="rId8">
            <anchor moveWithCells="1" sizeWithCells="1">
              <from>
                <xdr:col>1</xdr:col>
                <xdr:colOff>133350</xdr:colOff>
                <xdr:row>45</xdr:row>
                <xdr:rowOff>0</xdr:rowOff>
              </from>
              <to>
                <xdr:col>2</xdr:col>
                <xdr:colOff>95250</xdr:colOff>
                <xdr:row>45</xdr:row>
                <xdr:rowOff>161925</xdr:rowOff>
              </to>
            </anchor>
          </objectPr>
        </oleObject>
      </mc:Choice>
      <mc:Fallback>
        <oleObject progId="Equation.3" shapeId="1213443" r:id="rId7"/>
      </mc:Fallback>
    </mc:AlternateContent>
    <mc:AlternateContent xmlns:mc="http://schemas.openxmlformats.org/markup-compatibility/2006">
      <mc:Choice Requires="x14">
        <oleObject progId="Equation.3" shapeId="1213444" r:id="rId9">
          <objectPr defaultSize="0" autoPict="0" altText="" r:id="rId8">
            <anchor moveWithCells="1" sizeWithCells="1">
              <from>
                <xdr:col>1</xdr:col>
                <xdr:colOff>114300</xdr:colOff>
                <xdr:row>46</xdr:row>
                <xdr:rowOff>0</xdr:rowOff>
              </from>
              <to>
                <xdr:col>2</xdr:col>
                <xdr:colOff>76200</xdr:colOff>
                <xdr:row>46</xdr:row>
                <xdr:rowOff>161925</xdr:rowOff>
              </to>
            </anchor>
          </objectPr>
        </oleObject>
      </mc:Choice>
      <mc:Fallback>
        <oleObject progId="Equation.3" shapeId="1213444" r:id="rId9"/>
      </mc:Fallback>
    </mc:AlternateContent>
    <mc:AlternateContent xmlns:mc="http://schemas.openxmlformats.org/markup-compatibility/2006">
      <mc:Choice Requires="x14">
        <oleObject progId="Equation.3" shapeId="1213445" r:id="rId10">
          <objectPr defaultSize="0" autoPict="0" altText="" r:id="rId11">
            <anchor moveWithCells="1" sizeWithCells="1">
              <from>
                <xdr:col>1</xdr:col>
                <xdr:colOff>95250</xdr:colOff>
                <xdr:row>47</xdr:row>
                <xdr:rowOff>0</xdr:rowOff>
              </from>
              <to>
                <xdr:col>2</xdr:col>
                <xdr:colOff>76200</xdr:colOff>
                <xdr:row>47</xdr:row>
                <xdr:rowOff>171450</xdr:rowOff>
              </to>
            </anchor>
          </objectPr>
        </oleObject>
      </mc:Choice>
      <mc:Fallback>
        <oleObject progId="Equation.3" shapeId="1213445" r:id="rId10"/>
      </mc:Fallback>
    </mc:AlternateContent>
    <mc:AlternateContent xmlns:mc="http://schemas.openxmlformats.org/markup-compatibility/2006">
      <mc:Choice Requires="x14">
        <oleObject progId="Equation.3" shapeId="1213446" r:id="rId12">
          <objectPr defaultSize="0" autoPict="0" altText="" r:id="rId13">
            <anchor moveWithCells="1" sizeWithCells="1">
              <from>
                <xdr:col>2</xdr:col>
                <xdr:colOff>171450</xdr:colOff>
                <xdr:row>30</xdr:row>
                <xdr:rowOff>19050</xdr:rowOff>
              </from>
              <to>
                <xdr:col>3</xdr:col>
                <xdr:colOff>171450</xdr:colOff>
                <xdr:row>31</xdr:row>
                <xdr:rowOff>0</xdr:rowOff>
              </to>
            </anchor>
          </objectPr>
        </oleObject>
      </mc:Choice>
      <mc:Fallback>
        <oleObject progId="Equation.3" shapeId="1213446" r:id="rId12"/>
      </mc:Fallback>
    </mc:AlternateContent>
    <mc:AlternateContent xmlns:mc="http://schemas.openxmlformats.org/markup-compatibility/2006">
      <mc:Choice Requires="x14">
        <oleObject progId="Equation.3" shapeId="1213447" r:id="rId14">
          <objectPr defaultSize="0" autoPict="0" altText="" r:id="rId15">
            <anchor moveWithCells="1" sizeWithCells="1">
              <from>
                <xdr:col>2</xdr:col>
                <xdr:colOff>180975</xdr:colOff>
                <xdr:row>31</xdr:row>
                <xdr:rowOff>28575</xdr:rowOff>
              </from>
              <to>
                <xdr:col>3</xdr:col>
                <xdr:colOff>171450</xdr:colOff>
                <xdr:row>32</xdr:row>
                <xdr:rowOff>0</xdr:rowOff>
              </to>
            </anchor>
          </objectPr>
        </oleObject>
      </mc:Choice>
      <mc:Fallback>
        <oleObject progId="Equation.3" shapeId="1213447" r:id="rId14"/>
      </mc:Fallback>
    </mc:AlternateContent>
    <mc:AlternateContent xmlns:mc="http://schemas.openxmlformats.org/markup-compatibility/2006">
      <mc:Choice Requires="x14">
        <oleObject progId="Equation.3" shapeId="1213448" r:id="rId16">
          <objectPr defaultSize="0" autoPict="0" altText="" r:id="rId17">
            <anchor moveWithCells="1" sizeWithCells="1">
              <from>
                <xdr:col>2</xdr:col>
                <xdr:colOff>152400</xdr:colOff>
                <xdr:row>32</xdr:row>
                <xdr:rowOff>0</xdr:rowOff>
              </from>
              <to>
                <xdr:col>3</xdr:col>
                <xdr:colOff>152400</xdr:colOff>
                <xdr:row>32</xdr:row>
                <xdr:rowOff>171450</xdr:rowOff>
              </to>
            </anchor>
          </objectPr>
        </oleObject>
      </mc:Choice>
      <mc:Fallback>
        <oleObject progId="Equation.3" shapeId="1213448" r:id="rId16"/>
      </mc:Fallback>
    </mc:AlternateContent>
    <mc:AlternateContent xmlns:mc="http://schemas.openxmlformats.org/markup-compatibility/2006">
      <mc:Choice Requires="x14">
        <oleObject progId="Equation.3" shapeId="1213449" r:id="rId18">
          <objectPr defaultSize="0" autoPict="0" altText="" r:id="rId19">
            <anchor moveWithCells="1" sizeWithCells="1">
              <from>
                <xdr:col>2</xdr:col>
                <xdr:colOff>171450</xdr:colOff>
                <xdr:row>33</xdr:row>
                <xdr:rowOff>0</xdr:rowOff>
              </from>
              <to>
                <xdr:col>3</xdr:col>
                <xdr:colOff>171450</xdr:colOff>
                <xdr:row>33</xdr:row>
                <xdr:rowOff>171450</xdr:rowOff>
              </to>
            </anchor>
          </objectPr>
        </oleObject>
      </mc:Choice>
      <mc:Fallback>
        <oleObject progId="Equation.3" shapeId="1213449" r:id="rId18"/>
      </mc:Fallback>
    </mc:AlternateContent>
    <mc:AlternateContent xmlns:mc="http://schemas.openxmlformats.org/markup-compatibility/2006">
      <mc:Choice Requires="x14">
        <oleObject progId="Equation.3" shapeId="1213450" r:id="rId20">
          <objectPr defaultSize="0" autoPict="0" altText="" r:id="rId21">
            <anchor moveWithCells="1" sizeWithCells="1">
              <from>
                <xdr:col>2</xdr:col>
                <xdr:colOff>171450</xdr:colOff>
                <xdr:row>34</xdr:row>
                <xdr:rowOff>19050</xdr:rowOff>
              </from>
              <to>
                <xdr:col>3</xdr:col>
                <xdr:colOff>180975</xdr:colOff>
                <xdr:row>35</xdr:row>
                <xdr:rowOff>0</xdr:rowOff>
              </to>
            </anchor>
          </objectPr>
        </oleObject>
      </mc:Choice>
      <mc:Fallback>
        <oleObject progId="Equation.3" shapeId="1213450" r:id="rId20"/>
      </mc:Fallback>
    </mc:AlternateContent>
    <mc:AlternateContent xmlns:mc="http://schemas.openxmlformats.org/markup-compatibility/2006">
      <mc:Choice Requires="x14">
        <oleObject progId="Equation.3" shapeId="1213451" r:id="rId22">
          <objectPr defaultSize="0" autoPict="0" altText="" r:id="rId23">
            <anchor moveWithCells="1" sizeWithCells="1">
              <from>
                <xdr:col>2</xdr:col>
                <xdr:colOff>152400</xdr:colOff>
                <xdr:row>35</xdr:row>
                <xdr:rowOff>28575</xdr:rowOff>
              </from>
              <to>
                <xdr:col>3</xdr:col>
                <xdr:colOff>180975</xdr:colOff>
                <xdr:row>36</xdr:row>
                <xdr:rowOff>0</xdr:rowOff>
              </to>
            </anchor>
          </objectPr>
        </oleObject>
      </mc:Choice>
      <mc:Fallback>
        <oleObject progId="Equation.3" shapeId="1213451" r:id="rId22"/>
      </mc:Fallback>
    </mc:AlternateContent>
    <mc:AlternateContent xmlns:mc="http://schemas.openxmlformats.org/markup-compatibility/2006">
      <mc:Choice Requires="x14">
        <oleObject progId="Equation.3" shapeId="1213452" r:id="rId24">
          <objectPr defaultSize="0" autoPict="0" altText="" r:id="rId25">
            <anchor moveWithCells="1" sizeWithCells="1">
              <from>
                <xdr:col>2</xdr:col>
                <xdr:colOff>152400</xdr:colOff>
                <xdr:row>36</xdr:row>
                <xdr:rowOff>0</xdr:rowOff>
              </from>
              <to>
                <xdr:col>3</xdr:col>
                <xdr:colOff>228600</xdr:colOff>
                <xdr:row>37</xdr:row>
                <xdr:rowOff>0</xdr:rowOff>
              </to>
            </anchor>
          </objectPr>
        </oleObject>
      </mc:Choice>
      <mc:Fallback>
        <oleObject progId="Equation.3" shapeId="1213452" r:id="rId24"/>
      </mc:Fallback>
    </mc:AlternateContent>
    <mc:AlternateContent xmlns:mc="http://schemas.openxmlformats.org/markup-compatibility/2006">
      <mc:Choice Requires="x14">
        <oleObject progId="Equation.3" shapeId="1213453" r:id="rId26">
          <objectPr defaultSize="0" autoPict="0" altText="" r:id="rId27">
            <anchor moveWithCells="1" sizeWithCells="1">
              <from>
                <xdr:col>2</xdr:col>
                <xdr:colOff>171450</xdr:colOff>
                <xdr:row>37</xdr:row>
                <xdr:rowOff>19050</xdr:rowOff>
              </from>
              <to>
                <xdr:col>3</xdr:col>
                <xdr:colOff>152400</xdr:colOff>
                <xdr:row>38</xdr:row>
                <xdr:rowOff>0</xdr:rowOff>
              </to>
            </anchor>
          </objectPr>
        </oleObject>
      </mc:Choice>
      <mc:Fallback>
        <oleObject progId="Equation.3" shapeId="1213453" r:id="rId26"/>
      </mc:Fallback>
    </mc:AlternateContent>
    <mc:AlternateContent xmlns:mc="http://schemas.openxmlformats.org/markup-compatibility/2006">
      <mc:Choice Requires="x14">
        <oleObject progId="Equation.3" shapeId="1213454" r:id="rId28">
          <objectPr defaultSize="0" autoPict="0" altText="" r:id="rId29">
            <anchor moveWithCells="1" sizeWithCells="1">
              <from>
                <xdr:col>2</xdr:col>
                <xdr:colOff>142875</xdr:colOff>
                <xdr:row>37</xdr:row>
                <xdr:rowOff>200025</xdr:rowOff>
              </from>
              <to>
                <xdr:col>3</xdr:col>
                <xdr:colOff>171450</xdr:colOff>
                <xdr:row>38</xdr:row>
                <xdr:rowOff>200025</xdr:rowOff>
              </to>
            </anchor>
          </objectPr>
        </oleObject>
      </mc:Choice>
      <mc:Fallback>
        <oleObject progId="Equation.3" shapeId="1213454" r:id="rId28"/>
      </mc:Fallback>
    </mc:AlternateContent>
    <mc:AlternateContent xmlns:mc="http://schemas.openxmlformats.org/markup-compatibility/2006">
      <mc:Choice Requires="x14">
        <oleObject progId="Paint.Picture" shapeId="1213455" r:id="rId30">
          <objectPr defaultSize="0" autoPict="0" altText="" r:id="rId31">
            <anchor moveWithCells="1">
              <from>
                <xdr:col>2</xdr:col>
                <xdr:colOff>47625</xdr:colOff>
                <xdr:row>5</xdr:row>
                <xdr:rowOff>76200</xdr:rowOff>
              </from>
              <to>
                <xdr:col>8</xdr:col>
                <xdr:colOff>0</xdr:colOff>
                <xdr:row>13</xdr:row>
                <xdr:rowOff>0</xdr:rowOff>
              </to>
            </anchor>
          </objectPr>
        </oleObject>
      </mc:Choice>
      <mc:Fallback>
        <oleObject progId="Paint.Picture" shapeId="1213455" r:id="rId30"/>
      </mc:Fallback>
    </mc:AlternateContent>
    <mc:AlternateContent xmlns:mc="http://schemas.openxmlformats.org/markup-compatibility/2006">
      <mc:Choice Requires="x14">
        <oleObject progId="Paint.Picture" shapeId="1213456" r:id="rId32">
          <objectPr defaultSize="0" autoPict="0" altText="" r:id="rId33">
            <anchor moveWithCells="1">
              <from>
                <xdr:col>10</xdr:col>
                <xdr:colOff>76200</xdr:colOff>
                <xdr:row>4</xdr:row>
                <xdr:rowOff>200025</xdr:rowOff>
              </from>
              <to>
                <xdr:col>15</xdr:col>
                <xdr:colOff>133350</xdr:colOff>
                <xdr:row>12</xdr:row>
                <xdr:rowOff>95250</xdr:rowOff>
              </to>
            </anchor>
          </objectPr>
        </oleObject>
      </mc:Choice>
      <mc:Fallback>
        <oleObject progId="Paint.Picture" shapeId="1213456" r:id="rId32"/>
      </mc:Fallback>
    </mc:AlternateContent>
    <mc:AlternateContent xmlns:mc="http://schemas.openxmlformats.org/markup-compatibility/2006">
      <mc:Choice Requires="x14">
        <oleObject progId="Paint.Picture" shapeId="1213457" r:id="rId34">
          <objectPr defaultSize="0" autoPict="0" altText="" r:id="rId35">
            <anchor moveWithCells="1">
              <from>
                <xdr:col>17</xdr:col>
                <xdr:colOff>142875</xdr:colOff>
                <xdr:row>5</xdr:row>
                <xdr:rowOff>76200</xdr:rowOff>
              </from>
              <to>
                <xdr:col>24</xdr:col>
                <xdr:colOff>85725</xdr:colOff>
                <xdr:row>12</xdr:row>
                <xdr:rowOff>133350</xdr:rowOff>
              </to>
            </anchor>
          </objectPr>
        </oleObject>
      </mc:Choice>
      <mc:Fallback>
        <oleObject progId="Paint.Picture" shapeId="1213457" r:id="rId34"/>
      </mc:Fallback>
    </mc:AlternateContent>
    <mc:AlternateContent xmlns:mc="http://schemas.openxmlformats.org/markup-compatibility/2006">
      <mc:Choice Requires="x14">
        <oleObject progId="Paint.Picture" shapeId="1213458" r:id="rId36">
          <objectPr defaultSize="0" autoPict="0" altText="" r:id="rId37">
            <anchor moveWithCells="1">
              <from>
                <xdr:col>0</xdr:col>
                <xdr:colOff>133350</xdr:colOff>
                <xdr:row>13</xdr:row>
                <xdr:rowOff>0</xdr:rowOff>
              </from>
              <to>
                <xdr:col>8</xdr:col>
                <xdr:colOff>190500</xdr:colOff>
                <xdr:row>25</xdr:row>
                <xdr:rowOff>133350</xdr:rowOff>
              </to>
            </anchor>
          </objectPr>
        </oleObject>
      </mc:Choice>
      <mc:Fallback>
        <oleObject progId="Paint.Picture" shapeId="1213458" r:id="rId36"/>
      </mc:Fallback>
    </mc:AlternateContent>
    <mc:AlternateContent xmlns:mc="http://schemas.openxmlformats.org/markup-compatibility/2006">
      <mc:Choice Requires="x14">
        <oleObject progId="Paint.Picture" shapeId="1213459" r:id="rId38">
          <objectPr defaultSize="0" autoPict="0" altText="" r:id="rId39">
            <anchor moveWithCells="1">
              <from>
                <xdr:col>9</xdr:col>
                <xdr:colOff>19050</xdr:colOff>
                <xdr:row>15</xdr:row>
                <xdr:rowOff>57150</xdr:rowOff>
              </from>
              <to>
                <xdr:col>16</xdr:col>
                <xdr:colOff>209550</xdr:colOff>
                <xdr:row>24</xdr:row>
                <xdr:rowOff>171450</xdr:rowOff>
              </to>
            </anchor>
          </objectPr>
        </oleObject>
      </mc:Choice>
      <mc:Fallback>
        <oleObject progId="Paint.Picture" shapeId="1213459" r:id="rId38"/>
      </mc:Fallback>
    </mc:AlternateContent>
    <mc:AlternateContent xmlns:mc="http://schemas.openxmlformats.org/markup-compatibility/2006">
      <mc:Choice Requires="x14">
        <oleObject progId="Paint.Picture" shapeId="1213460" r:id="rId40">
          <objectPr defaultSize="0" autoPict="0" altText="" r:id="rId41">
            <anchor moveWithCells="1">
              <from>
                <xdr:col>18</xdr:col>
                <xdr:colOff>19050</xdr:colOff>
                <xdr:row>15</xdr:row>
                <xdr:rowOff>142875</xdr:rowOff>
              </from>
              <to>
                <xdr:col>23</xdr:col>
                <xdr:colOff>95250</xdr:colOff>
                <xdr:row>24</xdr:row>
                <xdr:rowOff>28575</xdr:rowOff>
              </to>
            </anchor>
          </objectPr>
        </oleObject>
      </mc:Choice>
      <mc:Fallback>
        <oleObject progId="Paint.Picture" shapeId="1213460" r:id="rId40"/>
      </mc:Fallback>
    </mc:AlternateContent>
  </oleObjects>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E153"/>
  <sheetViews>
    <sheetView topLeftCell="A73" workbookViewId="0">
      <selection activeCell="X93" sqref="X93:Y97"/>
    </sheetView>
  </sheetViews>
  <sheetFormatPr defaultColWidth="8" defaultRowHeight="16.5"/>
  <cols>
    <col min="1" max="26" width="3.25" style="1441" customWidth="1"/>
    <col min="27" max="28" width="8" style="1441"/>
    <col min="29" max="29" width="8.25" style="1441" customWidth="1"/>
    <col min="30" max="16384" width="8" style="1441"/>
  </cols>
  <sheetData>
    <row r="2" spans="1:26" ht="20.25">
      <c r="A2" s="3807" t="s">
        <v>8167</v>
      </c>
      <c r="B2" s="3761"/>
      <c r="C2" s="3761"/>
      <c r="D2" s="3761"/>
      <c r="E2" s="3761"/>
      <c r="F2" s="3761"/>
      <c r="G2" s="3761"/>
      <c r="H2" s="3744" t="s">
        <v>8095</v>
      </c>
      <c r="I2" s="3744"/>
      <c r="J2" s="3744"/>
      <c r="K2" s="3744"/>
      <c r="L2" s="3744"/>
      <c r="M2" s="3744"/>
      <c r="N2" s="3744"/>
      <c r="O2" s="3744"/>
      <c r="P2" s="3744"/>
      <c r="Q2" s="3744"/>
      <c r="R2" s="3744"/>
      <c r="S2" s="3744"/>
      <c r="T2" s="3744"/>
      <c r="U2" s="3745" t="s">
        <v>8096</v>
      </c>
      <c r="V2" s="3745"/>
      <c r="W2" s="3745"/>
      <c r="X2" s="3745"/>
      <c r="Y2" s="3745"/>
      <c r="Z2" s="3746"/>
    </row>
    <row r="3" spans="1:26">
      <c r="A3" s="3808"/>
      <c r="B3" s="3747"/>
      <c r="C3" s="3747"/>
      <c r="D3" s="3747"/>
      <c r="E3" s="3747"/>
      <c r="F3" s="3747"/>
      <c r="G3" s="3747"/>
      <c r="H3" s="3747" t="s">
        <v>8202</v>
      </c>
      <c r="I3" s="3747"/>
      <c r="J3" s="3747"/>
      <c r="K3" s="3747"/>
      <c r="L3" s="3747"/>
      <c r="M3" s="3747"/>
      <c r="N3" s="3747"/>
      <c r="O3" s="3747"/>
      <c r="P3" s="3747"/>
      <c r="Q3" s="3747"/>
      <c r="R3" s="3747"/>
      <c r="S3" s="3747"/>
      <c r="T3" s="3747"/>
      <c r="U3" s="3748" t="s">
        <v>8203</v>
      </c>
      <c r="V3" s="3748"/>
      <c r="W3" s="3748"/>
      <c r="X3" s="3748" t="s">
        <v>8098</v>
      </c>
      <c r="Y3" s="3748"/>
      <c r="Z3" s="3749"/>
    </row>
    <row r="4" spans="1:26">
      <c r="A4" s="1747"/>
      <c r="B4" s="1748"/>
      <c r="C4" s="1748"/>
      <c r="D4" s="1748"/>
      <c r="E4" s="1748"/>
      <c r="F4" s="1748"/>
      <c r="G4" s="1748"/>
      <c r="H4" s="1748"/>
      <c r="I4" s="1748"/>
      <c r="J4" s="1748"/>
      <c r="K4" s="1748"/>
      <c r="L4" s="1748"/>
      <c r="M4" s="1748"/>
      <c r="N4" s="1748"/>
      <c r="O4" s="1748"/>
      <c r="P4" s="1748"/>
      <c r="Q4" s="1748"/>
      <c r="R4" s="1748"/>
      <c r="S4" s="1748"/>
      <c r="T4" s="1748"/>
      <c r="U4" s="1748"/>
      <c r="V4" s="1748"/>
      <c r="W4" s="1748"/>
      <c r="X4" s="1748"/>
      <c r="Y4" s="1748"/>
      <c r="Z4" s="1772"/>
    </row>
    <row r="5" spans="1:26">
      <c r="A5" s="3750" t="s">
        <v>8204</v>
      </c>
      <c r="B5" s="3751"/>
      <c r="C5" s="3751"/>
      <c r="D5" s="3751"/>
      <c r="E5" s="3751"/>
      <c r="F5" s="3751"/>
      <c r="G5" s="3751"/>
      <c r="H5" s="3751"/>
      <c r="I5" s="3751"/>
      <c r="J5" s="3751"/>
      <c r="K5" s="3751"/>
      <c r="L5" s="3751"/>
      <c r="M5" s="3751"/>
      <c r="N5" s="3751"/>
      <c r="O5" s="1766"/>
      <c r="P5" s="1766"/>
      <c r="Q5" s="1766"/>
      <c r="R5" s="1766"/>
      <c r="S5" s="1766"/>
      <c r="T5" s="1766"/>
      <c r="U5" s="1766"/>
      <c r="V5" s="1766"/>
      <c r="W5" s="1766"/>
      <c r="X5" s="1766"/>
      <c r="Y5" s="1766"/>
      <c r="Z5" s="1773"/>
    </row>
    <row r="6" spans="1:26">
      <c r="A6" s="3913" t="s">
        <v>8205</v>
      </c>
      <c r="B6" s="3914"/>
      <c r="C6" s="3914"/>
      <c r="D6" s="3914"/>
      <c r="E6" s="3914"/>
      <c r="F6" s="3914"/>
      <c r="G6" s="3914"/>
      <c r="H6" s="3914"/>
      <c r="I6" s="3914"/>
      <c r="J6" s="3914"/>
      <c r="K6" s="3914"/>
      <c r="L6" s="3914"/>
      <c r="M6" s="3914"/>
      <c r="N6" s="3914"/>
      <c r="O6" s="3914"/>
      <c r="P6" s="3914"/>
      <c r="Q6" s="3914"/>
      <c r="R6" s="3914"/>
      <c r="S6" s="3914"/>
      <c r="T6" s="3914"/>
      <c r="U6" s="3914"/>
      <c r="V6" s="3914"/>
      <c r="W6" s="3914"/>
      <c r="X6" s="3914"/>
      <c r="Y6" s="3914"/>
      <c r="Z6" s="3915"/>
    </row>
    <row r="7" spans="1:26">
      <c r="A7" s="3925"/>
      <c r="B7" s="3926"/>
      <c r="C7" s="3926"/>
      <c r="D7" s="3926"/>
      <c r="E7" s="3926"/>
      <c r="F7" s="3926"/>
      <c r="G7" s="3926"/>
      <c r="H7" s="3926"/>
      <c r="I7" s="3926"/>
      <c r="J7" s="3926"/>
      <c r="K7" s="3926"/>
      <c r="L7" s="3926"/>
      <c r="M7" s="3926"/>
      <c r="N7" s="3926"/>
      <c r="O7" s="3926"/>
      <c r="P7" s="3926"/>
      <c r="Q7" s="3926"/>
      <c r="R7" s="3926"/>
      <c r="S7" s="3926"/>
      <c r="T7" s="3926"/>
      <c r="U7" s="3926"/>
      <c r="V7" s="3926"/>
      <c r="W7" s="3926"/>
      <c r="X7" s="3926"/>
      <c r="Y7" s="3926"/>
      <c r="Z7" s="3927"/>
    </row>
    <row r="8" spans="1:26">
      <c r="A8" s="3925"/>
      <c r="B8" s="3926"/>
      <c r="C8" s="3926"/>
      <c r="D8" s="3926"/>
      <c r="E8" s="3926"/>
      <c r="F8" s="3926"/>
      <c r="G8" s="3926"/>
      <c r="H8" s="3926"/>
      <c r="I8" s="3926"/>
      <c r="J8" s="3926"/>
      <c r="K8" s="3926"/>
      <c r="L8" s="3926"/>
      <c r="M8" s="3926"/>
      <c r="N8" s="3926"/>
      <c r="O8" s="3926"/>
      <c r="P8" s="3926"/>
      <c r="Q8" s="3926"/>
      <c r="R8" s="3926"/>
      <c r="S8" s="3926"/>
      <c r="T8" s="3926"/>
      <c r="U8" s="3926"/>
      <c r="V8" s="3926"/>
      <c r="W8" s="3926"/>
      <c r="X8" s="3926"/>
      <c r="Y8" s="3926"/>
      <c r="Z8" s="3927"/>
    </row>
    <row r="9" spans="1:26">
      <c r="A9" s="3925"/>
      <c r="B9" s="3926"/>
      <c r="C9" s="3926"/>
      <c r="D9" s="3926"/>
      <c r="E9" s="3926"/>
      <c r="F9" s="3926"/>
      <c r="G9" s="3926"/>
      <c r="H9" s="3926"/>
      <c r="I9" s="3926"/>
      <c r="J9" s="3926"/>
      <c r="K9" s="3926"/>
      <c r="L9" s="3926"/>
      <c r="M9" s="3926"/>
      <c r="N9" s="3926"/>
      <c r="O9" s="3926"/>
      <c r="P9" s="3926"/>
      <c r="Q9" s="3926"/>
      <c r="R9" s="3926"/>
      <c r="S9" s="3926"/>
      <c r="T9" s="3926"/>
      <c r="U9" s="3926"/>
      <c r="V9" s="3926"/>
      <c r="W9" s="3926"/>
      <c r="X9" s="3926"/>
      <c r="Y9" s="3926"/>
      <c r="Z9" s="3927"/>
    </row>
    <row r="10" spans="1:26">
      <c r="A10" s="3925"/>
      <c r="B10" s="3926"/>
      <c r="C10" s="3926"/>
      <c r="D10" s="3926"/>
      <c r="E10" s="3926"/>
      <c r="F10" s="3926"/>
      <c r="G10" s="3926"/>
      <c r="H10" s="3926"/>
      <c r="I10" s="3926"/>
      <c r="J10" s="3926"/>
      <c r="K10" s="3926"/>
      <c r="L10" s="3926"/>
      <c r="M10" s="3926"/>
      <c r="N10" s="3926"/>
      <c r="O10" s="3926"/>
      <c r="P10" s="3926"/>
      <c r="Q10" s="3926"/>
      <c r="R10" s="3926"/>
      <c r="S10" s="3926"/>
      <c r="T10" s="3926"/>
      <c r="U10" s="3926"/>
      <c r="V10" s="3926"/>
      <c r="W10" s="3926"/>
      <c r="X10" s="3926"/>
      <c r="Y10" s="3926"/>
      <c r="Z10" s="3927"/>
    </row>
    <row r="11" spans="1:26">
      <c r="A11" s="3925"/>
      <c r="B11" s="3926"/>
      <c r="C11" s="3926"/>
      <c r="D11" s="3926"/>
      <c r="E11" s="3926"/>
      <c r="F11" s="3926"/>
      <c r="G11" s="3926"/>
      <c r="H11" s="3926"/>
      <c r="I11" s="3926"/>
      <c r="J11" s="3926"/>
      <c r="K11" s="3926"/>
      <c r="L11" s="3926"/>
      <c r="M11" s="3926"/>
      <c r="N11" s="3926"/>
      <c r="O11" s="3926"/>
      <c r="P11" s="3926"/>
      <c r="Q11" s="3926"/>
      <c r="R11" s="3926"/>
      <c r="S11" s="3926"/>
      <c r="T11" s="3926"/>
      <c r="U11" s="3926"/>
      <c r="V11" s="3926"/>
      <c r="W11" s="3926"/>
      <c r="X11" s="3926"/>
      <c r="Y11" s="3926"/>
      <c r="Z11" s="3927"/>
    </row>
    <row r="12" spans="1:26">
      <c r="A12" s="3925"/>
      <c r="B12" s="3926"/>
      <c r="C12" s="3926"/>
      <c r="D12" s="3926"/>
      <c r="E12" s="3926"/>
      <c r="F12" s="3926"/>
      <c r="G12" s="3926"/>
      <c r="H12" s="3926"/>
      <c r="I12" s="3926"/>
      <c r="J12" s="3926"/>
      <c r="K12" s="3926"/>
      <c r="L12" s="3926"/>
      <c r="M12" s="3926"/>
      <c r="N12" s="3926"/>
      <c r="O12" s="3926"/>
      <c r="P12" s="3926"/>
      <c r="Q12" s="3926"/>
      <c r="R12" s="3926"/>
      <c r="S12" s="3926"/>
      <c r="T12" s="3926"/>
      <c r="U12" s="3926"/>
      <c r="V12" s="3926"/>
      <c r="W12" s="3926"/>
      <c r="X12" s="3926"/>
      <c r="Y12" s="3926"/>
      <c r="Z12" s="3927"/>
    </row>
    <row r="13" spans="1:26">
      <c r="A13" s="3925"/>
      <c r="B13" s="3926"/>
      <c r="C13" s="3926"/>
      <c r="D13" s="3926"/>
      <c r="E13" s="3926"/>
      <c r="F13" s="3926"/>
      <c r="G13" s="3926"/>
      <c r="H13" s="3926"/>
      <c r="I13" s="3926"/>
      <c r="J13" s="3926"/>
      <c r="K13" s="3926"/>
      <c r="L13" s="3926"/>
      <c r="M13" s="3926"/>
      <c r="N13" s="3926"/>
      <c r="O13" s="3926"/>
      <c r="P13" s="3926"/>
      <c r="Q13" s="3926"/>
      <c r="R13" s="3926"/>
      <c r="S13" s="3926"/>
      <c r="T13" s="3926"/>
      <c r="U13" s="3926"/>
      <c r="V13" s="3926"/>
      <c r="W13" s="3926"/>
      <c r="X13" s="3926"/>
      <c r="Y13" s="3926"/>
      <c r="Z13" s="3927"/>
    </row>
    <row r="14" spans="1:26">
      <c r="A14" s="3925"/>
      <c r="B14" s="3926"/>
      <c r="C14" s="3926"/>
      <c r="D14" s="3926"/>
      <c r="E14" s="3926"/>
      <c r="F14" s="3926"/>
      <c r="G14" s="3926"/>
      <c r="H14" s="3926"/>
      <c r="I14" s="3926"/>
      <c r="J14" s="3926"/>
      <c r="K14" s="3926"/>
      <c r="L14" s="3926"/>
      <c r="M14" s="3926"/>
      <c r="N14" s="3926"/>
      <c r="O14" s="3926"/>
      <c r="P14" s="3926"/>
      <c r="Q14" s="3926"/>
      <c r="R14" s="3926"/>
      <c r="S14" s="3926"/>
      <c r="T14" s="3926"/>
      <c r="U14" s="3926"/>
      <c r="V14" s="3926"/>
      <c r="W14" s="3926"/>
      <c r="X14" s="3926"/>
      <c r="Y14" s="3926"/>
      <c r="Z14" s="3927"/>
    </row>
    <row r="15" spans="1:26" ht="17.25" thickBot="1">
      <c r="A15" s="3925"/>
      <c r="B15" s="3926"/>
      <c r="C15" s="3926"/>
      <c r="D15" s="3926"/>
      <c r="E15" s="3926"/>
      <c r="F15" s="3926"/>
      <c r="G15" s="3926"/>
      <c r="H15" s="3926"/>
      <c r="I15" s="3926"/>
      <c r="J15" s="3926"/>
      <c r="K15" s="3926"/>
      <c r="L15" s="3926"/>
      <c r="M15" s="3926"/>
      <c r="N15" s="3926"/>
      <c r="O15" s="3926"/>
      <c r="P15" s="3926"/>
      <c r="Q15" s="3926"/>
      <c r="R15" s="3926"/>
      <c r="S15" s="3926"/>
      <c r="T15" s="3926"/>
      <c r="U15" s="3926"/>
      <c r="V15" s="3926"/>
      <c r="W15" s="3926"/>
      <c r="X15" s="3926"/>
      <c r="Y15" s="3926"/>
      <c r="Z15" s="3927"/>
    </row>
    <row r="16" spans="1:26">
      <c r="A16" s="1749"/>
      <c r="B16" s="1137"/>
      <c r="C16" s="1137"/>
      <c r="D16" s="1137"/>
      <c r="E16" s="1137"/>
      <c r="F16" s="1137"/>
      <c r="G16" s="1137"/>
      <c r="H16" s="1137"/>
      <c r="I16" s="1137"/>
      <c r="J16" s="1137"/>
      <c r="K16" s="1137"/>
      <c r="L16" s="1137"/>
      <c r="M16" s="1137"/>
      <c r="N16" s="1137"/>
      <c r="O16" s="1137"/>
      <c r="P16" s="1137"/>
      <c r="Q16" s="1137"/>
      <c r="R16" s="1137"/>
      <c r="S16" s="1137"/>
      <c r="T16" s="1137"/>
      <c r="U16" s="1137"/>
      <c r="V16" s="1137"/>
      <c r="W16" s="1137"/>
      <c r="X16" s="3919" t="s">
        <v>12714</v>
      </c>
      <c r="Y16" s="3920"/>
      <c r="Z16" s="1774"/>
    </row>
    <row r="17" spans="1:26">
      <c r="A17" s="1749"/>
      <c r="B17" s="1137"/>
      <c r="C17" s="1137"/>
      <c r="D17" s="1137"/>
      <c r="E17" s="1137"/>
      <c r="F17" s="1137"/>
      <c r="G17" s="1137"/>
      <c r="H17" s="1137"/>
      <c r="I17" s="1137"/>
      <c r="J17" s="1137"/>
      <c r="K17" s="1137"/>
      <c r="L17" s="1137"/>
      <c r="M17" s="1137"/>
      <c r="N17" s="1137"/>
      <c r="O17" s="1137"/>
      <c r="P17" s="1137"/>
      <c r="Q17" s="1137"/>
      <c r="R17" s="1137"/>
      <c r="S17" s="1137"/>
      <c r="T17" s="1137"/>
      <c r="U17" s="1137"/>
      <c r="V17" s="1137"/>
      <c r="W17" s="1137"/>
      <c r="X17" s="3921"/>
      <c r="Y17" s="3922"/>
      <c r="Z17" s="1774"/>
    </row>
    <row r="18" spans="1:26">
      <c r="A18" s="1749"/>
      <c r="B18" s="1137"/>
      <c r="C18" s="1137"/>
      <c r="D18" s="1137"/>
      <c r="E18" s="1137"/>
      <c r="F18" s="1137"/>
      <c r="G18" s="1137"/>
      <c r="H18" s="1137"/>
      <c r="I18" s="1137"/>
      <c r="J18" s="1137"/>
      <c r="K18" s="1137"/>
      <c r="L18" s="1137"/>
      <c r="M18" s="1137"/>
      <c r="N18" s="1137"/>
      <c r="O18" s="1137"/>
      <c r="P18" s="1137"/>
      <c r="Q18" s="1137"/>
      <c r="R18" s="1137"/>
      <c r="S18" s="1137"/>
      <c r="T18" s="1137"/>
      <c r="U18" s="1137"/>
      <c r="V18" s="1137"/>
      <c r="W18" s="1137"/>
      <c r="X18" s="3921"/>
      <c r="Y18" s="3922"/>
      <c r="Z18" s="1774"/>
    </row>
    <row r="19" spans="1:26">
      <c r="A19" s="1749"/>
      <c r="B19" s="1137"/>
      <c r="C19" s="1137"/>
      <c r="D19" s="1137"/>
      <c r="E19" s="1137"/>
      <c r="F19" s="1137"/>
      <c r="G19" s="1137"/>
      <c r="H19" s="1137"/>
      <c r="I19" s="1137"/>
      <c r="J19" s="1137"/>
      <c r="K19" s="1137"/>
      <c r="L19" s="1137"/>
      <c r="M19" s="1137"/>
      <c r="N19" s="1137"/>
      <c r="O19" s="1137"/>
      <c r="P19" s="1137"/>
      <c r="Q19" s="1137"/>
      <c r="R19" s="1137"/>
      <c r="S19" s="1137"/>
      <c r="T19" s="1137"/>
      <c r="U19" s="1137"/>
      <c r="V19" s="1137"/>
      <c r="W19" s="1137"/>
      <c r="X19" s="3921"/>
      <c r="Y19" s="3922"/>
      <c r="Z19" s="1774"/>
    </row>
    <row r="20" spans="1:26" ht="17.25" thickBot="1">
      <c r="A20" s="1749"/>
      <c r="B20" s="1137"/>
      <c r="C20" s="1137"/>
      <c r="D20" s="1137"/>
      <c r="E20" s="1137"/>
      <c r="F20" s="1137"/>
      <c r="G20" s="1137"/>
      <c r="H20" s="1137"/>
      <c r="I20" s="1137"/>
      <c r="J20" s="1137"/>
      <c r="K20" s="1137"/>
      <c r="L20" s="1137"/>
      <c r="M20" s="1137"/>
      <c r="N20" s="1137"/>
      <c r="O20" s="1137"/>
      <c r="P20" s="1137"/>
      <c r="Q20" s="1137"/>
      <c r="R20" s="1137"/>
      <c r="S20" s="1137"/>
      <c r="T20" s="1137"/>
      <c r="U20" s="1137"/>
      <c r="V20" s="1137"/>
      <c r="W20" s="1137"/>
      <c r="X20" s="3923"/>
      <c r="Y20" s="3924"/>
      <c r="Z20" s="1774"/>
    </row>
    <row r="21" spans="1:26">
      <c r="A21" s="1750"/>
      <c r="B21" s="1751"/>
      <c r="C21" s="1752"/>
      <c r="D21" s="1752"/>
      <c r="E21" s="1752"/>
      <c r="F21" s="1752"/>
      <c r="G21" s="3916" t="s">
        <v>8206</v>
      </c>
      <c r="H21" s="3754"/>
      <c r="I21" s="3754"/>
      <c r="J21" s="3754"/>
      <c r="K21" s="3754"/>
      <c r="L21" s="3754"/>
      <c r="M21" s="3754"/>
      <c r="N21" s="3754"/>
      <c r="O21" s="3754"/>
      <c r="P21" s="3754"/>
      <c r="Q21" s="3754"/>
      <c r="R21" s="3754"/>
      <c r="S21" s="1752"/>
      <c r="T21" s="1752"/>
      <c r="U21" s="1752"/>
      <c r="V21" s="1752"/>
      <c r="W21" s="1752"/>
      <c r="X21" s="1752"/>
      <c r="Y21" s="1752"/>
      <c r="Z21" s="1775"/>
    </row>
    <row r="22" spans="1:26">
      <c r="A22" s="1750"/>
      <c r="B22" s="1751"/>
      <c r="C22" s="1752"/>
      <c r="D22" s="1752"/>
      <c r="E22" s="1752"/>
      <c r="F22" s="1752"/>
      <c r="G22" s="1752"/>
      <c r="H22" s="1755"/>
      <c r="I22" s="1760"/>
      <c r="J22" s="1760"/>
      <c r="K22" s="1760"/>
      <c r="L22" s="1760"/>
      <c r="M22" s="1760"/>
      <c r="N22" s="1760"/>
      <c r="O22" s="1760"/>
      <c r="P22" s="1760"/>
      <c r="Q22" s="1760"/>
      <c r="R22" s="1760"/>
      <c r="S22" s="1760"/>
      <c r="T22" s="1760"/>
      <c r="U22" s="1760"/>
      <c r="V22" s="1760"/>
      <c r="W22" s="3917"/>
      <c r="X22" s="3917"/>
      <c r="Y22" s="3917"/>
      <c r="Z22" s="3918"/>
    </row>
    <row r="23" spans="1:26">
      <c r="A23" s="3851" t="s">
        <v>8207</v>
      </c>
      <c r="B23" s="3852"/>
      <c r="C23" s="3852"/>
      <c r="D23" s="3852"/>
      <c r="E23" s="3852"/>
      <c r="F23" s="3852"/>
      <c r="G23" s="3852"/>
      <c r="H23" s="3852"/>
      <c r="I23" s="3852"/>
      <c r="J23" s="3852"/>
      <c r="K23" s="3852"/>
      <c r="L23" s="3852"/>
      <c r="M23" s="3852"/>
      <c r="N23" s="3852"/>
      <c r="O23" s="3852"/>
      <c r="P23" s="3852"/>
      <c r="Q23" s="3852"/>
      <c r="R23" s="3852"/>
      <c r="S23" s="3852"/>
      <c r="T23" s="3852"/>
      <c r="U23" s="3928" t="s">
        <v>8208</v>
      </c>
      <c r="V23" s="3928"/>
      <c r="W23" s="3928"/>
      <c r="X23" s="3928"/>
      <c r="Y23" s="3928"/>
      <c r="Z23" s="3898"/>
    </row>
    <row r="24" spans="1:26">
      <c r="A24" s="3929" t="s">
        <v>5928</v>
      </c>
      <c r="B24" s="3930"/>
      <c r="C24" s="3770" t="s">
        <v>7453</v>
      </c>
      <c r="D24" s="3770"/>
      <c r="E24" s="3770"/>
      <c r="F24" s="3770"/>
      <c r="G24" s="3770" t="s">
        <v>5930</v>
      </c>
      <c r="H24" s="3770"/>
      <c r="I24" s="3770"/>
      <c r="J24" s="3770"/>
      <c r="K24" s="3931" t="s">
        <v>6556</v>
      </c>
      <c r="L24" s="3931"/>
      <c r="M24" s="3931"/>
      <c r="N24" s="3931"/>
      <c r="O24" s="3931" t="s">
        <v>5931</v>
      </c>
      <c r="P24" s="3931"/>
      <c r="Q24" s="3931" t="s">
        <v>5932</v>
      </c>
      <c r="R24" s="3931"/>
      <c r="S24" s="3931" t="s">
        <v>5933</v>
      </c>
      <c r="T24" s="3931"/>
      <c r="U24" s="3931" t="s">
        <v>6565</v>
      </c>
      <c r="V24" s="3931"/>
      <c r="W24" s="3931" t="s">
        <v>6346</v>
      </c>
      <c r="X24" s="3931"/>
      <c r="Y24" s="3931" t="s">
        <v>6163</v>
      </c>
      <c r="Z24" s="3932"/>
    </row>
    <row r="25" spans="1:26">
      <c r="A25" s="3991" t="s">
        <v>8209</v>
      </c>
      <c r="B25" s="3992"/>
      <c r="C25" s="3837" t="s">
        <v>8210</v>
      </c>
      <c r="D25" s="3837"/>
      <c r="E25" s="3837" t="s">
        <v>8211</v>
      </c>
      <c r="F25" s="3837"/>
      <c r="G25" s="3837" t="s">
        <v>8210</v>
      </c>
      <c r="H25" s="3837"/>
      <c r="I25" s="3837" t="s">
        <v>8211</v>
      </c>
      <c r="J25" s="3837"/>
      <c r="K25" s="3837" t="s">
        <v>8210</v>
      </c>
      <c r="L25" s="3837"/>
      <c r="M25" s="3837" t="s">
        <v>8211</v>
      </c>
      <c r="N25" s="3837"/>
      <c r="O25" s="3837" t="s">
        <v>8211</v>
      </c>
      <c r="P25" s="3837"/>
      <c r="Q25" s="3837" t="s">
        <v>8211</v>
      </c>
      <c r="R25" s="3837"/>
      <c r="S25" s="3837" t="s">
        <v>8211</v>
      </c>
      <c r="T25" s="3837"/>
      <c r="U25" s="3837" t="s">
        <v>8212</v>
      </c>
      <c r="V25" s="3837"/>
      <c r="W25" s="3837" t="s">
        <v>8211</v>
      </c>
      <c r="X25" s="3837"/>
      <c r="Y25" s="3837" t="s">
        <v>8211</v>
      </c>
      <c r="Z25" s="3850"/>
    </row>
    <row r="26" spans="1:26">
      <c r="A26" s="3993"/>
      <c r="B26" s="3994"/>
      <c r="C26" s="3837"/>
      <c r="D26" s="3837"/>
      <c r="E26" s="3837"/>
      <c r="F26" s="3837"/>
      <c r="G26" s="3837"/>
      <c r="H26" s="3837"/>
      <c r="I26" s="3837"/>
      <c r="J26" s="3837"/>
      <c r="K26" s="3837"/>
      <c r="L26" s="3837"/>
      <c r="M26" s="3837"/>
      <c r="N26" s="3837"/>
      <c r="O26" s="3837"/>
      <c r="P26" s="3837"/>
      <c r="Q26" s="3837"/>
      <c r="R26" s="3837"/>
      <c r="S26" s="3837"/>
      <c r="T26" s="3837"/>
      <c r="U26" s="3837"/>
      <c r="V26" s="3837"/>
      <c r="W26" s="3837"/>
      <c r="X26" s="3837"/>
      <c r="Y26" s="3837"/>
      <c r="Z26" s="3850"/>
    </row>
    <row r="27" spans="1:26">
      <c r="A27" s="3893">
        <v>5</v>
      </c>
      <c r="B27" s="3849"/>
      <c r="C27" s="3783">
        <v>10</v>
      </c>
      <c r="D27" s="3783"/>
      <c r="E27" s="3783">
        <v>11</v>
      </c>
      <c r="F27" s="3783"/>
      <c r="G27" s="3783">
        <v>3.5</v>
      </c>
      <c r="H27" s="3783"/>
      <c r="I27" s="3783">
        <v>4.5</v>
      </c>
      <c r="J27" s="3783"/>
      <c r="K27" s="3783">
        <v>8</v>
      </c>
      <c r="L27" s="3783"/>
      <c r="M27" s="3783">
        <v>10</v>
      </c>
      <c r="N27" s="3783"/>
      <c r="O27" s="3764">
        <v>1</v>
      </c>
      <c r="P27" s="3764"/>
      <c r="Q27" s="3764">
        <v>0.6</v>
      </c>
      <c r="R27" s="3764"/>
      <c r="S27" s="3764">
        <v>1</v>
      </c>
      <c r="T27" s="3764"/>
      <c r="U27" s="3764" t="s">
        <v>8175</v>
      </c>
      <c r="V27" s="3764"/>
      <c r="W27" s="3764">
        <v>9</v>
      </c>
      <c r="X27" s="3764"/>
      <c r="Y27" s="3764">
        <v>3</v>
      </c>
      <c r="Z27" s="3853"/>
    </row>
    <row r="28" spans="1:26">
      <c r="A28" s="3893">
        <v>6</v>
      </c>
      <c r="B28" s="3849"/>
      <c r="C28" s="3849">
        <v>11</v>
      </c>
      <c r="D28" s="3849"/>
      <c r="E28" s="3849">
        <v>12.5</v>
      </c>
      <c r="F28" s="3849"/>
      <c r="G28" s="3849">
        <v>5</v>
      </c>
      <c r="H28" s="3849"/>
      <c r="I28" s="3849">
        <v>6</v>
      </c>
      <c r="J28" s="3849"/>
      <c r="K28" s="3849">
        <v>11</v>
      </c>
      <c r="L28" s="3849"/>
      <c r="M28" s="3849">
        <v>13</v>
      </c>
      <c r="N28" s="3849"/>
      <c r="O28" s="3764"/>
      <c r="P28" s="3764"/>
      <c r="Q28" s="3764"/>
      <c r="R28" s="3764"/>
      <c r="S28" s="3764"/>
      <c r="T28" s="3764"/>
      <c r="U28" s="3764" t="s">
        <v>8176</v>
      </c>
      <c r="V28" s="3764"/>
      <c r="W28" s="3764">
        <v>10</v>
      </c>
      <c r="X28" s="3764"/>
      <c r="Y28" s="3764">
        <v>4</v>
      </c>
      <c r="Z28" s="3853"/>
    </row>
    <row r="29" spans="1:26">
      <c r="A29" s="3893">
        <v>8</v>
      </c>
      <c r="B29" s="3849"/>
      <c r="C29" s="3849">
        <v>14.5</v>
      </c>
      <c r="D29" s="3849"/>
      <c r="E29" s="3849">
        <v>16</v>
      </c>
      <c r="F29" s="3849"/>
      <c r="G29" s="3849">
        <v>7</v>
      </c>
      <c r="H29" s="3849"/>
      <c r="I29" s="3849">
        <v>8</v>
      </c>
      <c r="J29" s="3849"/>
      <c r="K29" s="3849">
        <v>15</v>
      </c>
      <c r="L29" s="3849"/>
      <c r="M29" s="3849">
        <v>18</v>
      </c>
      <c r="N29" s="3849"/>
      <c r="O29" s="3764"/>
      <c r="P29" s="3764"/>
      <c r="Q29" s="3764"/>
      <c r="R29" s="3764"/>
      <c r="S29" s="3764"/>
      <c r="T29" s="3764"/>
      <c r="U29" s="3764" t="s">
        <v>8177</v>
      </c>
      <c r="V29" s="3764"/>
      <c r="W29" s="3764">
        <v>13</v>
      </c>
      <c r="X29" s="3764"/>
      <c r="Y29" s="3764">
        <v>6</v>
      </c>
      <c r="Z29" s="3853"/>
    </row>
    <row r="30" spans="1:26">
      <c r="A30" s="3893">
        <v>10</v>
      </c>
      <c r="B30" s="3849"/>
      <c r="C30" s="3849">
        <v>16</v>
      </c>
      <c r="D30" s="3849"/>
      <c r="E30" s="3849">
        <v>18</v>
      </c>
      <c r="F30" s="3849"/>
      <c r="G30" s="3849">
        <v>7</v>
      </c>
      <c r="H30" s="3849"/>
      <c r="I30" s="3849">
        <v>8</v>
      </c>
      <c r="J30" s="3849"/>
      <c r="K30" s="3849">
        <v>17</v>
      </c>
      <c r="L30" s="3849"/>
      <c r="M30" s="3849">
        <v>21</v>
      </c>
      <c r="N30" s="3849"/>
      <c r="O30" s="3764"/>
      <c r="P30" s="3764"/>
      <c r="Q30" s="3764"/>
      <c r="R30" s="3764"/>
      <c r="S30" s="3764"/>
      <c r="T30" s="3764"/>
      <c r="U30" s="3764" t="s">
        <v>8178</v>
      </c>
      <c r="V30" s="3764"/>
      <c r="W30" s="3764">
        <v>15</v>
      </c>
      <c r="X30" s="3764"/>
      <c r="Y30" s="3764">
        <v>6</v>
      </c>
      <c r="Z30" s="3853"/>
    </row>
    <row r="31" spans="1:26">
      <c r="A31" s="3893">
        <v>12</v>
      </c>
      <c r="B31" s="3849"/>
      <c r="C31" s="3849">
        <v>19</v>
      </c>
      <c r="D31" s="3849"/>
      <c r="E31" s="3849">
        <v>21</v>
      </c>
      <c r="F31" s="3849"/>
      <c r="G31" s="3849">
        <v>8</v>
      </c>
      <c r="H31" s="3849"/>
      <c r="I31" s="3849">
        <v>9</v>
      </c>
      <c r="J31" s="3849"/>
      <c r="K31" s="3849">
        <v>20</v>
      </c>
      <c r="L31" s="3849"/>
      <c r="M31" s="3849">
        <v>25</v>
      </c>
      <c r="N31" s="3849"/>
      <c r="O31" s="3764"/>
      <c r="P31" s="3764"/>
      <c r="Q31" s="3764"/>
      <c r="R31" s="3764"/>
      <c r="S31" s="3764"/>
      <c r="T31" s="3764"/>
      <c r="U31" s="3764" t="s">
        <v>8179</v>
      </c>
      <c r="V31" s="3764"/>
      <c r="W31" s="3764">
        <v>18</v>
      </c>
      <c r="X31" s="3764"/>
      <c r="Y31" s="3764">
        <v>7</v>
      </c>
      <c r="Z31" s="3853"/>
    </row>
    <row r="32" spans="1:26">
      <c r="A32" s="3893">
        <v>14</v>
      </c>
      <c r="B32" s="3849"/>
      <c r="C32" s="3849">
        <v>23</v>
      </c>
      <c r="D32" s="3849"/>
      <c r="E32" s="3849">
        <v>25</v>
      </c>
      <c r="F32" s="3849"/>
      <c r="G32" s="3849">
        <v>9</v>
      </c>
      <c r="H32" s="3849"/>
      <c r="I32" s="3849">
        <v>11</v>
      </c>
      <c r="J32" s="3849"/>
      <c r="K32" s="3849">
        <v>23</v>
      </c>
      <c r="L32" s="3849"/>
      <c r="M32" s="3849">
        <v>28</v>
      </c>
      <c r="N32" s="3849"/>
      <c r="O32" s="3764">
        <v>1.6</v>
      </c>
      <c r="P32" s="3764"/>
      <c r="Q32" s="3764"/>
      <c r="R32" s="3764"/>
      <c r="S32" s="3764">
        <v>1.6</v>
      </c>
      <c r="T32" s="3764"/>
      <c r="U32" s="3764" t="s">
        <v>8180</v>
      </c>
      <c r="V32" s="3764"/>
      <c r="W32" s="3764">
        <v>22</v>
      </c>
      <c r="X32" s="3764"/>
      <c r="Y32" s="3764">
        <v>8</v>
      </c>
      <c r="Z32" s="3853"/>
    </row>
    <row r="33" spans="1:26">
      <c r="A33" s="3893">
        <v>18</v>
      </c>
      <c r="B33" s="3849"/>
      <c r="C33" s="3849">
        <v>30</v>
      </c>
      <c r="D33" s="3849"/>
      <c r="E33" s="3849">
        <v>32</v>
      </c>
      <c r="F33" s="3849"/>
      <c r="G33" s="3849">
        <v>12</v>
      </c>
      <c r="H33" s="3849"/>
      <c r="I33" s="3849">
        <v>14</v>
      </c>
      <c r="J33" s="3849"/>
      <c r="K33" s="3849">
        <v>30</v>
      </c>
      <c r="L33" s="3849"/>
      <c r="M33" s="3849">
        <v>36</v>
      </c>
      <c r="N33" s="3849"/>
      <c r="O33" s="3764"/>
      <c r="P33" s="3764"/>
      <c r="Q33" s="3764">
        <v>1</v>
      </c>
      <c r="R33" s="3764"/>
      <c r="S33" s="3764"/>
      <c r="T33" s="3764"/>
      <c r="U33" s="3764" t="s">
        <v>8182</v>
      </c>
      <c r="V33" s="3764"/>
      <c r="W33" s="3764">
        <v>28</v>
      </c>
      <c r="X33" s="3764"/>
      <c r="Y33" s="3764">
        <v>10</v>
      </c>
      <c r="Z33" s="3853"/>
    </row>
    <row r="34" spans="1:26">
      <c r="A34" s="3893">
        <v>22</v>
      </c>
      <c r="B34" s="3849"/>
      <c r="C34" s="3849">
        <v>37</v>
      </c>
      <c r="D34" s="3849"/>
      <c r="E34" s="3849">
        <v>40</v>
      </c>
      <c r="F34" s="3849"/>
      <c r="G34" s="3849">
        <v>16</v>
      </c>
      <c r="H34" s="3849"/>
      <c r="I34" s="3849">
        <v>18</v>
      </c>
      <c r="J34" s="3849"/>
      <c r="K34" s="3849">
        <v>38</v>
      </c>
      <c r="L34" s="3849"/>
      <c r="M34" s="3849">
        <v>45</v>
      </c>
      <c r="N34" s="3849"/>
      <c r="O34" s="3764"/>
      <c r="P34" s="3764"/>
      <c r="Q34" s="3764"/>
      <c r="R34" s="3764"/>
      <c r="S34" s="3764">
        <v>2.5</v>
      </c>
      <c r="T34" s="3764"/>
      <c r="U34" s="3764" t="s">
        <v>8184</v>
      </c>
      <c r="V34" s="3764"/>
      <c r="W34" s="3764">
        <v>34</v>
      </c>
      <c r="X34" s="3764"/>
      <c r="Y34" s="3764">
        <v>14</v>
      </c>
      <c r="Z34" s="3853"/>
    </row>
    <row r="35" spans="1:26">
      <c r="A35" s="3893">
        <v>28</v>
      </c>
      <c r="B35" s="3849"/>
      <c r="C35" s="3849">
        <v>46</v>
      </c>
      <c r="D35" s="3849"/>
      <c r="E35" s="3849">
        <v>50</v>
      </c>
      <c r="F35" s="3849"/>
      <c r="G35" s="3849">
        <v>20</v>
      </c>
      <c r="H35" s="3849"/>
      <c r="I35" s="3849">
        <v>22</v>
      </c>
      <c r="J35" s="3849"/>
      <c r="K35" s="3849">
        <v>48</v>
      </c>
      <c r="L35" s="3849"/>
      <c r="M35" s="3849">
        <v>56</v>
      </c>
      <c r="N35" s="3849"/>
      <c r="O35" s="3764"/>
      <c r="P35" s="3764"/>
      <c r="Q35" s="3764"/>
      <c r="R35" s="3764"/>
      <c r="S35" s="3764"/>
      <c r="T35" s="3764"/>
      <c r="U35" s="3764" t="s">
        <v>8186</v>
      </c>
      <c r="V35" s="3764"/>
      <c r="W35" s="3764">
        <v>43</v>
      </c>
      <c r="X35" s="3764"/>
      <c r="Y35" s="3764">
        <v>18</v>
      </c>
      <c r="Z35" s="3853"/>
    </row>
    <row r="36" spans="1:26">
      <c r="A36" s="3893">
        <v>36</v>
      </c>
      <c r="B36" s="3849"/>
      <c r="C36" s="3849">
        <v>56</v>
      </c>
      <c r="D36" s="3849"/>
      <c r="E36" s="3849">
        <v>60</v>
      </c>
      <c r="F36" s="3849"/>
      <c r="G36" s="3849">
        <v>25</v>
      </c>
      <c r="H36" s="3849"/>
      <c r="I36" s="3849">
        <v>28</v>
      </c>
      <c r="J36" s="3849"/>
      <c r="K36" s="3849">
        <v>61</v>
      </c>
      <c r="L36" s="3849"/>
      <c r="M36" s="3849">
        <v>71</v>
      </c>
      <c r="N36" s="3849"/>
      <c r="O36" s="3764">
        <v>2.5</v>
      </c>
      <c r="P36" s="3764"/>
      <c r="Q36" s="3764"/>
      <c r="R36" s="3764"/>
      <c r="S36" s="3764"/>
      <c r="T36" s="3764"/>
      <c r="U36" s="3764" t="s">
        <v>8188</v>
      </c>
      <c r="V36" s="3764"/>
      <c r="W36" s="3764">
        <v>53</v>
      </c>
      <c r="X36" s="3764"/>
      <c r="Y36" s="3764">
        <v>23</v>
      </c>
      <c r="Z36" s="3853"/>
    </row>
    <row r="37" spans="1:26">
      <c r="A37" s="3893">
        <v>42</v>
      </c>
      <c r="B37" s="3849"/>
      <c r="C37" s="3849">
        <v>68</v>
      </c>
      <c r="D37" s="3849"/>
      <c r="E37" s="3849">
        <v>72</v>
      </c>
      <c r="F37" s="3849"/>
      <c r="G37" s="3849">
        <v>32</v>
      </c>
      <c r="H37" s="3849"/>
      <c r="I37" s="3849">
        <v>36</v>
      </c>
      <c r="J37" s="3849"/>
      <c r="K37" s="3849">
        <v>74</v>
      </c>
      <c r="L37" s="3849"/>
      <c r="M37" s="3849">
        <v>85</v>
      </c>
      <c r="N37" s="3849"/>
      <c r="O37" s="3764"/>
      <c r="P37" s="3764"/>
      <c r="Q37" s="3764">
        <v>1.6</v>
      </c>
      <c r="R37" s="3764"/>
      <c r="S37" s="3764">
        <v>4</v>
      </c>
      <c r="T37" s="3764"/>
      <c r="U37" s="3764" t="s">
        <v>8189</v>
      </c>
      <c r="V37" s="3764"/>
      <c r="W37" s="3764">
        <v>64</v>
      </c>
      <c r="X37" s="3764"/>
      <c r="Y37" s="3764">
        <v>28</v>
      </c>
      <c r="Z37" s="3853"/>
    </row>
    <row r="38" spans="1:26">
      <c r="A38" s="3893">
        <v>48</v>
      </c>
      <c r="B38" s="3849"/>
      <c r="C38" s="3849">
        <v>80</v>
      </c>
      <c r="D38" s="3849"/>
      <c r="E38" s="3849">
        <v>85</v>
      </c>
      <c r="F38" s="3849"/>
      <c r="G38" s="3849">
        <v>36</v>
      </c>
      <c r="H38" s="3849"/>
      <c r="I38" s="3849">
        <v>40</v>
      </c>
      <c r="J38" s="3849"/>
      <c r="K38" s="3849">
        <v>84</v>
      </c>
      <c r="L38" s="3849"/>
      <c r="M38" s="3849">
        <v>95</v>
      </c>
      <c r="N38" s="3849"/>
      <c r="O38" s="3764"/>
      <c r="P38" s="3764"/>
      <c r="Q38" s="3764">
        <v>2</v>
      </c>
      <c r="R38" s="3764"/>
      <c r="S38" s="3764">
        <v>6</v>
      </c>
      <c r="T38" s="3764"/>
      <c r="U38" s="3764" t="s">
        <v>812</v>
      </c>
      <c r="V38" s="3764"/>
      <c r="W38" s="3764">
        <v>75</v>
      </c>
      <c r="X38" s="3764"/>
      <c r="Y38" s="3764">
        <v>32</v>
      </c>
      <c r="Z38" s="3853"/>
    </row>
    <row r="39" spans="1:26">
      <c r="A39" s="3894">
        <v>54</v>
      </c>
      <c r="B39" s="3895"/>
      <c r="C39" s="3895">
        <v>90</v>
      </c>
      <c r="D39" s="3895"/>
      <c r="E39" s="3895">
        <v>95</v>
      </c>
      <c r="F39" s="3895"/>
      <c r="G39" s="3895">
        <v>40</v>
      </c>
      <c r="H39" s="3895"/>
      <c r="I39" s="3895">
        <v>44</v>
      </c>
      <c r="J39" s="3895"/>
      <c r="K39" s="3895">
        <v>94</v>
      </c>
      <c r="L39" s="3895"/>
      <c r="M39" s="3895">
        <v>106</v>
      </c>
      <c r="N39" s="3895"/>
      <c r="O39" s="3873"/>
      <c r="P39" s="3873"/>
      <c r="Q39" s="3873"/>
      <c r="R39" s="3873"/>
      <c r="S39" s="3873"/>
      <c r="T39" s="3873"/>
      <c r="U39" s="3873" t="s">
        <v>8190</v>
      </c>
      <c r="V39" s="3873"/>
      <c r="W39" s="3873">
        <v>85</v>
      </c>
      <c r="X39" s="3873"/>
      <c r="Y39" s="3873">
        <v>36</v>
      </c>
      <c r="Z39" s="3874"/>
    </row>
    <row r="40" spans="1:26">
      <c r="A40" s="1758"/>
      <c r="B40" s="1759"/>
      <c r="C40" s="1752"/>
      <c r="D40" s="1752"/>
      <c r="E40" s="1752"/>
      <c r="F40" s="1752"/>
      <c r="G40" s="1752"/>
      <c r="H40" s="1755"/>
      <c r="I40" s="1760"/>
      <c r="J40" s="1760"/>
      <c r="K40" s="1760"/>
      <c r="L40" s="1760"/>
      <c r="M40" s="1760"/>
      <c r="N40" s="1760"/>
      <c r="O40" s="1760"/>
      <c r="P40" s="1760"/>
      <c r="Q40" s="1760"/>
      <c r="R40" s="1760"/>
      <c r="S40" s="1760"/>
      <c r="T40" s="1760"/>
      <c r="U40" s="1760"/>
      <c r="V40" s="1760"/>
      <c r="W40" s="1760"/>
      <c r="X40" s="1760"/>
      <c r="Y40" s="1760"/>
      <c r="Z40" s="1778"/>
    </row>
    <row r="41" spans="1:26">
      <c r="A41" s="1758"/>
      <c r="B41" s="1759"/>
      <c r="C41" s="1752"/>
      <c r="D41" s="1752"/>
      <c r="E41" s="1752"/>
      <c r="F41" s="1752"/>
      <c r="G41" s="1752"/>
      <c r="H41" s="1755"/>
      <c r="I41" s="1760"/>
      <c r="J41" s="1760"/>
      <c r="K41" s="1760"/>
      <c r="L41" s="1760"/>
      <c r="M41" s="1760"/>
      <c r="N41" s="1760"/>
      <c r="O41" s="1760"/>
      <c r="P41" s="1760"/>
      <c r="Q41" s="1760"/>
      <c r="R41" s="1760"/>
      <c r="S41" s="1760"/>
      <c r="T41" s="1760"/>
      <c r="U41" s="1760"/>
      <c r="V41" s="1760"/>
      <c r="W41" s="1760"/>
      <c r="X41" s="1760"/>
      <c r="Y41" s="1760"/>
      <c r="Z41" s="1778"/>
    </row>
    <row r="42" spans="1:26">
      <c r="A42" s="1758"/>
      <c r="B42" s="1759"/>
      <c r="C42" s="1752"/>
      <c r="D42" s="1752"/>
      <c r="E42" s="1752"/>
      <c r="F42" s="1752"/>
      <c r="G42" s="1752"/>
      <c r="H42" s="1760"/>
      <c r="I42" s="1752"/>
      <c r="J42" s="1752"/>
      <c r="K42" s="1752"/>
      <c r="L42" s="1752"/>
      <c r="M42" s="1752"/>
      <c r="N42" s="1752"/>
      <c r="O42" s="1752"/>
      <c r="P42" s="1752"/>
      <c r="Q42" s="1752"/>
      <c r="R42" s="1752"/>
      <c r="S42" s="1752"/>
      <c r="T42" s="1752"/>
      <c r="U42" s="1752"/>
      <c r="V42" s="1752"/>
      <c r="W42" s="1752"/>
      <c r="X42" s="1752"/>
      <c r="Y42" s="1752"/>
      <c r="Z42" s="1775"/>
    </row>
    <row r="43" spans="1:26">
      <c r="A43" s="1750"/>
      <c r="B43" s="1759"/>
      <c r="C43" s="1752"/>
      <c r="D43" s="1752"/>
      <c r="E43" s="1752"/>
      <c r="F43" s="1752"/>
      <c r="G43" s="1752"/>
      <c r="H43" s="1137"/>
      <c r="I43" s="1752"/>
      <c r="J43" s="1752"/>
      <c r="K43" s="1752"/>
      <c r="L43" s="1752"/>
      <c r="M43" s="1752"/>
      <c r="N43" s="1752"/>
      <c r="O43" s="1752"/>
      <c r="P43" s="1752"/>
      <c r="Q43" s="1752"/>
      <c r="R43" s="1752"/>
      <c r="S43" s="1752"/>
      <c r="T43" s="1752"/>
      <c r="U43" s="1752"/>
      <c r="V43" s="1752"/>
      <c r="W43" s="1752"/>
      <c r="X43" s="1752"/>
      <c r="Y43" s="1752"/>
      <c r="Z43" s="1775"/>
    </row>
    <row r="44" spans="1:26">
      <c r="A44" s="1758"/>
      <c r="B44" s="1759"/>
      <c r="C44" s="1752"/>
      <c r="D44" s="1752"/>
      <c r="E44" s="1752"/>
      <c r="F44" s="1752"/>
      <c r="G44" s="1752"/>
      <c r="H44" s="1752"/>
      <c r="I44" s="1752"/>
      <c r="J44" s="1752"/>
      <c r="K44" s="1752"/>
      <c r="L44" s="1752"/>
      <c r="M44" s="1752"/>
      <c r="N44" s="1752"/>
      <c r="O44" s="1752"/>
      <c r="P44" s="1752"/>
      <c r="Q44" s="1752"/>
      <c r="R44" s="1752"/>
      <c r="S44" s="1752"/>
      <c r="T44" s="1752"/>
      <c r="U44" s="1752"/>
      <c r="V44" s="1752"/>
      <c r="W44" s="1752"/>
      <c r="X44" s="1752"/>
      <c r="Y44" s="1752"/>
      <c r="Z44" s="1775"/>
    </row>
    <row r="45" spans="1:26">
      <c r="A45" s="1758"/>
      <c r="B45" s="1759"/>
      <c r="C45" s="1752"/>
      <c r="D45" s="1752"/>
      <c r="E45" s="1752"/>
      <c r="F45" s="1752"/>
      <c r="G45" s="1752"/>
      <c r="H45" s="1761"/>
      <c r="I45" s="1752"/>
      <c r="J45" s="1752"/>
      <c r="K45" s="1752"/>
      <c r="L45" s="1752"/>
      <c r="M45" s="1752"/>
      <c r="N45" s="1752"/>
      <c r="O45" s="1752"/>
      <c r="P45" s="1752"/>
      <c r="Q45" s="1752"/>
      <c r="R45" s="1752"/>
      <c r="S45" s="1752"/>
      <c r="T45" s="1752"/>
      <c r="U45" s="1752"/>
      <c r="V45" s="1752"/>
      <c r="W45" s="1752"/>
      <c r="X45" s="1752"/>
      <c r="Y45" s="1752"/>
      <c r="Z45" s="1775"/>
    </row>
    <row r="46" spans="1:26">
      <c r="A46" s="1758"/>
      <c r="B46" s="1759"/>
      <c r="C46" s="1752"/>
      <c r="D46" s="1752"/>
      <c r="E46" s="1752"/>
      <c r="F46" s="1752"/>
      <c r="G46" s="1752"/>
      <c r="H46" s="1759"/>
      <c r="I46" s="1752"/>
      <c r="J46" s="1752"/>
      <c r="K46" s="1752"/>
      <c r="L46" s="1752"/>
      <c r="M46" s="1752"/>
      <c r="N46" s="1752"/>
      <c r="O46" s="1752"/>
      <c r="P46" s="1752"/>
      <c r="Q46" s="1752"/>
      <c r="R46" s="1752"/>
      <c r="S46" s="1752"/>
      <c r="T46" s="1752"/>
      <c r="U46" s="1752"/>
      <c r="V46" s="1752"/>
      <c r="W46" s="1752"/>
      <c r="X46" s="1752"/>
      <c r="Y46" s="1752"/>
      <c r="Z46" s="1775"/>
    </row>
    <row r="47" spans="1:26">
      <c r="A47" s="1758"/>
      <c r="B47" s="1759"/>
      <c r="C47" s="1752"/>
      <c r="D47" s="1752"/>
      <c r="E47" s="1752"/>
      <c r="F47" s="1752"/>
      <c r="G47" s="1752"/>
      <c r="H47" s="1761"/>
      <c r="I47" s="1752"/>
      <c r="J47" s="1752"/>
      <c r="K47" s="1752"/>
      <c r="L47" s="1752"/>
      <c r="M47" s="1752"/>
      <c r="N47" s="1752"/>
      <c r="O47" s="1752"/>
      <c r="P47" s="1752"/>
      <c r="Q47" s="1752"/>
      <c r="R47" s="1752"/>
      <c r="S47" s="1752"/>
      <c r="T47" s="1752"/>
      <c r="U47" s="1752"/>
      <c r="V47" s="1752"/>
      <c r="W47" s="1752"/>
      <c r="X47" s="1752"/>
      <c r="Y47" s="1752"/>
      <c r="Z47" s="1775"/>
    </row>
    <row r="48" spans="1:26">
      <c r="A48" s="1762"/>
      <c r="B48" s="1763"/>
      <c r="C48" s="1764"/>
      <c r="D48" s="1764"/>
      <c r="E48" s="1764"/>
      <c r="F48" s="1764"/>
      <c r="G48" s="1764"/>
      <c r="H48" s="1763"/>
      <c r="I48" s="1764"/>
      <c r="J48" s="1764"/>
      <c r="K48" s="1764"/>
      <c r="L48" s="1764"/>
      <c r="M48" s="1764"/>
      <c r="N48" s="1764"/>
      <c r="O48" s="1764"/>
      <c r="P48" s="1764"/>
      <c r="Q48" s="1764"/>
      <c r="R48" s="1764"/>
      <c r="S48" s="1764"/>
      <c r="T48" s="1764"/>
      <c r="U48" s="1764"/>
      <c r="V48" s="1764"/>
      <c r="W48" s="1764"/>
      <c r="X48" s="1764"/>
      <c r="Y48" s="1764"/>
      <c r="Z48" s="1779"/>
    </row>
    <row r="49" spans="1:31">
      <c r="A49" s="3760" t="s">
        <v>8160</v>
      </c>
      <c r="B49" s="3761"/>
      <c r="C49" s="3761"/>
      <c r="D49" s="3761"/>
      <c r="E49" s="3761"/>
      <c r="F49" s="3761"/>
      <c r="G49" s="3761"/>
      <c r="H49" s="3761" t="s">
        <v>8161</v>
      </c>
      <c r="I49" s="3761"/>
      <c r="J49" s="3761"/>
      <c r="K49" s="3761" t="s">
        <v>8162</v>
      </c>
      <c r="L49" s="3761"/>
      <c r="M49" s="3761"/>
      <c r="N49" s="3761"/>
      <c r="O49" s="3761"/>
      <c r="P49" s="3761"/>
      <c r="Q49" s="3761"/>
      <c r="R49" s="3761"/>
      <c r="S49" s="3761"/>
      <c r="T49" s="3761"/>
      <c r="U49" s="3761" t="s">
        <v>8163</v>
      </c>
      <c r="V49" s="3761"/>
      <c r="W49" s="3761"/>
      <c r="X49" s="3761"/>
      <c r="Y49" s="3761"/>
      <c r="Z49" s="3762"/>
    </row>
    <row r="50" spans="1:31">
      <c r="A50" s="3809" t="s">
        <v>8213</v>
      </c>
      <c r="B50" s="3810"/>
      <c r="C50" s="3810"/>
      <c r="D50" s="3810"/>
      <c r="E50" s="3810"/>
      <c r="F50" s="3810"/>
      <c r="G50" s="3811"/>
      <c r="H50" s="3763"/>
      <c r="I50" s="3763"/>
      <c r="J50" s="3763"/>
      <c r="K50" s="3763" t="s">
        <v>8165</v>
      </c>
      <c r="L50" s="3763"/>
      <c r="M50" s="3763" t="s">
        <v>5928</v>
      </c>
      <c r="N50" s="3763"/>
      <c r="O50" s="3763" t="s">
        <v>7453</v>
      </c>
      <c r="P50" s="3763"/>
      <c r="Q50" s="3763" t="s">
        <v>5930</v>
      </c>
      <c r="R50" s="3763"/>
      <c r="S50" s="3763" t="s">
        <v>4554</v>
      </c>
      <c r="T50" s="3763"/>
      <c r="U50" s="3763"/>
      <c r="V50" s="3763"/>
      <c r="W50" s="3763"/>
      <c r="X50" s="3763"/>
      <c r="Y50" s="3763"/>
      <c r="Z50" s="3815"/>
    </row>
    <row r="51" spans="1:31">
      <c r="A51" s="3812"/>
      <c r="B51" s="3813"/>
      <c r="C51" s="3813"/>
      <c r="D51" s="3813"/>
      <c r="E51" s="3813"/>
      <c r="F51" s="3813"/>
      <c r="G51" s="3814"/>
      <c r="H51" s="3747"/>
      <c r="I51" s="3747"/>
      <c r="J51" s="3747"/>
      <c r="K51" s="3747" t="s">
        <v>8166</v>
      </c>
      <c r="L51" s="3747"/>
      <c r="M51" s="3747"/>
      <c r="N51" s="3747"/>
      <c r="O51" s="3747"/>
      <c r="P51" s="3747"/>
      <c r="Q51" s="3747"/>
      <c r="R51" s="3747"/>
      <c r="S51" s="3747"/>
      <c r="T51" s="3747"/>
      <c r="U51" s="3747"/>
      <c r="V51" s="3747"/>
      <c r="W51" s="3747"/>
      <c r="X51" s="3747"/>
      <c r="Y51" s="3747"/>
      <c r="Z51" s="3816"/>
    </row>
    <row r="52" spans="1:31" ht="9" customHeight="1">
      <c r="A52" s="1765"/>
      <c r="B52" s="1766"/>
      <c r="C52" s="1766"/>
      <c r="D52" s="1766"/>
      <c r="E52" s="1766"/>
      <c r="F52" s="1766"/>
      <c r="G52" s="1766"/>
      <c r="H52" s="1766"/>
      <c r="I52" s="1766"/>
      <c r="J52" s="1766"/>
      <c r="K52" s="1766"/>
      <c r="L52" s="1766"/>
      <c r="M52" s="1766"/>
      <c r="N52" s="1766"/>
      <c r="O52" s="1766"/>
      <c r="P52" s="1766"/>
      <c r="Q52" s="1766"/>
      <c r="R52" s="1766"/>
      <c r="S52" s="1766"/>
      <c r="T52" s="1766"/>
      <c r="U52" s="1766"/>
      <c r="V52" s="1766"/>
      <c r="W52" s="1766"/>
      <c r="X52" s="1766"/>
      <c r="Y52" s="1766"/>
      <c r="Z52" s="1766"/>
    </row>
    <row r="53" spans="1:31" ht="20.25">
      <c r="A53" s="3807" t="s">
        <v>8167</v>
      </c>
      <c r="B53" s="3761"/>
      <c r="C53" s="3761"/>
      <c r="D53" s="3761"/>
      <c r="E53" s="3761"/>
      <c r="F53" s="3761"/>
      <c r="G53" s="3761"/>
      <c r="H53" s="3744" t="s">
        <v>8095</v>
      </c>
      <c r="I53" s="3744"/>
      <c r="J53" s="3744"/>
      <c r="K53" s="3744"/>
      <c r="L53" s="3744"/>
      <c r="M53" s="3744"/>
      <c r="N53" s="3744"/>
      <c r="O53" s="3744"/>
      <c r="P53" s="3744"/>
      <c r="Q53" s="3744"/>
      <c r="R53" s="3744"/>
      <c r="S53" s="3744"/>
      <c r="T53" s="3744"/>
      <c r="U53" s="3745" t="s">
        <v>8096</v>
      </c>
      <c r="V53" s="3745"/>
      <c r="W53" s="3745"/>
      <c r="X53" s="3745"/>
      <c r="Y53" s="3745"/>
      <c r="Z53" s="3746"/>
    </row>
    <row r="54" spans="1:31">
      <c r="A54" s="3808"/>
      <c r="B54" s="3747"/>
      <c r="C54" s="3747"/>
      <c r="D54" s="3747"/>
      <c r="E54" s="3747"/>
      <c r="F54" s="3747"/>
      <c r="G54" s="3747"/>
      <c r="H54" s="3747" t="s">
        <v>8202</v>
      </c>
      <c r="I54" s="3747"/>
      <c r="J54" s="3747"/>
      <c r="K54" s="3747"/>
      <c r="L54" s="3747"/>
      <c r="M54" s="3747"/>
      <c r="N54" s="3747"/>
      <c r="O54" s="3747"/>
      <c r="P54" s="3747"/>
      <c r="Q54" s="3747"/>
      <c r="R54" s="3747"/>
      <c r="S54" s="3747"/>
      <c r="T54" s="3747"/>
      <c r="U54" s="3748" t="s">
        <v>8203</v>
      </c>
      <c r="V54" s="3748"/>
      <c r="W54" s="3748"/>
      <c r="X54" s="3748" t="s">
        <v>8214</v>
      </c>
      <c r="Y54" s="3748"/>
      <c r="Z54" s="3749"/>
    </row>
    <row r="55" spans="1:31">
      <c r="A55" s="1747"/>
      <c r="B55" s="1748"/>
      <c r="C55" s="1748"/>
      <c r="D55" s="1748"/>
      <c r="E55" s="1748"/>
      <c r="F55" s="1748"/>
      <c r="G55" s="1748"/>
      <c r="H55" s="1748"/>
      <c r="I55" s="1748"/>
      <c r="J55" s="1748"/>
      <c r="K55" s="1748"/>
      <c r="L55" s="1748"/>
      <c r="M55" s="1748"/>
      <c r="N55" s="1748"/>
      <c r="O55" s="1748"/>
      <c r="P55" s="1748"/>
      <c r="Q55" s="1748"/>
      <c r="R55" s="1748"/>
      <c r="S55" s="1748"/>
      <c r="T55" s="1748"/>
      <c r="U55" s="1748"/>
      <c r="V55" s="1748"/>
      <c r="W55" s="1748"/>
      <c r="X55" s="1748"/>
      <c r="Y55" s="1748"/>
      <c r="Z55" s="1772"/>
      <c r="AB55" s="3933"/>
      <c r="AC55" s="3934"/>
      <c r="AD55" s="3934"/>
      <c r="AE55" s="3935"/>
    </row>
    <row r="56" spans="1:31">
      <c r="A56" s="3753" t="s">
        <v>8215</v>
      </c>
      <c r="B56" s="3916"/>
      <c r="C56" s="3916"/>
      <c r="D56" s="3916"/>
      <c r="E56" s="3916"/>
      <c r="F56" s="3916"/>
      <c r="G56" s="3916"/>
      <c r="H56" s="3916"/>
      <c r="I56" s="3916"/>
      <c r="J56" s="3916"/>
      <c r="K56" s="3916"/>
      <c r="L56" s="3916"/>
      <c r="M56" s="3916"/>
      <c r="N56" s="1770"/>
      <c r="O56" s="4012" t="s">
        <v>8216</v>
      </c>
      <c r="P56" s="4012"/>
      <c r="Q56" s="4012"/>
      <c r="R56" s="4012"/>
      <c r="S56" s="4012"/>
      <c r="T56" s="4012"/>
      <c r="U56" s="4012"/>
      <c r="V56" s="4012"/>
      <c r="W56" s="4012"/>
      <c r="X56" s="4012"/>
      <c r="Y56" s="4012"/>
      <c r="Z56" s="4013"/>
    </row>
    <row r="57" spans="1:31" ht="16.5" customHeight="1">
      <c r="A57" s="3925"/>
      <c r="B57" s="3926"/>
      <c r="C57" s="3926"/>
      <c r="D57" s="3926"/>
      <c r="E57" s="3926"/>
      <c r="F57" s="3926"/>
      <c r="G57" s="3926"/>
      <c r="H57" s="3926"/>
      <c r="I57" s="3926"/>
      <c r="J57" s="3926"/>
      <c r="K57" s="3926"/>
      <c r="L57" s="3926"/>
      <c r="M57" s="3926"/>
      <c r="N57" s="1752"/>
      <c r="O57" s="4012"/>
      <c r="P57" s="4012"/>
      <c r="Q57" s="4012"/>
      <c r="R57" s="4012"/>
      <c r="S57" s="4012"/>
      <c r="T57" s="4012"/>
      <c r="U57" s="4012"/>
      <c r="V57" s="4012"/>
      <c r="W57" s="4012"/>
      <c r="X57" s="4012"/>
      <c r="Y57" s="4012"/>
      <c r="Z57" s="4013"/>
    </row>
    <row r="58" spans="1:31">
      <c r="A58" s="3925"/>
      <c r="B58" s="3926"/>
      <c r="C58" s="3926"/>
      <c r="D58" s="3926"/>
      <c r="E58" s="3926"/>
      <c r="F58" s="3926"/>
      <c r="G58" s="3926"/>
      <c r="H58" s="3926"/>
      <c r="I58" s="3926"/>
      <c r="J58" s="3926"/>
      <c r="K58" s="3926"/>
      <c r="L58" s="3926"/>
      <c r="M58" s="3926"/>
      <c r="N58" s="1752"/>
      <c r="O58" s="4012"/>
      <c r="P58" s="4012"/>
      <c r="Q58" s="4012"/>
      <c r="R58" s="4012"/>
      <c r="S58" s="4012"/>
      <c r="T58" s="4012"/>
      <c r="U58" s="4012"/>
      <c r="V58" s="4012"/>
      <c r="W58" s="4012"/>
      <c r="X58" s="4012"/>
      <c r="Y58" s="4012"/>
      <c r="Z58" s="4013"/>
    </row>
    <row r="59" spans="1:31">
      <c r="A59" s="3925"/>
      <c r="B59" s="3926"/>
      <c r="C59" s="3926"/>
      <c r="D59" s="3926"/>
      <c r="E59" s="3926"/>
      <c r="F59" s="3926"/>
      <c r="G59" s="3926"/>
      <c r="H59" s="3926"/>
      <c r="I59" s="3926"/>
      <c r="J59" s="3926"/>
      <c r="K59" s="3926"/>
      <c r="L59" s="3926"/>
      <c r="M59" s="3926"/>
      <c r="N59" s="1752"/>
      <c r="O59" s="4012"/>
      <c r="P59" s="4012"/>
      <c r="Q59" s="4012"/>
      <c r="R59" s="4012"/>
      <c r="S59" s="4012"/>
      <c r="T59" s="4012"/>
      <c r="U59" s="4012"/>
      <c r="V59" s="4012"/>
      <c r="W59" s="4012"/>
      <c r="X59" s="4012"/>
      <c r="Y59" s="4012"/>
      <c r="Z59" s="4013"/>
    </row>
    <row r="60" spans="1:31">
      <c r="A60" s="3925"/>
      <c r="B60" s="3926"/>
      <c r="C60" s="3926"/>
      <c r="D60" s="3926"/>
      <c r="E60" s="3926"/>
      <c r="F60" s="3926"/>
      <c r="G60" s="3926"/>
      <c r="H60" s="3926"/>
      <c r="I60" s="3926"/>
      <c r="J60" s="3926"/>
      <c r="K60" s="3926"/>
      <c r="L60" s="3926"/>
      <c r="M60" s="3926"/>
      <c r="N60" s="1752"/>
      <c r="O60" s="4012"/>
      <c r="P60" s="4012"/>
      <c r="Q60" s="4012"/>
      <c r="R60" s="4012"/>
      <c r="S60" s="4012"/>
      <c r="T60" s="4012"/>
      <c r="U60" s="4012"/>
      <c r="V60" s="4012"/>
      <c r="W60" s="4012"/>
      <c r="X60" s="4012"/>
      <c r="Y60" s="4012"/>
      <c r="Z60" s="4013"/>
    </row>
    <row r="61" spans="1:31">
      <c r="A61" s="3925"/>
      <c r="B61" s="3926"/>
      <c r="C61" s="3926"/>
      <c r="D61" s="3926"/>
      <c r="E61" s="3926"/>
      <c r="F61" s="3926"/>
      <c r="G61" s="3926"/>
      <c r="H61" s="3926"/>
      <c r="I61" s="3926"/>
      <c r="J61" s="3926"/>
      <c r="K61" s="3926"/>
      <c r="L61" s="3926"/>
      <c r="M61" s="3926"/>
      <c r="N61" s="1752"/>
      <c r="O61" s="4012"/>
      <c r="P61" s="4012"/>
      <c r="Q61" s="4012"/>
      <c r="R61" s="4012"/>
      <c r="S61" s="4012"/>
      <c r="T61" s="4012"/>
      <c r="U61" s="4012"/>
      <c r="V61" s="4012"/>
      <c r="W61" s="4012"/>
      <c r="X61" s="4012"/>
      <c r="Y61" s="4012"/>
      <c r="Z61" s="4013"/>
    </row>
    <row r="62" spans="1:31">
      <c r="A62" s="3925"/>
      <c r="B62" s="3926"/>
      <c r="C62" s="3926"/>
      <c r="D62" s="3926"/>
      <c r="E62" s="3926"/>
      <c r="F62" s="3926"/>
      <c r="G62" s="3926"/>
      <c r="H62" s="3926"/>
      <c r="I62" s="3926"/>
      <c r="J62" s="3926"/>
      <c r="K62" s="3926"/>
      <c r="L62" s="3926"/>
      <c r="M62" s="3926"/>
      <c r="N62" s="1752"/>
      <c r="O62" s="4012"/>
      <c r="P62" s="4012"/>
      <c r="Q62" s="4012"/>
      <c r="R62" s="4012"/>
      <c r="S62" s="4012"/>
      <c r="T62" s="4012"/>
      <c r="U62" s="4012"/>
      <c r="V62" s="4012"/>
      <c r="W62" s="4012"/>
      <c r="X62" s="4012"/>
      <c r="Y62" s="4012"/>
      <c r="Z62" s="4013"/>
    </row>
    <row r="63" spans="1:31">
      <c r="A63" s="3925"/>
      <c r="B63" s="3926"/>
      <c r="C63" s="3926"/>
      <c r="D63" s="3926"/>
      <c r="E63" s="3926"/>
      <c r="F63" s="3926"/>
      <c r="G63" s="3926"/>
      <c r="H63" s="3926"/>
      <c r="I63" s="3926"/>
      <c r="J63" s="3926"/>
      <c r="K63" s="3926"/>
      <c r="L63" s="3926"/>
      <c r="M63" s="3926"/>
      <c r="N63" s="1752"/>
      <c r="O63" s="4012"/>
      <c r="P63" s="4012"/>
      <c r="Q63" s="4012"/>
      <c r="R63" s="4012"/>
      <c r="S63" s="4012"/>
      <c r="T63" s="4012"/>
      <c r="U63" s="4012"/>
      <c r="V63" s="4012"/>
      <c r="W63" s="4012"/>
      <c r="X63" s="4012"/>
      <c r="Y63" s="4012"/>
      <c r="Z63" s="4013"/>
    </row>
    <row r="64" spans="1:31" ht="16.5" customHeight="1">
      <c r="A64" s="3936" t="s">
        <v>8217</v>
      </c>
      <c r="B64" s="3896"/>
      <c r="C64" s="3896"/>
      <c r="D64" s="3896"/>
      <c r="E64" s="3896" t="s">
        <v>8218</v>
      </c>
      <c r="F64" s="3896"/>
      <c r="G64" s="3896"/>
      <c r="H64" s="3896"/>
      <c r="I64" s="3896"/>
      <c r="J64" s="3896"/>
      <c r="K64" s="3896"/>
      <c r="L64" s="3896"/>
      <c r="M64" s="3937"/>
      <c r="N64" s="1752"/>
      <c r="O64" s="4012"/>
      <c r="P64" s="4012"/>
      <c r="Q64" s="4012"/>
      <c r="R64" s="4012"/>
      <c r="S64" s="4012"/>
      <c r="T64" s="4012"/>
      <c r="U64" s="4012"/>
      <c r="V64" s="4012"/>
      <c r="W64" s="4012"/>
      <c r="X64" s="4012"/>
      <c r="Y64" s="4012"/>
      <c r="Z64" s="4013"/>
    </row>
    <row r="65" spans="1:28">
      <c r="A65" s="3938">
        <v>5</v>
      </c>
      <c r="B65" s="3783"/>
      <c r="C65" s="3783"/>
      <c r="D65" s="3783"/>
      <c r="E65" s="3939"/>
      <c r="F65" s="3939"/>
      <c r="G65" s="3939"/>
      <c r="H65" s="3783">
        <v>20</v>
      </c>
      <c r="I65" s="3783"/>
      <c r="J65" s="3783">
        <v>25</v>
      </c>
      <c r="K65" s="3783"/>
      <c r="L65" s="3783">
        <v>32</v>
      </c>
      <c r="M65" s="3801"/>
      <c r="N65" s="1752"/>
      <c r="O65" s="3754" t="s">
        <v>8219</v>
      </c>
      <c r="P65" s="3754"/>
      <c r="Q65" s="3754"/>
      <c r="R65" s="3754"/>
      <c r="S65" s="3754"/>
      <c r="T65" s="3754"/>
      <c r="U65" s="3754"/>
      <c r="V65" s="3754"/>
      <c r="W65" s="3754"/>
      <c r="X65" s="3754"/>
      <c r="Y65" s="3754"/>
      <c r="Z65" s="3755"/>
    </row>
    <row r="66" spans="1:28">
      <c r="A66" s="3938">
        <v>6</v>
      </c>
      <c r="B66" s="3783"/>
      <c r="C66" s="3783"/>
      <c r="D66" s="3783"/>
      <c r="E66" s="3939"/>
      <c r="F66" s="3939"/>
      <c r="G66" s="3939"/>
      <c r="H66" s="3783">
        <v>25</v>
      </c>
      <c r="I66" s="3783"/>
      <c r="J66" s="3783">
        <v>32</v>
      </c>
      <c r="K66" s="3783"/>
      <c r="L66" s="3783">
        <v>40</v>
      </c>
      <c r="M66" s="3801"/>
      <c r="N66" s="1752"/>
      <c r="O66" s="3940" t="s">
        <v>8220</v>
      </c>
      <c r="P66" s="3941"/>
      <c r="Q66" s="3941"/>
      <c r="R66" s="3941"/>
      <c r="S66" s="3941"/>
      <c r="T66" s="3942"/>
      <c r="U66" s="3943" t="s">
        <v>8221</v>
      </c>
      <c r="V66" s="3944"/>
      <c r="W66" s="3944"/>
      <c r="X66" s="3944"/>
      <c r="Y66" s="3944"/>
      <c r="Z66" s="3945"/>
    </row>
    <row r="67" spans="1:28">
      <c r="A67" s="3938">
        <v>8</v>
      </c>
      <c r="B67" s="3783"/>
      <c r="C67" s="3783"/>
      <c r="D67" s="3783"/>
      <c r="E67" s="3939"/>
      <c r="F67" s="3939"/>
      <c r="G67" s="3939"/>
      <c r="H67" s="3783">
        <v>32</v>
      </c>
      <c r="I67" s="3783"/>
      <c r="J67" s="3783">
        <v>40</v>
      </c>
      <c r="K67" s="3783"/>
      <c r="L67" s="3783">
        <v>50</v>
      </c>
      <c r="M67" s="3801"/>
      <c r="N67" s="1752"/>
      <c r="O67" s="3946">
        <v>20</v>
      </c>
      <c r="P67" s="3947"/>
      <c r="Q67" s="3947"/>
      <c r="R67" s="3947"/>
      <c r="S67" s="3947"/>
      <c r="T67" s="3948"/>
      <c r="U67" s="3823"/>
      <c r="V67" s="3824"/>
      <c r="W67" s="3824"/>
      <c r="X67" s="3824"/>
      <c r="Y67" s="3824"/>
      <c r="Z67" s="4014"/>
    </row>
    <row r="68" spans="1:28">
      <c r="A68" s="3938">
        <v>10</v>
      </c>
      <c r="B68" s="3783"/>
      <c r="C68" s="3783"/>
      <c r="D68" s="3783"/>
      <c r="E68" s="3939"/>
      <c r="F68" s="3939"/>
      <c r="G68" s="3939"/>
      <c r="H68" s="3783">
        <v>40</v>
      </c>
      <c r="I68" s="3783"/>
      <c r="J68" s="3783">
        <v>50</v>
      </c>
      <c r="K68" s="3783"/>
      <c r="L68" s="3783">
        <v>63</v>
      </c>
      <c r="M68" s="3801"/>
      <c r="N68" s="1752"/>
      <c r="O68" s="3946">
        <v>25</v>
      </c>
      <c r="P68" s="3947"/>
      <c r="Q68" s="3947"/>
      <c r="R68" s="3947"/>
      <c r="S68" s="3947"/>
      <c r="T68" s="3948"/>
      <c r="U68" s="3829"/>
      <c r="V68" s="3830"/>
      <c r="W68" s="3830"/>
      <c r="X68" s="3830"/>
      <c r="Y68" s="3830"/>
      <c r="Z68" s="4015"/>
      <c r="AB68" s="1804"/>
    </row>
    <row r="69" spans="1:28">
      <c r="A69" s="3938">
        <v>12</v>
      </c>
      <c r="B69" s="3783"/>
      <c r="C69" s="3783"/>
      <c r="D69" s="3783"/>
      <c r="E69" s="3949">
        <v>-40</v>
      </c>
      <c r="F69" s="3949"/>
      <c r="G69" s="3949"/>
      <c r="H69" s="3783">
        <v>50</v>
      </c>
      <c r="I69" s="3783"/>
      <c r="J69" s="3783">
        <v>63</v>
      </c>
      <c r="K69" s="3783"/>
      <c r="L69" s="3783">
        <v>80</v>
      </c>
      <c r="M69" s="3801"/>
      <c r="N69" s="1752"/>
      <c r="O69" s="3950" t="s">
        <v>8222</v>
      </c>
      <c r="P69" s="3951"/>
      <c r="Q69" s="3951"/>
      <c r="R69" s="3951"/>
      <c r="S69" s="3951"/>
      <c r="T69" s="3952"/>
      <c r="U69" s="3953"/>
      <c r="V69" s="3947"/>
      <c r="W69" s="3947"/>
      <c r="X69" s="3947"/>
      <c r="Y69" s="3947"/>
      <c r="Z69" s="3954"/>
    </row>
    <row r="70" spans="1:28">
      <c r="A70" s="3938">
        <v>14</v>
      </c>
      <c r="B70" s="3783"/>
      <c r="C70" s="3783"/>
      <c r="D70" s="3783"/>
      <c r="E70" s="3949">
        <v>-50</v>
      </c>
      <c r="F70" s="3949"/>
      <c r="G70" s="3949"/>
      <c r="H70" s="3783">
        <v>63</v>
      </c>
      <c r="I70" s="3783"/>
      <c r="J70" s="3783">
        <v>80</v>
      </c>
      <c r="K70" s="3783"/>
      <c r="L70" s="3783">
        <v>100</v>
      </c>
      <c r="M70" s="3801"/>
      <c r="N70" s="1752"/>
      <c r="O70" s="3950" t="s">
        <v>8223</v>
      </c>
      <c r="P70" s="3951"/>
      <c r="Q70" s="3951"/>
      <c r="R70" s="3951"/>
      <c r="S70" s="3951"/>
      <c r="T70" s="3952"/>
      <c r="U70" s="3953"/>
      <c r="V70" s="3947"/>
      <c r="W70" s="3947"/>
      <c r="X70" s="3947"/>
      <c r="Y70" s="3947"/>
      <c r="Z70" s="3954"/>
    </row>
    <row r="71" spans="1:28">
      <c r="A71" s="3938">
        <v>18</v>
      </c>
      <c r="B71" s="3783"/>
      <c r="C71" s="3783"/>
      <c r="D71" s="3783"/>
      <c r="E71" s="3949">
        <v>-63</v>
      </c>
      <c r="F71" s="3949"/>
      <c r="G71" s="3949"/>
      <c r="H71" s="3783">
        <v>80</v>
      </c>
      <c r="I71" s="3783"/>
      <c r="J71" s="3783">
        <v>100</v>
      </c>
      <c r="K71" s="3783"/>
      <c r="L71" s="3783">
        <v>125</v>
      </c>
      <c r="M71" s="3801"/>
      <c r="N71" s="1752"/>
      <c r="O71" s="3955" t="s">
        <v>8224</v>
      </c>
      <c r="P71" s="3956"/>
      <c r="Q71" s="3956"/>
      <c r="R71" s="3956"/>
      <c r="S71" s="3956"/>
      <c r="T71" s="3957"/>
      <c r="U71" s="3958"/>
      <c r="V71" s="3959"/>
      <c r="W71" s="3959"/>
      <c r="X71" s="3959"/>
      <c r="Y71" s="3959"/>
      <c r="Z71" s="3960"/>
    </row>
    <row r="72" spans="1:28">
      <c r="A72" s="3938">
        <v>22</v>
      </c>
      <c r="B72" s="3783"/>
      <c r="C72" s="3783"/>
      <c r="D72" s="3783"/>
      <c r="E72" s="3949">
        <v>-80</v>
      </c>
      <c r="F72" s="3949"/>
      <c r="G72" s="3949"/>
      <c r="H72" s="3783">
        <v>100</v>
      </c>
      <c r="I72" s="3783"/>
      <c r="J72" s="3783">
        <v>125</v>
      </c>
      <c r="K72" s="3783"/>
      <c r="L72" s="3783">
        <v>160</v>
      </c>
      <c r="M72" s="3801"/>
      <c r="N72" s="1752"/>
      <c r="O72" s="4016" t="s">
        <v>8225</v>
      </c>
      <c r="P72" s="4016"/>
      <c r="Q72" s="4016"/>
      <c r="R72" s="4016"/>
      <c r="S72" s="4016"/>
      <c r="T72" s="4016"/>
      <c r="U72" s="4016"/>
      <c r="V72" s="4016"/>
      <c r="W72" s="4016"/>
      <c r="X72" s="4016"/>
      <c r="Y72" s="4016"/>
      <c r="Z72" s="4017"/>
    </row>
    <row r="73" spans="1:28">
      <c r="A73" s="3938">
        <v>28</v>
      </c>
      <c r="B73" s="3783"/>
      <c r="C73" s="3783"/>
      <c r="D73" s="3783"/>
      <c r="E73" s="3783">
        <v>100</v>
      </c>
      <c r="F73" s="3783"/>
      <c r="G73" s="3783"/>
      <c r="H73" s="3783">
        <v>125</v>
      </c>
      <c r="I73" s="3783"/>
      <c r="J73" s="3783">
        <v>160</v>
      </c>
      <c r="K73" s="3783"/>
      <c r="L73" s="3783">
        <v>200</v>
      </c>
      <c r="M73" s="3801"/>
      <c r="N73" s="1752"/>
      <c r="O73" s="4018"/>
      <c r="P73" s="4018"/>
      <c r="Q73" s="4018"/>
      <c r="R73" s="4018"/>
      <c r="S73" s="4018"/>
      <c r="T73" s="4018"/>
      <c r="U73" s="4018"/>
      <c r="V73" s="4018"/>
      <c r="W73" s="4018"/>
      <c r="X73" s="4018"/>
      <c r="Y73" s="4018"/>
      <c r="Z73" s="4019"/>
    </row>
    <row r="74" spans="1:28">
      <c r="A74" s="3938">
        <v>36</v>
      </c>
      <c r="B74" s="3783"/>
      <c r="C74" s="3783"/>
      <c r="D74" s="3783"/>
      <c r="E74" s="3783">
        <v>125</v>
      </c>
      <c r="F74" s="3783"/>
      <c r="G74" s="3783"/>
      <c r="H74" s="3783">
        <v>160</v>
      </c>
      <c r="I74" s="3783"/>
      <c r="J74" s="3783">
        <v>200</v>
      </c>
      <c r="K74" s="3783"/>
      <c r="L74" s="3783">
        <v>250</v>
      </c>
      <c r="M74" s="3801"/>
      <c r="N74" s="1752"/>
      <c r="O74" s="3964" t="s">
        <v>8226</v>
      </c>
      <c r="P74" s="3964"/>
      <c r="Q74" s="3964"/>
      <c r="R74" s="3964"/>
      <c r="S74" s="3964"/>
      <c r="T74" s="3964"/>
      <c r="U74" s="3964"/>
      <c r="V74" s="3964"/>
      <c r="W74" s="3964"/>
      <c r="X74" s="3964"/>
      <c r="Y74" s="3964"/>
      <c r="Z74" s="3965"/>
    </row>
    <row r="75" spans="1:28">
      <c r="A75" s="3970">
        <v>42</v>
      </c>
      <c r="B75" s="3787"/>
      <c r="C75" s="3787"/>
      <c r="D75" s="3787"/>
      <c r="E75" s="3787">
        <v>160</v>
      </c>
      <c r="F75" s="3787"/>
      <c r="G75" s="3787"/>
      <c r="H75" s="3787">
        <v>200</v>
      </c>
      <c r="I75" s="3787"/>
      <c r="J75" s="3787">
        <v>250</v>
      </c>
      <c r="K75" s="3787"/>
      <c r="L75" s="3787">
        <v>320</v>
      </c>
      <c r="M75" s="3843"/>
      <c r="N75" s="1752"/>
      <c r="O75" s="3964"/>
      <c r="P75" s="3964"/>
      <c r="Q75" s="3964"/>
      <c r="R75" s="3964"/>
      <c r="S75" s="3964"/>
      <c r="T75" s="3964"/>
      <c r="U75" s="3964"/>
      <c r="V75" s="3964"/>
      <c r="W75" s="3964"/>
      <c r="X75" s="3964"/>
      <c r="Y75" s="3964"/>
      <c r="Z75" s="3965"/>
    </row>
    <row r="76" spans="1:28">
      <c r="A76" s="3938">
        <v>48</v>
      </c>
      <c r="B76" s="3783"/>
      <c r="C76" s="3783"/>
      <c r="D76" s="3783"/>
      <c r="E76" s="3783">
        <v>200</v>
      </c>
      <c r="F76" s="3783"/>
      <c r="G76" s="3783"/>
      <c r="H76" s="3783">
        <v>250</v>
      </c>
      <c r="I76" s="3783"/>
      <c r="J76" s="3783">
        <v>320</v>
      </c>
      <c r="K76" s="3783"/>
      <c r="L76" s="3783">
        <v>400</v>
      </c>
      <c r="M76" s="3801"/>
      <c r="N76" s="1752"/>
      <c r="O76" s="3964"/>
      <c r="P76" s="3964"/>
      <c r="Q76" s="3964"/>
      <c r="R76" s="3964"/>
      <c r="S76" s="3964"/>
      <c r="T76" s="3964"/>
      <c r="U76" s="3964"/>
      <c r="V76" s="3964"/>
      <c r="W76" s="3964"/>
      <c r="X76" s="3964"/>
      <c r="Y76" s="3964"/>
      <c r="Z76" s="3965"/>
    </row>
    <row r="77" spans="1:28">
      <c r="A77" s="3962">
        <v>54</v>
      </c>
      <c r="B77" s="3872"/>
      <c r="C77" s="3872"/>
      <c r="D77" s="3872"/>
      <c r="E77" s="3872">
        <v>250</v>
      </c>
      <c r="F77" s="3872"/>
      <c r="G77" s="3872"/>
      <c r="H77" s="3872">
        <v>320</v>
      </c>
      <c r="I77" s="3872"/>
      <c r="J77" s="3872">
        <v>400</v>
      </c>
      <c r="K77" s="3872"/>
      <c r="L77" s="3872">
        <v>500</v>
      </c>
      <c r="M77" s="3963"/>
      <c r="N77" s="1752"/>
      <c r="O77" s="1771"/>
      <c r="P77" s="1771"/>
      <c r="Q77" s="1771"/>
      <c r="R77" s="1771"/>
      <c r="S77" s="1771"/>
      <c r="T77" s="1771"/>
      <c r="U77" s="1771"/>
      <c r="V77" s="1771"/>
      <c r="W77" s="1771"/>
      <c r="X77" s="1771"/>
      <c r="Y77" s="1771"/>
      <c r="Z77" s="1780"/>
    </row>
    <row r="78" spans="1:28">
      <c r="A78" s="1781"/>
      <c r="B78" s="1782"/>
      <c r="C78" s="1782"/>
      <c r="D78" s="1782"/>
      <c r="E78" s="1782"/>
      <c r="F78" s="1782"/>
      <c r="G78" s="1782"/>
      <c r="H78" s="1782"/>
      <c r="I78" s="1782"/>
      <c r="J78" s="1782"/>
      <c r="K78" s="1782"/>
      <c r="L78" s="1782"/>
      <c r="M78" s="1782"/>
      <c r="N78" s="1752"/>
      <c r="O78" s="1771"/>
      <c r="P78" s="1771"/>
      <c r="Q78" s="1771"/>
      <c r="R78" s="1771"/>
      <c r="S78" s="1771"/>
      <c r="T78" s="1771"/>
      <c r="U78" s="1771"/>
      <c r="V78" s="1771"/>
      <c r="W78" s="1771"/>
      <c r="X78" s="1771"/>
      <c r="Y78" s="1771"/>
      <c r="Z78" s="1780"/>
    </row>
    <row r="79" spans="1:28">
      <c r="A79" s="4021" t="s">
        <v>8227</v>
      </c>
      <c r="B79" s="3914"/>
      <c r="C79" s="3914"/>
      <c r="D79" s="3914"/>
      <c r="E79" s="3914"/>
      <c r="F79" s="3914"/>
      <c r="G79" s="3914"/>
      <c r="H79" s="3914"/>
      <c r="I79" s="3914"/>
      <c r="J79" s="3914"/>
      <c r="K79" s="3914"/>
      <c r="L79" s="3914"/>
      <c r="M79" s="3914"/>
      <c r="N79" s="3914"/>
      <c r="O79" s="3914"/>
      <c r="P79" s="3914"/>
      <c r="Q79" s="3914"/>
      <c r="R79" s="3914"/>
      <c r="S79" s="3914"/>
      <c r="T79" s="3914"/>
      <c r="U79" s="3914"/>
      <c r="V79" s="3914"/>
      <c r="W79" s="3914"/>
      <c r="X79" s="3914"/>
      <c r="Y79" s="3914"/>
      <c r="Z79" s="3915"/>
    </row>
    <row r="80" spans="1:28" ht="16.5" customHeight="1">
      <c r="A80" s="1783" t="s">
        <v>8228</v>
      </c>
      <c r="B80" s="1784"/>
      <c r="C80" s="1784"/>
      <c r="D80" s="1784"/>
      <c r="E80" s="1784"/>
      <c r="F80" s="1784"/>
      <c r="G80" s="1784"/>
      <c r="H80" s="1784"/>
      <c r="I80" s="1784"/>
      <c r="J80" s="1784"/>
      <c r="K80" s="3966" t="s">
        <v>8229</v>
      </c>
      <c r="L80" s="3967"/>
      <c r="M80" s="3967"/>
      <c r="N80" s="3961">
        <v>5</v>
      </c>
      <c r="O80" s="3961">
        <v>6</v>
      </c>
      <c r="P80" s="3961">
        <v>8</v>
      </c>
      <c r="Q80" s="3961">
        <v>10</v>
      </c>
      <c r="R80" s="3961">
        <v>12</v>
      </c>
      <c r="S80" s="3961">
        <v>14</v>
      </c>
      <c r="T80" s="3961">
        <v>18</v>
      </c>
      <c r="U80" s="3961">
        <v>22</v>
      </c>
      <c r="V80" s="3961">
        <v>28</v>
      </c>
      <c r="W80" s="3961">
        <v>36</v>
      </c>
      <c r="X80" s="3961">
        <v>42</v>
      </c>
      <c r="Y80" s="3961">
        <v>48</v>
      </c>
      <c r="Z80" s="4020">
        <v>54</v>
      </c>
    </row>
    <row r="81" spans="1:26">
      <c r="A81" s="1785"/>
      <c r="B81" s="1786"/>
      <c r="C81" s="1786"/>
      <c r="D81" s="1786"/>
      <c r="E81" s="1786"/>
      <c r="F81" s="1786"/>
      <c r="G81" s="1786"/>
      <c r="H81" s="1786"/>
      <c r="I81" s="1786"/>
      <c r="J81" s="1786"/>
      <c r="K81" s="3968"/>
      <c r="L81" s="3969"/>
      <c r="M81" s="3969"/>
      <c r="N81" s="3764"/>
      <c r="O81" s="3764"/>
      <c r="P81" s="3764"/>
      <c r="Q81" s="3764"/>
      <c r="R81" s="3764"/>
      <c r="S81" s="3764"/>
      <c r="T81" s="3764"/>
      <c r="U81" s="3764"/>
      <c r="V81" s="3764"/>
      <c r="W81" s="3764"/>
      <c r="X81" s="3764"/>
      <c r="Y81" s="3764"/>
      <c r="Z81" s="3853"/>
    </row>
    <row r="82" spans="1:26">
      <c r="A82" s="1785"/>
      <c r="B82" s="1786"/>
      <c r="C82" s="1786"/>
      <c r="D82" s="1786"/>
      <c r="E82" s="1786"/>
      <c r="F82" s="1786"/>
      <c r="G82" s="1786"/>
      <c r="H82" s="1786"/>
      <c r="I82" s="1786"/>
      <c r="J82" s="1786"/>
      <c r="K82" s="4022" t="s">
        <v>6163</v>
      </c>
      <c r="L82" s="3969"/>
      <c r="M82" s="3969"/>
      <c r="N82" s="1768">
        <v>12</v>
      </c>
      <c r="O82" s="1768">
        <v>15</v>
      </c>
      <c r="P82" s="1768">
        <v>20</v>
      </c>
      <c r="Q82" s="1768">
        <v>23</v>
      </c>
      <c r="R82" s="1768">
        <v>27</v>
      </c>
      <c r="S82" s="1768">
        <v>30</v>
      </c>
      <c r="T82" s="1768">
        <v>38</v>
      </c>
      <c r="U82" s="1768">
        <v>47</v>
      </c>
      <c r="V82" s="1768">
        <v>58</v>
      </c>
      <c r="W82" s="1768">
        <v>73</v>
      </c>
      <c r="X82" s="1768">
        <v>87</v>
      </c>
      <c r="Y82" s="1768">
        <v>97</v>
      </c>
      <c r="Z82" s="1776">
        <v>108</v>
      </c>
    </row>
    <row r="83" spans="1:26">
      <c r="A83" s="1785"/>
      <c r="B83" s="1786"/>
      <c r="C83" s="1786"/>
      <c r="D83" s="1786"/>
      <c r="E83" s="1786"/>
      <c r="F83" s="1786"/>
      <c r="G83" s="1786"/>
      <c r="H83" s="1786"/>
      <c r="I83" s="1786"/>
      <c r="J83" s="1786"/>
      <c r="K83" s="4023" t="s">
        <v>4554</v>
      </c>
      <c r="L83" s="4009" t="s">
        <v>8209</v>
      </c>
      <c r="M83" s="3969"/>
      <c r="N83" s="3765">
        <v>15</v>
      </c>
      <c r="O83" s="3765">
        <v>16</v>
      </c>
      <c r="P83" s="3765">
        <v>20</v>
      </c>
      <c r="Q83" s="3765">
        <v>22</v>
      </c>
      <c r="R83" s="3765">
        <v>28</v>
      </c>
      <c r="S83" s="3765">
        <v>32</v>
      </c>
      <c r="T83" s="3765">
        <v>42</v>
      </c>
      <c r="U83" s="3765">
        <v>50</v>
      </c>
      <c r="V83" s="3765">
        <v>62</v>
      </c>
      <c r="W83" s="3765">
        <v>76</v>
      </c>
      <c r="X83" s="3765">
        <v>92</v>
      </c>
      <c r="Y83" s="3765">
        <v>108</v>
      </c>
      <c r="Z83" s="3799">
        <v>122</v>
      </c>
    </row>
    <row r="84" spans="1:26">
      <c r="A84" s="1785"/>
      <c r="B84" s="1786"/>
      <c r="C84" s="1786"/>
      <c r="D84" s="1786"/>
      <c r="E84" s="1786"/>
      <c r="F84" s="1786"/>
      <c r="G84" s="1786"/>
      <c r="H84" s="1786"/>
      <c r="I84" s="1786"/>
      <c r="J84" s="1786"/>
      <c r="K84" s="4024"/>
      <c r="L84" s="3969"/>
      <c r="M84" s="3969"/>
      <c r="N84" s="3773"/>
      <c r="O84" s="3773"/>
      <c r="P84" s="3773"/>
      <c r="Q84" s="3773"/>
      <c r="R84" s="3773"/>
      <c r="S84" s="3773"/>
      <c r="T84" s="3773"/>
      <c r="U84" s="3773"/>
      <c r="V84" s="3773"/>
      <c r="W84" s="3773"/>
      <c r="X84" s="3773"/>
      <c r="Y84" s="3773"/>
      <c r="Z84" s="3800"/>
    </row>
    <row r="85" spans="1:26">
      <c r="A85" s="1785"/>
      <c r="B85" s="1786"/>
      <c r="C85" s="1786"/>
      <c r="D85" s="1786"/>
      <c r="E85" s="1786"/>
      <c r="F85" s="1786"/>
      <c r="G85" s="1786"/>
      <c r="H85" s="1786"/>
      <c r="I85" s="1786"/>
      <c r="J85" s="1786"/>
      <c r="K85" s="4024"/>
      <c r="L85" s="4009" t="s">
        <v>8230</v>
      </c>
      <c r="M85" s="3969"/>
      <c r="N85" s="3783">
        <v>0</v>
      </c>
      <c r="O85" s="3783"/>
      <c r="P85" s="3983">
        <v>0</v>
      </c>
      <c r="Q85" s="3984"/>
      <c r="R85" s="3984"/>
      <c r="S85" s="3984"/>
      <c r="T85" s="3985"/>
      <c r="U85" s="3983">
        <v>0</v>
      </c>
      <c r="V85" s="3984"/>
      <c r="W85" s="3984"/>
      <c r="X85" s="3984"/>
      <c r="Y85" s="3984"/>
      <c r="Z85" s="4010"/>
    </row>
    <row r="86" spans="1:26">
      <c r="A86" s="1785"/>
      <c r="B86" s="1786"/>
      <c r="C86" s="1786"/>
      <c r="D86" s="1786"/>
      <c r="E86" s="1786"/>
      <c r="F86" s="1786"/>
      <c r="G86" s="1786"/>
      <c r="H86" s="1786"/>
      <c r="I86" s="1786"/>
      <c r="J86" s="1786"/>
      <c r="K86" s="4025"/>
      <c r="L86" s="3969"/>
      <c r="M86" s="3969"/>
      <c r="N86" s="3783"/>
      <c r="O86" s="3783"/>
      <c r="P86" s="3988"/>
      <c r="Q86" s="3989"/>
      <c r="R86" s="3989"/>
      <c r="S86" s="3989"/>
      <c r="T86" s="3990"/>
      <c r="U86" s="3988"/>
      <c r="V86" s="3989"/>
      <c r="W86" s="3989"/>
      <c r="X86" s="3989"/>
      <c r="Y86" s="3989"/>
      <c r="Z86" s="4011"/>
    </row>
    <row r="87" spans="1:26">
      <c r="A87" s="1785"/>
      <c r="B87" s="1786"/>
      <c r="C87" s="1786"/>
      <c r="D87" s="1786"/>
      <c r="E87" s="1786"/>
      <c r="F87" s="1786"/>
      <c r="G87" s="1786"/>
      <c r="H87" s="1786"/>
      <c r="I87" s="1786"/>
      <c r="J87" s="1786"/>
      <c r="K87" s="3971" t="s">
        <v>8231</v>
      </c>
      <c r="L87" s="3972"/>
      <c r="M87" s="3972"/>
      <c r="N87" s="3836">
        <v>0.5</v>
      </c>
      <c r="O87" s="3836"/>
      <c r="P87" s="3765">
        <v>1</v>
      </c>
      <c r="Q87" s="3765"/>
      <c r="R87" s="3765"/>
      <c r="S87" s="3765"/>
      <c r="T87" s="3765">
        <v>1.5</v>
      </c>
      <c r="U87" s="3765"/>
      <c r="V87" s="3765">
        <v>2</v>
      </c>
      <c r="W87" s="3765"/>
      <c r="X87" s="3765"/>
      <c r="Y87" s="3765"/>
      <c r="Z87" s="3799"/>
    </row>
    <row r="88" spans="1:26">
      <c r="A88" s="1787"/>
      <c r="B88" s="1784"/>
      <c r="C88" s="1784"/>
      <c r="D88" s="1784"/>
      <c r="E88" s="1784"/>
      <c r="F88" s="1784"/>
      <c r="G88" s="1784"/>
      <c r="H88" s="1784"/>
      <c r="I88" s="1784"/>
      <c r="J88" s="1784"/>
      <c r="K88" s="1801"/>
      <c r="L88" s="1801"/>
      <c r="M88" s="1801"/>
      <c r="N88" s="1792"/>
      <c r="O88" s="1802"/>
      <c r="P88" s="1802"/>
      <c r="Q88" s="1802"/>
      <c r="R88" s="1802"/>
      <c r="S88" s="1802"/>
      <c r="T88" s="1802"/>
      <c r="U88" s="1802"/>
      <c r="V88" s="1802"/>
      <c r="W88" s="1802"/>
      <c r="X88" s="1802"/>
      <c r="Y88" s="1802"/>
      <c r="Z88" s="1806"/>
    </row>
    <row r="89" spans="1:26">
      <c r="A89" s="3975" t="s">
        <v>8232</v>
      </c>
      <c r="B89" s="3976"/>
      <c r="C89" s="3976"/>
      <c r="D89" s="3976"/>
      <c r="E89" s="3976"/>
      <c r="F89" s="3976"/>
      <c r="G89" s="3976"/>
      <c r="H89" s="3976"/>
      <c r="I89" s="3976"/>
      <c r="J89" s="3976"/>
      <c r="K89" s="3976"/>
      <c r="L89" s="1786"/>
      <c r="M89" s="1786"/>
      <c r="N89" s="1752"/>
      <c r="O89" s="1789"/>
      <c r="P89" s="1789"/>
      <c r="Q89" s="1789"/>
      <c r="R89" s="1789"/>
      <c r="S89" s="1789"/>
      <c r="T89" s="1789"/>
      <c r="U89" s="1789"/>
      <c r="V89" s="1789"/>
      <c r="W89" s="1789"/>
      <c r="X89" s="1789"/>
      <c r="Y89" s="1789"/>
      <c r="Z89" s="1807"/>
    </row>
    <row r="90" spans="1:26">
      <c r="A90" s="3977"/>
      <c r="B90" s="3976"/>
      <c r="C90" s="3976"/>
      <c r="D90" s="3976"/>
      <c r="E90" s="3976"/>
      <c r="F90" s="3976"/>
      <c r="G90" s="3976"/>
      <c r="H90" s="3976"/>
      <c r="I90" s="3976"/>
      <c r="J90" s="3976"/>
      <c r="K90" s="3976"/>
      <c r="L90" s="1786"/>
      <c r="M90" s="1786"/>
      <c r="N90" s="1752"/>
      <c r="O90" s="1789"/>
      <c r="P90" s="1789"/>
      <c r="Q90" s="1789"/>
      <c r="R90" s="1789"/>
      <c r="S90" s="1789"/>
      <c r="T90" s="1789"/>
      <c r="U90" s="1789"/>
      <c r="V90" s="1789"/>
      <c r="W90" s="1789"/>
      <c r="X90" s="1789"/>
      <c r="Y90" s="1789"/>
      <c r="Z90" s="1807"/>
    </row>
    <row r="91" spans="1:26">
      <c r="A91" s="1788"/>
      <c r="B91" s="1789"/>
      <c r="C91" s="1789"/>
      <c r="D91" s="1789"/>
      <c r="E91" s="1789"/>
      <c r="F91" s="1789"/>
      <c r="G91" s="1789"/>
      <c r="H91" s="3973" t="s">
        <v>8233</v>
      </c>
      <c r="I91" s="3974"/>
      <c r="J91" s="3974"/>
      <c r="K91" s="3974"/>
      <c r="L91" s="3974"/>
      <c r="M91" s="3974"/>
      <c r="N91" s="3974"/>
      <c r="O91" s="3974"/>
      <c r="P91" s="3974"/>
      <c r="Q91" s="1789"/>
      <c r="R91" s="1789"/>
      <c r="S91" s="1789"/>
      <c r="T91" s="1789"/>
      <c r="U91" s="1789"/>
      <c r="V91" s="1789"/>
      <c r="W91" s="1789"/>
      <c r="X91" s="1789"/>
      <c r="Y91" s="1789"/>
      <c r="Z91" s="1807"/>
    </row>
    <row r="92" spans="1:26" ht="17.25" thickBot="1">
      <c r="A92" s="1790"/>
      <c r="B92" s="1791"/>
      <c r="C92" s="1792"/>
      <c r="D92" s="1792"/>
      <c r="E92" s="1792"/>
      <c r="F92" s="1792"/>
      <c r="G92" s="1792"/>
      <c r="H92" s="1793"/>
      <c r="I92" s="1803"/>
      <c r="J92" s="1803"/>
      <c r="K92" s="1803"/>
      <c r="L92" s="1803"/>
      <c r="M92" s="1803"/>
      <c r="N92" s="1803"/>
      <c r="O92" s="1803"/>
      <c r="P92" s="1803"/>
      <c r="Q92" s="1803"/>
      <c r="R92" s="1803"/>
      <c r="S92" s="1803"/>
      <c r="T92" s="1803"/>
      <c r="U92" s="1803"/>
      <c r="V92" s="1803"/>
      <c r="W92" s="1803"/>
      <c r="X92" s="1803"/>
      <c r="Y92" s="1803"/>
      <c r="Z92" s="1808"/>
    </row>
    <row r="93" spans="1:26">
      <c r="A93" s="1758"/>
      <c r="B93" s="1759"/>
      <c r="C93" s="1752"/>
      <c r="D93" s="1752"/>
      <c r="E93" s="1752"/>
      <c r="F93" s="1752"/>
      <c r="G93" s="1752"/>
      <c r="H93" s="1755"/>
      <c r="I93" s="1760"/>
      <c r="J93" s="1760"/>
      <c r="K93" s="1760"/>
      <c r="L93" s="1760"/>
      <c r="M93" s="1760"/>
      <c r="N93" s="1760"/>
      <c r="O93" s="1760"/>
      <c r="P93" s="1760"/>
      <c r="Q93" s="1760"/>
      <c r="R93" s="1760"/>
      <c r="S93" s="1760"/>
      <c r="T93" s="1760"/>
      <c r="U93" s="1760"/>
      <c r="V93" s="1760"/>
      <c r="W93" s="1760"/>
      <c r="X93" s="3919" t="s">
        <v>12714</v>
      </c>
      <c r="Y93" s="3920"/>
      <c r="Z93" s="1778"/>
    </row>
    <row r="94" spans="1:26">
      <c r="A94" s="1750"/>
      <c r="B94" s="1759"/>
      <c r="C94" s="1752"/>
      <c r="D94" s="1752"/>
      <c r="E94" s="1752"/>
      <c r="F94" s="1752"/>
      <c r="G94" s="1752"/>
      <c r="H94" s="1137"/>
      <c r="I94" s="1752"/>
      <c r="J94" s="1752"/>
      <c r="K94" s="1752"/>
      <c r="L94" s="1752"/>
      <c r="M94" s="1752"/>
      <c r="N94" s="1752"/>
      <c r="O94" s="1752"/>
      <c r="P94" s="1752"/>
      <c r="Q94" s="1752"/>
      <c r="R94" s="1752"/>
      <c r="S94" s="1752"/>
      <c r="T94" s="1752"/>
      <c r="U94" s="1752"/>
      <c r="V94" s="1752"/>
      <c r="W94" s="1752"/>
      <c r="X94" s="3921"/>
      <c r="Y94" s="3922"/>
      <c r="Z94" s="1775"/>
    </row>
    <row r="95" spans="1:26">
      <c r="A95" s="1758"/>
      <c r="B95" s="1759"/>
      <c r="C95" s="1752"/>
      <c r="D95" s="1752"/>
      <c r="E95" s="1752"/>
      <c r="F95" s="1752"/>
      <c r="G95" s="1752"/>
      <c r="H95" s="1752"/>
      <c r="I95" s="1752"/>
      <c r="J95" s="1752"/>
      <c r="K95" s="1752"/>
      <c r="L95" s="1752"/>
      <c r="M95" s="1752"/>
      <c r="N95" s="1752"/>
      <c r="O95" s="1752"/>
      <c r="P95" s="1752"/>
      <c r="Q95" s="1752"/>
      <c r="R95" s="1752"/>
      <c r="S95" s="1752"/>
      <c r="T95" s="1752"/>
      <c r="U95" s="1752"/>
      <c r="V95" s="1752"/>
      <c r="W95" s="1752"/>
      <c r="X95" s="3921"/>
      <c r="Y95" s="3922"/>
      <c r="Z95" s="1775"/>
    </row>
    <row r="96" spans="1:26">
      <c r="A96" s="1758"/>
      <c r="B96" s="1759"/>
      <c r="C96" s="1752"/>
      <c r="D96" s="1752"/>
      <c r="E96" s="1752"/>
      <c r="F96" s="1752"/>
      <c r="G96" s="1752"/>
      <c r="H96" s="1761"/>
      <c r="I96" s="1752"/>
      <c r="J96" s="1752"/>
      <c r="K96" s="1752"/>
      <c r="L96" s="1752"/>
      <c r="M96" s="1752"/>
      <c r="N96" s="1752"/>
      <c r="O96" s="1752"/>
      <c r="P96" s="1752"/>
      <c r="Q96" s="1752"/>
      <c r="R96" s="1752"/>
      <c r="S96" s="1752"/>
      <c r="T96" s="1752"/>
      <c r="U96" s="1752"/>
      <c r="V96" s="1752"/>
      <c r="W96" s="1752"/>
      <c r="X96" s="3921"/>
      <c r="Y96" s="3922"/>
      <c r="Z96" s="1775"/>
    </row>
    <row r="97" spans="1:26" ht="17.25" thickBot="1">
      <c r="A97" s="1758"/>
      <c r="B97" s="1759"/>
      <c r="C97" s="1752"/>
      <c r="D97" s="1752"/>
      <c r="E97" s="1752"/>
      <c r="F97" s="1752"/>
      <c r="G97" s="1752"/>
      <c r="H97" s="1759"/>
      <c r="I97" s="1752"/>
      <c r="J97" s="1752"/>
      <c r="K97" s="1752"/>
      <c r="L97" s="1752"/>
      <c r="M97" s="1752"/>
      <c r="N97" s="1752"/>
      <c r="O97" s="1752"/>
      <c r="P97" s="1752"/>
      <c r="Q97" s="1752"/>
      <c r="R97" s="1752"/>
      <c r="S97" s="1752"/>
      <c r="T97" s="1752"/>
      <c r="U97" s="1752"/>
      <c r="V97" s="1752"/>
      <c r="W97" s="1752"/>
      <c r="X97" s="3923"/>
      <c r="Y97" s="3924"/>
      <c r="Z97" s="1775"/>
    </row>
    <row r="98" spans="1:26">
      <c r="A98" s="1758"/>
      <c r="B98" s="1759"/>
      <c r="C98" s="1752"/>
      <c r="D98" s="1752"/>
      <c r="E98" s="1752"/>
      <c r="F98" s="1752"/>
      <c r="G98" s="1752"/>
      <c r="H98" s="1761"/>
      <c r="I98" s="1752"/>
      <c r="J98" s="1752"/>
      <c r="K98" s="1752"/>
      <c r="L98" s="1752"/>
      <c r="M98" s="1752"/>
      <c r="N98" s="1752"/>
      <c r="O98" s="1752"/>
      <c r="P98" s="1752"/>
      <c r="Q98" s="1752"/>
      <c r="R98" s="1752"/>
      <c r="S98" s="1752"/>
      <c r="T98" s="1752"/>
      <c r="U98" s="1752"/>
      <c r="V98" s="1752"/>
      <c r="W98" s="1752"/>
      <c r="X98" s="1752"/>
      <c r="Y98" s="1752"/>
      <c r="Z98" s="1775"/>
    </row>
    <row r="99" spans="1:26">
      <c r="A99" s="1762"/>
      <c r="B99" s="1763"/>
      <c r="C99" s="1764"/>
      <c r="D99" s="1764"/>
      <c r="E99" s="1764"/>
      <c r="F99" s="1764"/>
      <c r="G99" s="1764"/>
      <c r="H99" s="1763"/>
      <c r="I99" s="1764"/>
      <c r="J99" s="1764"/>
      <c r="K99" s="1764"/>
      <c r="L99" s="1764"/>
      <c r="M99" s="1764"/>
      <c r="N99" s="1764"/>
      <c r="O99" s="1764"/>
      <c r="P99" s="1764"/>
      <c r="Q99" s="1764"/>
      <c r="R99" s="1764"/>
      <c r="S99" s="1764"/>
      <c r="T99" s="1764"/>
      <c r="U99" s="1764"/>
      <c r="V99" s="1764"/>
      <c r="W99" s="1764"/>
      <c r="X99" s="1764"/>
      <c r="Y99" s="1764"/>
      <c r="Z99" s="1779"/>
    </row>
    <row r="100" spans="1:26">
      <c r="A100" s="3760" t="s">
        <v>8160</v>
      </c>
      <c r="B100" s="3761"/>
      <c r="C100" s="3761"/>
      <c r="D100" s="3761"/>
      <c r="E100" s="3761"/>
      <c r="F100" s="3761"/>
      <c r="G100" s="3761"/>
      <c r="H100" s="3761" t="s">
        <v>8161</v>
      </c>
      <c r="I100" s="3761"/>
      <c r="J100" s="3761"/>
      <c r="K100" s="3761" t="s">
        <v>8162</v>
      </c>
      <c r="L100" s="3761"/>
      <c r="M100" s="3761"/>
      <c r="N100" s="3761"/>
      <c r="O100" s="3761"/>
      <c r="P100" s="3761"/>
      <c r="Q100" s="3761"/>
      <c r="R100" s="3761"/>
      <c r="S100" s="3761"/>
      <c r="T100" s="3761"/>
      <c r="U100" s="3761" t="s">
        <v>8163</v>
      </c>
      <c r="V100" s="3761"/>
      <c r="W100" s="3761"/>
      <c r="X100" s="3761"/>
      <c r="Y100" s="3761"/>
      <c r="Z100" s="3762"/>
    </row>
    <row r="101" spans="1:26">
      <c r="A101" s="3809" t="s">
        <v>8213</v>
      </c>
      <c r="B101" s="3810"/>
      <c r="C101" s="3810"/>
      <c r="D101" s="3810"/>
      <c r="E101" s="3810"/>
      <c r="F101" s="3810"/>
      <c r="G101" s="3811"/>
      <c r="H101" s="3763"/>
      <c r="I101" s="3763"/>
      <c r="J101" s="3763"/>
      <c r="K101" s="3763" t="s">
        <v>8165</v>
      </c>
      <c r="L101" s="3763"/>
      <c r="M101" s="3763" t="s">
        <v>5928</v>
      </c>
      <c r="N101" s="3763"/>
      <c r="O101" s="3763" t="s">
        <v>7453</v>
      </c>
      <c r="P101" s="3763"/>
      <c r="Q101" s="3763" t="s">
        <v>5930</v>
      </c>
      <c r="R101" s="3763"/>
      <c r="S101" s="3763" t="s">
        <v>4554</v>
      </c>
      <c r="T101" s="3763"/>
      <c r="U101" s="3763"/>
      <c r="V101" s="3763"/>
      <c r="W101" s="3763"/>
      <c r="X101" s="3763"/>
      <c r="Y101" s="3763"/>
      <c r="Z101" s="3815"/>
    </row>
    <row r="102" spans="1:26">
      <c r="A102" s="3812"/>
      <c r="B102" s="3813"/>
      <c r="C102" s="3813"/>
      <c r="D102" s="3813"/>
      <c r="E102" s="3813"/>
      <c r="F102" s="3813"/>
      <c r="G102" s="3814"/>
      <c r="H102" s="3747"/>
      <c r="I102" s="3747"/>
      <c r="J102" s="3747"/>
      <c r="K102" s="3747" t="s">
        <v>8166</v>
      </c>
      <c r="L102" s="3747"/>
      <c r="M102" s="3747"/>
      <c r="N102" s="3747"/>
      <c r="O102" s="3747"/>
      <c r="P102" s="3747"/>
      <c r="Q102" s="3747"/>
      <c r="R102" s="3747"/>
      <c r="S102" s="3747"/>
      <c r="T102" s="3747"/>
      <c r="U102" s="3747"/>
      <c r="V102" s="3747"/>
      <c r="W102" s="3747"/>
      <c r="X102" s="3747"/>
      <c r="Y102" s="3747"/>
      <c r="Z102" s="3816"/>
    </row>
    <row r="103" spans="1:26" ht="10.5" customHeight="1"/>
    <row r="104" spans="1:26" ht="20.25">
      <c r="A104" s="3807" t="s">
        <v>8167</v>
      </c>
      <c r="B104" s="3761"/>
      <c r="C104" s="3761"/>
      <c r="D104" s="3761"/>
      <c r="E104" s="3761"/>
      <c r="F104" s="3761"/>
      <c r="G104" s="3761"/>
      <c r="H104" s="3744" t="s">
        <v>8095</v>
      </c>
      <c r="I104" s="3744"/>
      <c r="J104" s="3744"/>
      <c r="K104" s="3744"/>
      <c r="L104" s="3744"/>
      <c r="M104" s="3744"/>
      <c r="N104" s="3744"/>
      <c r="O104" s="3744"/>
      <c r="P104" s="3744"/>
      <c r="Q104" s="3744"/>
      <c r="R104" s="3744"/>
      <c r="S104" s="3744"/>
      <c r="T104" s="3744"/>
      <c r="U104" s="3745" t="s">
        <v>8096</v>
      </c>
      <c r="V104" s="3745"/>
      <c r="W104" s="3745"/>
      <c r="X104" s="3745"/>
      <c r="Y104" s="3745"/>
      <c r="Z104" s="3746"/>
    </row>
    <row r="105" spans="1:26">
      <c r="A105" s="3808"/>
      <c r="B105" s="3747"/>
      <c r="C105" s="3747"/>
      <c r="D105" s="3747"/>
      <c r="E105" s="3747"/>
      <c r="F105" s="3747"/>
      <c r="G105" s="3747"/>
      <c r="H105" s="3747" t="s">
        <v>8202</v>
      </c>
      <c r="I105" s="3747"/>
      <c r="J105" s="3747"/>
      <c r="K105" s="3747"/>
      <c r="L105" s="3747"/>
      <c r="M105" s="3747"/>
      <c r="N105" s="3747"/>
      <c r="O105" s="3747"/>
      <c r="P105" s="3747"/>
      <c r="Q105" s="3747"/>
      <c r="R105" s="3747"/>
      <c r="S105" s="3747"/>
      <c r="T105" s="3747"/>
      <c r="U105" s="3748" t="s">
        <v>8203</v>
      </c>
      <c r="V105" s="3748"/>
      <c r="W105" s="3748"/>
      <c r="X105" s="3748" t="s">
        <v>8234</v>
      </c>
      <c r="Y105" s="3748"/>
      <c r="Z105" s="3749"/>
    </row>
    <row r="106" spans="1:26">
      <c r="A106" s="1747"/>
      <c r="B106" s="1748"/>
      <c r="C106" s="1748"/>
      <c r="D106" s="1748"/>
      <c r="E106" s="1748"/>
      <c r="F106" s="1748"/>
      <c r="G106" s="1748"/>
      <c r="H106" s="1748"/>
      <c r="I106" s="1748"/>
      <c r="J106" s="1748"/>
      <c r="K106" s="1748"/>
      <c r="L106" s="1748"/>
      <c r="M106" s="1748"/>
      <c r="N106" s="1748"/>
      <c r="O106" s="1748"/>
      <c r="P106" s="1748"/>
      <c r="Q106" s="1748"/>
      <c r="R106" s="1748"/>
      <c r="S106" s="1748"/>
      <c r="T106" s="1748"/>
      <c r="U106" s="1748"/>
      <c r="V106" s="1748"/>
      <c r="W106" s="1748"/>
      <c r="X106" s="1748"/>
      <c r="Y106" s="1748"/>
      <c r="Z106" s="1772"/>
    </row>
    <row r="107" spans="1:26">
      <c r="A107" s="1794"/>
      <c r="B107" s="1770"/>
      <c r="C107" s="1770"/>
      <c r="D107" s="1770"/>
      <c r="E107" s="1770"/>
      <c r="F107" s="1770"/>
      <c r="G107" s="1770"/>
      <c r="H107" s="1770"/>
      <c r="I107" s="1770"/>
      <c r="J107" s="1770"/>
      <c r="K107" s="1770"/>
      <c r="L107" s="1770"/>
      <c r="M107" s="1770"/>
      <c r="N107" s="1770"/>
      <c r="O107" s="1766"/>
      <c r="P107" s="1766"/>
      <c r="Q107" s="1766"/>
      <c r="R107" s="1766"/>
      <c r="S107" s="1766"/>
      <c r="T107" s="1766"/>
      <c r="U107" s="1766"/>
      <c r="V107" s="1766"/>
      <c r="W107" s="1766"/>
      <c r="X107" s="1766"/>
      <c r="Y107" s="1766"/>
      <c r="Z107" s="1773"/>
    </row>
    <row r="108" spans="1:26">
      <c r="A108" s="3851" t="s">
        <v>8235</v>
      </c>
      <c r="B108" s="3852"/>
      <c r="C108" s="3896" t="s">
        <v>4554</v>
      </c>
      <c r="D108" s="3757"/>
      <c r="E108" s="3896" t="s">
        <v>5928</v>
      </c>
      <c r="F108" s="3757"/>
      <c r="G108" s="3757"/>
      <c r="H108" s="3757"/>
      <c r="I108" s="3896" t="s">
        <v>7453</v>
      </c>
      <c r="J108" s="3757"/>
      <c r="K108" s="3757"/>
      <c r="L108" s="3757"/>
      <c r="M108" s="3757"/>
      <c r="N108" s="3896" t="s">
        <v>8141</v>
      </c>
      <c r="O108" s="3757"/>
      <c r="P108" s="3757"/>
      <c r="Q108" s="3757"/>
      <c r="R108" s="3757"/>
      <c r="S108" s="3896" t="s">
        <v>6556</v>
      </c>
      <c r="T108" s="3757"/>
      <c r="U108" s="3757"/>
      <c r="V108" s="3757"/>
      <c r="W108" s="3896" t="s">
        <v>8068</v>
      </c>
      <c r="X108" s="3757"/>
      <c r="Y108" s="3896" t="s">
        <v>6035</v>
      </c>
      <c r="Z108" s="3978"/>
    </row>
    <row r="109" spans="1:26">
      <c r="A109" s="3832"/>
      <c r="B109" s="3837"/>
      <c r="C109" s="3837" t="s">
        <v>8212</v>
      </c>
      <c r="D109" s="3837"/>
      <c r="E109" s="3837" t="s">
        <v>8209</v>
      </c>
      <c r="F109" s="3837"/>
      <c r="G109" s="3837" t="s">
        <v>8236</v>
      </c>
      <c r="H109" s="3837"/>
      <c r="I109" s="3837" t="s">
        <v>8209</v>
      </c>
      <c r="J109" s="3837"/>
      <c r="K109" s="3837" t="s">
        <v>8236</v>
      </c>
      <c r="L109" s="3837"/>
      <c r="M109" s="3837"/>
      <c r="N109" s="3837" t="s">
        <v>8209</v>
      </c>
      <c r="O109" s="3837"/>
      <c r="P109" s="3837" t="s">
        <v>8236</v>
      </c>
      <c r="Q109" s="3837"/>
      <c r="R109" s="3837"/>
      <c r="S109" s="3837" t="s">
        <v>8209</v>
      </c>
      <c r="T109" s="3837"/>
      <c r="U109" s="3837" t="s">
        <v>8236</v>
      </c>
      <c r="V109" s="3837"/>
      <c r="W109" s="3837" t="s">
        <v>8211</v>
      </c>
      <c r="X109" s="3837"/>
      <c r="Y109" s="3837" t="s">
        <v>8211</v>
      </c>
      <c r="Z109" s="3850"/>
    </row>
    <row r="110" spans="1:26">
      <c r="A110" s="3832"/>
      <c r="B110" s="3837"/>
      <c r="C110" s="3837"/>
      <c r="D110" s="3837"/>
      <c r="E110" s="3837"/>
      <c r="F110" s="3837"/>
      <c r="G110" s="3837"/>
      <c r="H110" s="3837"/>
      <c r="I110" s="3837"/>
      <c r="J110" s="3837"/>
      <c r="K110" s="3837"/>
      <c r="L110" s="3837"/>
      <c r="M110" s="3837"/>
      <c r="N110" s="3837"/>
      <c r="O110" s="3837"/>
      <c r="P110" s="3837"/>
      <c r="Q110" s="3837"/>
      <c r="R110" s="3837"/>
      <c r="S110" s="3837"/>
      <c r="T110" s="3837"/>
      <c r="U110" s="3837"/>
      <c r="V110" s="3837"/>
      <c r="W110" s="3837"/>
      <c r="X110" s="3837"/>
      <c r="Y110" s="3837"/>
      <c r="Z110" s="3850"/>
    </row>
    <row r="111" spans="1:26">
      <c r="A111" s="3938">
        <v>5</v>
      </c>
      <c r="B111" s="3783"/>
      <c r="C111" s="3783" t="s">
        <v>8175</v>
      </c>
      <c r="D111" s="3783"/>
      <c r="E111" s="3783">
        <v>5</v>
      </c>
      <c r="F111" s="3783"/>
      <c r="G111" s="4003"/>
      <c r="H111" s="4004"/>
      <c r="I111" s="3901">
        <v>9</v>
      </c>
      <c r="J111" s="3979"/>
      <c r="K111" s="3983"/>
      <c r="L111" s="3984"/>
      <c r="M111" s="3985"/>
      <c r="N111" s="3901">
        <v>3</v>
      </c>
      <c r="O111" s="3979"/>
      <c r="P111" s="3901"/>
      <c r="Q111" s="3980"/>
      <c r="R111" s="3979"/>
      <c r="S111" s="3901">
        <v>6.5</v>
      </c>
      <c r="T111" s="3979"/>
      <c r="U111" s="3983"/>
      <c r="V111" s="3985"/>
      <c r="W111" s="3981">
        <v>1</v>
      </c>
      <c r="X111" s="3982"/>
      <c r="Y111" s="3862">
        <v>0.3</v>
      </c>
      <c r="Z111" s="4000"/>
    </row>
    <row r="112" spans="1:26">
      <c r="A112" s="3938">
        <v>6</v>
      </c>
      <c r="B112" s="3783"/>
      <c r="C112" s="3783" t="s">
        <v>8176</v>
      </c>
      <c r="D112" s="3783"/>
      <c r="E112" s="3783">
        <v>6</v>
      </c>
      <c r="F112" s="3783"/>
      <c r="G112" s="4005"/>
      <c r="H112" s="4006"/>
      <c r="I112" s="3901">
        <v>10</v>
      </c>
      <c r="J112" s="3979"/>
      <c r="K112" s="3988"/>
      <c r="L112" s="3989"/>
      <c r="M112" s="3990"/>
      <c r="N112" s="3901">
        <v>4</v>
      </c>
      <c r="O112" s="3979"/>
      <c r="P112" s="3983"/>
      <c r="Q112" s="3984"/>
      <c r="R112" s="3985"/>
      <c r="S112" s="3901">
        <v>8</v>
      </c>
      <c r="T112" s="3979"/>
      <c r="U112" s="3986"/>
      <c r="V112" s="3987"/>
      <c r="W112" s="3862">
        <v>1.6</v>
      </c>
      <c r="X112" s="3863"/>
      <c r="Y112" s="3864"/>
      <c r="Z112" s="4001"/>
    </row>
    <row r="113" spans="1:26">
      <c r="A113" s="3938">
        <v>8</v>
      </c>
      <c r="B113" s="3783"/>
      <c r="C113" s="3783" t="s">
        <v>8177</v>
      </c>
      <c r="D113" s="3783"/>
      <c r="E113" s="3783">
        <v>8</v>
      </c>
      <c r="F113" s="3783"/>
      <c r="G113" s="4005"/>
      <c r="H113" s="4006"/>
      <c r="I113" s="3901">
        <v>13</v>
      </c>
      <c r="J113" s="3979"/>
      <c r="K113" s="3983"/>
      <c r="L113" s="3984"/>
      <c r="M113" s="3985"/>
      <c r="N113" s="3901">
        <v>6</v>
      </c>
      <c r="O113" s="3979"/>
      <c r="P113" s="3986"/>
      <c r="Q113" s="3916"/>
      <c r="R113" s="3987"/>
      <c r="S113" s="3901">
        <v>10</v>
      </c>
      <c r="T113" s="3979"/>
      <c r="U113" s="3988"/>
      <c r="V113" s="3990"/>
      <c r="W113" s="3864"/>
      <c r="X113" s="3865"/>
      <c r="Y113" s="3864"/>
      <c r="Z113" s="4001"/>
    </row>
    <row r="114" spans="1:26">
      <c r="A114" s="3938">
        <v>10</v>
      </c>
      <c r="B114" s="3783"/>
      <c r="C114" s="3783" t="s">
        <v>8178</v>
      </c>
      <c r="D114" s="3783"/>
      <c r="E114" s="3783">
        <v>10</v>
      </c>
      <c r="F114" s="3783"/>
      <c r="G114" s="4007"/>
      <c r="H114" s="4008"/>
      <c r="I114" s="3901">
        <v>15</v>
      </c>
      <c r="J114" s="3979"/>
      <c r="K114" s="3986"/>
      <c r="L114" s="3916"/>
      <c r="M114" s="3987"/>
      <c r="N114" s="3901">
        <v>6</v>
      </c>
      <c r="O114" s="3979"/>
      <c r="P114" s="3988"/>
      <c r="Q114" s="3989"/>
      <c r="R114" s="3990"/>
      <c r="S114" s="3901">
        <v>12</v>
      </c>
      <c r="T114" s="3979"/>
      <c r="U114" s="3983"/>
      <c r="V114" s="3985"/>
      <c r="W114" s="3866"/>
      <c r="X114" s="3867"/>
      <c r="Y114" s="3866"/>
      <c r="Z114" s="4002"/>
    </row>
    <row r="115" spans="1:26">
      <c r="A115" s="3938">
        <v>12</v>
      </c>
      <c r="B115" s="3783"/>
      <c r="C115" s="3783" t="s">
        <v>8179</v>
      </c>
      <c r="D115" s="3783"/>
      <c r="E115" s="3783">
        <v>12</v>
      </c>
      <c r="F115" s="3783"/>
      <c r="G115" s="3983"/>
      <c r="H115" s="3985"/>
      <c r="I115" s="3901">
        <v>18</v>
      </c>
      <c r="J115" s="3979"/>
      <c r="K115" s="3988"/>
      <c r="L115" s="3989"/>
      <c r="M115" s="3990"/>
      <c r="N115" s="3901">
        <v>7</v>
      </c>
      <c r="O115" s="3979"/>
      <c r="P115" s="3983"/>
      <c r="Q115" s="3984"/>
      <c r="R115" s="3985"/>
      <c r="S115" s="3901">
        <v>14</v>
      </c>
      <c r="T115" s="3979"/>
      <c r="U115" s="3986"/>
      <c r="V115" s="3987"/>
      <c r="W115" s="3862">
        <v>2.5</v>
      </c>
      <c r="X115" s="3863"/>
      <c r="Y115" s="3862">
        <v>0.4</v>
      </c>
      <c r="Z115" s="4000"/>
    </row>
    <row r="116" spans="1:26">
      <c r="A116" s="3938">
        <v>14</v>
      </c>
      <c r="B116" s="3783"/>
      <c r="C116" s="3783" t="s">
        <v>8180</v>
      </c>
      <c r="D116" s="3783"/>
      <c r="E116" s="3783">
        <v>14</v>
      </c>
      <c r="F116" s="3783"/>
      <c r="G116" s="3986"/>
      <c r="H116" s="3987"/>
      <c r="I116" s="3901">
        <v>22</v>
      </c>
      <c r="J116" s="3979"/>
      <c r="K116" s="3983"/>
      <c r="L116" s="3984"/>
      <c r="M116" s="3985"/>
      <c r="N116" s="3901">
        <v>8</v>
      </c>
      <c r="O116" s="3979"/>
      <c r="P116" s="3986"/>
      <c r="Q116" s="3916"/>
      <c r="R116" s="3987"/>
      <c r="S116" s="3901">
        <v>16</v>
      </c>
      <c r="T116" s="3979"/>
      <c r="U116" s="3988"/>
      <c r="V116" s="3990"/>
      <c r="W116" s="3864"/>
      <c r="X116" s="3865"/>
      <c r="Y116" s="3864"/>
      <c r="Z116" s="4001"/>
    </row>
    <row r="117" spans="1:26">
      <c r="A117" s="3938">
        <v>18</v>
      </c>
      <c r="B117" s="3783"/>
      <c r="C117" s="3783" t="s">
        <v>8182</v>
      </c>
      <c r="D117" s="3783"/>
      <c r="E117" s="3783">
        <v>18</v>
      </c>
      <c r="F117" s="3783"/>
      <c r="G117" s="3986"/>
      <c r="H117" s="3987"/>
      <c r="I117" s="3901">
        <v>23</v>
      </c>
      <c r="J117" s="3979"/>
      <c r="K117" s="3988"/>
      <c r="L117" s="3989"/>
      <c r="M117" s="3990"/>
      <c r="N117" s="3901">
        <v>10</v>
      </c>
      <c r="O117" s="3979"/>
      <c r="P117" s="3988"/>
      <c r="Q117" s="3989"/>
      <c r="R117" s="3990"/>
      <c r="S117" s="3901">
        <v>20</v>
      </c>
      <c r="T117" s="3979"/>
      <c r="U117" s="3983"/>
      <c r="V117" s="3985"/>
      <c r="W117" s="3864"/>
      <c r="X117" s="3865"/>
      <c r="Y117" s="3866"/>
      <c r="Z117" s="4002"/>
    </row>
    <row r="118" spans="1:26">
      <c r="A118" s="3938">
        <v>22</v>
      </c>
      <c r="B118" s="3783"/>
      <c r="C118" s="3783" t="s">
        <v>8184</v>
      </c>
      <c r="D118" s="3783"/>
      <c r="E118" s="3783">
        <v>22</v>
      </c>
      <c r="F118" s="3783"/>
      <c r="G118" s="3986"/>
      <c r="H118" s="3987"/>
      <c r="I118" s="3901">
        <v>34</v>
      </c>
      <c r="J118" s="3979"/>
      <c r="K118" s="3983"/>
      <c r="L118" s="3984"/>
      <c r="M118" s="3985"/>
      <c r="N118" s="3901">
        <v>14</v>
      </c>
      <c r="O118" s="3979"/>
      <c r="P118" s="3983"/>
      <c r="Q118" s="3984"/>
      <c r="R118" s="3985"/>
      <c r="S118" s="3901">
        <v>28</v>
      </c>
      <c r="T118" s="3979"/>
      <c r="U118" s="3988"/>
      <c r="V118" s="3990"/>
      <c r="W118" s="3866"/>
      <c r="X118" s="3867"/>
      <c r="Y118" s="3862">
        <v>0.5</v>
      </c>
      <c r="Z118" s="4000"/>
    </row>
    <row r="119" spans="1:26">
      <c r="A119" s="3938">
        <v>28</v>
      </c>
      <c r="B119" s="3783"/>
      <c r="C119" s="3783" t="s">
        <v>8186</v>
      </c>
      <c r="D119" s="3783"/>
      <c r="E119" s="3783">
        <v>28</v>
      </c>
      <c r="F119" s="3783"/>
      <c r="G119" s="3988"/>
      <c r="H119" s="3990"/>
      <c r="I119" s="3901">
        <v>43</v>
      </c>
      <c r="J119" s="3979"/>
      <c r="K119" s="3988"/>
      <c r="L119" s="3989"/>
      <c r="M119" s="3990"/>
      <c r="N119" s="3901">
        <v>18</v>
      </c>
      <c r="O119" s="3979"/>
      <c r="P119" s="3988"/>
      <c r="Q119" s="3989"/>
      <c r="R119" s="3990"/>
      <c r="S119" s="3901">
        <v>36</v>
      </c>
      <c r="T119" s="3979"/>
      <c r="U119" s="3983"/>
      <c r="V119" s="3985"/>
      <c r="W119" s="3981">
        <v>4</v>
      </c>
      <c r="X119" s="3982"/>
      <c r="Y119" s="3864"/>
      <c r="Z119" s="4001"/>
    </row>
    <row r="120" spans="1:26">
      <c r="A120" s="3938">
        <v>36</v>
      </c>
      <c r="B120" s="3783"/>
      <c r="C120" s="3783" t="s">
        <v>8188</v>
      </c>
      <c r="D120" s="3783"/>
      <c r="E120" s="3783">
        <v>36</v>
      </c>
      <c r="F120" s="3783"/>
      <c r="G120" s="3983"/>
      <c r="H120" s="3985"/>
      <c r="I120" s="3901">
        <v>53</v>
      </c>
      <c r="J120" s="3979"/>
      <c r="K120" s="3983"/>
      <c r="L120" s="3984"/>
      <c r="M120" s="3985"/>
      <c r="N120" s="3901">
        <v>23</v>
      </c>
      <c r="O120" s="3979"/>
      <c r="P120" s="3983"/>
      <c r="Q120" s="3984"/>
      <c r="R120" s="3985"/>
      <c r="S120" s="3901">
        <v>44</v>
      </c>
      <c r="T120" s="3979"/>
      <c r="U120" s="3988"/>
      <c r="V120" s="3990"/>
      <c r="W120" s="3862">
        <v>6</v>
      </c>
      <c r="X120" s="3863"/>
      <c r="Y120" s="3866"/>
      <c r="Z120" s="4002"/>
    </row>
    <row r="121" spans="1:26">
      <c r="A121" s="3938">
        <v>42</v>
      </c>
      <c r="B121" s="3783"/>
      <c r="C121" s="3783" t="s">
        <v>8189</v>
      </c>
      <c r="D121" s="3783"/>
      <c r="E121" s="3783">
        <v>42</v>
      </c>
      <c r="F121" s="3783"/>
      <c r="G121" s="3986"/>
      <c r="H121" s="3987"/>
      <c r="I121" s="3901">
        <v>64</v>
      </c>
      <c r="J121" s="3979"/>
      <c r="K121" s="3986"/>
      <c r="L121" s="3916"/>
      <c r="M121" s="3987"/>
      <c r="N121" s="3901">
        <v>28</v>
      </c>
      <c r="O121" s="3979"/>
      <c r="P121" s="3988"/>
      <c r="Q121" s="3989"/>
      <c r="R121" s="3990"/>
      <c r="S121" s="3901">
        <v>52</v>
      </c>
      <c r="T121" s="3979"/>
      <c r="U121" s="3983"/>
      <c r="V121" s="3985"/>
      <c r="W121" s="3864"/>
      <c r="X121" s="3865"/>
      <c r="Y121" s="3862">
        <v>0.8</v>
      </c>
      <c r="Z121" s="4000"/>
    </row>
    <row r="122" spans="1:26">
      <c r="A122" s="3938">
        <v>48</v>
      </c>
      <c r="B122" s="3783"/>
      <c r="C122" s="3783" t="s">
        <v>812</v>
      </c>
      <c r="D122" s="3783"/>
      <c r="E122" s="3783">
        <v>48</v>
      </c>
      <c r="F122" s="3783"/>
      <c r="G122" s="3986"/>
      <c r="H122" s="3987"/>
      <c r="I122" s="3901">
        <v>75</v>
      </c>
      <c r="J122" s="3979"/>
      <c r="K122" s="3988"/>
      <c r="L122" s="3989"/>
      <c r="M122" s="3990"/>
      <c r="N122" s="3901">
        <v>32</v>
      </c>
      <c r="O122" s="3979"/>
      <c r="P122" s="3983"/>
      <c r="Q122" s="3984"/>
      <c r="R122" s="3985"/>
      <c r="S122" s="3901">
        <v>60</v>
      </c>
      <c r="T122" s="3979"/>
      <c r="U122" s="3986"/>
      <c r="V122" s="3987"/>
      <c r="W122" s="3864"/>
      <c r="X122" s="3865"/>
      <c r="Y122" s="3864"/>
      <c r="Z122" s="4001"/>
    </row>
    <row r="123" spans="1:26">
      <c r="A123" s="3962">
        <v>54</v>
      </c>
      <c r="B123" s="3872"/>
      <c r="C123" s="3872" t="s">
        <v>8190</v>
      </c>
      <c r="D123" s="3872"/>
      <c r="E123" s="3872">
        <v>54</v>
      </c>
      <c r="F123" s="3872"/>
      <c r="G123" s="3998"/>
      <c r="H123" s="3999"/>
      <c r="I123" s="4028">
        <v>85</v>
      </c>
      <c r="J123" s="4029"/>
      <c r="K123" s="4028"/>
      <c r="L123" s="4030"/>
      <c r="M123" s="4029"/>
      <c r="N123" s="4028">
        <v>36</v>
      </c>
      <c r="O123" s="4029"/>
      <c r="P123" s="3998"/>
      <c r="Q123" s="4032"/>
      <c r="R123" s="3999"/>
      <c r="S123" s="4028">
        <v>70</v>
      </c>
      <c r="T123" s="4029"/>
      <c r="U123" s="3998"/>
      <c r="V123" s="3999"/>
      <c r="W123" s="4026"/>
      <c r="X123" s="4027"/>
      <c r="Y123" s="4026"/>
      <c r="Z123" s="4031"/>
    </row>
    <row r="124" spans="1:26">
      <c r="A124" s="3995" t="s">
        <v>8237</v>
      </c>
      <c r="B124" s="3996"/>
      <c r="C124" s="3996"/>
      <c r="D124" s="3996"/>
      <c r="E124" s="3996"/>
      <c r="F124" s="3996"/>
      <c r="G124" s="3996"/>
      <c r="H124" s="3996"/>
      <c r="I124" s="3996"/>
      <c r="J124" s="3996"/>
      <c r="K124" s="3996"/>
      <c r="L124" s="3996"/>
      <c r="M124" s="3996"/>
      <c r="N124" s="3996"/>
      <c r="O124" s="3996"/>
      <c r="P124" s="3996"/>
      <c r="Q124" s="3996"/>
      <c r="R124" s="3996"/>
      <c r="S124" s="3996"/>
      <c r="T124" s="3996"/>
      <c r="U124" s="3996"/>
      <c r="V124" s="3996"/>
      <c r="W124" s="3996"/>
      <c r="X124" s="3996"/>
      <c r="Y124" s="3996"/>
      <c r="Z124" s="3997"/>
    </row>
    <row r="125" spans="1:26">
      <c r="A125" s="3882"/>
      <c r="B125" s="3880"/>
      <c r="C125" s="3880"/>
      <c r="D125" s="3880"/>
      <c r="E125" s="3880"/>
      <c r="F125" s="3880"/>
      <c r="G125" s="3880"/>
      <c r="H125" s="3880"/>
      <c r="I125" s="3880"/>
      <c r="J125" s="3880"/>
      <c r="K125" s="3880"/>
      <c r="L125" s="3880"/>
      <c r="M125" s="3880"/>
      <c r="N125" s="3880"/>
      <c r="O125" s="3880"/>
      <c r="P125" s="3880"/>
      <c r="Q125" s="3880"/>
      <c r="R125" s="3880"/>
      <c r="S125" s="3880"/>
      <c r="T125" s="3880"/>
      <c r="U125" s="3880"/>
      <c r="V125" s="3880"/>
      <c r="W125" s="3880"/>
      <c r="X125" s="3880"/>
      <c r="Y125" s="3880"/>
      <c r="Z125" s="3881"/>
    </row>
    <row r="126" spans="1:26">
      <c r="A126" s="3882"/>
      <c r="B126" s="3880"/>
      <c r="C126" s="3880"/>
      <c r="D126" s="3880"/>
      <c r="E126" s="3880"/>
      <c r="F126" s="3880"/>
      <c r="G126" s="3880"/>
      <c r="H126" s="3880"/>
      <c r="I126" s="3880"/>
      <c r="J126" s="3880"/>
      <c r="K126" s="3880"/>
      <c r="L126" s="3880"/>
      <c r="M126" s="3880"/>
      <c r="N126" s="3880"/>
      <c r="O126" s="3880"/>
      <c r="P126" s="3880"/>
      <c r="Q126" s="3880"/>
      <c r="R126" s="3880"/>
      <c r="S126" s="3880"/>
      <c r="T126" s="3880"/>
      <c r="U126" s="3880"/>
      <c r="V126" s="3880"/>
      <c r="W126" s="3880"/>
      <c r="X126" s="3880"/>
      <c r="Y126" s="3880"/>
      <c r="Z126" s="3881"/>
    </row>
    <row r="127" spans="1:26">
      <c r="A127" s="1797"/>
      <c r="B127" s="1798"/>
      <c r="C127" s="1799"/>
      <c r="D127" s="1799"/>
      <c r="E127" s="1799"/>
      <c r="F127" s="1799"/>
      <c r="G127" s="1799"/>
      <c r="H127" s="1799"/>
      <c r="I127" s="1799"/>
      <c r="J127" s="1799"/>
      <c r="K127" s="1799"/>
      <c r="L127" s="1799"/>
      <c r="M127" s="1799"/>
      <c r="N127" s="1799"/>
      <c r="O127" s="1799"/>
      <c r="P127" s="1799"/>
      <c r="Q127" s="1799"/>
      <c r="R127" s="1799"/>
      <c r="S127" s="1799"/>
      <c r="T127" s="1799"/>
      <c r="U127" s="1799"/>
      <c r="V127" s="1799"/>
      <c r="W127" s="1799"/>
      <c r="X127" s="1799"/>
      <c r="Y127" s="1799"/>
      <c r="Z127" s="1810"/>
    </row>
    <row r="128" spans="1:26">
      <c r="A128" s="1797"/>
      <c r="C128" s="1799"/>
      <c r="D128" s="1799"/>
      <c r="E128" s="1799"/>
      <c r="F128" s="1799"/>
      <c r="G128" s="1799"/>
      <c r="H128" s="1799"/>
      <c r="I128" s="1799"/>
      <c r="J128" s="1799"/>
      <c r="K128" s="1799"/>
      <c r="L128" s="1799"/>
      <c r="M128" s="1799"/>
      <c r="N128" s="1799"/>
      <c r="O128" s="1799"/>
      <c r="P128" s="1799"/>
      <c r="Q128" s="1799"/>
      <c r="R128" s="1799"/>
      <c r="S128" s="1799"/>
      <c r="T128" s="1799"/>
      <c r="U128" s="1799"/>
      <c r="V128" s="1799"/>
      <c r="W128" s="1799"/>
      <c r="X128" s="1799"/>
      <c r="Y128" s="1799"/>
      <c r="Z128" s="1810"/>
    </row>
    <row r="129" spans="1:26">
      <c r="A129" s="1811"/>
      <c r="B129" s="1812"/>
      <c r="C129" s="1753"/>
      <c r="D129" s="1753"/>
      <c r="E129" s="1753"/>
      <c r="F129" s="1753"/>
      <c r="G129" s="1753"/>
      <c r="H129" s="1753"/>
      <c r="I129" s="1753"/>
      <c r="J129" s="1753"/>
      <c r="K129" s="1753"/>
      <c r="L129" s="1753"/>
      <c r="M129" s="1753"/>
      <c r="N129" s="1753"/>
      <c r="O129" s="1789"/>
      <c r="P129" s="1789"/>
      <c r="Q129" s="1789"/>
      <c r="R129" s="1789"/>
      <c r="S129" s="1789"/>
      <c r="T129" s="1789"/>
      <c r="U129" s="1789"/>
      <c r="V129" s="1789"/>
      <c r="W129" s="1789"/>
      <c r="X129" s="1789"/>
      <c r="Y129" s="1789"/>
      <c r="Z129" s="1807"/>
    </row>
    <row r="130" spans="1:26">
      <c r="A130" s="1811"/>
      <c r="B130" s="1812"/>
      <c r="C130" s="1812"/>
      <c r="D130" s="1812"/>
      <c r="E130" s="1812"/>
      <c r="F130" s="1812"/>
      <c r="G130" s="1812"/>
      <c r="H130" s="1812"/>
      <c r="I130" s="1812"/>
      <c r="J130" s="1812"/>
      <c r="K130" s="1812"/>
      <c r="L130" s="1812"/>
      <c r="M130" s="1812"/>
      <c r="N130" s="1812"/>
      <c r="O130" s="1789"/>
      <c r="P130" s="1789"/>
      <c r="Q130" s="1789"/>
      <c r="R130" s="1789"/>
      <c r="S130" s="1789"/>
      <c r="T130" s="1789"/>
      <c r="U130" s="1789"/>
      <c r="V130" s="1789"/>
      <c r="W130" s="1789"/>
      <c r="X130" s="1789"/>
      <c r="Y130" s="1789"/>
      <c r="Z130" s="1807"/>
    </row>
    <row r="131" spans="1:26">
      <c r="A131" s="1811"/>
      <c r="B131" s="1812"/>
      <c r="C131" s="1812"/>
      <c r="D131" s="1812"/>
      <c r="E131" s="1812"/>
      <c r="F131" s="1812"/>
      <c r="G131" s="1812"/>
      <c r="H131" s="1812"/>
      <c r="I131" s="1812"/>
      <c r="J131" s="1812"/>
      <c r="K131" s="1812"/>
      <c r="L131" s="1812"/>
      <c r="M131" s="1812"/>
      <c r="N131" s="1812"/>
      <c r="O131" s="1789"/>
      <c r="P131" s="1789"/>
      <c r="Q131" s="1789"/>
      <c r="R131" s="1789"/>
      <c r="S131" s="1789"/>
      <c r="T131" s="1789"/>
      <c r="U131" s="1789"/>
      <c r="V131" s="1789"/>
      <c r="W131" s="1789"/>
      <c r="X131" s="1789"/>
      <c r="Y131" s="1789"/>
      <c r="Z131" s="1807"/>
    </row>
    <row r="132" spans="1:26">
      <c r="A132" s="1811"/>
      <c r="B132" s="1812"/>
      <c r="C132" s="1812"/>
      <c r="D132" s="1812"/>
      <c r="E132" s="1812"/>
      <c r="F132" s="1812"/>
      <c r="G132" s="1812"/>
      <c r="H132" s="1812"/>
      <c r="I132" s="1812"/>
      <c r="J132" s="1812"/>
      <c r="K132" s="1812"/>
      <c r="L132" s="1812"/>
      <c r="M132" s="1812"/>
      <c r="N132" s="1812"/>
      <c r="O132" s="1789"/>
      <c r="P132" s="1789"/>
      <c r="Q132" s="1789"/>
      <c r="R132" s="1789"/>
      <c r="S132" s="1789"/>
      <c r="T132" s="1789"/>
      <c r="U132" s="1789"/>
      <c r="V132" s="1789"/>
      <c r="W132" s="1789"/>
      <c r="X132" s="1789"/>
      <c r="Y132" s="1789"/>
      <c r="Z132" s="1807"/>
    </row>
    <row r="133" spans="1:26">
      <c r="A133" s="1811"/>
      <c r="B133" s="1812"/>
      <c r="C133" s="1812"/>
      <c r="D133" s="1812"/>
      <c r="E133" s="1812"/>
      <c r="F133" s="1812"/>
      <c r="G133" s="1812"/>
      <c r="H133" s="1812"/>
      <c r="I133" s="1812"/>
      <c r="J133" s="1812"/>
      <c r="K133" s="1812"/>
      <c r="L133" s="1812"/>
      <c r="M133" s="1812"/>
      <c r="N133" s="1812"/>
      <c r="O133" s="1789"/>
      <c r="P133" s="1789"/>
      <c r="Q133" s="1789"/>
      <c r="R133" s="1789"/>
      <c r="S133" s="1789"/>
      <c r="T133" s="1789"/>
      <c r="U133" s="1789"/>
      <c r="V133" s="1789"/>
      <c r="W133" s="1789"/>
      <c r="X133" s="1789"/>
      <c r="Y133" s="1789"/>
      <c r="Z133" s="1807"/>
    </row>
    <row r="134" spans="1:26">
      <c r="A134" s="1811"/>
      <c r="B134" s="1812"/>
      <c r="C134" s="1812"/>
      <c r="D134" s="1812"/>
      <c r="E134" s="1812"/>
      <c r="F134" s="1812"/>
      <c r="G134" s="1812"/>
      <c r="H134" s="1812"/>
      <c r="I134" s="1812"/>
      <c r="J134" s="1812"/>
      <c r="K134" s="1812"/>
      <c r="L134" s="1812"/>
      <c r="M134" s="1812"/>
      <c r="N134" s="1812"/>
      <c r="O134" s="1789"/>
      <c r="P134" s="1789"/>
      <c r="Q134" s="1789"/>
      <c r="R134" s="1789"/>
      <c r="S134" s="1789"/>
      <c r="T134" s="1789"/>
      <c r="U134" s="1789"/>
      <c r="V134" s="1789"/>
      <c r="W134" s="1789"/>
      <c r="X134" s="1789"/>
      <c r="Y134" s="1789"/>
      <c r="Z134" s="1807"/>
    </row>
    <row r="135" spans="1:26">
      <c r="A135" s="1811"/>
      <c r="B135" s="1812"/>
      <c r="C135" s="1812"/>
      <c r="D135" s="1812"/>
      <c r="E135" s="1812"/>
      <c r="F135" s="1812"/>
      <c r="G135" s="1812"/>
      <c r="H135" s="1812"/>
      <c r="I135" s="1812"/>
      <c r="J135" s="1812"/>
      <c r="K135" s="1812"/>
      <c r="L135" s="1812"/>
      <c r="M135" s="1812"/>
      <c r="N135" s="1812"/>
      <c r="O135" s="1789"/>
      <c r="P135" s="1789"/>
      <c r="Q135" s="1789"/>
      <c r="R135" s="1789"/>
      <c r="S135" s="1789"/>
      <c r="T135" s="1789"/>
      <c r="U135" s="1789"/>
      <c r="V135" s="1789"/>
      <c r="W135" s="1789"/>
      <c r="X135" s="1789"/>
      <c r="Y135" s="1789"/>
      <c r="Z135" s="1807"/>
    </row>
    <row r="136" spans="1:26">
      <c r="A136" s="1811"/>
      <c r="B136" s="1812"/>
      <c r="C136" s="1812"/>
      <c r="D136" s="1812"/>
      <c r="E136" s="1812"/>
      <c r="F136" s="1812"/>
      <c r="G136" s="1812"/>
      <c r="H136" s="1812"/>
      <c r="I136" s="1812"/>
      <c r="J136" s="1812"/>
      <c r="K136" s="1812"/>
      <c r="L136" s="1812"/>
      <c r="M136" s="1812"/>
      <c r="N136" s="1812"/>
      <c r="O136" s="1789"/>
      <c r="P136" s="1789"/>
      <c r="Q136" s="1789"/>
      <c r="R136" s="1789"/>
      <c r="S136" s="1789"/>
      <c r="T136" s="1789"/>
      <c r="U136" s="1789"/>
      <c r="V136" s="1789"/>
      <c r="W136" s="1789"/>
      <c r="X136" s="1789"/>
      <c r="Y136" s="1789"/>
      <c r="Z136" s="1807"/>
    </row>
    <row r="137" spans="1:26">
      <c r="A137" s="1811"/>
      <c r="B137" s="1812"/>
      <c r="C137" s="1812"/>
      <c r="D137" s="1812"/>
      <c r="E137" s="1812"/>
      <c r="F137" s="1812"/>
      <c r="G137" s="1812"/>
      <c r="H137" s="1812"/>
      <c r="I137" s="1812"/>
      <c r="J137" s="1812"/>
      <c r="K137" s="1812"/>
      <c r="L137" s="1812"/>
      <c r="M137" s="1812"/>
      <c r="N137" s="1812"/>
      <c r="O137" s="1789"/>
      <c r="P137" s="1789"/>
      <c r="Q137" s="1789"/>
      <c r="R137" s="1789"/>
      <c r="S137" s="1789"/>
      <c r="T137" s="1789"/>
      <c r="U137" s="1789"/>
      <c r="V137" s="1789"/>
      <c r="W137" s="1789"/>
      <c r="X137" s="1789"/>
      <c r="Y137" s="1789"/>
      <c r="Z137" s="1807"/>
    </row>
    <row r="138" spans="1:26">
      <c r="A138" s="1811"/>
      <c r="B138" s="1812"/>
      <c r="C138" s="1812"/>
      <c r="D138" s="1812"/>
      <c r="E138" s="1812"/>
      <c r="F138" s="1812"/>
      <c r="G138" s="1812"/>
      <c r="H138" s="1812"/>
      <c r="I138" s="1812"/>
      <c r="J138" s="1812"/>
      <c r="K138" s="1812"/>
      <c r="L138" s="1812"/>
      <c r="M138" s="1812"/>
      <c r="N138" s="1812"/>
      <c r="O138" s="1789"/>
      <c r="P138" s="1789"/>
      <c r="Q138" s="1789"/>
      <c r="R138" s="1789"/>
      <c r="S138" s="1789"/>
      <c r="T138" s="1789"/>
      <c r="U138" s="1789"/>
      <c r="V138" s="1789"/>
      <c r="W138" s="1789"/>
      <c r="X138" s="1789"/>
      <c r="Y138" s="1789"/>
      <c r="Z138" s="1807"/>
    </row>
    <row r="139" spans="1:26">
      <c r="A139" s="1811"/>
      <c r="B139" s="1812"/>
      <c r="C139" s="1812"/>
      <c r="D139" s="1812"/>
      <c r="E139" s="1812"/>
      <c r="F139" s="1812"/>
      <c r="G139" s="1812"/>
      <c r="H139" s="1812"/>
      <c r="I139" s="1812"/>
      <c r="J139" s="1812"/>
      <c r="K139" s="1812"/>
      <c r="L139" s="1812"/>
      <c r="M139" s="1812"/>
      <c r="N139" s="1812"/>
      <c r="O139" s="1789"/>
      <c r="P139" s="1789"/>
      <c r="Q139" s="1789"/>
      <c r="R139" s="1789"/>
      <c r="S139" s="1789"/>
      <c r="T139" s="1789"/>
      <c r="U139" s="1789"/>
      <c r="V139" s="1789"/>
      <c r="W139" s="1789"/>
      <c r="X139" s="1789"/>
      <c r="Y139" s="1789"/>
      <c r="Z139" s="1807"/>
    </row>
    <row r="140" spans="1:26">
      <c r="A140" s="1811"/>
      <c r="B140" s="1812"/>
      <c r="C140" s="1812"/>
      <c r="D140" s="1812"/>
      <c r="E140" s="1812"/>
      <c r="F140" s="1812"/>
      <c r="G140" s="1812"/>
      <c r="H140" s="1812"/>
      <c r="I140" s="1812"/>
      <c r="J140" s="1812"/>
      <c r="K140" s="1812"/>
      <c r="L140" s="1812"/>
      <c r="M140" s="1812"/>
      <c r="N140" s="1812"/>
      <c r="O140" s="1789"/>
      <c r="P140" s="1789"/>
      <c r="Q140" s="1789"/>
      <c r="R140" s="1789"/>
      <c r="S140" s="1789"/>
      <c r="T140" s="1789"/>
      <c r="U140" s="1789"/>
      <c r="V140" s="1789"/>
      <c r="W140" s="1789"/>
      <c r="X140" s="1789"/>
      <c r="Y140" s="1789"/>
      <c r="Z140" s="1807"/>
    </row>
    <row r="141" spans="1:26">
      <c r="A141" s="1811"/>
      <c r="B141" s="1812"/>
      <c r="C141" s="1812"/>
      <c r="D141" s="1812"/>
      <c r="E141" s="1812"/>
      <c r="F141" s="1812"/>
      <c r="G141" s="1812"/>
      <c r="H141" s="1812"/>
      <c r="I141" s="1812"/>
      <c r="J141" s="1812"/>
      <c r="K141" s="1812"/>
      <c r="L141" s="1812"/>
      <c r="M141" s="1812"/>
      <c r="N141" s="1812"/>
      <c r="O141" s="1789"/>
      <c r="P141" s="1789"/>
      <c r="Q141" s="1789"/>
      <c r="R141" s="1789"/>
      <c r="S141" s="1789"/>
      <c r="T141" s="1789"/>
      <c r="U141" s="1789"/>
      <c r="V141" s="1789"/>
      <c r="W141" s="1789"/>
      <c r="X141" s="1789"/>
      <c r="Y141" s="1789"/>
      <c r="Z141" s="1807"/>
    </row>
    <row r="142" spans="1:26">
      <c r="A142" s="1758"/>
      <c r="B142" s="1759"/>
      <c r="C142" s="1752"/>
      <c r="D142" s="1752"/>
      <c r="E142" s="1752"/>
      <c r="F142" s="1752"/>
      <c r="G142" s="1752"/>
      <c r="H142" s="1755"/>
      <c r="I142" s="1760"/>
      <c r="J142" s="1760"/>
      <c r="K142" s="1760"/>
      <c r="L142" s="1760"/>
      <c r="M142" s="1760"/>
      <c r="N142" s="1760"/>
      <c r="O142" s="1760"/>
      <c r="P142" s="1760"/>
      <c r="Q142" s="1760"/>
      <c r="R142" s="1760"/>
      <c r="S142" s="1760"/>
      <c r="T142" s="1760"/>
      <c r="U142" s="1760"/>
      <c r="V142" s="1760"/>
      <c r="W142" s="1760"/>
      <c r="X142" s="1760"/>
      <c r="Y142" s="1760"/>
      <c r="Z142" s="1778"/>
    </row>
    <row r="143" spans="1:26">
      <c r="A143" s="1758"/>
      <c r="B143" s="1759"/>
      <c r="C143" s="1752"/>
      <c r="D143" s="1752"/>
      <c r="E143" s="1752"/>
      <c r="F143" s="1752"/>
      <c r="G143" s="1752"/>
      <c r="H143" s="1755"/>
      <c r="I143" s="1760"/>
      <c r="J143" s="1760"/>
      <c r="K143" s="1760"/>
      <c r="L143" s="1760"/>
      <c r="M143" s="1760"/>
      <c r="N143" s="1760"/>
      <c r="O143" s="1760"/>
      <c r="P143" s="1760"/>
      <c r="Q143" s="1760"/>
      <c r="R143" s="1760"/>
      <c r="S143" s="1760"/>
      <c r="T143" s="1760"/>
      <c r="U143" s="1760"/>
      <c r="V143" s="1760"/>
      <c r="W143" s="1760"/>
      <c r="X143" s="1760"/>
      <c r="Y143" s="1760"/>
      <c r="Z143" s="1778"/>
    </row>
    <row r="144" spans="1:26">
      <c r="A144" s="1758"/>
      <c r="B144" s="1759"/>
      <c r="C144" s="1752"/>
      <c r="D144" s="1752"/>
      <c r="E144" s="1752"/>
      <c r="F144" s="1752"/>
      <c r="G144" s="1752"/>
      <c r="H144" s="1760"/>
      <c r="I144" s="1752"/>
      <c r="J144" s="1752"/>
      <c r="K144" s="1752"/>
      <c r="L144" s="1752"/>
      <c r="M144" s="1752"/>
      <c r="N144" s="1752"/>
      <c r="O144" s="1752"/>
      <c r="P144" s="1752"/>
      <c r="Q144" s="1752"/>
      <c r="R144" s="1752"/>
      <c r="S144" s="1752"/>
      <c r="T144" s="1752"/>
      <c r="U144" s="1752"/>
      <c r="V144" s="1752"/>
      <c r="W144" s="1752"/>
      <c r="X144" s="1752"/>
      <c r="Y144" s="1752"/>
      <c r="Z144" s="1775"/>
    </row>
    <row r="145" spans="1:26">
      <c r="A145" s="1750"/>
      <c r="B145" s="1759"/>
      <c r="C145" s="1752"/>
      <c r="D145" s="1752"/>
      <c r="E145" s="1752"/>
      <c r="F145" s="1752"/>
      <c r="G145" s="1752"/>
      <c r="H145" s="1137"/>
      <c r="I145" s="1752"/>
      <c r="J145" s="1752"/>
      <c r="K145" s="1752"/>
      <c r="L145" s="1752"/>
      <c r="M145" s="1752"/>
      <c r="N145" s="1752"/>
      <c r="O145" s="1752"/>
      <c r="P145" s="1752"/>
      <c r="Q145" s="1752"/>
      <c r="R145" s="1752"/>
      <c r="S145" s="1752"/>
      <c r="T145" s="1752"/>
      <c r="U145" s="1752"/>
      <c r="V145" s="1752"/>
      <c r="W145" s="1752"/>
      <c r="X145" s="1752"/>
      <c r="Y145" s="1752"/>
      <c r="Z145" s="1775"/>
    </row>
    <row r="146" spans="1:26">
      <c r="A146" s="1758"/>
      <c r="B146" s="1759"/>
      <c r="C146" s="1752"/>
      <c r="D146" s="1752"/>
      <c r="E146" s="1752"/>
      <c r="F146" s="1752"/>
      <c r="G146" s="1752"/>
      <c r="H146" s="1752"/>
      <c r="I146" s="1752"/>
      <c r="J146" s="1752"/>
      <c r="K146" s="1752"/>
      <c r="L146" s="1752"/>
      <c r="M146" s="1752"/>
      <c r="N146" s="1752"/>
      <c r="O146" s="1752"/>
      <c r="P146" s="1752"/>
      <c r="Q146" s="1752"/>
      <c r="R146" s="1752"/>
      <c r="S146" s="1752"/>
      <c r="T146" s="1752"/>
      <c r="U146" s="1752"/>
      <c r="V146" s="1752"/>
      <c r="W146" s="1752"/>
      <c r="X146" s="1752"/>
      <c r="Y146" s="1752"/>
      <c r="Z146" s="1775"/>
    </row>
    <row r="147" spans="1:26">
      <c r="A147" s="1758"/>
      <c r="B147" s="1759"/>
      <c r="C147" s="1752"/>
      <c r="D147" s="1752"/>
      <c r="E147" s="1752"/>
      <c r="F147" s="1752"/>
      <c r="G147" s="1752"/>
      <c r="H147" s="1761"/>
      <c r="I147" s="1752"/>
      <c r="J147" s="1752"/>
      <c r="K147" s="1752"/>
      <c r="L147" s="1752"/>
      <c r="M147" s="1752"/>
      <c r="N147" s="1752"/>
      <c r="O147" s="1752"/>
      <c r="P147" s="1752"/>
      <c r="Q147" s="1752"/>
      <c r="R147" s="1752"/>
      <c r="S147" s="1752"/>
      <c r="T147" s="1752"/>
      <c r="U147" s="1752"/>
      <c r="V147" s="1752"/>
      <c r="W147" s="1752"/>
      <c r="X147" s="1752"/>
      <c r="Y147" s="1752"/>
      <c r="Z147" s="1775"/>
    </row>
    <row r="148" spans="1:26">
      <c r="A148" s="1758"/>
      <c r="B148" s="1759"/>
      <c r="C148" s="1752"/>
      <c r="D148" s="1752"/>
      <c r="E148" s="1752"/>
      <c r="F148" s="1752"/>
      <c r="G148" s="1752"/>
      <c r="H148" s="1759"/>
      <c r="I148" s="1752"/>
      <c r="J148" s="1752"/>
      <c r="K148" s="1752"/>
      <c r="L148" s="1752"/>
      <c r="M148" s="1752"/>
      <c r="N148" s="1752"/>
      <c r="O148" s="1752"/>
      <c r="P148" s="1752"/>
      <c r="Q148" s="1752"/>
      <c r="R148" s="1752"/>
      <c r="S148" s="1752"/>
      <c r="T148" s="1752"/>
      <c r="U148" s="1752"/>
      <c r="V148" s="1752"/>
      <c r="W148" s="1752"/>
      <c r="X148" s="1752"/>
      <c r="Y148" s="1752"/>
      <c r="Z148" s="1775"/>
    </row>
    <row r="149" spans="1:26">
      <c r="A149" s="1758"/>
      <c r="B149" s="1759"/>
      <c r="C149" s="1752"/>
      <c r="D149" s="1752"/>
      <c r="E149" s="1752"/>
      <c r="F149" s="1752"/>
      <c r="G149" s="1752"/>
      <c r="H149" s="1761"/>
      <c r="I149" s="1752"/>
      <c r="J149" s="1752"/>
      <c r="K149" s="1752"/>
      <c r="L149" s="1752"/>
      <c r="M149" s="1752"/>
      <c r="N149" s="1752"/>
      <c r="O149" s="1752"/>
      <c r="P149" s="1752"/>
      <c r="Q149" s="1752"/>
      <c r="R149" s="1752"/>
      <c r="S149" s="1752"/>
      <c r="T149" s="1752"/>
      <c r="U149" s="1752"/>
      <c r="V149" s="1752"/>
      <c r="W149" s="1752"/>
      <c r="X149" s="1752"/>
      <c r="Y149" s="1752"/>
      <c r="Z149" s="1775"/>
    </row>
    <row r="150" spans="1:26">
      <c r="A150" s="1762"/>
      <c r="B150" s="1763"/>
      <c r="C150" s="1764"/>
      <c r="D150" s="1764"/>
      <c r="E150" s="1764"/>
      <c r="F150" s="1764"/>
      <c r="G150" s="1764"/>
      <c r="H150" s="1763"/>
      <c r="I150" s="1764"/>
      <c r="J150" s="1764"/>
      <c r="K150" s="1764"/>
      <c r="L150" s="1764"/>
      <c r="M150" s="1764"/>
      <c r="N150" s="1764"/>
      <c r="O150" s="1764"/>
      <c r="P150" s="1764"/>
      <c r="Q150" s="1764"/>
      <c r="R150" s="1764"/>
      <c r="S150" s="1764"/>
      <c r="T150" s="1764"/>
      <c r="U150" s="1764"/>
      <c r="V150" s="1764"/>
      <c r="W150" s="1764"/>
      <c r="X150" s="1764"/>
      <c r="Y150" s="1764"/>
      <c r="Z150" s="1779"/>
    </row>
    <row r="151" spans="1:26">
      <c r="A151" s="3760" t="s">
        <v>8160</v>
      </c>
      <c r="B151" s="3761"/>
      <c r="C151" s="3761"/>
      <c r="D151" s="3761"/>
      <c r="E151" s="3761"/>
      <c r="F151" s="3761"/>
      <c r="G151" s="3761"/>
      <c r="H151" s="3761" t="s">
        <v>8161</v>
      </c>
      <c r="I151" s="3761"/>
      <c r="J151" s="3761"/>
      <c r="K151" s="3761" t="s">
        <v>8162</v>
      </c>
      <c r="L151" s="3761"/>
      <c r="M151" s="3761"/>
      <c r="N151" s="3761"/>
      <c r="O151" s="3761"/>
      <c r="P151" s="3761"/>
      <c r="Q151" s="3761"/>
      <c r="R151" s="3761"/>
      <c r="S151" s="3761"/>
      <c r="T151" s="3761"/>
      <c r="U151" s="3761" t="s">
        <v>8163</v>
      </c>
      <c r="V151" s="3761"/>
      <c r="W151" s="3761"/>
      <c r="X151" s="3761"/>
      <c r="Y151" s="3761"/>
      <c r="Z151" s="3762"/>
    </row>
    <row r="152" spans="1:26">
      <c r="A152" s="3809" t="s">
        <v>8213</v>
      </c>
      <c r="B152" s="3810"/>
      <c r="C152" s="3810"/>
      <c r="D152" s="3810"/>
      <c r="E152" s="3810"/>
      <c r="F152" s="3810"/>
      <c r="G152" s="3811"/>
      <c r="H152" s="3763"/>
      <c r="I152" s="3763"/>
      <c r="J152" s="3763"/>
      <c r="K152" s="3763" t="s">
        <v>8165</v>
      </c>
      <c r="L152" s="3763"/>
      <c r="M152" s="3763" t="s">
        <v>5928</v>
      </c>
      <c r="N152" s="3763"/>
      <c r="O152" s="3763" t="s">
        <v>7453</v>
      </c>
      <c r="P152" s="3763"/>
      <c r="Q152" s="3763" t="s">
        <v>5930</v>
      </c>
      <c r="R152" s="3763"/>
      <c r="S152" s="3763" t="s">
        <v>4554</v>
      </c>
      <c r="T152" s="3763"/>
      <c r="U152" s="3763"/>
      <c r="V152" s="3763"/>
      <c r="W152" s="3763"/>
      <c r="X152" s="3763"/>
      <c r="Y152" s="3763"/>
      <c r="Z152" s="3815"/>
    </row>
    <row r="153" spans="1:26">
      <c r="A153" s="3812"/>
      <c r="B153" s="3813"/>
      <c r="C153" s="3813"/>
      <c r="D153" s="3813"/>
      <c r="E153" s="3813"/>
      <c r="F153" s="3813"/>
      <c r="G153" s="3814"/>
      <c r="H153" s="3747"/>
      <c r="I153" s="3747"/>
      <c r="J153" s="3747"/>
      <c r="K153" s="3747" t="s">
        <v>8166</v>
      </c>
      <c r="L153" s="3747"/>
      <c r="M153" s="3747"/>
      <c r="N153" s="3747"/>
      <c r="O153" s="3747"/>
      <c r="P153" s="3747"/>
      <c r="Q153" s="3747"/>
      <c r="R153" s="3747"/>
      <c r="S153" s="3747"/>
      <c r="T153" s="3747"/>
      <c r="U153" s="3747"/>
      <c r="V153" s="3747"/>
      <c r="W153" s="3747"/>
      <c r="X153" s="3747"/>
      <c r="Y153" s="3747"/>
      <c r="Z153" s="3816"/>
    </row>
  </sheetData>
  <mergeCells count="497">
    <mergeCell ref="A101:G102"/>
    <mergeCell ref="H101:J102"/>
    <mergeCell ref="G120:H123"/>
    <mergeCell ref="W120:X123"/>
    <mergeCell ref="K120:M122"/>
    <mergeCell ref="P120:R121"/>
    <mergeCell ref="G115:H119"/>
    <mergeCell ref="W115:X118"/>
    <mergeCell ref="K109:M110"/>
    <mergeCell ref="U101:Z102"/>
    <mergeCell ref="P109:R110"/>
    <mergeCell ref="A123:B123"/>
    <mergeCell ref="C123:D123"/>
    <mergeCell ref="E123:F123"/>
    <mergeCell ref="I123:J123"/>
    <mergeCell ref="K123:M123"/>
    <mergeCell ref="N123:O123"/>
    <mergeCell ref="S123:T123"/>
    <mergeCell ref="A119:B119"/>
    <mergeCell ref="C119:D119"/>
    <mergeCell ref="E119:F119"/>
    <mergeCell ref="I119:J119"/>
    <mergeCell ref="Y121:Z123"/>
    <mergeCell ref="P122:R123"/>
    <mergeCell ref="S25:T26"/>
    <mergeCell ref="U25:V26"/>
    <mergeCell ref="W25:X26"/>
    <mergeCell ref="Y25:Z26"/>
    <mergeCell ref="O27:P31"/>
    <mergeCell ref="S27:T31"/>
    <mergeCell ref="Q27:R32"/>
    <mergeCell ref="O32:P35"/>
    <mergeCell ref="S32:T33"/>
    <mergeCell ref="Q33:R36"/>
    <mergeCell ref="Y35:Z35"/>
    <mergeCell ref="Y36:Z36"/>
    <mergeCell ref="Y33:Z33"/>
    <mergeCell ref="Y34:Z34"/>
    <mergeCell ref="Y31:Z31"/>
    <mergeCell ref="Y32:Z32"/>
    <mergeCell ref="Y29:Z29"/>
    <mergeCell ref="Y30:Z30"/>
    <mergeCell ref="Y27:Z27"/>
    <mergeCell ref="Y28:Z28"/>
    <mergeCell ref="Q25:R26"/>
    <mergeCell ref="L85:M86"/>
    <mergeCell ref="N85:O86"/>
    <mergeCell ref="P85:T86"/>
    <mergeCell ref="U85:Z86"/>
    <mergeCell ref="U50:Z51"/>
    <mergeCell ref="A53:G54"/>
    <mergeCell ref="O56:Z64"/>
    <mergeCell ref="A57:M63"/>
    <mergeCell ref="U67:Z68"/>
    <mergeCell ref="O72:Z73"/>
    <mergeCell ref="A50:G51"/>
    <mergeCell ref="H50:J51"/>
    <mergeCell ref="X80:X81"/>
    <mergeCell ref="X83:X84"/>
    <mergeCell ref="Y80:Y81"/>
    <mergeCell ref="Y83:Y84"/>
    <mergeCell ref="Z80:Z81"/>
    <mergeCell ref="Z83:Z84"/>
    <mergeCell ref="V83:V84"/>
    <mergeCell ref="W80:W81"/>
    <mergeCell ref="W83:W84"/>
    <mergeCell ref="A79:Z79"/>
    <mergeCell ref="K82:M82"/>
    <mergeCell ref="K83:K86"/>
    <mergeCell ref="S83:S84"/>
    <mergeCell ref="T80:T81"/>
    <mergeCell ref="T83:T84"/>
    <mergeCell ref="U80:U81"/>
    <mergeCell ref="U83:U84"/>
    <mergeCell ref="V80:V81"/>
    <mergeCell ref="A152:G153"/>
    <mergeCell ref="H152:J153"/>
    <mergeCell ref="U152:Z153"/>
    <mergeCell ref="W112:X114"/>
    <mergeCell ref="K113:M115"/>
    <mergeCell ref="U114:V116"/>
    <mergeCell ref="Y115:Z117"/>
    <mergeCell ref="K116:M117"/>
    <mergeCell ref="U117:V118"/>
    <mergeCell ref="K118:M119"/>
    <mergeCell ref="P118:R119"/>
    <mergeCell ref="Y118:Z120"/>
    <mergeCell ref="U119:V120"/>
    <mergeCell ref="G111:H114"/>
    <mergeCell ref="Y111:Z114"/>
    <mergeCell ref="K111:M112"/>
    <mergeCell ref="U111:V113"/>
    <mergeCell ref="L83:M84"/>
    <mergeCell ref="A25:B26"/>
    <mergeCell ref="C25:D26"/>
    <mergeCell ref="E25:F26"/>
    <mergeCell ref="G25:H26"/>
    <mergeCell ref="I25:J26"/>
    <mergeCell ref="K25:L26"/>
    <mergeCell ref="M25:N26"/>
    <mergeCell ref="O25:P26"/>
    <mergeCell ref="M152:N152"/>
    <mergeCell ref="O152:P152"/>
    <mergeCell ref="A124:Z126"/>
    <mergeCell ref="A121:B121"/>
    <mergeCell ref="C121:D121"/>
    <mergeCell ref="E121:F121"/>
    <mergeCell ref="I121:J121"/>
    <mergeCell ref="N121:O121"/>
    <mergeCell ref="S121:T121"/>
    <mergeCell ref="A122:B122"/>
    <mergeCell ref="C122:D122"/>
    <mergeCell ref="E122:F122"/>
    <mergeCell ref="I122:J122"/>
    <mergeCell ref="N122:O122"/>
    <mergeCell ref="S122:T122"/>
    <mergeCell ref="U121:V123"/>
    <mergeCell ref="Q152:R152"/>
    <mergeCell ref="S152:T152"/>
    <mergeCell ref="K153:L153"/>
    <mergeCell ref="M153:N153"/>
    <mergeCell ref="O153:P153"/>
    <mergeCell ref="Q153:R153"/>
    <mergeCell ref="S153:T153"/>
    <mergeCell ref="K152:L152"/>
    <mergeCell ref="A151:G151"/>
    <mergeCell ref="H151:J151"/>
    <mergeCell ref="K151:T151"/>
    <mergeCell ref="U151:Z151"/>
    <mergeCell ref="N119:O119"/>
    <mergeCell ref="S119:T119"/>
    <mergeCell ref="W119:X119"/>
    <mergeCell ref="A120:B120"/>
    <mergeCell ref="C120:D120"/>
    <mergeCell ref="E120:F120"/>
    <mergeCell ref="I120:J120"/>
    <mergeCell ref="N120:O120"/>
    <mergeCell ref="S120:T120"/>
    <mergeCell ref="A117:B117"/>
    <mergeCell ref="C117:D117"/>
    <mergeCell ref="E117:F117"/>
    <mergeCell ref="I117:J117"/>
    <mergeCell ref="N117:O117"/>
    <mergeCell ref="S117:T117"/>
    <mergeCell ref="A118:B118"/>
    <mergeCell ref="C118:D118"/>
    <mergeCell ref="E118:F118"/>
    <mergeCell ref="I118:J118"/>
    <mergeCell ref="N118:O118"/>
    <mergeCell ref="S118:T118"/>
    <mergeCell ref="P115:R117"/>
    <mergeCell ref="A115:B115"/>
    <mergeCell ref="C115:D115"/>
    <mergeCell ref="E115:F115"/>
    <mergeCell ref="I115:J115"/>
    <mergeCell ref="N115:O115"/>
    <mergeCell ref="S115:T115"/>
    <mergeCell ref="A116:B116"/>
    <mergeCell ref="C116:D116"/>
    <mergeCell ref="E116:F116"/>
    <mergeCell ref="I116:J116"/>
    <mergeCell ref="N116:O116"/>
    <mergeCell ref="S116:T116"/>
    <mergeCell ref="A113:B113"/>
    <mergeCell ref="C113:D113"/>
    <mergeCell ref="E113:F113"/>
    <mergeCell ref="I113:J113"/>
    <mergeCell ref="N113:O113"/>
    <mergeCell ref="S113:T113"/>
    <mergeCell ref="A114:B114"/>
    <mergeCell ref="C114:D114"/>
    <mergeCell ref="E114:F114"/>
    <mergeCell ref="I114:J114"/>
    <mergeCell ref="N114:O114"/>
    <mergeCell ref="S114:T114"/>
    <mergeCell ref="P112:R114"/>
    <mergeCell ref="A111:B111"/>
    <mergeCell ref="C111:D111"/>
    <mergeCell ref="E111:F111"/>
    <mergeCell ref="I111:J111"/>
    <mergeCell ref="N111:O111"/>
    <mergeCell ref="P111:R111"/>
    <mergeCell ref="S111:T111"/>
    <mergeCell ref="W111:X111"/>
    <mergeCell ref="A112:B112"/>
    <mergeCell ref="C112:D112"/>
    <mergeCell ref="E112:F112"/>
    <mergeCell ref="I112:J112"/>
    <mergeCell ref="N112:O112"/>
    <mergeCell ref="S112:T112"/>
    <mergeCell ref="H104:T104"/>
    <mergeCell ref="U104:Z104"/>
    <mergeCell ref="H105:T105"/>
    <mergeCell ref="U105:W105"/>
    <mergeCell ref="X105:Z105"/>
    <mergeCell ref="C108:D108"/>
    <mergeCell ref="E108:H108"/>
    <mergeCell ref="I108:M108"/>
    <mergeCell ref="N108:R108"/>
    <mergeCell ref="S108:V108"/>
    <mergeCell ref="W108:X108"/>
    <mergeCell ref="Y108:Z108"/>
    <mergeCell ref="A104:G105"/>
    <mergeCell ref="A108:B110"/>
    <mergeCell ref="N109:O110"/>
    <mergeCell ref="C109:D110"/>
    <mergeCell ref="E109:F110"/>
    <mergeCell ref="G109:H110"/>
    <mergeCell ref="I109:J110"/>
    <mergeCell ref="S109:T110"/>
    <mergeCell ref="U109:V110"/>
    <mergeCell ref="W109:X110"/>
    <mergeCell ref="Y109:Z110"/>
    <mergeCell ref="K101:L101"/>
    <mergeCell ref="M101:N101"/>
    <mergeCell ref="O101:P101"/>
    <mergeCell ref="Q101:R101"/>
    <mergeCell ref="S101:T101"/>
    <mergeCell ref="K102:L102"/>
    <mergeCell ref="M102:N102"/>
    <mergeCell ref="O102:P102"/>
    <mergeCell ref="Q102:R102"/>
    <mergeCell ref="S102:T102"/>
    <mergeCell ref="K87:M87"/>
    <mergeCell ref="N87:O87"/>
    <mergeCell ref="P87:S87"/>
    <mergeCell ref="T87:U87"/>
    <mergeCell ref="V87:Z87"/>
    <mergeCell ref="H91:P91"/>
    <mergeCell ref="A100:G100"/>
    <mergeCell ref="H100:J100"/>
    <mergeCell ref="K100:T100"/>
    <mergeCell ref="U100:Z100"/>
    <mergeCell ref="A89:K90"/>
    <mergeCell ref="X93:Y97"/>
    <mergeCell ref="N83:N84"/>
    <mergeCell ref="O80:O81"/>
    <mergeCell ref="O83:O84"/>
    <mergeCell ref="P80:P81"/>
    <mergeCell ref="P83:P84"/>
    <mergeCell ref="Q80:Q81"/>
    <mergeCell ref="Q83:Q84"/>
    <mergeCell ref="R80:R81"/>
    <mergeCell ref="R83:R84"/>
    <mergeCell ref="S80:S81"/>
    <mergeCell ref="A76:D76"/>
    <mergeCell ref="E76:G76"/>
    <mergeCell ref="H76:I76"/>
    <mergeCell ref="J76:K76"/>
    <mergeCell ref="L76:M76"/>
    <mergeCell ref="A77:D77"/>
    <mergeCell ref="E77:G77"/>
    <mergeCell ref="H77:I77"/>
    <mergeCell ref="J77:K77"/>
    <mergeCell ref="L77:M77"/>
    <mergeCell ref="N80:N81"/>
    <mergeCell ref="O74:Z76"/>
    <mergeCell ref="K80:M81"/>
    <mergeCell ref="A74:D74"/>
    <mergeCell ref="E74:G74"/>
    <mergeCell ref="H74:I74"/>
    <mergeCell ref="J74:K74"/>
    <mergeCell ref="L74:M74"/>
    <mergeCell ref="A75:D75"/>
    <mergeCell ref="E75:G75"/>
    <mergeCell ref="H75:I75"/>
    <mergeCell ref="J75:K75"/>
    <mergeCell ref="L75:M75"/>
    <mergeCell ref="A72:D72"/>
    <mergeCell ref="E72:G72"/>
    <mergeCell ref="H72:I72"/>
    <mergeCell ref="J72:K72"/>
    <mergeCell ref="L72:M72"/>
    <mergeCell ref="A73:D73"/>
    <mergeCell ref="E73:G73"/>
    <mergeCell ref="H73:I73"/>
    <mergeCell ref="J73:K73"/>
    <mergeCell ref="L73:M73"/>
    <mergeCell ref="U69:Z69"/>
    <mergeCell ref="A70:D70"/>
    <mergeCell ref="E70:G70"/>
    <mergeCell ref="H70:I70"/>
    <mergeCell ref="J70:K70"/>
    <mergeCell ref="L70:M70"/>
    <mergeCell ref="O70:T70"/>
    <mergeCell ref="U70:Z70"/>
    <mergeCell ref="A71:D71"/>
    <mergeCell ref="E71:G71"/>
    <mergeCell ref="H71:I71"/>
    <mergeCell ref="J71:K71"/>
    <mergeCell ref="L71:M71"/>
    <mergeCell ref="O71:T71"/>
    <mergeCell ref="U71:Z71"/>
    <mergeCell ref="A68:D68"/>
    <mergeCell ref="E68:G68"/>
    <mergeCell ref="H68:I68"/>
    <mergeCell ref="J68:K68"/>
    <mergeCell ref="L68:M68"/>
    <mergeCell ref="O68:T68"/>
    <mergeCell ref="A69:D69"/>
    <mergeCell ref="E69:G69"/>
    <mergeCell ref="H69:I69"/>
    <mergeCell ref="J69:K69"/>
    <mergeCell ref="L69:M69"/>
    <mergeCell ref="O69:T69"/>
    <mergeCell ref="A66:D66"/>
    <mergeCell ref="E66:G66"/>
    <mergeCell ref="H66:I66"/>
    <mergeCell ref="J66:K66"/>
    <mergeCell ref="L66:M66"/>
    <mergeCell ref="O66:T66"/>
    <mergeCell ref="U66:Z66"/>
    <mergeCell ref="A67:D67"/>
    <mergeCell ref="E67:G67"/>
    <mergeCell ref="H67:I67"/>
    <mergeCell ref="J67:K67"/>
    <mergeCell ref="L67:M67"/>
    <mergeCell ref="O67:T67"/>
    <mergeCell ref="AB55:AE55"/>
    <mergeCell ref="A56:M56"/>
    <mergeCell ref="A64:D64"/>
    <mergeCell ref="E64:M64"/>
    <mergeCell ref="A65:D65"/>
    <mergeCell ref="E65:G65"/>
    <mergeCell ref="H65:I65"/>
    <mergeCell ref="J65:K65"/>
    <mergeCell ref="L65:M65"/>
    <mergeCell ref="O65:Z65"/>
    <mergeCell ref="K51:L51"/>
    <mergeCell ref="M51:N51"/>
    <mergeCell ref="O51:P51"/>
    <mergeCell ref="Q51:R51"/>
    <mergeCell ref="S51:T51"/>
    <mergeCell ref="H53:T53"/>
    <mergeCell ref="U53:Z53"/>
    <mergeCell ref="H54:T54"/>
    <mergeCell ref="U54:W54"/>
    <mergeCell ref="X54:Z54"/>
    <mergeCell ref="Y39:Z39"/>
    <mergeCell ref="A49:G49"/>
    <mergeCell ref="H49:J49"/>
    <mergeCell ref="K49:T49"/>
    <mergeCell ref="U49:Z49"/>
    <mergeCell ref="K50:L50"/>
    <mergeCell ref="M50:N50"/>
    <mergeCell ref="O50:P50"/>
    <mergeCell ref="Q50:R50"/>
    <mergeCell ref="S50:T50"/>
    <mergeCell ref="A39:B39"/>
    <mergeCell ref="C39:D39"/>
    <mergeCell ref="E39:F39"/>
    <mergeCell ref="G39:H39"/>
    <mergeCell ref="I39:J39"/>
    <mergeCell ref="K39:L39"/>
    <mergeCell ref="M39:N39"/>
    <mergeCell ref="U39:V39"/>
    <mergeCell ref="W39:X39"/>
    <mergeCell ref="O36:P39"/>
    <mergeCell ref="Q38:R39"/>
    <mergeCell ref="S38:T39"/>
    <mergeCell ref="U37:V37"/>
    <mergeCell ref="W37:X37"/>
    <mergeCell ref="Y37:Z37"/>
    <mergeCell ref="A38:B38"/>
    <mergeCell ref="C38:D38"/>
    <mergeCell ref="E38:F38"/>
    <mergeCell ref="G38:H38"/>
    <mergeCell ref="I38:J38"/>
    <mergeCell ref="K38:L38"/>
    <mergeCell ref="M38:N38"/>
    <mergeCell ref="U38:V38"/>
    <mergeCell ref="W38:X38"/>
    <mergeCell ref="Y38:Z38"/>
    <mergeCell ref="A37:B37"/>
    <mergeCell ref="C37:D37"/>
    <mergeCell ref="E37:F37"/>
    <mergeCell ref="G37:H37"/>
    <mergeCell ref="I37:J37"/>
    <mergeCell ref="K37:L37"/>
    <mergeCell ref="M37:N37"/>
    <mergeCell ref="Q37:R37"/>
    <mergeCell ref="S37:T37"/>
    <mergeCell ref="A36:B36"/>
    <mergeCell ref="C36:D36"/>
    <mergeCell ref="E36:F36"/>
    <mergeCell ref="G36:H36"/>
    <mergeCell ref="I36:J36"/>
    <mergeCell ref="K36:L36"/>
    <mergeCell ref="M36:N36"/>
    <mergeCell ref="U36:V36"/>
    <mergeCell ref="W36:X36"/>
    <mergeCell ref="S34:T36"/>
    <mergeCell ref="A35:B35"/>
    <mergeCell ref="C35:D35"/>
    <mergeCell ref="E35:F35"/>
    <mergeCell ref="G35:H35"/>
    <mergeCell ref="I35:J35"/>
    <mergeCell ref="K35:L35"/>
    <mergeCell ref="M35:N35"/>
    <mergeCell ref="U35:V35"/>
    <mergeCell ref="W35:X35"/>
    <mergeCell ref="A34:B34"/>
    <mergeCell ref="C34:D34"/>
    <mergeCell ref="E34:F34"/>
    <mergeCell ref="G34:H34"/>
    <mergeCell ref="I34:J34"/>
    <mergeCell ref="K34:L34"/>
    <mergeCell ref="M34:N34"/>
    <mergeCell ref="U34:V34"/>
    <mergeCell ref="W34:X34"/>
    <mergeCell ref="A33:B33"/>
    <mergeCell ref="C33:D33"/>
    <mergeCell ref="E33:F33"/>
    <mergeCell ref="G33:H33"/>
    <mergeCell ref="I33:J33"/>
    <mergeCell ref="K33:L33"/>
    <mergeCell ref="M33:N33"/>
    <mergeCell ref="U33:V33"/>
    <mergeCell ref="W33:X33"/>
    <mergeCell ref="A32:B32"/>
    <mergeCell ref="C32:D32"/>
    <mergeCell ref="E32:F32"/>
    <mergeCell ref="G32:H32"/>
    <mergeCell ref="I32:J32"/>
    <mergeCell ref="K32:L32"/>
    <mergeCell ref="M32:N32"/>
    <mergeCell ref="U32:V32"/>
    <mergeCell ref="W32:X32"/>
    <mergeCell ref="A31:B31"/>
    <mergeCell ref="C31:D31"/>
    <mergeCell ref="E31:F31"/>
    <mergeCell ref="G31:H31"/>
    <mergeCell ref="I31:J31"/>
    <mergeCell ref="K31:L31"/>
    <mergeCell ref="M31:N31"/>
    <mergeCell ref="U31:V31"/>
    <mergeCell ref="W31:X31"/>
    <mergeCell ref="A30:B30"/>
    <mergeCell ref="C30:D30"/>
    <mergeCell ref="E30:F30"/>
    <mergeCell ref="G30:H30"/>
    <mergeCell ref="I30:J30"/>
    <mergeCell ref="K30:L30"/>
    <mergeCell ref="M30:N30"/>
    <mergeCell ref="U30:V30"/>
    <mergeCell ref="W30:X30"/>
    <mergeCell ref="A29:B29"/>
    <mergeCell ref="C29:D29"/>
    <mergeCell ref="E29:F29"/>
    <mergeCell ref="G29:H29"/>
    <mergeCell ref="I29:J29"/>
    <mergeCell ref="K29:L29"/>
    <mergeCell ref="M29:N29"/>
    <mergeCell ref="U29:V29"/>
    <mergeCell ref="W29:X29"/>
    <mergeCell ref="A28:B28"/>
    <mergeCell ref="C28:D28"/>
    <mergeCell ref="E28:F28"/>
    <mergeCell ref="G28:H28"/>
    <mergeCell ref="I28:J28"/>
    <mergeCell ref="K28:L28"/>
    <mergeCell ref="M28:N28"/>
    <mergeCell ref="U28:V28"/>
    <mergeCell ref="W28:X28"/>
    <mergeCell ref="A27:B27"/>
    <mergeCell ref="C27:D27"/>
    <mergeCell ref="E27:F27"/>
    <mergeCell ref="G27:H27"/>
    <mergeCell ref="I27:J27"/>
    <mergeCell ref="K27:L27"/>
    <mergeCell ref="M27:N27"/>
    <mergeCell ref="U27:V27"/>
    <mergeCell ref="W27:X27"/>
    <mergeCell ref="A23:T23"/>
    <mergeCell ref="U23:Z23"/>
    <mergeCell ref="A24:B24"/>
    <mergeCell ref="C24:F24"/>
    <mergeCell ref="G24:J24"/>
    <mergeCell ref="K24:N24"/>
    <mergeCell ref="O24:P24"/>
    <mergeCell ref="Q24:R24"/>
    <mergeCell ref="S24:T24"/>
    <mergeCell ref="U24:V24"/>
    <mergeCell ref="W24:X24"/>
    <mergeCell ref="Y24:Z24"/>
    <mergeCell ref="H2:T2"/>
    <mergeCell ref="U2:Z2"/>
    <mergeCell ref="H3:T3"/>
    <mergeCell ref="U3:W3"/>
    <mergeCell ref="X3:Z3"/>
    <mergeCell ref="A5:N5"/>
    <mergeCell ref="A6:Z6"/>
    <mergeCell ref="G21:R21"/>
    <mergeCell ref="W22:Z22"/>
    <mergeCell ref="X16:Y20"/>
    <mergeCell ref="A7:Z15"/>
    <mergeCell ref="A2:G3"/>
  </mergeCells>
  <phoneticPr fontId="378" type="noConversion"/>
  <hyperlinks>
    <hyperlink ref="X16:Y20" location="总目录!A1" display="返回   目录"/>
    <hyperlink ref="X93:Y97" location="总目录!A1" display="返回   目录"/>
  </hyperlinks>
  <pageMargins left="0.58888888888888902" right="0.2" top="0.2" bottom="0.2" header="0.11874999999999999" footer="0.30902777777777801"/>
  <pageSetup paperSize="9" orientation="portrait"/>
  <headerFooter scaleWithDoc="0" alignWithMargins="0"/>
  <rowBreaks count="1" manualBreakCount="1">
    <brk id="51" max="25" man="1"/>
  </rowBreaks>
  <drawing r:id="rId1"/>
  <legacyDrawing r:id="rId2"/>
  <oleObjects>
    <mc:AlternateContent xmlns:mc="http://schemas.openxmlformats.org/markup-compatibility/2006">
      <mc:Choice Requires="x14">
        <oleObject progId="Paint.Picture" shapeId="1214465" r:id="rId3">
          <objectPr defaultSize="0" autoPict="0" altText="" r:id="rId4">
            <anchor moveWithCells="1">
              <from>
                <xdr:col>0</xdr:col>
                <xdr:colOff>104775</xdr:colOff>
                <xdr:row>8</xdr:row>
                <xdr:rowOff>28575</xdr:rowOff>
              </from>
              <to>
                <xdr:col>10</xdr:col>
                <xdr:colOff>152400</xdr:colOff>
                <xdr:row>17</xdr:row>
                <xdr:rowOff>200025</xdr:rowOff>
              </to>
            </anchor>
          </objectPr>
        </oleObject>
      </mc:Choice>
      <mc:Fallback>
        <oleObject progId="Paint.Picture" shapeId="1214465" r:id="rId3"/>
      </mc:Fallback>
    </mc:AlternateContent>
    <mc:AlternateContent xmlns:mc="http://schemas.openxmlformats.org/markup-compatibility/2006">
      <mc:Choice Requires="x14">
        <oleObject progId="Paint.Picture" shapeId="1214466" r:id="rId5">
          <objectPr defaultSize="0" autoPict="0" altText="" r:id="rId6">
            <anchor moveWithCells="1">
              <from>
                <xdr:col>12</xdr:col>
                <xdr:colOff>190500</xdr:colOff>
                <xdr:row>7</xdr:row>
                <xdr:rowOff>142875</xdr:rowOff>
              </from>
              <to>
                <xdr:col>22</xdr:col>
                <xdr:colOff>228600</xdr:colOff>
                <xdr:row>17</xdr:row>
                <xdr:rowOff>200025</xdr:rowOff>
              </to>
            </anchor>
          </objectPr>
        </oleObject>
      </mc:Choice>
      <mc:Fallback>
        <oleObject progId="Paint.Picture" shapeId="1214466" r:id="rId5"/>
      </mc:Fallback>
    </mc:AlternateContent>
    <mc:AlternateContent xmlns:mc="http://schemas.openxmlformats.org/markup-compatibility/2006">
      <mc:Choice Requires="x14">
        <oleObject progId="Paint.Picture" shapeId="1214467" r:id="rId7">
          <objectPr defaultSize="0" autoPict="0" altText="" r:id="rId8">
            <anchor moveWithCells="1">
              <from>
                <xdr:col>1</xdr:col>
                <xdr:colOff>171450</xdr:colOff>
                <xdr:row>56</xdr:row>
                <xdr:rowOff>95250</xdr:rowOff>
              </from>
              <to>
                <xdr:col>10</xdr:col>
                <xdr:colOff>76200</xdr:colOff>
                <xdr:row>62</xdr:row>
                <xdr:rowOff>123825</xdr:rowOff>
              </to>
            </anchor>
          </objectPr>
        </oleObject>
      </mc:Choice>
      <mc:Fallback>
        <oleObject progId="Paint.Picture" shapeId="1214467" r:id="rId7"/>
      </mc:Fallback>
    </mc:AlternateContent>
    <mc:AlternateContent xmlns:mc="http://schemas.openxmlformats.org/markup-compatibility/2006">
      <mc:Choice Requires="x14">
        <oleObject progId="Equation.3" shapeId="1214468" r:id="rId9">
          <objectPr defaultSize="0" autoPict="0" altText="" r:id="rId10">
            <anchor moveWithCells="1" sizeWithCells="1">
              <from>
                <xdr:col>22</xdr:col>
                <xdr:colOff>171450</xdr:colOff>
                <xdr:row>66</xdr:row>
                <xdr:rowOff>133350</xdr:rowOff>
              </from>
              <to>
                <xdr:col>24</xdr:col>
                <xdr:colOff>0</xdr:colOff>
                <xdr:row>67</xdr:row>
                <xdr:rowOff>104775</xdr:rowOff>
              </to>
            </anchor>
          </objectPr>
        </oleObject>
      </mc:Choice>
      <mc:Fallback>
        <oleObject progId="Equation.3" shapeId="1214468" r:id="rId9"/>
      </mc:Fallback>
    </mc:AlternateContent>
    <mc:AlternateContent xmlns:mc="http://schemas.openxmlformats.org/markup-compatibility/2006">
      <mc:Choice Requires="x14">
        <oleObject progId="Equation.3" shapeId="1214469" r:id="rId11">
          <objectPr defaultSize="0" autoPict="0" altText="" r:id="rId12">
            <anchor moveWithCells="1" sizeWithCells="1">
              <from>
                <xdr:col>22</xdr:col>
                <xdr:colOff>171450</xdr:colOff>
                <xdr:row>68</xdr:row>
                <xdr:rowOff>0</xdr:rowOff>
              </from>
              <to>
                <xdr:col>23</xdr:col>
                <xdr:colOff>238125</xdr:colOff>
                <xdr:row>68</xdr:row>
                <xdr:rowOff>190500</xdr:rowOff>
              </to>
            </anchor>
          </objectPr>
        </oleObject>
      </mc:Choice>
      <mc:Fallback>
        <oleObject progId="Equation.3" shapeId="1214469" r:id="rId11"/>
      </mc:Fallback>
    </mc:AlternateContent>
    <mc:AlternateContent xmlns:mc="http://schemas.openxmlformats.org/markup-compatibility/2006">
      <mc:Choice Requires="x14">
        <oleObject progId="Equation.3" shapeId="1214470" r:id="rId13">
          <objectPr defaultSize="0" autoPict="0" altText="" r:id="rId14">
            <anchor moveWithCells="1" sizeWithCells="1">
              <from>
                <xdr:col>22</xdr:col>
                <xdr:colOff>171450</xdr:colOff>
                <xdr:row>69</xdr:row>
                <xdr:rowOff>19050</xdr:rowOff>
              </from>
              <to>
                <xdr:col>23</xdr:col>
                <xdr:colOff>238125</xdr:colOff>
                <xdr:row>69</xdr:row>
                <xdr:rowOff>200025</xdr:rowOff>
              </to>
            </anchor>
          </objectPr>
        </oleObject>
      </mc:Choice>
      <mc:Fallback>
        <oleObject progId="Equation.3" shapeId="1214470" r:id="rId13"/>
      </mc:Fallback>
    </mc:AlternateContent>
    <mc:AlternateContent xmlns:mc="http://schemas.openxmlformats.org/markup-compatibility/2006">
      <mc:Choice Requires="x14">
        <oleObject progId="Equation.3" shapeId="1214471" r:id="rId15">
          <objectPr defaultSize="0" autoPict="0" altText="" r:id="rId16">
            <anchor moveWithCells="1" sizeWithCells="1">
              <from>
                <xdr:col>22</xdr:col>
                <xdr:colOff>171450</xdr:colOff>
                <xdr:row>70</xdr:row>
                <xdr:rowOff>19050</xdr:rowOff>
              </from>
              <to>
                <xdr:col>24</xdr:col>
                <xdr:colOff>0</xdr:colOff>
                <xdr:row>70</xdr:row>
                <xdr:rowOff>180975</xdr:rowOff>
              </to>
            </anchor>
          </objectPr>
        </oleObject>
      </mc:Choice>
      <mc:Fallback>
        <oleObject progId="Equation.3" shapeId="1214471" r:id="rId15"/>
      </mc:Fallback>
    </mc:AlternateContent>
    <mc:AlternateContent xmlns:mc="http://schemas.openxmlformats.org/markup-compatibility/2006">
      <mc:Choice Requires="x14">
        <oleObject progId="Paint.Picture" shapeId="1214472" r:id="rId17">
          <objectPr defaultSize="0" autoPict="0" altText="" r:id="rId18">
            <anchor moveWithCells="1">
              <from>
                <xdr:col>4</xdr:col>
                <xdr:colOff>104775</xdr:colOff>
                <xdr:row>79</xdr:row>
                <xdr:rowOff>38100</xdr:rowOff>
              </from>
              <to>
                <xdr:col>8</xdr:col>
                <xdr:colOff>19050</xdr:colOff>
                <xdr:row>86</xdr:row>
                <xdr:rowOff>47625</xdr:rowOff>
              </to>
            </anchor>
          </objectPr>
        </oleObject>
      </mc:Choice>
      <mc:Fallback>
        <oleObject progId="Paint.Picture" shapeId="1214472" r:id="rId17"/>
      </mc:Fallback>
    </mc:AlternateContent>
    <mc:AlternateContent xmlns:mc="http://schemas.openxmlformats.org/markup-compatibility/2006">
      <mc:Choice Requires="x14">
        <oleObject progId="Paint.Picture" shapeId="1214473" r:id="rId19">
          <objectPr defaultSize="0" autoPict="0" altText="" r:id="rId20">
            <anchor moveWithCells="1">
              <from>
                <xdr:col>0</xdr:col>
                <xdr:colOff>228600</xdr:colOff>
                <xdr:row>79</xdr:row>
                <xdr:rowOff>38100</xdr:rowOff>
              </from>
              <to>
                <xdr:col>4</xdr:col>
                <xdr:colOff>57150</xdr:colOff>
                <xdr:row>86</xdr:row>
                <xdr:rowOff>57150</xdr:rowOff>
              </to>
            </anchor>
          </objectPr>
        </oleObject>
      </mc:Choice>
      <mc:Fallback>
        <oleObject progId="Paint.Picture" shapeId="1214473" r:id="rId19"/>
      </mc:Fallback>
    </mc:AlternateContent>
    <mc:AlternateContent xmlns:mc="http://schemas.openxmlformats.org/markup-compatibility/2006">
      <mc:Choice Requires="x14">
        <oleObject progId="Equation.3" shapeId="1214474" r:id="rId21">
          <objectPr defaultSize="0" autoPict="0" altText="" r:id="rId22">
            <anchor moveWithCells="1" sizeWithCells="1">
              <from>
                <xdr:col>13</xdr:col>
                <xdr:colOff>133350</xdr:colOff>
                <xdr:row>84</xdr:row>
                <xdr:rowOff>19050</xdr:rowOff>
              </from>
              <to>
                <xdr:col>14</xdr:col>
                <xdr:colOff>76200</xdr:colOff>
                <xdr:row>85</xdr:row>
                <xdr:rowOff>0</xdr:rowOff>
              </to>
            </anchor>
          </objectPr>
        </oleObject>
      </mc:Choice>
      <mc:Fallback>
        <oleObject progId="Equation.3" shapeId="1214474" r:id="rId21"/>
      </mc:Fallback>
    </mc:AlternateContent>
    <mc:AlternateContent xmlns:mc="http://schemas.openxmlformats.org/markup-compatibility/2006">
      <mc:Choice Requires="x14">
        <oleObject progId="Equation.3" shapeId="1214475" r:id="rId23">
          <objectPr defaultSize="0" autoPict="0" altText="" r:id="rId24">
            <anchor moveWithCells="1" sizeWithCells="1">
              <from>
                <xdr:col>16</xdr:col>
                <xdr:colOff>190500</xdr:colOff>
                <xdr:row>84</xdr:row>
                <xdr:rowOff>57150</xdr:rowOff>
              </from>
              <to>
                <xdr:col>18</xdr:col>
                <xdr:colOff>0</xdr:colOff>
                <xdr:row>85</xdr:row>
                <xdr:rowOff>28575</xdr:rowOff>
              </to>
            </anchor>
          </objectPr>
        </oleObject>
      </mc:Choice>
      <mc:Fallback>
        <oleObject progId="Equation.3" shapeId="1214475" r:id="rId23"/>
      </mc:Fallback>
    </mc:AlternateContent>
    <mc:AlternateContent xmlns:mc="http://schemas.openxmlformats.org/markup-compatibility/2006">
      <mc:Choice Requires="x14">
        <oleObject progId="Equation.3" shapeId="1214476" r:id="rId25">
          <objectPr defaultSize="0" autoPict="0" altText="" r:id="rId26">
            <anchor moveWithCells="1" sizeWithCells="1">
              <from>
                <xdr:col>22</xdr:col>
                <xdr:colOff>104775</xdr:colOff>
                <xdr:row>84</xdr:row>
                <xdr:rowOff>0</xdr:rowOff>
              </from>
              <to>
                <xdr:col>23</xdr:col>
                <xdr:colOff>66675</xdr:colOff>
                <xdr:row>84</xdr:row>
                <xdr:rowOff>171450</xdr:rowOff>
              </to>
            </anchor>
          </objectPr>
        </oleObject>
      </mc:Choice>
      <mc:Fallback>
        <oleObject progId="Equation.3" shapeId="1214476" r:id="rId25"/>
      </mc:Fallback>
    </mc:AlternateContent>
    <mc:AlternateContent xmlns:mc="http://schemas.openxmlformats.org/markup-compatibility/2006">
      <mc:Choice Requires="x14">
        <oleObject progId="Paint.Picture" shapeId="1214477" r:id="rId27">
          <objectPr defaultSize="0" autoPict="0" altText="" r:id="rId28">
            <anchor moveWithCells="1">
              <from>
                <xdr:col>5</xdr:col>
                <xdr:colOff>57150</xdr:colOff>
                <xdr:row>91</xdr:row>
                <xdr:rowOff>114300</xdr:rowOff>
              </from>
              <to>
                <xdr:col>17</xdr:col>
                <xdr:colOff>57150</xdr:colOff>
                <xdr:row>98</xdr:row>
                <xdr:rowOff>152400</xdr:rowOff>
              </to>
            </anchor>
          </objectPr>
        </oleObject>
      </mc:Choice>
      <mc:Fallback>
        <oleObject progId="Paint.Picture" shapeId="1214477" r:id="rId27"/>
      </mc:Fallback>
    </mc:AlternateContent>
    <mc:AlternateContent xmlns:mc="http://schemas.openxmlformats.org/markup-compatibility/2006">
      <mc:Choice Requires="x14">
        <oleObject progId="Equation.3" shapeId="1214478" r:id="rId29">
          <objectPr defaultSize="0" autoPict="0" altText="" r:id="rId30">
            <anchor moveWithCells="1" sizeWithCells="1">
              <from>
                <xdr:col>20</xdr:col>
                <xdr:colOff>57150</xdr:colOff>
                <xdr:row>111</xdr:row>
                <xdr:rowOff>19050</xdr:rowOff>
              </from>
              <to>
                <xdr:col>21</xdr:col>
                <xdr:colOff>190500</xdr:colOff>
                <xdr:row>112</xdr:row>
                <xdr:rowOff>0</xdr:rowOff>
              </to>
            </anchor>
          </objectPr>
        </oleObject>
      </mc:Choice>
      <mc:Fallback>
        <oleObject progId="Equation.3" shapeId="1214478" r:id="rId29"/>
      </mc:Fallback>
    </mc:AlternateContent>
    <mc:AlternateContent xmlns:mc="http://schemas.openxmlformats.org/markup-compatibility/2006">
      <mc:Choice Requires="x14">
        <oleObject progId="Equation.3" shapeId="1214479" r:id="rId31">
          <objectPr defaultSize="0" autoPict="0" altText="" r:id="rId32">
            <anchor moveWithCells="1" sizeWithCells="1">
              <from>
                <xdr:col>20</xdr:col>
                <xdr:colOff>57150</xdr:colOff>
                <xdr:row>113</xdr:row>
                <xdr:rowOff>200025</xdr:rowOff>
              </from>
              <to>
                <xdr:col>21</xdr:col>
                <xdr:colOff>190500</xdr:colOff>
                <xdr:row>114</xdr:row>
                <xdr:rowOff>171450</xdr:rowOff>
              </to>
            </anchor>
          </objectPr>
        </oleObject>
      </mc:Choice>
      <mc:Fallback>
        <oleObject progId="Equation.3" shapeId="1214479" r:id="rId31"/>
      </mc:Fallback>
    </mc:AlternateContent>
    <mc:AlternateContent xmlns:mc="http://schemas.openxmlformats.org/markup-compatibility/2006">
      <mc:Choice Requires="x14">
        <oleObject progId="Equation.3" shapeId="1214480" r:id="rId33">
          <objectPr defaultSize="0" autoPict="0" altText="" r:id="rId34">
            <anchor moveWithCells="1" sizeWithCells="1">
              <from>
                <xdr:col>20</xdr:col>
                <xdr:colOff>38100</xdr:colOff>
                <xdr:row>116</xdr:row>
                <xdr:rowOff>133350</xdr:rowOff>
              </from>
              <to>
                <xdr:col>21</xdr:col>
                <xdr:colOff>171450</xdr:colOff>
                <xdr:row>117</xdr:row>
                <xdr:rowOff>95250</xdr:rowOff>
              </to>
            </anchor>
          </objectPr>
        </oleObject>
      </mc:Choice>
      <mc:Fallback>
        <oleObject progId="Equation.3" shapeId="1214480" r:id="rId33"/>
      </mc:Fallback>
    </mc:AlternateContent>
    <mc:AlternateContent xmlns:mc="http://schemas.openxmlformats.org/markup-compatibility/2006">
      <mc:Choice Requires="x14">
        <oleObject progId="Equation.3" shapeId="1214481" r:id="rId35">
          <objectPr defaultSize="0" autoPict="0" altText="" r:id="rId36">
            <anchor moveWithCells="1" sizeWithCells="1">
              <from>
                <xdr:col>20</xdr:col>
                <xdr:colOff>85725</xdr:colOff>
                <xdr:row>118</xdr:row>
                <xdr:rowOff>133350</xdr:rowOff>
              </from>
              <to>
                <xdr:col>21</xdr:col>
                <xdr:colOff>152400</xdr:colOff>
                <xdr:row>119</xdr:row>
                <xdr:rowOff>95250</xdr:rowOff>
              </to>
            </anchor>
          </objectPr>
        </oleObject>
      </mc:Choice>
      <mc:Fallback>
        <oleObject progId="Equation.3" shapeId="1214481" r:id="rId35"/>
      </mc:Fallback>
    </mc:AlternateContent>
    <mc:AlternateContent xmlns:mc="http://schemas.openxmlformats.org/markup-compatibility/2006">
      <mc:Choice Requires="x14">
        <oleObject progId="Equation.3" shapeId="1214482" r:id="rId37">
          <objectPr defaultSize="0" autoPict="0" altText="" r:id="rId38">
            <anchor moveWithCells="1" sizeWithCells="1">
              <from>
                <xdr:col>20</xdr:col>
                <xdr:colOff>85725</xdr:colOff>
                <xdr:row>121</xdr:row>
                <xdr:rowOff>19050</xdr:rowOff>
              </from>
              <to>
                <xdr:col>21</xdr:col>
                <xdr:colOff>152400</xdr:colOff>
                <xdr:row>122</xdr:row>
                <xdr:rowOff>0</xdr:rowOff>
              </to>
            </anchor>
          </objectPr>
        </oleObject>
      </mc:Choice>
      <mc:Fallback>
        <oleObject progId="Equation.3" shapeId="1214482" r:id="rId37"/>
      </mc:Fallback>
    </mc:AlternateContent>
    <mc:AlternateContent xmlns:mc="http://schemas.openxmlformats.org/markup-compatibility/2006">
      <mc:Choice Requires="x14">
        <oleObject progId="Equation.3" shapeId="1214483" r:id="rId39">
          <objectPr defaultSize="0" autoPict="0" altText="" r:id="rId40">
            <anchor moveWithCells="1" sizeWithCells="1">
              <from>
                <xdr:col>15</xdr:col>
                <xdr:colOff>238125</xdr:colOff>
                <xdr:row>110</xdr:row>
                <xdr:rowOff>19050</xdr:rowOff>
              </from>
              <to>
                <xdr:col>17</xdr:col>
                <xdr:colOff>57150</xdr:colOff>
                <xdr:row>111</xdr:row>
                <xdr:rowOff>0</xdr:rowOff>
              </to>
            </anchor>
          </objectPr>
        </oleObject>
      </mc:Choice>
      <mc:Fallback>
        <oleObject progId="Equation.3" shapeId="1214483" r:id="rId39"/>
      </mc:Fallback>
    </mc:AlternateContent>
    <mc:AlternateContent xmlns:mc="http://schemas.openxmlformats.org/markup-compatibility/2006">
      <mc:Choice Requires="x14">
        <oleObject progId="Equation.3" shapeId="1214484" r:id="rId41">
          <objectPr defaultSize="0" autoPict="0" altText="" r:id="rId42">
            <anchor moveWithCells="1" sizeWithCells="1">
              <from>
                <xdr:col>15</xdr:col>
                <xdr:colOff>200025</xdr:colOff>
                <xdr:row>112</xdr:row>
                <xdr:rowOff>0</xdr:rowOff>
              </from>
              <to>
                <xdr:col>17</xdr:col>
                <xdr:colOff>85725</xdr:colOff>
                <xdr:row>113</xdr:row>
                <xdr:rowOff>0</xdr:rowOff>
              </to>
            </anchor>
          </objectPr>
        </oleObject>
      </mc:Choice>
      <mc:Fallback>
        <oleObject progId="Equation.3" shapeId="1214484" r:id="rId41"/>
      </mc:Fallback>
    </mc:AlternateContent>
    <mc:AlternateContent xmlns:mc="http://schemas.openxmlformats.org/markup-compatibility/2006">
      <mc:Choice Requires="x14">
        <oleObject progId="Equation.3" shapeId="1214485" r:id="rId43">
          <objectPr defaultSize="0" autoPict="0" altText="" r:id="rId30">
            <anchor moveWithCells="1" sizeWithCells="1">
              <from>
                <xdr:col>15</xdr:col>
                <xdr:colOff>200025</xdr:colOff>
                <xdr:row>114</xdr:row>
                <xdr:rowOff>180975</xdr:rowOff>
              </from>
              <to>
                <xdr:col>17</xdr:col>
                <xdr:colOff>85725</xdr:colOff>
                <xdr:row>115</xdr:row>
                <xdr:rowOff>161925</xdr:rowOff>
              </to>
            </anchor>
          </objectPr>
        </oleObject>
      </mc:Choice>
      <mc:Fallback>
        <oleObject progId="Equation.3" shapeId="1214485" r:id="rId43"/>
      </mc:Fallback>
    </mc:AlternateContent>
    <mc:AlternateContent xmlns:mc="http://schemas.openxmlformats.org/markup-compatibility/2006">
      <mc:Choice Requires="x14">
        <oleObject progId="Equation.3" shapeId="1214486" r:id="rId44">
          <objectPr defaultSize="0" autoPict="0" altText="" r:id="rId32">
            <anchor moveWithCells="1" sizeWithCells="1">
              <from>
                <xdr:col>15</xdr:col>
                <xdr:colOff>180975</xdr:colOff>
                <xdr:row>117</xdr:row>
                <xdr:rowOff>142875</xdr:rowOff>
              </from>
              <to>
                <xdr:col>17</xdr:col>
                <xdr:colOff>66675</xdr:colOff>
                <xdr:row>118</xdr:row>
                <xdr:rowOff>114300</xdr:rowOff>
              </to>
            </anchor>
          </objectPr>
        </oleObject>
      </mc:Choice>
      <mc:Fallback>
        <oleObject progId="Equation.3" shapeId="1214486" r:id="rId44"/>
      </mc:Fallback>
    </mc:AlternateContent>
    <mc:AlternateContent xmlns:mc="http://schemas.openxmlformats.org/markup-compatibility/2006">
      <mc:Choice Requires="x14">
        <oleObject progId="Equation.3" shapeId="1214487" r:id="rId45">
          <objectPr defaultSize="0" autoPict="0" altText="" r:id="rId34">
            <anchor moveWithCells="1" sizeWithCells="1">
              <from>
                <xdr:col>15</xdr:col>
                <xdr:colOff>200025</xdr:colOff>
                <xdr:row>119</xdr:row>
                <xdr:rowOff>180975</xdr:rowOff>
              </from>
              <to>
                <xdr:col>17</xdr:col>
                <xdr:colOff>85725</xdr:colOff>
                <xdr:row>120</xdr:row>
                <xdr:rowOff>161925</xdr:rowOff>
              </to>
            </anchor>
          </objectPr>
        </oleObject>
      </mc:Choice>
      <mc:Fallback>
        <oleObject progId="Equation.3" shapeId="1214487" r:id="rId45"/>
      </mc:Fallback>
    </mc:AlternateContent>
    <mc:AlternateContent xmlns:mc="http://schemas.openxmlformats.org/markup-compatibility/2006">
      <mc:Choice Requires="x14">
        <oleObject progId="Equation.3" shapeId="1214488" r:id="rId46">
          <objectPr defaultSize="0" autoPict="0" altText="" r:id="rId36">
            <anchor moveWithCells="1" sizeWithCells="1">
              <from>
                <xdr:col>15</xdr:col>
                <xdr:colOff>209550</xdr:colOff>
                <xdr:row>121</xdr:row>
                <xdr:rowOff>66675</xdr:rowOff>
              </from>
              <to>
                <xdr:col>17</xdr:col>
                <xdr:colOff>38100</xdr:colOff>
                <xdr:row>122</xdr:row>
                <xdr:rowOff>47625</xdr:rowOff>
              </to>
            </anchor>
          </objectPr>
        </oleObject>
      </mc:Choice>
      <mc:Fallback>
        <oleObject progId="Equation.3" shapeId="1214488" r:id="rId46"/>
      </mc:Fallback>
    </mc:AlternateContent>
    <mc:AlternateContent xmlns:mc="http://schemas.openxmlformats.org/markup-compatibility/2006">
      <mc:Choice Requires="x14">
        <oleObject progId="Equation.3" shapeId="1214489" r:id="rId47">
          <objectPr defaultSize="0" autoPict="0" altText="" r:id="rId30">
            <anchor moveWithCells="1" sizeWithCells="1">
              <from>
                <xdr:col>10</xdr:col>
                <xdr:colOff>152400</xdr:colOff>
                <xdr:row>110</xdr:row>
                <xdr:rowOff>142875</xdr:rowOff>
              </from>
              <to>
                <xdr:col>12</xdr:col>
                <xdr:colOff>47625</xdr:colOff>
                <xdr:row>111</xdr:row>
                <xdr:rowOff>114300</xdr:rowOff>
              </to>
            </anchor>
          </objectPr>
        </oleObject>
      </mc:Choice>
      <mc:Fallback>
        <oleObject progId="Equation.3" shapeId="1214489" r:id="rId47"/>
      </mc:Fallback>
    </mc:AlternateContent>
    <mc:AlternateContent xmlns:mc="http://schemas.openxmlformats.org/markup-compatibility/2006">
      <mc:Choice Requires="x14">
        <oleObject progId="Equation.3" shapeId="1214490" r:id="rId48">
          <objectPr defaultSize="0" autoPict="0" altText="" r:id="rId32">
            <anchor moveWithCells="1" sizeWithCells="1">
              <from>
                <xdr:col>10</xdr:col>
                <xdr:colOff>133350</xdr:colOff>
                <xdr:row>113</xdr:row>
                <xdr:rowOff>0</xdr:rowOff>
              </from>
              <to>
                <xdr:col>12</xdr:col>
                <xdr:colOff>19050</xdr:colOff>
                <xdr:row>114</xdr:row>
                <xdr:rowOff>0</xdr:rowOff>
              </to>
            </anchor>
          </objectPr>
        </oleObject>
      </mc:Choice>
      <mc:Fallback>
        <oleObject progId="Equation.3" shapeId="1214490" r:id="rId48"/>
      </mc:Fallback>
    </mc:AlternateContent>
    <mc:AlternateContent xmlns:mc="http://schemas.openxmlformats.org/markup-compatibility/2006">
      <mc:Choice Requires="x14">
        <oleObject progId="Equation.3" shapeId="1214491" r:id="rId49">
          <objectPr defaultSize="0" autoPict="0" altText="" r:id="rId34">
            <anchor moveWithCells="1" sizeWithCells="1">
              <from>
                <xdr:col>10</xdr:col>
                <xdr:colOff>171450</xdr:colOff>
                <xdr:row>115</xdr:row>
                <xdr:rowOff>142875</xdr:rowOff>
              </from>
              <to>
                <xdr:col>12</xdr:col>
                <xdr:colOff>57150</xdr:colOff>
                <xdr:row>116</xdr:row>
                <xdr:rowOff>114300</xdr:rowOff>
              </to>
            </anchor>
          </objectPr>
        </oleObject>
      </mc:Choice>
      <mc:Fallback>
        <oleObject progId="Equation.3" shapeId="1214491" r:id="rId49"/>
      </mc:Fallback>
    </mc:AlternateContent>
    <mc:AlternateContent xmlns:mc="http://schemas.openxmlformats.org/markup-compatibility/2006">
      <mc:Choice Requires="x14">
        <oleObject progId="Equation.3" shapeId="1214492" r:id="rId50">
          <objectPr defaultSize="0" autoPict="0" altText="" r:id="rId36">
            <anchor moveWithCells="1" sizeWithCells="1">
              <from>
                <xdr:col>10</xdr:col>
                <xdr:colOff>228600</xdr:colOff>
                <xdr:row>117</xdr:row>
                <xdr:rowOff>133350</xdr:rowOff>
              </from>
              <to>
                <xdr:col>12</xdr:col>
                <xdr:colOff>47625</xdr:colOff>
                <xdr:row>118</xdr:row>
                <xdr:rowOff>95250</xdr:rowOff>
              </to>
            </anchor>
          </objectPr>
        </oleObject>
      </mc:Choice>
      <mc:Fallback>
        <oleObject progId="Equation.3" shapeId="1214492" r:id="rId50"/>
      </mc:Fallback>
    </mc:AlternateContent>
    <mc:AlternateContent xmlns:mc="http://schemas.openxmlformats.org/markup-compatibility/2006">
      <mc:Choice Requires="x14">
        <oleObject progId="Equation.3" shapeId="1214493" r:id="rId51">
          <objectPr defaultSize="0" autoPict="0" altText="" r:id="rId38">
            <anchor moveWithCells="1" sizeWithCells="1">
              <from>
                <xdr:col>10</xdr:col>
                <xdr:colOff>209550</xdr:colOff>
                <xdr:row>120</xdr:row>
                <xdr:rowOff>0</xdr:rowOff>
              </from>
              <to>
                <xdr:col>12</xdr:col>
                <xdr:colOff>19050</xdr:colOff>
                <xdr:row>121</xdr:row>
                <xdr:rowOff>0</xdr:rowOff>
              </to>
            </anchor>
          </objectPr>
        </oleObject>
      </mc:Choice>
      <mc:Fallback>
        <oleObject progId="Equation.3" shapeId="1214493" r:id="rId51"/>
      </mc:Fallback>
    </mc:AlternateContent>
    <mc:AlternateContent xmlns:mc="http://schemas.openxmlformats.org/markup-compatibility/2006">
      <mc:Choice Requires="x14">
        <oleObject progId="Equation.3" shapeId="1214494" r:id="rId52">
          <objectPr defaultSize="0" autoPict="0" altText="" r:id="rId53">
            <anchor moveWithCells="1" sizeWithCells="1">
              <from>
                <xdr:col>10</xdr:col>
                <xdr:colOff>209550</xdr:colOff>
                <xdr:row>122</xdr:row>
                <xdr:rowOff>28575</xdr:rowOff>
              </from>
              <to>
                <xdr:col>12</xdr:col>
                <xdr:colOff>19050</xdr:colOff>
                <xdr:row>123</xdr:row>
                <xdr:rowOff>0</xdr:rowOff>
              </to>
            </anchor>
          </objectPr>
        </oleObject>
      </mc:Choice>
      <mc:Fallback>
        <oleObject progId="Equation.3" shapeId="1214494" r:id="rId52"/>
      </mc:Fallback>
    </mc:AlternateContent>
    <mc:AlternateContent xmlns:mc="http://schemas.openxmlformats.org/markup-compatibility/2006">
      <mc:Choice Requires="x14">
        <oleObject progId="Equation.3" shapeId="1214495" r:id="rId54">
          <objectPr defaultSize="0" autoPict="0" altText="" r:id="rId55">
            <anchor moveWithCells="1" sizeWithCells="1">
              <from>
                <xdr:col>6</xdr:col>
                <xdr:colOff>104775</xdr:colOff>
                <xdr:row>111</xdr:row>
                <xdr:rowOff>0</xdr:rowOff>
              </from>
              <to>
                <xdr:col>7</xdr:col>
                <xdr:colOff>171450</xdr:colOff>
                <xdr:row>113</xdr:row>
                <xdr:rowOff>0</xdr:rowOff>
              </to>
            </anchor>
          </objectPr>
        </oleObject>
      </mc:Choice>
      <mc:Fallback>
        <oleObject progId="Equation.3" shapeId="1214495" r:id="rId54"/>
      </mc:Fallback>
    </mc:AlternateContent>
    <mc:AlternateContent xmlns:mc="http://schemas.openxmlformats.org/markup-compatibility/2006">
      <mc:Choice Requires="x14">
        <oleObject progId="Equation.3" shapeId="1214496" r:id="rId56">
          <objectPr defaultSize="0" autoPict="0" altText="" r:id="rId57">
            <anchor moveWithCells="1" sizeWithCells="1">
              <from>
                <xdr:col>6</xdr:col>
                <xdr:colOff>85725</xdr:colOff>
                <xdr:row>115</xdr:row>
                <xdr:rowOff>66675</xdr:rowOff>
              </from>
              <to>
                <xdr:col>7</xdr:col>
                <xdr:colOff>152400</xdr:colOff>
                <xdr:row>117</xdr:row>
                <xdr:rowOff>66675</xdr:rowOff>
              </to>
            </anchor>
          </objectPr>
        </oleObject>
      </mc:Choice>
      <mc:Fallback>
        <oleObject progId="Equation.3" shapeId="1214496" r:id="rId56"/>
      </mc:Fallback>
    </mc:AlternateContent>
    <mc:AlternateContent xmlns:mc="http://schemas.openxmlformats.org/markup-compatibility/2006">
      <mc:Choice Requires="x14">
        <oleObject progId="Equation.3" shapeId="1214497" r:id="rId58">
          <objectPr defaultSize="0" autoPict="0" altText="" r:id="rId59">
            <anchor moveWithCells="1" sizeWithCells="1">
              <from>
                <xdr:col>6</xdr:col>
                <xdr:colOff>85725</xdr:colOff>
                <xdr:row>119</xdr:row>
                <xdr:rowOff>180975</xdr:rowOff>
              </from>
              <to>
                <xdr:col>7</xdr:col>
                <xdr:colOff>152400</xdr:colOff>
                <xdr:row>121</xdr:row>
                <xdr:rowOff>171450</xdr:rowOff>
              </to>
            </anchor>
          </objectPr>
        </oleObject>
      </mc:Choice>
      <mc:Fallback>
        <oleObject progId="Equation.3" shapeId="1214497" r:id="rId58"/>
      </mc:Fallback>
    </mc:AlternateContent>
    <mc:AlternateContent xmlns:mc="http://schemas.openxmlformats.org/markup-compatibility/2006">
      <mc:Choice Requires="x14">
        <oleObject progId="Equation.3" shapeId="1214498" r:id="rId60">
          <objectPr defaultSize="0" autoPict="0" altText="" r:id="rId61">
            <anchor moveWithCells="1" sizeWithCells="1">
              <from>
                <xdr:col>20</xdr:col>
                <xdr:colOff>76200</xdr:colOff>
                <xdr:row>123</xdr:row>
                <xdr:rowOff>161925</xdr:rowOff>
              </from>
              <to>
                <xdr:col>21</xdr:col>
                <xdr:colOff>209550</xdr:colOff>
                <xdr:row>124</xdr:row>
                <xdr:rowOff>142875</xdr:rowOff>
              </to>
            </anchor>
          </objectPr>
        </oleObject>
      </mc:Choice>
      <mc:Fallback>
        <oleObject progId="Equation.3" shapeId="1214498" r:id="rId60"/>
      </mc:Fallback>
    </mc:AlternateContent>
    <mc:AlternateContent xmlns:mc="http://schemas.openxmlformats.org/markup-compatibility/2006">
      <mc:Choice Requires="x14">
        <oleObject progId="Equation.3" shapeId="1214499" r:id="rId62">
          <objectPr defaultSize="0" autoPict="0" altText="" r:id="rId63">
            <anchor moveWithCells="1" sizeWithCells="1">
              <from>
                <xdr:col>23</xdr:col>
                <xdr:colOff>209550</xdr:colOff>
                <xdr:row>123</xdr:row>
                <xdr:rowOff>142875</xdr:rowOff>
              </from>
              <to>
                <xdr:col>25</xdr:col>
                <xdr:colOff>95250</xdr:colOff>
                <xdr:row>124</xdr:row>
                <xdr:rowOff>133350</xdr:rowOff>
              </to>
            </anchor>
          </objectPr>
        </oleObject>
      </mc:Choice>
      <mc:Fallback>
        <oleObject progId="Equation.3" shapeId="1214499" r:id="rId6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A13" workbookViewId="0">
      <selection activeCell="K3" sqref="K3"/>
    </sheetView>
  </sheetViews>
  <sheetFormatPr defaultColWidth="8.75" defaultRowHeight="21" customHeight="1"/>
  <cols>
    <col min="1" max="3" width="14.5" style="82" customWidth="1"/>
    <col min="4" max="5" width="14.625" style="82" customWidth="1"/>
    <col min="6" max="7" width="16.125" style="82" customWidth="1"/>
    <col min="8" max="32" width="9" style="82"/>
    <col min="33" max="16384" width="8.75" style="82"/>
  </cols>
  <sheetData>
    <row r="1" spans="1:7" ht="30" customHeight="1">
      <c r="A1" s="4033" t="s">
        <v>8238</v>
      </c>
      <c r="B1" s="4034"/>
      <c r="C1" s="4034"/>
      <c r="D1" s="4034"/>
      <c r="E1" s="4034"/>
      <c r="F1" s="4034"/>
      <c r="G1" s="4035"/>
    </row>
    <row r="3" spans="1:7" ht="21" customHeight="1">
      <c r="A3" s="111" t="s">
        <v>8239</v>
      </c>
      <c r="B3" s="1744"/>
      <c r="C3" s="1744"/>
      <c r="D3" s="1744"/>
      <c r="E3" s="1744"/>
      <c r="F3" s="1744"/>
      <c r="G3" s="119"/>
    </row>
    <row r="5" spans="1:7" ht="27" customHeight="1">
      <c r="A5" s="4036" t="s">
        <v>8240</v>
      </c>
      <c r="B5" s="4036"/>
      <c r="C5" s="4036"/>
      <c r="D5" s="4036"/>
      <c r="E5" s="4036"/>
      <c r="F5" s="4036"/>
      <c r="G5" s="4036"/>
    </row>
    <row r="6" spans="1:7" ht="21" customHeight="1">
      <c r="A6" s="883" t="s">
        <v>8241</v>
      </c>
      <c r="B6" s="883" t="s">
        <v>8242</v>
      </c>
      <c r="C6" s="883" t="s">
        <v>8243</v>
      </c>
      <c r="D6" s="883" t="s">
        <v>8244</v>
      </c>
      <c r="E6" s="883" t="s">
        <v>8245</v>
      </c>
      <c r="F6" s="883" t="s">
        <v>8246</v>
      </c>
      <c r="G6" s="883" t="s">
        <v>8247</v>
      </c>
    </row>
    <row r="7" spans="1:7" ht="18.75" customHeight="1">
      <c r="A7" s="1745" t="s">
        <v>8248</v>
      </c>
      <c r="B7" s="1745" t="s">
        <v>8249</v>
      </c>
      <c r="C7" s="1745" t="s">
        <v>8250</v>
      </c>
      <c r="D7" s="1745" t="s">
        <v>8251</v>
      </c>
      <c r="E7" s="1745" t="s">
        <v>8252</v>
      </c>
      <c r="F7" s="1745" t="s">
        <v>8253</v>
      </c>
      <c r="G7" s="1745" t="s">
        <v>8254</v>
      </c>
    </row>
    <row r="8" spans="1:7" ht="21" customHeight="1">
      <c r="A8" s="1647">
        <v>70</v>
      </c>
      <c r="B8" s="1647">
        <v>0.5</v>
      </c>
      <c r="C8" s="1746">
        <f>(A8*B8*B8)/2</f>
        <v>8.75</v>
      </c>
      <c r="D8" s="1647">
        <v>343</v>
      </c>
      <c r="E8" s="1647">
        <v>8.0000000000000002E-3</v>
      </c>
      <c r="F8" s="1746">
        <f>E8*D8</f>
        <v>2.7440000000000002</v>
      </c>
      <c r="G8" s="635">
        <f>C8+F8</f>
        <v>11.494</v>
      </c>
    </row>
    <row r="11" spans="1:7" ht="21" customHeight="1">
      <c r="A11" s="4036" t="s">
        <v>8255</v>
      </c>
      <c r="B11" s="4036"/>
      <c r="C11" s="4036"/>
      <c r="D11" s="4036"/>
      <c r="E11" s="4036"/>
      <c r="F11" s="4036"/>
      <c r="G11" s="4036"/>
    </row>
    <row r="12" spans="1:7" ht="21" customHeight="1">
      <c r="A12" s="883" t="s">
        <v>8241</v>
      </c>
      <c r="B12" s="883" t="s">
        <v>8242</v>
      </c>
      <c r="C12" s="883" t="s">
        <v>8243</v>
      </c>
      <c r="D12" s="883" t="s">
        <v>8244</v>
      </c>
      <c r="E12" s="883" t="s">
        <v>8245</v>
      </c>
      <c r="F12" s="883" t="s">
        <v>8246</v>
      </c>
      <c r="G12" s="883" t="s">
        <v>8247</v>
      </c>
    </row>
    <row r="13" spans="1:7" ht="21" customHeight="1">
      <c r="A13" s="1745" t="s">
        <v>8256</v>
      </c>
      <c r="B13" s="1745" t="s">
        <v>8257</v>
      </c>
      <c r="C13" s="1745" t="s">
        <v>8250</v>
      </c>
      <c r="D13" s="1745" t="s">
        <v>8251</v>
      </c>
      <c r="E13" s="1745" t="s">
        <v>8258</v>
      </c>
      <c r="F13" s="1745" t="s">
        <v>8253</v>
      </c>
      <c r="G13" s="1745" t="s">
        <v>8254</v>
      </c>
    </row>
    <row r="14" spans="1:7" ht="21" customHeight="1">
      <c r="A14" s="1647">
        <v>15</v>
      </c>
      <c r="B14" s="1647">
        <v>0.5</v>
      </c>
      <c r="C14" s="1746">
        <f>(A14*B14*B14)/2</f>
        <v>1.875</v>
      </c>
      <c r="D14" s="1647">
        <v>1401</v>
      </c>
      <c r="E14" s="1647">
        <v>0.01</v>
      </c>
      <c r="F14" s="1746">
        <f>(A14*9.8+D14)*E14</f>
        <v>15.48</v>
      </c>
      <c r="G14" s="635">
        <f>C14+F14</f>
        <v>17.355</v>
      </c>
    </row>
    <row r="15" spans="1:7" ht="21" customHeight="1">
      <c r="A15" s="4037" t="s">
        <v>8259</v>
      </c>
      <c r="B15" s="4037"/>
      <c r="C15" s="4037"/>
      <c r="D15" s="4037"/>
      <c r="E15" s="4037"/>
      <c r="F15" s="4037"/>
      <c r="G15" s="4037"/>
    </row>
    <row r="23" spans="6:7" ht="21" customHeight="1">
      <c r="F23" s="3361" t="s">
        <v>12714</v>
      </c>
      <c r="G23" s="3361"/>
    </row>
    <row r="24" spans="6:7" ht="21" customHeight="1">
      <c r="F24" s="3361"/>
      <c r="G24" s="3361"/>
    </row>
    <row r="25" spans="6:7" ht="21" customHeight="1">
      <c r="F25" s="3361"/>
      <c r="G25" s="3361"/>
    </row>
    <row r="26" spans="6:7" ht="21" customHeight="1">
      <c r="F26" s="3361"/>
      <c r="G26" s="3361"/>
    </row>
    <row r="27" spans="6:7" ht="21" customHeight="1">
      <c r="F27" s="3361"/>
      <c r="G27" s="3361"/>
    </row>
  </sheetData>
  <mergeCells count="5">
    <mergeCell ref="A1:G1"/>
    <mergeCell ref="A5:G5"/>
    <mergeCell ref="A11:G11"/>
    <mergeCell ref="A15:G15"/>
    <mergeCell ref="F23:G27"/>
  </mergeCells>
  <phoneticPr fontId="378" type="noConversion"/>
  <hyperlinks>
    <hyperlink ref="F23:G27" location="总目录!A1" display="返回   目录"/>
  </hyperlinks>
  <pageMargins left="0.75" right="0.75" top="1" bottom="1" header="0.5" footer="0.5"/>
  <pageSetup paperSize="9" orientation="portrait"/>
  <headerFooter alignWithMargins="0"/>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workbookViewId="0">
      <selection activeCell="E12" sqref="E12"/>
    </sheetView>
  </sheetViews>
  <sheetFormatPr defaultColWidth="8.75" defaultRowHeight="16.5"/>
  <cols>
    <col min="1" max="4" width="18.625" customWidth="1"/>
  </cols>
  <sheetData>
    <row r="1" spans="1:7" ht="30.75" customHeight="1">
      <c r="A1" s="4038" t="s">
        <v>8260</v>
      </c>
      <c r="B1" s="4038"/>
      <c r="C1" s="4038"/>
      <c r="D1" s="4038"/>
    </row>
    <row r="2" spans="1:7" ht="27.75" customHeight="1" thickBot="1">
      <c r="A2" s="1695"/>
      <c r="B2" s="1696" t="s">
        <v>1445</v>
      </c>
      <c r="C2" s="1696" t="s">
        <v>8261</v>
      </c>
      <c r="D2" s="1696" t="s">
        <v>8262</v>
      </c>
    </row>
    <row r="3" spans="1:7" ht="17.25" thickTop="1">
      <c r="A3" s="4039" t="s">
        <v>8263</v>
      </c>
      <c r="B3" s="4040"/>
      <c r="C3" s="4040"/>
      <c r="D3" s="4041"/>
      <c r="E3" s="3169"/>
      <c r="F3" s="3170"/>
      <c r="G3" s="52"/>
    </row>
    <row r="4" spans="1:7">
      <c r="A4" s="4067" t="s">
        <v>8264</v>
      </c>
      <c r="B4" s="1698" t="s">
        <v>7454</v>
      </c>
      <c r="C4" s="1698" t="s">
        <v>8265</v>
      </c>
      <c r="D4" s="1699" t="s">
        <v>8265</v>
      </c>
      <c r="E4" s="3171"/>
      <c r="F4" s="3172"/>
      <c r="G4" s="52"/>
    </row>
    <row r="5" spans="1:7">
      <c r="A5" s="4067"/>
      <c r="B5" s="1698" t="s">
        <v>8266</v>
      </c>
      <c r="C5" s="1698" t="s">
        <v>8267</v>
      </c>
      <c r="D5" s="1699" t="s">
        <v>8268</v>
      </c>
      <c r="E5" s="3171"/>
      <c r="F5" s="3172"/>
      <c r="G5" s="52"/>
    </row>
    <row r="6" spans="1:7">
      <c r="A6" s="4067"/>
      <c r="B6" s="1698" t="s">
        <v>8269</v>
      </c>
      <c r="C6" s="1698" t="s">
        <v>8270</v>
      </c>
      <c r="D6" s="1699" t="s">
        <v>8270</v>
      </c>
      <c r="E6" s="3171"/>
      <c r="F6" s="3172"/>
      <c r="G6" s="52"/>
    </row>
    <row r="7" spans="1:7" ht="17.25" thickBot="1">
      <c r="A7" s="4067"/>
      <c r="B7" s="1698" t="s">
        <v>8271</v>
      </c>
      <c r="C7" s="1698" t="s">
        <v>8272</v>
      </c>
      <c r="D7" s="1699" t="s">
        <v>8273</v>
      </c>
      <c r="E7" s="3173"/>
      <c r="F7" s="3174"/>
      <c r="G7" s="52"/>
    </row>
    <row r="8" spans="1:7">
      <c r="A8" s="4067"/>
      <c r="B8" s="1698" t="s">
        <v>8274</v>
      </c>
      <c r="C8" s="1698" t="s">
        <v>8273</v>
      </c>
      <c r="D8" s="1699" t="s">
        <v>8273</v>
      </c>
      <c r="E8" s="52"/>
      <c r="F8" s="52"/>
      <c r="G8" s="52"/>
    </row>
    <row r="9" spans="1:7">
      <c r="A9" s="4067"/>
      <c r="B9" s="1698" t="s">
        <v>6556</v>
      </c>
      <c r="C9" s="1698" t="s">
        <v>8275</v>
      </c>
      <c r="D9" s="1699" t="s">
        <v>8276</v>
      </c>
    </row>
    <row r="10" spans="1:7">
      <c r="A10" s="1697" t="s">
        <v>8277</v>
      </c>
      <c r="B10" s="1698" t="s">
        <v>1466</v>
      </c>
      <c r="C10" s="1698" t="s">
        <v>8278</v>
      </c>
      <c r="D10" s="1699" t="s">
        <v>8278</v>
      </c>
    </row>
    <row r="11" spans="1:7">
      <c r="A11" s="4042" t="s">
        <v>8279</v>
      </c>
      <c r="B11" s="4043"/>
      <c r="C11" s="4043"/>
      <c r="D11" s="4044"/>
    </row>
    <row r="12" spans="1:7">
      <c r="A12" s="4045" t="s">
        <v>8280</v>
      </c>
      <c r="B12" s="4046"/>
      <c r="C12" s="4046"/>
      <c r="D12" s="4047"/>
      <c r="E12" s="3160" t="s">
        <v>12716</v>
      </c>
    </row>
    <row r="13" spans="1:7">
      <c r="A13" s="1700"/>
      <c r="B13" s="1701"/>
      <c r="C13" s="1701"/>
      <c r="D13" s="1702"/>
    </row>
    <row r="14" spans="1:7">
      <c r="A14" s="4048" t="s">
        <v>8281</v>
      </c>
      <c r="B14" s="4049"/>
      <c r="C14" s="4049"/>
      <c r="D14" s="4050"/>
    </row>
    <row r="15" spans="1:7">
      <c r="A15" s="4051"/>
      <c r="B15" s="4052"/>
      <c r="C15" s="4052"/>
      <c r="D15" s="4053"/>
    </row>
    <row r="16" spans="1:7">
      <c r="A16" s="1703"/>
      <c r="B16" s="1704"/>
      <c r="C16" s="1704"/>
      <c r="D16" s="1705"/>
    </row>
    <row r="17" spans="1:4">
      <c r="A17" s="1706" t="s">
        <v>8282</v>
      </c>
      <c r="B17" s="4054" t="s">
        <v>8283</v>
      </c>
      <c r="C17" s="4054"/>
      <c r="D17" s="4055"/>
    </row>
    <row r="18" spans="1:4">
      <c r="A18" s="4068" t="s">
        <v>8284</v>
      </c>
      <c r="B18" s="1710" t="s">
        <v>8285</v>
      </c>
      <c r="C18" s="1710">
        <v>93</v>
      </c>
      <c r="D18" s="1711">
        <v>93</v>
      </c>
    </row>
    <row r="19" spans="1:4">
      <c r="A19" s="4068"/>
      <c r="B19" s="1710" t="s">
        <v>8286</v>
      </c>
      <c r="C19" s="1710">
        <v>97</v>
      </c>
      <c r="D19" s="1711">
        <v>97</v>
      </c>
    </row>
    <row r="20" spans="1:4">
      <c r="A20" s="4068"/>
      <c r="B20" s="1710" t="s">
        <v>8287</v>
      </c>
      <c r="C20" s="1710">
        <v>104</v>
      </c>
      <c r="D20" s="1711">
        <v>104</v>
      </c>
    </row>
    <row r="21" spans="1:4">
      <c r="A21" s="4069"/>
      <c r="B21" s="1712" t="s">
        <v>8288</v>
      </c>
      <c r="C21" s="1712">
        <v>107</v>
      </c>
      <c r="D21" s="1713">
        <v>107</v>
      </c>
    </row>
    <row r="22" spans="1:4">
      <c r="A22" s="4056"/>
      <c r="B22" s="4057"/>
      <c r="C22" s="4057"/>
      <c r="D22" s="4058"/>
    </row>
    <row r="23" spans="1:4">
      <c r="A23" s="4059" t="s">
        <v>8289</v>
      </c>
      <c r="B23" s="4060"/>
      <c r="C23" s="4060"/>
      <c r="D23" s="4061"/>
    </row>
    <row r="24" spans="1:4">
      <c r="A24" s="4070" t="s">
        <v>8290</v>
      </c>
      <c r="B24" s="1714" t="s">
        <v>8291</v>
      </c>
      <c r="C24" s="1714" t="s">
        <v>8270</v>
      </c>
      <c r="D24" s="1715" t="s">
        <v>8270</v>
      </c>
    </row>
    <row r="25" spans="1:4">
      <c r="A25" s="4070"/>
      <c r="B25" s="1714" t="s">
        <v>8292</v>
      </c>
      <c r="C25" s="1714" t="s">
        <v>8272</v>
      </c>
      <c r="D25" s="1715" t="s">
        <v>8272</v>
      </c>
    </row>
    <row r="26" spans="1:4">
      <c r="A26" s="4070"/>
      <c r="B26" s="1714" t="s">
        <v>8293</v>
      </c>
      <c r="C26" s="1714" t="s">
        <v>8273</v>
      </c>
      <c r="D26" s="1715" t="s">
        <v>8273</v>
      </c>
    </row>
    <row r="27" spans="1:4">
      <c r="A27" s="4071"/>
      <c r="B27" s="1716" t="s">
        <v>8294</v>
      </c>
      <c r="C27" s="1716">
        <v>170</v>
      </c>
      <c r="D27" s="1717">
        <v>170</v>
      </c>
    </row>
    <row r="28" spans="1:4">
      <c r="A28" s="4062" t="s">
        <v>8295</v>
      </c>
      <c r="B28" s="4063"/>
      <c r="C28" s="4063"/>
      <c r="D28" s="4064"/>
    </row>
    <row r="29" spans="1:4">
      <c r="A29" s="881"/>
      <c r="B29" s="1718"/>
      <c r="C29" s="1718"/>
      <c r="D29" s="1719"/>
    </row>
    <row r="30" spans="1:4">
      <c r="A30" s="1720" t="s">
        <v>8296</v>
      </c>
      <c r="B30" s="1721" t="s">
        <v>8271</v>
      </c>
      <c r="C30" s="1721" t="s">
        <v>8297</v>
      </c>
      <c r="D30" s="1722" t="s">
        <v>8298</v>
      </c>
    </row>
    <row r="31" spans="1:4">
      <c r="A31" s="4067" t="s">
        <v>8299</v>
      </c>
      <c r="B31" s="1698" t="s">
        <v>8274</v>
      </c>
      <c r="C31" s="1698" t="s">
        <v>8300</v>
      </c>
      <c r="D31" s="1699" t="s">
        <v>8301</v>
      </c>
    </row>
    <row r="32" spans="1:4">
      <c r="A32" s="4067"/>
      <c r="B32" s="1698" t="s">
        <v>8302</v>
      </c>
      <c r="C32" s="1698" t="s">
        <v>8303</v>
      </c>
      <c r="D32" s="1699" t="s">
        <v>8304</v>
      </c>
    </row>
    <row r="33" spans="1:7">
      <c r="A33" s="4067"/>
      <c r="B33" s="1698" t="s">
        <v>6556</v>
      </c>
      <c r="C33" s="1698" t="s">
        <v>8305</v>
      </c>
      <c r="D33" s="1699" t="s">
        <v>8306</v>
      </c>
    </row>
    <row r="34" spans="1:7">
      <c r="A34" s="4067"/>
      <c r="B34" s="1698" t="s">
        <v>8307</v>
      </c>
      <c r="C34" s="1698" t="s">
        <v>8308</v>
      </c>
      <c r="D34" s="1699" t="s">
        <v>8309</v>
      </c>
    </row>
    <row r="35" spans="1:7">
      <c r="A35" s="4067" t="s">
        <v>837</v>
      </c>
      <c r="B35" s="1698" t="s">
        <v>8271</v>
      </c>
      <c r="C35" s="1698" t="s">
        <v>8310</v>
      </c>
      <c r="D35" s="1699" t="s">
        <v>8311</v>
      </c>
    </row>
    <row r="36" spans="1:7">
      <c r="A36" s="4067"/>
      <c r="B36" s="1698" t="s">
        <v>8274</v>
      </c>
      <c r="C36" s="1698" t="s">
        <v>8312</v>
      </c>
      <c r="D36" s="1699" t="s">
        <v>8313</v>
      </c>
      <c r="E36" s="3160" t="s">
        <v>12716</v>
      </c>
    </row>
    <row r="37" spans="1:7">
      <c r="A37" s="4067"/>
      <c r="B37" s="1698" t="s">
        <v>8302</v>
      </c>
      <c r="C37" s="1698" t="s">
        <v>8300</v>
      </c>
      <c r="D37" s="1699" t="s">
        <v>8314</v>
      </c>
    </row>
    <row r="38" spans="1:7">
      <c r="A38" s="4067"/>
      <c r="B38" s="1698" t="s">
        <v>6556</v>
      </c>
      <c r="C38" s="1698" t="s">
        <v>8303</v>
      </c>
      <c r="D38" s="1699" t="s">
        <v>8315</v>
      </c>
    </row>
    <row r="39" spans="1:7">
      <c r="A39" s="1723" t="s">
        <v>8316</v>
      </c>
      <c r="B39" s="1724"/>
      <c r="C39" s="1724"/>
      <c r="D39" s="1725"/>
    </row>
    <row r="40" spans="1:7" ht="28.5" customHeight="1">
      <c r="A40" s="4072" t="s">
        <v>8317</v>
      </c>
      <c r="B40" s="4076" t="s">
        <v>8318</v>
      </c>
      <c r="C40" s="1721" t="s">
        <v>8319</v>
      </c>
      <c r="D40" s="1722" t="s">
        <v>8319</v>
      </c>
    </row>
    <row r="41" spans="1:7">
      <c r="A41" s="4073"/>
      <c r="B41" s="4077"/>
      <c r="C41" s="1698" t="s">
        <v>8320</v>
      </c>
      <c r="D41" s="1699"/>
    </row>
    <row r="42" spans="1:7">
      <c r="A42" s="1723" t="s">
        <v>8316</v>
      </c>
      <c r="B42" s="1724"/>
      <c r="C42" s="1724"/>
      <c r="D42" s="1725"/>
    </row>
    <row r="43" spans="1:7">
      <c r="A43" s="1726"/>
      <c r="B43" s="1726"/>
      <c r="C43" s="1726"/>
      <c r="D43" s="1726"/>
    </row>
    <row r="44" spans="1:7">
      <c r="A44" s="1706" t="s">
        <v>8321</v>
      </c>
      <c r="B44" s="1707"/>
      <c r="C44" s="1707"/>
      <c r="D44" s="1708"/>
    </row>
    <row r="45" spans="1:7">
      <c r="A45" s="1709" t="s">
        <v>334</v>
      </c>
      <c r="B45" s="1710">
        <v>0</v>
      </c>
      <c r="C45" s="1710" t="s">
        <v>8311</v>
      </c>
      <c r="D45" s="1711" t="s">
        <v>8311</v>
      </c>
    </row>
    <row r="46" spans="1:7">
      <c r="A46" s="1709" t="s">
        <v>678</v>
      </c>
      <c r="B46" s="1710" t="s">
        <v>8271</v>
      </c>
      <c r="C46" s="1710" t="s">
        <v>8322</v>
      </c>
      <c r="D46" s="1711" t="s">
        <v>8322</v>
      </c>
    </row>
    <row r="47" spans="1:7">
      <c r="A47" s="1709" t="s">
        <v>8323</v>
      </c>
      <c r="B47" s="1710" t="s">
        <v>8274</v>
      </c>
      <c r="C47" s="1710" t="s">
        <v>8311</v>
      </c>
      <c r="D47" s="1711" t="s">
        <v>8311</v>
      </c>
    </row>
    <row r="48" spans="1:7" ht="48.75" customHeight="1" thickBot="1">
      <c r="A48" s="4082" t="s">
        <v>8324</v>
      </c>
      <c r="B48" s="4083"/>
      <c r="C48" s="4083"/>
      <c r="D48" s="4084"/>
      <c r="E48" s="174"/>
      <c r="F48" s="174"/>
      <c r="G48" s="174"/>
    </row>
    <row r="49" spans="1:8" ht="18" thickTop="1" thickBot="1">
      <c r="A49" s="1727"/>
      <c r="B49" s="1728"/>
      <c r="C49" s="1728"/>
      <c r="D49" s="1729"/>
      <c r="E49" s="174"/>
      <c r="F49" s="174"/>
      <c r="G49" s="174"/>
    </row>
    <row r="50" spans="1:8" ht="17.25" thickTop="1">
      <c r="A50" s="1730" t="s">
        <v>6168</v>
      </c>
      <c r="B50" s="1731" t="s">
        <v>8325</v>
      </c>
      <c r="C50" s="1731"/>
      <c r="D50" s="1732"/>
      <c r="E50" s="174"/>
      <c r="F50" s="174"/>
      <c r="G50" s="174"/>
      <c r="H50" s="1733"/>
    </row>
    <row r="51" spans="1:8">
      <c r="A51" s="1734" t="s">
        <v>8326</v>
      </c>
      <c r="B51" s="1735" t="s">
        <v>8327</v>
      </c>
      <c r="C51" s="1735"/>
      <c r="D51" s="1736"/>
      <c r="E51" s="174"/>
      <c r="F51" s="174"/>
      <c r="G51" s="174"/>
    </row>
    <row r="52" spans="1:8">
      <c r="A52" s="1734" t="s">
        <v>8328</v>
      </c>
      <c r="B52" s="1735" t="s">
        <v>8329</v>
      </c>
      <c r="C52" s="1735"/>
      <c r="D52" s="1736"/>
      <c r="E52" s="174"/>
      <c r="F52" s="174"/>
      <c r="G52" s="174"/>
    </row>
    <row r="53" spans="1:8" ht="17.25" thickBot="1">
      <c r="A53" s="1737" t="s">
        <v>8330</v>
      </c>
      <c r="B53" s="1738" t="s">
        <v>8329</v>
      </c>
      <c r="C53" s="1738"/>
      <c r="D53" s="1739"/>
      <c r="E53" s="174"/>
      <c r="F53" s="174"/>
      <c r="G53" s="174"/>
    </row>
    <row r="54" spans="1:8" ht="18" thickTop="1" thickBot="1">
      <c r="A54" s="1705"/>
      <c r="B54" s="1726"/>
      <c r="C54" s="1726"/>
      <c r="D54" s="1703"/>
      <c r="E54" s="174"/>
      <c r="F54" s="174"/>
      <c r="G54" s="174"/>
    </row>
    <row r="55" spans="1:8" ht="17.25" thickTop="1">
      <c r="A55" s="4085" t="s">
        <v>8331</v>
      </c>
      <c r="B55" s="4086"/>
      <c r="C55" s="4086"/>
      <c r="D55" s="4087"/>
    </row>
    <row r="56" spans="1:8">
      <c r="A56" s="558" t="s">
        <v>8332</v>
      </c>
      <c r="B56" s="822">
        <v>0</v>
      </c>
      <c r="C56" s="822">
        <v>60</v>
      </c>
      <c r="D56" s="817">
        <v>60</v>
      </c>
    </row>
    <row r="57" spans="1:8">
      <c r="A57" s="816" t="s">
        <v>8333</v>
      </c>
      <c r="B57" s="822" t="s">
        <v>8271</v>
      </c>
      <c r="C57" s="822" t="s">
        <v>8334</v>
      </c>
      <c r="D57" s="817" t="s">
        <v>8334</v>
      </c>
    </row>
    <row r="58" spans="1:8">
      <c r="A58" s="816"/>
      <c r="B58" s="822" t="s">
        <v>8274</v>
      </c>
      <c r="C58" s="822" t="s">
        <v>8335</v>
      </c>
      <c r="D58" s="817" t="s">
        <v>8335</v>
      </c>
    </row>
    <row r="59" spans="1:8">
      <c r="A59" s="816" t="s">
        <v>8336</v>
      </c>
      <c r="B59" s="822" t="s">
        <v>6556</v>
      </c>
      <c r="C59" s="822" t="s">
        <v>8337</v>
      </c>
      <c r="D59" s="817"/>
    </row>
    <row r="60" spans="1:8">
      <c r="A60" s="816" t="s">
        <v>8338</v>
      </c>
      <c r="B60" s="822">
        <v>0</v>
      </c>
      <c r="C60" s="822">
        <v>60</v>
      </c>
      <c r="D60" s="817">
        <v>60</v>
      </c>
    </row>
    <row r="61" spans="1:8">
      <c r="A61" s="816"/>
      <c r="B61" s="822" t="s">
        <v>8271</v>
      </c>
      <c r="C61" s="822" t="s">
        <v>8334</v>
      </c>
      <c r="D61" s="817" t="s">
        <v>8334</v>
      </c>
    </row>
    <row r="62" spans="1:8">
      <c r="A62" s="816" t="s">
        <v>8339</v>
      </c>
      <c r="B62" s="822" t="s">
        <v>8274</v>
      </c>
      <c r="C62" s="822" t="s">
        <v>8335</v>
      </c>
      <c r="D62" s="817" t="s">
        <v>8335</v>
      </c>
    </row>
    <row r="63" spans="1:8">
      <c r="A63" s="823"/>
      <c r="B63" s="824" t="s">
        <v>6556</v>
      </c>
      <c r="C63" s="824" t="s">
        <v>8337</v>
      </c>
      <c r="D63" s="825" t="s">
        <v>8337</v>
      </c>
    </row>
    <row r="64" spans="1:8">
      <c r="A64" s="1740" t="s">
        <v>8340</v>
      </c>
      <c r="B64" s="1741"/>
      <c r="C64" s="1741"/>
      <c r="D64" s="1742"/>
    </row>
    <row r="65" spans="1:7">
      <c r="A65" s="816" t="s">
        <v>8341</v>
      </c>
      <c r="B65" s="822" t="s">
        <v>8271</v>
      </c>
      <c r="C65" s="822" t="s">
        <v>8342</v>
      </c>
      <c r="D65" s="817" t="s">
        <v>8342</v>
      </c>
    </row>
    <row r="66" spans="1:7">
      <c r="A66" s="823"/>
      <c r="B66" s="824" t="s">
        <v>8307</v>
      </c>
      <c r="C66" s="824" t="s">
        <v>8343</v>
      </c>
      <c r="D66" s="825" t="s">
        <v>8343</v>
      </c>
    </row>
    <row r="67" spans="1:7">
      <c r="A67" s="1740" t="s">
        <v>8344</v>
      </c>
      <c r="B67" s="1741"/>
      <c r="C67" s="1741"/>
      <c r="D67" s="1742"/>
      <c r="E67" s="3160" t="s">
        <v>12716</v>
      </c>
    </row>
    <row r="68" spans="1:7">
      <c r="A68" s="816" t="s">
        <v>8345</v>
      </c>
      <c r="B68" s="822">
        <v>0</v>
      </c>
      <c r="C68" s="822" t="s">
        <v>8346</v>
      </c>
      <c r="D68" s="817" t="s">
        <v>8346</v>
      </c>
    </row>
    <row r="69" spans="1:7">
      <c r="A69" s="823" t="s">
        <v>8347</v>
      </c>
      <c r="B69" s="824" t="s">
        <v>6556</v>
      </c>
      <c r="C69" s="824" t="s">
        <v>8348</v>
      </c>
      <c r="D69" s="825" t="s">
        <v>8348</v>
      </c>
    </row>
    <row r="70" spans="1:7">
      <c r="A70" s="1740" t="s">
        <v>8349</v>
      </c>
      <c r="B70" s="1741">
        <v>0</v>
      </c>
      <c r="C70" s="1741" t="s">
        <v>8350</v>
      </c>
      <c r="D70" s="1742" t="s">
        <v>8350</v>
      </c>
    </row>
    <row r="71" spans="1:7">
      <c r="A71" s="816" t="s">
        <v>8351</v>
      </c>
      <c r="B71" s="822" t="s">
        <v>8271</v>
      </c>
      <c r="C71" s="822" t="s">
        <v>8352</v>
      </c>
      <c r="D71" s="817" t="s">
        <v>8352</v>
      </c>
    </row>
    <row r="72" spans="1:7">
      <c r="A72" s="816" t="s">
        <v>8353</v>
      </c>
      <c r="B72" s="822" t="s">
        <v>8274</v>
      </c>
      <c r="C72" s="822" t="s">
        <v>8354</v>
      </c>
      <c r="D72" s="817" t="s">
        <v>8354</v>
      </c>
    </row>
    <row r="73" spans="1:7">
      <c r="A73" s="823"/>
      <c r="B73" s="824" t="s">
        <v>6556</v>
      </c>
      <c r="C73" s="824" t="s">
        <v>8355</v>
      </c>
      <c r="D73" s="825" t="s">
        <v>8355</v>
      </c>
    </row>
    <row r="74" spans="1:7">
      <c r="A74" s="1740" t="s">
        <v>1565</v>
      </c>
      <c r="B74" s="4078" t="s">
        <v>8356</v>
      </c>
      <c r="C74" s="4088" t="s">
        <v>8357</v>
      </c>
      <c r="D74" s="4089"/>
    </row>
    <row r="75" spans="1:7">
      <c r="A75" s="816" t="s">
        <v>8358</v>
      </c>
      <c r="B75" s="4079"/>
      <c r="C75" s="4090" t="s">
        <v>8359</v>
      </c>
      <c r="D75" s="4091"/>
    </row>
    <row r="76" spans="1:7">
      <c r="A76" s="4074" t="s">
        <v>8360</v>
      </c>
      <c r="B76" s="4080" t="s">
        <v>8361</v>
      </c>
      <c r="C76" s="4090" t="s">
        <v>8362</v>
      </c>
      <c r="D76" s="4091"/>
    </row>
    <row r="77" spans="1:7" ht="17.25" thickBot="1">
      <c r="A77" s="4075"/>
      <c r="B77" s="4081"/>
      <c r="C77" s="4065" t="s">
        <v>8363</v>
      </c>
      <c r="D77" s="4066"/>
      <c r="E77" s="3175"/>
      <c r="F77" s="3175"/>
      <c r="G77" s="3175"/>
    </row>
    <row r="78" spans="1:7" ht="18" thickTop="1" thickBot="1">
      <c r="A78" s="1726"/>
      <c r="B78" s="1726"/>
      <c r="C78" s="1726"/>
      <c r="D78" s="1726"/>
      <c r="E78" s="3175"/>
      <c r="F78" s="3175"/>
      <c r="G78" s="3175"/>
    </row>
    <row r="79" spans="1:7" ht="17.25" customHeight="1" thickTop="1">
      <c r="A79" s="1740" t="s">
        <v>8364</v>
      </c>
      <c r="B79" s="1741">
        <v>0</v>
      </c>
      <c r="C79" s="1741" t="s">
        <v>8365</v>
      </c>
      <c r="D79" s="1742" t="s">
        <v>8365</v>
      </c>
      <c r="E79" s="3175"/>
      <c r="F79" s="3175"/>
      <c r="G79" s="3175"/>
    </row>
    <row r="80" spans="1:7">
      <c r="A80" s="816" t="s">
        <v>8366</v>
      </c>
      <c r="B80" s="822" t="s">
        <v>8271</v>
      </c>
      <c r="C80" s="822" t="s">
        <v>8367</v>
      </c>
      <c r="D80" s="817" t="s">
        <v>8368</v>
      </c>
      <c r="E80" s="3175"/>
      <c r="F80" s="3175"/>
      <c r="G80" s="3175"/>
    </row>
    <row r="81" spans="1:7">
      <c r="A81" s="816" t="s">
        <v>8369</v>
      </c>
      <c r="B81" s="822" t="s">
        <v>8274</v>
      </c>
      <c r="C81" s="822" t="s">
        <v>8370</v>
      </c>
      <c r="D81" s="817" t="s">
        <v>8371</v>
      </c>
      <c r="E81" s="3175"/>
      <c r="F81" s="3175"/>
      <c r="G81" s="3175"/>
    </row>
    <row r="82" spans="1:7">
      <c r="A82" s="816"/>
      <c r="B82" s="822" t="s">
        <v>6556</v>
      </c>
      <c r="C82" s="822" t="s">
        <v>8372</v>
      </c>
      <c r="D82" s="817" t="s">
        <v>8373</v>
      </c>
      <c r="E82" s="3175"/>
      <c r="F82" s="3175"/>
      <c r="G82" s="3175"/>
    </row>
    <row r="83" spans="1:7" ht="17.25" thickBot="1">
      <c r="A83" s="823"/>
      <c r="B83" s="824" t="s">
        <v>8307</v>
      </c>
      <c r="C83" s="824" t="s">
        <v>8374</v>
      </c>
      <c r="D83" s="825" t="s">
        <v>8375</v>
      </c>
      <c r="E83" s="3175"/>
      <c r="F83" s="3175"/>
      <c r="G83" s="3175"/>
    </row>
    <row r="84" spans="1:7" ht="17.25" thickTop="1">
      <c r="A84" s="1740" t="s">
        <v>8376</v>
      </c>
      <c r="B84" s="1741">
        <v>0</v>
      </c>
      <c r="C84" s="1741" t="s">
        <v>8365</v>
      </c>
      <c r="D84" s="1742" t="s">
        <v>8365</v>
      </c>
      <c r="E84" s="3175"/>
      <c r="F84" s="3175"/>
      <c r="G84" s="3175"/>
    </row>
    <row r="85" spans="1:7">
      <c r="A85" s="816"/>
      <c r="B85" s="822" t="s">
        <v>8271</v>
      </c>
      <c r="C85" s="822" t="s">
        <v>8377</v>
      </c>
      <c r="D85" s="817" t="s">
        <v>8378</v>
      </c>
      <c r="E85" s="3175"/>
      <c r="F85" s="3175"/>
      <c r="G85" s="3175"/>
    </row>
    <row r="86" spans="1:7">
      <c r="A86" s="816"/>
      <c r="B86" s="822" t="s">
        <v>8274</v>
      </c>
      <c r="C86" s="822" t="s">
        <v>8379</v>
      </c>
      <c r="D86" s="817" t="s">
        <v>8375</v>
      </c>
      <c r="E86" s="3175"/>
      <c r="F86" s="3175"/>
      <c r="G86" s="3175"/>
    </row>
    <row r="87" spans="1:7">
      <c r="A87" s="816"/>
      <c r="B87" s="822" t="s">
        <v>6556</v>
      </c>
      <c r="C87" s="822" t="s">
        <v>8380</v>
      </c>
      <c r="D87" s="817" t="s">
        <v>8381</v>
      </c>
    </row>
    <row r="88" spans="1:7">
      <c r="A88" s="823"/>
      <c r="B88" s="824" t="s">
        <v>8307</v>
      </c>
      <c r="C88" s="824" t="s">
        <v>8382</v>
      </c>
      <c r="D88" s="825" t="s">
        <v>8382</v>
      </c>
    </row>
    <row r="89" spans="1:7">
      <c r="A89" s="1740" t="s">
        <v>8383</v>
      </c>
      <c r="B89" s="1741" t="s">
        <v>8274</v>
      </c>
      <c r="C89" s="1741" t="s">
        <v>8384</v>
      </c>
      <c r="D89" s="1742" t="s">
        <v>8375</v>
      </c>
    </row>
    <row r="90" spans="1:7">
      <c r="A90" s="816" t="s">
        <v>8385</v>
      </c>
      <c r="B90" s="822" t="s">
        <v>6556</v>
      </c>
      <c r="C90" s="822" t="s">
        <v>8386</v>
      </c>
      <c r="D90" s="817" t="s">
        <v>8387</v>
      </c>
    </row>
    <row r="91" spans="1:7">
      <c r="A91" s="816" t="s">
        <v>8388</v>
      </c>
      <c r="B91" s="822" t="s">
        <v>8307</v>
      </c>
      <c r="C91" s="822" t="s">
        <v>8389</v>
      </c>
      <c r="D91" s="817" t="s">
        <v>8390</v>
      </c>
    </row>
    <row r="92" spans="1:7">
      <c r="A92" s="823" t="s">
        <v>8391</v>
      </c>
      <c r="B92" s="824" t="s">
        <v>8392</v>
      </c>
      <c r="C92" s="824" t="s">
        <v>8393</v>
      </c>
      <c r="D92" s="825" t="s">
        <v>8394</v>
      </c>
    </row>
    <row r="93" spans="1:7">
      <c r="A93" s="1740" t="s">
        <v>8395</v>
      </c>
      <c r="B93" s="1741">
        <v>0</v>
      </c>
      <c r="C93" s="1741" t="s">
        <v>8365</v>
      </c>
      <c r="D93" s="1742" t="s">
        <v>8365</v>
      </c>
    </row>
    <row r="94" spans="1:7">
      <c r="A94" s="816" t="s">
        <v>8396</v>
      </c>
      <c r="B94" s="822" t="s">
        <v>8274</v>
      </c>
      <c r="C94" s="822" t="s">
        <v>8377</v>
      </c>
      <c r="D94" s="817" t="s">
        <v>8378</v>
      </c>
      <c r="E94" s="3160" t="s">
        <v>12716</v>
      </c>
    </row>
    <row r="95" spans="1:7">
      <c r="A95" s="823" t="s">
        <v>8397</v>
      </c>
      <c r="B95" s="824" t="s">
        <v>6556</v>
      </c>
      <c r="C95" s="824" t="s">
        <v>8379</v>
      </c>
      <c r="D95" s="825" t="s">
        <v>8398</v>
      </c>
    </row>
    <row r="96" spans="1:7">
      <c r="A96" s="1740" t="s">
        <v>8399</v>
      </c>
      <c r="B96" s="1741" t="s">
        <v>8274</v>
      </c>
      <c r="C96" s="1741" t="s">
        <v>8400</v>
      </c>
      <c r="D96" s="1742" t="s">
        <v>8381</v>
      </c>
    </row>
    <row r="97" spans="1:4">
      <c r="A97" s="816" t="s">
        <v>8401</v>
      </c>
      <c r="B97" s="822" t="s">
        <v>6556</v>
      </c>
      <c r="C97" s="822" t="s">
        <v>8354</v>
      </c>
      <c r="D97" s="817" t="s">
        <v>8402</v>
      </c>
    </row>
    <row r="98" spans="1:4">
      <c r="A98" s="558" t="s">
        <v>8403</v>
      </c>
      <c r="B98" s="470" t="s">
        <v>8307</v>
      </c>
      <c r="C98" s="470" t="s">
        <v>8389</v>
      </c>
      <c r="D98" s="515" t="s">
        <v>8404</v>
      </c>
    </row>
    <row r="99" spans="1:4">
      <c r="A99" s="823"/>
      <c r="B99" s="1743" t="s">
        <v>8392</v>
      </c>
      <c r="C99" s="1743" t="s">
        <v>8393</v>
      </c>
      <c r="D99" s="521" t="s">
        <v>8405</v>
      </c>
    </row>
  </sheetData>
  <mergeCells count="26">
    <mergeCell ref="C77:D77"/>
    <mergeCell ref="A4:A9"/>
    <mergeCell ref="A18:A21"/>
    <mergeCell ref="A24:A27"/>
    <mergeCell ref="A31:A34"/>
    <mergeCell ref="A35:A38"/>
    <mergeCell ref="A40:A41"/>
    <mergeCell ref="A76:A77"/>
    <mergeCell ref="B40:B41"/>
    <mergeCell ref="B74:B75"/>
    <mergeCell ref="B76:B77"/>
    <mergeCell ref="A48:D48"/>
    <mergeCell ref="A55:D55"/>
    <mergeCell ref="C74:D74"/>
    <mergeCell ref="C75:D75"/>
    <mergeCell ref="C76:D76"/>
    <mergeCell ref="A15:D15"/>
    <mergeCell ref="B17:D17"/>
    <mergeCell ref="A22:D22"/>
    <mergeCell ref="A23:D23"/>
    <mergeCell ref="A28:D28"/>
    <mergeCell ref="A1:D1"/>
    <mergeCell ref="A3:D3"/>
    <mergeCell ref="A11:D11"/>
    <mergeCell ref="A12:D12"/>
    <mergeCell ref="A14:D14"/>
  </mergeCells>
  <phoneticPr fontId="378" type="noConversion"/>
  <hyperlinks>
    <hyperlink ref="E12" location="总目录!A1" display="总目录!A1"/>
    <hyperlink ref="E36" location="总目录!A1" display="总目录!A1"/>
    <hyperlink ref="E94" location="总目录!A1" display="总目录!A1"/>
    <hyperlink ref="E67" location="总目录!A1" display="总目录!A1"/>
  </hyperlinks>
  <pageMargins left="0.75" right="0.75" top="0.2" bottom="0.2" header="0.50902777777777797" footer="0.50902777777777797"/>
  <pageSetup paperSize="9" orientation="portrait"/>
  <headerFooter scaleWithDoc="0"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5"/>
  <sheetViews>
    <sheetView topLeftCell="A67" zoomScale="130" zoomScaleNormal="130" workbookViewId="0">
      <selection activeCell="L74" sqref="L74:M78"/>
    </sheetView>
  </sheetViews>
  <sheetFormatPr defaultColWidth="8.75" defaultRowHeight="16.5"/>
  <cols>
    <col min="1" max="1" width="8.625" style="95" customWidth="1"/>
    <col min="2" max="2" width="6.875" style="95" customWidth="1"/>
    <col min="3" max="3" width="7.125" style="95" customWidth="1"/>
    <col min="4" max="4" width="6.625" style="95" customWidth="1"/>
    <col min="5" max="7" width="7.25" style="95" customWidth="1"/>
    <col min="8" max="10" width="6.875" style="95" customWidth="1"/>
    <col min="11" max="11" width="8.625" style="95" customWidth="1"/>
    <col min="12" max="16384" width="8.75" style="95"/>
  </cols>
  <sheetData>
    <row r="1" spans="1:13" ht="37.5" customHeight="1">
      <c r="A1" s="4096" t="s">
        <v>93</v>
      </c>
      <c r="B1" s="4097"/>
      <c r="C1" s="4097"/>
      <c r="D1" s="4097"/>
      <c r="E1" s="4097"/>
      <c r="F1" s="4097"/>
      <c r="G1" s="4097"/>
      <c r="H1" s="4097"/>
      <c r="I1" s="4097"/>
      <c r="J1" s="4097"/>
      <c r="K1" s="4097"/>
    </row>
    <row r="2" spans="1:13">
      <c r="A2" s="4098" t="s">
        <v>8406</v>
      </c>
      <c r="B2" s="4098" t="s">
        <v>8407</v>
      </c>
      <c r="C2" s="4098"/>
      <c r="D2" s="4098"/>
      <c r="E2" s="4098"/>
      <c r="F2" s="4098" t="s">
        <v>8408</v>
      </c>
      <c r="G2" s="4098"/>
      <c r="H2" s="4098" t="s">
        <v>2067</v>
      </c>
      <c r="I2" s="4098"/>
      <c r="J2" s="4098"/>
      <c r="K2" s="4098" t="s">
        <v>8406</v>
      </c>
    </row>
    <row r="3" spans="1:13">
      <c r="A3" s="4097"/>
      <c r="B3" s="4097" t="s">
        <v>8409</v>
      </c>
      <c r="C3" s="4097" t="s">
        <v>8410</v>
      </c>
      <c r="D3" s="4097" t="s">
        <v>8411</v>
      </c>
      <c r="E3" s="4097" t="s">
        <v>8412</v>
      </c>
      <c r="F3" s="1683" t="s">
        <v>6650</v>
      </c>
      <c r="G3" s="1683" t="s">
        <v>683</v>
      </c>
      <c r="H3" s="4097" t="s">
        <v>8413</v>
      </c>
      <c r="I3" s="4097"/>
      <c r="J3" s="4097"/>
      <c r="K3" s="4097"/>
    </row>
    <row r="4" spans="1:13" ht="17.25" thickBot="1">
      <c r="A4" s="4099"/>
      <c r="B4" s="4099"/>
      <c r="C4" s="4099"/>
      <c r="D4" s="4099"/>
      <c r="E4" s="4099"/>
      <c r="F4" s="1684" t="s">
        <v>8414</v>
      </c>
      <c r="G4" s="1684" t="s">
        <v>8415</v>
      </c>
      <c r="H4" s="1684" t="s">
        <v>8416</v>
      </c>
      <c r="I4" s="1684" t="s">
        <v>8417</v>
      </c>
      <c r="J4" s="1682" t="s">
        <v>8418</v>
      </c>
      <c r="K4" s="4097"/>
    </row>
    <row r="5" spans="1:13">
      <c r="A5" s="1685" t="s">
        <v>8419</v>
      </c>
      <c r="B5" s="4092">
        <v>10</v>
      </c>
      <c r="C5" s="1685">
        <v>24</v>
      </c>
      <c r="D5" s="1685">
        <v>9</v>
      </c>
      <c r="E5" s="1685">
        <v>0.3</v>
      </c>
      <c r="F5" s="1685">
        <v>24</v>
      </c>
      <c r="G5" s="1685">
        <v>11</v>
      </c>
      <c r="H5" s="1686">
        <v>1.4999999999999999E-2</v>
      </c>
      <c r="I5" s="1686">
        <v>7.7999999999999996E-3</v>
      </c>
      <c r="J5" s="1687">
        <v>4.0000000000000001E-3</v>
      </c>
      <c r="K5" s="1685" t="s">
        <v>8420</v>
      </c>
      <c r="L5" s="3919" t="s">
        <v>12714</v>
      </c>
      <c r="M5" s="3920"/>
    </row>
    <row r="6" spans="1:13">
      <c r="A6" s="1685" t="s">
        <v>8421</v>
      </c>
      <c r="B6" s="4092"/>
      <c r="C6" s="1685">
        <v>26</v>
      </c>
      <c r="D6" s="1685">
        <v>11</v>
      </c>
      <c r="E6" s="1685">
        <v>0.6</v>
      </c>
      <c r="F6" s="1685">
        <v>26</v>
      </c>
      <c r="G6" s="1685">
        <v>12</v>
      </c>
      <c r="H6" s="1686">
        <v>2.1999999999999999E-2</v>
      </c>
      <c r="I6" s="1686">
        <v>1.0999999999999999E-2</v>
      </c>
      <c r="J6" s="1687">
        <v>5.0000000000000001E-3</v>
      </c>
      <c r="K6" s="1685" t="s">
        <v>8422</v>
      </c>
      <c r="L6" s="3921"/>
      <c r="M6" s="3922"/>
    </row>
    <row r="7" spans="1:13">
      <c r="A7" s="1685" t="s">
        <v>8423</v>
      </c>
      <c r="B7" s="4092">
        <v>12</v>
      </c>
      <c r="C7" s="1685">
        <v>24</v>
      </c>
      <c r="D7" s="1685">
        <v>9</v>
      </c>
      <c r="E7" s="1685">
        <v>0.3</v>
      </c>
      <c r="F7" s="1685">
        <v>26</v>
      </c>
      <c r="G7" s="1685">
        <v>13</v>
      </c>
      <c r="H7" s="1686">
        <v>1.6E-2</v>
      </c>
      <c r="I7" s="1686">
        <v>8.9999999999999993E-3</v>
      </c>
      <c r="J7" s="1687">
        <v>4.0000000000000001E-3</v>
      </c>
      <c r="K7" s="1685" t="s">
        <v>8424</v>
      </c>
      <c r="L7" s="3921"/>
      <c r="M7" s="3922"/>
    </row>
    <row r="8" spans="1:13">
      <c r="A8" s="1685" t="s">
        <v>8425</v>
      </c>
      <c r="B8" s="4092"/>
      <c r="C8" s="1685">
        <v>28</v>
      </c>
      <c r="D8" s="1685">
        <v>11</v>
      </c>
      <c r="E8" s="1685">
        <v>0.6</v>
      </c>
      <c r="F8" s="1685">
        <v>28</v>
      </c>
      <c r="G8" s="1685">
        <v>14</v>
      </c>
      <c r="H8" s="1686">
        <v>2.4E-2</v>
      </c>
      <c r="I8" s="1686">
        <v>1.2999999999999999E-2</v>
      </c>
      <c r="J8" s="1687">
        <v>6.0000000000000001E-3</v>
      </c>
      <c r="K8" s="1685" t="s">
        <v>8426</v>
      </c>
      <c r="L8" s="3921"/>
      <c r="M8" s="3922"/>
    </row>
    <row r="9" spans="1:13" ht="17.25" thickBot="1">
      <c r="A9" s="1685" t="s">
        <v>8427</v>
      </c>
      <c r="B9" s="4092">
        <v>15</v>
      </c>
      <c r="C9" s="1685">
        <v>28</v>
      </c>
      <c r="D9" s="1685">
        <v>9</v>
      </c>
      <c r="E9" s="1685">
        <v>0.3</v>
      </c>
      <c r="F9" s="1685">
        <v>28</v>
      </c>
      <c r="G9" s="1685">
        <v>16</v>
      </c>
      <c r="H9" s="1686">
        <v>1.7999999999999999E-2</v>
      </c>
      <c r="I9" s="1686">
        <v>9.4000000000000004E-3</v>
      </c>
      <c r="J9" s="1687">
        <v>4.0000000000000001E-3</v>
      </c>
      <c r="K9" s="1685" t="s">
        <v>8428</v>
      </c>
      <c r="L9" s="3923"/>
      <c r="M9" s="3924"/>
    </row>
    <row r="10" spans="1:13">
      <c r="A10" s="1685" t="s">
        <v>8429</v>
      </c>
      <c r="B10" s="4092"/>
      <c r="C10" s="1685">
        <v>32</v>
      </c>
      <c r="D10" s="1685">
        <v>12</v>
      </c>
      <c r="E10" s="1685">
        <v>0.6</v>
      </c>
      <c r="F10" s="1685">
        <v>32</v>
      </c>
      <c r="G10" s="1685">
        <v>17</v>
      </c>
      <c r="H10" s="1686">
        <v>3.3000000000000002E-2</v>
      </c>
      <c r="I10" s="1686">
        <v>1.7999999999999999E-2</v>
      </c>
      <c r="J10" s="1687">
        <v>8.0000000000000002E-3</v>
      </c>
      <c r="K10" s="1685" t="s">
        <v>8430</v>
      </c>
    </row>
    <row r="11" spans="1:13">
      <c r="A11" s="1685" t="s">
        <v>8431</v>
      </c>
      <c r="B11" s="4092">
        <v>17</v>
      </c>
      <c r="C11" s="1685">
        <v>30</v>
      </c>
      <c r="D11" s="1685">
        <v>9</v>
      </c>
      <c r="E11" s="1685">
        <v>0.3</v>
      </c>
      <c r="F11" s="1685">
        <v>30</v>
      </c>
      <c r="G11" s="1685">
        <v>18</v>
      </c>
      <c r="H11" s="1686">
        <v>1.9E-2</v>
      </c>
      <c r="I11" s="1686">
        <v>0.01</v>
      </c>
      <c r="J11" s="1687">
        <v>4.0000000000000001E-3</v>
      </c>
      <c r="K11" s="1685" t="s">
        <v>8432</v>
      </c>
    </row>
    <row r="12" spans="1:13">
      <c r="A12" s="1685" t="s">
        <v>8433</v>
      </c>
      <c r="B12" s="4092"/>
      <c r="C12" s="1685">
        <v>35</v>
      </c>
      <c r="D12" s="1685">
        <v>12</v>
      </c>
      <c r="E12" s="1685">
        <v>0.6</v>
      </c>
      <c r="F12" s="1685">
        <v>35</v>
      </c>
      <c r="G12" s="1685">
        <v>19</v>
      </c>
      <c r="H12" s="1686">
        <v>3.7999999999999999E-2</v>
      </c>
      <c r="I12" s="1686">
        <v>2.1000000000000001E-2</v>
      </c>
      <c r="J12" s="1687">
        <v>8.9999999999999993E-3</v>
      </c>
      <c r="K12" s="1685" t="s">
        <v>8434</v>
      </c>
    </row>
    <row r="13" spans="1:13">
      <c r="A13" s="1685" t="s">
        <v>8435</v>
      </c>
      <c r="B13" s="4093">
        <v>20</v>
      </c>
      <c r="C13" s="1685">
        <v>35</v>
      </c>
      <c r="D13" s="1685">
        <v>10</v>
      </c>
      <c r="E13" s="1685">
        <v>0.3</v>
      </c>
      <c r="F13" s="1685">
        <v>35</v>
      </c>
      <c r="G13" s="1685">
        <v>21</v>
      </c>
      <c r="H13" s="1686">
        <v>2.8000000000000001E-2</v>
      </c>
      <c r="I13" s="1686">
        <v>1.4999999999999999E-2</v>
      </c>
      <c r="J13" s="1687">
        <v>7.0000000000000001E-3</v>
      </c>
      <c r="K13" s="1685" t="s">
        <v>8436</v>
      </c>
    </row>
    <row r="14" spans="1:13">
      <c r="A14" s="1685" t="s">
        <v>8437</v>
      </c>
      <c r="B14" s="4094"/>
      <c r="C14" s="1685">
        <v>40</v>
      </c>
      <c r="D14" s="1685">
        <v>14</v>
      </c>
      <c r="E14" s="1685">
        <v>0.6</v>
      </c>
      <c r="F14" s="1685">
        <v>40</v>
      </c>
      <c r="G14" s="1685">
        <v>22</v>
      </c>
      <c r="H14" s="1686">
        <v>5.8999999999999997E-2</v>
      </c>
      <c r="I14" s="1686">
        <v>3.2000000000000001E-2</v>
      </c>
      <c r="J14" s="1687">
        <v>1.4E-2</v>
      </c>
      <c r="K14" s="1685" t="s">
        <v>8438</v>
      </c>
    </row>
    <row r="15" spans="1:13">
      <c r="A15" s="1685" t="s">
        <v>8439</v>
      </c>
      <c r="B15" s="4095"/>
      <c r="C15" s="1685">
        <v>47</v>
      </c>
      <c r="D15" s="1685">
        <v>18</v>
      </c>
      <c r="E15" s="1685">
        <v>0.6</v>
      </c>
      <c r="F15" s="1685">
        <v>47</v>
      </c>
      <c r="G15" s="1685">
        <v>22</v>
      </c>
      <c r="H15" s="1686">
        <v>0.13500000000000001</v>
      </c>
      <c r="I15" s="1686">
        <v>7.9000000000000001E-2</v>
      </c>
      <c r="J15" s="1687">
        <v>3.39E-2</v>
      </c>
      <c r="K15" s="1685" t="s">
        <v>8440</v>
      </c>
    </row>
    <row r="16" spans="1:13">
      <c r="A16" s="1685" t="s">
        <v>8441</v>
      </c>
      <c r="B16" s="4093">
        <v>25</v>
      </c>
      <c r="C16" s="1685">
        <v>42</v>
      </c>
      <c r="D16" s="1685">
        <v>11</v>
      </c>
      <c r="E16" s="1685">
        <v>0.6</v>
      </c>
      <c r="F16" s="1685">
        <v>42</v>
      </c>
      <c r="G16" s="1685">
        <v>26</v>
      </c>
      <c r="H16" s="1686">
        <v>4.2999999999999997E-2</v>
      </c>
      <c r="I16" s="1686">
        <v>2.3E-2</v>
      </c>
      <c r="J16" s="1687">
        <v>0.01</v>
      </c>
      <c r="K16" s="1685" t="s">
        <v>8442</v>
      </c>
    </row>
    <row r="17" spans="1:11">
      <c r="A17" s="1685" t="s">
        <v>8443</v>
      </c>
      <c r="B17" s="4094"/>
      <c r="C17" s="1685">
        <v>47</v>
      </c>
      <c r="D17" s="1685">
        <v>15</v>
      </c>
      <c r="E17" s="1685">
        <v>0.6</v>
      </c>
      <c r="F17" s="1685">
        <v>47</v>
      </c>
      <c r="G17" s="1685">
        <v>27</v>
      </c>
      <c r="H17" s="1686">
        <v>8.5000000000000006E-2</v>
      </c>
      <c r="I17" s="1686">
        <v>4.5999999999999999E-2</v>
      </c>
      <c r="J17" s="1687">
        <v>0.02</v>
      </c>
      <c r="K17" s="1685" t="s">
        <v>8444</v>
      </c>
    </row>
    <row r="18" spans="1:11">
      <c r="A18" s="1685" t="s">
        <v>8445</v>
      </c>
      <c r="B18" s="4094"/>
      <c r="C18" s="1685">
        <v>52</v>
      </c>
      <c r="D18" s="1685">
        <v>18</v>
      </c>
      <c r="E18" s="1685">
        <v>0.6</v>
      </c>
      <c r="F18" s="1685">
        <v>52</v>
      </c>
      <c r="G18" s="1685">
        <v>27</v>
      </c>
      <c r="H18" s="1686">
        <v>0.1384</v>
      </c>
      <c r="I18" s="1686">
        <v>8.0799999999999997E-2</v>
      </c>
      <c r="J18" s="1687">
        <v>3.4700000000000002E-2</v>
      </c>
      <c r="K18" s="1685" t="s">
        <v>8446</v>
      </c>
    </row>
    <row r="19" spans="1:11">
      <c r="A19" s="1685" t="s">
        <v>8447</v>
      </c>
      <c r="B19" s="4095"/>
      <c r="C19" s="1685">
        <v>60</v>
      </c>
      <c r="D19" s="1685">
        <v>24</v>
      </c>
      <c r="E19" s="1685">
        <v>0.6</v>
      </c>
      <c r="F19" s="1685">
        <v>60</v>
      </c>
      <c r="G19" s="1685">
        <v>27</v>
      </c>
      <c r="H19" s="1686">
        <v>0.26150000000000001</v>
      </c>
      <c r="I19" s="1686">
        <v>0.1527</v>
      </c>
      <c r="J19" s="1687">
        <v>6.6000000000000003E-2</v>
      </c>
      <c r="K19" s="1685" t="s">
        <v>8448</v>
      </c>
    </row>
    <row r="20" spans="1:11">
      <c r="A20" s="1685" t="s">
        <v>8449</v>
      </c>
      <c r="B20" s="4093">
        <v>30</v>
      </c>
      <c r="C20" s="1685">
        <v>47</v>
      </c>
      <c r="D20" s="1685">
        <v>11</v>
      </c>
      <c r="E20" s="1685">
        <v>0.6</v>
      </c>
      <c r="F20" s="1685">
        <v>47</v>
      </c>
      <c r="G20" s="1685">
        <v>32</v>
      </c>
      <c r="H20" s="1686">
        <v>4.9000000000000002E-2</v>
      </c>
      <c r="I20" s="1686">
        <v>2.5999999999999999E-2</v>
      </c>
      <c r="J20" s="1687">
        <v>1.0999999999999999E-2</v>
      </c>
      <c r="K20" s="1685" t="s">
        <v>8450</v>
      </c>
    </row>
    <row r="21" spans="1:11">
      <c r="A21" s="1685" t="s">
        <v>8451</v>
      </c>
      <c r="B21" s="4094"/>
      <c r="C21" s="1685">
        <v>52</v>
      </c>
      <c r="D21" s="1685">
        <v>16</v>
      </c>
      <c r="E21" s="1685">
        <v>0.6</v>
      </c>
      <c r="F21" s="1685">
        <v>52</v>
      </c>
      <c r="G21" s="1685">
        <v>32</v>
      </c>
      <c r="H21" s="1686">
        <v>0.11</v>
      </c>
      <c r="I21" s="1686">
        <v>5.6000000000000001E-2</v>
      </c>
      <c r="J21" s="1687">
        <v>2.5999999999999999E-2</v>
      </c>
      <c r="K21" s="1685" t="s">
        <v>8452</v>
      </c>
    </row>
    <row r="22" spans="1:11">
      <c r="A22" s="1685" t="s">
        <v>8453</v>
      </c>
      <c r="B22" s="4094"/>
      <c r="C22" s="1685">
        <v>60</v>
      </c>
      <c r="D22" s="1685">
        <v>21</v>
      </c>
      <c r="E22" s="1685">
        <v>0.8</v>
      </c>
      <c r="F22" s="1685">
        <v>60</v>
      </c>
      <c r="G22" s="1685">
        <v>32</v>
      </c>
      <c r="H22" s="1686">
        <v>0.20760000000000001</v>
      </c>
      <c r="I22" s="1686">
        <v>0.1212</v>
      </c>
      <c r="J22" s="1687">
        <v>0.52</v>
      </c>
      <c r="K22" s="1685" t="s">
        <v>8454</v>
      </c>
    </row>
    <row r="23" spans="1:11">
      <c r="A23" s="1685" t="s">
        <v>8455</v>
      </c>
      <c r="B23" s="4095"/>
      <c r="C23" s="1685">
        <v>70</v>
      </c>
      <c r="D23" s="1685">
        <v>28</v>
      </c>
      <c r="E23" s="1685">
        <v>0.8</v>
      </c>
      <c r="F23" s="1685">
        <v>70</v>
      </c>
      <c r="G23" s="1685">
        <v>32</v>
      </c>
      <c r="H23" s="1686">
        <v>0.40760000000000002</v>
      </c>
      <c r="I23" s="1686">
        <v>0.23799999999999999</v>
      </c>
      <c r="J23" s="1687">
        <v>0.1023</v>
      </c>
      <c r="K23" s="1685" t="s">
        <v>8456</v>
      </c>
    </row>
    <row r="24" spans="1:11">
      <c r="A24" s="1685" t="s">
        <v>8457</v>
      </c>
      <c r="B24" s="4093">
        <v>35</v>
      </c>
      <c r="C24" s="1685">
        <v>52</v>
      </c>
      <c r="D24" s="1685">
        <v>12</v>
      </c>
      <c r="E24" s="1685">
        <v>0.6</v>
      </c>
      <c r="F24" s="1685">
        <v>52</v>
      </c>
      <c r="G24" s="1685">
        <v>37</v>
      </c>
      <c r="H24" s="1686">
        <v>6.2E-2</v>
      </c>
      <c r="I24" s="1686">
        <v>3.3000000000000002E-2</v>
      </c>
      <c r="J24" s="1687">
        <v>1.4E-2</v>
      </c>
      <c r="K24" s="1685" t="s">
        <v>8458</v>
      </c>
    </row>
    <row r="25" spans="1:11">
      <c r="A25" s="1685" t="s">
        <v>8459</v>
      </c>
      <c r="B25" s="4094"/>
      <c r="C25" s="1685">
        <v>62</v>
      </c>
      <c r="D25" s="1685">
        <v>18</v>
      </c>
      <c r="E25" s="1685">
        <v>1</v>
      </c>
      <c r="F25" s="1685">
        <v>62</v>
      </c>
      <c r="G25" s="1685">
        <v>37</v>
      </c>
      <c r="H25" s="1686">
        <v>0.16</v>
      </c>
      <c r="I25" s="1686">
        <v>8.5999999999999993E-2</v>
      </c>
      <c r="J25" s="1687">
        <v>3.6999999999999998E-2</v>
      </c>
      <c r="K25" s="1685" t="s">
        <v>8460</v>
      </c>
    </row>
    <row r="26" spans="1:11">
      <c r="A26" s="1685" t="s">
        <v>8461</v>
      </c>
      <c r="B26" s="4094"/>
      <c r="C26" s="1685">
        <v>68</v>
      </c>
      <c r="D26" s="1685">
        <v>24</v>
      </c>
      <c r="E26" s="1685">
        <v>0.8</v>
      </c>
      <c r="F26" s="1685">
        <v>68</v>
      </c>
      <c r="G26" s="1685">
        <v>38</v>
      </c>
      <c r="H26" s="1686">
        <v>0.3</v>
      </c>
      <c r="I26" s="1686">
        <v>0.17510000000000001</v>
      </c>
      <c r="J26" s="1687">
        <v>7.5249999999999997E-2</v>
      </c>
      <c r="K26" s="1685" t="s">
        <v>8462</v>
      </c>
    </row>
    <row r="27" spans="1:11">
      <c r="A27" s="1685" t="s">
        <v>8463</v>
      </c>
      <c r="B27" s="4095"/>
      <c r="C27" s="1685">
        <v>80</v>
      </c>
      <c r="D27" s="1685">
        <v>32</v>
      </c>
      <c r="E27" s="1685">
        <v>0.8</v>
      </c>
      <c r="F27" s="1685">
        <v>80</v>
      </c>
      <c r="G27" s="1685">
        <v>38</v>
      </c>
      <c r="H27" s="1686">
        <v>0.63060000000000005</v>
      </c>
      <c r="I27" s="1686">
        <v>0.36799999999999999</v>
      </c>
      <c r="J27" s="1687">
        <v>0.15820000000000001</v>
      </c>
      <c r="K27" s="1685" t="s">
        <v>8464</v>
      </c>
    </row>
    <row r="28" spans="1:11">
      <c r="A28" s="1685" t="s">
        <v>8465</v>
      </c>
      <c r="B28" s="4093">
        <v>40</v>
      </c>
      <c r="C28" s="1685">
        <v>60</v>
      </c>
      <c r="D28" s="1685">
        <v>13</v>
      </c>
      <c r="E28" s="1685">
        <v>0.6</v>
      </c>
      <c r="F28" s="1685">
        <v>60</v>
      </c>
      <c r="G28" s="1685">
        <v>42</v>
      </c>
      <c r="H28" s="1686">
        <v>9.1999999999999998E-2</v>
      </c>
      <c r="I28" s="1686">
        <v>4.9000000000000002E-2</v>
      </c>
      <c r="J28" s="1687">
        <v>2.1000000000000001E-2</v>
      </c>
      <c r="K28" s="1685" t="s">
        <v>8466</v>
      </c>
    </row>
    <row r="29" spans="1:11">
      <c r="A29" s="1685" t="s">
        <v>8467</v>
      </c>
      <c r="B29" s="4094"/>
      <c r="C29" s="1685">
        <v>68</v>
      </c>
      <c r="D29" s="1685">
        <v>19</v>
      </c>
      <c r="E29" s="1685">
        <v>1</v>
      </c>
      <c r="F29" s="1685">
        <v>68</v>
      </c>
      <c r="G29" s="1685">
        <v>42</v>
      </c>
      <c r="H29" s="1686">
        <v>0.21</v>
      </c>
      <c r="I29" s="1686">
        <v>0.11</v>
      </c>
      <c r="J29" s="1687">
        <v>4.9000000000000002E-2</v>
      </c>
      <c r="K29" s="1685" t="s">
        <v>8468</v>
      </c>
    </row>
    <row r="30" spans="1:11">
      <c r="A30" s="1685" t="s">
        <v>8469</v>
      </c>
      <c r="B30" s="4094"/>
      <c r="C30" s="1685">
        <v>78</v>
      </c>
      <c r="D30" s="1685">
        <v>26</v>
      </c>
      <c r="E30" s="1685">
        <v>1</v>
      </c>
      <c r="F30" s="1685">
        <v>78</v>
      </c>
      <c r="G30" s="1685">
        <v>43</v>
      </c>
      <c r="H30" s="1686">
        <v>0.42230000000000001</v>
      </c>
      <c r="I30" s="1686">
        <v>0.247</v>
      </c>
      <c r="J30" s="1687">
        <v>0.1062</v>
      </c>
      <c r="K30" s="1685" t="s">
        <v>8470</v>
      </c>
    </row>
    <row r="31" spans="1:11">
      <c r="A31" s="1685" t="s">
        <v>8471</v>
      </c>
      <c r="B31" s="4095"/>
      <c r="C31" s="1685">
        <v>90</v>
      </c>
      <c r="D31" s="1685">
        <v>36</v>
      </c>
      <c r="E31" s="1685">
        <v>1</v>
      </c>
      <c r="F31" s="1685">
        <v>90</v>
      </c>
      <c r="G31" s="1685">
        <v>43</v>
      </c>
      <c r="H31" s="1686">
        <v>0.90700000000000003</v>
      </c>
      <c r="I31" s="1686">
        <v>0.52980000000000005</v>
      </c>
      <c r="J31" s="1687">
        <v>0.23200000000000001</v>
      </c>
      <c r="K31" s="1685" t="s">
        <v>8472</v>
      </c>
    </row>
    <row r="32" spans="1:11">
      <c r="A32" s="1685" t="s">
        <v>8473</v>
      </c>
      <c r="B32" s="4093">
        <v>45</v>
      </c>
      <c r="C32" s="1685">
        <v>65</v>
      </c>
      <c r="D32" s="1685">
        <v>14</v>
      </c>
      <c r="E32" s="1685">
        <v>0.6</v>
      </c>
      <c r="F32" s="1685">
        <v>65</v>
      </c>
      <c r="G32" s="1685">
        <v>47</v>
      </c>
      <c r="H32" s="1686">
        <v>0.11</v>
      </c>
      <c r="I32" s="1686">
        <v>5.8999999999999997E-2</v>
      </c>
      <c r="J32" s="1687">
        <v>2.5999999999999999E-2</v>
      </c>
      <c r="K32" s="1685" t="s">
        <v>8474</v>
      </c>
    </row>
    <row r="33" spans="1:13">
      <c r="A33" s="1685" t="s">
        <v>8475</v>
      </c>
      <c r="B33" s="4094"/>
      <c r="C33" s="1685">
        <v>73</v>
      </c>
      <c r="D33" s="1685">
        <v>20</v>
      </c>
      <c r="E33" s="1685">
        <v>1</v>
      </c>
      <c r="F33" s="1685">
        <v>73</v>
      </c>
      <c r="G33" s="1685">
        <v>47</v>
      </c>
      <c r="H33" s="1686">
        <v>0.24</v>
      </c>
      <c r="I33" s="1686">
        <v>0.13</v>
      </c>
      <c r="J33" s="1687">
        <v>5.6000000000000001E-2</v>
      </c>
      <c r="K33" s="1685" t="s">
        <v>8476</v>
      </c>
    </row>
    <row r="34" spans="1:13">
      <c r="A34" s="1685" t="s">
        <v>8477</v>
      </c>
      <c r="B34" s="4094"/>
      <c r="C34" s="1685">
        <v>85</v>
      </c>
      <c r="D34" s="1685">
        <v>28</v>
      </c>
      <c r="E34" s="1685">
        <v>1</v>
      </c>
      <c r="F34" s="1685">
        <v>85</v>
      </c>
      <c r="G34" s="1685">
        <v>48</v>
      </c>
      <c r="H34" s="1686">
        <v>0.53059999999999996</v>
      </c>
      <c r="I34" s="1686">
        <v>0.30980000000000002</v>
      </c>
      <c r="J34" s="1687">
        <v>0.27600000000000002</v>
      </c>
      <c r="K34" s="1685" t="s">
        <v>8478</v>
      </c>
    </row>
    <row r="35" spans="1:13" ht="17.25" thickBot="1">
      <c r="A35" s="1685" t="s">
        <v>8479</v>
      </c>
      <c r="B35" s="4095"/>
      <c r="C35" s="1685">
        <v>100</v>
      </c>
      <c r="D35" s="1685">
        <v>39</v>
      </c>
      <c r="E35" s="1685">
        <v>1</v>
      </c>
      <c r="F35" s="1685">
        <v>100</v>
      </c>
      <c r="G35" s="1685">
        <v>48</v>
      </c>
      <c r="H35" s="1686">
        <v>1.2612000000000001</v>
      </c>
      <c r="I35" s="1686">
        <v>0.73640000000000005</v>
      </c>
      <c r="J35" s="1687">
        <v>0.31659999999999999</v>
      </c>
      <c r="K35" s="1685" t="s">
        <v>8480</v>
      </c>
    </row>
    <row r="36" spans="1:13" ht="16.5" customHeight="1">
      <c r="A36" s="1685" t="s">
        <v>8481</v>
      </c>
      <c r="B36" s="4093">
        <v>50</v>
      </c>
      <c r="C36" s="1685">
        <v>70</v>
      </c>
      <c r="D36" s="1685">
        <v>14</v>
      </c>
      <c r="E36" s="1685">
        <v>0.6</v>
      </c>
      <c r="F36" s="1685">
        <v>70</v>
      </c>
      <c r="G36" s="1685">
        <v>52</v>
      </c>
      <c r="H36" s="1686">
        <v>0.12</v>
      </c>
      <c r="I36" s="1686">
        <v>6.3E-2</v>
      </c>
      <c r="J36" s="1687">
        <v>2.8000000000000001E-2</v>
      </c>
      <c r="K36" s="1685" t="s">
        <v>8482</v>
      </c>
      <c r="L36" s="3919" t="s">
        <v>12714</v>
      </c>
      <c r="M36" s="3920"/>
    </row>
    <row r="37" spans="1:13">
      <c r="A37" s="1685" t="s">
        <v>8483</v>
      </c>
      <c r="B37" s="4094"/>
      <c r="C37" s="1685">
        <v>78</v>
      </c>
      <c r="D37" s="1685">
        <v>22</v>
      </c>
      <c r="E37" s="1685">
        <v>1</v>
      </c>
      <c r="F37" s="1685">
        <v>78</v>
      </c>
      <c r="G37" s="1685">
        <v>52</v>
      </c>
      <c r="H37" s="1686">
        <v>0.28999999999999998</v>
      </c>
      <c r="I37" s="1686">
        <v>0.16</v>
      </c>
      <c r="J37" s="1687">
        <v>6.8000000000000005E-2</v>
      </c>
      <c r="K37" s="1685" t="s">
        <v>8484</v>
      </c>
      <c r="L37" s="3921"/>
      <c r="M37" s="3922"/>
    </row>
    <row r="38" spans="1:13">
      <c r="A38" s="1685" t="s">
        <v>8485</v>
      </c>
      <c r="B38" s="4094"/>
      <c r="C38" s="1685">
        <v>95</v>
      </c>
      <c r="D38" s="1685">
        <v>31</v>
      </c>
      <c r="E38" s="1685">
        <v>1</v>
      </c>
      <c r="F38" s="1685">
        <v>95</v>
      </c>
      <c r="G38" s="1685">
        <v>53</v>
      </c>
      <c r="H38" s="1686">
        <v>0.76900000000000002</v>
      </c>
      <c r="I38" s="1686">
        <v>0.44900000000000001</v>
      </c>
      <c r="J38" s="1687">
        <v>0.19309999999999999</v>
      </c>
      <c r="K38" s="1685" t="s">
        <v>8486</v>
      </c>
      <c r="L38" s="3921"/>
      <c r="M38" s="3922"/>
    </row>
    <row r="39" spans="1:13">
      <c r="A39" s="1685" t="s">
        <v>8487</v>
      </c>
      <c r="B39" s="4095"/>
      <c r="C39" s="1685">
        <v>110</v>
      </c>
      <c r="D39" s="1685">
        <v>43</v>
      </c>
      <c r="E39" s="1685">
        <v>1</v>
      </c>
      <c r="F39" s="1685">
        <v>110</v>
      </c>
      <c r="G39" s="1685">
        <v>53</v>
      </c>
      <c r="H39" s="1686">
        <v>1.5303</v>
      </c>
      <c r="I39" s="1686">
        <v>0.89349999999999996</v>
      </c>
      <c r="J39" s="1687">
        <v>0.38400000000000001</v>
      </c>
      <c r="K39" s="1685" t="s">
        <v>8488</v>
      </c>
      <c r="L39" s="3921"/>
      <c r="M39" s="3922"/>
    </row>
    <row r="40" spans="1:13" ht="17.25" thickBot="1">
      <c r="A40" s="1685" t="s">
        <v>8489</v>
      </c>
      <c r="B40" s="4093">
        <v>55</v>
      </c>
      <c r="C40" s="1685">
        <v>78</v>
      </c>
      <c r="D40" s="1685">
        <v>16</v>
      </c>
      <c r="E40" s="1685">
        <v>0.6</v>
      </c>
      <c r="F40" s="1685">
        <v>78</v>
      </c>
      <c r="G40" s="1685">
        <v>57</v>
      </c>
      <c r="H40" s="1686">
        <v>0.17</v>
      </c>
      <c r="I40" s="1686">
        <v>9.2999999999999999E-2</v>
      </c>
      <c r="J40" s="1687">
        <v>0.04</v>
      </c>
      <c r="K40" s="1685" t="s">
        <v>8490</v>
      </c>
      <c r="L40" s="3923"/>
      <c r="M40" s="3924"/>
    </row>
    <row r="41" spans="1:13">
      <c r="A41" s="1685" t="s">
        <v>8491</v>
      </c>
      <c r="B41" s="4094"/>
      <c r="C41" s="1685">
        <v>90</v>
      </c>
      <c r="D41" s="1685">
        <v>25</v>
      </c>
      <c r="E41" s="1685">
        <v>1</v>
      </c>
      <c r="F41" s="1685">
        <v>90</v>
      </c>
      <c r="G41" s="1685">
        <v>57</v>
      </c>
      <c r="H41" s="1686">
        <v>0.46</v>
      </c>
      <c r="I41" s="1686">
        <v>0.25</v>
      </c>
      <c r="J41" s="1687">
        <v>0.107</v>
      </c>
      <c r="K41" s="1685" t="s">
        <v>8492</v>
      </c>
    </row>
    <row r="42" spans="1:13">
      <c r="A42" s="1685" t="s">
        <v>8493</v>
      </c>
      <c r="B42" s="4094"/>
      <c r="C42" s="1685">
        <v>105</v>
      </c>
      <c r="D42" s="1685">
        <v>35</v>
      </c>
      <c r="E42" s="1685">
        <v>1</v>
      </c>
      <c r="F42" s="1685">
        <v>105</v>
      </c>
      <c r="G42" s="1685">
        <v>58</v>
      </c>
      <c r="H42" s="1686">
        <v>1.0304</v>
      </c>
      <c r="I42" s="1686">
        <v>0.60199999999999998</v>
      </c>
      <c r="J42" s="1687">
        <v>0.25885999999999998</v>
      </c>
      <c r="K42" s="1685" t="s">
        <v>8494</v>
      </c>
    </row>
    <row r="43" spans="1:13">
      <c r="A43" s="1685" t="s">
        <v>8495</v>
      </c>
      <c r="B43" s="4095"/>
      <c r="C43" s="1685">
        <v>120</v>
      </c>
      <c r="D43" s="1685">
        <v>48</v>
      </c>
      <c r="E43" s="1685">
        <v>1</v>
      </c>
      <c r="F43" s="1685">
        <v>120</v>
      </c>
      <c r="G43" s="1685">
        <v>58</v>
      </c>
      <c r="H43" s="1686">
        <v>1.9990000000000001</v>
      </c>
      <c r="I43" s="1686">
        <v>1.1674</v>
      </c>
      <c r="J43" s="1687">
        <v>0.502</v>
      </c>
      <c r="K43" s="1685" t="s">
        <v>8496</v>
      </c>
    </row>
    <row r="44" spans="1:13">
      <c r="A44" s="1685" t="s">
        <v>8497</v>
      </c>
      <c r="B44" s="4093">
        <v>60</v>
      </c>
      <c r="C44" s="1685">
        <v>85</v>
      </c>
      <c r="D44" s="1685">
        <v>17</v>
      </c>
      <c r="E44" s="1685">
        <v>1</v>
      </c>
      <c r="F44" s="1685">
        <v>85</v>
      </c>
      <c r="G44" s="1685">
        <v>62</v>
      </c>
      <c r="H44" s="1686">
        <v>0.22</v>
      </c>
      <c r="I44" s="1686">
        <v>0.12</v>
      </c>
      <c r="J44" s="1687">
        <v>5.0999999999999997E-2</v>
      </c>
      <c r="K44" s="1685" t="s">
        <v>8498</v>
      </c>
    </row>
    <row r="45" spans="1:13">
      <c r="A45" s="1685" t="s">
        <v>8499</v>
      </c>
      <c r="B45" s="4094"/>
      <c r="C45" s="1685">
        <v>95</v>
      </c>
      <c r="D45" s="1685">
        <v>26</v>
      </c>
      <c r="E45" s="1685">
        <v>1</v>
      </c>
      <c r="F45" s="1685">
        <v>95</v>
      </c>
      <c r="G45" s="1685">
        <v>62</v>
      </c>
      <c r="H45" s="1686">
        <v>0.52</v>
      </c>
      <c r="I45" s="1686">
        <v>0.28000000000000003</v>
      </c>
      <c r="J45" s="1687">
        <v>0.121</v>
      </c>
      <c r="K45" s="1685" t="s">
        <v>8500</v>
      </c>
    </row>
    <row r="46" spans="1:13">
      <c r="A46" s="1685" t="s">
        <v>8501</v>
      </c>
      <c r="B46" s="4094"/>
      <c r="C46" s="1685">
        <v>110</v>
      </c>
      <c r="D46" s="1685">
        <v>35</v>
      </c>
      <c r="E46" s="1685">
        <v>1.2</v>
      </c>
      <c r="F46" s="1685">
        <v>110</v>
      </c>
      <c r="G46" s="1685">
        <v>63</v>
      </c>
      <c r="H46" s="1686">
        <v>1.0996699999999999</v>
      </c>
      <c r="I46" s="1686">
        <v>0.64200000000000002</v>
      </c>
      <c r="J46" s="1687">
        <v>0.27600000000000002</v>
      </c>
      <c r="K46" s="1685" t="s">
        <v>8502</v>
      </c>
    </row>
    <row r="47" spans="1:13">
      <c r="A47" s="1685" t="s">
        <v>8503</v>
      </c>
      <c r="B47" s="4095"/>
      <c r="C47" s="1685">
        <v>130</v>
      </c>
      <c r="D47" s="1685">
        <v>51</v>
      </c>
      <c r="E47" s="1685">
        <v>1.2</v>
      </c>
      <c r="F47" s="1685">
        <v>130</v>
      </c>
      <c r="G47" s="1685">
        <v>63</v>
      </c>
      <c r="H47" s="1686">
        <v>2.5377000000000001</v>
      </c>
      <c r="I47" s="1686">
        <v>1.4817</v>
      </c>
      <c r="J47" s="1687">
        <v>0.63700000000000001</v>
      </c>
      <c r="K47" s="1685" t="s">
        <v>8504</v>
      </c>
    </row>
    <row r="48" spans="1:13">
      <c r="A48" s="1685" t="s">
        <v>8505</v>
      </c>
      <c r="B48" s="4093">
        <v>65</v>
      </c>
      <c r="C48" s="1685">
        <v>90</v>
      </c>
      <c r="D48" s="1685">
        <v>18</v>
      </c>
      <c r="E48" s="1685">
        <v>1</v>
      </c>
      <c r="F48" s="1685">
        <v>90</v>
      </c>
      <c r="G48" s="1685">
        <v>67</v>
      </c>
      <c r="H48" s="1686">
        <v>0.25</v>
      </c>
      <c r="I48" s="1686">
        <v>0.13</v>
      </c>
      <c r="J48" s="1687">
        <v>5.8000000000000003E-2</v>
      </c>
      <c r="K48" s="1685" t="s">
        <v>8506</v>
      </c>
    </row>
    <row r="49" spans="1:11">
      <c r="A49" s="1685" t="s">
        <v>8507</v>
      </c>
      <c r="B49" s="4094"/>
      <c r="C49" s="1685">
        <v>100</v>
      </c>
      <c r="D49" s="1685">
        <v>27</v>
      </c>
      <c r="E49" s="1685">
        <v>1</v>
      </c>
      <c r="F49" s="1685">
        <v>100</v>
      </c>
      <c r="G49" s="1685">
        <v>67</v>
      </c>
      <c r="H49" s="1686">
        <v>0.57999999999999996</v>
      </c>
      <c r="I49" s="1686">
        <v>0.31</v>
      </c>
      <c r="J49" s="1687">
        <v>0.13500000000000001</v>
      </c>
      <c r="K49" s="1685" t="s">
        <v>8508</v>
      </c>
    </row>
    <row r="50" spans="1:11">
      <c r="A50" s="1685" t="s">
        <v>8509</v>
      </c>
      <c r="B50" s="4094"/>
      <c r="C50" s="1685">
        <v>115</v>
      </c>
      <c r="D50" s="1685">
        <v>36</v>
      </c>
      <c r="E50" s="1685">
        <v>1.2</v>
      </c>
      <c r="F50" s="1685">
        <v>115</v>
      </c>
      <c r="G50" s="1685">
        <v>68</v>
      </c>
      <c r="H50" s="1686">
        <v>1.2073</v>
      </c>
      <c r="I50" s="1686">
        <v>0.70489999999999997</v>
      </c>
      <c r="J50" s="1687">
        <v>0.30299999999999999</v>
      </c>
      <c r="K50" s="1685" t="s">
        <v>8510</v>
      </c>
    </row>
    <row r="51" spans="1:11">
      <c r="A51" s="1685" t="s">
        <v>8511</v>
      </c>
      <c r="B51" s="4095"/>
      <c r="C51" s="1685">
        <v>140</v>
      </c>
      <c r="D51" s="1685">
        <v>56</v>
      </c>
      <c r="E51" s="1685">
        <v>1.2</v>
      </c>
      <c r="F51" s="1685">
        <v>140</v>
      </c>
      <c r="G51" s="1685">
        <v>68</v>
      </c>
      <c r="H51" s="1686">
        <v>3.2298</v>
      </c>
      <c r="I51" s="1686">
        <v>1.8857999999999999</v>
      </c>
      <c r="J51" s="1687">
        <v>0.81089</v>
      </c>
      <c r="K51" s="1685" t="s">
        <v>8512</v>
      </c>
    </row>
    <row r="52" spans="1:11">
      <c r="A52" s="1685" t="s">
        <v>8513</v>
      </c>
      <c r="B52" s="4093">
        <v>70</v>
      </c>
      <c r="C52" s="1685">
        <v>95</v>
      </c>
      <c r="D52" s="1685">
        <v>18</v>
      </c>
      <c r="E52" s="1685">
        <v>1</v>
      </c>
      <c r="F52" s="1685">
        <v>95</v>
      </c>
      <c r="G52" s="1685">
        <v>72</v>
      </c>
      <c r="H52" s="1686">
        <v>0.27</v>
      </c>
      <c r="I52" s="1686">
        <v>0.14000000000000001</v>
      </c>
      <c r="J52" s="1687">
        <v>6.3E-2</v>
      </c>
      <c r="K52" s="1685" t="s">
        <v>8514</v>
      </c>
    </row>
    <row r="53" spans="1:11">
      <c r="A53" s="1685" t="s">
        <v>8515</v>
      </c>
      <c r="B53" s="4094"/>
      <c r="C53" s="1685">
        <v>105</v>
      </c>
      <c r="D53" s="1685">
        <v>27</v>
      </c>
      <c r="E53" s="1685">
        <v>1</v>
      </c>
      <c r="F53" s="1685">
        <v>105</v>
      </c>
      <c r="G53" s="1685">
        <v>72</v>
      </c>
      <c r="H53" s="1686">
        <v>0.61</v>
      </c>
      <c r="I53" s="1686">
        <v>0.33</v>
      </c>
      <c r="J53" s="1687">
        <v>0.14199999999999999</v>
      </c>
      <c r="K53" s="1685" t="s">
        <v>8516</v>
      </c>
    </row>
    <row r="54" spans="1:11">
      <c r="A54" s="1685" t="s">
        <v>8517</v>
      </c>
      <c r="B54" s="4094"/>
      <c r="C54" s="1685">
        <v>125</v>
      </c>
      <c r="D54" s="1685">
        <v>40</v>
      </c>
      <c r="E54" s="1685">
        <v>1.2</v>
      </c>
      <c r="F54" s="1685">
        <v>125</v>
      </c>
      <c r="G54" s="1685">
        <v>73</v>
      </c>
      <c r="H54" s="1686">
        <v>1.6149</v>
      </c>
      <c r="I54" s="1686">
        <v>0.94289999999999996</v>
      </c>
      <c r="J54" s="1687">
        <v>0.40539999999999998</v>
      </c>
      <c r="K54" s="1685" t="s">
        <v>8518</v>
      </c>
    </row>
    <row r="55" spans="1:11">
      <c r="A55" s="1685" t="s">
        <v>8519</v>
      </c>
      <c r="B55" s="4095"/>
      <c r="C55" s="1685">
        <v>150</v>
      </c>
      <c r="D55" s="1685">
        <v>60</v>
      </c>
      <c r="E55" s="1685">
        <v>1.2</v>
      </c>
      <c r="F55" s="1685">
        <v>150</v>
      </c>
      <c r="G55" s="1685">
        <v>73</v>
      </c>
      <c r="H55" s="1686">
        <v>3.9834000000000001</v>
      </c>
      <c r="I55" s="1686">
        <v>2.3258000000000001</v>
      </c>
      <c r="J55" s="1687">
        <v>1</v>
      </c>
      <c r="K55" s="1685" t="s">
        <v>8520</v>
      </c>
    </row>
    <row r="56" spans="1:11">
      <c r="A56" s="1685" t="s">
        <v>8521</v>
      </c>
      <c r="B56" s="4093">
        <v>75</v>
      </c>
      <c r="C56" s="1685">
        <v>100</v>
      </c>
      <c r="D56" s="1685">
        <v>19</v>
      </c>
      <c r="E56" s="1685">
        <v>1</v>
      </c>
      <c r="F56" s="1685">
        <v>100</v>
      </c>
      <c r="G56" s="1685">
        <v>77</v>
      </c>
      <c r="H56" s="1686">
        <v>0.3</v>
      </c>
      <c r="I56" s="1686">
        <v>0.16</v>
      </c>
      <c r="J56" s="1687">
        <v>7.0000000000000007E-2</v>
      </c>
      <c r="K56" s="1685" t="s">
        <v>8522</v>
      </c>
    </row>
    <row r="57" spans="1:11">
      <c r="A57" s="1685" t="s">
        <v>8523</v>
      </c>
      <c r="B57" s="4094"/>
      <c r="C57" s="1685">
        <v>110</v>
      </c>
      <c r="D57" s="1685">
        <v>27</v>
      </c>
      <c r="E57" s="1685">
        <v>1</v>
      </c>
      <c r="F57" s="1685">
        <v>110</v>
      </c>
      <c r="G57" s="1685">
        <v>77</v>
      </c>
      <c r="H57" s="1686">
        <v>0.65</v>
      </c>
      <c r="I57" s="1686">
        <v>0.35</v>
      </c>
      <c r="J57" s="1687">
        <v>0.152</v>
      </c>
      <c r="K57" s="1685" t="s">
        <v>8524</v>
      </c>
    </row>
    <row r="58" spans="1:11">
      <c r="A58" s="1685" t="s">
        <v>8525</v>
      </c>
      <c r="B58" s="4094"/>
      <c r="C58" s="1685">
        <v>135</v>
      </c>
      <c r="D58" s="1685">
        <v>44</v>
      </c>
      <c r="E58" s="1685">
        <v>1.2</v>
      </c>
      <c r="F58" s="1685">
        <v>135</v>
      </c>
      <c r="G58" s="1685">
        <v>78</v>
      </c>
      <c r="H58" s="1686">
        <v>2.0762999999999998</v>
      </c>
      <c r="I58" s="1686">
        <v>1.2122999999999999</v>
      </c>
      <c r="J58" s="1687">
        <v>0.52100000000000002</v>
      </c>
      <c r="K58" s="1685" t="s">
        <v>8526</v>
      </c>
    </row>
    <row r="59" spans="1:11">
      <c r="A59" s="1685" t="s">
        <v>8527</v>
      </c>
      <c r="B59" s="4095"/>
      <c r="C59" s="1685">
        <v>160</v>
      </c>
      <c r="D59" s="1685">
        <v>65</v>
      </c>
      <c r="E59" s="1685">
        <v>1.2</v>
      </c>
      <c r="F59" s="1685">
        <v>160</v>
      </c>
      <c r="G59" s="1685">
        <v>78</v>
      </c>
      <c r="H59" s="1686">
        <v>5.36</v>
      </c>
      <c r="I59" s="1686">
        <v>3.1339999999999999</v>
      </c>
      <c r="J59" s="1687">
        <v>1.347</v>
      </c>
      <c r="K59" s="1685" t="s">
        <v>8528</v>
      </c>
    </row>
    <row r="60" spans="1:11">
      <c r="A60" s="1685" t="s">
        <v>8529</v>
      </c>
      <c r="B60" s="4093">
        <v>80</v>
      </c>
      <c r="C60" s="1685">
        <v>105</v>
      </c>
      <c r="D60" s="1685">
        <v>19</v>
      </c>
      <c r="E60" s="1685">
        <v>1</v>
      </c>
      <c r="F60" s="1685">
        <v>105</v>
      </c>
      <c r="G60" s="1685">
        <v>82</v>
      </c>
      <c r="H60" s="1686">
        <v>0.32</v>
      </c>
      <c r="I60" s="1686">
        <v>0.17</v>
      </c>
      <c r="J60" s="1687">
        <v>7.4999999999999997E-2</v>
      </c>
      <c r="K60" s="1685" t="s">
        <v>8530</v>
      </c>
    </row>
    <row r="61" spans="1:11">
      <c r="A61" s="1685" t="s">
        <v>8531</v>
      </c>
      <c r="B61" s="4094"/>
      <c r="C61" s="1685">
        <v>115</v>
      </c>
      <c r="D61" s="1685">
        <v>28</v>
      </c>
      <c r="E61" s="1685">
        <v>1</v>
      </c>
      <c r="F61" s="1685">
        <v>115</v>
      </c>
      <c r="G61" s="1685">
        <v>82</v>
      </c>
      <c r="H61" s="1686">
        <v>0.72</v>
      </c>
      <c r="I61" s="1686">
        <v>0.38</v>
      </c>
      <c r="J61" s="1687">
        <v>0.16800000000000001</v>
      </c>
      <c r="K61" s="1685" t="s">
        <v>8532</v>
      </c>
    </row>
    <row r="62" spans="1:11">
      <c r="A62" s="1685" t="s">
        <v>8533</v>
      </c>
      <c r="B62" s="4094"/>
      <c r="C62" s="1685">
        <v>140</v>
      </c>
      <c r="D62" s="1685">
        <v>44</v>
      </c>
      <c r="E62" s="1685">
        <v>1.2</v>
      </c>
      <c r="F62" s="1685">
        <v>140</v>
      </c>
      <c r="G62" s="1685">
        <v>83</v>
      </c>
      <c r="H62" s="1686">
        <v>2.1532</v>
      </c>
      <c r="I62" s="1686">
        <v>1.2572000000000001</v>
      </c>
      <c r="J62" s="1687">
        <v>0.54</v>
      </c>
      <c r="K62" s="1685" t="s">
        <v>8534</v>
      </c>
    </row>
    <row r="63" spans="1:11">
      <c r="A63" s="1685" t="s">
        <v>8535</v>
      </c>
      <c r="B63" s="4095"/>
      <c r="C63" s="1685">
        <v>170</v>
      </c>
      <c r="D63" s="1685">
        <v>68</v>
      </c>
      <c r="E63" s="1685">
        <v>1.2</v>
      </c>
      <c r="F63" s="1685">
        <v>170</v>
      </c>
      <c r="G63" s="1685">
        <v>83</v>
      </c>
      <c r="H63" s="1686">
        <v>5.4676</v>
      </c>
      <c r="I63" s="1686">
        <v>3.1923900000000001</v>
      </c>
      <c r="J63" s="1687">
        <v>1.37</v>
      </c>
      <c r="K63" s="1685" t="s">
        <v>8536</v>
      </c>
    </row>
    <row r="64" spans="1:11">
      <c r="A64" s="1685" t="s">
        <v>8537</v>
      </c>
      <c r="B64" s="4093">
        <v>85</v>
      </c>
      <c r="C64" s="1685">
        <v>110</v>
      </c>
      <c r="D64" s="1685">
        <v>19</v>
      </c>
      <c r="E64" s="1685">
        <v>1</v>
      </c>
      <c r="F64" s="1685">
        <v>110</v>
      </c>
      <c r="G64" s="1685">
        <v>87</v>
      </c>
      <c r="H64" s="1686">
        <v>0.34</v>
      </c>
      <c r="I64" s="1686">
        <v>0.18</v>
      </c>
      <c r="J64" s="1687">
        <v>7.9000000000000001E-2</v>
      </c>
      <c r="K64" s="1685" t="s">
        <v>8538</v>
      </c>
    </row>
    <row r="65" spans="1:13">
      <c r="A65" s="1685" t="s">
        <v>8539</v>
      </c>
      <c r="B65" s="4094"/>
      <c r="C65" s="1685">
        <v>125</v>
      </c>
      <c r="D65" s="1685">
        <v>31</v>
      </c>
      <c r="E65" s="1685">
        <v>1</v>
      </c>
      <c r="F65" s="1685">
        <v>125</v>
      </c>
      <c r="G65" s="1685">
        <v>88</v>
      </c>
      <c r="H65" s="1686">
        <v>0.94</v>
      </c>
      <c r="I65" s="1686">
        <v>0.5</v>
      </c>
      <c r="J65" s="1687">
        <v>0.219</v>
      </c>
      <c r="K65" s="1685" t="s">
        <v>8540</v>
      </c>
    </row>
    <row r="66" spans="1:13">
      <c r="A66" s="1685" t="s">
        <v>8541</v>
      </c>
      <c r="B66" s="4094"/>
      <c r="C66" s="1685">
        <v>150</v>
      </c>
      <c r="D66" s="1685">
        <v>49</v>
      </c>
      <c r="E66" s="1685">
        <v>1.5</v>
      </c>
      <c r="F66" s="1685">
        <v>150</v>
      </c>
      <c r="G66" s="1685">
        <v>88</v>
      </c>
      <c r="H66" s="1686">
        <v>2.8452999999999999</v>
      </c>
      <c r="I66" s="1686">
        <v>1.6613</v>
      </c>
      <c r="J66" s="1687">
        <v>0.71379999999999999</v>
      </c>
      <c r="K66" s="1685" t="s">
        <v>8542</v>
      </c>
    </row>
    <row r="67" spans="1:13">
      <c r="A67" s="1685" t="s">
        <v>8543</v>
      </c>
      <c r="B67" s="4095"/>
      <c r="C67" s="1685">
        <v>180</v>
      </c>
      <c r="D67" s="1685">
        <v>72</v>
      </c>
      <c r="E67" s="1685">
        <v>1.5</v>
      </c>
      <c r="F67" s="1685">
        <v>180</v>
      </c>
      <c r="G67" s="1685">
        <v>88</v>
      </c>
      <c r="H67" s="1686">
        <v>7.3055000000000003</v>
      </c>
      <c r="I67" s="1686">
        <v>4.2655000000000003</v>
      </c>
      <c r="J67" s="1687">
        <v>1.8340000000000001</v>
      </c>
      <c r="K67" s="1685" t="s">
        <v>8544</v>
      </c>
    </row>
    <row r="68" spans="1:13">
      <c r="A68" s="1685" t="s">
        <v>8545</v>
      </c>
      <c r="B68" s="4093">
        <v>90</v>
      </c>
      <c r="C68" s="1685">
        <v>120</v>
      </c>
      <c r="D68" s="1685">
        <v>22</v>
      </c>
      <c r="E68" s="1685">
        <v>1</v>
      </c>
      <c r="F68" s="1685">
        <v>120</v>
      </c>
      <c r="G68" s="1685">
        <v>92</v>
      </c>
      <c r="H68" s="1686">
        <v>0.5</v>
      </c>
      <c r="I68" s="1686">
        <v>0.27</v>
      </c>
      <c r="J68" s="1687">
        <v>0.11700000000000001</v>
      </c>
      <c r="K68" s="1685" t="s">
        <v>8546</v>
      </c>
    </row>
    <row r="69" spans="1:13">
      <c r="A69" s="1685" t="s">
        <v>8547</v>
      </c>
      <c r="B69" s="4094"/>
      <c r="C69" s="1685">
        <v>135</v>
      </c>
      <c r="D69" s="1685">
        <v>35</v>
      </c>
      <c r="E69" s="1685">
        <v>1</v>
      </c>
      <c r="F69" s="1685">
        <v>135</v>
      </c>
      <c r="G69" s="1685">
        <v>93</v>
      </c>
      <c r="H69" s="1686">
        <v>1.3</v>
      </c>
      <c r="I69" s="1686">
        <v>0.69</v>
      </c>
      <c r="J69" s="1687">
        <v>0.30299999999999999</v>
      </c>
      <c r="K69" s="1685" t="s">
        <v>8548</v>
      </c>
      <c r="L69" s="131"/>
    </row>
    <row r="70" spans="1:13">
      <c r="A70" s="1685" t="s">
        <v>8549</v>
      </c>
      <c r="B70" s="4094"/>
      <c r="C70" s="1685">
        <v>155</v>
      </c>
      <c r="D70" s="1685">
        <v>50</v>
      </c>
      <c r="E70" s="1685">
        <v>1.5</v>
      </c>
      <c r="F70" s="1685">
        <v>155</v>
      </c>
      <c r="G70" s="1685">
        <v>93</v>
      </c>
      <c r="H70" s="1686">
        <v>2.9990000000000001</v>
      </c>
      <c r="I70" s="1686">
        <v>1.75</v>
      </c>
      <c r="J70" s="1687">
        <v>0.752</v>
      </c>
      <c r="K70" s="1685" t="s">
        <v>8550</v>
      </c>
      <c r="L70" s="131"/>
    </row>
    <row r="71" spans="1:13">
      <c r="A71" s="1685" t="s">
        <v>8551</v>
      </c>
      <c r="B71" s="4095"/>
      <c r="C71" s="1685">
        <v>190</v>
      </c>
      <c r="D71" s="1685">
        <v>77</v>
      </c>
      <c r="E71" s="1685">
        <v>1.5</v>
      </c>
      <c r="F71" s="1685">
        <v>190</v>
      </c>
      <c r="G71" s="1685">
        <v>93</v>
      </c>
      <c r="H71" s="1686">
        <v>8.6128</v>
      </c>
      <c r="I71" s="1686">
        <v>5.0288000000000004</v>
      </c>
      <c r="J71" s="1687">
        <v>2.1623800000000002</v>
      </c>
      <c r="K71" s="1685" t="s">
        <v>8552</v>
      </c>
      <c r="L71" s="131"/>
    </row>
    <row r="72" spans="1:13">
      <c r="A72" s="1685" t="s">
        <v>8553</v>
      </c>
      <c r="B72" s="4093">
        <v>100</v>
      </c>
      <c r="C72" s="1685">
        <v>135</v>
      </c>
      <c r="D72" s="1685">
        <v>25</v>
      </c>
      <c r="E72" s="1685">
        <v>1</v>
      </c>
      <c r="F72" s="1685">
        <v>135</v>
      </c>
      <c r="G72" s="1685">
        <v>102</v>
      </c>
      <c r="H72" s="1686">
        <v>0.74</v>
      </c>
      <c r="I72" s="1686">
        <v>0.39</v>
      </c>
      <c r="J72" s="1687">
        <v>0.17299999999999999</v>
      </c>
      <c r="K72" s="1685" t="s">
        <v>8554</v>
      </c>
    </row>
    <row r="73" spans="1:13" ht="17.25" thickBot="1">
      <c r="A73" s="1685" t="s">
        <v>8555</v>
      </c>
      <c r="B73" s="4094"/>
      <c r="C73" s="1685">
        <v>150</v>
      </c>
      <c r="D73" s="1685">
        <v>38</v>
      </c>
      <c r="E73" s="1685">
        <v>1.1000000000000001</v>
      </c>
      <c r="F73" s="1685">
        <v>150</v>
      </c>
      <c r="G73" s="1685">
        <v>103</v>
      </c>
      <c r="H73" s="1686">
        <v>1.73</v>
      </c>
      <c r="I73" s="1686">
        <v>0.92</v>
      </c>
      <c r="J73" s="1687">
        <v>0.40400000000000003</v>
      </c>
      <c r="K73" s="1685" t="s">
        <v>8556</v>
      </c>
    </row>
    <row r="74" spans="1:13">
      <c r="A74" s="1685" t="s">
        <v>8557</v>
      </c>
      <c r="B74" s="4094"/>
      <c r="C74" s="1685">
        <v>170</v>
      </c>
      <c r="D74" s="1685">
        <v>55</v>
      </c>
      <c r="E74" s="1685">
        <v>1.5</v>
      </c>
      <c r="F74" s="1685">
        <v>170</v>
      </c>
      <c r="G74" s="1685">
        <v>103</v>
      </c>
      <c r="H74" s="1686">
        <v>3.9218999999999999</v>
      </c>
      <c r="I74" s="1686">
        <v>2.29</v>
      </c>
      <c r="J74" s="1687">
        <v>0.98470000000000002</v>
      </c>
      <c r="K74" s="1685" t="s">
        <v>8558</v>
      </c>
      <c r="L74" s="3919" t="s">
        <v>12714</v>
      </c>
      <c r="M74" s="3920"/>
    </row>
    <row r="75" spans="1:13">
      <c r="A75" s="1685" t="s">
        <v>8559</v>
      </c>
      <c r="B75" s="4095"/>
      <c r="C75" s="1685">
        <v>210</v>
      </c>
      <c r="D75" s="1685">
        <v>85</v>
      </c>
      <c r="E75" s="1685">
        <v>1.5</v>
      </c>
      <c r="F75" s="1685">
        <v>210</v>
      </c>
      <c r="G75" s="1685">
        <v>103</v>
      </c>
      <c r="H75" s="1686">
        <v>11.46</v>
      </c>
      <c r="I75" s="1686">
        <v>6.69</v>
      </c>
      <c r="J75" s="1687">
        <v>2.8767</v>
      </c>
      <c r="K75" s="1685" t="s">
        <v>8560</v>
      </c>
      <c r="L75" s="3921"/>
      <c r="M75" s="3922"/>
    </row>
    <row r="76" spans="1:13">
      <c r="A76" s="1685" t="s">
        <v>8561</v>
      </c>
      <c r="B76" s="4093">
        <v>110</v>
      </c>
      <c r="C76" s="1685">
        <v>145</v>
      </c>
      <c r="D76" s="1685">
        <v>25</v>
      </c>
      <c r="E76" s="1685">
        <v>1</v>
      </c>
      <c r="F76" s="1685">
        <v>145</v>
      </c>
      <c r="G76" s="1685">
        <v>112</v>
      </c>
      <c r="H76" s="1686">
        <v>0.8</v>
      </c>
      <c r="I76" s="1686">
        <v>0.43</v>
      </c>
      <c r="J76" s="1687">
        <v>0.187</v>
      </c>
      <c r="K76" s="1685" t="s">
        <v>8562</v>
      </c>
      <c r="L76" s="3921"/>
      <c r="M76" s="3922"/>
    </row>
    <row r="77" spans="1:13">
      <c r="A77" s="1688" t="s">
        <v>8563</v>
      </c>
      <c r="B77" s="4094"/>
      <c r="C77" s="1688">
        <v>160</v>
      </c>
      <c r="D77" s="1688">
        <v>38</v>
      </c>
      <c r="E77" s="1688">
        <v>1.2</v>
      </c>
      <c r="F77" s="1688">
        <v>160</v>
      </c>
      <c r="G77" s="1688">
        <v>113</v>
      </c>
      <c r="H77" s="1689">
        <v>2</v>
      </c>
      <c r="I77" s="1689">
        <v>1.17</v>
      </c>
      <c r="J77" s="1693">
        <v>0.503</v>
      </c>
      <c r="K77" s="1688" t="s">
        <v>8564</v>
      </c>
      <c r="L77" s="3921"/>
      <c r="M77" s="3922"/>
    </row>
    <row r="78" spans="1:13" ht="17.25" thickBot="1">
      <c r="A78" s="1688" t="s">
        <v>8565</v>
      </c>
      <c r="B78" s="4094"/>
      <c r="C78" s="1688">
        <v>190</v>
      </c>
      <c r="D78" s="1688">
        <v>63</v>
      </c>
      <c r="E78" s="1688">
        <v>1.5</v>
      </c>
      <c r="F78" s="1688">
        <v>190</v>
      </c>
      <c r="G78" s="1688">
        <v>113</v>
      </c>
      <c r="H78" s="1689">
        <v>6.0750000000000002</v>
      </c>
      <c r="I78" s="1689">
        <v>3.5470000000000002</v>
      </c>
      <c r="J78" s="1693">
        <v>1.5249999999999999</v>
      </c>
      <c r="K78" s="1688" t="s">
        <v>8566</v>
      </c>
      <c r="L78" s="3923"/>
      <c r="M78" s="3924"/>
    </row>
    <row r="79" spans="1:13">
      <c r="A79" s="1688" t="s">
        <v>8567</v>
      </c>
      <c r="B79" s="4095"/>
      <c r="C79" s="1688">
        <v>230</v>
      </c>
      <c r="D79" s="1688">
        <v>95</v>
      </c>
      <c r="E79" s="1688">
        <v>1.5</v>
      </c>
      <c r="F79" s="1688">
        <v>230</v>
      </c>
      <c r="G79" s="1688">
        <v>113</v>
      </c>
      <c r="H79" s="1689">
        <v>14.3</v>
      </c>
      <c r="I79" s="1689">
        <v>8.35</v>
      </c>
      <c r="J79" s="1693">
        <v>3.5</v>
      </c>
      <c r="K79" s="1688" t="s">
        <v>8568</v>
      </c>
    </row>
    <row r="80" spans="1:13">
      <c r="A80" s="1690" t="s">
        <v>8569</v>
      </c>
      <c r="B80" s="4101">
        <v>120</v>
      </c>
      <c r="C80" s="1690">
        <v>155</v>
      </c>
      <c r="D80" s="1690">
        <v>25</v>
      </c>
      <c r="E80" s="1690">
        <v>1</v>
      </c>
      <c r="F80" s="1690">
        <v>155</v>
      </c>
      <c r="G80" s="1690">
        <v>122</v>
      </c>
      <c r="H80" s="1687">
        <v>0.86</v>
      </c>
      <c r="I80" s="1687">
        <v>0.46</v>
      </c>
      <c r="J80" s="1687">
        <v>0.20100000000000001</v>
      </c>
      <c r="K80" s="1690" t="s">
        <v>8570</v>
      </c>
      <c r="M80" s="1694"/>
    </row>
    <row r="81" spans="1:11">
      <c r="A81" s="1691" t="s">
        <v>8571</v>
      </c>
      <c r="B81" s="4101"/>
      <c r="C81" s="1691">
        <v>170</v>
      </c>
      <c r="D81" s="1691">
        <v>39</v>
      </c>
      <c r="E81" s="1691">
        <v>1.2</v>
      </c>
      <c r="F81" s="1691">
        <v>170</v>
      </c>
      <c r="G81" s="1691">
        <v>123</v>
      </c>
      <c r="H81" s="1692">
        <v>2.23</v>
      </c>
      <c r="I81" s="1692">
        <v>1.302</v>
      </c>
      <c r="J81" s="1692">
        <v>0.55900000000000005</v>
      </c>
      <c r="K81" s="1691" t="s">
        <v>8572</v>
      </c>
    </row>
    <row r="82" spans="1:11">
      <c r="A82" s="1691" t="s">
        <v>8573</v>
      </c>
      <c r="B82" s="4101"/>
      <c r="C82" s="1691">
        <v>210</v>
      </c>
      <c r="D82" s="1691">
        <v>70</v>
      </c>
      <c r="E82" s="1691">
        <v>1.5</v>
      </c>
      <c r="F82" s="1691">
        <v>210</v>
      </c>
      <c r="G82" s="1691">
        <v>123</v>
      </c>
      <c r="H82" s="1692">
        <v>8.3819999999999997</v>
      </c>
      <c r="I82" s="1692">
        <v>4.8940000000000001</v>
      </c>
      <c r="J82" s="1692">
        <v>2.1044</v>
      </c>
      <c r="K82" s="1691" t="s">
        <v>8574</v>
      </c>
    </row>
    <row r="83" spans="1:11">
      <c r="A83" s="1691" t="s">
        <v>8575</v>
      </c>
      <c r="B83" s="4101"/>
      <c r="C83" s="1691">
        <v>250</v>
      </c>
      <c r="D83" s="1691">
        <v>102</v>
      </c>
      <c r="E83" s="1691">
        <v>1.5</v>
      </c>
      <c r="F83" s="1691">
        <v>250</v>
      </c>
      <c r="G83" s="1691">
        <v>123</v>
      </c>
      <c r="H83" s="1692">
        <v>19.600000000000001</v>
      </c>
      <c r="I83" s="1692">
        <v>11.45</v>
      </c>
      <c r="J83" s="1692">
        <v>4.9240000000000004</v>
      </c>
      <c r="K83" s="1691" t="s">
        <v>8576</v>
      </c>
    </row>
    <row r="84" spans="1:11">
      <c r="A84" s="1691" t="s">
        <v>8577</v>
      </c>
      <c r="B84" s="4100">
        <v>130</v>
      </c>
      <c r="C84" s="1691">
        <v>170</v>
      </c>
      <c r="D84" s="1691">
        <v>30</v>
      </c>
      <c r="E84" s="1691">
        <v>1.2</v>
      </c>
      <c r="F84" s="1691">
        <v>170</v>
      </c>
      <c r="G84" s="1691">
        <v>132</v>
      </c>
      <c r="H84" s="1692">
        <v>1.4379999999999999</v>
      </c>
      <c r="I84" s="1692">
        <v>0.83960000000000001</v>
      </c>
      <c r="J84" s="1692">
        <v>0.36199999999999999</v>
      </c>
      <c r="K84" s="1691" t="s">
        <v>8578</v>
      </c>
    </row>
    <row r="85" spans="1:11">
      <c r="A85" s="1691" t="s">
        <v>8579</v>
      </c>
      <c r="B85" s="4100"/>
      <c r="C85" s="1691">
        <v>190</v>
      </c>
      <c r="D85" s="1691">
        <v>45</v>
      </c>
      <c r="E85" s="1691">
        <v>1.2</v>
      </c>
      <c r="F85" s="1691">
        <v>190</v>
      </c>
      <c r="G85" s="1691">
        <v>133</v>
      </c>
      <c r="H85" s="1692">
        <v>3.2298</v>
      </c>
      <c r="I85" s="1692">
        <v>1.869</v>
      </c>
      <c r="J85" s="1692">
        <v>0.80400000000000005</v>
      </c>
      <c r="K85" s="1691" t="s">
        <v>8580</v>
      </c>
    </row>
    <row r="86" spans="1:11">
      <c r="A86" s="1691" t="s">
        <v>8581</v>
      </c>
      <c r="B86" s="4100"/>
      <c r="C86" s="1691">
        <v>225</v>
      </c>
      <c r="D86" s="1691">
        <v>75</v>
      </c>
      <c r="E86" s="1691">
        <v>1.5</v>
      </c>
      <c r="F86" s="1691">
        <v>225</v>
      </c>
      <c r="G86" s="1691">
        <v>133</v>
      </c>
      <c r="H86" s="1692">
        <v>10.227</v>
      </c>
      <c r="I86" s="1692">
        <v>5.9717000000000002</v>
      </c>
      <c r="J86" s="1692">
        <v>2.5678000000000001</v>
      </c>
      <c r="K86" s="1691" t="s">
        <v>8582</v>
      </c>
    </row>
    <row r="87" spans="1:11">
      <c r="A87" s="1691" t="s">
        <v>8583</v>
      </c>
      <c r="B87" s="4100"/>
      <c r="C87" s="1691">
        <v>270</v>
      </c>
      <c r="D87" s="1691">
        <v>110</v>
      </c>
      <c r="E87" s="1691">
        <v>1.5</v>
      </c>
      <c r="F87" s="1691">
        <v>270</v>
      </c>
      <c r="G87" s="1691">
        <v>133</v>
      </c>
      <c r="H87" s="1692">
        <v>24.608000000000001</v>
      </c>
      <c r="I87" s="1692">
        <v>14.368</v>
      </c>
      <c r="J87" s="1692">
        <v>6.1779999999999999</v>
      </c>
      <c r="K87" s="1691" t="s">
        <v>8584</v>
      </c>
    </row>
    <row r="88" spans="1:11">
      <c r="A88" s="1691" t="s">
        <v>8585</v>
      </c>
      <c r="B88" s="4100">
        <v>140</v>
      </c>
      <c r="C88" s="1691">
        <v>180</v>
      </c>
      <c r="D88" s="1691">
        <v>31</v>
      </c>
      <c r="E88" s="1691">
        <v>1.5</v>
      </c>
      <c r="F88" s="1691">
        <v>180</v>
      </c>
      <c r="G88" s="1691">
        <v>143</v>
      </c>
      <c r="H88" s="1692">
        <v>1.62</v>
      </c>
      <c r="I88" s="1692">
        <v>0.95</v>
      </c>
      <c r="J88" s="1692">
        <v>0.4</v>
      </c>
      <c r="K88" s="1691" t="s">
        <v>8586</v>
      </c>
    </row>
    <row r="89" spans="1:11">
      <c r="A89" s="1691" t="s">
        <v>8587</v>
      </c>
      <c r="B89" s="4100"/>
      <c r="C89" s="1691">
        <v>200</v>
      </c>
      <c r="D89" s="1691">
        <v>46</v>
      </c>
      <c r="E89" s="1691">
        <v>1.5</v>
      </c>
      <c r="F89" s="1691">
        <v>200</v>
      </c>
      <c r="G89" s="1691">
        <v>143</v>
      </c>
      <c r="H89" s="1692">
        <v>3.46</v>
      </c>
      <c r="I89" s="1692">
        <v>2.0205000000000002</v>
      </c>
      <c r="J89" s="1692">
        <v>0.86880000000000002</v>
      </c>
      <c r="K89" s="1691" t="s">
        <v>8588</v>
      </c>
    </row>
    <row r="90" spans="1:11">
      <c r="A90" s="1691" t="s">
        <v>8589</v>
      </c>
      <c r="B90" s="4100"/>
      <c r="C90" s="1691">
        <v>240</v>
      </c>
      <c r="D90" s="1691">
        <v>80</v>
      </c>
      <c r="E90" s="1691">
        <v>2</v>
      </c>
      <c r="F90" s="1691">
        <v>240</v>
      </c>
      <c r="G90" s="1691">
        <v>144</v>
      </c>
      <c r="H90" s="1692">
        <v>12.227</v>
      </c>
      <c r="I90" s="1692">
        <v>7.1390000000000002</v>
      </c>
      <c r="J90" s="1692">
        <v>3.0697700000000001</v>
      </c>
      <c r="K90" s="1691" t="s">
        <v>8590</v>
      </c>
    </row>
    <row r="91" spans="1:11">
      <c r="A91" s="1691" t="s">
        <v>8591</v>
      </c>
      <c r="B91" s="4100"/>
      <c r="C91" s="1691">
        <v>280</v>
      </c>
      <c r="D91" s="1691">
        <v>112</v>
      </c>
      <c r="E91" s="1691">
        <v>2</v>
      </c>
      <c r="F91" s="1691">
        <v>280</v>
      </c>
      <c r="G91" s="1691">
        <v>144</v>
      </c>
      <c r="H91" s="1692">
        <v>24.76</v>
      </c>
      <c r="I91" s="1692">
        <v>14.46</v>
      </c>
      <c r="J91" s="1692">
        <v>6.2178000000000004</v>
      </c>
      <c r="K91" s="1691" t="s">
        <v>8592</v>
      </c>
    </row>
    <row r="92" spans="1:11">
      <c r="A92" s="1691" t="s">
        <v>8593</v>
      </c>
      <c r="B92" s="4100">
        <v>150</v>
      </c>
      <c r="C92" s="1691">
        <v>190</v>
      </c>
      <c r="D92" s="1691">
        <v>31</v>
      </c>
      <c r="E92" s="1691">
        <v>1.5</v>
      </c>
      <c r="F92" s="1691">
        <v>190</v>
      </c>
      <c r="G92" s="1691">
        <v>153</v>
      </c>
      <c r="H92" s="1692">
        <v>1.69</v>
      </c>
      <c r="I92" s="1692">
        <v>0.98780000000000001</v>
      </c>
      <c r="J92" s="1692">
        <v>0.42475000000000002</v>
      </c>
      <c r="K92" s="1691" t="s">
        <v>8594</v>
      </c>
    </row>
    <row r="93" spans="1:11">
      <c r="A93" s="1691" t="s">
        <v>8595</v>
      </c>
      <c r="B93" s="4100"/>
      <c r="C93" s="1691">
        <v>215</v>
      </c>
      <c r="D93" s="1691">
        <v>50</v>
      </c>
      <c r="E93" s="1691">
        <v>1.5</v>
      </c>
      <c r="F93" s="1691">
        <v>215</v>
      </c>
      <c r="G93" s="1691">
        <v>153</v>
      </c>
      <c r="H93" s="1692">
        <v>4.46</v>
      </c>
      <c r="I93" s="1692">
        <v>2.6</v>
      </c>
      <c r="J93" s="1692">
        <v>1.1180000000000001</v>
      </c>
      <c r="K93" s="1691" t="s">
        <v>8596</v>
      </c>
    </row>
    <row r="94" spans="1:11">
      <c r="A94" s="1691" t="s">
        <v>8597</v>
      </c>
      <c r="B94" s="4100"/>
      <c r="C94" s="1691">
        <v>250</v>
      </c>
      <c r="D94" s="1691">
        <v>80</v>
      </c>
      <c r="E94" s="1691">
        <v>2</v>
      </c>
      <c r="F94" s="1691">
        <v>250</v>
      </c>
      <c r="G94" s="1691">
        <v>154</v>
      </c>
      <c r="H94" s="1692">
        <v>12.84</v>
      </c>
      <c r="I94" s="1692">
        <v>7.4980000000000002</v>
      </c>
      <c r="J94" s="1692">
        <v>3.2240000000000002</v>
      </c>
      <c r="K94" s="1691" t="s">
        <v>8598</v>
      </c>
    </row>
    <row r="95" spans="1:11">
      <c r="A95" s="1691" t="s">
        <v>8599</v>
      </c>
      <c r="B95" s="4100"/>
      <c r="C95" s="1691">
        <v>300</v>
      </c>
      <c r="D95" s="1691">
        <v>120</v>
      </c>
      <c r="E95" s="1691">
        <v>2</v>
      </c>
      <c r="F95" s="1691">
        <v>300</v>
      </c>
      <c r="G95" s="1691">
        <v>154</v>
      </c>
      <c r="H95" s="1692">
        <v>29.375800000000002</v>
      </c>
      <c r="I95" s="1692">
        <v>17.152000000000001</v>
      </c>
      <c r="J95" s="1692">
        <v>7.3753599999999997</v>
      </c>
      <c r="K95" s="1691" t="s">
        <v>8600</v>
      </c>
    </row>
  </sheetData>
  <mergeCells count="39">
    <mergeCell ref="L5:M9"/>
    <mergeCell ref="L36:M40"/>
    <mergeCell ref="L74:M78"/>
    <mergeCell ref="B76:B79"/>
    <mergeCell ref="B80:B83"/>
    <mergeCell ref="B36:B39"/>
    <mergeCell ref="B40:B43"/>
    <mergeCell ref="B44:B47"/>
    <mergeCell ref="B48:B51"/>
    <mergeCell ref="B52:B55"/>
    <mergeCell ref="B16:B19"/>
    <mergeCell ref="B20:B23"/>
    <mergeCell ref="B24:B27"/>
    <mergeCell ref="B28:B31"/>
    <mergeCell ref="B32:B35"/>
    <mergeCell ref="B5:B6"/>
    <mergeCell ref="B84:B87"/>
    <mergeCell ref="B88:B91"/>
    <mergeCell ref="B92:B95"/>
    <mergeCell ref="B56:B59"/>
    <mergeCell ref="B60:B63"/>
    <mergeCell ref="B64:B67"/>
    <mergeCell ref="B68:B71"/>
    <mergeCell ref="B72:B75"/>
    <mergeCell ref="B7:B8"/>
    <mergeCell ref="B9:B10"/>
    <mergeCell ref="B11:B12"/>
    <mergeCell ref="B13:B15"/>
    <mergeCell ref="A1:K1"/>
    <mergeCell ref="B2:E2"/>
    <mergeCell ref="F2:G2"/>
    <mergeCell ref="H2:J2"/>
    <mergeCell ref="H3:J3"/>
    <mergeCell ref="A2:A4"/>
    <mergeCell ref="B3:B4"/>
    <mergeCell ref="C3:C4"/>
    <mergeCell ref="D3:D4"/>
    <mergeCell ref="E3:E4"/>
    <mergeCell ref="K2:K4"/>
  </mergeCells>
  <phoneticPr fontId="378" type="noConversion"/>
  <hyperlinks>
    <hyperlink ref="L5:M9" location="总目录!A1" display="返回   目录"/>
    <hyperlink ref="L74:M78" location="总目录!A1" display="返回   目录"/>
    <hyperlink ref="L36:M40" location="总目录!A1" display="返回   目录"/>
  </hyperlinks>
  <pageMargins left="0.58888888888888902" right="0.55000000000000004" top="2.5590277777777799" bottom="0.38888888888888901" header="0.50902777777777797" footer="0.50902777777777797"/>
  <pageSetup paperSize="9" orientation="portrait"/>
  <headerFooter scaleWithDoc="0"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34"/>
  <sheetViews>
    <sheetView showGridLines="0" view="pageBreakPreview" zoomScale="145" zoomScaleNormal="100" zoomScaleSheetLayoutView="145" workbookViewId="0">
      <pane ySplit="4" topLeftCell="A5" activePane="bottomLeft" state="frozen"/>
      <selection pane="bottomLeft" activeCell="J4" sqref="J4"/>
    </sheetView>
  </sheetViews>
  <sheetFormatPr defaultColWidth="8.75" defaultRowHeight="16.5"/>
  <cols>
    <col min="1" max="9" width="9" style="204"/>
    <col min="10" max="16384" width="8.75" style="95"/>
  </cols>
  <sheetData>
    <row r="1" spans="1:10" ht="33" customHeight="1">
      <c r="A1" s="3447" t="s">
        <v>12725</v>
      </c>
      <c r="B1" s="3403"/>
      <c r="C1" s="3403"/>
      <c r="D1" s="3403"/>
      <c r="E1" s="3403"/>
      <c r="F1" s="3403"/>
      <c r="G1" s="3403"/>
      <c r="H1" s="3403"/>
      <c r="I1" s="3403"/>
      <c r="J1" s="3403"/>
    </row>
    <row r="2" spans="1:10">
      <c r="A2" s="4103" t="s">
        <v>6869</v>
      </c>
      <c r="B2" s="4103" t="s">
        <v>8601</v>
      </c>
      <c r="C2" s="4103" t="s">
        <v>8602</v>
      </c>
      <c r="D2" s="4102" t="s">
        <v>8603</v>
      </c>
      <c r="E2" s="4102"/>
      <c r="F2" s="1677"/>
      <c r="G2" s="1677"/>
      <c r="H2" s="4102" t="s">
        <v>8604</v>
      </c>
      <c r="I2" s="4102"/>
    </row>
    <row r="3" spans="1:10" ht="15" customHeight="1">
      <c r="A3" s="4104"/>
      <c r="B3" s="4104"/>
      <c r="C3" s="4104"/>
      <c r="D3" s="4112" t="s">
        <v>8605</v>
      </c>
      <c r="E3" s="4103" t="s">
        <v>8606</v>
      </c>
      <c r="F3" s="4112" t="s">
        <v>8607</v>
      </c>
      <c r="G3" s="4103" t="s">
        <v>8608</v>
      </c>
      <c r="H3" s="1676" t="s">
        <v>8609</v>
      </c>
      <c r="I3" s="1676" t="s">
        <v>8610</v>
      </c>
    </row>
    <row r="4" spans="1:10">
      <c r="A4" s="4105"/>
      <c r="B4" s="4105"/>
      <c r="C4" s="4105"/>
      <c r="D4" s="4104"/>
      <c r="E4" s="4104"/>
      <c r="F4" s="4104"/>
      <c r="G4" s="4104"/>
      <c r="H4" s="4102" t="s">
        <v>8611</v>
      </c>
      <c r="I4" s="4102"/>
      <c r="J4" s="3164" t="s">
        <v>12715</v>
      </c>
    </row>
    <row r="5" spans="1:10">
      <c r="A5" s="1678" t="s">
        <v>8612</v>
      </c>
      <c r="B5" s="4106">
        <v>4</v>
      </c>
      <c r="C5" s="1679">
        <v>9</v>
      </c>
      <c r="D5" s="1680">
        <v>2.5</v>
      </c>
      <c r="E5" s="1680">
        <v>4</v>
      </c>
      <c r="F5" s="1680">
        <v>641</v>
      </c>
      <c r="G5" s="1680">
        <v>227</v>
      </c>
      <c r="H5" s="1680">
        <v>53</v>
      </c>
      <c r="I5" s="1680">
        <v>63</v>
      </c>
    </row>
    <row r="6" spans="1:10">
      <c r="A6" s="1678" t="s">
        <v>8613</v>
      </c>
      <c r="B6" s="4107"/>
      <c r="C6" s="1679">
        <v>11</v>
      </c>
      <c r="D6" s="1680">
        <v>4</v>
      </c>
      <c r="E6" s="1680">
        <v>4</v>
      </c>
      <c r="F6" s="1680">
        <v>957</v>
      </c>
      <c r="G6" s="1680">
        <v>350</v>
      </c>
      <c r="H6" s="1680">
        <v>48</v>
      </c>
      <c r="I6" s="1680">
        <v>56</v>
      </c>
    </row>
    <row r="7" spans="1:10">
      <c r="A7" s="1678" t="s">
        <v>8614</v>
      </c>
      <c r="B7" s="4107"/>
      <c r="C7" s="1679">
        <v>12</v>
      </c>
      <c r="D7" s="1680">
        <v>4</v>
      </c>
      <c r="E7" s="1680">
        <v>4</v>
      </c>
      <c r="F7" s="1680">
        <v>957</v>
      </c>
      <c r="G7" s="1680">
        <v>350</v>
      </c>
      <c r="H7" s="1680">
        <v>48</v>
      </c>
      <c r="I7" s="1680">
        <v>56</v>
      </c>
    </row>
    <row r="8" spans="1:10">
      <c r="A8" s="1678" t="s">
        <v>8615</v>
      </c>
      <c r="B8" s="4107"/>
      <c r="C8" s="1679">
        <v>13</v>
      </c>
      <c r="D8" s="1680">
        <v>5</v>
      </c>
      <c r="E8" s="1680">
        <v>5</v>
      </c>
      <c r="F8" s="1680">
        <v>1301</v>
      </c>
      <c r="G8" s="1680">
        <v>488</v>
      </c>
      <c r="H8" s="1680">
        <v>40</v>
      </c>
      <c r="I8" s="1680">
        <v>48</v>
      </c>
    </row>
    <row r="9" spans="1:10">
      <c r="A9" s="1678" t="s">
        <v>8616</v>
      </c>
      <c r="B9" s="4108"/>
      <c r="C9" s="1679">
        <v>16</v>
      </c>
      <c r="D9" s="1680">
        <v>5</v>
      </c>
      <c r="E9" s="1680">
        <v>5</v>
      </c>
      <c r="F9" s="1680">
        <v>1340</v>
      </c>
      <c r="G9" s="1680">
        <v>523</v>
      </c>
      <c r="H9" s="1680">
        <v>36</v>
      </c>
      <c r="I9" s="1680">
        <v>43</v>
      </c>
    </row>
    <row r="10" spans="1:10">
      <c r="A10" s="1680" t="s">
        <v>8617</v>
      </c>
      <c r="B10" s="4110">
        <v>5</v>
      </c>
      <c r="C10" s="1680">
        <v>11</v>
      </c>
      <c r="D10" s="1680">
        <v>3</v>
      </c>
      <c r="E10" s="1680">
        <v>5</v>
      </c>
      <c r="F10" s="1680">
        <v>716</v>
      </c>
      <c r="G10" s="1680">
        <v>282</v>
      </c>
      <c r="H10" s="1680">
        <v>45</v>
      </c>
      <c r="I10" s="1680">
        <v>53</v>
      </c>
      <c r="J10" s="3163"/>
    </row>
    <row r="11" spans="1:10">
      <c r="A11" s="1680" t="s">
        <v>8618</v>
      </c>
      <c r="B11" s="4111"/>
      <c r="C11" s="1680">
        <v>13</v>
      </c>
      <c r="D11" s="1680">
        <v>4</v>
      </c>
      <c r="E11" s="1680">
        <v>4</v>
      </c>
      <c r="F11" s="1680">
        <v>1077</v>
      </c>
      <c r="G11" s="1680">
        <v>432</v>
      </c>
      <c r="H11" s="1680">
        <v>43</v>
      </c>
      <c r="I11" s="1680">
        <v>50</v>
      </c>
    </row>
    <row r="12" spans="1:10">
      <c r="A12" s="1680" t="s">
        <v>8619</v>
      </c>
      <c r="B12" s="4111"/>
      <c r="C12" s="1680">
        <v>14</v>
      </c>
      <c r="D12" s="1680">
        <v>5</v>
      </c>
      <c r="E12" s="1680">
        <v>5</v>
      </c>
      <c r="F12" s="1680">
        <v>1329</v>
      </c>
      <c r="G12" s="1680">
        <v>507</v>
      </c>
      <c r="H12" s="1680">
        <v>40</v>
      </c>
      <c r="I12" s="1680">
        <v>50</v>
      </c>
    </row>
    <row r="13" spans="1:10">
      <c r="A13" s="1680" t="s">
        <v>8620</v>
      </c>
      <c r="B13" s="4111"/>
      <c r="C13" s="1680">
        <v>16</v>
      </c>
      <c r="D13" s="1680">
        <v>5</v>
      </c>
      <c r="E13" s="1680">
        <v>5</v>
      </c>
      <c r="F13" s="1680">
        <v>1729</v>
      </c>
      <c r="G13" s="1680">
        <v>675</v>
      </c>
      <c r="H13" s="1680">
        <v>36</v>
      </c>
      <c r="I13" s="1680">
        <v>43</v>
      </c>
    </row>
    <row r="14" spans="1:10">
      <c r="A14" s="1680" t="s">
        <v>8621</v>
      </c>
      <c r="B14" s="4111"/>
      <c r="C14" s="1680">
        <v>19</v>
      </c>
      <c r="D14" s="1680">
        <v>6</v>
      </c>
      <c r="E14" s="1680">
        <v>6</v>
      </c>
      <c r="F14" s="1680">
        <v>2336</v>
      </c>
      <c r="G14" s="1680">
        <v>896</v>
      </c>
      <c r="H14" s="1680">
        <v>32</v>
      </c>
      <c r="I14" s="1680">
        <v>40</v>
      </c>
    </row>
    <row r="15" spans="1:10">
      <c r="A15" s="1680" t="s">
        <v>8622</v>
      </c>
      <c r="B15" s="4106">
        <v>6</v>
      </c>
      <c r="C15" s="1680">
        <v>13</v>
      </c>
      <c r="D15" s="1680">
        <v>3.5</v>
      </c>
      <c r="E15" s="1680">
        <v>5</v>
      </c>
      <c r="F15" s="1680">
        <v>1082</v>
      </c>
      <c r="G15" s="1680">
        <v>442</v>
      </c>
      <c r="H15" s="1680">
        <v>40</v>
      </c>
      <c r="I15" s="1680">
        <v>50</v>
      </c>
    </row>
    <row r="16" spans="1:10">
      <c r="A16" s="1680" t="s">
        <v>8623</v>
      </c>
      <c r="B16" s="4107"/>
      <c r="C16" s="1680">
        <v>15</v>
      </c>
      <c r="D16" s="1680">
        <v>5</v>
      </c>
      <c r="E16" s="1680">
        <v>5</v>
      </c>
      <c r="F16" s="1680">
        <v>1340</v>
      </c>
      <c r="G16" s="1680">
        <v>523</v>
      </c>
      <c r="H16" s="1680">
        <v>40</v>
      </c>
      <c r="I16" s="1680">
        <v>45</v>
      </c>
    </row>
    <row r="17" spans="1:9">
      <c r="A17" s="1680" t="s">
        <v>8624</v>
      </c>
      <c r="B17" s="4107"/>
      <c r="C17" s="1680">
        <v>17</v>
      </c>
      <c r="D17" s="1680">
        <v>6</v>
      </c>
      <c r="E17" s="1680">
        <v>6</v>
      </c>
      <c r="F17" s="1680">
        <v>2263</v>
      </c>
      <c r="G17" s="1680">
        <v>846</v>
      </c>
      <c r="H17" s="1680">
        <v>38</v>
      </c>
      <c r="I17" s="1680">
        <v>45</v>
      </c>
    </row>
    <row r="18" spans="1:9">
      <c r="A18" s="1680" t="s">
        <v>8625</v>
      </c>
      <c r="B18" s="4107"/>
      <c r="C18" s="1680">
        <v>19</v>
      </c>
      <c r="D18" s="1680">
        <v>6</v>
      </c>
      <c r="E18" s="1680">
        <v>6</v>
      </c>
      <c r="F18" s="1680">
        <v>2336</v>
      </c>
      <c r="G18" s="1680">
        <v>896</v>
      </c>
      <c r="H18" s="1680">
        <v>32</v>
      </c>
      <c r="I18" s="1680">
        <v>40</v>
      </c>
    </row>
    <row r="19" spans="1:9">
      <c r="A19" s="1680" t="s">
        <v>8626</v>
      </c>
      <c r="B19" s="4108"/>
      <c r="C19" s="1680">
        <v>22</v>
      </c>
      <c r="D19" s="1680">
        <v>7</v>
      </c>
      <c r="E19" s="1680">
        <v>7</v>
      </c>
      <c r="F19" s="1680">
        <v>3333</v>
      </c>
      <c r="G19" s="1680">
        <v>1423</v>
      </c>
      <c r="H19" s="1680">
        <v>30</v>
      </c>
      <c r="I19" s="1680">
        <v>36</v>
      </c>
    </row>
    <row r="20" spans="1:9">
      <c r="A20" s="1680" t="s">
        <v>8627</v>
      </c>
      <c r="B20" s="4106">
        <v>7</v>
      </c>
      <c r="C20" s="1680">
        <v>14</v>
      </c>
      <c r="D20" s="1680">
        <v>3.5</v>
      </c>
      <c r="E20" s="1680">
        <v>5</v>
      </c>
      <c r="F20" s="1680">
        <v>1173</v>
      </c>
      <c r="G20" s="1680">
        <v>513</v>
      </c>
      <c r="H20" s="1680">
        <v>40</v>
      </c>
      <c r="I20" s="1680">
        <v>50</v>
      </c>
    </row>
    <row r="21" spans="1:9">
      <c r="A21" s="1680" t="s">
        <v>8628</v>
      </c>
      <c r="B21" s="4107"/>
      <c r="C21" s="1680">
        <v>17</v>
      </c>
      <c r="D21" s="1680">
        <v>5</v>
      </c>
      <c r="E21" s="1680">
        <v>5</v>
      </c>
      <c r="F21" s="1680">
        <v>1605</v>
      </c>
      <c r="G21" s="1680">
        <v>719</v>
      </c>
      <c r="H21" s="1680">
        <v>36</v>
      </c>
      <c r="I21" s="1680">
        <v>43</v>
      </c>
    </row>
    <row r="22" spans="1:9">
      <c r="A22" s="1680" t="s">
        <v>8629</v>
      </c>
      <c r="B22" s="4107"/>
      <c r="C22" s="1680">
        <v>19</v>
      </c>
      <c r="D22" s="1680">
        <v>6</v>
      </c>
      <c r="E22" s="1680">
        <v>6</v>
      </c>
      <c r="F22" s="1680">
        <v>2336</v>
      </c>
      <c r="G22" s="1680">
        <v>896</v>
      </c>
      <c r="H22" s="1680">
        <v>36</v>
      </c>
      <c r="I22" s="1680">
        <v>43</v>
      </c>
    </row>
    <row r="23" spans="1:9">
      <c r="A23" s="1680" t="s">
        <v>8630</v>
      </c>
      <c r="B23" s="4107"/>
      <c r="C23" s="1680">
        <v>22</v>
      </c>
      <c r="D23" s="1680">
        <v>7</v>
      </c>
      <c r="E23" s="1680">
        <v>7</v>
      </c>
      <c r="F23" s="1680">
        <v>3287</v>
      </c>
      <c r="G23" s="1680">
        <v>1379</v>
      </c>
      <c r="H23" s="1680">
        <v>30</v>
      </c>
      <c r="I23" s="1680">
        <v>36</v>
      </c>
    </row>
    <row r="24" spans="1:9">
      <c r="A24" s="1680" t="s">
        <v>8631</v>
      </c>
      <c r="B24" s="4108"/>
      <c r="C24" s="1680">
        <v>26</v>
      </c>
      <c r="D24" s="1680">
        <v>9</v>
      </c>
      <c r="E24" s="1680">
        <v>6</v>
      </c>
      <c r="F24" s="1680">
        <v>4563</v>
      </c>
      <c r="G24" s="1680">
        <v>1983</v>
      </c>
      <c r="H24" s="1680">
        <v>28</v>
      </c>
      <c r="I24" s="1680">
        <v>34</v>
      </c>
    </row>
    <row r="25" spans="1:9">
      <c r="A25" s="1680" t="s">
        <v>8632</v>
      </c>
      <c r="B25" s="4106">
        <v>8</v>
      </c>
      <c r="C25" s="1680">
        <v>16</v>
      </c>
      <c r="D25" s="1680">
        <v>4</v>
      </c>
      <c r="E25" s="1680">
        <v>5</v>
      </c>
      <c r="F25" s="1680">
        <v>1252</v>
      </c>
      <c r="G25" s="1680">
        <v>592</v>
      </c>
      <c r="H25" s="1680">
        <v>36</v>
      </c>
      <c r="I25" s="1680">
        <v>43</v>
      </c>
    </row>
    <row r="26" spans="1:9">
      <c r="A26" s="1680" t="s">
        <v>8633</v>
      </c>
      <c r="B26" s="4107"/>
      <c r="C26" s="1680">
        <v>19</v>
      </c>
      <c r="D26" s="1680">
        <v>6</v>
      </c>
      <c r="E26" s="1680">
        <v>6</v>
      </c>
      <c r="F26" s="1680">
        <v>2237</v>
      </c>
      <c r="G26" s="1680">
        <v>917</v>
      </c>
      <c r="H26" s="1680">
        <v>36</v>
      </c>
      <c r="I26" s="1680">
        <v>43</v>
      </c>
    </row>
    <row r="27" spans="1:9">
      <c r="A27" s="1680" t="s">
        <v>8634</v>
      </c>
      <c r="B27" s="4107"/>
      <c r="C27" s="1680">
        <v>22</v>
      </c>
      <c r="D27" s="1680">
        <v>7</v>
      </c>
      <c r="E27" s="1680">
        <v>7</v>
      </c>
      <c r="F27" s="1680">
        <v>3293</v>
      </c>
      <c r="G27" s="1680">
        <v>1379</v>
      </c>
      <c r="H27" s="1680">
        <v>34</v>
      </c>
      <c r="I27" s="1680">
        <v>40</v>
      </c>
    </row>
    <row r="28" spans="1:9">
      <c r="A28" s="1680" t="s">
        <v>8635</v>
      </c>
      <c r="B28" s="4107"/>
      <c r="C28" s="1680">
        <v>24</v>
      </c>
      <c r="D28" s="1680">
        <v>8</v>
      </c>
      <c r="E28" s="1680">
        <v>8</v>
      </c>
      <c r="F28" s="1680">
        <v>3333</v>
      </c>
      <c r="G28" s="1680">
        <v>1423</v>
      </c>
      <c r="H28" s="1680">
        <v>28</v>
      </c>
      <c r="I28" s="1680">
        <v>34</v>
      </c>
    </row>
    <row r="29" spans="1:9">
      <c r="A29" s="1680" t="s">
        <v>8636</v>
      </c>
      <c r="B29" s="4107"/>
      <c r="C29" s="1680">
        <v>28</v>
      </c>
      <c r="D29" s="1680">
        <v>9</v>
      </c>
      <c r="E29" s="1680">
        <v>9</v>
      </c>
      <c r="F29" s="1680">
        <v>4563</v>
      </c>
      <c r="G29" s="1680">
        <v>1983</v>
      </c>
      <c r="H29" s="1680">
        <v>28</v>
      </c>
      <c r="I29" s="1680">
        <v>34</v>
      </c>
    </row>
    <row r="30" spans="1:9">
      <c r="A30" s="1680" t="s">
        <v>8637</v>
      </c>
      <c r="B30" s="4106">
        <v>9</v>
      </c>
      <c r="C30" s="1680">
        <v>14</v>
      </c>
      <c r="D30" s="1680">
        <v>3</v>
      </c>
      <c r="E30" s="1680">
        <v>4.5</v>
      </c>
      <c r="F30" s="1680">
        <v>919</v>
      </c>
      <c r="G30" s="1680">
        <v>468</v>
      </c>
      <c r="H30" s="1680">
        <v>36</v>
      </c>
      <c r="I30" s="1680">
        <v>42</v>
      </c>
    </row>
    <row r="31" spans="1:9">
      <c r="A31" s="1680" t="s">
        <v>8638</v>
      </c>
      <c r="B31" s="4107"/>
      <c r="C31" s="1680">
        <v>17</v>
      </c>
      <c r="D31" s="1680">
        <v>4</v>
      </c>
      <c r="E31" s="1680">
        <v>5</v>
      </c>
      <c r="F31" s="1680">
        <v>1327</v>
      </c>
      <c r="G31" s="1680">
        <v>668</v>
      </c>
      <c r="H31" s="1680">
        <v>36</v>
      </c>
      <c r="I31" s="1680">
        <v>43</v>
      </c>
    </row>
    <row r="32" spans="1:9">
      <c r="A32" s="1680" t="s">
        <v>8639</v>
      </c>
      <c r="B32" s="4107"/>
      <c r="C32" s="1680">
        <v>20</v>
      </c>
      <c r="D32" s="1680">
        <v>6</v>
      </c>
      <c r="E32" s="1680">
        <v>6</v>
      </c>
      <c r="F32" s="1680">
        <v>2467</v>
      </c>
      <c r="G32" s="1680">
        <v>1081</v>
      </c>
      <c r="H32" s="1680">
        <v>34</v>
      </c>
      <c r="I32" s="1680">
        <v>40</v>
      </c>
    </row>
    <row r="33" spans="1:10">
      <c r="A33" s="1680" t="s">
        <v>8640</v>
      </c>
      <c r="B33" s="4107"/>
      <c r="C33" s="1680">
        <v>24</v>
      </c>
      <c r="D33" s="1680">
        <v>7</v>
      </c>
      <c r="E33" s="1680">
        <v>7</v>
      </c>
      <c r="F33" s="1680">
        <v>3356</v>
      </c>
      <c r="G33" s="1680">
        <v>1444</v>
      </c>
      <c r="H33" s="1680">
        <v>32</v>
      </c>
      <c r="I33" s="1680">
        <v>38</v>
      </c>
    </row>
    <row r="34" spans="1:10">
      <c r="A34" s="1680" t="s">
        <v>8641</v>
      </c>
      <c r="B34" s="4107"/>
      <c r="C34" s="1680">
        <v>26</v>
      </c>
      <c r="D34" s="1680">
        <v>8</v>
      </c>
      <c r="E34" s="1680">
        <v>8</v>
      </c>
      <c r="F34" s="1680">
        <v>4575</v>
      </c>
      <c r="G34" s="1680">
        <v>1983</v>
      </c>
      <c r="H34" s="1680">
        <v>28</v>
      </c>
      <c r="I34" s="1680">
        <v>34</v>
      </c>
    </row>
    <row r="35" spans="1:10">
      <c r="A35" s="1680" t="s">
        <v>8642</v>
      </c>
      <c r="B35" s="4108"/>
      <c r="C35" s="1680">
        <v>30</v>
      </c>
      <c r="D35" s="1680">
        <v>10</v>
      </c>
      <c r="E35" s="1680">
        <v>10</v>
      </c>
      <c r="F35" s="1680">
        <v>4659</v>
      </c>
      <c r="G35" s="1680">
        <v>2080</v>
      </c>
      <c r="H35" s="1680">
        <v>24</v>
      </c>
      <c r="I35" s="1680">
        <v>30</v>
      </c>
    </row>
    <row r="36" spans="1:10">
      <c r="A36" s="1680" t="s">
        <v>8643</v>
      </c>
      <c r="B36" s="4106">
        <v>10</v>
      </c>
      <c r="C36" s="1680">
        <v>15</v>
      </c>
      <c r="D36" s="1680">
        <v>4</v>
      </c>
      <c r="E36" s="1680">
        <v>4</v>
      </c>
      <c r="F36" s="1680">
        <v>855</v>
      </c>
      <c r="G36" s="1680">
        <v>435</v>
      </c>
      <c r="H36" s="1680">
        <v>15</v>
      </c>
      <c r="I36" s="1680">
        <v>17</v>
      </c>
    </row>
    <row r="37" spans="1:10">
      <c r="A37" s="1680" t="s">
        <v>8644</v>
      </c>
      <c r="B37" s="4107"/>
      <c r="C37" s="1680">
        <v>19</v>
      </c>
      <c r="D37" s="1680">
        <v>5</v>
      </c>
      <c r="E37" s="1680">
        <v>5</v>
      </c>
      <c r="F37" s="1680">
        <v>1716</v>
      </c>
      <c r="G37" s="1680">
        <v>840</v>
      </c>
      <c r="H37" s="1680">
        <v>37</v>
      </c>
      <c r="I37" s="1680">
        <v>43</v>
      </c>
    </row>
    <row r="38" spans="1:10">
      <c r="A38" s="1680" t="s">
        <v>8645</v>
      </c>
      <c r="B38" s="4107"/>
      <c r="C38" s="1680">
        <v>22</v>
      </c>
      <c r="D38" s="1680">
        <v>6</v>
      </c>
      <c r="E38" s="1680">
        <v>6</v>
      </c>
      <c r="F38" s="1680">
        <v>2695</v>
      </c>
      <c r="G38" s="1680">
        <v>1273</v>
      </c>
      <c r="H38" s="1680">
        <v>34</v>
      </c>
      <c r="I38" s="1680">
        <v>41</v>
      </c>
    </row>
    <row r="39" spans="1:10">
      <c r="A39" s="1680" t="s">
        <v>8646</v>
      </c>
      <c r="B39" s="4107"/>
      <c r="C39" s="1680">
        <v>26</v>
      </c>
      <c r="D39" s="1680">
        <v>8</v>
      </c>
      <c r="E39" s="1680">
        <v>8</v>
      </c>
      <c r="F39" s="1680">
        <v>4550</v>
      </c>
      <c r="G39" s="1680">
        <v>1970</v>
      </c>
      <c r="H39" s="1680">
        <v>30</v>
      </c>
      <c r="I39" s="1680">
        <v>36</v>
      </c>
    </row>
    <row r="40" spans="1:10">
      <c r="A40" s="1680" t="s">
        <v>8647</v>
      </c>
      <c r="B40" s="4107"/>
      <c r="C40" s="1680">
        <v>30</v>
      </c>
      <c r="D40" s="1680">
        <v>9</v>
      </c>
      <c r="E40" s="1680">
        <v>9</v>
      </c>
      <c r="F40" s="1680">
        <v>5100</v>
      </c>
      <c r="G40" s="1680">
        <v>2390</v>
      </c>
      <c r="H40" s="1680">
        <v>24</v>
      </c>
      <c r="I40" s="1680">
        <v>30</v>
      </c>
    </row>
    <row r="41" spans="1:10">
      <c r="A41" s="1680" t="s">
        <v>8648</v>
      </c>
      <c r="B41" s="4108"/>
      <c r="C41" s="1680">
        <v>35</v>
      </c>
      <c r="D41" s="1680">
        <v>11</v>
      </c>
      <c r="E41" s="1680">
        <v>11</v>
      </c>
      <c r="F41" s="1680">
        <v>8100</v>
      </c>
      <c r="G41" s="1680">
        <v>3450</v>
      </c>
      <c r="H41" s="1680">
        <v>22</v>
      </c>
      <c r="I41" s="1680">
        <v>26</v>
      </c>
    </row>
    <row r="42" spans="1:10">
      <c r="A42" s="1680" t="s">
        <v>8649</v>
      </c>
      <c r="B42" s="4106">
        <v>12</v>
      </c>
      <c r="C42" s="1680">
        <v>18</v>
      </c>
      <c r="D42" s="1680">
        <v>4</v>
      </c>
      <c r="E42" s="1680">
        <v>4</v>
      </c>
      <c r="F42" s="1680">
        <v>926</v>
      </c>
      <c r="G42" s="1680">
        <v>530</v>
      </c>
      <c r="H42" s="1680">
        <v>13</v>
      </c>
      <c r="I42" s="1680">
        <v>15</v>
      </c>
    </row>
    <row r="43" spans="1:10">
      <c r="A43" s="1680" t="s">
        <v>8650</v>
      </c>
      <c r="B43" s="4107"/>
      <c r="C43" s="1680">
        <v>21</v>
      </c>
      <c r="D43" s="1680">
        <v>5</v>
      </c>
      <c r="E43" s="1680">
        <v>5</v>
      </c>
      <c r="F43" s="1680">
        <v>1915</v>
      </c>
      <c r="G43" s="1680">
        <v>1041</v>
      </c>
      <c r="H43" s="1680">
        <v>33</v>
      </c>
      <c r="I43" s="1680">
        <v>39</v>
      </c>
    </row>
    <row r="44" spans="1:10">
      <c r="A44" s="1680" t="s">
        <v>8651</v>
      </c>
      <c r="B44" s="4107"/>
      <c r="C44" s="1680">
        <v>24</v>
      </c>
      <c r="D44" s="1680">
        <v>6</v>
      </c>
      <c r="E44" s="1680">
        <v>6</v>
      </c>
      <c r="F44" s="1680">
        <v>2886</v>
      </c>
      <c r="G44" s="1680">
        <v>1466</v>
      </c>
      <c r="H44" s="1680">
        <v>31</v>
      </c>
      <c r="I44" s="1680">
        <v>36</v>
      </c>
    </row>
    <row r="45" spans="1:10">
      <c r="A45" s="1680" t="s">
        <v>8652</v>
      </c>
      <c r="B45" s="4107"/>
      <c r="C45" s="1680">
        <v>28</v>
      </c>
      <c r="D45" s="1680">
        <v>8</v>
      </c>
      <c r="E45" s="1680">
        <v>8</v>
      </c>
      <c r="F45" s="1680">
        <v>5100</v>
      </c>
      <c r="G45" s="1680">
        <v>2370</v>
      </c>
      <c r="H45" s="1680">
        <v>28</v>
      </c>
      <c r="I45" s="1680">
        <v>32</v>
      </c>
    </row>
    <row r="46" spans="1:10">
      <c r="A46" s="1680" t="s">
        <v>8653</v>
      </c>
      <c r="B46" s="4107"/>
      <c r="C46" s="1680">
        <v>32</v>
      </c>
      <c r="D46" s="1680">
        <v>10</v>
      </c>
      <c r="E46" s="1680">
        <v>10</v>
      </c>
      <c r="F46" s="1680">
        <v>6800</v>
      </c>
      <c r="G46" s="1680">
        <v>3050</v>
      </c>
      <c r="H46" s="1680">
        <v>22</v>
      </c>
      <c r="I46" s="1680">
        <v>28</v>
      </c>
    </row>
    <row r="47" spans="1:10">
      <c r="A47" s="1680" t="s">
        <v>8654</v>
      </c>
      <c r="B47" s="4108"/>
      <c r="C47" s="1680">
        <v>37</v>
      </c>
      <c r="D47" s="1680">
        <v>12</v>
      </c>
      <c r="E47" s="1680">
        <v>12</v>
      </c>
      <c r="F47" s="1680">
        <v>9700</v>
      </c>
      <c r="G47" s="1680">
        <v>4200</v>
      </c>
      <c r="H47" s="1680">
        <v>990</v>
      </c>
      <c r="I47" s="1680">
        <v>425</v>
      </c>
      <c r="J47" s="470" t="s">
        <v>2067</v>
      </c>
    </row>
    <row r="48" spans="1:10">
      <c r="A48" s="1681">
        <v>6702</v>
      </c>
      <c r="B48" s="4109">
        <v>15</v>
      </c>
      <c r="C48" s="1681">
        <v>21</v>
      </c>
      <c r="D48" s="1681">
        <v>4</v>
      </c>
      <c r="E48" s="1681"/>
      <c r="F48" s="1681">
        <v>0.93700000000000006</v>
      </c>
      <c r="G48" s="1681">
        <v>0.58199999999999996</v>
      </c>
      <c r="H48" s="1681">
        <v>11000</v>
      </c>
      <c r="I48" s="1681">
        <v>13000</v>
      </c>
      <c r="J48" s="1681">
        <v>3.5000000000000001E-3</v>
      </c>
    </row>
    <row r="49" spans="1:10">
      <c r="A49" s="1681">
        <v>6802</v>
      </c>
      <c r="B49" s="4109"/>
      <c r="C49" s="1681">
        <v>24</v>
      </c>
      <c r="D49" s="1681">
        <v>5</v>
      </c>
      <c r="E49" s="1681"/>
      <c r="F49" s="1681">
        <v>2.1</v>
      </c>
      <c r="G49" s="1681">
        <v>1.25</v>
      </c>
      <c r="H49" s="1681">
        <v>28000</v>
      </c>
      <c r="I49" s="1681">
        <v>33000</v>
      </c>
      <c r="J49" s="1681">
        <v>7.0000000000000001E-3</v>
      </c>
    </row>
    <row r="50" spans="1:10">
      <c r="A50" s="1681">
        <v>6902</v>
      </c>
      <c r="B50" s="4109"/>
      <c r="C50" s="1681">
        <v>28</v>
      </c>
      <c r="D50" s="1681">
        <v>7</v>
      </c>
      <c r="E50" s="1681"/>
      <c r="F50" s="1681">
        <v>4.3</v>
      </c>
      <c r="G50" s="1681">
        <v>2.25</v>
      </c>
      <c r="H50" s="1681">
        <v>26000</v>
      </c>
      <c r="I50" s="1681">
        <v>30000</v>
      </c>
      <c r="J50" s="1681">
        <v>1.7000000000000001E-2</v>
      </c>
    </row>
    <row r="51" spans="1:10">
      <c r="A51" s="1681">
        <v>16002</v>
      </c>
      <c r="B51" s="4109"/>
      <c r="C51" s="1681">
        <v>32</v>
      </c>
      <c r="D51" s="1681">
        <v>8</v>
      </c>
      <c r="E51" s="1681"/>
      <c r="F51" s="1681">
        <v>5.6</v>
      </c>
      <c r="G51" s="1681">
        <v>2.85</v>
      </c>
      <c r="H51" s="1681">
        <v>23000</v>
      </c>
      <c r="I51" s="1681">
        <v>28000</v>
      </c>
      <c r="J51" s="1681">
        <v>2.5000000000000001E-2</v>
      </c>
    </row>
    <row r="52" spans="1:10">
      <c r="A52" s="1681">
        <v>6002</v>
      </c>
      <c r="B52" s="4109"/>
      <c r="C52" s="1681">
        <v>32</v>
      </c>
      <c r="D52" s="1681">
        <v>9</v>
      </c>
      <c r="E52" s="1681"/>
      <c r="F52" s="1681">
        <v>5.6</v>
      </c>
      <c r="G52" s="1681">
        <v>2.85</v>
      </c>
      <c r="H52" s="1681">
        <v>23000</v>
      </c>
      <c r="I52" s="1681">
        <v>27000</v>
      </c>
      <c r="J52" s="1681">
        <v>0.03</v>
      </c>
    </row>
    <row r="53" spans="1:10">
      <c r="A53" s="1681">
        <v>6202</v>
      </c>
      <c r="B53" s="4109"/>
      <c r="C53" s="1681">
        <v>35</v>
      </c>
      <c r="D53" s="1681">
        <v>11</v>
      </c>
      <c r="E53" s="1681"/>
      <c r="F53" s="1681">
        <v>7.65</v>
      </c>
      <c r="G53" s="1681">
        <v>3.75</v>
      </c>
      <c r="H53" s="1681">
        <v>20000</v>
      </c>
      <c r="I53" s="1681">
        <v>24000</v>
      </c>
      <c r="J53" s="1681">
        <v>4.4999999999999998E-2</v>
      </c>
    </row>
    <row r="54" spans="1:10">
      <c r="A54" s="1681">
        <v>6302</v>
      </c>
      <c r="B54" s="4109"/>
      <c r="C54" s="1681">
        <v>42</v>
      </c>
      <c r="D54" s="1681">
        <v>13</v>
      </c>
      <c r="E54" s="1681"/>
      <c r="F54" s="1681">
        <v>11.4</v>
      </c>
      <c r="G54" s="1681">
        <v>5.45</v>
      </c>
      <c r="H54" s="1681">
        <v>17000</v>
      </c>
      <c r="I54" s="1681">
        <v>20000</v>
      </c>
      <c r="J54" s="1681">
        <v>8.2000000000000003E-2</v>
      </c>
    </row>
    <row r="55" spans="1:10">
      <c r="A55" s="1681">
        <v>6703</v>
      </c>
      <c r="B55" s="4109">
        <v>17</v>
      </c>
      <c r="C55" s="1681">
        <v>23</v>
      </c>
      <c r="D55" s="1681">
        <v>4</v>
      </c>
      <c r="E55" s="1681"/>
      <c r="F55" s="1681">
        <v>1</v>
      </c>
      <c r="G55" s="1681">
        <v>0.65800000000000003</v>
      </c>
      <c r="H55" s="1681">
        <v>9500</v>
      </c>
      <c r="I55" s="1681">
        <v>11000</v>
      </c>
      <c r="J55" s="1681">
        <v>4.0000000000000001E-3</v>
      </c>
    </row>
    <row r="56" spans="1:10">
      <c r="A56" s="1681">
        <v>6803</v>
      </c>
      <c r="B56" s="4109"/>
      <c r="C56" s="1681">
        <v>26</v>
      </c>
      <c r="D56" s="1681">
        <v>5</v>
      </c>
      <c r="E56" s="1681"/>
      <c r="F56" s="1681">
        <v>2.6</v>
      </c>
      <c r="G56" s="1681">
        <v>1.55</v>
      </c>
      <c r="H56" s="1681">
        <v>26000</v>
      </c>
      <c r="I56" s="1681">
        <v>30000</v>
      </c>
      <c r="J56" s="1681">
        <v>8.0000000000000002E-3</v>
      </c>
    </row>
    <row r="57" spans="1:10">
      <c r="A57" s="1681">
        <v>6903</v>
      </c>
      <c r="B57" s="4109"/>
      <c r="C57" s="1681">
        <v>30</v>
      </c>
      <c r="D57" s="1681">
        <v>7</v>
      </c>
      <c r="E57" s="1681"/>
      <c r="F57" s="1681">
        <v>4.5999999999999996</v>
      </c>
      <c r="G57" s="1681">
        <v>2.5499999999999998</v>
      </c>
      <c r="H57" s="1681">
        <v>23000</v>
      </c>
      <c r="I57" s="1681">
        <v>28000</v>
      </c>
      <c r="J57" s="1681">
        <v>1.7999999999999999E-2</v>
      </c>
    </row>
    <row r="58" spans="1:10">
      <c r="A58" s="1681">
        <v>16003</v>
      </c>
      <c r="B58" s="4109"/>
      <c r="C58" s="1681">
        <v>35</v>
      </c>
      <c r="D58" s="1681">
        <v>8</v>
      </c>
      <c r="E58" s="1681"/>
      <c r="F58" s="1681">
        <v>6</v>
      </c>
      <c r="G58" s="1681">
        <v>3.25</v>
      </c>
      <c r="H58" s="1681">
        <v>21000</v>
      </c>
      <c r="I58" s="1681">
        <v>25000</v>
      </c>
      <c r="J58" s="1681">
        <v>3.2000000000000001E-2</v>
      </c>
    </row>
    <row r="59" spans="1:10">
      <c r="A59" s="1681">
        <v>6003</v>
      </c>
      <c r="B59" s="4109"/>
      <c r="C59" s="1681">
        <v>35</v>
      </c>
      <c r="D59" s="1681">
        <v>10</v>
      </c>
      <c r="E59" s="1681"/>
      <c r="F59" s="1681">
        <v>6</v>
      </c>
      <c r="G59" s="1681">
        <v>3.25</v>
      </c>
      <c r="H59" s="1681">
        <v>21000</v>
      </c>
      <c r="I59" s="1681">
        <v>25000</v>
      </c>
      <c r="J59" s="1681">
        <v>3.9E-2</v>
      </c>
    </row>
    <row r="60" spans="1:10">
      <c r="A60" s="1681">
        <v>6203</v>
      </c>
      <c r="B60" s="4109"/>
      <c r="C60" s="1681">
        <v>40</v>
      </c>
      <c r="D60" s="1681">
        <v>12</v>
      </c>
      <c r="E60" s="1681"/>
      <c r="F60" s="1681">
        <v>9055</v>
      </c>
      <c r="G60" s="1681">
        <v>4.8</v>
      </c>
      <c r="H60" s="1681">
        <v>17000</v>
      </c>
      <c r="I60" s="1681">
        <v>21000</v>
      </c>
      <c r="J60" s="1681">
        <v>6.5000000000000002E-2</v>
      </c>
    </row>
    <row r="61" spans="1:10">
      <c r="A61" s="1681">
        <v>6303</v>
      </c>
      <c r="B61" s="4109"/>
      <c r="C61" s="1681">
        <v>47</v>
      </c>
      <c r="D61" s="1681">
        <v>14</v>
      </c>
      <c r="E61" s="1681"/>
      <c r="F61" s="1681">
        <v>13.6</v>
      </c>
      <c r="G61" s="1681">
        <v>6.65</v>
      </c>
      <c r="H61" s="1681">
        <v>15000</v>
      </c>
      <c r="I61" s="1681">
        <v>18000</v>
      </c>
      <c r="J61" s="1681">
        <v>0.115</v>
      </c>
    </row>
    <row r="62" spans="1:10">
      <c r="A62" s="1681">
        <v>6403</v>
      </c>
      <c r="B62" s="4109"/>
      <c r="C62" s="1681">
        <v>62</v>
      </c>
      <c r="D62" s="1681">
        <v>17</v>
      </c>
      <c r="E62" s="1681"/>
      <c r="F62" s="1681">
        <v>20.7</v>
      </c>
      <c r="G62" s="1681">
        <v>9.85</v>
      </c>
      <c r="H62" s="1681">
        <v>13000</v>
      </c>
      <c r="I62" s="1681">
        <v>15000</v>
      </c>
      <c r="J62" s="1681">
        <v>2.7</v>
      </c>
    </row>
    <row r="63" spans="1:10">
      <c r="A63" s="1681">
        <v>6704</v>
      </c>
      <c r="B63" s="4109">
        <v>20</v>
      </c>
      <c r="C63" s="1681">
        <v>27</v>
      </c>
      <c r="D63" s="1681">
        <v>4</v>
      </c>
      <c r="E63" s="1681"/>
      <c r="F63" s="1681">
        <v>1.4019999999999999</v>
      </c>
      <c r="G63" s="1681">
        <v>0.72899999999999998</v>
      </c>
      <c r="H63" s="1681">
        <v>8500</v>
      </c>
      <c r="I63" s="1681">
        <v>10500</v>
      </c>
      <c r="J63" s="1681">
        <v>6.0000000000000001E-3</v>
      </c>
    </row>
    <row r="64" spans="1:10">
      <c r="A64" s="1681">
        <v>6804</v>
      </c>
      <c r="B64" s="4109"/>
      <c r="C64" s="1681">
        <v>32</v>
      </c>
      <c r="D64" s="1681">
        <v>7</v>
      </c>
      <c r="E64" s="1681"/>
      <c r="F64" s="1681">
        <v>4</v>
      </c>
      <c r="G64" s="1681">
        <v>2.4500000000000002</v>
      </c>
      <c r="H64" s="1681">
        <v>21000</v>
      </c>
      <c r="I64" s="1681">
        <v>25000</v>
      </c>
      <c r="J64" s="1681">
        <v>1.7999999999999999E-2</v>
      </c>
    </row>
    <row r="65" spans="1:10">
      <c r="A65" s="1681">
        <v>6904</v>
      </c>
      <c r="B65" s="4109"/>
      <c r="C65" s="1681">
        <v>37</v>
      </c>
      <c r="D65" s="1681">
        <v>9</v>
      </c>
      <c r="E65" s="1681"/>
      <c r="F65" s="1681">
        <v>6.35</v>
      </c>
      <c r="G65" s="1681">
        <v>3.7</v>
      </c>
      <c r="H65" s="1681">
        <v>19000</v>
      </c>
      <c r="I65" s="1681">
        <v>23000</v>
      </c>
      <c r="J65" s="1681">
        <v>3.5999999999999997E-2</v>
      </c>
    </row>
    <row r="66" spans="1:10">
      <c r="A66" s="1681">
        <v>16004</v>
      </c>
      <c r="B66" s="4109"/>
      <c r="C66" s="1681">
        <v>42</v>
      </c>
      <c r="D66" s="1681">
        <v>8</v>
      </c>
      <c r="E66" s="1681"/>
      <c r="F66" s="1681">
        <v>7.95</v>
      </c>
      <c r="G66" s="1681">
        <v>4.5</v>
      </c>
      <c r="H66" s="1681">
        <v>17000</v>
      </c>
      <c r="I66" s="1681">
        <v>21000</v>
      </c>
      <c r="J66" s="1681">
        <v>0.05</v>
      </c>
    </row>
    <row r="67" spans="1:10">
      <c r="A67" s="1681">
        <v>6004</v>
      </c>
      <c r="B67" s="4109"/>
      <c r="C67" s="1681">
        <v>42</v>
      </c>
      <c r="D67" s="1681">
        <v>12</v>
      </c>
      <c r="E67" s="1681"/>
      <c r="F67" s="1681">
        <v>9.4</v>
      </c>
      <c r="G67" s="1681">
        <v>5.05</v>
      </c>
      <c r="H67" s="1681">
        <v>17000</v>
      </c>
      <c r="I67" s="1681">
        <v>21000</v>
      </c>
      <c r="J67" s="1681">
        <v>6.9000000000000006E-2</v>
      </c>
    </row>
    <row r="68" spans="1:10">
      <c r="A68" s="1681">
        <v>6204</v>
      </c>
      <c r="B68" s="4109"/>
      <c r="C68" s="1681">
        <v>47</v>
      </c>
      <c r="D68" s="1681">
        <v>14</v>
      </c>
      <c r="E68" s="1681"/>
      <c r="F68" s="1681">
        <v>12.8</v>
      </c>
      <c r="G68" s="1681">
        <v>6.65</v>
      </c>
      <c r="H68" s="1681">
        <v>15000</v>
      </c>
      <c r="I68" s="1681">
        <v>17000</v>
      </c>
      <c r="J68" s="1681">
        <v>0.106</v>
      </c>
    </row>
    <row r="69" spans="1:10">
      <c r="A69" s="1681">
        <v>6304</v>
      </c>
      <c r="B69" s="4109"/>
      <c r="C69" s="1681">
        <v>52</v>
      </c>
      <c r="D69" s="1681">
        <v>15</v>
      </c>
      <c r="E69" s="1681"/>
      <c r="F69" s="1681">
        <v>15.9</v>
      </c>
      <c r="G69" s="1681">
        <v>7.85</v>
      </c>
      <c r="H69" s="1681">
        <v>14000</v>
      </c>
      <c r="I69" s="1681">
        <v>17000</v>
      </c>
      <c r="J69" s="1681">
        <v>0.14399999999999999</v>
      </c>
    </row>
    <row r="70" spans="1:10">
      <c r="A70" s="1681">
        <v>6404</v>
      </c>
      <c r="B70" s="4109"/>
      <c r="C70" s="1681">
        <v>72</v>
      </c>
      <c r="D70" s="1681">
        <v>19</v>
      </c>
      <c r="E70" s="1681"/>
      <c r="F70" s="1681">
        <v>31</v>
      </c>
      <c r="G70" s="1681">
        <v>15.2</v>
      </c>
      <c r="H70" s="1681">
        <v>11000</v>
      </c>
      <c r="I70" s="1681">
        <v>13000</v>
      </c>
      <c r="J70" s="1681">
        <v>0.4</v>
      </c>
    </row>
    <row r="71" spans="1:10">
      <c r="A71" s="1681" t="s">
        <v>8655</v>
      </c>
      <c r="B71" s="4109">
        <v>22</v>
      </c>
      <c r="C71" s="1681">
        <v>44</v>
      </c>
      <c r="D71" s="1681">
        <v>12</v>
      </c>
      <c r="E71" s="1681"/>
      <c r="F71" s="1681">
        <v>9.4</v>
      </c>
      <c r="G71" s="1681">
        <v>5.15</v>
      </c>
      <c r="H71" s="1681">
        <v>17000</v>
      </c>
      <c r="I71" s="1681">
        <v>20000</v>
      </c>
      <c r="J71" s="1681">
        <v>7.2999999999999995E-2</v>
      </c>
    </row>
    <row r="72" spans="1:10">
      <c r="A72" s="1681" t="s">
        <v>8656</v>
      </c>
      <c r="B72" s="4109"/>
      <c r="C72" s="1681">
        <v>50</v>
      </c>
      <c r="D72" s="1681">
        <v>14</v>
      </c>
      <c r="E72" s="1681"/>
      <c r="F72" s="1681">
        <v>12.8</v>
      </c>
      <c r="G72" s="1681">
        <v>6.65</v>
      </c>
      <c r="H72" s="1681">
        <v>15000</v>
      </c>
      <c r="I72" s="1681">
        <v>17000</v>
      </c>
      <c r="J72" s="1681">
        <v>0.11799999999999999</v>
      </c>
    </row>
    <row r="73" spans="1:10">
      <c r="A73" s="1681" t="s">
        <v>8657</v>
      </c>
      <c r="B73" s="4109"/>
      <c r="C73" s="1681">
        <v>56</v>
      </c>
      <c r="D73" s="1681">
        <v>16</v>
      </c>
      <c r="E73" s="1681"/>
      <c r="F73" s="1681">
        <v>18.5</v>
      </c>
      <c r="G73" s="1681">
        <v>9.4</v>
      </c>
      <c r="H73" s="1681">
        <v>13000</v>
      </c>
      <c r="I73" s="1681">
        <v>15000</v>
      </c>
      <c r="J73" s="1681">
        <v>0.20100000000000001</v>
      </c>
    </row>
    <row r="74" spans="1:10">
      <c r="A74" s="1681">
        <v>6705</v>
      </c>
      <c r="B74" s="4113">
        <v>25</v>
      </c>
      <c r="C74" s="1681">
        <v>32</v>
      </c>
      <c r="D74" s="1681">
        <v>4</v>
      </c>
      <c r="E74" s="1681"/>
      <c r="F74" s="1681">
        <v>1.091</v>
      </c>
      <c r="G74" s="1681">
        <v>0.85799999999999998</v>
      </c>
      <c r="H74" s="1681">
        <v>7000</v>
      </c>
      <c r="I74" s="1681">
        <v>8000</v>
      </c>
      <c r="J74" s="1681">
        <v>7.1000000000000004E-3</v>
      </c>
    </row>
    <row r="75" spans="1:10">
      <c r="A75" s="1681">
        <v>6805</v>
      </c>
      <c r="B75" s="4114"/>
      <c r="C75" s="1681">
        <v>37</v>
      </c>
      <c r="D75" s="1681">
        <v>7</v>
      </c>
      <c r="E75" s="1681"/>
      <c r="F75" s="1681">
        <v>4.3</v>
      </c>
      <c r="G75" s="1681">
        <v>2.95</v>
      </c>
      <c r="H75" s="1681">
        <v>18000</v>
      </c>
      <c r="I75" s="1681">
        <v>21000</v>
      </c>
      <c r="J75" s="1681">
        <v>2.1999999999999999E-2</v>
      </c>
    </row>
    <row r="76" spans="1:10">
      <c r="A76" s="1681">
        <v>6905</v>
      </c>
      <c r="B76" s="4114"/>
      <c r="C76" s="1681">
        <v>42</v>
      </c>
      <c r="D76" s="1681">
        <v>9</v>
      </c>
      <c r="E76" s="1681"/>
      <c r="F76" s="1681">
        <v>7</v>
      </c>
      <c r="G76" s="1681">
        <v>4.55</v>
      </c>
      <c r="H76" s="1681">
        <v>16000</v>
      </c>
      <c r="I76" s="1681">
        <v>19000</v>
      </c>
      <c r="J76" s="1681">
        <v>4.1000000000000002E-2</v>
      </c>
    </row>
    <row r="77" spans="1:10">
      <c r="A77" s="1681">
        <v>16005</v>
      </c>
      <c r="B77" s="4114"/>
      <c r="C77" s="1681">
        <v>47</v>
      </c>
      <c r="D77" s="1681">
        <v>8</v>
      </c>
      <c r="E77" s="1681"/>
      <c r="F77" s="1681">
        <v>8.85</v>
      </c>
      <c r="G77" s="1681">
        <v>5.6</v>
      </c>
      <c r="H77" s="1681">
        <v>15000</v>
      </c>
      <c r="I77" s="1681">
        <v>18000</v>
      </c>
      <c r="J77" s="1681">
        <v>0.06</v>
      </c>
    </row>
    <row r="78" spans="1:10">
      <c r="A78" s="1681">
        <v>6005</v>
      </c>
      <c r="B78" s="4114"/>
      <c r="C78" s="1681">
        <v>47</v>
      </c>
      <c r="D78" s="1681">
        <v>12</v>
      </c>
      <c r="E78" s="1681"/>
      <c r="F78" s="1681">
        <v>10.1</v>
      </c>
      <c r="G78" s="1681">
        <v>5.85</v>
      </c>
      <c r="H78" s="1681">
        <v>15000</v>
      </c>
      <c r="I78" s="1681">
        <v>18000</v>
      </c>
      <c r="J78" s="1681">
        <v>0.08</v>
      </c>
    </row>
    <row r="79" spans="1:10">
      <c r="A79" s="1681">
        <v>6205</v>
      </c>
      <c r="B79" s="4114"/>
      <c r="C79" s="1681">
        <v>52</v>
      </c>
      <c r="D79" s="1681">
        <v>15</v>
      </c>
      <c r="E79" s="1681"/>
      <c r="F79" s="1681">
        <v>14</v>
      </c>
      <c r="G79" s="1681">
        <v>7.85</v>
      </c>
      <c r="H79" s="1681">
        <v>13000</v>
      </c>
      <c r="I79" s="1681">
        <v>15000</v>
      </c>
      <c r="J79" s="1681">
        <v>0.128</v>
      </c>
    </row>
    <row r="80" spans="1:10">
      <c r="A80" s="1681">
        <v>6305</v>
      </c>
      <c r="B80" s="4114"/>
      <c r="C80" s="1681">
        <v>62</v>
      </c>
      <c r="D80" s="1681">
        <v>17</v>
      </c>
      <c r="E80" s="1681"/>
      <c r="F80" s="1681">
        <v>20.6</v>
      </c>
      <c r="G80" s="1681">
        <v>11.3</v>
      </c>
      <c r="H80" s="1681">
        <v>11000</v>
      </c>
      <c r="I80" s="1681">
        <v>13000</v>
      </c>
      <c r="J80" s="1681">
        <v>0.23200000000000001</v>
      </c>
    </row>
    <row r="81" spans="1:10">
      <c r="A81" s="1681">
        <v>6405</v>
      </c>
      <c r="B81" s="4115"/>
      <c r="C81" s="1681">
        <v>80</v>
      </c>
      <c r="D81" s="1681">
        <v>21</v>
      </c>
      <c r="E81" s="1681"/>
      <c r="F81" s="1681">
        <v>36.1</v>
      </c>
      <c r="G81" s="1681">
        <v>19.399999999999999</v>
      </c>
      <c r="H81" s="1681">
        <v>9100</v>
      </c>
      <c r="I81" s="1681">
        <v>11000</v>
      </c>
      <c r="J81" s="1681">
        <v>0.53</v>
      </c>
    </row>
    <row r="82" spans="1:10">
      <c r="A82" s="1681" t="s">
        <v>8658</v>
      </c>
      <c r="B82" s="4109">
        <v>28</v>
      </c>
      <c r="C82" s="1681">
        <v>52</v>
      </c>
      <c r="D82" s="1681">
        <v>12</v>
      </c>
      <c r="E82" s="1681"/>
      <c r="F82" s="1681">
        <v>12.4</v>
      </c>
      <c r="G82" s="1681">
        <v>7.4</v>
      </c>
      <c r="H82" s="1681">
        <v>14000</v>
      </c>
      <c r="I82" s="1681">
        <v>16000</v>
      </c>
      <c r="J82" s="1681">
        <v>9.7000000000000003E-2</v>
      </c>
    </row>
    <row r="83" spans="1:10">
      <c r="A83" s="1681" t="s">
        <v>8659</v>
      </c>
      <c r="B83" s="4109"/>
      <c r="C83" s="1681">
        <v>58</v>
      </c>
      <c r="D83" s="1681">
        <v>16</v>
      </c>
      <c r="E83" s="1681"/>
      <c r="F83" s="1681">
        <v>17.899999999999999</v>
      </c>
      <c r="G83" s="1681">
        <v>9.75</v>
      </c>
      <c r="H83" s="1681">
        <v>12000</v>
      </c>
      <c r="I83" s="1681">
        <v>14000</v>
      </c>
      <c r="J83" s="1681">
        <v>0.17299999999999999</v>
      </c>
    </row>
    <row r="84" spans="1:10">
      <c r="A84" s="1681" t="s">
        <v>8660</v>
      </c>
      <c r="B84" s="4109"/>
      <c r="C84" s="1681">
        <v>68</v>
      </c>
      <c r="D84" s="1681">
        <v>18</v>
      </c>
      <c r="E84" s="1681"/>
      <c r="F84" s="1681">
        <v>23.5</v>
      </c>
      <c r="G84" s="1681">
        <v>13.1</v>
      </c>
      <c r="H84" s="1681">
        <v>10000</v>
      </c>
      <c r="I84" s="1681">
        <v>12000</v>
      </c>
      <c r="J84" s="1681">
        <v>0.32800000000000001</v>
      </c>
    </row>
    <row r="85" spans="1:10">
      <c r="A85" s="1681">
        <v>6706</v>
      </c>
      <c r="B85" s="4113">
        <v>30</v>
      </c>
      <c r="C85" s="1681">
        <v>37</v>
      </c>
      <c r="D85" s="1681">
        <v>4</v>
      </c>
      <c r="E85" s="1681"/>
      <c r="F85" s="1681">
        <v>1.143</v>
      </c>
      <c r="G85" s="1681">
        <v>0.94699999999999995</v>
      </c>
      <c r="H85" s="1681">
        <v>5500</v>
      </c>
      <c r="I85" s="1681">
        <v>7000</v>
      </c>
      <c r="J85" s="1681">
        <v>8.5000000000000006E-3</v>
      </c>
    </row>
    <row r="86" spans="1:10">
      <c r="A86" s="1681">
        <v>6806</v>
      </c>
      <c r="B86" s="4114"/>
      <c r="C86" s="1681">
        <v>42</v>
      </c>
      <c r="D86" s="1681">
        <v>7</v>
      </c>
      <c r="E86" s="1681"/>
      <c r="F86" s="1681">
        <v>4.55</v>
      </c>
      <c r="G86" s="1681">
        <v>3.4</v>
      </c>
      <c r="H86" s="1681">
        <v>15000</v>
      </c>
      <c r="I86" s="1681">
        <v>18000</v>
      </c>
      <c r="J86" s="1681">
        <v>2.5999999999999999E-2</v>
      </c>
    </row>
    <row r="87" spans="1:10">
      <c r="A87" s="1681">
        <v>6906</v>
      </c>
      <c r="B87" s="4114"/>
      <c r="C87" s="1681">
        <v>47</v>
      </c>
      <c r="D87" s="1681">
        <v>9</v>
      </c>
      <c r="E87" s="1681"/>
      <c r="F87" s="1681">
        <v>7.25</v>
      </c>
      <c r="G87" s="1681">
        <v>5</v>
      </c>
      <c r="H87" s="1681">
        <v>14000</v>
      </c>
      <c r="I87" s="1681">
        <v>17000</v>
      </c>
      <c r="J87" s="1681">
        <v>4.4999999999999998E-2</v>
      </c>
    </row>
    <row r="88" spans="1:10">
      <c r="A88" s="1681">
        <v>16006</v>
      </c>
      <c r="B88" s="4114"/>
      <c r="C88" s="1681">
        <v>55</v>
      </c>
      <c r="D88" s="1681">
        <v>9</v>
      </c>
      <c r="E88" s="1681"/>
      <c r="F88" s="1681">
        <v>11.2</v>
      </c>
      <c r="G88" s="1681">
        <v>7.35</v>
      </c>
      <c r="H88" s="1681">
        <v>13000</v>
      </c>
      <c r="I88" s="1681">
        <v>15000</v>
      </c>
      <c r="J88" s="1681">
        <v>8.5000000000000006E-2</v>
      </c>
    </row>
    <row r="89" spans="1:10">
      <c r="A89" s="1681">
        <v>6006</v>
      </c>
      <c r="B89" s="4114"/>
      <c r="C89" s="1681">
        <v>55</v>
      </c>
      <c r="D89" s="1681">
        <v>13</v>
      </c>
      <c r="E89" s="1681"/>
      <c r="F89" s="1681">
        <v>13.2</v>
      </c>
      <c r="G89" s="1681">
        <v>8.25</v>
      </c>
      <c r="H89" s="1681">
        <v>13000</v>
      </c>
      <c r="I89" s="1681">
        <v>15000</v>
      </c>
      <c r="J89" s="1681">
        <v>0.11600000000000001</v>
      </c>
    </row>
    <row r="90" spans="1:10">
      <c r="A90" s="1681">
        <v>6206</v>
      </c>
      <c r="B90" s="4114"/>
      <c r="C90" s="1681">
        <v>62</v>
      </c>
      <c r="D90" s="1681">
        <v>16</v>
      </c>
      <c r="E90" s="1681"/>
      <c r="F90" s="1681">
        <v>19.5</v>
      </c>
      <c r="G90" s="1681">
        <v>11.3</v>
      </c>
      <c r="H90" s="1681">
        <v>11000</v>
      </c>
      <c r="I90" s="1681">
        <v>13000</v>
      </c>
      <c r="J90" s="1681">
        <v>0.19900000000000001</v>
      </c>
    </row>
    <row r="91" spans="1:10">
      <c r="A91" s="1681">
        <v>6306</v>
      </c>
      <c r="B91" s="4114"/>
      <c r="C91" s="1681">
        <v>72</v>
      </c>
      <c r="D91" s="1681">
        <v>19</v>
      </c>
      <c r="E91" s="1681"/>
      <c r="F91" s="1681">
        <v>26.7</v>
      </c>
      <c r="G91" s="1681">
        <v>15</v>
      </c>
      <c r="H91" s="1681">
        <v>9600</v>
      </c>
      <c r="I91" s="1681">
        <v>12000</v>
      </c>
      <c r="J91" s="1681">
        <v>0.34599999999999997</v>
      </c>
    </row>
    <row r="92" spans="1:10">
      <c r="A92" s="1681">
        <v>6406</v>
      </c>
      <c r="B92" s="4115"/>
      <c r="C92" s="1681">
        <v>90</v>
      </c>
      <c r="D92" s="1681">
        <v>23</v>
      </c>
      <c r="E92" s="1681"/>
      <c r="F92" s="1681">
        <v>43.4</v>
      </c>
      <c r="G92" s="1681">
        <v>23.9</v>
      </c>
      <c r="H92" s="1681">
        <v>8100</v>
      </c>
      <c r="I92" s="1681">
        <v>9700</v>
      </c>
      <c r="J92" s="1681">
        <v>0.73499999999999999</v>
      </c>
    </row>
    <row r="93" spans="1:10">
      <c r="A93" s="1681" t="s">
        <v>8661</v>
      </c>
      <c r="B93" s="4109">
        <v>32</v>
      </c>
      <c r="C93" s="1681">
        <v>58</v>
      </c>
      <c r="D93" s="1681">
        <v>13</v>
      </c>
      <c r="E93" s="1681"/>
      <c r="F93" s="1681">
        <v>15</v>
      </c>
      <c r="G93" s="1681">
        <v>9.15</v>
      </c>
      <c r="H93" s="1681">
        <v>12000</v>
      </c>
      <c r="I93" s="1681">
        <v>14000</v>
      </c>
      <c r="J93" s="1681">
        <v>0.127</v>
      </c>
    </row>
    <row r="94" spans="1:10">
      <c r="A94" s="1681" t="s">
        <v>8662</v>
      </c>
      <c r="B94" s="4109"/>
      <c r="C94" s="1681">
        <v>65</v>
      </c>
      <c r="D94" s="1681">
        <v>17</v>
      </c>
      <c r="E94" s="1681"/>
      <c r="F94" s="1681">
        <v>23.5</v>
      </c>
      <c r="G94" s="1681">
        <v>13.1</v>
      </c>
      <c r="H94" s="1681">
        <v>10000</v>
      </c>
      <c r="I94" s="1681">
        <v>12000</v>
      </c>
      <c r="J94" s="1681">
        <v>0.22800000000000001</v>
      </c>
    </row>
    <row r="95" spans="1:10">
      <c r="A95" s="1681" t="s">
        <v>8663</v>
      </c>
      <c r="B95" s="4109"/>
      <c r="C95" s="1681">
        <v>75</v>
      </c>
      <c r="D95" s="1681">
        <v>20</v>
      </c>
      <c r="E95" s="1681"/>
      <c r="F95" s="1681">
        <v>30.1</v>
      </c>
      <c r="G95" s="1681">
        <v>16.2</v>
      </c>
      <c r="H95" s="1681">
        <v>9300</v>
      </c>
      <c r="I95" s="1681">
        <v>11000</v>
      </c>
      <c r="J95" s="1681">
        <v>0.437</v>
      </c>
    </row>
    <row r="96" spans="1:10">
      <c r="A96" s="1681">
        <v>6707</v>
      </c>
      <c r="B96" s="4113">
        <v>35</v>
      </c>
      <c r="C96" s="1681">
        <v>44</v>
      </c>
      <c r="D96" s="1681">
        <v>5</v>
      </c>
      <c r="E96" s="1681"/>
      <c r="F96" s="1681">
        <v>1.8660000000000001</v>
      </c>
      <c r="G96" s="1681">
        <v>1.635</v>
      </c>
      <c r="H96" s="1681">
        <v>4900</v>
      </c>
      <c r="I96" s="1681">
        <v>6000</v>
      </c>
      <c r="J96" s="1681">
        <v>1.4999999999999999E-2</v>
      </c>
    </row>
    <row r="97" spans="1:10">
      <c r="A97" s="1681">
        <v>6807</v>
      </c>
      <c r="B97" s="4114"/>
      <c r="C97" s="1681">
        <v>47</v>
      </c>
      <c r="D97" s="1681">
        <v>7</v>
      </c>
      <c r="E97" s="1681"/>
      <c r="F97" s="1681">
        <v>4.75</v>
      </c>
      <c r="G97" s="1681">
        <v>3.85</v>
      </c>
      <c r="H97" s="1681">
        <v>13000</v>
      </c>
      <c r="I97" s="1681">
        <v>16000</v>
      </c>
      <c r="J97" s="1681">
        <v>0.03</v>
      </c>
    </row>
    <row r="98" spans="1:10">
      <c r="A98" s="1681">
        <v>6907</v>
      </c>
      <c r="B98" s="4114"/>
      <c r="C98" s="1681">
        <v>55</v>
      </c>
      <c r="D98" s="1681">
        <v>10</v>
      </c>
      <c r="E98" s="1681"/>
      <c r="F98" s="1681">
        <v>10.9</v>
      </c>
      <c r="G98" s="1681">
        <v>7.75</v>
      </c>
      <c r="H98" s="1681">
        <v>12000</v>
      </c>
      <c r="I98" s="1681">
        <v>14000</v>
      </c>
      <c r="J98" s="1681">
        <v>7.2999999999999995E-2</v>
      </c>
    </row>
    <row r="99" spans="1:10">
      <c r="A99" s="1681">
        <v>16007</v>
      </c>
      <c r="B99" s="4114"/>
      <c r="C99" s="1681">
        <v>62</v>
      </c>
      <c r="D99" s="1681">
        <v>9</v>
      </c>
      <c r="E99" s="1681"/>
      <c r="F99" s="1681">
        <v>12.2</v>
      </c>
      <c r="G99" s="1681">
        <v>8.85</v>
      </c>
      <c r="H99" s="1681">
        <v>11000</v>
      </c>
      <c r="I99" s="1681">
        <v>13000</v>
      </c>
      <c r="J99" s="1681">
        <v>0.11</v>
      </c>
    </row>
    <row r="100" spans="1:10">
      <c r="A100" s="1681">
        <v>6007</v>
      </c>
      <c r="B100" s="4114"/>
      <c r="C100" s="1681">
        <v>62</v>
      </c>
      <c r="D100" s="1681">
        <v>14</v>
      </c>
      <c r="E100" s="1681"/>
      <c r="F100" s="1681">
        <v>15.9</v>
      </c>
      <c r="G100" s="1681">
        <v>10.3</v>
      </c>
      <c r="H100" s="1681">
        <v>11000</v>
      </c>
      <c r="I100" s="1681">
        <v>13000</v>
      </c>
      <c r="J100" s="1681">
        <v>0.155</v>
      </c>
    </row>
    <row r="101" spans="1:10">
      <c r="A101" s="1681">
        <v>6207</v>
      </c>
      <c r="B101" s="4114"/>
      <c r="C101" s="1681">
        <v>72</v>
      </c>
      <c r="D101" s="1681">
        <v>17</v>
      </c>
      <c r="E101" s="1681"/>
      <c r="F101" s="1681">
        <v>25.7</v>
      </c>
      <c r="G101" s="1681">
        <v>15.4</v>
      </c>
      <c r="H101" s="1681">
        <v>9200</v>
      </c>
      <c r="I101" s="1681">
        <v>11000</v>
      </c>
      <c r="J101" s="1681">
        <v>0.28799999999999998</v>
      </c>
    </row>
    <row r="102" spans="1:10">
      <c r="A102" s="1681">
        <v>6307</v>
      </c>
      <c r="B102" s="4114"/>
      <c r="C102" s="1681">
        <v>80</v>
      </c>
      <c r="D102" s="1681">
        <v>21</v>
      </c>
      <c r="E102" s="1681"/>
      <c r="F102" s="1681">
        <v>33.4</v>
      </c>
      <c r="G102" s="1681">
        <v>19.3</v>
      </c>
      <c r="H102" s="1681">
        <v>8500</v>
      </c>
      <c r="I102" s="1681">
        <v>10000</v>
      </c>
      <c r="J102" s="1681">
        <v>0.45700000000000002</v>
      </c>
    </row>
    <row r="103" spans="1:10">
      <c r="A103" s="1681">
        <v>6407</v>
      </c>
      <c r="B103" s="4115"/>
      <c r="C103" s="1681">
        <v>100</v>
      </c>
      <c r="D103" s="1681">
        <v>25</v>
      </c>
      <c r="E103" s="1681"/>
      <c r="F103" s="1681">
        <v>55</v>
      </c>
      <c r="G103" s="1681">
        <v>31</v>
      </c>
      <c r="H103" s="1681">
        <v>7200</v>
      </c>
      <c r="I103" s="1681">
        <v>8600</v>
      </c>
      <c r="J103" s="1681">
        <v>0.95199999999999996</v>
      </c>
    </row>
    <row r="104" spans="1:10">
      <c r="A104" s="1681">
        <v>6708</v>
      </c>
      <c r="B104" s="4113">
        <v>40</v>
      </c>
      <c r="C104" s="1681">
        <v>50</v>
      </c>
      <c r="D104" s="1681">
        <v>6</v>
      </c>
      <c r="E104" s="1681"/>
      <c r="F104" s="1681">
        <v>2.516</v>
      </c>
      <c r="G104" s="1681">
        <v>2.2330000000000001</v>
      </c>
      <c r="H104" s="1681">
        <v>4300</v>
      </c>
      <c r="I104" s="1681">
        <v>5000</v>
      </c>
      <c r="J104" s="1681">
        <v>2.3E-2</v>
      </c>
    </row>
    <row r="105" spans="1:10">
      <c r="A105" s="1681">
        <v>6808</v>
      </c>
      <c r="B105" s="4114"/>
      <c r="C105" s="1681">
        <v>52</v>
      </c>
      <c r="D105" s="1681">
        <v>7</v>
      </c>
      <c r="E105" s="1681"/>
      <c r="F105" s="1681">
        <v>4.95</v>
      </c>
      <c r="G105" s="1681">
        <v>4.2</v>
      </c>
      <c r="H105" s="1681">
        <v>12000</v>
      </c>
      <c r="I105" s="1681">
        <v>14000</v>
      </c>
      <c r="J105" s="1681">
        <v>3.3000000000000002E-2</v>
      </c>
    </row>
    <row r="106" spans="1:10">
      <c r="A106" s="1681">
        <v>6908</v>
      </c>
      <c r="B106" s="4114"/>
      <c r="C106" s="1681">
        <v>62</v>
      </c>
      <c r="D106" s="1681">
        <v>12</v>
      </c>
      <c r="E106" s="1681"/>
      <c r="F106" s="1681">
        <v>13.7</v>
      </c>
      <c r="G106" s="1681">
        <v>9.9499999999999993</v>
      </c>
      <c r="H106" s="1681">
        <v>11000</v>
      </c>
      <c r="I106" s="1681">
        <v>13000</v>
      </c>
      <c r="J106" s="1681">
        <v>0.112</v>
      </c>
    </row>
    <row r="107" spans="1:10">
      <c r="A107" s="1681">
        <v>16008</v>
      </c>
      <c r="B107" s="4114"/>
      <c r="C107" s="1681">
        <v>68</v>
      </c>
      <c r="D107" s="1681">
        <v>9</v>
      </c>
      <c r="E107" s="1681"/>
      <c r="F107" s="1681">
        <v>12.6</v>
      </c>
      <c r="G107" s="1681">
        <v>9.65</v>
      </c>
      <c r="H107" s="1681">
        <v>9800</v>
      </c>
      <c r="I107" s="1681">
        <v>12000</v>
      </c>
      <c r="J107" s="1681">
        <v>0.125</v>
      </c>
    </row>
    <row r="108" spans="1:10">
      <c r="A108" s="1681">
        <v>6008</v>
      </c>
      <c r="B108" s="4114"/>
      <c r="C108" s="1681">
        <v>68</v>
      </c>
      <c r="D108" s="1681">
        <v>15</v>
      </c>
      <c r="E108" s="1681"/>
      <c r="F108" s="1681">
        <v>16.7</v>
      </c>
      <c r="G108" s="1681">
        <v>11.5</v>
      </c>
      <c r="H108" s="1681">
        <v>10000</v>
      </c>
      <c r="I108" s="1681">
        <v>12000</v>
      </c>
      <c r="J108" s="1681">
        <v>0.192</v>
      </c>
    </row>
    <row r="109" spans="1:10">
      <c r="A109" s="1681">
        <v>6208</v>
      </c>
      <c r="B109" s="4114"/>
      <c r="C109" s="1681">
        <v>80</v>
      </c>
      <c r="D109" s="1681">
        <v>18</v>
      </c>
      <c r="E109" s="1681"/>
      <c r="F109" s="1681">
        <v>29.1</v>
      </c>
      <c r="G109" s="1681">
        <v>17.8</v>
      </c>
      <c r="H109" s="1681">
        <v>8300</v>
      </c>
      <c r="I109" s="1681">
        <v>10000</v>
      </c>
      <c r="J109" s="1681">
        <v>0.36599999999999999</v>
      </c>
    </row>
    <row r="110" spans="1:10">
      <c r="A110" s="1681">
        <v>6308</v>
      </c>
      <c r="B110" s="4114"/>
      <c r="C110" s="1681">
        <v>90</v>
      </c>
      <c r="D110" s="1681">
        <v>23</v>
      </c>
      <c r="E110" s="1681"/>
      <c r="F110" s="1681">
        <v>40.700000000000003</v>
      </c>
      <c r="G110" s="1681">
        <v>24</v>
      </c>
      <c r="H110" s="1681">
        <v>7700</v>
      </c>
      <c r="I110" s="1681">
        <v>9200</v>
      </c>
      <c r="J110" s="1681">
        <v>0.63300000000000001</v>
      </c>
    </row>
    <row r="111" spans="1:10">
      <c r="A111" s="1681">
        <v>6408</v>
      </c>
      <c r="B111" s="4115"/>
      <c r="C111" s="1681">
        <v>110</v>
      </c>
      <c r="D111" s="1681">
        <v>27</v>
      </c>
      <c r="E111" s="1681"/>
      <c r="F111" s="1681">
        <v>63.7</v>
      </c>
      <c r="G111" s="1681">
        <v>36.6</v>
      </c>
      <c r="H111" s="1681">
        <v>6600</v>
      </c>
      <c r="I111" s="1681">
        <v>7900</v>
      </c>
      <c r="J111" s="1681">
        <v>1.23</v>
      </c>
    </row>
    <row r="112" spans="1:10">
      <c r="A112" s="1681">
        <v>6709</v>
      </c>
      <c r="B112" s="4113">
        <v>45</v>
      </c>
      <c r="C112" s="1681">
        <v>55</v>
      </c>
      <c r="D112" s="1681">
        <v>6</v>
      </c>
      <c r="E112" s="1681"/>
      <c r="F112" s="1681">
        <v>2.58</v>
      </c>
      <c r="G112" s="1681">
        <v>2.3969999999999998</v>
      </c>
      <c r="H112" s="1681">
        <v>3900</v>
      </c>
      <c r="I112" s="1681">
        <v>4600</v>
      </c>
      <c r="J112" s="1681">
        <v>2.5000000000000001E-2</v>
      </c>
    </row>
    <row r="113" spans="1:10">
      <c r="A113" s="1681">
        <v>6809</v>
      </c>
      <c r="B113" s="4114"/>
      <c r="C113" s="1681">
        <v>58</v>
      </c>
      <c r="D113" s="1681">
        <v>7</v>
      </c>
      <c r="E113" s="1681"/>
      <c r="F113" s="1681">
        <v>6.2</v>
      </c>
      <c r="G113" s="1681">
        <v>5.4</v>
      </c>
      <c r="H113" s="1681">
        <v>11000</v>
      </c>
      <c r="I113" s="1681">
        <v>13000</v>
      </c>
      <c r="J113" s="1681">
        <v>0.04</v>
      </c>
    </row>
    <row r="114" spans="1:10">
      <c r="A114" s="1681">
        <v>6909</v>
      </c>
      <c r="B114" s="4114"/>
      <c r="C114" s="1681">
        <v>68</v>
      </c>
      <c r="D114" s="1681">
        <v>12</v>
      </c>
      <c r="E114" s="1681"/>
      <c r="F114" s="1681">
        <v>14.1</v>
      </c>
      <c r="G114" s="1681">
        <v>10.9</v>
      </c>
      <c r="H114" s="1681">
        <v>9700</v>
      </c>
      <c r="I114" s="1681">
        <v>11000</v>
      </c>
      <c r="J114" s="1681">
        <v>0.13200000000000001</v>
      </c>
    </row>
    <row r="115" spans="1:10">
      <c r="A115" s="1681">
        <v>16009</v>
      </c>
      <c r="B115" s="4114"/>
      <c r="C115" s="1681">
        <v>75</v>
      </c>
      <c r="D115" s="1681">
        <v>10</v>
      </c>
      <c r="E115" s="1681"/>
      <c r="F115" s="1681">
        <v>15.5</v>
      </c>
      <c r="G115" s="1681">
        <v>12.3</v>
      </c>
      <c r="H115" s="1681">
        <v>8900</v>
      </c>
      <c r="I115" s="1681">
        <v>10000</v>
      </c>
      <c r="J115" s="1681">
        <v>0.17</v>
      </c>
    </row>
    <row r="116" spans="1:10">
      <c r="A116" s="1681">
        <v>6009</v>
      </c>
      <c r="B116" s="4114"/>
      <c r="C116" s="1681">
        <v>75</v>
      </c>
      <c r="D116" s="1681">
        <v>16</v>
      </c>
      <c r="E116" s="1681"/>
      <c r="F116" s="1681">
        <v>21</v>
      </c>
      <c r="G116" s="1681">
        <v>15.1</v>
      </c>
      <c r="H116" s="1681">
        <v>9200</v>
      </c>
      <c r="I116" s="1681">
        <v>11000</v>
      </c>
      <c r="J116" s="1681">
        <v>0.245</v>
      </c>
    </row>
    <row r="117" spans="1:10">
      <c r="A117" s="1681">
        <v>6209</v>
      </c>
      <c r="B117" s="4114"/>
      <c r="C117" s="1681">
        <v>85</v>
      </c>
      <c r="D117" s="1681">
        <v>19</v>
      </c>
      <c r="E117" s="1681"/>
      <c r="F117" s="1681">
        <v>32.700000000000003</v>
      </c>
      <c r="G117" s="1681">
        <v>20.3</v>
      </c>
      <c r="H117" s="1681">
        <v>7700</v>
      </c>
      <c r="I117" s="1681">
        <v>9200</v>
      </c>
      <c r="J117" s="1681">
        <v>0.40699999999999997</v>
      </c>
    </row>
    <row r="118" spans="1:10">
      <c r="A118" s="1681">
        <v>6309</v>
      </c>
      <c r="B118" s="4114"/>
      <c r="C118" s="1681">
        <v>100</v>
      </c>
      <c r="D118" s="1681">
        <v>25</v>
      </c>
      <c r="E118" s="1681"/>
      <c r="F118" s="1681">
        <v>48.9</v>
      </c>
      <c r="G118" s="1681">
        <v>29.5</v>
      </c>
      <c r="H118" s="1681">
        <v>6800</v>
      </c>
      <c r="I118" s="1681">
        <v>8100</v>
      </c>
      <c r="J118" s="1681">
        <v>0.83299999999999996</v>
      </c>
    </row>
    <row r="119" spans="1:10">
      <c r="A119" s="1681">
        <v>6409</v>
      </c>
      <c r="B119" s="4115"/>
      <c r="C119" s="1681">
        <v>120</v>
      </c>
      <c r="D119" s="1681">
        <v>29</v>
      </c>
      <c r="E119" s="1681"/>
      <c r="F119" s="1681">
        <v>77.2</v>
      </c>
      <c r="G119" s="1681">
        <v>45.1</v>
      </c>
      <c r="H119" s="1681">
        <v>6000</v>
      </c>
      <c r="I119" s="1681">
        <v>7200</v>
      </c>
      <c r="J119" s="1681">
        <v>1.53</v>
      </c>
    </row>
    <row r="120" spans="1:10">
      <c r="A120" s="1681">
        <v>6710</v>
      </c>
      <c r="B120" s="4113">
        <v>50</v>
      </c>
      <c r="C120" s="1681">
        <v>62</v>
      </c>
      <c r="D120" s="1681">
        <v>6</v>
      </c>
      <c r="E120" s="1681"/>
      <c r="F120" s="1681">
        <v>2.67</v>
      </c>
      <c r="G120" s="1681">
        <v>2.64</v>
      </c>
      <c r="H120" s="1681">
        <v>3500</v>
      </c>
      <c r="I120" s="1681">
        <v>4100</v>
      </c>
      <c r="J120" s="1681">
        <v>6.4000000000000001E-2</v>
      </c>
    </row>
    <row r="121" spans="1:10">
      <c r="A121" s="1681">
        <v>6810</v>
      </c>
      <c r="B121" s="4114"/>
      <c r="C121" s="1681">
        <v>65</v>
      </c>
      <c r="D121" s="1681">
        <v>7</v>
      </c>
      <c r="E121" s="1681"/>
      <c r="F121" s="1681">
        <v>6.6</v>
      </c>
      <c r="G121" s="1681">
        <v>6.1</v>
      </c>
      <c r="H121" s="1681">
        <v>9600</v>
      </c>
      <c r="I121" s="1681">
        <v>11000</v>
      </c>
      <c r="J121" s="1681">
        <v>5.1999999999999998E-2</v>
      </c>
    </row>
    <row r="122" spans="1:10">
      <c r="A122" s="1681">
        <v>6910</v>
      </c>
      <c r="B122" s="4114"/>
      <c r="C122" s="1681">
        <v>72</v>
      </c>
      <c r="D122" s="1681">
        <v>12</v>
      </c>
      <c r="E122" s="1681"/>
      <c r="F122" s="1681">
        <v>14.5</v>
      </c>
      <c r="G122" s="1681">
        <v>11.7</v>
      </c>
      <c r="H122" s="1681">
        <v>9000</v>
      </c>
      <c r="I122" s="1681">
        <v>11000</v>
      </c>
      <c r="J122" s="1681">
        <v>0.13300000000000001</v>
      </c>
    </row>
    <row r="123" spans="1:10">
      <c r="A123" s="1681">
        <v>16010</v>
      </c>
      <c r="B123" s="4114"/>
      <c r="C123" s="1681">
        <v>80</v>
      </c>
      <c r="D123" s="1681">
        <v>10</v>
      </c>
      <c r="E123" s="1681"/>
      <c r="F123" s="1681">
        <v>16</v>
      </c>
      <c r="G123" s="1681">
        <v>13.3</v>
      </c>
      <c r="H123" s="1681">
        <v>8200</v>
      </c>
      <c r="I123" s="1681">
        <v>9700</v>
      </c>
      <c r="J123" s="1681">
        <v>0.18</v>
      </c>
    </row>
    <row r="124" spans="1:10">
      <c r="A124" s="1681">
        <v>6010</v>
      </c>
      <c r="B124" s="4114"/>
      <c r="C124" s="1681">
        <v>80</v>
      </c>
      <c r="D124" s="1681">
        <v>16</v>
      </c>
      <c r="E124" s="1681"/>
      <c r="F124" s="1681">
        <v>21.8</v>
      </c>
      <c r="G124" s="1681">
        <v>16.600000000000001</v>
      </c>
      <c r="H124" s="1681">
        <v>8400</v>
      </c>
      <c r="I124" s="1681">
        <v>9900</v>
      </c>
      <c r="J124" s="1681">
        <v>0.26100000000000001</v>
      </c>
    </row>
    <row r="125" spans="1:10">
      <c r="A125" s="1681">
        <v>6210</v>
      </c>
      <c r="B125" s="4114"/>
      <c r="C125" s="1681">
        <v>90</v>
      </c>
      <c r="D125" s="1681">
        <v>20</v>
      </c>
      <c r="E125" s="1681"/>
      <c r="F125" s="1681">
        <v>35.1</v>
      </c>
      <c r="G125" s="1681">
        <v>23.3</v>
      </c>
      <c r="H125" s="1681">
        <v>7100</v>
      </c>
      <c r="I125" s="1681">
        <v>8500</v>
      </c>
      <c r="J125" s="1681">
        <v>0.46300000000000002</v>
      </c>
    </row>
    <row r="126" spans="1:10">
      <c r="A126" s="1681">
        <v>6301</v>
      </c>
      <c r="B126" s="4114"/>
      <c r="C126" s="1681">
        <v>110</v>
      </c>
      <c r="D126" s="1681">
        <v>27</v>
      </c>
      <c r="E126" s="1681"/>
      <c r="F126" s="1681">
        <v>62</v>
      </c>
      <c r="G126" s="1681">
        <v>38.299999999999997</v>
      </c>
      <c r="H126" s="1681">
        <v>6100</v>
      </c>
      <c r="I126" s="1681">
        <v>7300</v>
      </c>
      <c r="J126" s="1681">
        <v>1.07</v>
      </c>
    </row>
    <row r="127" spans="1:10">
      <c r="A127" s="1681">
        <v>6410</v>
      </c>
      <c r="B127" s="4115"/>
      <c r="C127" s="1681">
        <v>130</v>
      </c>
      <c r="D127" s="1681">
        <v>31</v>
      </c>
      <c r="E127" s="1681"/>
      <c r="F127" s="1681">
        <v>83</v>
      </c>
      <c r="G127" s="1681">
        <v>49.5</v>
      </c>
      <c r="H127" s="1681">
        <v>5500</v>
      </c>
      <c r="I127" s="1681">
        <v>6600</v>
      </c>
      <c r="J127" s="1681">
        <v>1.88</v>
      </c>
    </row>
    <row r="128" spans="1:10">
      <c r="A128" s="1681">
        <v>6811</v>
      </c>
      <c r="B128" s="4109">
        <v>55</v>
      </c>
      <c r="C128" s="1681">
        <v>72</v>
      </c>
      <c r="D128" s="1681">
        <v>9</v>
      </c>
      <c r="E128" s="1681"/>
      <c r="F128" s="1681">
        <v>8.8000000000000007</v>
      </c>
      <c r="G128" s="1681">
        <v>8.1</v>
      </c>
      <c r="H128" s="1681">
        <v>8700</v>
      </c>
      <c r="I128" s="1681">
        <v>10000</v>
      </c>
      <c r="J128" s="1681">
        <v>8.3000000000000004E-2</v>
      </c>
    </row>
    <row r="129" spans="1:10">
      <c r="A129" s="1681">
        <v>6911</v>
      </c>
      <c r="B129" s="4109"/>
      <c r="C129" s="1681">
        <v>80</v>
      </c>
      <c r="D129" s="1681">
        <v>13</v>
      </c>
      <c r="E129" s="1681"/>
      <c r="F129" s="1681">
        <v>16.600000000000001</v>
      </c>
      <c r="G129" s="1681">
        <v>14.1</v>
      </c>
      <c r="H129" s="1681">
        <v>8100</v>
      </c>
      <c r="I129" s="1681">
        <v>9600</v>
      </c>
      <c r="J129" s="1681">
        <v>0.185</v>
      </c>
    </row>
    <row r="130" spans="1:10">
      <c r="A130" s="1681">
        <v>16011</v>
      </c>
      <c r="B130" s="4109"/>
      <c r="C130" s="1681">
        <v>90</v>
      </c>
      <c r="D130" s="1681">
        <v>11</v>
      </c>
      <c r="E130" s="1681"/>
      <c r="F130" s="1681">
        <v>19.3</v>
      </c>
      <c r="G130" s="1681">
        <v>16.3</v>
      </c>
      <c r="H130" s="1681">
        <v>7400</v>
      </c>
      <c r="I130" s="1681">
        <v>8800</v>
      </c>
      <c r="J130" s="1681">
        <v>0.26</v>
      </c>
    </row>
    <row r="131" spans="1:10">
      <c r="A131" s="1681">
        <v>6011</v>
      </c>
      <c r="B131" s="4109"/>
      <c r="C131" s="1681">
        <v>90</v>
      </c>
      <c r="D131" s="1681">
        <v>18</v>
      </c>
      <c r="E131" s="1681"/>
      <c r="F131" s="1681">
        <v>28.3</v>
      </c>
      <c r="G131" s="1681">
        <v>21.2</v>
      </c>
      <c r="H131" s="1681">
        <v>7600</v>
      </c>
      <c r="I131" s="1681">
        <v>8900</v>
      </c>
      <c r="J131" s="1681">
        <v>0.38500000000000001</v>
      </c>
    </row>
    <row r="132" spans="1:10">
      <c r="A132" s="1681">
        <v>6211</v>
      </c>
      <c r="B132" s="4109"/>
      <c r="C132" s="1681">
        <v>100</v>
      </c>
      <c r="D132" s="1681">
        <v>21</v>
      </c>
      <c r="E132" s="1681"/>
      <c r="F132" s="1681">
        <v>43.4</v>
      </c>
      <c r="G132" s="1681">
        <v>29.4</v>
      </c>
      <c r="H132" s="1681">
        <v>6300</v>
      </c>
      <c r="I132" s="1681">
        <v>7600</v>
      </c>
      <c r="J132" s="1681">
        <v>0.60699999999999998</v>
      </c>
    </row>
    <row r="133" spans="1:10">
      <c r="A133" s="1681">
        <v>6311</v>
      </c>
      <c r="B133" s="4109"/>
      <c r="C133" s="1681">
        <v>120</v>
      </c>
      <c r="D133" s="1681">
        <v>29</v>
      </c>
      <c r="E133" s="1681"/>
      <c r="F133" s="1681">
        <v>71.599999999999994</v>
      </c>
      <c r="G133" s="1681">
        <v>45</v>
      </c>
      <c r="H133" s="1681">
        <v>5600</v>
      </c>
      <c r="I133" s="1681">
        <v>6700</v>
      </c>
      <c r="J133" s="1681">
        <v>1.37</v>
      </c>
    </row>
    <row r="134" spans="1:10">
      <c r="A134" s="1681">
        <v>6411</v>
      </c>
      <c r="B134" s="4109"/>
      <c r="C134" s="1681">
        <v>140</v>
      </c>
      <c r="D134" s="1681">
        <v>33</v>
      </c>
      <c r="E134" s="1681"/>
      <c r="F134" s="1681">
        <v>100</v>
      </c>
      <c r="G134" s="1681">
        <v>62.3</v>
      </c>
      <c r="H134" s="1681">
        <v>5000</v>
      </c>
      <c r="I134" s="1681">
        <v>6000</v>
      </c>
      <c r="J134" s="1681">
        <v>2.29</v>
      </c>
    </row>
  </sheetData>
  <mergeCells count="32">
    <mergeCell ref="B128:B134"/>
    <mergeCell ref="C2:C4"/>
    <mergeCell ref="D3:D4"/>
    <mergeCell ref="E3:E4"/>
    <mergeCell ref="F3:F4"/>
    <mergeCell ref="B93:B95"/>
    <mergeCell ref="B96:B103"/>
    <mergeCell ref="B104:B111"/>
    <mergeCell ref="B112:B119"/>
    <mergeCell ref="B120:B127"/>
    <mergeCell ref="B63:B70"/>
    <mergeCell ref="B71:B73"/>
    <mergeCell ref="B74:B81"/>
    <mergeCell ref="B82:B84"/>
    <mergeCell ref="B85:B92"/>
    <mergeCell ref="B30:B35"/>
    <mergeCell ref="B36:B41"/>
    <mergeCell ref="B42:B47"/>
    <mergeCell ref="B48:B54"/>
    <mergeCell ref="B55:B62"/>
    <mergeCell ref="B5:B9"/>
    <mergeCell ref="B10:B14"/>
    <mergeCell ref="B15:B19"/>
    <mergeCell ref="B20:B24"/>
    <mergeCell ref="B25:B29"/>
    <mergeCell ref="A1:J1"/>
    <mergeCell ref="D2:E2"/>
    <mergeCell ref="H2:I2"/>
    <mergeCell ref="H4:I4"/>
    <mergeCell ref="A2:A4"/>
    <mergeCell ref="B2:B4"/>
    <mergeCell ref="G3:G4"/>
  </mergeCells>
  <phoneticPr fontId="378" type="noConversion"/>
  <hyperlinks>
    <hyperlink ref="J4" location="总目录!A1" display="返回目录"/>
  </hyperlinks>
  <pageMargins left="0.75" right="0.75" top="0" bottom="0" header="0" footer="0"/>
  <pageSetup paperSize="9" scale="96" fitToHeight="0" orientation="portrait" r:id="rId1"/>
  <headerFooter scaleWithDoc="0" alignWithMargins="0"/>
  <rowBreaks count="2" manualBreakCount="2">
    <brk id="62" max="9" man="1"/>
    <brk id="134"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45"/>
  <sheetViews>
    <sheetView zoomScale="70" zoomScaleNormal="70" workbookViewId="0">
      <selection activeCell="M3" sqref="M3"/>
    </sheetView>
  </sheetViews>
  <sheetFormatPr defaultColWidth="9" defaultRowHeight="16.5"/>
  <cols>
    <col min="15" max="15" width="10.875" customWidth="1"/>
    <col min="16" max="16" width="7.25" customWidth="1"/>
    <col min="17" max="17" width="4.25" customWidth="1"/>
    <col min="18" max="18" width="6.125" customWidth="1"/>
    <col min="19" max="19" width="6.5" customWidth="1"/>
    <col min="20" max="20" width="7.625" customWidth="1"/>
    <col min="21" max="21" width="7" customWidth="1"/>
    <col min="22" max="22" width="8" customWidth="1"/>
    <col min="23" max="23" width="5.375" customWidth="1"/>
    <col min="24" max="24" width="5.125" customWidth="1"/>
    <col min="25" max="25" width="5" customWidth="1"/>
    <col min="26" max="26" width="4.625" customWidth="1"/>
    <col min="27" max="27" width="6.375" customWidth="1"/>
    <col min="28" max="28" width="6.125" customWidth="1"/>
  </cols>
  <sheetData>
    <row r="1" spans="1:29">
      <c r="AB1" s="654"/>
      <c r="AC1" s="654"/>
    </row>
    <row r="2" spans="1:29">
      <c r="AB2" s="654"/>
      <c r="AC2" s="654"/>
    </row>
    <row r="3" spans="1:29">
      <c r="M3" s="3160" t="s">
        <v>12716</v>
      </c>
      <c r="AB3" s="654"/>
      <c r="AC3" s="654"/>
    </row>
    <row r="4" spans="1:29" ht="18" customHeight="1">
      <c r="AB4" s="654"/>
      <c r="AC4" s="654"/>
    </row>
    <row r="5" spans="1:29" ht="18" customHeight="1">
      <c r="AB5" s="654"/>
      <c r="AC5" s="654"/>
    </row>
    <row r="6" spans="1:29" ht="18" customHeight="1">
      <c r="AB6" s="654"/>
      <c r="AC6" s="654"/>
    </row>
    <row r="7" spans="1:29" ht="18" customHeight="1">
      <c r="AB7" s="654"/>
      <c r="AC7" s="654"/>
    </row>
    <row r="8" spans="1:29" ht="18" customHeight="1"/>
    <row r="9" spans="1:29" ht="18" customHeight="1"/>
    <row r="10" spans="1:29" ht="18" customHeight="1"/>
    <row r="11" spans="1:29" ht="18" customHeight="1"/>
    <row r="12" spans="1:29" ht="18" customHeight="1"/>
    <row r="13" spans="1:29" ht="18" customHeight="1">
      <c r="A13" s="4133" t="s">
        <v>8664</v>
      </c>
      <c r="B13" s="4133"/>
      <c r="C13" s="4133"/>
      <c r="D13" s="4133"/>
      <c r="E13" s="4133"/>
      <c r="F13" s="4133"/>
      <c r="G13" s="4133"/>
      <c r="H13" s="4133"/>
      <c r="I13" s="4133"/>
      <c r="J13" s="4133"/>
      <c r="K13" s="4133"/>
      <c r="L13" s="4133"/>
      <c r="M13" s="4133"/>
      <c r="N13" s="4133"/>
    </row>
    <row r="14" spans="1:29" ht="18" customHeight="1">
      <c r="A14" s="4134"/>
      <c r="B14" s="4134"/>
      <c r="C14" s="4133"/>
      <c r="D14" s="4133"/>
      <c r="E14" s="4133"/>
      <c r="F14" s="4133"/>
      <c r="G14" s="4133"/>
      <c r="H14" s="4133"/>
      <c r="I14" s="4133"/>
      <c r="J14" s="4133"/>
      <c r="K14" s="4133"/>
      <c r="L14" s="4133"/>
      <c r="M14" s="4133"/>
      <c r="N14" s="4133"/>
    </row>
    <row r="15" spans="1:29" ht="18" customHeight="1">
      <c r="A15" s="1662" t="s">
        <v>8665</v>
      </c>
      <c r="B15" s="1663" t="s">
        <v>8666</v>
      </c>
      <c r="C15" s="4116" t="s">
        <v>8667</v>
      </c>
      <c r="D15" s="4116"/>
      <c r="E15" s="4116"/>
      <c r="F15" s="4116"/>
      <c r="G15" s="4116"/>
      <c r="H15" s="4116"/>
      <c r="I15" s="4116"/>
      <c r="J15" s="4116"/>
      <c r="K15" s="4116"/>
      <c r="L15" s="4116"/>
      <c r="M15" s="4116"/>
      <c r="N15" s="4116"/>
    </row>
    <row r="16" spans="1:29" ht="18" customHeight="1">
      <c r="A16" s="4123" t="s">
        <v>8668</v>
      </c>
      <c r="B16" s="4126" t="s">
        <v>8669</v>
      </c>
      <c r="C16" s="4117" t="s">
        <v>8670</v>
      </c>
      <c r="D16" s="4118"/>
      <c r="E16" s="4118"/>
      <c r="F16" s="4118"/>
      <c r="G16" s="4118"/>
      <c r="H16" s="4119"/>
      <c r="I16" s="4117" t="s">
        <v>8671</v>
      </c>
      <c r="J16" s="4118"/>
      <c r="K16" s="4118"/>
      <c r="L16" s="4118"/>
      <c r="M16" s="4135" t="s">
        <v>8672</v>
      </c>
      <c r="N16" s="4135"/>
    </row>
    <row r="17" spans="1:14" ht="18" customHeight="1">
      <c r="A17" s="4124"/>
      <c r="B17" s="4127"/>
      <c r="C17" s="4129" t="s">
        <v>5900</v>
      </c>
      <c r="D17" s="4120" t="s">
        <v>8673</v>
      </c>
      <c r="E17" s="4121"/>
      <c r="F17" s="4121"/>
      <c r="G17" s="4121"/>
      <c r="H17" s="4122"/>
      <c r="I17" s="4137" t="s">
        <v>8674</v>
      </c>
      <c r="J17" s="4138"/>
      <c r="K17" s="4137" t="s">
        <v>8675</v>
      </c>
      <c r="L17" s="4141"/>
      <c r="M17" s="4136"/>
      <c r="N17" s="4136"/>
    </row>
    <row r="18" spans="1:14" ht="18" customHeight="1">
      <c r="A18" s="4124"/>
      <c r="B18" s="4127"/>
      <c r="C18" s="4127"/>
      <c r="D18" s="4120" t="s">
        <v>8676</v>
      </c>
      <c r="E18" s="4122"/>
      <c r="F18" s="4120" t="s">
        <v>8677</v>
      </c>
      <c r="G18" s="4122"/>
      <c r="H18" s="1662" t="s">
        <v>8678</v>
      </c>
      <c r="I18" s="4139"/>
      <c r="J18" s="4140"/>
      <c r="K18" s="4139"/>
      <c r="L18" s="4142"/>
      <c r="M18" s="4136"/>
      <c r="N18" s="4136"/>
    </row>
    <row r="19" spans="1:14" ht="18" customHeight="1">
      <c r="A19" s="4125"/>
      <c r="B19" s="4128"/>
      <c r="C19" s="4128"/>
      <c r="D19" s="1662" t="s">
        <v>8679</v>
      </c>
      <c r="E19" s="1662" t="s">
        <v>8680</v>
      </c>
      <c r="F19" s="1662" t="s">
        <v>8681</v>
      </c>
      <c r="G19" s="1662" t="s">
        <v>8682</v>
      </c>
      <c r="H19" s="1662" t="s">
        <v>8683</v>
      </c>
      <c r="I19" s="1662" t="s">
        <v>8684</v>
      </c>
      <c r="J19" s="1662" t="s">
        <v>8685</v>
      </c>
      <c r="K19" s="1662" t="s">
        <v>8684</v>
      </c>
      <c r="L19" s="1662" t="s">
        <v>8685</v>
      </c>
      <c r="M19" s="1674" t="s">
        <v>8686</v>
      </c>
      <c r="N19" s="1674" t="s">
        <v>8687</v>
      </c>
    </row>
    <row r="20" spans="1:14" ht="18" customHeight="1">
      <c r="A20" s="1664" t="s">
        <v>8688</v>
      </c>
      <c r="B20" s="1664" t="s">
        <v>8689</v>
      </c>
      <c r="C20" s="1665">
        <v>2</v>
      </c>
      <c r="D20" s="1666">
        <v>2.5000000000000001E-2</v>
      </c>
      <c r="E20" s="1666">
        <v>0.06</v>
      </c>
      <c r="F20" s="1666">
        <v>-4.0000000000000001E-3</v>
      </c>
      <c r="G20" s="4130" t="s">
        <v>8690</v>
      </c>
      <c r="H20" s="1666">
        <v>-6.0000000000000001E-3</v>
      </c>
      <c r="I20" s="1675">
        <v>1.2</v>
      </c>
      <c r="J20" s="1666">
        <v>0.1</v>
      </c>
      <c r="K20" s="1675">
        <v>1</v>
      </c>
      <c r="L20" s="1666">
        <v>0.1</v>
      </c>
      <c r="M20" s="4130">
        <v>0.08</v>
      </c>
      <c r="N20" s="4130">
        <v>0.16</v>
      </c>
    </row>
    <row r="21" spans="1:14" ht="18" customHeight="1">
      <c r="A21" s="1667" t="s">
        <v>8691</v>
      </c>
      <c r="B21" s="1664" t="s">
        <v>8692</v>
      </c>
      <c r="C21" s="1665">
        <v>3</v>
      </c>
      <c r="D21" s="1668">
        <v>0</v>
      </c>
      <c r="E21" s="1668">
        <v>0.02</v>
      </c>
      <c r="F21" s="1668">
        <v>-2.9000000000000001E-2</v>
      </c>
      <c r="G21" s="4131"/>
      <c r="H21" s="1668">
        <v>-3.1E-2</v>
      </c>
      <c r="I21" s="1675">
        <v>1.8</v>
      </c>
      <c r="J21" s="1669">
        <v>0</v>
      </c>
      <c r="K21" s="1675">
        <v>1.4</v>
      </c>
      <c r="L21" s="1669">
        <v>0</v>
      </c>
      <c r="M21" s="4132"/>
      <c r="N21" s="4132"/>
    </row>
    <row r="22" spans="1:14" ht="18" customHeight="1">
      <c r="A22" s="1667" t="s">
        <v>8693</v>
      </c>
      <c r="B22" s="1664" t="s">
        <v>8694</v>
      </c>
      <c r="C22" s="1665">
        <v>4</v>
      </c>
      <c r="D22" s="1666">
        <v>0.03</v>
      </c>
      <c r="E22" s="1666">
        <v>7.8E-2</v>
      </c>
      <c r="F22" s="1666">
        <v>0</v>
      </c>
      <c r="G22" s="4130" t="s">
        <v>8695</v>
      </c>
      <c r="H22" s="1666">
        <v>-1.2E-2</v>
      </c>
      <c r="I22" s="1675">
        <v>2.5</v>
      </c>
      <c r="J22" s="1671"/>
      <c r="K22" s="1675">
        <v>1.8</v>
      </c>
      <c r="L22" s="1671"/>
      <c r="M22" s="4131"/>
      <c r="N22" s="4131"/>
    </row>
    <row r="23" spans="1:14" ht="18" customHeight="1">
      <c r="A23" s="1667" t="s">
        <v>8696</v>
      </c>
      <c r="B23" s="1664" t="s">
        <v>8697</v>
      </c>
      <c r="C23" s="1665">
        <v>5</v>
      </c>
      <c r="D23" s="1669">
        <v>0</v>
      </c>
      <c r="E23" s="1669">
        <v>0.03</v>
      </c>
      <c r="F23" s="1669">
        <v>-0.03</v>
      </c>
      <c r="G23" s="4132"/>
      <c r="H23" s="1669">
        <v>-4.2000000000000003E-2</v>
      </c>
      <c r="I23" s="1675">
        <v>3</v>
      </c>
      <c r="J23" s="1671"/>
      <c r="K23" s="1675">
        <v>2.2999999999999998</v>
      </c>
      <c r="L23" s="1671"/>
      <c r="M23" s="4130">
        <v>0.16</v>
      </c>
      <c r="N23" s="4130">
        <v>0.25</v>
      </c>
    </row>
    <row r="24" spans="1:14" ht="18" customHeight="1">
      <c r="A24" s="1667" t="s">
        <v>8698</v>
      </c>
      <c r="B24" s="1664" t="s">
        <v>8699</v>
      </c>
      <c r="C24" s="1665">
        <v>6</v>
      </c>
      <c r="D24" s="1670"/>
      <c r="E24" s="1670"/>
      <c r="F24" s="1670"/>
      <c r="G24" s="4131"/>
      <c r="H24" s="1670"/>
      <c r="I24" s="1675">
        <v>3.5</v>
      </c>
      <c r="J24" s="1670"/>
      <c r="K24" s="1675">
        <v>2.8</v>
      </c>
      <c r="L24" s="1670"/>
      <c r="M24" s="4132"/>
      <c r="N24" s="4132"/>
    </row>
    <row r="25" spans="1:14" ht="18" customHeight="1">
      <c r="A25" s="1667" t="s">
        <v>8700</v>
      </c>
      <c r="B25" s="1664" t="s">
        <v>8701</v>
      </c>
      <c r="C25" s="1665">
        <v>8</v>
      </c>
      <c r="D25" s="1666">
        <v>3.5999999999999997E-2</v>
      </c>
      <c r="E25" s="1666">
        <v>9.8000000000000004E-2</v>
      </c>
      <c r="F25" s="1666">
        <v>0</v>
      </c>
      <c r="G25" s="4130" t="s">
        <v>8702</v>
      </c>
      <c r="H25" s="1666">
        <v>-1.4999999999999999E-2</v>
      </c>
      <c r="I25" s="1675">
        <v>4</v>
      </c>
      <c r="J25" s="1666">
        <v>0.2</v>
      </c>
      <c r="K25" s="1675">
        <v>3.3</v>
      </c>
      <c r="L25" s="1666">
        <v>0.2</v>
      </c>
      <c r="M25" s="4131"/>
      <c r="N25" s="4131"/>
    </row>
    <row r="26" spans="1:14" ht="18" customHeight="1">
      <c r="A26" s="1667" t="s">
        <v>8703</v>
      </c>
      <c r="B26" s="1664" t="s">
        <v>8704</v>
      </c>
      <c r="C26" s="1665">
        <v>10</v>
      </c>
      <c r="D26" s="1668">
        <v>0</v>
      </c>
      <c r="E26" s="1668">
        <v>0.04</v>
      </c>
      <c r="F26" s="1668">
        <v>-3.5999999999999997E-2</v>
      </c>
      <c r="G26" s="4131"/>
      <c r="H26" s="1668">
        <v>-5.0999999999999997E-2</v>
      </c>
      <c r="I26" s="1675">
        <v>5</v>
      </c>
      <c r="J26" s="1669">
        <v>0</v>
      </c>
      <c r="K26" s="1675">
        <v>3.3</v>
      </c>
      <c r="L26" s="1669">
        <v>0</v>
      </c>
      <c r="M26" s="4130">
        <v>0.25</v>
      </c>
      <c r="N26" s="4130">
        <v>0.4</v>
      </c>
    </row>
    <row r="27" spans="1:14" ht="18" customHeight="1">
      <c r="A27" s="1667" t="s">
        <v>8705</v>
      </c>
      <c r="B27" s="1664" t="s">
        <v>8706</v>
      </c>
      <c r="C27" s="1665">
        <v>12</v>
      </c>
      <c r="D27" s="1666">
        <v>4.2999999999999997E-2</v>
      </c>
      <c r="E27" s="1666">
        <v>0.12</v>
      </c>
      <c r="F27" s="1666">
        <v>0</v>
      </c>
      <c r="G27" s="4130" t="s">
        <v>8707</v>
      </c>
      <c r="H27" s="1666">
        <v>-1.7999999999999999E-2</v>
      </c>
      <c r="I27" s="1675">
        <v>5</v>
      </c>
      <c r="J27" s="1671"/>
      <c r="K27" s="1675">
        <v>3.3</v>
      </c>
      <c r="L27" s="1671"/>
      <c r="M27" s="4132"/>
      <c r="N27" s="4132"/>
    </row>
    <row r="28" spans="1:14" ht="18" customHeight="1">
      <c r="A28" s="1667" t="s">
        <v>8708</v>
      </c>
      <c r="B28" s="1664" t="s">
        <v>8709</v>
      </c>
      <c r="C28" s="1665">
        <v>14</v>
      </c>
      <c r="D28" s="1669">
        <v>0</v>
      </c>
      <c r="E28" s="1669">
        <v>0.05</v>
      </c>
      <c r="F28" s="1669">
        <v>-4.2999999999999997E-2</v>
      </c>
      <c r="G28" s="4132"/>
      <c r="H28" s="1669">
        <v>-6.0999999999999999E-2</v>
      </c>
      <c r="I28" s="1675">
        <v>5.5</v>
      </c>
      <c r="J28" s="1671"/>
      <c r="K28" s="1675">
        <v>3.8</v>
      </c>
      <c r="L28" s="1671"/>
      <c r="M28" s="4132"/>
      <c r="N28" s="4132"/>
    </row>
    <row r="29" spans="1:14" ht="18" customHeight="1">
      <c r="A29" s="1667" t="s">
        <v>8710</v>
      </c>
      <c r="B29" s="1664" t="s">
        <v>8711</v>
      </c>
      <c r="C29" s="1665">
        <v>16</v>
      </c>
      <c r="D29" s="1671"/>
      <c r="E29" s="1671"/>
      <c r="F29" s="1671"/>
      <c r="G29" s="4132"/>
      <c r="H29" s="1671"/>
      <c r="I29" s="1675">
        <v>6</v>
      </c>
      <c r="J29" s="1671"/>
      <c r="K29" s="1675">
        <v>4.3</v>
      </c>
      <c r="L29" s="1671"/>
      <c r="M29" s="4132"/>
      <c r="N29" s="4132"/>
    </row>
    <row r="30" spans="1:14" ht="18" customHeight="1">
      <c r="A30" s="1667" t="s">
        <v>8712</v>
      </c>
      <c r="B30" s="1664" t="s">
        <v>8713</v>
      </c>
      <c r="C30" s="1665">
        <v>18</v>
      </c>
      <c r="D30" s="1670"/>
      <c r="E30" s="1670"/>
      <c r="F30" s="1670"/>
      <c r="G30" s="4131"/>
      <c r="H30" s="1670"/>
      <c r="I30" s="1675">
        <v>7</v>
      </c>
      <c r="J30" s="1671"/>
      <c r="K30" s="1675">
        <v>4.4000000000000004</v>
      </c>
      <c r="L30" s="1671"/>
      <c r="M30" s="4131"/>
      <c r="N30" s="4131"/>
    </row>
    <row r="31" spans="1:14" ht="18" customHeight="1">
      <c r="A31" s="1667" t="s">
        <v>8714</v>
      </c>
      <c r="B31" s="1664" t="s">
        <v>8715</v>
      </c>
      <c r="C31" s="1665">
        <v>20</v>
      </c>
      <c r="D31" s="1666">
        <v>5.1999999999999998E-2</v>
      </c>
      <c r="E31" s="1666">
        <v>0.14899999999999999</v>
      </c>
      <c r="F31" s="1666">
        <v>0</v>
      </c>
      <c r="G31" s="4130" t="s">
        <v>8716</v>
      </c>
      <c r="H31" s="1666">
        <v>-2.1999999999999999E-2</v>
      </c>
      <c r="I31" s="1675">
        <v>7.5</v>
      </c>
      <c r="J31" s="1671"/>
      <c r="K31" s="1675">
        <v>4.9000000000000004</v>
      </c>
      <c r="L31" s="1671"/>
      <c r="M31" s="4130">
        <v>0.4</v>
      </c>
      <c r="N31" s="4130">
        <v>0.6</v>
      </c>
    </row>
    <row r="32" spans="1:14" ht="18" customHeight="1">
      <c r="A32" s="1667" t="s">
        <v>8717</v>
      </c>
      <c r="B32" s="1664" t="s">
        <v>8718</v>
      </c>
      <c r="C32" s="1665">
        <v>22</v>
      </c>
      <c r="D32" s="1669">
        <v>0</v>
      </c>
      <c r="E32" s="1669">
        <v>6.5000000000000002E-2</v>
      </c>
      <c r="F32" s="1669">
        <v>-5.1999999999999998E-2</v>
      </c>
      <c r="G32" s="4132"/>
      <c r="H32" s="1669">
        <v>-7.3999999999999996E-2</v>
      </c>
      <c r="I32" s="1675">
        <v>9</v>
      </c>
      <c r="J32" s="1671"/>
      <c r="K32" s="1675">
        <v>5.4</v>
      </c>
      <c r="L32" s="1671"/>
      <c r="M32" s="4132"/>
      <c r="N32" s="4132"/>
    </row>
    <row r="33" spans="1:14" ht="18" customHeight="1">
      <c r="A33" s="1667" t="s">
        <v>8719</v>
      </c>
      <c r="B33" s="1664" t="s">
        <v>8720</v>
      </c>
      <c r="C33" s="1665">
        <v>25</v>
      </c>
      <c r="D33" s="1671"/>
      <c r="E33" s="1671"/>
      <c r="F33" s="1671"/>
      <c r="G33" s="4132"/>
      <c r="H33" s="1671"/>
      <c r="I33" s="1675">
        <v>9</v>
      </c>
      <c r="J33" s="1671"/>
      <c r="K33" s="1675">
        <v>5.4</v>
      </c>
      <c r="L33" s="1671"/>
      <c r="M33" s="4132"/>
      <c r="N33" s="4132"/>
    </row>
    <row r="34" spans="1:14" ht="18" customHeight="1">
      <c r="A34" s="1667" t="s">
        <v>8721</v>
      </c>
      <c r="B34" s="1664" t="s">
        <v>8722</v>
      </c>
      <c r="C34" s="1665">
        <v>28</v>
      </c>
      <c r="D34" s="1670"/>
      <c r="E34" s="1670"/>
      <c r="F34" s="1670"/>
      <c r="G34" s="4131"/>
      <c r="H34" s="1670"/>
      <c r="I34" s="1675">
        <v>10</v>
      </c>
      <c r="J34" s="1671"/>
      <c r="K34" s="1675">
        <v>6.4</v>
      </c>
      <c r="L34" s="1671"/>
      <c r="M34" s="4132"/>
      <c r="N34" s="4132"/>
    </row>
    <row r="35" spans="1:14" ht="30">
      <c r="A35" s="1667" t="s">
        <v>8723</v>
      </c>
      <c r="B35" s="1664" t="s">
        <v>8724</v>
      </c>
      <c r="C35" s="1665">
        <v>32</v>
      </c>
      <c r="D35" s="1666">
        <v>6.2E-2</v>
      </c>
      <c r="E35" s="1666">
        <v>0.18</v>
      </c>
      <c r="F35" s="1666">
        <v>0</v>
      </c>
      <c r="G35" s="4130" t="s">
        <v>8725</v>
      </c>
      <c r="H35" s="1666">
        <v>-2.5999999999999999E-2</v>
      </c>
      <c r="I35" s="1675">
        <v>11</v>
      </c>
      <c r="J35" s="1670"/>
      <c r="K35" s="1675">
        <v>7.4</v>
      </c>
      <c r="L35" s="1670"/>
      <c r="M35" s="4131"/>
      <c r="N35" s="4131"/>
    </row>
    <row r="36" spans="1:14" ht="30">
      <c r="A36" s="1667" t="s">
        <v>8726</v>
      </c>
      <c r="B36" s="1664" t="s">
        <v>8727</v>
      </c>
      <c r="C36" s="1665">
        <v>36</v>
      </c>
      <c r="D36" s="1669">
        <v>0</v>
      </c>
      <c r="E36" s="1669">
        <v>0.08</v>
      </c>
      <c r="F36" s="1669">
        <v>-6.2E-2</v>
      </c>
      <c r="G36" s="4132"/>
      <c r="H36" s="1669">
        <v>-8.7999999999999995E-2</v>
      </c>
      <c r="I36" s="1675">
        <v>12</v>
      </c>
      <c r="J36" s="1666">
        <v>0.3</v>
      </c>
      <c r="K36" s="1675">
        <v>8.4</v>
      </c>
      <c r="L36" s="1666">
        <v>0.3</v>
      </c>
      <c r="M36" s="4130">
        <v>0.7</v>
      </c>
      <c r="N36" s="4130">
        <v>1</v>
      </c>
    </row>
    <row r="37" spans="1:14" ht="30">
      <c r="A37" s="1667" t="s">
        <v>8728</v>
      </c>
      <c r="B37" s="1664" t="s">
        <v>8729</v>
      </c>
      <c r="C37" s="1665">
        <v>40</v>
      </c>
      <c r="D37" s="1671"/>
      <c r="E37" s="1671"/>
      <c r="F37" s="1671"/>
      <c r="G37" s="4132"/>
      <c r="H37" s="1671"/>
      <c r="I37" s="1675">
        <v>13</v>
      </c>
      <c r="J37" s="1669">
        <v>0</v>
      </c>
      <c r="K37" s="1675">
        <v>9.4</v>
      </c>
      <c r="L37" s="1669">
        <v>0</v>
      </c>
      <c r="M37" s="4132"/>
      <c r="N37" s="4132"/>
    </row>
    <row r="38" spans="1:14" ht="30">
      <c r="A38" s="1667" t="s">
        <v>8730</v>
      </c>
      <c r="B38" s="1664" t="s">
        <v>8731</v>
      </c>
      <c r="C38" s="1665">
        <v>45</v>
      </c>
      <c r="D38" s="1671"/>
      <c r="E38" s="1671"/>
      <c r="F38" s="1671"/>
      <c r="G38" s="4132"/>
      <c r="H38" s="1671"/>
      <c r="I38" s="1675">
        <v>15</v>
      </c>
      <c r="J38" s="1671"/>
      <c r="K38" s="1675">
        <v>10.4</v>
      </c>
      <c r="L38" s="1671"/>
      <c r="M38" s="4132"/>
      <c r="N38" s="4132"/>
    </row>
    <row r="39" spans="1:14" ht="30">
      <c r="A39" s="1667" t="s">
        <v>8732</v>
      </c>
      <c r="B39" s="1664" t="s">
        <v>8733</v>
      </c>
      <c r="C39" s="1665">
        <v>50</v>
      </c>
      <c r="D39" s="1670"/>
      <c r="E39" s="1670"/>
      <c r="F39" s="1670"/>
      <c r="G39" s="4131"/>
      <c r="H39" s="1670"/>
      <c r="I39" s="1675">
        <v>17</v>
      </c>
      <c r="J39" s="1671"/>
      <c r="K39" s="1675">
        <v>11.4</v>
      </c>
      <c r="L39" s="1671"/>
      <c r="M39" s="4131"/>
      <c r="N39" s="4131"/>
    </row>
    <row r="40" spans="1:14" ht="30">
      <c r="A40" s="1667" t="s">
        <v>8734</v>
      </c>
      <c r="B40" s="1664" t="s">
        <v>8735</v>
      </c>
      <c r="C40" s="1665">
        <v>56</v>
      </c>
      <c r="D40" s="1666">
        <v>7.3999999999999996E-2</v>
      </c>
      <c r="E40" s="1666">
        <v>0.22</v>
      </c>
      <c r="F40" s="1666">
        <v>0</v>
      </c>
      <c r="G40" s="4130" t="s">
        <v>8736</v>
      </c>
      <c r="H40" s="1666">
        <v>3.2000000000000001E-2</v>
      </c>
      <c r="I40" s="1675">
        <v>20</v>
      </c>
      <c r="J40" s="1671"/>
      <c r="K40" s="1675">
        <v>12.4</v>
      </c>
      <c r="L40" s="1671"/>
      <c r="M40" s="4130">
        <v>1.2</v>
      </c>
      <c r="N40" s="4130">
        <v>1.6</v>
      </c>
    </row>
    <row r="41" spans="1:14" ht="30">
      <c r="A41" s="1667" t="s">
        <v>8737</v>
      </c>
      <c r="B41" s="1664" t="s">
        <v>8738</v>
      </c>
      <c r="C41" s="1665">
        <v>63</v>
      </c>
      <c r="D41" s="1669">
        <v>0</v>
      </c>
      <c r="E41" s="1669">
        <v>0.1</v>
      </c>
      <c r="F41" s="1669">
        <v>-7.3999999999999996E-2</v>
      </c>
      <c r="G41" s="4132"/>
      <c r="H41" s="1669">
        <v>-0.106</v>
      </c>
      <c r="I41" s="1675">
        <v>20</v>
      </c>
      <c r="J41" s="1671"/>
      <c r="K41" s="1675">
        <v>12.4</v>
      </c>
      <c r="L41" s="1671"/>
      <c r="M41" s="4132"/>
      <c r="N41" s="4132"/>
    </row>
    <row r="42" spans="1:14" ht="30">
      <c r="A42" s="1667" t="s">
        <v>8739</v>
      </c>
      <c r="B42" s="1664" t="s">
        <v>8740</v>
      </c>
      <c r="C42" s="1665">
        <v>70</v>
      </c>
      <c r="D42" s="1671"/>
      <c r="E42" s="1671"/>
      <c r="F42" s="1671"/>
      <c r="G42" s="4132"/>
      <c r="H42" s="1671"/>
      <c r="I42" s="1675">
        <v>22</v>
      </c>
      <c r="J42" s="1671"/>
      <c r="K42" s="1675">
        <v>14.4</v>
      </c>
      <c r="L42" s="1671"/>
      <c r="M42" s="4131"/>
      <c r="N42" s="4131"/>
    </row>
    <row r="43" spans="1:14" ht="30">
      <c r="A43" s="1667" t="s">
        <v>8741</v>
      </c>
      <c r="B43" s="1664" t="s">
        <v>8742</v>
      </c>
      <c r="C43" s="1665">
        <v>80</v>
      </c>
      <c r="D43" s="1670"/>
      <c r="E43" s="1670"/>
      <c r="F43" s="1670"/>
      <c r="G43" s="4131"/>
      <c r="H43" s="1670"/>
      <c r="I43" s="1675">
        <v>25</v>
      </c>
      <c r="J43" s="1671"/>
      <c r="K43" s="1675">
        <v>15.4</v>
      </c>
      <c r="L43" s="1671"/>
      <c r="M43" s="4130">
        <v>2</v>
      </c>
      <c r="N43" s="4130">
        <v>2.5</v>
      </c>
    </row>
    <row r="44" spans="1:14" ht="30">
      <c r="A44" s="1667" t="s">
        <v>8743</v>
      </c>
      <c r="B44" s="1664" t="s">
        <v>8744</v>
      </c>
      <c r="C44" s="1665">
        <v>90</v>
      </c>
      <c r="D44" s="1666">
        <v>8.6999999999999994E-2</v>
      </c>
      <c r="E44" s="1666">
        <v>0.26</v>
      </c>
      <c r="F44" s="1666">
        <v>0</v>
      </c>
      <c r="G44" s="4130" t="s">
        <v>8745</v>
      </c>
      <c r="H44" s="1666">
        <v>-3.6999999999999998E-2</v>
      </c>
      <c r="I44" s="1675">
        <v>28</v>
      </c>
      <c r="J44" s="1671"/>
      <c r="K44" s="1675">
        <v>17.399999999999999</v>
      </c>
      <c r="L44" s="1671"/>
      <c r="M44" s="4132"/>
      <c r="N44" s="4132"/>
    </row>
    <row r="45" spans="1:14" ht="30">
      <c r="A45" s="1667" t="s">
        <v>8746</v>
      </c>
      <c r="B45" s="1672" t="s">
        <v>8747</v>
      </c>
      <c r="C45" s="1673">
        <v>100</v>
      </c>
      <c r="D45" s="1668">
        <v>0</v>
      </c>
      <c r="E45" s="1668">
        <v>0.12</v>
      </c>
      <c r="F45" s="1668">
        <v>-8.6999999999999994E-2</v>
      </c>
      <c r="G45" s="4131"/>
      <c r="H45" s="1668">
        <v>-0.124</v>
      </c>
      <c r="I45" s="1675">
        <v>31</v>
      </c>
      <c r="J45" s="1670"/>
      <c r="K45" s="1675">
        <v>19.5</v>
      </c>
      <c r="L45" s="1670"/>
      <c r="M45" s="4131"/>
      <c r="N45" s="4131"/>
    </row>
  </sheetData>
  <mergeCells count="35">
    <mergeCell ref="N40:N42"/>
    <mergeCell ref="N43:N45"/>
    <mergeCell ref="A13:N14"/>
    <mergeCell ref="M16:N18"/>
    <mergeCell ref="I17:J18"/>
    <mergeCell ref="K17:L18"/>
    <mergeCell ref="N20:N22"/>
    <mergeCell ref="N23:N25"/>
    <mergeCell ref="N26:N30"/>
    <mergeCell ref="N31:N35"/>
    <mergeCell ref="N36:N39"/>
    <mergeCell ref="G44:G45"/>
    <mergeCell ref="M20:M22"/>
    <mergeCell ref="M23:M25"/>
    <mergeCell ref="M26:M30"/>
    <mergeCell ref="M31:M35"/>
    <mergeCell ref="M36:M39"/>
    <mergeCell ref="M40:M42"/>
    <mergeCell ref="M43:M45"/>
    <mergeCell ref="G25:G26"/>
    <mergeCell ref="G27:G30"/>
    <mergeCell ref="G31:G34"/>
    <mergeCell ref="G35:G39"/>
    <mergeCell ref="G40:G43"/>
    <mergeCell ref="A16:A19"/>
    <mergeCell ref="B16:B19"/>
    <mergeCell ref="C17:C19"/>
    <mergeCell ref="G20:G21"/>
    <mergeCell ref="G22:G24"/>
    <mergeCell ref="C15:N15"/>
    <mergeCell ref="C16:H16"/>
    <mergeCell ref="I16:L16"/>
    <mergeCell ref="D17:H17"/>
    <mergeCell ref="D18:E18"/>
    <mergeCell ref="F18:G18"/>
  </mergeCells>
  <phoneticPr fontId="378" type="noConversion"/>
  <hyperlinks>
    <hyperlink ref="M3" location="总目录!A1" display="总目录!A1"/>
  </hyperlinks>
  <pageMargins left="0.66944444444444495" right="0.42916666666666697" top="0.66944444444444495" bottom="0.62916666666666698" header="0.50902777777777797" footer="0.50902777777777797"/>
  <pageSetup paperSize="9" scale="68" orientation="portrait"/>
  <headerFooter scaleWithDoc="0" alignWithMargins="0"/>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
  <sheetViews>
    <sheetView workbookViewId="0">
      <pane ySplit="4" topLeftCell="A5" activePane="bottomLeft" state="frozen"/>
      <selection activeCell="K3" sqref="K3"/>
      <selection pane="bottomLeft" activeCell="R1" sqref="R1:R3"/>
    </sheetView>
  </sheetViews>
  <sheetFormatPr defaultColWidth="8.75" defaultRowHeight="16.5"/>
  <cols>
    <col min="1" max="1" width="5.125" style="828" customWidth="1"/>
    <col min="2" max="2" width="5.5" style="828" customWidth="1"/>
    <col min="3" max="3" width="8" style="828"/>
    <col min="4" max="4" width="6.5" style="828" customWidth="1"/>
    <col min="5" max="5" width="8" style="828"/>
    <col min="6" max="6" width="6.375" style="828" customWidth="1"/>
    <col min="7" max="7" width="8" style="828" customWidth="1"/>
    <col min="8" max="8" width="6.5" style="828" customWidth="1"/>
    <col min="9" max="9" width="8" style="828" customWidth="1"/>
    <col min="10" max="11" width="5.375" style="828" customWidth="1"/>
    <col min="12" max="12" width="5" style="828"/>
    <col min="13" max="13" width="6.125" style="828" customWidth="1"/>
    <col min="14" max="14" width="8" style="828"/>
    <col min="15" max="15" width="6.125" style="828" customWidth="1"/>
    <col min="16" max="16" width="8" style="828"/>
    <col min="17" max="17" width="6" style="828"/>
    <col min="18" max="32" width="9" style="828"/>
    <col min="33" max="16384" width="8.75" style="828"/>
  </cols>
  <sheetData>
    <row r="1" spans="1:18" ht="25.5">
      <c r="A1" s="4159" t="s">
        <v>8748</v>
      </c>
      <c r="B1" s="4159"/>
      <c r="C1" s="4159"/>
      <c r="D1" s="4159"/>
      <c r="E1" s="4159"/>
      <c r="F1" s="4159"/>
      <c r="G1" s="4159"/>
      <c r="H1" s="4159"/>
      <c r="I1" s="4159"/>
      <c r="J1" s="4159"/>
      <c r="K1" s="4159"/>
      <c r="L1" s="4159"/>
      <c r="M1" s="4159"/>
      <c r="N1" s="4159"/>
      <c r="O1" s="4159"/>
      <c r="P1" s="4159"/>
      <c r="Q1" s="4159"/>
      <c r="R1" s="3361" t="s">
        <v>12716</v>
      </c>
    </row>
    <row r="2" spans="1:18">
      <c r="A2" s="4144" t="s">
        <v>8749</v>
      </c>
      <c r="B2" s="4160" t="s">
        <v>8750</v>
      </c>
      <c r="C2" s="4160"/>
      <c r="D2" s="4160"/>
      <c r="E2" s="4160"/>
      <c r="F2" s="4160"/>
      <c r="G2" s="4160"/>
      <c r="H2" s="4160"/>
      <c r="I2" s="4160"/>
      <c r="J2" s="4160"/>
      <c r="K2" s="4161" t="s">
        <v>8751</v>
      </c>
      <c r="L2" s="4162"/>
      <c r="M2" s="4162"/>
      <c r="N2" s="4162"/>
      <c r="O2" s="4162"/>
      <c r="P2" s="4162"/>
      <c r="Q2" s="4163"/>
      <c r="R2" s="3361"/>
    </row>
    <row r="3" spans="1:18" ht="18.75" customHeight="1">
      <c r="A3" s="4144"/>
      <c r="B3" s="4143" t="s">
        <v>6565</v>
      </c>
      <c r="C3" s="4143"/>
      <c r="D3" s="4153" t="s">
        <v>4554</v>
      </c>
      <c r="E3" s="4154"/>
      <c r="F3" s="4153" t="s">
        <v>6556</v>
      </c>
      <c r="G3" s="4154"/>
      <c r="H3" s="4153" t="s">
        <v>6345</v>
      </c>
      <c r="I3" s="4154"/>
      <c r="J3" s="1657" t="s">
        <v>5900</v>
      </c>
      <c r="K3" s="4164" t="s">
        <v>8752</v>
      </c>
      <c r="L3" s="4164"/>
      <c r="M3" s="4153" t="s">
        <v>6691</v>
      </c>
      <c r="N3" s="4154"/>
      <c r="O3" s="4143" t="s">
        <v>6088</v>
      </c>
      <c r="P3" s="4143"/>
      <c r="Q3" s="1649" t="s">
        <v>6569</v>
      </c>
      <c r="R3" s="3361"/>
    </row>
    <row r="4" spans="1:18" ht="33">
      <c r="A4" s="1650"/>
      <c r="B4" s="1651" t="s">
        <v>8753</v>
      </c>
      <c r="C4" s="1651" t="s">
        <v>8754</v>
      </c>
      <c r="D4" s="1651" t="s">
        <v>8753</v>
      </c>
      <c r="E4" s="1651" t="s">
        <v>8754</v>
      </c>
      <c r="F4" s="1651" t="s">
        <v>8753</v>
      </c>
      <c r="G4" s="1651" t="s">
        <v>8754</v>
      </c>
      <c r="H4" s="1651" t="s">
        <v>8753</v>
      </c>
      <c r="I4" s="1651" t="s">
        <v>8754</v>
      </c>
      <c r="J4" s="1658" t="s">
        <v>8755</v>
      </c>
      <c r="K4" s="1651" t="s">
        <v>1740</v>
      </c>
      <c r="L4" s="1659" t="s">
        <v>8756</v>
      </c>
      <c r="M4" s="1651" t="s">
        <v>8753</v>
      </c>
      <c r="N4" s="1651" t="s">
        <v>8754</v>
      </c>
      <c r="O4" s="1651" t="s">
        <v>8753</v>
      </c>
      <c r="P4" s="1651" t="s">
        <v>8754</v>
      </c>
      <c r="Q4" s="1651" t="s">
        <v>8200</v>
      </c>
    </row>
    <row r="5" spans="1:18" ht="33">
      <c r="A5" s="1652">
        <v>0.8</v>
      </c>
      <c r="B5" s="830">
        <v>0.8</v>
      </c>
      <c r="C5" s="1653" t="s">
        <v>8757</v>
      </c>
      <c r="D5" s="830">
        <v>2</v>
      </c>
      <c r="E5" s="4158" t="s">
        <v>8758</v>
      </c>
      <c r="F5" s="830">
        <v>0.7</v>
      </c>
      <c r="G5" s="4145" t="s">
        <v>8759</v>
      </c>
      <c r="H5" s="830">
        <v>0.2</v>
      </c>
      <c r="I5" s="830" t="s">
        <v>8760</v>
      </c>
      <c r="J5" s="830">
        <v>0.3</v>
      </c>
      <c r="K5" s="1660">
        <v>1</v>
      </c>
      <c r="L5" s="1660">
        <v>1.4</v>
      </c>
      <c r="M5" s="1661">
        <v>0.8</v>
      </c>
      <c r="N5" s="1653" t="s">
        <v>8761</v>
      </c>
      <c r="O5" s="1661">
        <v>0.3</v>
      </c>
      <c r="P5" s="4148" t="s">
        <v>8762</v>
      </c>
      <c r="Q5" s="830">
        <v>0.4</v>
      </c>
    </row>
    <row r="6" spans="1:18" ht="18.75" customHeight="1">
      <c r="A6" s="1652">
        <v>1.2</v>
      </c>
      <c r="B6" s="830">
        <v>1.2</v>
      </c>
      <c r="C6" s="4145" t="s">
        <v>8763</v>
      </c>
      <c r="D6" s="830">
        <v>3</v>
      </c>
      <c r="E6" s="4158"/>
      <c r="F6" s="830">
        <v>1</v>
      </c>
      <c r="G6" s="4146"/>
      <c r="H6" s="830">
        <v>0.3</v>
      </c>
      <c r="I6" s="830" t="s">
        <v>8764</v>
      </c>
      <c r="J6" s="830">
        <v>0.4</v>
      </c>
      <c r="K6" s="1660">
        <v>1.4</v>
      </c>
      <c r="L6" s="1660">
        <v>2</v>
      </c>
      <c r="M6" s="1661">
        <v>1.2</v>
      </c>
      <c r="N6" s="4145" t="s">
        <v>8765</v>
      </c>
      <c r="O6" s="1661">
        <v>0.4</v>
      </c>
      <c r="P6" s="4148"/>
      <c r="Q6" s="830">
        <v>0.6</v>
      </c>
    </row>
    <row r="7" spans="1:18">
      <c r="A7" s="1652">
        <v>1.5</v>
      </c>
      <c r="B7" s="830">
        <v>1.5</v>
      </c>
      <c r="C7" s="4146"/>
      <c r="D7" s="830">
        <v>4</v>
      </c>
      <c r="E7" s="4158" t="s">
        <v>8766</v>
      </c>
      <c r="F7" s="830">
        <v>1.3</v>
      </c>
      <c r="G7" s="4146"/>
      <c r="H7" s="830">
        <v>0.4</v>
      </c>
      <c r="I7" s="4155" t="s">
        <v>8767</v>
      </c>
      <c r="J7" s="830">
        <v>0.6</v>
      </c>
      <c r="K7" s="1660">
        <v>2</v>
      </c>
      <c r="L7" s="1660">
        <v>2.5</v>
      </c>
      <c r="M7" s="1661">
        <v>1.5</v>
      </c>
      <c r="N7" s="4146"/>
      <c r="O7" s="4149">
        <v>0.5</v>
      </c>
      <c r="P7" s="4148"/>
      <c r="Q7" s="830">
        <v>0.8</v>
      </c>
    </row>
    <row r="8" spans="1:18">
      <c r="A8" s="1652">
        <v>2</v>
      </c>
      <c r="B8" s="830">
        <v>2</v>
      </c>
      <c r="C8" s="4146"/>
      <c r="D8" s="830">
        <v>5</v>
      </c>
      <c r="E8" s="4158"/>
      <c r="F8" s="830">
        <v>1.7</v>
      </c>
      <c r="G8" s="4146"/>
      <c r="H8" s="830">
        <v>0.4</v>
      </c>
      <c r="I8" s="4156"/>
      <c r="J8" s="830">
        <v>0.7</v>
      </c>
      <c r="K8" s="1660">
        <v>2.5</v>
      </c>
      <c r="L8" s="1660">
        <v>3.2</v>
      </c>
      <c r="M8" s="1661">
        <v>2</v>
      </c>
      <c r="N8" s="4146"/>
      <c r="O8" s="4149"/>
      <c r="P8" s="4148"/>
      <c r="Q8" s="4155">
        <v>1</v>
      </c>
    </row>
    <row r="9" spans="1:18">
      <c r="A9" s="1652">
        <v>2.5</v>
      </c>
      <c r="B9" s="830">
        <v>2.5</v>
      </c>
      <c r="C9" s="4146"/>
      <c r="D9" s="830">
        <v>6</v>
      </c>
      <c r="E9" s="4158"/>
      <c r="F9" s="830">
        <v>2.1</v>
      </c>
      <c r="G9" s="4146"/>
      <c r="H9" s="830">
        <v>0.4</v>
      </c>
      <c r="I9" s="4157"/>
      <c r="J9" s="830">
        <v>0.8</v>
      </c>
      <c r="K9" s="1660">
        <v>3.2</v>
      </c>
      <c r="L9" s="1660">
        <v>4</v>
      </c>
      <c r="M9" s="1661">
        <v>2.5</v>
      </c>
      <c r="N9" s="4146"/>
      <c r="O9" s="4149"/>
      <c r="P9" s="4148"/>
      <c r="Q9" s="4156"/>
    </row>
    <row r="10" spans="1:18">
      <c r="A10" s="1652">
        <v>3</v>
      </c>
      <c r="B10" s="830">
        <v>3</v>
      </c>
      <c r="C10" s="4147"/>
      <c r="D10" s="830">
        <v>7</v>
      </c>
      <c r="E10" s="4158"/>
      <c r="F10" s="830">
        <v>2.6</v>
      </c>
      <c r="G10" s="4147"/>
      <c r="H10" s="830">
        <v>0.6</v>
      </c>
      <c r="I10" s="4155" t="s">
        <v>8768</v>
      </c>
      <c r="J10" s="830">
        <v>0.9</v>
      </c>
      <c r="K10" s="1660">
        <v>4</v>
      </c>
      <c r="L10" s="1660">
        <v>5</v>
      </c>
      <c r="M10" s="1661">
        <v>3</v>
      </c>
      <c r="N10" s="4147"/>
      <c r="O10" s="4150">
        <v>0.7</v>
      </c>
      <c r="P10" s="4148" t="s">
        <v>8769</v>
      </c>
      <c r="Q10" s="4157"/>
    </row>
    <row r="11" spans="1:18">
      <c r="A11" s="1652">
        <v>4</v>
      </c>
      <c r="B11" s="830">
        <v>4</v>
      </c>
      <c r="C11" s="4145" t="s">
        <v>8770</v>
      </c>
      <c r="D11" s="830">
        <v>9</v>
      </c>
      <c r="E11" s="4158"/>
      <c r="F11" s="830">
        <v>3.5</v>
      </c>
      <c r="G11" s="4145" t="s">
        <v>8771</v>
      </c>
      <c r="H11" s="830">
        <v>0.6</v>
      </c>
      <c r="I11" s="4156"/>
      <c r="J11" s="830">
        <v>1.1000000000000001</v>
      </c>
      <c r="K11" s="1660">
        <v>5</v>
      </c>
      <c r="L11" s="1660">
        <v>7</v>
      </c>
      <c r="M11" s="1661">
        <v>4</v>
      </c>
      <c r="N11" s="4145" t="s">
        <v>8772</v>
      </c>
      <c r="O11" s="4151"/>
      <c r="P11" s="4148"/>
      <c r="Q11" s="4155">
        <v>1.2</v>
      </c>
    </row>
    <row r="12" spans="1:18">
      <c r="A12" s="1652">
        <v>5</v>
      </c>
      <c r="B12" s="830">
        <v>5</v>
      </c>
      <c r="C12" s="4146"/>
      <c r="D12" s="830">
        <v>11</v>
      </c>
      <c r="E12" s="4158"/>
      <c r="F12" s="830">
        <v>4.3</v>
      </c>
      <c r="G12" s="4146"/>
      <c r="H12" s="830">
        <v>0.6</v>
      </c>
      <c r="I12" s="4156"/>
      <c r="J12" s="830">
        <v>1.2</v>
      </c>
      <c r="K12" s="1660">
        <v>6</v>
      </c>
      <c r="L12" s="1660">
        <v>8</v>
      </c>
      <c r="M12" s="1661">
        <v>5</v>
      </c>
      <c r="N12" s="4146"/>
      <c r="O12" s="4152"/>
      <c r="P12" s="4148"/>
      <c r="Q12" s="4156"/>
    </row>
    <row r="13" spans="1:18">
      <c r="A13" s="1652">
        <v>6</v>
      </c>
      <c r="B13" s="830">
        <v>6</v>
      </c>
      <c r="C13" s="4147"/>
      <c r="D13" s="830">
        <v>12</v>
      </c>
      <c r="E13" s="4158"/>
      <c r="F13" s="830">
        <v>5.2</v>
      </c>
      <c r="G13" s="4147"/>
      <c r="H13" s="830">
        <v>0.8</v>
      </c>
      <c r="I13" s="4156"/>
      <c r="J13" s="830">
        <v>1.4</v>
      </c>
      <c r="K13" s="1660">
        <v>7</v>
      </c>
      <c r="L13" s="1660">
        <v>9</v>
      </c>
      <c r="M13" s="1661">
        <v>6</v>
      </c>
      <c r="N13" s="4147"/>
      <c r="O13" s="4149">
        <v>0.9</v>
      </c>
      <c r="P13" s="4148"/>
      <c r="Q13" s="4157"/>
    </row>
    <row r="14" spans="1:18">
      <c r="A14" s="1652">
        <v>7</v>
      </c>
      <c r="B14" s="830">
        <v>7</v>
      </c>
      <c r="C14" s="4145" t="s">
        <v>8773</v>
      </c>
      <c r="D14" s="830">
        <v>14</v>
      </c>
      <c r="E14" s="4158"/>
      <c r="F14" s="830">
        <v>6.1</v>
      </c>
      <c r="G14" s="4148" t="s">
        <v>8774</v>
      </c>
      <c r="H14" s="830">
        <v>0.8</v>
      </c>
      <c r="I14" s="4156"/>
      <c r="J14" s="830">
        <v>1.6</v>
      </c>
      <c r="K14" s="1660">
        <v>8</v>
      </c>
      <c r="L14" s="1660">
        <v>11</v>
      </c>
      <c r="M14" s="1661">
        <v>7</v>
      </c>
      <c r="N14" s="4145" t="s">
        <v>8775</v>
      </c>
      <c r="O14" s="4149"/>
      <c r="P14" s="4148"/>
      <c r="Q14" s="830">
        <v>1.5</v>
      </c>
    </row>
    <row r="15" spans="1:18" ht="14.25" customHeight="1">
      <c r="A15" s="1652">
        <v>8</v>
      </c>
      <c r="B15" s="830">
        <v>8</v>
      </c>
      <c r="C15" s="4146"/>
      <c r="D15" s="830">
        <v>16</v>
      </c>
      <c r="E15" s="4158"/>
      <c r="F15" s="830">
        <v>6.9</v>
      </c>
      <c r="G15" s="4148"/>
      <c r="H15" s="830">
        <v>0.8</v>
      </c>
      <c r="I15" s="4156"/>
      <c r="J15" s="830">
        <v>1.8</v>
      </c>
      <c r="K15" s="1660">
        <v>9</v>
      </c>
      <c r="L15" s="1660">
        <v>12</v>
      </c>
      <c r="M15" s="1661">
        <v>8</v>
      </c>
      <c r="N15" s="4146"/>
      <c r="O15" s="4149"/>
      <c r="P15" s="4148"/>
      <c r="Q15" s="830">
        <v>1.8</v>
      </c>
    </row>
    <row r="16" spans="1:18">
      <c r="A16" s="1652">
        <v>9</v>
      </c>
      <c r="B16" s="830">
        <v>9</v>
      </c>
      <c r="C16" s="4146"/>
      <c r="D16" s="830">
        <v>18</v>
      </c>
      <c r="E16" s="4158"/>
      <c r="F16" s="830">
        <v>7.8</v>
      </c>
      <c r="G16" s="4148"/>
      <c r="H16" s="830">
        <v>0.8</v>
      </c>
      <c r="I16" s="4156"/>
      <c r="J16" s="830">
        <v>2</v>
      </c>
      <c r="K16" s="1660">
        <v>10</v>
      </c>
      <c r="L16" s="1660">
        <v>14</v>
      </c>
      <c r="M16" s="1661">
        <v>9</v>
      </c>
      <c r="N16" s="4146"/>
      <c r="O16" s="4149"/>
      <c r="P16" s="4148"/>
      <c r="Q16" s="4155">
        <v>2</v>
      </c>
    </row>
    <row r="17" spans="1:17">
      <c r="A17" s="1652">
        <v>10</v>
      </c>
      <c r="B17" s="830">
        <v>10</v>
      </c>
      <c r="C17" s="4147"/>
      <c r="D17" s="830">
        <v>20</v>
      </c>
      <c r="E17" s="4155" t="s">
        <v>8776</v>
      </c>
      <c r="F17" s="1654">
        <v>8.6999999999999993</v>
      </c>
      <c r="G17" s="4148"/>
      <c r="H17" s="830">
        <v>1</v>
      </c>
      <c r="I17" s="4156"/>
      <c r="J17" s="830">
        <v>2.2000000000000002</v>
      </c>
      <c r="K17" s="1660">
        <v>11</v>
      </c>
      <c r="L17" s="1660">
        <v>15</v>
      </c>
      <c r="M17" s="1661">
        <v>10</v>
      </c>
      <c r="N17" s="4147"/>
      <c r="O17" s="4149">
        <v>1.1499999999999999</v>
      </c>
      <c r="P17" s="4145" t="s">
        <v>8777</v>
      </c>
      <c r="Q17" s="4157"/>
    </row>
    <row r="18" spans="1:17">
      <c r="A18" s="1652">
        <v>12</v>
      </c>
      <c r="B18" s="830">
        <v>12</v>
      </c>
      <c r="C18" s="4145" t="s">
        <v>8778</v>
      </c>
      <c r="D18" s="830">
        <v>23</v>
      </c>
      <c r="E18" s="4156"/>
      <c r="F18" s="1655">
        <v>10.4</v>
      </c>
      <c r="G18" s="4148" t="s">
        <v>8779</v>
      </c>
      <c r="H18" s="830">
        <v>1</v>
      </c>
      <c r="I18" s="4157"/>
      <c r="J18" s="830">
        <v>2.4</v>
      </c>
      <c r="K18" s="1660">
        <v>13</v>
      </c>
      <c r="L18" s="1660">
        <v>18</v>
      </c>
      <c r="M18" s="1661">
        <v>12</v>
      </c>
      <c r="N18" s="4145" t="s">
        <v>8780</v>
      </c>
      <c r="O18" s="4149"/>
      <c r="P18" s="4146"/>
      <c r="Q18" s="830">
        <v>2.5</v>
      </c>
    </row>
    <row r="19" spans="1:17">
      <c r="A19" s="1652">
        <v>15</v>
      </c>
      <c r="B19" s="830">
        <v>15</v>
      </c>
      <c r="C19" s="4147"/>
      <c r="D19" s="830">
        <v>29</v>
      </c>
      <c r="E19" s="4156"/>
      <c r="F19" s="1655">
        <v>13</v>
      </c>
      <c r="G19" s="4148"/>
      <c r="H19" s="830">
        <v>1.6</v>
      </c>
      <c r="I19" s="4155" t="s">
        <v>8781</v>
      </c>
      <c r="J19" s="830">
        <v>2.8</v>
      </c>
      <c r="K19" s="1660">
        <v>16</v>
      </c>
      <c r="L19" s="1660">
        <v>24</v>
      </c>
      <c r="M19" s="1661">
        <v>15</v>
      </c>
      <c r="N19" s="4147"/>
      <c r="O19" s="4149">
        <v>1.75</v>
      </c>
      <c r="P19" s="4146"/>
      <c r="Q19" s="830">
        <v>3</v>
      </c>
    </row>
    <row r="20" spans="1:17">
      <c r="A20" s="1652">
        <v>19</v>
      </c>
      <c r="B20" s="830">
        <v>19</v>
      </c>
      <c r="C20" s="4145" t="s">
        <v>8782</v>
      </c>
      <c r="D20" s="830">
        <v>37</v>
      </c>
      <c r="E20" s="4156"/>
      <c r="F20" s="1655">
        <v>16.5</v>
      </c>
      <c r="G20" s="4148"/>
      <c r="H20" s="830">
        <v>1.6</v>
      </c>
      <c r="I20" s="4157"/>
      <c r="J20" s="830">
        <v>4</v>
      </c>
      <c r="K20" s="1660">
        <v>20</v>
      </c>
      <c r="L20" s="1660">
        <v>31</v>
      </c>
      <c r="M20" s="1661">
        <v>19</v>
      </c>
      <c r="N20" s="4145" t="s">
        <v>8783</v>
      </c>
      <c r="O20" s="4149"/>
      <c r="P20" s="4146"/>
      <c r="Q20" s="830">
        <v>3.5</v>
      </c>
    </row>
    <row r="21" spans="1:17" ht="33">
      <c r="A21" s="1652">
        <v>24</v>
      </c>
      <c r="B21" s="830">
        <v>24</v>
      </c>
      <c r="C21" s="4147"/>
      <c r="D21" s="830">
        <v>44</v>
      </c>
      <c r="E21" s="4157"/>
      <c r="F21" s="1656">
        <v>20.8</v>
      </c>
      <c r="G21" s="1653" t="s">
        <v>8784</v>
      </c>
      <c r="H21" s="830">
        <v>2</v>
      </c>
      <c r="I21" s="830" t="s">
        <v>8785</v>
      </c>
      <c r="J21" s="830">
        <v>5</v>
      </c>
      <c r="K21" s="1660">
        <v>25</v>
      </c>
      <c r="L21" s="1660">
        <v>38</v>
      </c>
      <c r="M21" s="1661">
        <v>24</v>
      </c>
      <c r="N21" s="4147"/>
      <c r="O21" s="1661">
        <v>2.2000000000000002</v>
      </c>
      <c r="P21" s="4147"/>
      <c r="Q21" s="830">
        <v>4</v>
      </c>
    </row>
  </sheetData>
  <mergeCells count="43">
    <mergeCell ref="O19:O20"/>
    <mergeCell ref="R1:R3"/>
    <mergeCell ref="P5:P9"/>
    <mergeCell ref="P10:P16"/>
    <mergeCell ref="P17:P21"/>
    <mergeCell ref="Q8:Q10"/>
    <mergeCell ref="Q11:Q13"/>
    <mergeCell ref="Q16:Q17"/>
    <mergeCell ref="A1:Q1"/>
    <mergeCell ref="B2:J2"/>
    <mergeCell ref="K2:Q2"/>
    <mergeCell ref="B3:C3"/>
    <mergeCell ref="D3:E3"/>
    <mergeCell ref="F3:G3"/>
    <mergeCell ref="H3:I3"/>
    <mergeCell ref="K3:L3"/>
    <mergeCell ref="I19:I20"/>
    <mergeCell ref="N6:N10"/>
    <mergeCell ref="N11:N13"/>
    <mergeCell ref="N14:N17"/>
    <mergeCell ref="N18:N19"/>
    <mergeCell ref="N20:N21"/>
    <mergeCell ref="C20:C21"/>
    <mergeCell ref="E5:E6"/>
    <mergeCell ref="E7:E16"/>
    <mergeCell ref="E17:E21"/>
    <mergeCell ref="G18:G20"/>
    <mergeCell ref="O3:P3"/>
    <mergeCell ref="A2:A3"/>
    <mergeCell ref="C6:C10"/>
    <mergeCell ref="C11:C13"/>
    <mergeCell ref="C14:C17"/>
    <mergeCell ref="G5:G10"/>
    <mergeCell ref="G11:G13"/>
    <mergeCell ref="G14:G17"/>
    <mergeCell ref="O7:O9"/>
    <mergeCell ref="O10:O12"/>
    <mergeCell ref="O13:O16"/>
    <mergeCell ref="O17:O18"/>
    <mergeCell ref="M3:N3"/>
    <mergeCell ref="C18:C19"/>
    <mergeCell ref="I7:I9"/>
    <mergeCell ref="I10:I18"/>
  </mergeCells>
  <phoneticPr fontId="378" type="noConversion"/>
  <hyperlinks>
    <hyperlink ref="R1:R3" location="总目录!A1" display="总目录!A1"/>
  </hyperlinks>
  <printOptions horizontalCentered="1"/>
  <pageMargins left="0.34930555555555598" right="0.34930555555555598" top="0.78888888888888897" bottom="0.78888888888888897" header="0.50902777777777797" footer="0.50902777777777797"/>
  <pageSetup paperSize="9" orientation="landscape"/>
  <headerFooter scaleWithDoc="0"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
  <sheetViews>
    <sheetView workbookViewId="0">
      <pane ySplit="4" topLeftCell="A26" activePane="bottomLeft" state="frozen"/>
      <selection activeCell="K3" sqref="K3"/>
      <selection pane="bottomLeft" activeCell="R1" sqref="R1:R4"/>
    </sheetView>
  </sheetViews>
  <sheetFormatPr defaultColWidth="8.75" defaultRowHeight="16.5"/>
  <cols>
    <col min="1" max="3" width="5" style="828"/>
    <col min="4" max="4" width="10" style="828"/>
    <col min="5" max="5" width="8" style="828"/>
    <col min="6" max="6" width="10" style="828"/>
    <col min="7" max="7" width="8" style="828"/>
    <col min="8" max="10" width="6" style="828"/>
    <col min="11" max="12" width="5" style="828"/>
    <col min="13" max="13" width="10" style="828"/>
    <col min="14" max="14" width="8" style="828"/>
    <col min="15" max="15" width="10" style="828"/>
    <col min="16" max="16" width="8" style="828"/>
    <col min="17" max="17" width="6" style="828"/>
    <col min="18" max="32" width="9" style="828"/>
    <col min="33" max="16384" width="8.75" style="828"/>
  </cols>
  <sheetData>
    <row r="1" spans="1:18" ht="25.5">
      <c r="A1" s="4181" t="s">
        <v>8786</v>
      </c>
      <c r="B1" s="4181"/>
      <c r="C1" s="4181"/>
      <c r="D1" s="4181"/>
      <c r="E1" s="4181"/>
      <c r="F1" s="4181"/>
      <c r="G1" s="4181"/>
      <c r="H1" s="4181"/>
      <c r="I1" s="4181"/>
      <c r="J1" s="4181"/>
      <c r="K1" s="4181"/>
      <c r="L1" s="4181"/>
      <c r="M1" s="4181"/>
      <c r="N1" s="4181"/>
      <c r="O1" s="4181"/>
      <c r="P1" s="4181"/>
      <c r="Q1" s="4181"/>
      <c r="R1" s="3361" t="s">
        <v>12716</v>
      </c>
    </row>
    <row r="2" spans="1:18">
      <c r="A2" s="4176" t="s">
        <v>8787</v>
      </c>
      <c r="B2" s="4176"/>
      <c r="C2" s="4176"/>
      <c r="D2" s="4176" t="s">
        <v>8788</v>
      </c>
      <c r="E2" s="4176"/>
      <c r="F2" s="4176"/>
      <c r="G2" s="4176"/>
      <c r="H2" s="4176"/>
      <c r="I2" s="4176"/>
      <c r="J2" s="4182"/>
      <c r="K2" s="4176" t="s">
        <v>8789</v>
      </c>
      <c r="L2" s="4176"/>
      <c r="M2" s="4176"/>
      <c r="N2" s="4176"/>
      <c r="O2" s="4176"/>
      <c r="P2" s="4176"/>
      <c r="Q2" s="4176"/>
      <c r="R2" s="3361"/>
    </row>
    <row r="3" spans="1:18">
      <c r="A3" s="4176"/>
      <c r="B3" s="4176"/>
      <c r="C3" s="4176"/>
      <c r="D3" s="4176" t="s">
        <v>8790</v>
      </c>
      <c r="E3" s="4176"/>
      <c r="F3" s="4176" t="s">
        <v>8791</v>
      </c>
      <c r="G3" s="4176"/>
      <c r="H3" s="4166" t="s">
        <v>8792</v>
      </c>
      <c r="I3" s="4166" t="s">
        <v>8793</v>
      </c>
      <c r="J3" s="4166" t="s">
        <v>8794</v>
      </c>
      <c r="K3" s="4174" t="s">
        <v>8795</v>
      </c>
      <c r="L3" s="4174" t="s">
        <v>6650</v>
      </c>
      <c r="M3" s="4176" t="s">
        <v>8796</v>
      </c>
      <c r="N3" s="4176"/>
      <c r="O3" s="4176" t="s">
        <v>8797</v>
      </c>
      <c r="P3" s="4176"/>
      <c r="Q3" s="1639" t="s">
        <v>6569</v>
      </c>
      <c r="R3" s="3361"/>
    </row>
    <row r="4" spans="1:18">
      <c r="A4" s="1640">
        <v>1</v>
      </c>
      <c r="B4" s="1640">
        <v>2</v>
      </c>
      <c r="C4" s="1640">
        <v>3</v>
      </c>
      <c r="D4" s="1640" t="s">
        <v>8753</v>
      </c>
      <c r="E4" s="1640" t="s">
        <v>8754</v>
      </c>
      <c r="F4" s="1640" t="s">
        <v>8753</v>
      </c>
      <c r="G4" s="1640" t="s">
        <v>8754</v>
      </c>
      <c r="H4" s="4167"/>
      <c r="I4" s="4167"/>
      <c r="J4" s="4167"/>
      <c r="K4" s="4175"/>
      <c r="L4" s="4175"/>
      <c r="M4" s="1640" t="s">
        <v>8753</v>
      </c>
      <c r="N4" s="1640" t="s">
        <v>8754</v>
      </c>
      <c r="O4" s="1640" t="s">
        <v>8753</v>
      </c>
      <c r="P4" s="1640" t="s">
        <v>8754</v>
      </c>
      <c r="Q4" s="1640" t="s">
        <v>8200</v>
      </c>
      <c r="R4" s="3361"/>
    </row>
    <row r="5" spans="1:18" ht="31.5">
      <c r="A5" s="1641">
        <v>10</v>
      </c>
      <c r="B5" s="1641"/>
      <c r="C5" s="1641"/>
      <c r="D5" s="1642">
        <v>9.3000000000000007</v>
      </c>
      <c r="E5" s="4165" t="s">
        <v>8071</v>
      </c>
      <c r="F5" s="4165">
        <v>1</v>
      </c>
      <c r="G5" s="4165" t="s">
        <v>8069</v>
      </c>
      <c r="H5" s="1642">
        <v>1.6</v>
      </c>
      <c r="I5" s="1642">
        <v>3</v>
      </c>
      <c r="J5" s="4165">
        <v>1.2</v>
      </c>
      <c r="K5" s="1642">
        <v>17</v>
      </c>
      <c r="L5" s="1643">
        <v>10</v>
      </c>
      <c r="M5" s="1641">
        <v>9.6</v>
      </c>
      <c r="N5" s="1648" t="s">
        <v>8798</v>
      </c>
      <c r="O5" s="4177">
        <v>1.1499999999999999</v>
      </c>
      <c r="P5" s="4180" t="s">
        <v>8777</v>
      </c>
      <c r="Q5" s="4165">
        <v>1.5</v>
      </c>
    </row>
    <row r="6" spans="1:18">
      <c r="A6" s="1641"/>
      <c r="B6" s="1641">
        <v>11</v>
      </c>
      <c r="C6" s="1641"/>
      <c r="D6" s="1642">
        <v>10.199999999999999</v>
      </c>
      <c r="E6" s="4165"/>
      <c r="F6" s="4165"/>
      <c r="G6" s="4165"/>
      <c r="H6" s="1642">
        <v>1.8</v>
      </c>
      <c r="I6" s="1642">
        <v>3.1</v>
      </c>
      <c r="J6" s="4165"/>
      <c r="K6" s="1642">
        <v>18</v>
      </c>
      <c r="L6" s="1643">
        <v>11</v>
      </c>
      <c r="M6" s="1641">
        <v>10.5</v>
      </c>
      <c r="N6" s="4168" t="s">
        <v>8799</v>
      </c>
      <c r="O6" s="4178"/>
      <c r="P6" s="4169"/>
      <c r="Q6" s="4165"/>
    </row>
    <row r="7" spans="1:18">
      <c r="A7" s="1641">
        <v>12</v>
      </c>
      <c r="B7" s="1641"/>
      <c r="C7" s="1641"/>
      <c r="D7" s="1642">
        <v>11.1</v>
      </c>
      <c r="E7" s="4165" t="s">
        <v>8800</v>
      </c>
      <c r="F7" s="4165"/>
      <c r="G7" s="4165"/>
      <c r="H7" s="1642">
        <v>1.8</v>
      </c>
      <c r="I7" s="1642">
        <v>3.2</v>
      </c>
      <c r="J7" s="4165">
        <v>1.5</v>
      </c>
      <c r="K7" s="1642">
        <v>19</v>
      </c>
      <c r="L7" s="1643">
        <v>12</v>
      </c>
      <c r="M7" s="1641">
        <v>11.5</v>
      </c>
      <c r="N7" s="4169"/>
      <c r="O7" s="4178"/>
      <c r="P7" s="4169"/>
      <c r="Q7" s="4165"/>
    </row>
    <row r="8" spans="1:18">
      <c r="A8" s="1641"/>
      <c r="B8" s="1641"/>
      <c r="C8" s="1641">
        <v>13</v>
      </c>
      <c r="D8" s="1642">
        <v>12</v>
      </c>
      <c r="E8" s="4165"/>
      <c r="F8" s="4165"/>
      <c r="G8" s="4165"/>
      <c r="H8" s="1642">
        <v>1.8</v>
      </c>
      <c r="I8" s="1642">
        <v>3.3</v>
      </c>
      <c r="J8" s="4165"/>
      <c r="K8" s="1642">
        <v>20</v>
      </c>
      <c r="L8" s="1643">
        <v>13</v>
      </c>
      <c r="M8" s="1641">
        <v>12.4</v>
      </c>
      <c r="N8" s="4169"/>
      <c r="O8" s="4178"/>
      <c r="P8" s="4169"/>
      <c r="Q8" s="4165"/>
    </row>
    <row r="9" spans="1:18">
      <c r="A9" s="1641">
        <v>14</v>
      </c>
      <c r="B9" s="1641"/>
      <c r="C9" s="1641"/>
      <c r="D9" s="1642">
        <v>12.9</v>
      </c>
      <c r="E9" s="4165"/>
      <c r="F9" s="4165"/>
      <c r="G9" s="4165"/>
      <c r="H9" s="1642">
        <v>2</v>
      </c>
      <c r="I9" s="1642">
        <v>3.4</v>
      </c>
      <c r="J9" s="4171">
        <v>1.7</v>
      </c>
      <c r="K9" s="1642">
        <v>22</v>
      </c>
      <c r="L9" s="1643">
        <v>14</v>
      </c>
      <c r="M9" s="1641">
        <v>13.4</v>
      </c>
      <c r="N9" s="4169"/>
      <c r="O9" s="4178"/>
      <c r="P9" s="4169"/>
      <c r="Q9" s="4165"/>
    </row>
    <row r="10" spans="1:18">
      <c r="A10" s="1641">
        <v>15</v>
      </c>
      <c r="B10" s="1641"/>
      <c r="C10" s="1641"/>
      <c r="D10" s="1642">
        <v>13.8</v>
      </c>
      <c r="E10" s="4165"/>
      <c r="F10" s="4165"/>
      <c r="G10" s="4165"/>
      <c r="H10" s="1642">
        <v>2.1</v>
      </c>
      <c r="I10" s="1642">
        <v>3.5</v>
      </c>
      <c r="J10" s="4172"/>
      <c r="K10" s="1642">
        <v>23</v>
      </c>
      <c r="L10" s="1643">
        <v>15</v>
      </c>
      <c r="M10" s="1641">
        <v>14.3</v>
      </c>
      <c r="N10" s="4169"/>
      <c r="O10" s="4178"/>
      <c r="P10" s="4169"/>
      <c r="Q10" s="4165"/>
    </row>
    <row r="11" spans="1:18">
      <c r="A11" s="1641">
        <v>16</v>
      </c>
      <c r="B11" s="1641"/>
      <c r="C11" s="1641"/>
      <c r="D11" s="1642">
        <v>14.7</v>
      </c>
      <c r="E11" s="4165"/>
      <c r="F11" s="4165"/>
      <c r="G11" s="4165"/>
      <c r="H11" s="1642">
        <v>2.2000000000000002</v>
      </c>
      <c r="I11" s="1642">
        <v>3.6</v>
      </c>
      <c r="J11" s="4172"/>
      <c r="K11" s="1642">
        <v>24</v>
      </c>
      <c r="L11" s="1643">
        <v>16</v>
      </c>
      <c r="M11" s="1641">
        <v>15.2</v>
      </c>
      <c r="N11" s="4169"/>
      <c r="O11" s="4178"/>
      <c r="P11" s="4169"/>
      <c r="Q11" s="4165"/>
    </row>
    <row r="12" spans="1:18">
      <c r="A12" s="1641">
        <v>17</v>
      </c>
      <c r="B12" s="1641"/>
      <c r="C12" s="1641"/>
      <c r="D12" s="1642">
        <v>15.7</v>
      </c>
      <c r="E12" s="4165"/>
      <c r="F12" s="4165"/>
      <c r="G12" s="4165"/>
      <c r="H12" s="1642">
        <v>2.2000000000000002</v>
      </c>
      <c r="I12" s="1642">
        <v>3.7</v>
      </c>
      <c r="J12" s="4172"/>
      <c r="K12" s="1642">
        <v>25</v>
      </c>
      <c r="L12" s="1643">
        <v>17</v>
      </c>
      <c r="M12" s="1641">
        <v>16.2</v>
      </c>
      <c r="N12" s="4169"/>
      <c r="O12" s="4179"/>
      <c r="P12" s="4169"/>
      <c r="Q12" s="4165"/>
    </row>
    <row r="13" spans="1:18">
      <c r="A13" s="1641">
        <v>18</v>
      </c>
      <c r="B13" s="1641"/>
      <c r="C13" s="1641"/>
      <c r="D13" s="1642">
        <v>16.5</v>
      </c>
      <c r="E13" s="4165"/>
      <c r="F13" s="4165">
        <v>1.2</v>
      </c>
      <c r="G13" s="4165" t="s">
        <v>8801</v>
      </c>
      <c r="H13" s="1642">
        <v>2.6</v>
      </c>
      <c r="I13" s="1642">
        <v>3.8</v>
      </c>
      <c r="J13" s="4173"/>
      <c r="K13" s="1642">
        <v>26</v>
      </c>
      <c r="L13" s="1643">
        <v>18</v>
      </c>
      <c r="M13" s="1641">
        <v>17</v>
      </c>
      <c r="N13" s="4169"/>
      <c r="O13" s="4177">
        <v>1.35</v>
      </c>
      <c r="P13" s="4169"/>
      <c r="Q13" s="4165"/>
    </row>
    <row r="14" spans="1:18">
      <c r="A14" s="1641"/>
      <c r="B14" s="1641">
        <v>19</v>
      </c>
      <c r="C14" s="1641"/>
      <c r="D14" s="1642">
        <v>17.5</v>
      </c>
      <c r="E14" s="4165"/>
      <c r="F14" s="4165"/>
      <c r="G14" s="4165"/>
      <c r="H14" s="1642">
        <v>2.7</v>
      </c>
      <c r="I14" s="1642">
        <v>3.8</v>
      </c>
      <c r="J14" s="4171">
        <v>2</v>
      </c>
      <c r="K14" s="1642">
        <v>27</v>
      </c>
      <c r="L14" s="1643">
        <v>19</v>
      </c>
      <c r="M14" s="1641">
        <v>18</v>
      </c>
      <c r="N14" s="4170"/>
      <c r="O14" s="4178"/>
      <c r="P14" s="4169"/>
      <c r="Q14" s="4165"/>
    </row>
    <row r="15" spans="1:18">
      <c r="A15" s="1641">
        <v>20</v>
      </c>
      <c r="B15" s="1641"/>
      <c r="C15" s="1641"/>
      <c r="D15" s="1642">
        <v>18.5</v>
      </c>
      <c r="E15" s="4165" t="s">
        <v>8802</v>
      </c>
      <c r="F15" s="4165"/>
      <c r="G15" s="4165"/>
      <c r="H15" s="1642">
        <v>2.7</v>
      </c>
      <c r="I15" s="1642">
        <v>3.9</v>
      </c>
      <c r="J15" s="4172"/>
      <c r="K15" s="1642">
        <v>28</v>
      </c>
      <c r="L15" s="1643">
        <v>20</v>
      </c>
      <c r="M15" s="1641">
        <v>19</v>
      </c>
      <c r="N15" s="4168" t="s">
        <v>8803</v>
      </c>
      <c r="O15" s="4178"/>
      <c r="P15" s="4169"/>
      <c r="Q15" s="4165"/>
    </row>
    <row r="16" spans="1:18">
      <c r="A16" s="1641"/>
      <c r="B16" s="1641"/>
      <c r="C16" s="1641">
        <v>21</v>
      </c>
      <c r="D16" s="1642">
        <v>19.5</v>
      </c>
      <c r="E16" s="4165"/>
      <c r="F16" s="4165"/>
      <c r="G16" s="4165"/>
      <c r="H16" s="1642">
        <v>2.7</v>
      </c>
      <c r="I16" s="1642">
        <v>4</v>
      </c>
      <c r="J16" s="4172"/>
      <c r="K16" s="1642">
        <v>30</v>
      </c>
      <c r="L16" s="1643">
        <v>21</v>
      </c>
      <c r="M16" s="1641">
        <v>20</v>
      </c>
      <c r="N16" s="4169"/>
      <c r="O16" s="4178"/>
      <c r="P16" s="4169"/>
      <c r="Q16" s="4165"/>
    </row>
    <row r="17" spans="1:17">
      <c r="A17" s="1641">
        <v>22</v>
      </c>
      <c r="B17" s="1641"/>
      <c r="C17" s="1641"/>
      <c r="D17" s="1642">
        <v>20.5</v>
      </c>
      <c r="E17" s="4165"/>
      <c r="F17" s="4165"/>
      <c r="G17" s="4165"/>
      <c r="H17" s="1642">
        <v>2.7</v>
      </c>
      <c r="I17" s="1642">
        <v>4.0999999999999996</v>
      </c>
      <c r="J17" s="4172"/>
      <c r="K17" s="1642">
        <v>31</v>
      </c>
      <c r="L17" s="1643">
        <v>22</v>
      </c>
      <c r="M17" s="1641">
        <v>21</v>
      </c>
      <c r="N17" s="4169"/>
      <c r="O17" s="4178"/>
      <c r="P17" s="4169"/>
      <c r="Q17" s="4165"/>
    </row>
    <row r="18" spans="1:17">
      <c r="A18" s="1641"/>
      <c r="B18" s="1641">
        <v>24</v>
      </c>
      <c r="C18" s="1641"/>
      <c r="D18" s="1642">
        <v>22.2</v>
      </c>
      <c r="E18" s="4165"/>
      <c r="F18" s="4165"/>
      <c r="G18" s="4165"/>
      <c r="H18" s="1642">
        <v>3.1</v>
      </c>
      <c r="I18" s="1642">
        <v>4.2</v>
      </c>
      <c r="J18" s="4172"/>
      <c r="K18" s="1642">
        <v>33</v>
      </c>
      <c r="L18" s="1643">
        <v>24</v>
      </c>
      <c r="M18" s="1641">
        <v>22.9</v>
      </c>
      <c r="N18" s="4169"/>
      <c r="O18" s="4178"/>
      <c r="P18" s="4169"/>
      <c r="Q18" s="4165"/>
    </row>
    <row r="19" spans="1:17">
      <c r="A19" s="1641">
        <v>25</v>
      </c>
      <c r="B19" s="1641"/>
      <c r="C19" s="1641"/>
      <c r="D19" s="1642">
        <v>23.2</v>
      </c>
      <c r="E19" s="4165"/>
      <c r="F19" s="4165"/>
      <c r="G19" s="4165"/>
      <c r="H19" s="1642">
        <v>3.1</v>
      </c>
      <c r="I19" s="1642">
        <v>4.3</v>
      </c>
      <c r="J19" s="4172"/>
      <c r="K19" s="1642">
        <v>34</v>
      </c>
      <c r="L19" s="1643">
        <v>25</v>
      </c>
      <c r="M19" s="1641">
        <v>23.9</v>
      </c>
      <c r="N19" s="4169"/>
      <c r="O19" s="4178"/>
      <c r="P19" s="4169"/>
      <c r="Q19" s="4165"/>
    </row>
    <row r="20" spans="1:17">
      <c r="A20" s="1641"/>
      <c r="B20" s="1641">
        <v>26</v>
      </c>
      <c r="C20" s="1641"/>
      <c r="D20" s="1642">
        <v>24.2</v>
      </c>
      <c r="E20" s="4165"/>
      <c r="F20" s="4165"/>
      <c r="G20" s="4165"/>
      <c r="H20" s="1642">
        <v>3.1</v>
      </c>
      <c r="I20" s="1642">
        <v>4.4000000000000004</v>
      </c>
      <c r="J20" s="4172"/>
      <c r="K20" s="1642">
        <v>35</v>
      </c>
      <c r="L20" s="1643">
        <v>26</v>
      </c>
      <c r="M20" s="1641">
        <v>24.9</v>
      </c>
      <c r="N20" s="4169"/>
      <c r="O20" s="4179"/>
      <c r="P20" s="4169"/>
      <c r="Q20" s="4165"/>
    </row>
    <row r="21" spans="1:17">
      <c r="A21" s="1641">
        <v>28</v>
      </c>
      <c r="B21" s="1641"/>
      <c r="C21" s="1641"/>
      <c r="D21" s="1642">
        <v>25.9</v>
      </c>
      <c r="E21" s="4165"/>
      <c r="F21" s="4165" t="s">
        <v>8804</v>
      </c>
      <c r="G21" s="4165"/>
      <c r="H21" s="1642">
        <v>3.1</v>
      </c>
      <c r="I21" s="1642">
        <v>4.5999999999999996</v>
      </c>
      <c r="J21" s="4172"/>
      <c r="K21" s="1642">
        <v>38</v>
      </c>
      <c r="L21" s="1643">
        <v>28</v>
      </c>
      <c r="M21" s="1641">
        <v>26.6</v>
      </c>
      <c r="N21" s="4169"/>
      <c r="O21" s="4177">
        <v>1.75</v>
      </c>
      <c r="P21" s="4169"/>
      <c r="Q21" s="4165"/>
    </row>
    <row r="22" spans="1:17">
      <c r="A22" s="1641"/>
      <c r="B22" s="1641"/>
      <c r="C22" s="1641">
        <v>29</v>
      </c>
      <c r="D22" s="1642">
        <v>26.9</v>
      </c>
      <c r="E22" s="4165"/>
      <c r="F22" s="4165"/>
      <c r="G22" s="4165"/>
      <c r="H22" s="1642">
        <v>3.5</v>
      </c>
      <c r="I22" s="1642">
        <v>4.7</v>
      </c>
      <c r="J22" s="4172"/>
      <c r="K22" s="1642">
        <v>39</v>
      </c>
      <c r="L22" s="1643">
        <v>29</v>
      </c>
      <c r="M22" s="1641">
        <v>27.6</v>
      </c>
      <c r="N22" s="4169"/>
      <c r="O22" s="4178"/>
      <c r="P22" s="4169"/>
      <c r="Q22" s="4165"/>
    </row>
    <row r="23" spans="1:17">
      <c r="A23" s="1641">
        <v>30</v>
      </c>
      <c r="B23" s="1641"/>
      <c r="C23" s="1641"/>
      <c r="D23" s="1642">
        <v>27.9</v>
      </c>
      <c r="E23" s="4165"/>
      <c r="F23" s="4165"/>
      <c r="G23" s="4165"/>
      <c r="H23" s="1642">
        <v>3.5</v>
      </c>
      <c r="I23" s="1642">
        <v>4.8</v>
      </c>
      <c r="J23" s="4173"/>
      <c r="K23" s="1642">
        <v>40</v>
      </c>
      <c r="L23" s="1643">
        <v>30</v>
      </c>
      <c r="M23" s="1641">
        <v>28.6</v>
      </c>
      <c r="N23" s="4170"/>
      <c r="O23" s="4178"/>
      <c r="P23" s="4169"/>
      <c r="Q23" s="4165"/>
    </row>
    <row r="24" spans="1:17">
      <c r="A24" s="1641">
        <v>32</v>
      </c>
      <c r="B24" s="1641"/>
      <c r="C24" s="1641"/>
      <c r="D24" s="1642">
        <v>29.6</v>
      </c>
      <c r="E24" s="4165"/>
      <c r="F24" s="4165"/>
      <c r="G24" s="4165"/>
      <c r="H24" s="1642">
        <v>3.5</v>
      </c>
      <c r="I24" s="1642">
        <v>5</v>
      </c>
      <c r="J24" s="4171">
        <v>2.5</v>
      </c>
      <c r="K24" s="1642">
        <v>43</v>
      </c>
      <c r="L24" s="1643">
        <v>32</v>
      </c>
      <c r="M24" s="1641">
        <v>30.3</v>
      </c>
      <c r="N24" s="4168" t="s">
        <v>8805</v>
      </c>
      <c r="O24" s="4178"/>
      <c r="P24" s="4169"/>
      <c r="Q24" s="4165"/>
    </row>
    <row r="25" spans="1:17">
      <c r="A25" s="1641"/>
      <c r="B25" s="1641"/>
      <c r="C25" s="1641">
        <v>34</v>
      </c>
      <c r="D25" s="1642">
        <v>31.5</v>
      </c>
      <c r="E25" s="4165" t="s">
        <v>8806</v>
      </c>
      <c r="F25" s="4165"/>
      <c r="G25" s="4165"/>
      <c r="H25" s="1642">
        <v>4</v>
      </c>
      <c r="I25" s="1642">
        <v>5.3</v>
      </c>
      <c r="J25" s="4172"/>
      <c r="K25" s="1642">
        <v>45</v>
      </c>
      <c r="L25" s="1643">
        <v>34</v>
      </c>
      <c r="M25" s="1641">
        <v>32.299999999999997</v>
      </c>
      <c r="N25" s="4169"/>
      <c r="O25" s="4178"/>
      <c r="P25" s="4169"/>
      <c r="Q25" s="4165"/>
    </row>
    <row r="26" spans="1:17">
      <c r="A26" s="1641">
        <v>35</v>
      </c>
      <c r="B26" s="1641"/>
      <c r="C26" s="1641"/>
      <c r="D26" s="1642">
        <v>32.200000000000003</v>
      </c>
      <c r="E26" s="4165"/>
      <c r="F26" s="4165"/>
      <c r="G26" s="4165"/>
      <c r="H26" s="1642">
        <v>4</v>
      </c>
      <c r="I26" s="1642">
        <v>5.4</v>
      </c>
      <c r="J26" s="4172"/>
      <c r="K26" s="1642">
        <v>46</v>
      </c>
      <c r="L26" s="1643">
        <v>35</v>
      </c>
      <c r="M26" s="1641">
        <v>33.299999999999997</v>
      </c>
      <c r="N26" s="4169"/>
      <c r="O26" s="4179"/>
      <c r="P26" s="4169"/>
      <c r="Q26" s="4165"/>
    </row>
    <row r="27" spans="1:17">
      <c r="A27" s="1641"/>
      <c r="B27" s="1641">
        <v>36</v>
      </c>
      <c r="C27" s="1641"/>
      <c r="D27" s="1642">
        <v>33.200000000000003</v>
      </c>
      <c r="E27" s="4165"/>
      <c r="F27" s="4165"/>
      <c r="G27" s="4165" t="s">
        <v>8807</v>
      </c>
      <c r="H27" s="1642">
        <v>4</v>
      </c>
      <c r="I27" s="1642">
        <v>5.4</v>
      </c>
      <c r="J27" s="4172"/>
      <c r="K27" s="1642">
        <v>47</v>
      </c>
      <c r="L27" s="1643">
        <v>36</v>
      </c>
      <c r="M27" s="1641">
        <v>34</v>
      </c>
      <c r="N27" s="4169"/>
      <c r="O27" s="4177">
        <v>1.95</v>
      </c>
      <c r="P27" s="4169"/>
      <c r="Q27" s="4165">
        <v>2</v>
      </c>
    </row>
    <row r="28" spans="1:17">
      <c r="A28" s="1641"/>
      <c r="B28" s="1641">
        <v>38</v>
      </c>
      <c r="C28" s="1641"/>
      <c r="D28" s="1642">
        <v>35.200000000000003</v>
      </c>
      <c r="E28" s="4165"/>
      <c r="F28" s="4165">
        <v>1.8</v>
      </c>
      <c r="G28" s="4165"/>
      <c r="H28" s="1642">
        <v>4.5</v>
      </c>
      <c r="I28" s="1642">
        <v>5.6</v>
      </c>
      <c r="J28" s="4172"/>
      <c r="K28" s="1642">
        <v>50</v>
      </c>
      <c r="L28" s="1643">
        <v>38</v>
      </c>
      <c r="M28" s="1641">
        <v>36</v>
      </c>
      <c r="N28" s="4169"/>
      <c r="O28" s="4178"/>
      <c r="P28" s="4169"/>
      <c r="Q28" s="4165"/>
    </row>
    <row r="29" spans="1:17">
      <c r="A29" s="1641">
        <v>40</v>
      </c>
      <c r="B29" s="1641"/>
      <c r="C29" s="1641"/>
      <c r="D29" s="1642">
        <v>37</v>
      </c>
      <c r="E29" s="4165" t="s">
        <v>8808</v>
      </c>
      <c r="F29" s="4165"/>
      <c r="G29" s="4165"/>
      <c r="H29" s="1642">
        <v>4.5</v>
      </c>
      <c r="I29" s="1642">
        <v>5.8</v>
      </c>
      <c r="J29" s="4172"/>
      <c r="K29" s="1642">
        <v>53</v>
      </c>
      <c r="L29" s="1643">
        <v>40</v>
      </c>
      <c r="M29" s="1641">
        <v>38</v>
      </c>
      <c r="N29" s="4169"/>
      <c r="O29" s="4178"/>
      <c r="P29" s="4169"/>
      <c r="Q29" s="4165"/>
    </row>
    <row r="30" spans="1:17">
      <c r="A30" s="1641"/>
      <c r="B30" s="1641">
        <v>42</v>
      </c>
      <c r="C30" s="1641"/>
      <c r="D30" s="1642">
        <v>38.5</v>
      </c>
      <c r="E30" s="4165"/>
      <c r="F30" s="4165"/>
      <c r="G30" s="4165"/>
      <c r="H30" s="1642">
        <v>4.5</v>
      </c>
      <c r="I30" s="1642">
        <v>6.2</v>
      </c>
      <c r="J30" s="4172"/>
      <c r="K30" s="1642">
        <v>55</v>
      </c>
      <c r="L30" s="1643">
        <v>42</v>
      </c>
      <c r="M30" s="1641">
        <v>39.5</v>
      </c>
      <c r="N30" s="4169"/>
      <c r="O30" s="4178"/>
      <c r="P30" s="4169"/>
      <c r="Q30" s="4165"/>
    </row>
    <row r="31" spans="1:17">
      <c r="A31" s="1641">
        <v>45</v>
      </c>
      <c r="B31" s="1641"/>
      <c r="C31" s="1641"/>
      <c r="D31" s="1642">
        <v>41.5</v>
      </c>
      <c r="E31" s="4165"/>
      <c r="F31" s="4165"/>
      <c r="G31" s="4165"/>
      <c r="H31" s="1642">
        <v>4.8</v>
      </c>
      <c r="I31" s="1642">
        <v>6.3</v>
      </c>
      <c r="J31" s="4172"/>
      <c r="K31" s="1642">
        <v>58</v>
      </c>
      <c r="L31" s="1643">
        <v>45</v>
      </c>
      <c r="M31" s="1641">
        <v>42.5</v>
      </c>
      <c r="N31" s="4169"/>
      <c r="O31" s="4178"/>
      <c r="P31" s="4169"/>
      <c r="Q31" s="4165"/>
    </row>
    <row r="32" spans="1:17">
      <c r="A32" s="1641"/>
      <c r="B32" s="1641">
        <v>48</v>
      </c>
      <c r="C32" s="1641"/>
      <c r="D32" s="1642">
        <v>44.5</v>
      </c>
      <c r="E32" s="4165"/>
      <c r="F32" s="4165"/>
      <c r="G32" s="4165"/>
      <c r="H32" s="1642">
        <v>4.8</v>
      </c>
      <c r="I32" s="1642">
        <v>6.5</v>
      </c>
      <c r="J32" s="4172"/>
      <c r="K32" s="1642">
        <v>62</v>
      </c>
      <c r="L32" s="1643">
        <v>48</v>
      </c>
      <c r="M32" s="1641">
        <v>45.5</v>
      </c>
      <c r="N32" s="4169"/>
      <c r="O32" s="4179"/>
      <c r="P32" s="4169"/>
      <c r="Q32" s="4165"/>
    </row>
    <row r="33" spans="1:17">
      <c r="A33" s="1641">
        <v>50</v>
      </c>
      <c r="B33" s="1641"/>
      <c r="C33" s="1641"/>
      <c r="D33" s="1642">
        <v>45.8</v>
      </c>
      <c r="E33" s="4165"/>
      <c r="F33" s="4165">
        <v>2</v>
      </c>
      <c r="G33" s="4165"/>
      <c r="H33" s="1642">
        <v>5</v>
      </c>
      <c r="I33" s="1642">
        <v>6.7</v>
      </c>
      <c r="J33" s="4172"/>
      <c r="K33" s="1642">
        <v>64</v>
      </c>
      <c r="L33" s="1643">
        <v>50</v>
      </c>
      <c r="M33" s="1641">
        <v>47</v>
      </c>
      <c r="N33" s="4169"/>
      <c r="O33" s="4177">
        <v>2.2000000000000002</v>
      </c>
      <c r="P33" s="4169"/>
      <c r="Q33" s="4165"/>
    </row>
    <row r="34" spans="1:17">
      <c r="A34" s="1641"/>
      <c r="B34" s="1641"/>
      <c r="C34" s="1641">
        <v>52</v>
      </c>
      <c r="D34" s="1642">
        <v>47.8</v>
      </c>
      <c r="E34" s="4165"/>
      <c r="F34" s="4165"/>
      <c r="G34" s="4165"/>
      <c r="H34" s="1642">
        <v>5</v>
      </c>
      <c r="I34" s="1642">
        <v>6.8</v>
      </c>
      <c r="J34" s="4172"/>
      <c r="K34" s="1642">
        <v>66</v>
      </c>
      <c r="L34" s="1643">
        <v>52</v>
      </c>
      <c r="M34" s="1641">
        <v>49</v>
      </c>
      <c r="N34" s="4170"/>
      <c r="O34" s="4178"/>
      <c r="P34" s="4169"/>
      <c r="Q34" s="4165"/>
    </row>
    <row r="35" spans="1:17">
      <c r="A35" s="1641">
        <v>55</v>
      </c>
      <c r="B35" s="1641"/>
      <c r="C35" s="1641"/>
      <c r="D35" s="1642">
        <v>50.8</v>
      </c>
      <c r="E35" s="4165" t="s">
        <v>8809</v>
      </c>
      <c r="F35" s="4165"/>
      <c r="G35" s="4165"/>
      <c r="H35" s="1642">
        <v>5</v>
      </c>
      <c r="I35" s="1642">
        <v>7</v>
      </c>
      <c r="J35" s="4172"/>
      <c r="K35" s="1642">
        <v>70</v>
      </c>
      <c r="L35" s="1643">
        <v>55</v>
      </c>
      <c r="M35" s="1641">
        <v>52</v>
      </c>
      <c r="N35" s="4168" t="s">
        <v>8810</v>
      </c>
      <c r="O35" s="4178"/>
      <c r="P35" s="4169"/>
      <c r="Q35" s="4165"/>
    </row>
    <row r="36" spans="1:17">
      <c r="A36" s="1641"/>
      <c r="B36" s="1641">
        <v>56</v>
      </c>
      <c r="C36" s="1641"/>
      <c r="D36" s="1642">
        <v>51.8</v>
      </c>
      <c r="E36" s="4165"/>
      <c r="F36" s="4165"/>
      <c r="G36" s="4165"/>
      <c r="H36" s="1642">
        <v>5</v>
      </c>
      <c r="I36" s="1642">
        <v>7</v>
      </c>
      <c r="J36" s="4172"/>
      <c r="K36" s="1642">
        <v>71</v>
      </c>
      <c r="L36" s="1643">
        <v>56</v>
      </c>
      <c r="M36" s="1641">
        <v>53</v>
      </c>
      <c r="N36" s="4169"/>
      <c r="O36" s="4178"/>
      <c r="P36" s="4169"/>
      <c r="Q36" s="4165"/>
    </row>
    <row r="37" spans="1:17">
      <c r="A37" s="1641"/>
      <c r="B37" s="1641"/>
      <c r="C37" s="1641">
        <v>58</v>
      </c>
      <c r="D37" s="1642">
        <v>53.8</v>
      </c>
      <c r="E37" s="4165"/>
      <c r="F37" s="4165"/>
      <c r="G37" s="4165"/>
      <c r="H37" s="1642">
        <v>5.5</v>
      </c>
      <c r="I37" s="1642">
        <v>7.1</v>
      </c>
      <c r="J37" s="4172"/>
      <c r="K37" s="1642">
        <v>73</v>
      </c>
      <c r="L37" s="1643">
        <v>58</v>
      </c>
      <c r="M37" s="1641">
        <v>55</v>
      </c>
      <c r="N37" s="4169"/>
      <c r="O37" s="4178"/>
      <c r="P37" s="4169"/>
      <c r="Q37" s="4165"/>
    </row>
    <row r="38" spans="1:17">
      <c r="A38" s="1641">
        <v>60</v>
      </c>
      <c r="B38" s="1641"/>
      <c r="C38" s="1641"/>
      <c r="D38" s="1642">
        <v>55.8</v>
      </c>
      <c r="E38" s="4165"/>
      <c r="F38" s="4165"/>
      <c r="G38" s="4165"/>
      <c r="H38" s="1642">
        <v>5.5</v>
      </c>
      <c r="I38" s="1642">
        <v>7.2</v>
      </c>
      <c r="J38" s="4172"/>
      <c r="K38" s="1642">
        <v>75</v>
      </c>
      <c r="L38" s="1643">
        <v>60</v>
      </c>
      <c r="M38" s="1641">
        <v>57</v>
      </c>
      <c r="N38" s="4169"/>
      <c r="O38" s="4178"/>
      <c r="P38" s="4169"/>
      <c r="Q38" s="4165"/>
    </row>
    <row r="39" spans="1:17">
      <c r="A39" s="1641"/>
      <c r="B39" s="1641"/>
      <c r="C39" s="1641">
        <v>62</v>
      </c>
      <c r="D39" s="1642">
        <v>57.8</v>
      </c>
      <c r="E39" s="4165"/>
      <c r="F39" s="4165"/>
      <c r="G39" s="4165"/>
      <c r="H39" s="1642">
        <v>5.5</v>
      </c>
      <c r="I39" s="1642">
        <v>7.2</v>
      </c>
      <c r="J39" s="4172"/>
      <c r="K39" s="1642">
        <v>77</v>
      </c>
      <c r="L39" s="1643">
        <v>62</v>
      </c>
      <c r="M39" s="1641">
        <v>59</v>
      </c>
      <c r="N39" s="4169"/>
      <c r="O39" s="4178"/>
      <c r="P39" s="4169"/>
      <c r="Q39" s="4165"/>
    </row>
    <row r="40" spans="1:17">
      <c r="A40" s="1641"/>
      <c r="B40" s="1641"/>
      <c r="C40" s="1641">
        <v>63</v>
      </c>
      <c r="D40" s="1642">
        <v>58.8</v>
      </c>
      <c r="E40" s="4165"/>
      <c r="F40" s="4165"/>
      <c r="G40" s="4165"/>
      <c r="H40" s="1642">
        <v>5.5</v>
      </c>
      <c r="I40" s="1642">
        <v>7.3</v>
      </c>
      <c r="J40" s="4172"/>
      <c r="K40" s="1642">
        <v>78</v>
      </c>
      <c r="L40" s="1643">
        <v>63</v>
      </c>
      <c r="M40" s="1641">
        <v>60</v>
      </c>
      <c r="N40" s="4169"/>
      <c r="O40" s="4179"/>
      <c r="P40" s="4169"/>
      <c r="Q40" s="4165"/>
    </row>
    <row r="41" spans="1:17">
      <c r="A41" s="1641">
        <v>65</v>
      </c>
      <c r="B41" s="1641"/>
      <c r="C41" s="1641"/>
      <c r="D41" s="1642">
        <v>60.8</v>
      </c>
      <c r="E41" s="4165"/>
      <c r="F41" s="4165">
        <v>2.5</v>
      </c>
      <c r="G41" s="4165" t="s">
        <v>8811</v>
      </c>
      <c r="H41" s="1642">
        <v>6.4</v>
      </c>
      <c r="I41" s="1642">
        <v>7.4</v>
      </c>
      <c r="J41" s="4172"/>
      <c r="K41" s="1642">
        <v>81</v>
      </c>
      <c r="L41" s="1643">
        <v>65</v>
      </c>
      <c r="M41" s="1641">
        <v>62</v>
      </c>
      <c r="N41" s="4169"/>
      <c r="O41" s="4177">
        <v>2.7</v>
      </c>
      <c r="P41" s="4169"/>
      <c r="Q41" s="4165">
        <v>2.5</v>
      </c>
    </row>
    <row r="42" spans="1:17">
      <c r="A42" s="1641"/>
      <c r="B42" s="1641"/>
      <c r="C42" s="1641">
        <v>68</v>
      </c>
      <c r="D42" s="1642">
        <v>63.5</v>
      </c>
      <c r="E42" s="4165"/>
      <c r="F42" s="4165"/>
      <c r="G42" s="4165"/>
      <c r="H42" s="1642">
        <v>6.4</v>
      </c>
      <c r="I42" s="1642">
        <v>7.8</v>
      </c>
      <c r="J42" s="4172"/>
      <c r="K42" s="1642">
        <v>84</v>
      </c>
      <c r="L42" s="1643">
        <v>68</v>
      </c>
      <c r="M42" s="1641">
        <v>65</v>
      </c>
      <c r="N42" s="4169"/>
      <c r="O42" s="4178"/>
      <c r="P42" s="4169"/>
      <c r="Q42" s="4165"/>
    </row>
    <row r="43" spans="1:17">
      <c r="A43" s="1641">
        <v>70</v>
      </c>
      <c r="B43" s="1641"/>
      <c r="C43" s="1641"/>
      <c r="D43" s="1642">
        <v>65.5</v>
      </c>
      <c r="E43" s="4165"/>
      <c r="F43" s="4165"/>
      <c r="G43" s="4165"/>
      <c r="H43" s="1642">
        <v>6.4</v>
      </c>
      <c r="I43" s="1642">
        <v>7.8</v>
      </c>
      <c r="J43" s="4172"/>
      <c r="K43" s="1642">
        <v>86</v>
      </c>
      <c r="L43" s="1643">
        <v>70</v>
      </c>
      <c r="M43" s="1641">
        <v>67</v>
      </c>
      <c r="N43" s="4169"/>
      <c r="O43" s="4178"/>
      <c r="P43" s="4169"/>
      <c r="Q43" s="4165"/>
    </row>
    <row r="44" spans="1:17">
      <c r="A44" s="1641"/>
      <c r="B44" s="1641"/>
      <c r="C44" s="1641">
        <v>72</v>
      </c>
      <c r="D44" s="1642">
        <v>67.5</v>
      </c>
      <c r="E44" s="4165"/>
      <c r="F44" s="4165"/>
      <c r="G44" s="4165"/>
      <c r="H44" s="1642">
        <v>7</v>
      </c>
      <c r="I44" s="1642">
        <v>7.9</v>
      </c>
      <c r="J44" s="4172"/>
      <c r="K44" s="1642">
        <v>88</v>
      </c>
      <c r="L44" s="1643">
        <v>72</v>
      </c>
      <c r="M44" s="1641">
        <v>69</v>
      </c>
      <c r="N44" s="4169"/>
      <c r="O44" s="4178"/>
      <c r="P44" s="4169"/>
      <c r="Q44" s="4165"/>
    </row>
    <row r="45" spans="1:17">
      <c r="A45" s="1641">
        <v>75</v>
      </c>
      <c r="B45" s="1641"/>
      <c r="C45" s="1641"/>
      <c r="D45" s="1642">
        <v>70.5</v>
      </c>
      <c r="E45" s="4165"/>
      <c r="F45" s="4165"/>
      <c r="G45" s="4165"/>
      <c r="H45" s="1642">
        <v>7</v>
      </c>
      <c r="I45" s="1642">
        <v>7.9</v>
      </c>
      <c r="J45" s="4172"/>
      <c r="K45" s="1642">
        <v>92</v>
      </c>
      <c r="L45" s="1643">
        <v>75</v>
      </c>
      <c r="M45" s="1641">
        <v>72</v>
      </c>
      <c r="N45" s="4169"/>
      <c r="O45" s="4178"/>
      <c r="P45" s="4169"/>
      <c r="Q45" s="4165"/>
    </row>
    <row r="46" spans="1:17">
      <c r="A46" s="1641"/>
      <c r="B46" s="1641"/>
      <c r="C46" s="1641">
        <v>78</v>
      </c>
      <c r="D46" s="1642">
        <v>73.5</v>
      </c>
      <c r="E46" s="4165"/>
      <c r="F46" s="4165"/>
      <c r="G46" s="4165"/>
      <c r="H46" s="1642">
        <v>7.4</v>
      </c>
      <c r="I46" s="1642">
        <v>8.1</v>
      </c>
      <c r="J46" s="4172"/>
      <c r="K46" s="1642">
        <v>95</v>
      </c>
      <c r="L46" s="1643">
        <v>78</v>
      </c>
      <c r="M46" s="1641">
        <v>75</v>
      </c>
      <c r="N46" s="4169"/>
      <c r="O46" s="4178"/>
      <c r="P46" s="4169"/>
      <c r="Q46" s="4165"/>
    </row>
    <row r="47" spans="1:17">
      <c r="A47" s="1641">
        <v>80</v>
      </c>
      <c r="B47" s="1641"/>
      <c r="C47" s="1641"/>
      <c r="D47" s="1642">
        <v>74.5</v>
      </c>
      <c r="E47" s="4165"/>
      <c r="F47" s="4165"/>
      <c r="G47" s="4165"/>
      <c r="H47" s="1642">
        <v>7.4</v>
      </c>
      <c r="I47" s="1642">
        <v>8.1999999999999993</v>
      </c>
      <c r="J47" s="4173"/>
      <c r="K47" s="1642">
        <v>97</v>
      </c>
      <c r="L47" s="1643">
        <v>80</v>
      </c>
      <c r="M47" s="1641">
        <v>76.5</v>
      </c>
      <c r="N47" s="4169"/>
      <c r="O47" s="4178"/>
      <c r="P47" s="4169"/>
      <c r="Q47" s="4165"/>
    </row>
    <row r="48" spans="1:17">
      <c r="A48" s="1641"/>
      <c r="B48" s="1641"/>
      <c r="C48" s="1641">
        <v>82</v>
      </c>
      <c r="D48" s="1642">
        <v>76.5</v>
      </c>
      <c r="E48" s="4165"/>
      <c r="F48" s="4165"/>
      <c r="G48" s="4165"/>
      <c r="H48" s="1642">
        <v>7.4</v>
      </c>
      <c r="I48" s="1642">
        <v>8.3000000000000007</v>
      </c>
      <c r="J48" s="4171">
        <v>3</v>
      </c>
      <c r="K48" s="1642">
        <v>99</v>
      </c>
      <c r="L48" s="1643">
        <v>82</v>
      </c>
      <c r="M48" s="1641">
        <v>78.5</v>
      </c>
      <c r="N48" s="4170"/>
      <c r="O48" s="4179"/>
      <c r="P48" s="4170"/>
      <c r="Q48" s="4165"/>
    </row>
    <row r="49" spans="1:17">
      <c r="A49" s="1641">
        <v>85</v>
      </c>
      <c r="B49" s="1641"/>
      <c r="C49" s="1641"/>
      <c r="D49" s="1642">
        <v>79.5</v>
      </c>
      <c r="E49" s="4165"/>
      <c r="F49" s="4165">
        <v>3</v>
      </c>
      <c r="G49" s="4165" t="s">
        <v>8812</v>
      </c>
      <c r="H49" s="1642">
        <v>8</v>
      </c>
      <c r="I49" s="1642">
        <v>8.4</v>
      </c>
      <c r="J49" s="4172"/>
      <c r="K49" s="1642">
        <v>103</v>
      </c>
      <c r="L49" s="1643">
        <v>85</v>
      </c>
      <c r="M49" s="1641">
        <v>81.5</v>
      </c>
      <c r="N49" s="4168" t="s">
        <v>8813</v>
      </c>
      <c r="O49" s="4177">
        <v>3.2</v>
      </c>
      <c r="P49" s="4168" t="s">
        <v>8814</v>
      </c>
      <c r="Q49" s="4165">
        <v>3</v>
      </c>
    </row>
    <row r="50" spans="1:17">
      <c r="A50" s="1641"/>
      <c r="B50" s="1641"/>
      <c r="C50" s="1641">
        <v>88</v>
      </c>
      <c r="D50" s="1642">
        <v>82.5</v>
      </c>
      <c r="E50" s="4165" t="s">
        <v>8815</v>
      </c>
      <c r="F50" s="4165"/>
      <c r="G50" s="4165"/>
      <c r="H50" s="1642">
        <v>8</v>
      </c>
      <c r="I50" s="1642">
        <v>8.6</v>
      </c>
      <c r="J50" s="4172"/>
      <c r="K50" s="1642">
        <v>106</v>
      </c>
      <c r="L50" s="1643">
        <v>88</v>
      </c>
      <c r="M50" s="1641">
        <v>84.5</v>
      </c>
      <c r="N50" s="4169"/>
      <c r="O50" s="4178"/>
      <c r="P50" s="4169"/>
      <c r="Q50" s="4165"/>
    </row>
    <row r="51" spans="1:17">
      <c r="A51" s="1641">
        <v>90</v>
      </c>
      <c r="B51" s="1641"/>
      <c r="C51" s="1641"/>
      <c r="D51" s="1642">
        <v>84.5</v>
      </c>
      <c r="E51" s="4165"/>
      <c r="F51" s="4165"/>
      <c r="G51" s="4165"/>
      <c r="H51" s="1642">
        <v>8</v>
      </c>
      <c r="I51" s="1642">
        <v>8.6999999999999993</v>
      </c>
      <c r="J51" s="4172"/>
      <c r="K51" s="1642">
        <v>108</v>
      </c>
      <c r="L51" s="1643">
        <v>90</v>
      </c>
      <c r="M51" s="1641">
        <v>86.5</v>
      </c>
      <c r="N51" s="4169"/>
      <c r="O51" s="4178"/>
      <c r="P51" s="4169"/>
      <c r="Q51" s="4165"/>
    </row>
    <row r="52" spans="1:17">
      <c r="A52" s="1641">
        <v>95</v>
      </c>
      <c r="B52" s="1641"/>
      <c r="C52" s="1641"/>
      <c r="D52" s="1642">
        <v>89.5</v>
      </c>
      <c r="E52" s="4165"/>
      <c r="F52" s="4165"/>
      <c r="G52" s="4165"/>
      <c r="H52" s="1642">
        <v>8.6</v>
      </c>
      <c r="I52" s="1642">
        <v>9.1</v>
      </c>
      <c r="J52" s="4172"/>
      <c r="K52" s="1642">
        <v>114</v>
      </c>
      <c r="L52" s="1643">
        <v>95</v>
      </c>
      <c r="M52" s="1641">
        <v>91.5</v>
      </c>
      <c r="N52" s="4169"/>
      <c r="O52" s="4178"/>
      <c r="P52" s="4169"/>
      <c r="Q52" s="4165"/>
    </row>
    <row r="53" spans="1:17">
      <c r="A53" s="1641">
        <v>100</v>
      </c>
      <c r="B53" s="1641"/>
      <c r="C53" s="1641"/>
      <c r="D53" s="1642">
        <v>94.5</v>
      </c>
      <c r="E53" s="4165"/>
      <c r="F53" s="4165"/>
      <c r="G53" s="4165"/>
      <c r="H53" s="1642">
        <v>9</v>
      </c>
      <c r="I53" s="1642">
        <v>9.5</v>
      </c>
      <c r="J53" s="4172"/>
      <c r="K53" s="1642">
        <v>119</v>
      </c>
      <c r="L53" s="1643">
        <v>100</v>
      </c>
      <c r="M53" s="1641">
        <v>96.5</v>
      </c>
      <c r="N53" s="4170"/>
      <c r="O53" s="4179"/>
      <c r="P53" s="4169"/>
      <c r="Q53" s="4165"/>
    </row>
    <row r="54" spans="1:17">
      <c r="A54" s="1641"/>
      <c r="B54" s="1641">
        <v>105</v>
      </c>
      <c r="C54" s="1641"/>
      <c r="D54" s="1642">
        <v>98</v>
      </c>
      <c r="E54" s="4165"/>
      <c r="F54" s="4165">
        <v>4</v>
      </c>
      <c r="G54" s="4165"/>
      <c r="H54" s="1642">
        <v>9.5</v>
      </c>
      <c r="I54" s="1642">
        <v>9.8000000000000007</v>
      </c>
      <c r="J54" s="4172"/>
      <c r="K54" s="1642">
        <v>125</v>
      </c>
      <c r="L54" s="1643">
        <v>105</v>
      </c>
      <c r="M54" s="1641">
        <v>101</v>
      </c>
      <c r="N54" s="4168" t="s">
        <v>8816</v>
      </c>
      <c r="O54" s="4177">
        <v>4.2</v>
      </c>
      <c r="P54" s="4169"/>
      <c r="Q54" s="4165">
        <v>4</v>
      </c>
    </row>
    <row r="55" spans="1:17">
      <c r="A55" s="1641">
        <v>110</v>
      </c>
      <c r="B55" s="1641"/>
      <c r="C55" s="1641"/>
      <c r="D55" s="1642">
        <v>103</v>
      </c>
      <c r="E55" s="4165"/>
      <c r="F55" s="4165"/>
      <c r="G55" s="4165"/>
      <c r="H55" s="1642">
        <v>9.5</v>
      </c>
      <c r="I55" s="1642">
        <v>10</v>
      </c>
      <c r="J55" s="4172"/>
      <c r="K55" s="1642">
        <v>131</v>
      </c>
      <c r="L55" s="1643">
        <v>110</v>
      </c>
      <c r="M55" s="1641">
        <v>106</v>
      </c>
      <c r="N55" s="4169"/>
      <c r="O55" s="4178"/>
      <c r="P55" s="4169"/>
      <c r="Q55" s="4165"/>
    </row>
    <row r="56" spans="1:17">
      <c r="A56" s="1641"/>
      <c r="B56" s="1641"/>
      <c r="C56" s="1641">
        <v>115</v>
      </c>
      <c r="D56" s="1642">
        <v>108</v>
      </c>
      <c r="E56" s="4165"/>
      <c r="F56" s="4165"/>
      <c r="G56" s="4165"/>
      <c r="H56" s="1642">
        <v>9.5</v>
      </c>
      <c r="I56" s="1642">
        <v>10.5</v>
      </c>
      <c r="J56" s="4172"/>
      <c r="K56" s="1642">
        <v>137</v>
      </c>
      <c r="L56" s="1643">
        <v>115</v>
      </c>
      <c r="M56" s="1641">
        <v>111</v>
      </c>
      <c r="N56" s="4169"/>
      <c r="O56" s="4178"/>
      <c r="P56" s="4169"/>
      <c r="Q56" s="4165"/>
    </row>
    <row r="57" spans="1:17">
      <c r="A57" s="1641">
        <v>120</v>
      </c>
      <c r="B57" s="1641"/>
      <c r="C57" s="1641"/>
      <c r="D57" s="1642">
        <v>113</v>
      </c>
      <c r="E57" s="4165"/>
      <c r="F57" s="4165"/>
      <c r="G57" s="4165"/>
      <c r="H57" s="1642">
        <v>10.3</v>
      </c>
      <c r="I57" s="1642">
        <v>10.9</v>
      </c>
      <c r="J57" s="4173"/>
      <c r="K57" s="1642">
        <v>143</v>
      </c>
      <c r="L57" s="1643">
        <v>120</v>
      </c>
      <c r="M57" s="1641">
        <v>116</v>
      </c>
      <c r="N57" s="4170"/>
      <c r="O57" s="4178"/>
      <c r="P57" s="4169"/>
      <c r="Q57" s="4165"/>
    </row>
    <row r="58" spans="1:17" ht="31.5">
      <c r="A58" s="1641"/>
      <c r="B58" s="1641"/>
      <c r="C58" s="1641">
        <v>125</v>
      </c>
      <c r="D58" s="1642">
        <v>118</v>
      </c>
      <c r="E58" s="4165"/>
      <c r="F58" s="4165"/>
      <c r="G58" s="4165"/>
      <c r="H58" s="1642">
        <v>10.3</v>
      </c>
      <c r="I58" s="1642">
        <v>11.3</v>
      </c>
      <c r="J58" s="1642">
        <v>3.5</v>
      </c>
      <c r="K58" s="1642">
        <v>148</v>
      </c>
      <c r="L58" s="1643">
        <v>125</v>
      </c>
      <c r="M58" s="1641">
        <v>121</v>
      </c>
      <c r="N58" s="1646" t="s">
        <v>8817</v>
      </c>
      <c r="O58" s="4179"/>
      <c r="P58" s="4170"/>
      <c r="Q58" s="4165"/>
    </row>
  </sheetData>
  <mergeCells count="61">
    <mergeCell ref="R1:R4"/>
    <mergeCell ref="Q5:Q26"/>
    <mergeCell ref="Q27:Q40"/>
    <mergeCell ref="Q41:Q48"/>
    <mergeCell ref="Q49:Q53"/>
    <mergeCell ref="A1:Q1"/>
    <mergeCell ref="D2:J2"/>
    <mergeCell ref="K2:Q2"/>
    <mergeCell ref="D3:E3"/>
    <mergeCell ref="F3:G3"/>
    <mergeCell ref="O3:P3"/>
    <mergeCell ref="H3:H4"/>
    <mergeCell ref="I3:I4"/>
    <mergeCell ref="A2:C3"/>
    <mergeCell ref="J48:J57"/>
    <mergeCell ref="K3:K4"/>
    <mergeCell ref="Q54:Q58"/>
    <mergeCell ref="O41:O48"/>
    <mergeCell ref="O49:O53"/>
    <mergeCell ref="O54:O58"/>
    <mergeCell ref="P5:P48"/>
    <mergeCell ref="P49:P58"/>
    <mergeCell ref="O5:O12"/>
    <mergeCell ref="O13:O20"/>
    <mergeCell ref="O21:O26"/>
    <mergeCell ref="O27:O32"/>
    <mergeCell ref="O33:O40"/>
    <mergeCell ref="L3:L4"/>
    <mergeCell ref="N6:N14"/>
    <mergeCell ref="N15:N23"/>
    <mergeCell ref="N24:N34"/>
    <mergeCell ref="N35:N48"/>
    <mergeCell ref="M3:N3"/>
    <mergeCell ref="N49:N53"/>
    <mergeCell ref="N54:N57"/>
    <mergeCell ref="J5:J6"/>
    <mergeCell ref="J7:J8"/>
    <mergeCell ref="J9:J13"/>
    <mergeCell ref="J14:J23"/>
    <mergeCell ref="J24:J47"/>
    <mergeCell ref="J3:J4"/>
    <mergeCell ref="G5:G12"/>
    <mergeCell ref="G13:G26"/>
    <mergeCell ref="G27:G40"/>
    <mergeCell ref="G41:G48"/>
    <mergeCell ref="G49:G58"/>
    <mergeCell ref="E35:E49"/>
    <mergeCell ref="E50:E58"/>
    <mergeCell ref="F5:F12"/>
    <mergeCell ref="F13:F20"/>
    <mergeCell ref="F21:F27"/>
    <mergeCell ref="F28:F32"/>
    <mergeCell ref="F33:F40"/>
    <mergeCell ref="F41:F48"/>
    <mergeCell ref="F49:F53"/>
    <mergeCell ref="F54:F58"/>
    <mergeCell ref="E5:E6"/>
    <mergeCell ref="E7:E14"/>
    <mergeCell ref="E15:E24"/>
    <mergeCell ref="E25:E28"/>
    <mergeCell ref="E29:E34"/>
  </mergeCells>
  <phoneticPr fontId="378" type="noConversion"/>
  <hyperlinks>
    <hyperlink ref="R1:R4" location="总目录!A1" display="总目录!A1"/>
  </hyperlinks>
  <printOptions horizontalCentered="1"/>
  <pageMargins left="0.34930555555555598" right="0.12916666666666701" top="0.82986111111111105" bottom="0.38888888888888901" header="1.3" footer="0.50902777777777797"/>
  <pageSetup paperSize="9" scale="75" orientation="portrait"/>
  <headerFooter scaleWithDoc="0"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64"/>
  <sheetViews>
    <sheetView zoomScale="85" zoomScaleNormal="85" workbookViewId="0">
      <pane ySplit="4" topLeftCell="A5" activePane="bottomLeft" state="frozen"/>
      <selection activeCell="K3" sqref="K3"/>
      <selection pane="bottomLeft" activeCell="R1" sqref="R1:R4"/>
    </sheetView>
  </sheetViews>
  <sheetFormatPr defaultColWidth="8.75" defaultRowHeight="14.25"/>
  <cols>
    <col min="1" max="3" width="5" style="1638"/>
    <col min="4" max="4" width="10" style="1638"/>
    <col min="5" max="5" width="8" style="1638"/>
    <col min="6" max="6" width="10" style="1638"/>
    <col min="7" max="7" width="8" style="1638"/>
    <col min="8" max="10" width="6" style="1638"/>
    <col min="11" max="12" width="5" style="1638"/>
    <col min="13" max="13" width="10" style="1638"/>
    <col min="14" max="14" width="8" style="1638"/>
    <col min="15" max="15" width="10" style="1638"/>
    <col min="16" max="16" width="8" style="1638"/>
    <col min="17" max="17" width="6" style="1638"/>
    <col min="18" max="32" width="9" style="1638"/>
    <col min="33" max="16384" width="8.75" style="1638"/>
  </cols>
  <sheetData>
    <row r="1" spans="1:18" ht="25.5">
      <c r="A1" s="4181" t="s">
        <v>8818</v>
      </c>
      <c r="B1" s="4181"/>
      <c r="C1" s="4181"/>
      <c r="D1" s="4181"/>
      <c r="E1" s="4181"/>
      <c r="F1" s="4181"/>
      <c r="G1" s="4181"/>
      <c r="H1" s="4181"/>
      <c r="I1" s="4181"/>
      <c r="J1" s="4181"/>
      <c r="K1" s="4181"/>
      <c r="L1" s="4181"/>
      <c r="M1" s="4181"/>
      <c r="N1" s="4181"/>
      <c r="O1" s="4181"/>
      <c r="P1" s="4181"/>
      <c r="Q1" s="4181"/>
      <c r="R1" s="3361" t="s">
        <v>12716</v>
      </c>
    </row>
    <row r="2" spans="1:18">
      <c r="A2" s="4176" t="s">
        <v>8787</v>
      </c>
      <c r="B2" s="4176"/>
      <c r="C2" s="4176"/>
      <c r="D2" s="4176" t="s">
        <v>8788</v>
      </c>
      <c r="E2" s="4176"/>
      <c r="F2" s="4176"/>
      <c r="G2" s="4176"/>
      <c r="H2" s="4176"/>
      <c r="I2" s="4176"/>
      <c r="J2" s="4182"/>
      <c r="K2" s="4176" t="s">
        <v>8819</v>
      </c>
      <c r="L2" s="4176"/>
      <c r="M2" s="4176"/>
      <c r="N2" s="4176"/>
      <c r="O2" s="4176"/>
      <c r="P2" s="4176"/>
      <c r="Q2" s="4176"/>
      <c r="R2" s="3361"/>
    </row>
    <row r="3" spans="1:18">
      <c r="A3" s="4176"/>
      <c r="B3" s="4176"/>
      <c r="C3" s="4176"/>
      <c r="D3" s="4176" t="s">
        <v>8790</v>
      </c>
      <c r="E3" s="4176"/>
      <c r="F3" s="4176" t="s">
        <v>8791</v>
      </c>
      <c r="G3" s="4176"/>
      <c r="H3" s="4166" t="s">
        <v>8792</v>
      </c>
      <c r="I3" s="4166" t="s">
        <v>8793</v>
      </c>
      <c r="J3" s="4166" t="s">
        <v>8794</v>
      </c>
      <c r="K3" s="4174" t="s">
        <v>8795</v>
      </c>
      <c r="L3" s="4174" t="s">
        <v>6650</v>
      </c>
      <c r="M3" s="4176" t="s">
        <v>8820</v>
      </c>
      <c r="N3" s="4176"/>
      <c r="O3" s="4176" t="s">
        <v>8821</v>
      </c>
      <c r="P3" s="4176"/>
      <c r="Q3" s="1639" t="s">
        <v>6569</v>
      </c>
      <c r="R3" s="3361"/>
    </row>
    <row r="4" spans="1:18">
      <c r="A4" s="1640">
        <v>1</v>
      </c>
      <c r="B4" s="1640">
        <v>2</v>
      </c>
      <c r="C4" s="1640">
        <v>3</v>
      </c>
      <c r="D4" s="1640" t="s">
        <v>8753</v>
      </c>
      <c r="E4" s="1640" t="s">
        <v>8754</v>
      </c>
      <c r="F4" s="1640" t="s">
        <v>8753</v>
      </c>
      <c r="G4" s="1640" t="s">
        <v>8754</v>
      </c>
      <c r="H4" s="4167"/>
      <c r="I4" s="4167"/>
      <c r="J4" s="4167"/>
      <c r="K4" s="4175"/>
      <c r="L4" s="4175"/>
      <c r="M4" s="1640" t="s">
        <v>8753</v>
      </c>
      <c r="N4" s="1640" t="s">
        <v>8754</v>
      </c>
      <c r="O4" s="1640" t="s">
        <v>8753</v>
      </c>
      <c r="P4" s="1640" t="s">
        <v>8754</v>
      </c>
      <c r="Q4" s="1640" t="s">
        <v>8200</v>
      </c>
      <c r="R4" s="3361"/>
    </row>
    <row r="5" spans="1:18" ht="28.5" customHeight="1">
      <c r="A5" s="1641">
        <v>10</v>
      </c>
      <c r="B5" s="1641"/>
      <c r="C5" s="1641"/>
      <c r="D5" s="1642">
        <v>10.7</v>
      </c>
      <c r="E5" s="4171" t="s">
        <v>8800</v>
      </c>
      <c r="F5" s="4171">
        <v>1</v>
      </c>
      <c r="G5" s="4171" t="s">
        <v>8069</v>
      </c>
      <c r="H5" s="1642">
        <v>1.8</v>
      </c>
      <c r="I5" s="1642">
        <v>3.1</v>
      </c>
      <c r="J5" s="4165">
        <v>1.2</v>
      </c>
      <c r="K5" s="1642">
        <v>3</v>
      </c>
      <c r="L5" s="1643">
        <v>10</v>
      </c>
      <c r="M5" s="1641">
        <v>10.4</v>
      </c>
      <c r="N5" s="4180" t="s">
        <v>8822</v>
      </c>
      <c r="O5" s="4183">
        <v>1.1499999999999999</v>
      </c>
      <c r="P5" s="4184" t="s">
        <v>8777</v>
      </c>
      <c r="Q5" s="4171">
        <v>1.5</v>
      </c>
    </row>
    <row r="6" spans="1:18" ht="18.75" customHeight="1">
      <c r="A6" s="1641">
        <v>11</v>
      </c>
      <c r="B6" s="1641"/>
      <c r="C6" s="1641"/>
      <c r="D6" s="1642"/>
      <c r="E6" s="4172"/>
      <c r="F6" s="4172"/>
      <c r="G6" s="4172"/>
      <c r="H6" s="1642">
        <v>1.8</v>
      </c>
      <c r="I6" s="1642">
        <v>3.2</v>
      </c>
      <c r="J6" s="4165"/>
      <c r="K6" s="1642">
        <v>4</v>
      </c>
      <c r="L6" s="1643">
        <v>11</v>
      </c>
      <c r="M6" s="1641">
        <v>11.4</v>
      </c>
      <c r="N6" s="4169"/>
      <c r="O6" s="4183"/>
      <c r="P6" s="4184"/>
      <c r="Q6" s="4172"/>
    </row>
    <row r="7" spans="1:18">
      <c r="A7" s="1641">
        <v>12</v>
      </c>
      <c r="B7" s="1641"/>
      <c r="C7" s="1641"/>
      <c r="D7" s="1642"/>
      <c r="E7" s="4172"/>
      <c r="F7" s="4172"/>
      <c r="G7" s="4172"/>
      <c r="H7" s="1642">
        <v>1.8</v>
      </c>
      <c r="I7" s="1642">
        <v>3.3</v>
      </c>
      <c r="J7" s="4165">
        <v>1.5</v>
      </c>
      <c r="K7" s="1642">
        <v>5</v>
      </c>
      <c r="L7" s="1643">
        <v>12</v>
      </c>
      <c r="M7" s="1641">
        <v>12.5</v>
      </c>
      <c r="N7" s="4169"/>
      <c r="O7" s="4183"/>
      <c r="P7" s="4184"/>
      <c r="Q7" s="4172"/>
    </row>
    <row r="8" spans="1:18">
      <c r="A8" s="1641"/>
      <c r="B8" s="1641">
        <v>13</v>
      </c>
      <c r="C8" s="1641"/>
      <c r="D8" s="1642"/>
      <c r="E8" s="4172"/>
      <c r="F8" s="4172"/>
      <c r="G8" s="4172"/>
      <c r="H8" s="1642">
        <v>1.8</v>
      </c>
      <c r="I8" s="1642">
        <v>3.5</v>
      </c>
      <c r="J8" s="4165"/>
      <c r="K8" s="1642">
        <v>6</v>
      </c>
      <c r="L8" s="1643">
        <v>13</v>
      </c>
      <c r="M8" s="1641">
        <v>13.6</v>
      </c>
      <c r="N8" s="4169"/>
      <c r="O8" s="4183"/>
      <c r="P8" s="4184"/>
      <c r="Q8" s="4172"/>
    </row>
    <row r="9" spans="1:18">
      <c r="A9" s="1641">
        <v>14</v>
      </c>
      <c r="B9" s="1641"/>
      <c r="C9" s="1641"/>
      <c r="D9" s="1642"/>
      <c r="E9" s="4172"/>
      <c r="F9" s="4172"/>
      <c r="G9" s="4172"/>
      <c r="H9" s="1642">
        <v>2</v>
      </c>
      <c r="I9" s="1642">
        <v>3.6</v>
      </c>
      <c r="J9" s="4171">
        <v>1.7</v>
      </c>
      <c r="K9" s="1642">
        <v>7</v>
      </c>
      <c r="L9" s="1643">
        <v>14</v>
      </c>
      <c r="M9" s="1641">
        <v>14.6</v>
      </c>
      <c r="N9" s="4169"/>
      <c r="O9" s="4183"/>
      <c r="P9" s="4184"/>
      <c r="Q9" s="4172"/>
    </row>
    <row r="10" spans="1:18">
      <c r="A10" s="1641"/>
      <c r="B10" s="1641">
        <v>15</v>
      </c>
      <c r="C10" s="1641"/>
      <c r="D10" s="1642"/>
      <c r="E10" s="4172"/>
      <c r="F10" s="4172"/>
      <c r="G10" s="4172"/>
      <c r="H10" s="1642">
        <v>2</v>
      </c>
      <c r="I10" s="1642">
        <v>3.6</v>
      </c>
      <c r="J10" s="4172"/>
      <c r="K10" s="1642">
        <v>8</v>
      </c>
      <c r="L10" s="1643">
        <v>15</v>
      </c>
      <c r="M10" s="1641">
        <v>15.7</v>
      </c>
      <c r="N10" s="4169"/>
      <c r="O10" s="4183"/>
      <c r="P10" s="4184"/>
      <c r="Q10" s="4172"/>
    </row>
    <row r="11" spans="1:18">
      <c r="A11" s="1641">
        <v>16</v>
      </c>
      <c r="B11" s="1641"/>
      <c r="C11" s="1641"/>
      <c r="D11" s="1642"/>
      <c r="E11" s="4172"/>
      <c r="F11" s="4172"/>
      <c r="G11" s="4172"/>
      <c r="H11" s="1642">
        <v>2</v>
      </c>
      <c r="I11" s="1642">
        <v>3.7</v>
      </c>
      <c r="J11" s="4172"/>
      <c r="K11" s="1642">
        <v>8</v>
      </c>
      <c r="L11" s="1643">
        <v>16</v>
      </c>
      <c r="M11" s="1641">
        <v>16.8</v>
      </c>
      <c r="N11" s="4169"/>
      <c r="O11" s="4183"/>
      <c r="P11" s="4184"/>
      <c r="Q11" s="4172"/>
    </row>
    <row r="12" spans="1:18">
      <c r="A12" s="1641"/>
      <c r="B12" s="1641">
        <v>17</v>
      </c>
      <c r="C12" s="1641"/>
      <c r="D12" s="1642"/>
      <c r="E12" s="4172" t="s">
        <v>8802</v>
      </c>
      <c r="F12" s="4172"/>
      <c r="G12" s="4172"/>
      <c r="H12" s="1642">
        <v>2</v>
      </c>
      <c r="I12" s="1642">
        <v>3.8</v>
      </c>
      <c r="J12" s="4172"/>
      <c r="K12" s="1642">
        <v>9</v>
      </c>
      <c r="L12" s="1643">
        <v>17</v>
      </c>
      <c r="M12" s="1641">
        <v>17.8</v>
      </c>
      <c r="N12" s="4169"/>
      <c r="O12" s="4183"/>
      <c r="P12" s="4184"/>
      <c r="Q12" s="4172"/>
    </row>
    <row r="13" spans="1:18">
      <c r="A13" s="1641">
        <v>18</v>
      </c>
      <c r="B13" s="1641"/>
      <c r="C13" s="1641"/>
      <c r="D13" s="1642"/>
      <c r="E13" s="4172"/>
      <c r="F13" s="4172"/>
      <c r="G13" s="4172"/>
      <c r="H13" s="1642">
        <v>2.5</v>
      </c>
      <c r="I13" s="1642">
        <v>4</v>
      </c>
      <c r="J13" s="4173"/>
      <c r="K13" s="1642">
        <v>10</v>
      </c>
      <c r="L13" s="1643">
        <v>18</v>
      </c>
      <c r="M13" s="1641">
        <v>19</v>
      </c>
      <c r="N13" s="1644"/>
      <c r="O13" s="4183"/>
      <c r="P13" s="4184"/>
      <c r="Q13" s="4172"/>
    </row>
    <row r="14" spans="1:18">
      <c r="A14" s="1641">
        <v>19</v>
      </c>
      <c r="B14" s="1641"/>
      <c r="C14" s="1641"/>
      <c r="D14" s="1642"/>
      <c r="E14" s="4172"/>
      <c r="F14" s="4172"/>
      <c r="G14" s="4172"/>
      <c r="H14" s="1642">
        <v>2.5</v>
      </c>
      <c r="I14" s="1642">
        <v>4</v>
      </c>
      <c r="J14" s="4171">
        <v>2</v>
      </c>
      <c r="K14" s="1642">
        <v>11</v>
      </c>
      <c r="L14" s="1643">
        <v>19</v>
      </c>
      <c r="M14" s="1641">
        <v>20</v>
      </c>
      <c r="N14" s="1645"/>
      <c r="O14" s="4183"/>
      <c r="P14" s="4184"/>
      <c r="Q14" s="4172"/>
    </row>
    <row r="15" spans="1:18" ht="28.5" customHeight="1">
      <c r="A15" s="1641">
        <v>20</v>
      </c>
      <c r="B15" s="1641"/>
      <c r="C15" s="1641"/>
      <c r="D15" s="1642"/>
      <c r="E15" s="4172"/>
      <c r="F15" s="4172"/>
      <c r="G15" s="4172"/>
      <c r="H15" s="1642">
        <v>2.5</v>
      </c>
      <c r="I15" s="1642">
        <v>4</v>
      </c>
      <c r="J15" s="4172"/>
      <c r="K15" s="1642">
        <v>12</v>
      </c>
      <c r="L15" s="1643">
        <v>20</v>
      </c>
      <c r="M15" s="1641">
        <v>21</v>
      </c>
      <c r="N15" s="4180" t="s">
        <v>8823</v>
      </c>
      <c r="O15" s="4183"/>
      <c r="P15" s="4184"/>
      <c r="Q15" s="4172"/>
    </row>
    <row r="16" spans="1:18">
      <c r="A16" s="1641"/>
      <c r="B16" s="1641"/>
      <c r="C16" s="1641">
        <v>21</v>
      </c>
      <c r="D16" s="1642"/>
      <c r="E16" s="4172"/>
      <c r="F16" s="4172"/>
      <c r="G16" s="4172"/>
      <c r="H16" s="1642">
        <v>2.5</v>
      </c>
      <c r="I16" s="1642">
        <v>4.0999999999999996</v>
      </c>
      <c r="J16" s="4172"/>
      <c r="K16" s="1642">
        <v>12</v>
      </c>
      <c r="L16" s="1643">
        <v>21</v>
      </c>
      <c r="M16" s="1641">
        <v>22</v>
      </c>
      <c r="N16" s="4169"/>
      <c r="O16" s="4183"/>
      <c r="P16" s="4184"/>
      <c r="Q16" s="4172"/>
    </row>
    <row r="17" spans="1:17">
      <c r="A17" s="1641">
        <v>22</v>
      </c>
      <c r="B17" s="1641"/>
      <c r="C17" s="1641"/>
      <c r="D17" s="1642"/>
      <c r="E17" s="4172"/>
      <c r="F17" s="4173"/>
      <c r="G17" s="4173"/>
      <c r="H17" s="1642">
        <v>2.5</v>
      </c>
      <c r="I17" s="1642">
        <v>4.0999999999999996</v>
      </c>
      <c r="J17" s="4172"/>
      <c r="K17" s="1642">
        <v>13</v>
      </c>
      <c r="L17" s="1643">
        <v>22</v>
      </c>
      <c r="M17" s="1641">
        <v>23</v>
      </c>
      <c r="N17" s="4169"/>
      <c r="O17" s="4183"/>
      <c r="P17" s="4184"/>
      <c r="Q17" s="4172"/>
    </row>
    <row r="18" spans="1:17">
      <c r="A18" s="1641"/>
      <c r="B18" s="1641">
        <v>24</v>
      </c>
      <c r="C18" s="1641"/>
      <c r="D18" s="1642"/>
      <c r="E18" s="4172"/>
      <c r="F18" s="4171">
        <v>1.2</v>
      </c>
      <c r="G18" s="4171" t="s">
        <v>8801</v>
      </c>
      <c r="H18" s="1642">
        <v>2.5</v>
      </c>
      <c r="I18" s="1642">
        <v>4.3</v>
      </c>
      <c r="J18" s="4172"/>
      <c r="K18" s="1642">
        <v>15</v>
      </c>
      <c r="L18" s="1643">
        <v>24</v>
      </c>
      <c r="M18" s="1641">
        <v>25.2</v>
      </c>
      <c r="N18" s="4169"/>
      <c r="O18" s="4183">
        <v>1.35</v>
      </c>
      <c r="P18" s="4184"/>
      <c r="Q18" s="4172"/>
    </row>
    <row r="19" spans="1:17">
      <c r="A19" s="1641">
        <v>25</v>
      </c>
      <c r="B19" s="1641"/>
      <c r="C19" s="1641"/>
      <c r="D19" s="1642"/>
      <c r="E19" s="4172"/>
      <c r="F19" s="4172"/>
      <c r="G19" s="4172"/>
      <c r="H19" s="1642">
        <v>3</v>
      </c>
      <c r="I19" s="1642">
        <v>4.4000000000000004</v>
      </c>
      <c r="J19" s="4172"/>
      <c r="K19" s="464">
        <v>16</v>
      </c>
      <c r="L19" s="1643">
        <v>25</v>
      </c>
      <c r="M19" s="1641">
        <v>26.2</v>
      </c>
      <c r="N19" s="4169"/>
      <c r="O19" s="4183"/>
      <c r="P19" s="4184"/>
      <c r="Q19" s="4172"/>
    </row>
    <row r="20" spans="1:17">
      <c r="A20" s="1641"/>
      <c r="B20" s="1641">
        <v>26</v>
      </c>
      <c r="C20" s="1641"/>
      <c r="D20" s="1642"/>
      <c r="E20" s="4173"/>
      <c r="F20" s="4172"/>
      <c r="G20" s="4172"/>
      <c r="H20" s="1642">
        <v>3</v>
      </c>
      <c r="I20" s="1642">
        <v>4.5999999999999996</v>
      </c>
      <c r="J20" s="4172"/>
      <c r="K20" s="1642">
        <v>16</v>
      </c>
      <c r="L20" s="1643">
        <v>26</v>
      </c>
      <c r="M20" s="1641">
        <v>27.2</v>
      </c>
      <c r="N20" s="4169"/>
      <c r="O20" s="4183"/>
      <c r="P20" s="4184"/>
      <c r="Q20" s="4172"/>
    </row>
    <row r="21" spans="1:17">
      <c r="A21" s="1641">
        <v>28</v>
      </c>
      <c r="B21" s="1641"/>
      <c r="C21" s="1641"/>
      <c r="D21" s="1642"/>
      <c r="E21" s="4171" t="s">
        <v>8806</v>
      </c>
      <c r="F21" s="4172"/>
      <c r="G21" s="4172"/>
      <c r="H21" s="1642">
        <v>3</v>
      </c>
      <c r="I21" s="1642">
        <v>4.5999999999999996</v>
      </c>
      <c r="J21" s="4172"/>
      <c r="K21" s="1642">
        <v>18</v>
      </c>
      <c r="L21" s="1643">
        <v>28</v>
      </c>
      <c r="M21" s="1641">
        <v>29.4</v>
      </c>
      <c r="N21" s="4169"/>
      <c r="O21" s="4183"/>
      <c r="P21" s="4184"/>
      <c r="Q21" s="4172"/>
    </row>
    <row r="22" spans="1:17">
      <c r="A22" s="1641">
        <v>30</v>
      </c>
      <c r="B22" s="1641"/>
      <c r="C22" s="1641"/>
      <c r="D22" s="1642"/>
      <c r="E22" s="4172"/>
      <c r="F22" s="4172"/>
      <c r="G22" s="4172"/>
      <c r="H22" s="1642">
        <v>3</v>
      </c>
      <c r="I22" s="1642">
        <v>4.7</v>
      </c>
      <c r="J22" s="4172"/>
      <c r="K22" s="1642">
        <v>20</v>
      </c>
      <c r="L22" s="1643">
        <v>30</v>
      </c>
      <c r="M22" s="1641">
        <v>31.4</v>
      </c>
      <c r="N22" s="4169" t="s">
        <v>8824</v>
      </c>
      <c r="O22" s="4183"/>
      <c r="P22" s="4184"/>
      <c r="Q22" s="4172"/>
    </row>
    <row r="23" spans="1:17">
      <c r="A23" s="1641">
        <v>32</v>
      </c>
      <c r="B23" s="1641"/>
      <c r="C23" s="1641"/>
      <c r="D23" s="1642"/>
      <c r="E23" s="4172"/>
      <c r="F23" s="4173"/>
      <c r="G23" s="4172"/>
      <c r="H23" s="1642">
        <v>3.5</v>
      </c>
      <c r="I23" s="1642">
        <v>5.2</v>
      </c>
      <c r="J23" s="4173"/>
      <c r="K23" s="1642">
        <v>21</v>
      </c>
      <c r="L23" s="1643">
        <v>32</v>
      </c>
      <c r="M23" s="1641">
        <v>33.700000000000003</v>
      </c>
      <c r="N23" s="4169"/>
      <c r="O23" s="4183"/>
      <c r="P23" s="4184"/>
      <c r="Q23" s="4173"/>
    </row>
    <row r="24" spans="1:17">
      <c r="A24" s="1641"/>
      <c r="B24" s="1641"/>
      <c r="C24" s="1641">
        <v>34</v>
      </c>
      <c r="D24" s="1642"/>
      <c r="E24" s="4172"/>
      <c r="F24" s="4171" t="s">
        <v>8804</v>
      </c>
      <c r="G24" s="4172"/>
      <c r="H24" s="1642">
        <v>3.5</v>
      </c>
      <c r="I24" s="1642">
        <v>5.2</v>
      </c>
      <c r="J24" s="4171">
        <v>2.5</v>
      </c>
      <c r="K24" s="1642">
        <v>23</v>
      </c>
      <c r="L24" s="1643">
        <v>34</v>
      </c>
      <c r="M24" s="1641">
        <v>35.700000000000003</v>
      </c>
      <c r="N24" s="4169"/>
      <c r="O24" s="4186" t="s">
        <v>8825</v>
      </c>
      <c r="P24" s="4184"/>
      <c r="Q24" s="4171">
        <v>2</v>
      </c>
    </row>
    <row r="25" spans="1:17">
      <c r="A25" s="1641">
        <v>35</v>
      </c>
      <c r="B25" s="1641"/>
      <c r="C25" s="1641"/>
      <c r="D25" s="1642"/>
      <c r="E25" s="4172"/>
      <c r="F25" s="4172"/>
      <c r="G25" s="4172"/>
      <c r="H25" s="1642">
        <v>3.5</v>
      </c>
      <c r="I25" s="1642">
        <v>5.2</v>
      </c>
      <c r="J25" s="4172"/>
      <c r="K25" s="1642">
        <v>24</v>
      </c>
      <c r="L25" s="1643">
        <v>35</v>
      </c>
      <c r="M25" s="1641">
        <v>37</v>
      </c>
      <c r="N25" s="4169"/>
      <c r="O25" s="4183"/>
      <c r="P25" s="4184"/>
      <c r="Q25" s="4172"/>
    </row>
    <row r="26" spans="1:17">
      <c r="A26" s="1641"/>
      <c r="B26" s="1641">
        <v>36</v>
      </c>
      <c r="C26" s="1641"/>
      <c r="D26" s="1642"/>
      <c r="E26" s="4172"/>
      <c r="F26" s="4172"/>
      <c r="G26" s="4172"/>
      <c r="H26" s="1642">
        <v>3.5</v>
      </c>
      <c r="I26" s="1642">
        <v>5.2</v>
      </c>
      <c r="J26" s="4172"/>
      <c r="K26" s="1642">
        <v>25</v>
      </c>
      <c r="L26" s="1643">
        <v>36</v>
      </c>
      <c r="M26" s="1641">
        <v>38</v>
      </c>
      <c r="N26" s="4169"/>
      <c r="O26" s="4183"/>
      <c r="P26" s="4184"/>
      <c r="Q26" s="4172"/>
    </row>
    <row r="27" spans="1:17">
      <c r="A27" s="1641">
        <v>37</v>
      </c>
      <c r="B27" s="1641"/>
      <c r="C27" s="1641"/>
      <c r="D27" s="1642"/>
      <c r="E27" s="4172"/>
      <c r="F27" s="4172"/>
      <c r="G27" s="4172"/>
      <c r="H27" s="1642">
        <v>3.5</v>
      </c>
      <c r="I27" s="1642">
        <v>5.2</v>
      </c>
      <c r="J27" s="4172"/>
      <c r="K27" s="1642">
        <v>26</v>
      </c>
      <c r="L27" s="1643">
        <v>37</v>
      </c>
      <c r="M27" s="1641">
        <v>39</v>
      </c>
      <c r="N27" s="4169"/>
      <c r="O27" s="4183"/>
      <c r="P27" s="4184"/>
      <c r="Q27" s="4172"/>
    </row>
    <row r="28" spans="1:17">
      <c r="A28" s="1641"/>
      <c r="B28" s="1641">
        <v>38</v>
      </c>
      <c r="C28" s="1641"/>
      <c r="D28" s="1642"/>
      <c r="E28" s="4173"/>
      <c r="F28" s="4173"/>
      <c r="G28" s="4173"/>
      <c r="H28" s="1642">
        <v>4</v>
      </c>
      <c r="I28" s="1642">
        <v>5.3</v>
      </c>
      <c r="J28" s="4172"/>
      <c r="K28" s="1642">
        <v>27</v>
      </c>
      <c r="L28" s="1643">
        <v>38</v>
      </c>
      <c r="M28" s="1641">
        <v>40</v>
      </c>
      <c r="N28" s="4169"/>
      <c r="O28" s="4183"/>
      <c r="P28" s="4184"/>
      <c r="Q28" s="4172"/>
    </row>
    <row r="29" spans="1:17">
      <c r="A29" s="1641">
        <v>40</v>
      </c>
      <c r="B29" s="1641"/>
      <c r="C29" s="1641"/>
      <c r="D29" s="1642"/>
      <c r="E29" s="4171" t="s">
        <v>8082</v>
      </c>
      <c r="F29" s="4171">
        <v>1.8</v>
      </c>
      <c r="G29" s="4171" t="s">
        <v>8807</v>
      </c>
      <c r="H29" s="1642">
        <v>4</v>
      </c>
      <c r="I29" s="1642">
        <v>5.7</v>
      </c>
      <c r="J29" s="4172"/>
      <c r="K29" s="1642">
        <v>28</v>
      </c>
      <c r="L29" s="1643">
        <v>40</v>
      </c>
      <c r="M29" s="1641">
        <v>42.5</v>
      </c>
      <c r="N29" s="4169"/>
      <c r="O29" s="4183">
        <v>1.95</v>
      </c>
      <c r="P29" s="4184"/>
      <c r="Q29" s="4172"/>
    </row>
    <row r="30" spans="1:17">
      <c r="A30" s="1641">
        <v>42</v>
      </c>
      <c r="B30" s="1641"/>
      <c r="C30" s="1641"/>
      <c r="D30" s="1642"/>
      <c r="E30" s="4172"/>
      <c r="F30" s="4172"/>
      <c r="G30" s="4172"/>
      <c r="H30" s="1642">
        <v>4</v>
      </c>
      <c r="I30" s="1642">
        <v>5.8</v>
      </c>
      <c r="J30" s="4172"/>
      <c r="K30" s="1642">
        <v>30</v>
      </c>
      <c r="L30" s="1643">
        <v>42</v>
      </c>
      <c r="M30" s="1641">
        <v>44.5</v>
      </c>
      <c r="N30" s="4169"/>
      <c r="O30" s="4183"/>
      <c r="P30" s="4184"/>
      <c r="Q30" s="4172"/>
    </row>
    <row r="31" spans="1:17">
      <c r="A31" s="1641">
        <v>45</v>
      </c>
      <c r="B31" s="1641"/>
      <c r="C31" s="1641"/>
      <c r="D31" s="1642"/>
      <c r="E31" s="4173"/>
      <c r="F31" s="4172"/>
      <c r="G31" s="4172"/>
      <c r="H31" s="1642">
        <v>4.5</v>
      </c>
      <c r="I31" s="1642">
        <v>5.9</v>
      </c>
      <c r="J31" s="4172"/>
      <c r="K31" s="1642">
        <v>33</v>
      </c>
      <c r="L31" s="1643">
        <v>45</v>
      </c>
      <c r="M31" s="1641">
        <v>47.5</v>
      </c>
      <c r="N31" s="4169"/>
      <c r="O31" s="4183"/>
      <c r="P31" s="4184"/>
      <c r="Q31" s="4172"/>
    </row>
    <row r="32" spans="1:17">
      <c r="A32" s="1641">
        <v>47</v>
      </c>
      <c r="B32" s="1641"/>
      <c r="C32" s="1641"/>
      <c r="D32" s="1642"/>
      <c r="E32" s="4171" t="s">
        <v>8809</v>
      </c>
      <c r="F32" s="4172"/>
      <c r="G32" s="4172"/>
      <c r="H32" s="1642">
        <v>4.5</v>
      </c>
      <c r="I32" s="1642">
        <v>6.1</v>
      </c>
      <c r="J32" s="4172"/>
      <c r="K32" s="1642">
        <v>34</v>
      </c>
      <c r="L32" s="1643">
        <v>47</v>
      </c>
      <c r="M32" s="1641">
        <v>49.5</v>
      </c>
      <c r="N32" s="4169"/>
      <c r="O32" s="4183"/>
      <c r="P32" s="4184"/>
      <c r="Q32" s="4172"/>
    </row>
    <row r="33" spans="1:17">
      <c r="A33" s="1641"/>
      <c r="B33" s="1641">
        <v>48</v>
      </c>
      <c r="C33" s="1641"/>
      <c r="D33" s="1642"/>
      <c r="E33" s="4172"/>
      <c r="F33" s="4173"/>
      <c r="G33" s="4172"/>
      <c r="H33" s="1642">
        <v>4.5</v>
      </c>
      <c r="I33" s="1642">
        <v>6.2</v>
      </c>
      <c r="J33" s="4172"/>
      <c r="K33" s="1642">
        <v>35</v>
      </c>
      <c r="L33" s="1643">
        <v>48</v>
      </c>
      <c r="M33" s="1641">
        <v>50.5</v>
      </c>
      <c r="N33" s="4169" t="s">
        <v>8826</v>
      </c>
      <c r="O33" s="4183"/>
      <c r="P33" s="4184"/>
      <c r="Q33" s="4172"/>
    </row>
    <row r="34" spans="1:17">
      <c r="A34" s="1641">
        <v>50</v>
      </c>
      <c r="B34" s="1641"/>
      <c r="C34" s="1641"/>
      <c r="D34" s="1642"/>
      <c r="E34" s="4172"/>
      <c r="F34" s="4171">
        <v>2</v>
      </c>
      <c r="G34" s="4172"/>
      <c r="H34" s="1642">
        <v>4.5</v>
      </c>
      <c r="I34" s="1642">
        <v>6.5</v>
      </c>
      <c r="J34" s="4172"/>
      <c r="K34" s="1642">
        <v>37</v>
      </c>
      <c r="L34" s="1643">
        <v>50</v>
      </c>
      <c r="M34" s="1641">
        <v>53</v>
      </c>
      <c r="N34" s="4169"/>
      <c r="O34" s="4183">
        <v>2.2000000000000002</v>
      </c>
      <c r="P34" s="4184"/>
      <c r="Q34" s="4172"/>
    </row>
    <row r="35" spans="1:17">
      <c r="A35" s="1641">
        <v>52</v>
      </c>
      <c r="B35" s="1641"/>
      <c r="C35" s="1641"/>
      <c r="D35" s="1642"/>
      <c r="E35" s="4172"/>
      <c r="F35" s="4172"/>
      <c r="G35" s="4172"/>
      <c r="H35" s="1642">
        <v>5.0999999999999996</v>
      </c>
      <c r="I35" s="1642">
        <v>6.5</v>
      </c>
      <c r="J35" s="4172"/>
      <c r="K35" s="1642">
        <v>39</v>
      </c>
      <c r="L35" s="1643">
        <v>52</v>
      </c>
      <c r="M35" s="1641">
        <v>55</v>
      </c>
      <c r="N35" s="4169"/>
      <c r="O35" s="4183"/>
      <c r="P35" s="4184"/>
      <c r="Q35" s="4172"/>
    </row>
    <row r="36" spans="1:17">
      <c r="A36" s="1641">
        <v>55</v>
      </c>
      <c r="B36" s="1641"/>
      <c r="C36" s="1641"/>
      <c r="D36" s="1642"/>
      <c r="E36" s="4172"/>
      <c r="F36" s="4172"/>
      <c r="G36" s="4172"/>
      <c r="H36" s="1642">
        <v>5.0999999999999996</v>
      </c>
      <c r="I36" s="1642">
        <v>6.5</v>
      </c>
      <c r="J36" s="4172"/>
      <c r="K36" s="1642">
        <v>41</v>
      </c>
      <c r="L36" s="1643">
        <v>55</v>
      </c>
      <c r="M36" s="1641">
        <v>58</v>
      </c>
      <c r="N36" s="4169"/>
      <c r="O36" s="4183"/>
      <c r="P36" s="4184"/>
      <c r="Q36" s="4172"/>
    </row>
    <row r="37" spans="1:17">
      <c r="A37" s="1641"/>
      <c r="B37" s="1641">
        <v>56</v>
      </c>
      <c r="C37" s="1641"/>
      <c r="D37" s="1642"/>
      <c r="E37" s="4172"/>
      <c r="F37" s="4172"/>
      <c r="G37" s="4172"/>
      <c r="H37" s="1642">
        <v>5.0999999999999996</v>
      </c>
      <c r="I37" s="1642">
        <v>6.5</v>
      </c>
      <c r="J37" s="4172"/>
      <c r="K37" s="1642">
        <v>42</v>
      </c>
      <c r="L37" s="1643">
        <v>56</v>
      </c>
      <c r="M37" s="1641">
        <v>59</v>
      </c>
      <c r="N37" s="4169"/>
      <c r="O37" s="4183"/>
      <c r="P37" s="4184"/>
      <c r="Q37" s="4172"/>
    </row>
    <row r="38" spans="1:17">
      <c r="A38" s="1641"/>
      <c r="B38" s="1641"/>
      <c r="C38" s="1641">
        <v>58</v>
      </c>
      <c r="D38" s="1642"/>
      <c r="E38" s="4172"/>
      <c r="F38" s="4172"/>
      <c r="G38" s="4172"/>
      <c r="H38" s="1642">
        <v>5.0999999999999996</v>
      </c>
      <c r="I38" s="1642">
        <v>6.8</v>
      </c>
      <c r="J38" s="4172"/>
      <c r="K38" s="1642">
        <v>44</v>
      </c>
      <c r="L38" s="1643">
        <v>58</v>
      </c>
      <c r="M38" s="1641">
        <v>61</v>
      </c>
      <c r="N38" s="4169"/>
      <c r="O38" s="4183"/>
      <c r="P38" s="4184"/>
      <c r="Q38" s="4172"/>
    </row>
    <row r="39" spans="1:17">
      <c r="A39" s="1641">
        <v>60</v>
      </c>
      <c r="B39" s="1641"/>
      <c r="C39" s="1641"/>
      <c r="D39" s="1642"/>
      <c r="E39" s="4172"/>
      <c r="F39" s="4172"/>
      <c r="G39" s="4172"/>
      <c r="H39" s="1642">
        <v>5.5</v>
      </c>
      <c r="I39" s="1642">
        <v>6.8</v>
      </c>
      <c r="J39" s="4172"/>
      <c r="K39" s="1642">
        <v>46</v>
      </c>
      <c r="L39" s="1643">
        <v>60</v>
      </c>
      <c r="M39" s="1641">
        <v>63</v>
      </c>
      <c r="N39" s="4169"/>
      <c r="O39" s="4183"/>
      <c r="P39" s="4184"/>
      <c r="Q39" s="4172"/>
    </row>
    <row r="40" spans="1:17">
      <c r="A40" s="1641">
        <v>62</v>
      </c>
      <c r="B40" s="1641"/>
      <c r="C40" s="1641"/>
      <c r="D40" s="1642"/>
      <c r="E40" s="4172"/>
      <c r="F40" s="4172"/>
      <c r="G40" s="4172"/>
      <c r="H40" s="1642">
        <v>5.5</v>
      </c>
      <c r="I40" s="1642">
        <v>6.9</v>
      </c>
      <c r="J40" s="4172"/>
      <c r="K40" s="1642">
        <v>48</v>
      </c>
      <c r="L40" s="1643">
        <v>62</v>
      </c>
      <c r="M40" s="1641">
        <v>65</v>
      </c>
      <c r="N40" s="4169"/>
      <c r="O40" s="4183"/>
      <c r="P40" s="4184"/>
      <c r="Q40" s="4172"/>
    </row>
    <row r="41" spans="1:17">
      <c r="A41" s="1641"/>
      <c r="B41" s="1641">
        <v>63</v>
      </c>
      <c r="C41" s="1641"/>
      <c r="D41" s="1642"/>
      <c r="E41" s="4172"/>
      <c r="F41" s="4173"/>
      <c r="G41" s="4173"/>
      <c r="H41" s="1642">
        <v>5.5</v>
      </c>
      <c r="I41" s="1642">
        <v>6.9</v>
      </c>
      <c r="J41" s="4172"/>
      <c r="K41" s="1642">
        <v>49</v>
      </c>
      <c r="L41" s="1643">
        <v>63</v>
      </c>
      <c r="M41" s="1641">
        <v>66</v>
      </c>
      <c r="N41" s="4169"/>
      <c r="O41" s="4183"/>
      <c r="P41" s="4184"/>
      <c r="Q41" s="4173"/>
    </row>
    <row r="42" spans="1:17">
      <c r="A42" s="1641"/>
      <c r="B42" s="1641">
        <v>65</v>
      </c>
      <c r="C42" s="1641"/>
      <c r="D42" s="1642"/>
      <c r="E42" s="4172"/>
      <c r="F42" s="4171">
        <v>2.5</v>
      </c>
      <c r="G42" s="4171" t="s">
        <v>8811</v>
      </c>
      <c r="H42" s="1642">
        <v>5.5</v>
      </c>
      <c r="I42" s="1642">
        <v>7</v>
      </c>
      <c r="J42" s="4172"/>
      <c r="K42" s="1642">
        <v>50</v>
      </c>
      <c r="L42" s="1643">
        <v>65</v>
      </c>
      <c r="M42" s="1641">
        <v>68</v>
      </c>
      <c r="N42" s="4169"/>
      <c r="O42" s="4183">
        <v>2.7</v>
      </c>
      <c r="P42" s="4184"/>
      <c r="Q42" s="4171">
        <v>2.5</v>
      </c>
    </row>
    <row r="43" spans="1:17">
      <c r="A43" s="1641">
        <v>68</v>
      </c>
      <c r="B43" s="1641"/>
      <c r="C43" s="1641"/>
      <c r="D43" s="1642"/>
      <c r="E43" s="4172"/>
      <c r="F43" s="4172"/>
      <c r="G43" s="4172"/>
      <c r="H43" s="1642">
        <v>6</v>
      </c>
      <c r="I43" s="1642">
        <v>7.4</v>
      </c>
      <c r="J43" s="4172"/>
      <c r="K43" s="1642">
        <v>53</v>
      </c>
      <c r="L43" s="1643">
        <v>68</v>
      </c>
      <c r="M43" s="1641">
        <v>71</v>
      </c>
      <c r="N43" s="4169"/>
      <c r="O43" s="4183"/>
      <c r="P43" s="4184"/>
      <c r="Q43" s="4172"/>
    </row>
    <row r="44" spans="1:17">
      <c r="A44" s="1641"/>
      <c r="B44" s="1641">
        <v>70</v>
      </c>
      <c r="C44" s="1641"/>
      <c r="D44" s="1642"/>
      <c r="E44" s="4172"/>
      <c r="F44" s="4172"/>
      <c r="G44" s="4172"/>
      <c r="H44" s="1642">
        <v>6</v>
      </c>
      <c r="I44" s="1642">
        <v>7.4</v>
      </c>
      <c r="J44" s="4172"/>
      <c r="K44" s="1642">
        <v>55</v>
      </c>
      <c r="L44" s="1643">
        <v>70</v>
      </c>
      <c r="M44" s="1641">
        <v>73</v>
      </c>
      <c r="N44" s="4169"/>
      <c r="O44" s="4183"/>
      <c r="P44" s="4184"/>
      <c r="Q44" s="4172"/>
    </row>
    <row r="45" spans="1:17">
      <c r="A45" s="1641">
        <v>72</v>
      </c>
      <c r="B45" s="1641"/>
      <c r="C45" s="1641"/>
      <c r="D45" s="1642"/>
      <c r="E45" s="4172"/>
      <c r="F45" s="4172"/>
      <c r="G45" s="4172"/>
      <c r="H45" s="1642">
        <v>6.6</v>
      </c>
      <c r="I45" s="1642">
        <v>7.4</v>
      </c>
      <c r="J45" s="4172"/>
      <c r="K45" s="1642">
        <v>57</v>
      </c>
      <c r="L45" s="1643">
        <v>72</v>
      </c>
      <c r="M45" s="1641">
        <v>75</v>
      </c>
      <c r="N45" s="4169"/>
      <c r="O45" s="4183"/>
      <c r="P45" s="4184"/>
      <c r="Q45" s="4172"/>
    </row>
    <row r="46" spans="1:17">
      <c r="A46" s="1641">
        <v>75</v>
      </c>
      <c r="B46" s="1641"/>
      <c r="C46" s="1641"/>
      <c r="D46" s="1642"/>
      <c r="E46" s="4173"/>
      <c r="F46" s="4172"/>
      <c r="G46" s="4172"/>
      <c r="H46" s="1642">
        <v>6.6</v>
      </c>
      <c r="I46" s="1642">
        <v>7.8</v>
      </c>
      <c r="J46" s="4172"/>
      <c r="K46" s="1642">
        <v>60</v>
      </c>
      <c r="L46" s="1643">
        <v>75</v>
      </c>
      <c r="M46" s="1641">
        <v>78</v>
      </c>
      <c r="N46" s="4169"/>
      <c r="O46" s="4183"/>
      <c r="P46" s="4184"/>
      <c r="Q46" s="4172"/>
    </row>
    <row r="47" spans="1:17">
      <c r="A47" s="1641"/>
      <c r="B47" s="1641"/>
      <c r="C47" s="1641">
        <v>78</v>
      </c>
      <c r="D47" s="1642"/>
      <c r="E47" s="4171" t="s">
        <v>8815</v>
      </c>
      <c r="F47" s="4172"/>
      <c r="G47" s="4172"/>
      <c r="H47" s="1642">
        <v>6.6</v>
      </c>
      <c r="I47" s="1642">
        <v>8</v>
      </c>
      <c r="J47" s="4172"/>
      <c r="K47" s="1642">
        <v>62</v>
      </c>
      <c r="L47" s="1643">
        <v>78</v>
      </c>
      <c r="M47" s="1641">
        <v>81</v>
      </c>
      <c r="N47" s="4169" t="s">
        <v>8827</v>
      </c>
      <c r="O47" s="4183"/>
      <c r="P47" s="4184"/>
      <c r="Q47" s="4172"/>
    </row>
    <row r="48" spans="1:17" ht="14.25" customHeight="1">
      <c r="A48" s="1641">
        <v>80</v>
      </c>
      <c r="B48" s="1641"/>
      <c r="C48" s="1641"/>
      <c r="D48" s="1642"/>
      <c r="E48" s="4172"/>
      <c r="F48" s="4172"/>
      <c r="G48" s="4172"/>
      <c r="H48" s="1642">
        <v>7</v>
      </c>
      <c r="I48" s="1642">
        <v>8</v>
      </c>
      <c r="J48" s="4172"/>
      <c r="K48" s="1642">
        <v>64</v>
      </c>
      <c r="L48" s="1643">
        <v>80</v>
      </c>
      <c r="M48" s="1641">
        <v>83.5</v>
      </c>
      <c r="N48" s="4169"/>
      <c r="O48" s="4183"/>
      <c r="P48" s="4184"/>
      <c r="Q48" s="4172"/>
    </row>
    <row r="49" spans="1:17">
      <c r="A49" s="1641"/>
      <c r="B49" s="1641"/>
      <c r="C49" s="1641">
        <v>82</v>
      </c>
      <c r="D49" s="1642"/>
      <c r="E49" s="4172"/>
      <c r="F49" s="4173"/>
      <c r="G49" s="4173"/>
      <c r="H49" s="1642">
        <v>7</v>
      </c>
      <c r="I49" s="1642">
        <v>8</v>
      </c>
      <c r="J49" s="4172">
        <v>3</v>
      </c>
      <c r="K49" s="1642">
        <v>66</v>
      </c>
      <c r="L49" s="1643">
        <v>82</v>
      </c>
      <c r="M49" s="1641">
        <v>85.5</v>
      </c>
      <c r="N49" s="4169"/>
      <c r="O49" s="4183"/>
      <c r="P49" s="4184"/>
      <c r="Q49" s="4173"/>
    </row>
    <row r="50" spans="1:17">
      <c r="A50" s="1641">
        <v>85</v>
      </c>
      <c r="B50" s="1641"/>
      <c r="C50" s="1641"/>
      <c r="D50" s="1642"/>
      <c r="E50" s="4172"/>
      <c r="F50" s="4171">
        <v>3</v>
      </c>
      <c r="G50" s="4171" t="s">
        <v>8812</v>
      </c>
      <c r="H50" s="1642">
        <v>7</v>
      </c>
      <c r="I50" s="1642">
        <v>8</v>
      </c>
      <c r="J50" s="4172"/>
      <c r="K50" s="1642">
        <v>69</v>
      </c>
      <c r="L50" s="1643">
        <v>85</v>
      </c>
      <c r="M50" s="1641">
        <v>88.5</v>
      </c>
      <c r="N50" s="4169"/>
      <c r="O50" s="4183">
        <v>3.2</v>
      </c>
      <c r="P50" s="4185" t="s">
        <v>8828</v>
      </c>
      <c r="Q50" s="4171">
        <v>3</v>
      </c>
    </row>
    <row r="51" spans="1:17">
      <c r="A51" s="1641"/>
      <c r="B51" s="1641"/>
      <c r="C51" s="1641">
        <v>88</v>
      </c>
      <c r="D51" s="1642"/>
      <c r="E51" s="4172"/>
      <c r="F51" s="4172"/>
      <c r="G51" s="4172"/>
      <c r="H51" s="1642">
        <v>7.6</v>
      </c>
      <c r="I51" s="1642">
        <v>8.1999999999999993</v>
      </c>
      <c r="J51" s="4172"/>
      <c r="K51" s="1642">
        <v>71</v>
      </c>
      <c r="L51" s="1643">
        <v>88</v>
      </c>
      <c r="M51" s="1641">
        <v>91.5</v>
      </c>
      <c r="N51" s="4169"/>
      <c r="O51" s="4183"/>
      <c r="P51" s="4184"/>
      <c r="Q51" s="4172"/>
    </row>
    <row r="52" spans="1:17">
      <c r="A52" s="1641">
        <v>90</v>
      </c>
      <c r="B52" s="1641"/>
      <c r="C52" s="1641"/>
      <c r="D52" s="1642"/>
      <c r="E52" s="4172"/>
      <c r="F52" s="4172"/>
      <c r="G52" s="4172"/>
      <c r="H52" s="1642">
        <v>7.6</v>
      </c>
      <c r="I52" s="1642">
        <v>8.3000000000000007</v>
      </c>
      <c r="J52" s="4172"/>
      <c r="K52" s="1642">
        <v>73</v>
      </c>
      <c r="L52" s="1643">
        <v>90</v>
      </c>
      <c r="M52" s="1641">
        <v>93.5</v>
      </c>
      <c r="N52" s="4169"/>
      <c r="O52" s="4183"/>
      <c r="P52" s="4184"/>
      <c r="Q52" s="4172"/>
    </row>
    <row r="53" spans="1:17" ht="14.25" customHeight="1">
      <c r="A53" s="1641"/>
      <c r="B53" s="1641"/>
      <c r="C53" s="1641">
        <v>92</v>
      </c>
      <c r="D53" s="1642"/>
      <c r="E53" s="4172"/>
      <c r="F53" s="4172"/>
      <c r="G53" s="4172"/>
      <c r="H53" s="1642">
        <v>8</v>
      </c>
      <c r="I53" s="1642">
        <v>8.3000000000000007</v>
      </c>
      <c r="J53" s="4172"/>
      <c r="K53" s="1642">
        <v>74</v>
      </c>
      <c r="L53" s="1643">
        <v>92</v>
      </c>
      <c r="M53" s="1641">
        <v>95.5</v>
      </c>
      <c r="N53" s="4169"/>
      <c r="O53" s="4183"/>
      <c r="P53" s="4184"/>
      <c r="Q53" s="4172"/>
    </row>
    <row r="54" spans="1:17">
      <c r="A54" s="1641">
        <v>95</v>
      </c>
      <c r="B54" s="1641"/>
      <c r="C54" s="1641"/>
      <c r="D54" s="1642"/>
      <c r="E54" s="4172"/>
      <c r="F54" s="4172"/>
      <c r="G54" s="4172"/>
      <c r="H54" s="464">
        <v>8</v>
      </c>
      <c r="I54" s="1642">
        <v>8.5</v>
      </c>
      <c r="J54" s="4172"/>
      <c r="K54" s="1642">
        <v>77</v>
      </c>
      <c r="L54" s="1643">
        <v>95</v>
      </c>
      <c r="M54" s="1641">
        <v>98.5</v>
      </c>
      <c r="N54" s="4169"/>
      <c r="O54" s="4183"/>
      <c r="P54" s="4184"/>
      <c r="Q54" s="4172"/>
    </row>
    <row r="55" spans="1:17">
      <c r="A55" s="1641"/>
      <c r="B55" s="1641"/>
      <c r="C55" s="1641">
        <v>98</v>
      </c>
      <c r="D55" s="1642"/>
      <c r="E55" s="4172"/>
      <c r="F55" s="4172"/>
      <c r="G55" s="4172"/>
      <c r="H55" s="1642">
        <v>8.3000000000000007</v>
      </c>
      <c r="I55" s="1642">
        <v>8.6999999999999993</v>
      </c>
      <c r="J55" s="4172"/>
      <c r="K55" s="1642">
        <v>80</v>
      </c>
      <c r="L55" s="1643">
        <v>98</v>
      </c>
      <c r="M55" s="1641">
        <v>101.5</v>
      </c>
      <c r="N55" s="4169"/>
      <c r="O55" s="4183"/>
      <c r="P55" s="4184"/>
      <c r="Q55" s="4172"/>
    </row>
    <row r="56" spans="1:17">
      <c r="A56" s="1641">
        <v>100</v>
      </c>
      <c r="B56" s="1641"/>
      <c r="C56" s="1641"/>
      <c r="D56" s="1642"/>
      <c r="E56" s="4172"/>
      <c r="F56" s="4173"/>
      <c r="G56" s="4172"/>
      <c r="H56" s="1642">
        <v>8.3000000000000007</v>
      </c>
      <c r="I56" s="1642">
        <v>8.8000000000000007</v>
      </c>
      <c r="J56" s="4172"/>
      <c r="K56" s="1642">
        <v>82</v>
      </c>
      <c r="L56" s="1643">
        <v>100</v>
      </c>
      <c r="M56" s="1641">
        <v>103.5</v>
      </c>
      <c r="N56" s="4170"/>
      <c r="O56" s="4183"/>
      <c r="P56" s="4184"/>
      <c r="Q56" s="4173"/>
    </row>
    <row r="57" spans="1:17" ht="28.5" customHeight="1">
      <c r="A57" s="1641"/>
      <c r="B57" s="1641"/>
      <c r="C57" s="1641">
        <v>102</v>
      </c>
      <c r="D57" s="1642"/>
      <c r="E57" s="4172"/>
      <c r="F57" s="4171">
        <v>4</v>
      </c>
      <c r="G57" s="4172"/>
      <c r="H57" s="1642">
        <v>8.9</v>
      </c>
      <c r="I57" s="1642">
        <v>9</v>
      </c>
      <c r="J57" s="4172"/>
      <c r="K57" s="1642">
        <v>83</v>
      </c>
      <c r="L57" s="1643">
        <v>102</v>
      </c>
      <c r="M57" s="1641">
        <v>106</v>
      </c>
      <c r="N57" s="4180" t="s">
        <v>8829</v>
      </c>
      <c r="O57" s="4183">
        <v>4.2</v>
      </c>
      <c r="P57" s="4184"/>
      <c r="Q57" s="4171">
        <v>4</v>
      </c>
    </row>
    <row r="58" spans="1:17">
      <c r="A58" s="1641"/>
      <c r="B58" s="1641">
        <v>105</v>
      </c>
      <c r="C58" s="1641"/>
      <c r="D58" s="1642"/>
      <c r="E58" s="4172"/>
      <c r="F58" s="4172"/>
      <c r="G58" s="4172"/>
      <c r="H58" s="1642">
        <v>8.9</v>
      </c>
      <c r="I58" s="1642">
        <v>9.1</v>
      </c>
      <c r="J58" s="4172"/>
      <c r="K58" s="1642">
        <v>86</v>
      </c>
      <c r="L58" s="1647">
        <v>105</v>
      </c>
      <c r="M58" s="1641">
        <v>109</v>
      </c>
      <c r="N58" s="4169"/>
      <c r="O58" s="4183"/>
      <c r="P58" s="4184"/>
      <c r="Q58" s="4172"/>
    </row>
    <row r="59" spans="1:17">
      <c r="A59" s="1641"/>
      <c r="B59" s="1641"/>
      <c r="C59" s="1641">
        <v>108</v>
      </c>
      <c r="D59" s="1642"/>
      <c r="E59" s="4172"/>
      <c r="F59" s="4172"/>
      <c r="G59" s="4172"/>
      <c r="H59" s="1642">
        <v>8.9</v>
      </c>
      <c r="I59" s="1642">
        <v>9.5</v>
      </c>
      <c r="J59" s="4172"/>
      <c r="K59" s="1642">
        <v>87</v>
      </c>
      <c r="L59" s="1647">
        <v>108</v>
      </c>
      <c r="M59" s="1641">
        <v>112</v>
      </c>
      <c r="N59" s="4169"/>
      <c r="O59" s="4183"/>
      <c r="P59" s="4184"/>
      <c r="Q59" s="4172"/>
    </row>
    <row r="60" spans="1:17">
      <c r="A60" s="1641">
        <v>110</v>
      </c>
      <c r="B60" s="1641"/>
      <c r="C60" s="1641"/>
      <c r="D60" s="1642"/>
      <c r="E60" s="4172"/>
      <c r="F60" s="4172"/>
      <c r="G60" s="4172"/>
      <c r="H60" s="1642">
        <v>8.9</v>
      </c>
      <c r="I60" s="1642">
        <v>10.199999999999999</v>
      </c>
      <c r="J60" s="4172"/>
      <c r="K60" s="1642">
        <v>89</v>
      </c>
      <c r="L60" s="1647">
        <v>110</v>
      </c>
      <c r="M60" s="1641">
        <v>114</v>
      </c>
      <c r="N60" s="4169"/>
      <c r="O60" s="4183"/>
      <c r="P60" s="4184"/>
      <c r="Q60" s="4172"/>
    </row>
    <row r="61" spans="1:17">
      <c r="A61" s="1641"/>
      <c r="B61" s="1641">
        <v>112</v>
      </c>
      <c r="C61" s="1641"/>
      <c r="D61" s="1642"/>
      <c r="E61" s="4173"/>
      <c r="F61" s="4172"/>
      <c r="G61" s="4172"/>
      <c r="H61" s="1642">
        <v>8.9</v>
      </c>
      <c r="I61" s="1642">
        <v>10.199999999999999</v>
      </c>
      <c r="J61" s="4172"/>
      <c r="K61" s="1642">
        <v>90</v>
      </c>
      <c r="L61" s="1647">
        <v>112</v>
      </c>
      <c r="M61" s="1641">
        <v>116</v>
      </c>
      <c r="N61" s="4169"/>
      <c r="O61" s="4183"/>
      <c r="P61" s="4184"/>
      <c r="Q61" s="4172"/>
    </row>
    <row r="62" spans="1:17">
      <c r="A62" s="1641"/>
      <c r="B62" s="1641">
        <v>115</v>
      </c>
      <c r="C62" s="1641"/>
      <c r="D62" s="1642"/>
      <c r="E62" s="4171" t="s">
        <v>8830</v>
      </c>
      <c r="F62" s="4172"/>
      <c r="G62" s="4172"/>
      <c r="H62" s="1642">
        <v>9.5</v>
      </c>
      <c r="I62" s="1642">
        <v>10.199999999999999</v>
      </c>
      <c r="J62" s="4172"/>
      <c r="K62" s="1642">
        <v>94</v>
      </c>
      <c r="L62" s="1647">
        <v>115</v>
      </c>
      <c r="M62" s="1641">
        <v>119</v>
      </c>
      <c r="N62" s="4170"/>
      <c r="O62" s="4183"/>
      <c r="P62" s="4184"/>
      <c r="Q62" s="4172"/>
    </row>
    <row r="63" spans="1:17">
      <c r="A63" s="1641">
        <v>120</v>
      </c>
      <c r="B63" s="1641"/>
      <c r="C63" s="1641"/>
      <c r="D63" s="1642"/>
      <c r="E63" s="4172"/>
      <c r="F63" s="4172"/>
      <c r="G63" s="4172"/>
      <c r="H63" s="1642">
        <v>9.5</v>
      </c>
      <c r="I63" s="1642">
        <v>10.7</v>
      </c>
      <c r="J63" s="4173"/>
      <c r="K63" s="1642">
        <v>98</v>
      </c>
      <c r="L63" s="1647">
        <v>120</v>
      </c>
      <c r="M63" s="1641">
        <v>124</v>
      </c>
      <c r="N63" s="4168" t="s">
        <v>8831</v>
      </c>
      <c r="O63" s="4183"/>
      <c r="P63" s="4184"/>
      <c r="Q63" s="4172"/>
    </row>
    <row r="64" spans="1:17">
      <c r="A64" s="1641">
        <v>125</v>
      </c>
      <c r="B64" s="1641"/>
      <c r="C64" s="1641"/>
      <c r="D64" s="1642"/>
      <c r="E64" s="4173"/>
      <c r="F64" s="4173"/>
      <c r="G64" s="4173"/>
      <c r="H64" s="1642">
        <v>10</v>
      </c>
      <c r="I64" s="1642">
        <v>10.7</v>
      </c>
      <c r="J64" s="1642">
        <v>3.5</v>
      </c>
      <c r="K64" s="1642">
        <v>103</v>
      </c>
      <c r="L64" s="1647">
        <v>125</v>
      </c>
      <c r="M64" s="1641">
        <v>129</v>
      </c>
      <c r="N64" s="4170"/>
      <c r="O64" s="4183"/>
      <c r="P64" s="4184"/>
      <c r="Q64" s="4173"/>
    </row>
  </sheetData>
  <mergeCells count="62">
    <mergeCell ref="R1:R4"/>
    <mergeCell ref="Q5:Q23"/>
    <mergeCell ref="Q24:Q41"/>
    <mergeCell ref="Q42:Q49"/>
    <mergeCell ref="Q50:Q56"/>
    <mergeCell ref="A1:Q1"/>
    <mergeCell ref="D2:J2"/>
    <mergeCell ref="K2:Q2"/>
    <mergeCell ref="D3:E3"/>
    <mergeCell ref="F3:G3"/>
    <mergeCell ref="O3:P3"/>
    <mergeCell ref="H3:H4"/>
    <mergeCell ref="I3:I4"/>
    <mergeCell ref="J3:J4"/>
    <mergeCell ref="A2:C3"/>
    <mergeCell ref="J49:J63"/>
    <mergeCell ref="Q57:Q64"/>
    <mergeCell ref="O42:O49"/>
    <mergeCell ref="O50:O56"/>
    <mergeCell ref="O57:O64"/>
    <mergeCell ref="P5:P49"/>
    <mergeCell ref="P50:P64"/>
    <mergeCell ref="O5:O17"/>
    <mergeCell ref="O18:O23"/>
    <mergeCell ref="O24:O28"/>
    <mergeCell ref="O29:O33"/>
    <mergeCell ref="O34:O41"/>
    <mergeCell ref="K3:K4"/>
    <mergeCell ref="L3:L4"/>
    <mergeCell ref="N5:N12"/>
    <mergeCell ref="N15:N21"/>
    <mergeCell ref="N22:N32"/>
    <mergeCell ref="M3:N3"/>
    <mergeCell ref="N33:N46"/>
    <mergeCell ref="N47:N56"/>
    <mergeCell ref="N57:N62"/>
    <mergeCell ref="N63:N64"/>
    <mergeCell ref="J5:J6"/>
    <mergeCell ref="J7:J8"/>
    <mergeCell ref="J9:J13"/>
    <mergeCell ref="J14:J23"/>
    <mergeCell ref="J24:J48"/>
    <mergeCell ref="G5:G17"/>
    <mergeCell ref="G18:G28"/>
    <mergeCell ref="G29:G41"/>
    <mergeCell ref="G42:G49"/>
    <mergeCell ref="G50:G64"/>
    <mergeCell ref="E47:E61"/>
    <mergeCell ref="E62:E64"/>
    <mergeCell ref="F5:F17"/>
    <mergeCell ref="F18:F23"/>
    <mergeCell ref="F24:F28"/>
    <mergeCell ref="F29:F33"/>
    <mergeCell ref="F34:F41"/>
    <mergeCell ref="F42:F49"/>
    <mergeCell ref="F50:F56"/>
    <mergeCell ref="F57:F64"/>
    <mergeCell ref="E5:E11"/>
    <mergeCell ref="E12:E20"/>
    <mergeCell ref="E21:E28"/>
    <mergeCell ref="E29:E31"/>
    <mergeCell ref="E32:E46"/>
  </mergeCells>
  <phoneticPr fontId="378" type="noConversion"/>
  <hyperlinks>
    <hyperlink ref="R1:R4" location="总目录!A1" display="总目录!A1"/>
  </hyperlinks>
  <printOptions horizontalCentered="1"/>
  <pageMargins left="0.34930555555555598" right="0.34930555555555598" top="0.38888888888888901" bottom="0.38888888888888901" header="0.50902777777777797" footer="0.50902777777777797"/>
  <pageSetup paperSize="9" scale="74" orientation="portrait"/>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1"/>
  <sheetViews>
    <sheetView topLeftCell="A288" zoomScaleNormal="100" workbookViewId="0">
      <selection activeCell="J317" sqref="J317"/>
    </sheetView>
  </sheetViews>
  <sheetFormatPr defaultColWidth="8.75" defaultRowHeight="16.5"/>
  <cols>
    <col min="1" max="1" width="19.5" style="222" customWidth="1"/>
    <col min="2" max="2" width="6.25" style="222" customWidth="1"/>
    <col min="3" max="3" width="12.625" style="222" customWidth="1"/>
    <col min="4" max="4" width="6.25" style="222" customWidth="1"/>
    <col min="5" max="5" width="12.625" style="222" customWidth="1"/>
    <col min="6" max="6" width="6.75" style="222" customWidth="1"/>
    <col min="7" max="7" width="12.625" style="222" customWidth="1"/>
    <col min="8" max="8" width="6.25" style="222" customWidth="1"/>
    <col min="9" max="13" width="9.625" style="222" customWidth="1"/>
    <col min="14" max="15" width="8.75" style="222" customWidth="1"/>
  </cols>
  <sheetData>
    <row r="1" spans="1:11" ht="23.25" customHeight="1">
      <c r="A1" s="655"/>
      <c r="B1" s="656" t="s">
        <v>8832</v>
      </c>
      <c r="C1" s="657"/>
      <c r="D1" s="224"/>
      <c r="E1" s="224"/>
      <c r="F1" s="224"/>
      <c r="G1" s="224"/>
      <c r="H1" s="234" t="s">
        <v>8833</v>
      </c>
      <c r="I1" s="363"/>
      <c r="J1" s="364"/>
    </row>
    <row r="2" spans="1:11" ht="14.25" customHeight="1">
      <c r="A2" s="226" t="s">
        <v>8834</v>
      </c>
      <c r="B2" s="224"/>
      <c r="C2" s="224"/>
      <c r="D2" s="224"/>
      <c r="E2" s="224"/>
      <c r="F2" s="224"/>
      <c r="G2" s="224"/>
      <c r="H2" s="224"/>
    </row>
    <row r="3" spans="1:11" ht="14.25" customHeight="1">
      <c r="A3" s="227" t="s">
        <v>8835</v>
      </c>
      <c r="B3" s="224"/>
      <c r="C3" s="224"/>
      <c r="D3" s="224"/>
      <c r="E3" s="224"/>
      <c r="F3" s="224"/>
      <c r="G3" s="224"/>
      <c r="H3" s="224"/>
      <c r="J3" s="3166" t="s">
        <v>12704</v>
      </c>
    </row>
    <row r="4" spans="1:11" ht="14.25" customHeight="1">
      <c r="A4" s="227" t="s">
        <v>8836</v>
      </c>
      <c r="B4" s="224"/>
      <c r="C4" s="224"/>
      <c r="D4" s="224"/>
      <c r="E4" s="224"/>
      <c r="F4" s="224"/>
      <c r="G4" s="224"/>
      <c r="H4" s="224"/>
    </row>
    <row r="5" spans="1:11" ht="14.25" customHeight="1">
      <c r="A5" s="226" t="s">
        <v>8837</v>
      </c>
      <c r="B5" s="224"/>
      <c r="C5" s="224"/>
      <c r="D5" s="224"/>
      <c r="E5" s="224"/>
      <c r="F5" s="224"/>
      <c r="G5" s="224"/>
      <c r="H5" s="224"/>
    </row>
    <row r="6" spans="1:11" ht="14.25" customHeight="1">
      <c r="A6" s="226" t="s">
        <v>8838</v>
      </c>
      <c r="B6" s="224"/>
      <c r="C6" s="224"/>
      <c r="D6" s="224"/>
      <c r="E6" s="224"/>
      <c r="F6" s="224"/>
      <c r="G6" s="224"/>
      <c r="H6" s="224"/>
    </row>
    <row r="7" spans="1:11" ht="14.25" customHeight="1">
      <c r="A7" s="658"/>
      <c r="B7" s="659"/>
      <c r="C7" s="659"/>
      <c r="D7" s="659"/>
      <c r="E7" s="659"/>
      <c r="F7" s="660"/>
      <c r="G7" s="661" t="s">
        <v>8839</v>
      </c>
      <c r="H7" s="659"/>
      <c r="I7" s="270"/>
      <c r="J7" s="270"/>
      <c r="K7" s="270"/>
    </row>
    <row r="8" spans="1:11" ht="14.25" customHeight="1">
      <c r="A8" s="230" t="s">
        <v>8840</v>
      </c>
      <c r="B8" s="224"/>
      <c r="C8" s="224"/>
      <c r="D8" s="224"/>
      <c r="E8" s="224"/>
      <c r="F8" s="231"/>
      <c r="G8" s="224"/>
      <c r="H8" s="224"/>
      <c r="I8" s="270"/>
      <c r="J8" s="270"/>
      <c r="K8" s="270"/>
    </row>
    <row r="9" spans="1:11" ht="15.75" customHeight="1">
      <c r="A9" s="662" t="s">
        <v>8841</v>
      </c>
      <c r="B9" s="659"/>
      <c r="C9" s="663"/>
      <c r="D9" s="659"/>
      <c r="E9" s="659"/>
      <c r="F9" s="661"/>
      <c r="G9" s="660"/>
      <c r="H9" s="659"/>
      <c r="I9" s="270"/>
      <c r="J9" s="270"/>
      <c r="K9" s="270"/>
    </row>
    <row r="10" spans="1:11">
      <c r="A10" s="234" t="s">
        <v>8842</v>
      </c>
      <c r="B10" s="235"/>
      <c r="C10" s="251"/>
      <c r="D10" s="237"/>
      <c r="E10" s="234" t="s">
        <v>8843</v>
      </c>
      <c r="F10" s="238"/>
      <c r="G10" s="251">
        <v>10026</v>
      </c>
      <c r="H10" s="239"/>
      <c r="I10" s="270"/>
      <c r="J10" s="270"/>
      <c r="K10" s="270"/>
    </row>
    <row r="11" spans="1:11" ht="15.75" customHeight="1">
      <c r="A11" s="234" t="s">
        <v>8844</v>
      </c>
      <c r="B11" s="240" t="s">
        <v>7286</v>
      </c>
      <c r="C11" s="241">
        <v>30201</v>
      </c>
      <c r="D11" s="237"/>
      <c r="E11" s="242"/>
      <c r="F11" s="243" t="s">
        <v>7288</v>
      </c>
      <c r="G11" s="241">
        <v>30202</v>
      </c>
      <c r="H11" s="239"/>
      <c r="I11" s="270"/>
      <c r="J11" s="270"/>
      <c r="K11" s="270"/>
    </row>
    <row r="12" spans="1:11" ht="15.75" customHeight="1">
      <c r="A12" s="244" t="s">
        <v>8845</v>
      </c>
      <c r="B12" s="245"/>
      <c r="C12" s="664"/>
      <c r="D12" s="247"/>
      <c r="E12" s="244" t="s">
        <v>8846</v>
      </c>
      <c r="F12" s="248"/>
      <c r="G12" s="246"/>
      <c r="H12" s="247"/>
      <c r="I12" s="703"/>
      <c r="J12" s="368"/>
      <c r="K12" s="270"/>
    </row>
    <row r="13" spans="1:11" ht="15.75" customHeight="1">
      <c r="A13" s="261" t="s">
        <v>8847</v>
      </c>
      <c r="B13" s="250" t="str">
        <f>IF(C13="L","左旋",IF(C13="R","右旋","直齿"))</f>
        <v>直齿</v>
      </c>
      <c r="C13" s="257"/>
      <c r="D13" s="258" t="str">
        <f>IF(OR(C13="",C13="L",C13="R"),"","错误！")</f>
        <v/>
      </c>
      <c r="E13" s="253" t="s">
        <v>8848</v>
      </c>
      <c r="F13" s="254"/>
      <c r="G13" s="268"/>
      <c r="H13" s="239"/>
      <c r="I13" s="270"/>
      <c r="J13" s="368"/>
      <c r="K13" s="270"/>
    </row>
    <row r="14" spans="1:11" ht="15.75" customHeight="1">
      <c r="A14" s="261" t="s">
        <v>8849</v>
      </c>
      <c r="B14" s="250" t="str">
        <f>IF(C14="L","左旋",IF(C14="R","右旋","直齿"))</f>
        <v>直齿</v>
      </c>
      <c r="C14" s="255" t="str">
        <f>IF(C13="L","R",IF(C13="R","L",""))</f>
        <v/>
      </c>
      <c r="D14" s="258"/>
      <c r="E14" s="253"/>
      <c r="F14" s="254"/>
      <c r="G14" s="268"/>
      <c r="H14" s="239"/>
      <c r="I14" s="270"/>
      <c r="J14" s="368"/>
      <c r="K14" s="270"/>
    </row>
    <row r="15" spans="1:11" ht="15" customHeight="1">
      <c r="A15" s="261" t="s">
        <v>8850</v>
      </c>
      <c r="B15" s="262" t="s">
        <v>8851</v>
      </c>
      <c r="C15" s="236">
        <v>17</v>
      </c>
      <c r="D15" s="340"/>
      <c r="E15" s="253"/>
      <c r="F15" s="254"/>
      <c r="G15" s="268"/>
      <c r="H15" s="239"/>
      <c r="I15" s="270"/>
      <c r="J15" s="368"/>
      <c r="K15" s="270"/>
    </row>
    <row r="16" spans="1:11" ht="15" customHeight="1">
      <c r="A16" s="261" t="s">
        <v>8852</v>
      </c>
      <c r="B16" s="262" t="s">
        <v>8853</v>
      </c>
      <c r="C16" s="251">
        <v>5</v>
      </c>
      <c r="D16" s="281" t="s">
        <v>8854</v>
      </c>
      <c r="E16" s="253" t="str">
        <f>IF(C16&gt;10,"超出本程序设置范畴！","")</f>
        <v/>
      </c>
      <c r="F16" s="254"/>
      <c r="G16" s="403">
        <f t="shared" ref="G16:G22" si="0">C16</f>
        <v>5</v>
      </c>
      <c r="H16" s="239"/>
      <c r="I16" s="270"/>
      <c r="J16" s="368"/>
      <c r="K16" s="270">
        <f>8*3.14</f>
        <v>25.12</v>
      </c>
    </row>
    <row r="17" spans="1:12">
      <c r="A17" s="261" t="s">
        <v>8855</v>
      </c>
      <c r="B17" s="261" t="s">
        <v>8856</v>
      </c>
      <c r="C17" s="241"/>
      <c r="D17" s="288" t="str">
        <f>IF(C17="","注：如不输入，则默认 αn = 20 度","度")</f>
        <v>注：如不输入，则默认 αn = 20 度</v>
      </c>
      <c r="E17" s="253"/>
      <c r="F17" s="254"/>
      <c r="G17" s="268"/>
      <c r="H17" s="239"/>
      <c r="I17" s="270"/>
      <c r="J17" s="368"/>
      <c r="K17" s="270"/>
    </row>
    <row r="18" spans="1:12">
      <c r="A18" s="279" t="s">
        <v>8857</v>
      </c>
      <c r="B18" s="261" t="s">
        <v>8858</v>
      </c>
      <c r="C18" s="241"/>
      <c r="D18" s="264" t="str">
        <f>IF(AND(C18=0,OR(C13="R",C13="L")),"错误！",IF(AND(C13="",C18&lt;&gt;0),"错误,βf 应等于零!","度"))</f>
        <v>度</v>
      </c>
      <c r="E18" s="253"/>
      <c r="F18" s="282"/>
      <c r="G18" s="282"/>
      <c r="H18" s="281"/>
      <c r="I18" s="270"/>
      <c r="J18" s="368"/>
      <c r="K18" s="270"/>
    </row>
    <row r="19" spans="1:12">
      <c r="A19" s="279" t="s">
        <v>8859</v>
      </c>
      <c r="B19" s="262" t="s">
        <v>5900</v>
      </c>
      <c r="C19" s="241">
        <v>40</v>
      </c>
      <c r="D19" s="281" t="s">
        <v>8854</v>
      </c>
      <c r="E19" s="253"/>
      <c r="F19" s="254"/>
      <c r="G19" s="403">
        <f t="shared" si="0"/>
        <v>40</v>
      </c>
      <c r="H19" s="239"/>
      <c r="I19" s="270"/>
      <c r="J19" s="368"/>
      <c r="K19" s="270"/>
    </row>
    <row r="20" spans="1:12">
      <c r="A20" s="279" t="s">
        <v>8860</v>
      </c>
      <c r="B20" s="262" t="s">
        <v>8861</v>
      </c>
      <c r="C20" s="241"/>
      <c r="D20" s="665" t="s">
        <v>8862</v>
      </c>
      <c r="E20" s="253"/>
      <c r="F20" s="254"/>
      <c r="G20" s="403"/>
      <c r="H20" s="239"/>
      <c r="I20" s="270"/>
      <c r="J20" s="368"/>
      <c r="K20" s="270"/>
    </row>
    <row r="21" spans="1:12" hidden="1">
      <c r="A21" s="279"/>
      <c r="B21" s="262"/>
      <c r="C21" s="666">
        <f>IF(C20="",1,C20)</f>
        <v>1</v>
      </c>
      <c r="D21" s="665"/>
      <c r="E21" s="263"/>
      <c r="F21" s="254"/>
      <c r="G21" s="337">
        <f t="shared" si="0"/>
        <v>1</v>
      </c>
      <c r="H21" s="239"/>
      <c r="I21" s="270"/>
      <c r="J21" s="375"/>
      <c r="K21" s="270"/>
    </row>
    <row r="22" spans="1:12">
      <c r="A22" s="279" t="s">
        <v>8863</v>
      </c>
      <c r="B22" s="262" t="s">
        <v>8864</v>
      </c>
      <c r="C22" s="241"/>
      <c r="D22" s="665"/>
      <c r="E22" s="263"/>
      <c r="F22" s="254"/>
      <c r="G22" s="337">
        <f t="shared" si="0"/>
        <v>0</v>
      </c>
      <c r="H22" s="239"/>
      <c r="I22" s="270"/>
      <c r="J22" s="270"/>
      <c r="K22" s="270"/>
    </row>
    <row r="23" spans="1:12">
      <c r="A23" s="279" t="s">
        <v>8865</v>
      </c>
      <c r="B23" s="262" t="s">
        <v>8866</v>
      </c>
      <c r="C23" s="667"/>
      <c r="D23" s="665" t="s">
        <v>8867</v>
      </c>
      <c r="E23" s="263"/>
      <c r="F23" s="254"/>
      <c r="G23" s="259"/>
      <c r="H23" s="239"/>
      <c r="I23" s="270"/>
      <c r="J23" s="270"/>
      <c r="K23" s="270"/>
    </row>
    <row r="24" spans="1:12" hidden="1">
      <c r="A24" s="279"/>
      <c r="B24" s="262"/>
      <c r="C24" s="668">
        <f>IF(C23="",0.25,C23)</f>
        <v>0.25</v>
      </c>
      <c r="D24" s="288"/>
      <c r="E24" s="263"/>
      <c r="F24" s="254"/>
      <c r="G24" s="337">
        <f>C24</f>
        <v>0.25</v>
      </c>
      <c r="H24" s="239"/>
      <c r="I24" s="270"/>
      <c r="J24" s="270"/>
      <c r="K24" s="270"/>
    </row>
    <row r="25" spans="1:12">
      <c r="A25" s="249" t="s">
        <v>8868</v>
      </c>
      <c r="B25" s="262" t="s">
        <v>8869</v>
      </c>
      <c r="C25" s="241">
        <v>0</v>
      </c>
      <c r="D25" s="669"/>
      <c r="E25" s="670" t="str">
        <f>IF(C25="","",IF(C25&lt;C122,"根切！x1不能小于",""))</f>
        <v/>
      </c>
      <c r="F25" s="258" t="str">
        <f>IF(E25="","",C122)</f>
        <v/>
      </c>
      <c r="G25" s="225"/>
      <c r="H25" s="261"/>
    </row>
    <row r="26" spans="1:12">
      <c r="A26" s="249" t="str">
        <f>IF(C25&lt;&gt;"","","法向变位系数")</f>
        <v/>
      </c>
      <c r="B26" s="293" t="str">
        <f>IF(C25&lt;&gt;"","","xn1")</f>
        <v/>
      </c>
      <c r="C26" s="667"/>
      <c r="D26" s="264" t="str">
        <f>IF(C26="","",IF(AND(C25&lt;&gt;"",C26&lt;&gt;""),"取消！",IF(C26&lt;C122/COS(C66),"    根切！xn1不能小于","")))</f>
        <v/>
      </c>
      <c r="E26" s="671"/>
      <c r="F26" s="258" t="str">
        <f>IF(OR(D26="",C25&lt;&gt;""),"",C122/COS(C66))</f>
        <v/>
      </c>
      <c r="G26" s="375"/>
      <c r="H26" s="267"/>
    </row>
    <row r="27" spans="1:12" s="52" customFormat="1">
      <c r="A27" s="288" t="s">
        <v>8870</v>
      </c>
      <c r="B27" s="268"/>
      <c r="C27" s="405"/>
      <c r="D27" s="264"/>
      <c r="E27" s="672"/>
      <c r="F27" s="264"/>
      <c r="G27" s="281"/>
      <c r="H27" s="259"/>
      <c r="I27" s="704"/>
      <c r="J27" s="704"/>
      <c r="K27" s="704"/>
      <c r="L27" s="704"/>
    </row>
    <row r="28" spans="1:12">
      <c r="A28" s="249" t="str">
        <f>IF(AND(C28="",C29&lt;&gt;""),"","安   装   距")</f>
        <v/>
      </c>
      <c r="B28" s="268" t="str">
        <f>IF(AND(C28="",C29&lt;&gt;""),"","a")</f>
        <v/>
      </c>
      <c r="C28" s="283"/>
      <c r="D28" s="281" t="str">
        <f>IF(AND(C28="",C29&lt;&gt;""),"","毫米")</f>
        <v/>
      </c>
      <c r="E28" s="253" t="str">
        <f>IF(AND(C28="",C29&lt;&gt;""),"","说明：安装距即齿轮轴线至齿条基准面的距离")</f>
        <v/>
      </c>
      <c r="F28" s="673"/>
      <c r="G28" s="282"/>
      <c r="H28" s="264"/>
      <c r="I28" s="253"/>
    </row>
    <row r="29" spans="1:12">
      <c r="A29" s="674" t="str">
        <f>IF(C28&lt;&gt;"","","齿条分度线至基准面距离")</f>
        <v>齿条分度线至基准面距离</v>
      </c>
      <c r="B29" s="268"/>
      <c r="C29" s="675">
        <v>38</v>
      </c>
      <c r="D29" s="264" t="str">
        <f>IF(C29="","",IF(AND(C28&lt;&gt;"",C29&lt;&gt;""),"取消！","毫米"))</f>
        <v>毫米</v>
      </c>
      <c r="E29" s="253"/>
      <c r="F29" s="673"/>
      <c r="G29" s="282"/>
      <c r="H29" s="264"/>
      <c r="I29" s="253"/>
    </row>
    <row r="30" spans="1:12">
      <c r="A30" s="322" t="str">
        <f>IF(AND(C28="",C29=""),"",IF(C28&lt;&gt;"","齿条节线至基准面距离","安    装    距"))</f>
        <v>安    装    距</v>
      </c>
      <c r="B30" s="268" t="str">
        <f>IF(A30="安    装    距","a","")</f>
        <v>a</v>
      </c>
      <c r="C30" s="321">
        <f>IF(AND(C28="",C29=""),"",IF(C28&lt;&gt;"",ROUND(C28-C72/2,3),ROUND(C29+C81*C16+C72/2,3)))</f>
        <v>80.5</v>
      </c>
      <c r="D30" s="298" t="str">
        <f>IF(A30="","","毫米")</f>
        <v>毫米</v>
      </c>
      <c r="E30" s="253" t="str">
        <f>IF(A30="","",IF(B30="a","说明：安装距即齿轮轴线至齿条基准面的距离","说明：齿条节线是与齿轮分度圆相切的线"))</f>
        <v>说明：安装距即齿轮轴线至齿条基准面的距离</v>
      </c>
      <c r="F30" s="673"/>
      <c r="G30" s="282"/>
      <c r="H30" s="264"/>
      <c r="I30" s="253"/>
    </row>
    <row r="31" spans="1:12">
      <c r="A31" s="402" t="str">
        <f>IF(AND(C28="",C29=""),"",IF(AND(C28="",C29&lt;&gt;""),"齿条节线至基准面距离","齿条分度线至基准面距离"))</f>
        <v>齿条节线至基准面距离</v>
      </c>
      <c r="B31" s="268"/>
      <c r="C31" s="321">
        <f>IF(AND(C28="",C29=""),"",IF(AND(C28="",C29&lt;&gt;""),ROUND(C30-C72/2,3),ROUND(C30-C81*C16,3)))</f>
        <v>38</v>
      </c>
      <c r="D31" s="298" t="str">
        <f>IF(A31="","","毫米")</f>
        <v>毫米</v>
      </c>
      <c r="E31" s="253" t="str">
        <f>IF(AND(C28="",C29&lt;&gt;""),"说明：齿条节线是与齿轮分度圆相切的线","")</f>
        <v>说明：齿条节线是与齿轮分度圆相切的线</v>
      </c>
      <c r="F31" s="673"/>
      <c r="G31" s="282"/>
      <c r="H31" s="264"/>
      <c r="I31" s="253"/>
    </row>
    <row r="32" spans="1:12">
      <c r="A32" s="371" t="s">
        <v>8871</v>
      </c>
      <c r="B32" s="303" t="s">
        <v>8872</v>
      </c>
      <c r="C32" s="283">
        <v>3000</v>
      </c>
      <c r="D32" s="305" t="s">
        <v>8854</v>
      </c>
      <c r="E32" s="676"/>
      <c r="F32" s="677"/>
      <c r="G32" s="245"/>
      <c r="H32" s="326"/>
      <c r="J32" s="3166" t="s">
        <v>12704</v>
      </c>
    </row>
    <row r="33" spans="1:12">
      <c r="A33" s="242" t="s">
        <v>8873</v>
      </c>
      <c r="B33" s="290"/>
      <c r="C33" s="283">
        <v>8</v>
      </c>
      <c r="D33" s="264" t="str">
        <f>IF(OR(C33=0,C33=3,C33=4,C33=5,C33=6,C33=7,C33=8),"","错误！")</f>
        <v/>
      </c>
      <c r="E33" s="671"/>
      <c r="F33" s="258"/>
      <c r="G33" s="291">
        <f t="shared" ref="G33:G35" si="1">C33</f>
        <v>8</v>
      </c>
      <c r="H33" s="261"/>
    </row>
    <row r="34" spans="1:12">
      <c r="A34" s="242" t="s">
        <v>8874</v>
      </c>
      <c r="B34" s="290"/>
      <c r="C34" s="241">
        <v>7</v>
      </c>
      <c r="D34" s="264" t="str">
        <f>IF(AND(C33&lt;&gt;"",C34=0),"输入！",IF(OR(C34=0,C34=3,C34=4,C34=5,C34=6,C34=7,C34=8),"","错误！"))</f>
        <v/>
      </c>
      <c r="E34" s="671"/>
      <c r="F34" s="258"/>
      <c r="G34" s="291">
        <f t="shared" si="1"/>
        <v>7</v>
      </c>
      <c r="H34" s="261"/>
    </row>
    <row r="35" spans="1:12">
      <c r="A35" s="356" t="s">
        <v>8875</v>
      </c>
      <c r="B35" s="678"/>
      <c r="C35" s="283">
        <v>7</v>
      </c>
      <c r="D35" s="326" t="str">
        <f>IF(AND(C33&lt;&gt;"",C35=0),"输入！",IF(OR(C35=0,C35=3,C35=4,C35=5,C35=6,C35=7,C35=8),"","错误！"))</f>
        <v/>
      </c>
      <c r="E35" s="679"/>
      <c r="F35" s="680"/>
      <c r="G35" s="681">
        <f t="shared" si="1"/>
        <v>7</v>
      </c>
      <c r="H35" s="302"/>
    </row>
    <row r="36" spans="1:12" s="52" customFormat="1">
      <c r="A36" s="288" t="s">
        <v>8876</v>
      </c>
      <c r="B36" s="682"/>
      <c r="C36" s="405"/>
      <c r="D36" s="264"/>
      <c r="E36" s="672"/>
      <c r="F36" s="264"/>
      <c r="G36" s="337"/>
      <c r="H36" s="259"/>
      <c r="I36" s="704"/>
      <c r="J36" s="704"/>
      <c r="K36" s="704"/>
      <c r="L36" s="704"/>
    </row>
    <row r="37" spans="1:12">
      <c r="A37" s="352" t="s">
        <v>8877</v>
      </c>
      <c r="B37" s="268"/>
      <c r="C37" s="236"/>
      <c r="D37" s="264" t="str">
        <f>IF(AND(C37&lt;&gt;"",OR(C33="",C34="",C35="",C45&lt;&gt;"")),"取消！",IF(OR(C37="",C37="C",C37="D",C37="E",C37="F",C37="G",C37="H",C37="J",C37="K",C37="L",C37="M",C37="N",C37="P",C37="R",C37="S"),"","错误！"))</f>
        <v/>
      </c>
      <c r="E37" s="288" t="s">
        <v>8878</v>
      </c>
      <c r="F37" s="262"/>
      <c r="G37" s="240"/>
      <c r="H37" s="288"/>
      <c r="I37" s="261"/>
      <c r="J37" s="705"/>
      <c r="K37" s="225"/>
      <c r="L37" s="261"/>
    </row>
    <row r="38" spans="1:12">
      <c r="A38" s="352" t="s">
        <v>8879</v>
      </c>
      <c r="B38" s="268"/>
      <c r="C38" s="236"/>
      <c r="D38" s="264" t="str">
        <f>IF(AND(C38&lt;&gt;"",OR(C33="",C34="",C35="",C46&lt;&gt;"",)),"取消！",IF(OR(C38="",C38="C",C38="D",C38="E",C38="F",C38="G",C38="H",C38="J",C38="K",C38="L",C38="M",C38="N",C38="P",C38="R",C38="S"),"","错误！"))</f>
        <v/>
      </c>
      <c r="E38" s="683" t="s">
        <v>8880</v>
      </c>
      <c r="F38" s="262"/>
      <c r="G38" s="240"/>
      <c r="H38" s="288"/>
      <c r="I38" s="261"/>
      <c r="J38" s="705"/>
      <c r="K38" s="225"/>
      <c r="L38" s="261"/>
    </row>
    <row r="39" spans="1:12">
      <c r="A39" s="352" t="s">
        <v>8881</v>
      </c>
      <c r="B39" s="268"/>
      <c r="C39" s="251"/>
      <c r="D39" s="264" t="str">
        <f>IF(AND(C39&lt;&gt;"",OR(C33="",C34="",C35="",C47&lt;&gt;"")),"取消！",IF(OR(C39="",C39="C",C39="D",C39="E",C39="F",C39="G",C39="H",C39="J",C39="K",C39="L",C39="M",C39="N",C39="P",C39="R",C39="S"),"","错误！"))</f>
        <v/>
      </c>
      <c r="E39" s="288"/>
      <c r="F39" s="262"/>
      <c r="G39" s="240"/>
      <c r="H39" s="288"/>
      <c r="I39" s="261"/>
      <c r="J39" s="705"/>
      <c r="K39" s="225"/>
      <c r="L39" s="261"/>
    </row>
    <row r="40" spans="1:12">
      <c r="A40" s="356" t="s">
        <v>8882</v>
      </c>
      <c r="B40" s="303"/>
      <c r="C40" s="251"/>
      <c r="D40" s="326" t="str">
        <f>IF(AND(C40&lt;&gt;"",OR(C33="",C34="",C35="",C48&lt;&gt;"")),"取消！",IF(OR(C40="",C40="C",C40="D",C40="E",C40="F",C40="G",C40="H",C40="J",C40="K",C40="L",C40="M",C40="N",C40="P",C40="R",C40="S"),"","错误！"))</f>
        <v/>
      </c>
      <c r="E40" s="684"/>
      <c r="F40" s="262"/>
      <c r="G40" s="240"/>
      <c r="H40" s="288"/>
      <c r="I40" s="261"/>
      <c r="J40" s="705"/>
      <c r="K40" s="225"/>
      <c r="L40" s="261"/>
    </row>
    <row r="41" spans="1:12">
      <c r="A41" s="249" t="s">
        <v>8883</v>
      </c>
      <c r="B41" s="268" t="s">
        <v>8884</v>
      </c>
      <c r="C41" s="321" t="str">
        <f>IF(OR(C37="",C38="",C39="",C40="",C33="",C34="",C35=""),"",C203/1000)</f>
        <v/>
      </c>
      <c r="D41" s="281" t="s">
        <v>8854</v>
      </c>
      <c r="E41" s="282"/>
      <c r="F41" s="268"/>
      <c r="G41" s="240"/>
      <c r="H41" s="281"/>
      <c r="I41" s="267"/>
      <c r="J41" s="249"/>
      <c r="K41" s="225"/>
      <c r="L41" s="261"/>
    </row>
    <row r="42" spans="1:12">
      <c r="A42" s="371" t="s">
        <v>8885</v>
      </c>
      <c r="B42" s="303" t="s">
        <v>8886</v>
      </c>
      <c r="C42" s="685" t="str">
        <f>IF(OR(C37="",C38="",C39="",C40="",C33="",C34="",C35=""),"",C204/1000)</f>
        <v/>
      </c>
      <c r="D42" s="305" t="s">
        <v>8854</v>
      </c>
      <c r="E42" s="360" t="s">
        <v>8887</v>
      </c>
      <c r="F42" s="307"/>
      <c r="G42" s="308"/>
      <c r="H42" s="305"/>
      <c r="I42" s="267"/>
      <c r="J42" s="249"/>
      <c r="K42" s="225"/>
      <c r="L42" s="261"/>
    </row>
    <row r="43" spans="1:12" s="52" customFormat="1">
      <c r="A43" s="288" t="s">
        <v>8888</v>
      </c>
      <c r="B43" s="268"/>
      <c r="C43" s="282"/>
      <c r="D43" s="281"/>
      <c r="E43" s="288"/>
      <c r="F43" s="298"/>
      <c r="G43" s="259"/>
      <c r="H43" s="281"/>
      <c r="I43" s="259"/>
      <c r="J43" s="282"/>
      <c r="K43" s="454"/>
      <c r="L43" s="272"/>
    </row>
    <row r="44" spans="1:12" s="52" customFormat="1">
      <c r="A44" s="288" t="s">
        <v>8889</v>
      </c>
      <c r="B44" s="282"/>
      <c r="C44" s="282"/>
      <c r="D44" s="281"/>
      <c r="E44" s="288"/>
      <c r="F44" s="298"/>
      <c r="G44" s="259"/>
      <c r="H44" s="281"/>
      <c r="I44" s="259"/>
      <c r="J44" s="282"/>
      <c r="K44" s="454"/>
      <c r="L44" s="272"/>
    </row>
    <row r="45" spans="1:12" s="52" customFormat="1">
      <c r="A45" s="322" t="s">
        <v>8890</v>
      </c>
      <c r="B45" s="282" t="s">
        <v>8891</v>
      </c>
      <c r="C45" s="283">
        <v>-0.1</v>
      </c>
      <c r="D45" s="281" t="s">
        <v>8854</v>
      </c>
      <c r="E45" s="288"/>
      <c r="F45" s="298"/>
      <c r="G45" s="259"/>
      <c r="H45" s="281"/>
      <c r="I45" s="259"/>
      <c r="J45" s="282"/>
      <c r="K45" s="454"/>
      <c r="L45" s="272"/>
    </row>
    <row r="46" spans="1:12" s="52" customFormat="1">
      <c r="A46" s="322" t="s">
        <v>8892</v>
      </c>
      <c r="B46" s="282" t="s">
        <v>8893</v>
      </c>
      <c r="C46" s="241">
        <v>-0.2</v>
      </c>
      <c r="D46" s="281" t="s">
        <v>8854</v>
      </c>
      <c r="E46" s="288"/>
      <c r="F46" s="298"/>
      <c r="G46" s="259"/>
      <c r="H46" s="281"/>
      <c r="I46" s="259"/>
      <c r="J46" s="282"/>
      <c r="K46" s="454"/>
      <c r="L46" s="272"/>
    </row>
    <row r="47" spans="1:12" s="52" customFormat="1">
      <c r="A47" s="322" t="s">
        <v>8894</v>
      </c>
      <c r="B47" s="282" t="s">
        <v>8895</v>
      </c>
      <c r="C47" s="241">
        <v>-0.15</v>
      </c>
      <c r="D47" s="281" t="s">
        <v>8854</v>
      </c>
      <c r="E47" s="288"/>
      <c r="F47" s="298"/>
      <c r="G47" s="259"/>
      <c r="H47" s="281"/>
      <c r="I47" s="259"/>
      <c r="J47" s="282"/>
      <c r="K47" s="454"/>
      <c r="L47" s="272"/>
    </row>
    <row r="48" spans="1:12" s="52" customFormat="1" ht="16.149999999999999" customHeight="1">
      <c r="A48" s="324" t="s">
        <v>8896</v>
      </c>
      <c r="B48" s="245" t="s">
        <v>8897</v>
      </c>
      <c r="C48" s="283">
        <v>-0.25</v>
      </c>
      <c r="D48" s="305" t="s">
        <v>8854</v>
      </c>
      <c r="E48" s="288"/>
      <c r="F48" s="298"/>
      <c r="G48" s="259"/>
      <c r="H48" s="281"/>
      <c r="I48" s="259"/>
      <c r="J48" s="282"/>
      <c r="K48" s="454"/>
      <c r="L48" s="272"/>
    </row>
    <row r="49" spans="1:12" s="52" customFormat="1" ht="16.149999999999999" customHeight="1">
      <c r="A49" s="249" t="s">
        <v>8883</v>
      </c>
      <c r="B49" s="268" t="s">
        <v>8884</v>
      </c>
      <c r="C49" s="321">
        <f>IF(OR(C45="",C46="",C47="",C48=""),"",ABS(C45+C47))</f>
        <v>0.25</v>
      </c>
      <c r="D49" s="281" t="s">
        <v>8854</v>
      </c>
      <c r="E49" s="288"/>
      <c r="F49" s="298"/>
      <c r="G49" s="259"/>
      <c r="H49" s="281"/>
      <c r="I49" s="259"/>
      <c r="J49" s="282"/>
      <c r="K49" s="454"/>
      <c r="L49" s="272"/>
    </row>
    <row r="50" spans="1:12" s="52" customFormat="1" ht="16.149999999999999" customHeight="1">
      <c r="A50" s="371" t="s">
        <v>8885</v>
      </c>
      <c r="B50" s="303" t="s">
        <v>8886</v>
      </c>
      <c r="C50" s="685">
        <f>IF(OR(C45="",C46="",C47="",C48=""),"",ABS(C46+C48))</f>
        <v>0.45</v>
      </c>
      <c r="D50" s="305" t="s">
        <v>8854</v>
      </c>
      <c r="E50" s="360"/>
      <c r="F50" s="307"/>
      <c r="G50" s="308"/>
      <c r="H50" s="305"/>
      <c r="I50" s="259"/>
      <c r="J50" s="282"/>
      <c r="K50" s="454"/>
      <c r="L50" s="272"/>
    </row>
    <row r="51" spans="1:12">
      <c r="A51" s="686" t="s">
        <v>8898</v>
      </c>
      <c r="B51" s="268"/>
      <c r="C51" s="300" t="s">
        <v>8899</v>
      </c>
      <c r="D51" s="313"/>
      <c r="E51" s="687"/>
      <c r="F51" s="319"/>
      <c r="G51" s="300" t="s">
        <v>8900</v>
      </c>
      <c r="H51" s="281"/>
      <c r="I51" s="267"/>
      <c r="J51" s="249"/>
      <c r="K51" s="225"/>
      <c r="L51" s="261"/>
    </row>
    <row r="52" spans="1:12">
      <c r="A52" s="454" t="s">
        <v>8901</v>
      </c>
      <c r="B52" s="688"/>
      <c r="C52" s="318" t="s">
        <v>8902</v>
      </c>
      <c r="D52" s="313"/>
      <c r="E52" s="689"/>
      <c r="F52" s="319"/>
      <c r="G52" s="687"/>
      <c r="H52" s="275"/>
      <c r="I52" s="267"/>
      <c r="J52" s="249"/>
      <c r="K52" s="225"/>
      <c r="L52" s="261"/>
    </row>
    <row r="53" spans="1:12">
      <c r="A53" s="352" t="s">
        <v>8903</v>
      </c>
      <c r="B53" s="249" t="s">
        <v>8904</v>
      </c>
      <c r="C53" s="690">
        <f>ROUND(C103,2)</f>
        <v>8.67</v>
      </c>
      <c r="D53" s="281" t="s">
        <v>8854</v>
      </c>
      <c r="E53" s="269"/>
      <c r="F53" s="249" t="s">
        <v>8905</v>
      </c>
      <c r="G53" s="690">
        <f>ROUND(G103,2)</f>
        <v>8.36</v>
      </c>
      <c r="H53" s="281" t="s">
        <v>8854</v>
      </c>
      <c r="I53" s="267"/>
      <c r="J53" s="249"/>
      <c r="K53" s="225"/>
      <c r="L53" s="261"/>
    </row>
    <row r="54" spans="1:12">
      <c r="A54" s="352" t="s">
        <v>8906</v>
      </c>
      <c r="B54" s="371" t="s">
        <v>8907</v>
      </c>
      <c r="C54" s="283">
        <v>8</v>
      </c>
      <c r="D54" s="281" t="s">
        <v>8854</v>
      </c>
      <c r="E54" s="269"/>
      <c r="F54" s="249" t="s">
        <v>8908</v>
      </c>
      <c r="G54" s="675">
        <v>8</v>
      </c>
      <c r="H54" s="281" t="s">
        <v>8854</v>
      </c>
      <c r="I54" s="267"/>
      <c r="J54" s="249"/>
      <c r="K54" s="225"/>
      <c r="L54" s="261"/>
    </row>
    <row r="55" spans="1:12">
      <c r="A55" s="404"/>
      <c r="B55" s="691" t="str">
        <f>IF(C54=0,"",IF(ROUND(C58,4)&lt;&gt;ROUND(C57,4),"单变量求解计算：",""))</f>
        <v>单变量求解计算：</v>
      </c>
      <c r="C55" s="344"/>
      <c r="D55" s="281"/>
      <c r="E55" s="269"/>
      <c r="F55" s="264"/>
      <c r="G55" s="405"/>
      <c r="H55" s="281"/>
      <c r="I55" s="267"/>
      <c r="J55" s="249"/>
      <c r="K55" s="225"/>
      <c r="L55" s="261"/>
    </row>
    <row r="56" spans="1:12">
      <c r="A56" s="404"/>
      <c r="B56" s="692" t="str">
        <f>IF(C54=0,"",IF(ROUND(C58,4)&lt;&gt;ROUND(C57,4),"可变格",""))</f>
        <v>可变格</v>
      </c>
      <c r="C56" s="347">
        <v>0.52819922458463897</v>
      </c>
      <c r="D56" s="281"/>
      <c r="E56" s="269"/>
      <c r="F56" s="309"/>
      <c r="G56" s="337"/>
      <c r="H56" s="281"/>
      <c r="I56" s="267"/>
      <c r="J56" s="249"/>
      <c r="K56" s="225"/>
      <c r="L56" s="261"/>
    </row>
    <row r="57" spans="1:12">
      <c r="A57" s="404"/>
      <c r="B57" s="693" t="str">
        <f>IF(C54=0,"",IF(ROUND(C58,4)&lt;&gt;ROUND(C57,4),"目标格",""))</f>
        <v>目标格</v>
      </c>
      <c r="C57" s="349">
        <f>TAN(C56)-C56-C105</f>
        <v>3.2638847698990101E-2</v>
      </c>
      <c r="D57" s="281"/>
      <c r="E57" s="269"/>
      <c r="F57" s="309"/>
      <c r="G57" s="337"/>
      <c r="H57" s="281"/>
      <c r="I57" s="267"/>
      <c r="J57" s="249"/>
      <c r="K57" s="225"/>
      <c r="L57" s="261"/>
    </row>
    <row r="58" spans="1:12">
      <c r="A58" s="407"/>
      <c r="B58" s="694" t="str">
        <f>IF(C54=0,"",IF(ROUND(C58,4)&lt;&gt;ROUND(C57,4),"目标值",""))</f>
        <v>目标值</v>
      </c>
      <c r="C58" s="351">
        <f>IF(C54=0,"",0)</f>
        <v>0</v>
      </c>
      <c r="D58" s="305"/>
      <c r="E58" s="327"/>
      <c r="F58" s="443"/>
      <c r="G58" s="695"/>
      <c r="H58" s="305"/>
      <c r="I58" s="267"/>
      <c r="J58" s="3166" t="s">
        <v>12704</v>
      </c>
      <c r="K58" s="225"/>
      <c r="L58" s="261"/>
    </row>
    <row r="59" spans="1:12">
      <c r="A59" s="696" t="s">
        <v>8909</v>
      </c>
      <c r="B59" s="293"/>
      <c r="C59" s="300" t="s">
        <v>8899</v>
      </c>
      <c r="D59" s="313"/>
      <c r="E59" s="687"/>
      <c r="F59" s="319"/>
      <c r="G59" s="300" t="s">
        <v>8900</v>
      </c>
      <c r="H59" s="281"/>
      <c r="I59" s="267"/>
      <c r="J59" s="249"/>
      <c r="K59" s="225"/>
      <c r="L59" s="261"/>
    </row>
    <row r="60" spans="1:12">
      <c r="A60" s="282" t="s">
        <v>8910</v>
      </c>
      <c r="B60" s="688"/>
      <c r="C60" s="697" t="str">
        <f>D120</f>
        <v>齿顶未变尖</v>
      </c>
      <c r="D60" s="669" t="s">
        <v>8911</v>
      </c>
      <c r="E60" s="288">
        <f>ROUND(0.4*C16,2)</f>
        <v>2</v>
      </c>
      <c r="F60" s="698"/>
      <c r="G60" s="697" t="str">
        <f>H120</f>
        <v>齿顶未变尖</v>
      </c>
      <c r="H60" s="669" t="s">
        <v>8912</v>
      </c>
      <c r="I60" s="288">
        <f>ROUND(0.4*G16,2)</f>
        <v>2</v>
      </c>
      <c r="J60" s="249"/>
      <c r="K60" s="225"/>
      <c r="L60" s="261"/>
    </row>
    <row r="61" spans="1:12">
      <c r="A61" s="371" t="s">
        <v>8913</v>
      </c>
      <c r="B61" s="699" t="s">
        <v>8914</v>
      </c>
      <c r="C61" s="685">
        <f>C119</f>
        <v>1.748</v>
      </c>
      <c r="D61" s="700" t="s">
        <v>8915</v>
      </c>
      <c r="E61" s="245">
        <f>C117</f>
        <v>1.748</v>
      </c>
      <c r="F61" s="701" t="s">
        <v>8916</v>
      </c>
      <c r="G61" s="245">
        <f>C118</f>
        <v>0</v>
      </c>
      <c r="H61" s="702"/>
      <c r="I61" s="288"/>
      <c r="J61" s="249"/>
      <c r="K61" s="225"/>
      <c r="L61" s="261"/>
    </row>
    <row r="62" spans="1:12" hidden="1">
      <c r="A62" s="361" t="s">
        <v>8917</v>
      </c>
      <c r="B62" s="262"/>
      <c r="C62" s="300" t="s">
        <v>8899</v>
      </c>
      <c r="D62" s="313"/>
      <c r="E62" s="687"/>
      <c r="F62" s="319"/>
      <c r="G62" s="300" t="s">
        <v>8900</v>
      </c>
      <c r="H62" s="281"/>
      <c r="I62" s="264"/>
      <c r="J62" s="249"/>
      <c r="K62" s="225"/>
      <c r="L62" s="261"/>
    </row>
    <row r="63" spans="1:12" hidden="1">
      <c r="A63" s="261" t="s">
        <v>8855</v>
      </c>
      <c r="B63" s="261" t="s">
        <v>8856</v>
      </c>
      <c r="C63" s="273">
        <f>IF(C17="",RADIANS(20),RADIANS(C17))</f>
        <v>0.34906585039886601</v>
      </c>
      <c r="D63" s="225" t="s">
        <v>8918</v>
      </c>
      <c r="E63" s="282">
        <f>TAN(C63)-C63</f>
        <v>1.4904383867336401E-2</v>
      </c>
      <c r="F63" s="225" t="s">
        <v>8919</v>
      </c>
      <c r="G63" s="269"/>
      <c r="H63" s="282"/>
      <c r="I63" s="281"/>
      <c r="J63" s="259"/>
      <c r="K63" s="380"/>
      <c r="L63" s="261"/>
    </row>
    <row r="64" spans="1:12" hidden="1">
      <c r="A64" s="261"/>
      <c r="B64" s="261"/>
      <c r="C64" s="273">
        <f>IF(C17="",20,C17)</f>
        <v>20</v>
      </c>
      <c r="D64" s="281" t="s">
        <v>8920</v>
      </c>
      <c r="E64" s="259">
        <f>ROUND(INT(C64)+INT((C64-INT(C64))*60)/100+((C64-INT(C64))*60-INT((C64-INT(C64))*60))*60/10000,4)</f>
        <v>20</v>
      </c>
      <c r="F64" s="281" t="s">
        <v>8921</v>
      </c>
      <c r="G64" s="269"/>
      <c r="H64" s="282"/>
      <c r="I64" s="281"/>
      <c r="J64" s="259"/>
      <c r="K64" s="380"/>
      <c r="L64" s="261"/>
    </row>
    <row r="65" spans="1:12" hidden="1">
      <c r="A65" s="279" t="s">
        <v>8922</v>
      </c>
      <c r="B65" s="261" t="s">
        <v>8923</v>
      </c>
      <c r="C65" s="273">
        <f>ATAN(TAN(C63)/COS(C66))</f>
        <v>0.34906585039886601</v>
      </c>
      <c r="D65" s="225" t="s">
        <v>8918</v>
      </c>
      <c r="E65" s="282">
        <f>TAN(C65)-C65</f>
        <v>1.4904383867336401E-2</v>
      </c>
      <c r="F65" s="225" t="s">
        <v>8924</v>
      </c>
      <c r="G65" s="273"/>
      <c r="H65" s="225"/>
      <c r="I65" s="282"/>
      <c r="J65" s="225"/>
      <c r="K65" s="225"/>
      <c r="L65" s="261"/>
    </row>
    <row r="66" spans="1:12" hidden="1">
      <c r="A66" s="284" t="s">
        <v>8925</v>
      </c>
      <c r="B66" s="261" t="s">
        <v>8858</v>
      </c>
      <c r="C66" s="273">
        <f>RADIANS(C18)</f>
        <v>0</v>
      </c>
      <c r="D66" s="225" t="s">
        <v>8918</v>
      </c>
      <c r="E66" s="282"/>
      <c r="F66" s="261"/>
      <c r="G66" s="273"/>
      <c r="H66" s="380"/>
      <c r="I66" s="264"/>
      <c r="J66" s="249"/>
      <c r="K66" s="225"/>
      <c r="L66" s="261"/>
    </row>
    <row r="67" spans="1:12" hidden="1">
      <c r="A67" s="284"/>
      <c r="B67" s="261"/>
      <c r="C67" s="273">
        <f>C18</f>
        <v>0</v>
      </c>
      <c r="D67" s="281" t="s">
        <v>8920</v>
      </c>
      <c r="E67" s="272">
        <f>ROUND(INT(C67)+INT((C67-INT(C67))*60)/100+((C67-INT(C67))*60-INT((C67-INT(C67))*60))*60/10000,4)</f>
        <v>0</v>
      </c>
      <c r="F67" s="281" t="s">
        <v>8921</v>
      </c>
      <c r="G67" s="273"/>
      <c r="H67" s="281"/>
      <c r="I67" s="272"/>
      <c r="J67" s="281"/>
      <c r="K67" s="225"/>
      <c r="L67" s="261"/>
    </row>
    <row r="68" spans="1:12" hidden="1">
      <c r="A68" s="279" t="s">
        <v>8926</v>
      </c>
      <c r="B68" s="261" t="s">
        <v>8927</v>
      </c>
      <c r="C68" s="273">
        <f>ATAN(C73*TAN(C66)/C72)</f>
        <v>0</v>
      </c>
      <c r="D68" s="225" t="s">
        <v>8918</v>
      </c>
      <c r="E68" s="264"/>
      <c r="F68" s="264"/>
      <c r="G68" s="269"/>
      <c r="H68" s="281"/>
      <c r="I68" s="264"/>
      <c r="J68" s="249"/>
      <c r="K68" s="225"/>
      <c r="L68" s="261"/>
    </row>
    <row r="69" spans="1:12" hidden="1">
      <c r="A69" s="279" t="s">
        <v>8928</v>
      </c>
      <c r="B69" s="261" t="s">
        <v>8929</v>
      </c>
      <c r="C69" s="273">
        <f>ATAN(C74*TAN(C66)/C72)</f>
        <v>0</v>
      </c>
      <c r="D69" s="225" t="s">
        <v>8918</v>
      </c>
      <c r="E69" s="264"/>
      <c r="F69" s="264"/>
      <c r="G69" s="273"/>
      <c r="H69" s="281"/>
      <c r="I69" s="264"/>
      <c r="J69" s="249"/>
      <c r="K69" s="225"/>
      <c r="L69" s="261"/>
    </row>
    <row r="70" spans="1:12" hidden="1">
      <c r="A70" s="279" t="s">
        <v>8930</v>
      </c>
      <c r="B70" s="261" t="s">
        <v>8931</v>
      </c>
      <c r="C70" s="273">
        <f>ATAN(C86*TAN(C66)/C72)</f>
        <v>0</v>
      </c>
      <c r="D70" s="225" t="s">
        <v>8918</v>
      </c>
      <c r="E70" s="264"/>
      <c r="F70" s="264"/>
      <c r="G70" s="269"/>
      <c r="H70" s="281"/>
      <c r="I70" s="264"/>
      <c r="J70" s="249"/>
      <c r="K70" s="225"/>
      <c r="L70" s="261"/>
    </row>
    <row r="71" spans="1:12" hidden="1">
      <c r="A71" s="279" t="s">
        <v>8932</v>
      </c>
      <c r="B71" s="262" t="s">
        <v>8933</v>
      </c>
      <c r="C71" s="273">
        <f>C16/COS(C66)</f>
        <v>5</v>
      </c>
      <c r="D71" s="281" t="s">
        <v>8854</v>
      </c>
      <c r="E71" s="264"/>
      <c r="F71" s="264"/>
      <c r="G71" s="316">
        <f>C71</f>
        <v>5</v>
      </c>
      <c r="H71" s="281"/>
      <c r="I71" s="714"/>
      <c r="J71" s="249"/>
      <c r="K71" s="225"/>
      <c r="L71" s="261"/>
    </row>
    <row r="72" spans="1:12" hidden="1">
      <c r="A72" s="261" t="s">
        <v>8934</v>
      </c>
      <c r="B72" s="273" t="s">
        <v>8935</v>
      </c>
      <c r="C72" s="272">
        <f>C15*C71</f>
        <v>85</v>
      </c>
      <c r="D72" s="281" t="s">
        <v>8854</v>
      </c>
      <c r="E72" s="375"/>
      <c r="F72" s="262"/>
      <c r="G72" s="272"/>
      <c r="H72" s="281"/>
      <c r="I72" s="714"/>
      <c r="J72" s="249"/>
      <c r="K72" s="375"/>
      <c r="L72" s="261"/>
    </row>
    <row r="73" spans="1:12" hidden="1">
      <c r="A73" s="261" t="s">
        <v>8936</v>
      </c>
      <c r="B73" s="273" t="s">
        <v>8937</v>
      </c>
      <c r="C73" s="272">
        <f>C72</f>
        <v>85</v>
      </c>
      <c r="D73" s="281" t="s">
        <v>8854</v>
      </c>
      <c r="E73" s="272"/>
      <c r="F73" s="355" t="s">
        <v>8938</v>
      </c>
      <c r="G73" s="272">
        <f>IF(C28&lt;&gt;"",C31,C29)</f>
        <v>38</v>
      </c>
      <c r="H73" s="281" t="s">
        <v>8854</v>
      </c>
      <c r="I73" s="706"/>
      <c r="J73" s="249"/>
      <c r="K73" s="375"/>
      <c r="L73" s="261"/>
    </row>
    <row r="74" spans="1:12" hidden="1">
      <c r="A74" s="261" t="s">
        <v>8939</v>
      </c>
      <c r="B74" s="273" t="s">
        <v>8940</v>
      </c>
      <c r="C74" s="272">
        <f>C72*COS(C65)</f>
        <v>79.873872766802194</v>
      </c>
      <c r="D74" s="281" t="s">
        <v>8854</v>
      </c>
      <c r="E74" s="272"/>
      <c r="F74" s="423" t="s">
        <v>8941</v>
      </c>
      <c r="G74" s="272">
        <f>IF(C28&lt;&gt;"",C30,C31)</f>
        <v>38</v>
      </c>
      <c r="H74" s="281" t="s">
        <v>8854</v>
      </c>
      <c r="I74" s="706"/>
      <c r="J74" s="249"/>
      <c r="K74" s="375"/>
      <c r="L74" s="261"/>
    </row>
    <row r="75" spans="1:12" hidden="1">
      <c r="A75" s="261" t="s">
        <v>8942</v>
      </c>
      <c r="B75" s="261" t="s">
        <v>8943</v>
      </c>
      <c r="C75" s="272">
        <f>C65</f>
        <v>0.34906585039886601</v>
      </c>
      <c r="D75" s="225" t="s">
        <v>8918</v>
      </c>
      <c r="E75" s="272">
        <f>DEGREES(C75)</f>
        <v>20</v>
      </c>
      <c r="F75" s="281" t="s">
        <v>8920</v>
      </c>
      <c r="G75" s="272">
        <f>ROUND(INT(E75)+INT((E75-INT(E75))*60)/100+((E75-INT(E75))*60-INT((E75-INT(E75))*60))*60/10000,4)</f>
        <v>20</v>
      </c>
      <c r="H75" s="281" t="s">
        <v>8921</v>
      </c>
      <c r="I75" s="706"/>
      <c r="J75" s="249"/>
      <c r="K75" s="375"/>
      <c r="L75" s="261"/>
    </row>
    <row r="76" spans="1:12" hidden="1">
      <c r="A76" s="261" t="s">
        <v>8944</v>
      </c>
      <c r="B76" s="261" t="s">
        <v>8945</v>
      </c>
      <c r="C76" s="272">
        <f>ATAN(TAN(C75)*COS(C66))</f>
        <v>0.34906585039886601</v>
      </c>
      <c r="D76" s="225" t="s">
        <v>8918</v>
      </c>
      <c r="E76" s="272">
        <f>DEGREES(C76)</f>
        <v>20</v>
      </c>
      <c r="F76" s="281" t="s">
        <v>8920</v>
      </c>
      <c r="G76" s="272">
        <f>ROUND(INT(E76)+INT((E76-INT(E76))*60)/100+((E76-INT(E76))*60-INT((E76-INT(E76))*60))*60/10000,4)</f>
        <v>20</v>
      </c>
      <c r="H76" s="281" t="s">
        <v>8921</v>
      </c>
      <c r="I76" s="706"/>
      <c r="J76" s="249"/>
      <c r="K76" s="375"/>
      <c r="L76" s="261"/>
    </row>
    <row r="77" spans="1:12" hidden="1">
      <c r="A77" s="262" t="s">
        <v>8946</v>
      </c>
      <c r="B77" s="273" t="s">
        <v>8947</v>
      </c>
      <c r="C77" s="272">
        <f>PI()*C16</f>
        <v>15.707963267948999</v>
      </c>
      <c r="D77" s="281" t="s">
        <v>8854</v>
      </c>
      <c r="E77" s="272"/>
      <c r="F77" s="261"/>
      <c r="G77" s="272"/>
      <c r="H77" s="261"/>
      <c r="I77" s="706"/>
      <c r="J77" s="715"/>
      <c r="K77" s="375"/>
      <c r="L77" s="261"/>
    </row>
    <row r="78" spans="1:12" hidden="1">
      <c r="A78" s="262" t="s">
        <v>8948</v>
      </c>
      <c r="B78" s="273" t="s">
        <v>8949</v>
      </c>
      <c r="C78" s="272">
        <f>PI()*C71</f>
        <v>15.707963267948999</v>
      </c>
      <c r="D78" s="281" t="s">
        <v>8854</v>
      </c>
      <c r="E78" s="272"/>
      <c r="F78" s="261"/>
      <c r="G78" s="272"/>
      <c r="H78" s="261"/>
      <c r="I78" s="706"/>
      <c r="J78" s="715"/>
      <c r="K78" s="375"/>
      <c r="L78" s="261"/>
    </row>
    <row r="79" spans="1:12" hidden="1">
      <c r="A79" s="262" t="s">
        <v>8950</v>
      </c>
      <c r="B79" s="273" t="s">
        <v>8951</v>
      </c>
      <c r="C79" s="272">
        <f>C74*PI()/C15</f>
        <v>14.760657170467701</v>
      </c>
      <c r="D79" s="281" t="s">
        <v>8854</v>
      </c>
      <c r="E79" s="286">
        <f>C78*COS(C65)</f>
        <v>14.760657170467701</v>
      </c>
      <c r="F79" s="317" t="s">
        <v>8854</v>
      </c>
      <c r="G79" s="272"/>
      <c r="H79" s="261"/>
      <c r="I79" s="706"/>
      <c r="J79" s="715"/>
      <c r="K79" s="375"/>
      <c r="L79" s="261"/>
    </row>
    <row r="80" spans="1:12" hidden="1">
      <c r="A80" s="279" t="s">
        <v>8868</v>
      </c>
      <c r="B80" s="273" t="s">
        <v>8952</v>
      </c>
      <c r="C80" s="272">
        <f>IF(C25="",C26*COS(C66),C25)</f>
        <v>0</v>
      </c>
      <c r="D80" s="281"/>
      <c r="E80" s="272"/>
      <c r="F80" s="273"/>
      <c r="G80" s="272"/>
      <c r="H80" s="261"/>
      <c r="I80" s="706"/>
      <c r="J80" s="715"/>
      <c r="K80" s="716"/>
      <c r="L80" s="261"/>
    </row>
    <row r="81" spans="1:12" hidden="1">
      <c r="A81" s="279" t="s">
        <v>8953</v>
      </c>
      <c r="B81" s="273" t="s">
        <v>8954</v>
      </c>
      <c r="C81" s="272">
        <f>IF(C26="",ROUND(C80/COS(C66),5),C26)</f>
        <v>0</v>
      </c>
      <c r="D81" s="281"/>
      <c r="E81" s="272"/>
      <c r="F81" s="273"/>
      <c r="G81" s="272"/>
      <c r="H81" s="261"/>
      <c r="I81" s="706"/>
      <c r="J81" s="715"/>
      <c r="K81" s="716"/>
      <c r="L81" s="261"/>
    </row>
    <row r="82" spans="1:12" hidden="1">
      <c r="A82" s="249" t="s">
        <v>8955</v>
      </c>
      <c r="B82" s="268" t="s">
        <v>5899</v>
      </c>
      <c r="C82" s="272">
        <f>IF(C28&lt;&gt;"",C28,C30)</f>
        <v>80.5</v>
      </c>
      <c r="D82" s="281" t="s">
        <v>8854</v>
      </c>
      <c r="E82" s="375" t="s">
        <v>8956</v>
      </c>
      <c r="F82" s="273"/>
      <c r="G82" s="706"/>
      <c r="H82" s="261"/>
      <c r="I82" s="706"/>
      <c r="J82" s="715"/>
      <c r="K82" s="716"/>
      <c r="L82" s="261"/>
    </row>
    <row r="83" spans="1:12" hidden="1">
      <c r="A83" s="261" t="s">
        <v>8957</v>
      </c>
      <c r="B83" s="262" t="s">
        <v>8958</v>
      </c>
      <c r="C83" s="261">
        <f>C16*(C21+C81)</f>
        <v>5</v>
      </c>
      <c r="D83" s="281" t="s">
        <v>8854</v>
      </c>
      <c r="E83" s="272"/>
      <c r="F83" s="262" t="s">
        <v>8959</v>
      </c>
      <c r="G83" s="261">
        <f>C16*C21</f>
        <v>5</v>
      </c>
      <c r="H83" s="281" t="s">
        <v>8854</v>
      </c>
      <c r="I83" s="706"/>
      <c r="J83" s="715"/>
      <c r="K83" s="716"/>
      <c r="L83" s="261"/>
    </row>
    <row r="84" spans="1:12" hidden="1">
      <c r="A84" s="261" t="s">
        <v>8960</v>
      </c>
      <c r="B84" s="262" t="s">
        <v>8961</v>
      </c>
      <c r="C84" s="262">
        <f>C16*(C21+C24-C81)</f>
        <v>6.25</v>
      </c>
      <c r="D84" s="281" t="s">
        <v>8854</v>
      </c>
      <c r="E84" s="272"/>
      <c r="F84" s="262" t="s">
        <v>8962</v>
      </c>
      <c r="G84" s="261">
        <f>C16*(C21+C24)</f>
        <v>6.25</v>
      </c>
      <c r="H84" s="281" t="s">
        <v>8854</v>
      </c>
      <c r="I84" s="706"/>
      <c r="J84" s="715"/>
      <c r="K84" s="716"/>
      <c r="L84" s="261"/>
    </row>
    <row r="85" spans="1:12" hidden="1">
      <c r="A85" s="261" t="s">
        <v>8963</v>
      </c>
      <c r="B85" s="262" t="s">
        <v>8104</v>
      </c>
      <c r="C85" s="261">
        <f>C83+C84</f>
        <v>11.25</v>
      </c>
      <c r="D85" s="281" t="s">
        <v>8854</v>
      </c>
      <c r="E85" s="272"/>
      <c r="F85" s="262"/>
      <c r="G85" s="291">
        <f>G83+G84</f>
        <v>11.25</v>
      </c>
      <c r="H85" s="281"/>
      <c r="I85" s="706"/>
      <c r="J85" s="715"/>
      <c r="K85" s="716"/>
      <c r="L85" s="261"/>
    </row>
    <row r="86" spans="1:12" hidden="1">
      <c r="A86" s="261" t="s">
        <v>8964</v>
      </c>
      <c r="B86" s="273" t="s">
        <v>8965</v>
      </c>
      <c r="C86" s="261">
        <f>C72+2*C83</f>
        <v>95</v>
      </c>
      <c r="D86" s="281" t="s">
        <v>8854</v>
      </c>
      <c r="E86" s="272"/>
      <c r="F86" s="355" t="s">
        <v>8966</v>
      </c>
      <c r="G86" s="261">
        <f>G73+G83</f>
        <v>43</v>
      </c>
      <c r="H86" s="281" t="s">
        <v>8854</v>
      </c>
      <c r="I86" s="408"/>
      <c r="J86" s="715"/>
      <c r="K86" s="716"/>
      <c r="L86" s="261"/>
    </row>
    <row r="87" spans="1:12" hidden="1">
      <c r="A87" s="242" t="s">
        <v>8967</v>
      </c>
      <c r="B87" s="273" t="s">
        <v>8968</v>
      </c>
      <c r="C87" s="261">
        <f>C86-2*C22*C16</f>
        <v>95</v>
      </c>
      <c r="D87" s="281" t="s">
        <v>8854</v>
      </c>
      <c r="E87" s="272"/>
      <c r="F87" s="273"/>
      <c r="G87" s="261"/>
      <c r="H87" s="281"/>
      <c r="I87" s="408"/>
      <c r="J87" s="715"/>
      <c r="K87" s="716"/>
      <c r="L87" s="261"/>
    </row>
    <row r="88" spans="1:12" hidden="1">
      <c r="A88" s="261" t="s">
        <v>8969</v>
      </c>
      <c r="B88" s="273" t="s">
        <v>8970</v>
      </c>
      <c r="C88" s="261">
        <f>C72-2*C84</f>
        <v>72.5</v>
      </c>
      <c r="D88" s="281" t="s">
        <v>8854</v>
      </c>
      <c r="E88" s="272"/>
      <c r="F88" s="355" t="s">
        <v>8971</v>
      </c>
      <c r="G88" s="261">
        <f>G73-G84</f>
        <v>31.75</v>
      </c>
      <c r="H88" s="281" t="s">
        <v>8854</v>
      </c>
      <c r="I88" s="408"/>
      <c r="J88" s="715"/>
      <c r="K88" s="716"/>
      <c r="L88" s="261"/>
    </row>
    <row r="89" spans="1:12" hidden="1">
      <c r="A89" s="279" t="s">
        <v>8972</v>
      </c>
      <c r="B89" s="262" t="s">
        <v>8973</v>
      </c>
      <c r="C89" s="261">
        <f>C71*(PI()/2+2*C80*TAN(C65))</f>
        <v>7.8539816339744801</v>
      </c>
      <c r="D89" s="281" t="s">
        <v>8854</v>
      </c>
      <c r="E89" s="272"/>
      <c r="F89" s="262" t="s">
        <v>8974</v>
      </c>
      <c r="G89" s="261">
        <f>G71*PI()-C89</f>
        <v>7.8539816339744801</v>
      </c>
      <c r="H89" s="281" t="s">
        <v>8854</v>
      </c>
      <c r="I89" s="408"/>
      <c r="J89" s="715"/>
      <c r="K89" s="716"/>
      <c r="L89" s="261"/>
    </row>
    <row r="90" spans="1:12" hidden="1">
      <c r="A90" s="279" t="s">
        <v>8975</v>
      </c>
      <c r="B90" s="262" t="s">
        <v>8976</v>
      </c>
      <c r="C90" s="261">
        <f>ROUND(0.5*(SQRT(C87^2-C74^2)-SQRT(C72^2-C74^2))+(C20-C81)*C16/SIN(C65),3)</f>
        <v>11.18</v>
      </c>
      <c r="D90" s="281"/>
      <c r="E90" s="272"/>
      <c r="F90" s="262"/>
      <c r="G90" s="261"/>
      <c r="H90" s="281"/>
      <c r="I90" s="408"/>
      <c r="J90" s="715"/>
      <c r="K90" s="716"/>
      <c r="L90" s="261"/>
    </row>
    <row r="91" spans="1:12" hidden="1">
      <c r="A91" s="242" t="s">
        <v>8977</v>
      </c>
      <c r="B91" s="261" t="s">
        <v>8978</v>
      </c>
      <c r="C91" s="261">
        <f>ACOS(C74/C87)</f>
        <v>0.57207835982363997</v>
      </c>
      <c r="D91" s="337">
        <f>TAN(C91)-C91</f>
        <v>7.1826342142504301E-2</v>
      </c>
      <c r="E91" s="272"/>
      <c r="F91" s="261"/>
      <c r="G91" s="261"/>
      <c r="H91" s="337"/>
      <c r="I91" s="374"/>
      <c r="J91" s="715"/>
      <c r="K91" s="716"/>
      <c r="L91" s="261"/>
    </row>
    <row r="92" spans="1:12" hidden="1">
      <c r="A92" s="279" t="s">
        <v>8979</v>
      </c>
      <c r="B92" s="262" t="s">
        <v>8980</v>
      </c>
      <c r="C92" s="272">
        <f>C89*C86/C72-C86*(D91-E65)</f>
        <v>3.37039343712466</v>
      </c>
      <c r="D92" s="281" t="s">
        <v>8854</v>
      </c>
      <c r="E92" s="707"/>
      <c r="F92" s="262" t="s">
        <v>8981</v>
      </c>
      <c r="G92" s="272">
        <f>G89-2*G83*TAN(C65)</f>
        <v>4.2142792913124598</v>
      </c>
      <c r="H92" s="281" t="s">
        <v>8854</v>
      </c>
      <c r="I92" s="717"/>
      <c r="J92" s="715"/>
      <c r="K92" s="716"/>
      <c r="L92" s="261"/>
    </row>
    <row r="93" spans="1:12" hidden="1">
      <c r="A93" s="261" t="s">
        <v>8982</v>
      </c>
      <c r="B93" s="262" t="s">
        <v>8983</v>
      </c>
      <c r="C93" s="272">
        <f>C16*(COS(C63)*(PI()*(C94-0.5)+D94*E63)+2*C81*SIN(C63))</f>
        <v>23.331456616388799</v>
      </c>
      <c r="D93" s="281" t="s">
        <v>8854</v>
      </c>
      <c r="E93" s="240">
        <f>C15/COS(C66)^3</f>
        <v>17</v>
      </c>
      <c r="F93" s="262"/>
      <c r="G93" s="272"/>
      <c r="H93" s="281"/>
      <c r="I93" s="374"/>
      <c r="J93" s="715"/>
      <c r="K93" s="718"/>
      <c r="L93" s="261"/>
    </row>
    <row r="94" spans="1:12" ht="15.75" hidden="1" customHeight="1">
      <c r="A94" s="261" t="s">
        <v>8984</v>
      </c>
      <c r="B94" s="262" t="s">
        <v>8985</v>
      </c>
      <c r="C94" s="272">
        <f>ROUND(D94/PI()*ACOS(D94*COS(C63)/(D94+2*C81))+0.5,0)</f>
        <v>2</v>
      </c>
      <c r="D94" s="337">
        <f>C15*E65/E63</f>
        <v>17</v>
      </c>
      <c r="E94" s="240"/>
      <c r="F94" s="262"/>
      <c r="G94" s="272"/>
      <c r="H94" s="337"/>
      <c r="I94" s="374"/>
      <c r="J94" s="715"/>
      <c r="K94" s="718"/>
      <c r="L94" s="261"/>
    </row>
    <row r="95" spans="1:12" ht="15.75" hidden="1" customHeight="1">
      <c r="A95" s="262" t="s">
        <v>8986</v>
      </c>
      <c r="B95" s="262"/>
      <c r="C95" s="272" t="str">
        <f>IF(C19&gt;C93*SIN(C69)+5*COS(C69),"可以测量","不能测量！")</f>
        <v>可以测量</v>
      </c>
      <c r="D95" s="337"/>
      <c r="E95" s="240"/>
      <c r="F95" s="262"/>
      <c r="G95" s="272"/>
      <c r="H95" s="337"/>
      <c r="I95" s="374"/>
      <c r="J95" s="715"/>
      <c r="K95" s="718"/>
      <c r="L95" s="261"/>
    </row>
    <row r="96" spans="1:12" ht="15.75" hidden="1" customHeight="1">
      <c r="A96" s="261" t="s">
        <v>8982</v>
      </c>
      <c r="B96" s="262" t="s">
        <v>8987</v>
      </c>
      <c r="C96" s="272">
        <f>C16*(COS(C63)*(PI()*(C97-0.5)+D94*E63)+2*C81*SIN(C63))</f>
        <v>38.092113786856601</v>
      </c>
      <c r="D96" s="281" t="s">
        <v>8854</v>
      </c>
      <c r="E96" s="240"/>
      <c r="F96" s="262"/>
      <c r="G96" s="272"/>
      <c r="H96" s="337"/>
      <c r="I96" s="374"/>
      <c r="J96" s="715"/>
      <c r="K96" s="718"/>
      <c r="L96" s="261"/>
    </row>
    <row r="97" spans="1:12" ht="15.75" hidden="1" customHeight="1">
      <c r="A97" s="261" t="s">
        <v>8984</v>
      </c>
      <c r="B97" s="262" t="s">
        <v>8988</v>
      </c>
      <c r="C97" s="272">
        <f>C94+1</f>
        <v>3</v>
      </c>
      <c r="D97" s="337"/>
      <c r="E97" s="240"/>
      <c r="F97" s="262"/>
      <c r="G97" s="272"/>
      <c r="H97" s="337"/>
      <c r="I97" s="374"/>
      <c r="J97" s="715"/>
      <c r="K97" s="718"/>
      <c r="L97" s="261"/>
    </row>
    <row r="98" spans="1:12" ht="15.75" hidden="1" customHeight="1">
      <c r="A98" s="262" t="s">
        <v>8989</v>
      </c>
      <c r="B98" s="262"/>
      <c r="C98" s="272" t="str">
        <f>IF(C19&gt;C96*SIN(C69)+5*COS(C69),"可以测量","不能测量！")</f>
        <v>可以测量</v>
      </c>
      <c r="D98" s="337"/>
      <c r="E98" s="240"/>
      <c r="F98" s="262"/>
      <c r="G98" s="272"/>
      <c r="H98" s="337"/>
      <c r="I98" s="374"/>
      <c r="J98" s="715"/>
      <c r="K98" s="718"/>
      <c r="L98" s="261"/>
    </row>
    <row r="99" spans="1:12" hidden="1">
      <c r="A99" s="249" t="s">
        <v>8990</v>
      </c>
      <c r="B99" s="293" t="s">
        <v>8991</v>
      </c>
      <c r="C99" s="259">
        <f>C16*COS(C63)^2*(PI()/2+2*C81*TAN(C63))</f>
        <v>6.9352403105195704</v>
      </c>
      <c r="D99" s="281" t="s">
        <v>8854</v>
      </c>
      <c r="E99" s="708"/>
      <c r="F99" s="293"/>
      <c r="G99" s="259"/>
      <c r="H99" s="281"/>
      <c r="I99" s="708"/>
      <c r="J99" s="719"/>
      <c r="K99" s="720"/>
      <c r="L99" s="261"/>
    </row>
    <row r="100" spans="1:12" hidden="1">
      <c r="A100" s="249" t="s">
        <v>8992</v>
      </c>
      <c r="B100" s="293" t="s">
        <v>8993</v>
      </c>
      <c r="C100" s="259">
        <f>C83-C99/2*TAN(C63)</f>
        <v>3.73788947974389</v>
      </c>
      <c r="D100" s="281" t="s">
        <v>8854</v>
      </c>
      <c r="E100" s="337"/>
      <c r="F100" s="293"/>
      <c r="G100" s="259"/>
      <c r="H100" s="281"/>
      <c r="I100" s="337"/>
      <c r="J100" s="721"/>
      <c r="K100" s="720"/>
      <c r="L100" s="337"/>
    </row>
    <row r="101" spans="1:12" hidden="1">
      <c r="A101" s="249" t="s">
        <v>8994</v>
      </c>
      <c r="B101" s="293" t="s">
        <v>8995</v>
      </c>
      <c r="C101" s="259">
        <f>C16*E93*SIN(PI()/(2*E93)+2*C81*TAN(C63)/E93)</f>
        <v>7.8428105543806703</v>
      </c>
      <c r="D101" s="281" t="s">
        <v>8854</v>
      </c>
      <c r="E101" s="337"/>
      <c r="F101" s="293" t="s">
        <v>8996</v>
      </c>
      <c r="G101" s="282">
        <f>PI()/2*C16+2*G81*C16*TAN(C63)</f>
        <v>7.8539816339744801</v>
      </c>
      <c r="H101" s="281" t="s">
        <v>8854</v>
      </c>
      <c r="I101" s="337"/>
      <c r="J101" s="721"/>
      <c r="K101" s="720"/>
      <c r="L101" s="337"/>
    </row>
    <row r="102" spans="1:12" hidden="1">
      <c r="A102" s="249" t="s">
        <v>8997</v>
      </c>
      <c r="B102" s="293" t="s">
        <v>8998</v>
      </c>
      <c r="C102" s="259">
        <f>C83+0.5*C16*E93*(1-COS(PI()/(2*E93)+2*C81*TAN(C63)/E93))</f>
        <v>5.1812975074610303</v>
      </c>
      <c r="D102" s="281" t="s">
        <v>8854</v>
      </c>
      <c r="E102" s="337"/>
      <c r="F102" s="293" t="s">
        <v>8999</v>
      </c>
      <c r="G102" s="259">
        <f>G83</f>
        <v>5</v>
      </c>
      <c r="H102" s="281" t="s">
        <v>8854</v>
      </c>
      <c r="I102" s="337"/>
      <c r="J102" s="721"/>
      <c r="K102" s="720"/>
      <c r="L102" s="337"/>
    </row>
    <row r="103" spans="1:12" hidden="1">
      <c r="A103" s="249"/>
      <c r="B103" s="293" t="s">
        <v>9000</v>
      </c>
      <c r="C103" s="259">
        <f>C112*SIN(C115)/COS(C113+C115)*COS(C69)</f>
        <v>8.6744623087549595</v>
      </c>
      <c r="D103" s="281"/>
      <c r="E103" s="337"/>
      <c r="F103" s="293" t="s">
        <v>9001</v>
      </c>
      <c r="G103" s="259">
        <f>(PI()*C16-G101)/COS(C63)</f>
        <v>8.3580326803096892</v>
      </c>
      <c r="H103" s="281"/>
      <c r="I103" s="337"/>
      <c r="J103" s="721"/>
      <c r="K103" s="720"/>
      <c r="L103" s="337"/>
    </row>
    <row r="104" spans="1:12" hidden="1">
      <c r="A104" s="322" t="s">
        <v>9002</v>
      </c>
      <c r="B104" s="293" t="s">
        <v>9003</v>
      </c>
      <c r="C104" s="259">
        <f>C54</f>
        <v>8</v>
      </c>
      <c r="D104" s="281" t="s">
        <v>8854</v>
      </c>
      <c r="E104" s="337"/>
      <c r="F104" s="293" t="s">
        <v>9004</v>
      </c>
      <c r="G104" s="259">
        <f>G54</f>
        <v>8</v>
      </c>
      <c r="H104" s="281" t="s">
        <v>8854</v>
      </c>
      <c r="I104" s="337"/>
      <c r="J104" s="721"/>
      <c r="K104" s="720"/>
      <c r="L104" s="291"/>
    </row>
    <row r="105" spans="1:12" hidden="1">
      <c r="A105" s="322"/>
      <c r="B105" s="709" t="s">
        <v>9005</v>
      </c>
      <c r="C105" s="259">
        <f>E65+C104/(C16*C15*COS(C63))+2*C81*TAN(C63)/C15-PI()/(2*C15)</f>
        <v>2.2662507935957799E-2</v>
      </c>
      <c r="D105" s="281"/>
      <c r="E105" s="337"/>
      <c r="F105" s="709"/>
      <c r="G105" s="259"/>
      <c r="H105" s="281"/>
      <c r="I105" s="337"/>
      <c r="J105" s="721"/>
      <c r="K105" s="720"/>
      <c r="L105" s="291"/>
    </row>
    <row r="106" spans="1:12" hidden="1">
      <c r="A106" s="322"/>
      <c r="B106" s="710" t="s">
        <v>9006</v>
      </c>
      <c r="C106" s="268">
        <f>C56</f>
        <v>0.52819922458463897</v>
      </c>
      <c r="D106" s="225" t="s">
        <v>8918</v>
      </c>
      <c r="E106" s="337"/>
      <c r="F106" s="710"/>
      <c r="G106" s="268"/>
      <c r="H106" s="225"/>
      <c r="I106" s="337"/>
      <c r="J106" s="721"/>
      <c r="K106" s="720"/>
      <c r="L106" s="291"/>
    </row>
    <row r="107" spans="1:12" hidden="1">
      <c r="A107" s="322"/>
      <c r="B107" s="293" t="s">
        <v>9007</v>
      </c>
      <c r="C107" s="259">
        <f>C72/2*COS(C65)/COS(C106)</f>
        <v>46.238503531309199</v>
      </c>
      <c r="D107" s="281"/>
      <c r="E107" s="337"/>
      <c r="F107" s="293"/>
      <c r="G107" s="259"/>
      <c r="H107" s="281"/>
      <c r="I107" s="337"/>
      <c r="J107" s="721"/>
      <c r="K107" s="720"/>
      <c r="L107" s="291"/>
    </row>
    <row r="108" spans="1:12" hidden="1">
      <c r="A108" s="322"/>
      <c r="B108" s="293"/>
      <c r="C108" s="259">
        <f>2*C107*COS(PI()/(2*C15))+C104</f>
        <v>100.082516453726</v>
      </c>
      <c r="D108" s="281"/>
      <c r="E108" s="282">
        <f>2*C107+C104</f>
        <v>100.477007062618</v>
      </c>
      <c r="F108" s="293"/>
      <c r="G108" s="259"/>
      <c r="H108" s="281"/>
      <c r="I108" s="282"/>
      <c r="J108" s="721"/>
      <c r="K108" s="720"/>
      <c r="L108" s="291"/>
    </row>
    <row r="109" spans="1:12" hidden="1">
      <c r="A109" s="322" t="s">
        <v>9008</v>
      </c>
      <c r="B109" s="293" t="s">
        <v>9009</v>
      </c>
      <c r="C109" s="259">
        <f>IF(ODD(C15)-C15=0,C108,E108)</f>
        <v>100.082516453726</v>
      </c>
      <c r="D109" s="281" t="s">
        <v>8854</v>
      </c>
      <c r="E109" s="337"/>
      <c r="F109" s="355" t="s">
        <v>9010</v>
      </c>
      <c r="G109" s="259">
        <f>G54/2+G54/2*SIN(C63)+(G54*COS(C63)-(PI()*C16-G101))/(2*TAN(C63))+G73</f>
        <v>42.905899004574202</v>
      </c>
      <c r="H109" s="281" t="s">
        <v>8854</v>
      </c>
      <c r="I109" s="319"/>
      <c r="J109" s="721"/>
      <c r="K109" s="720"/>
      <c r="L109" s="337"/>
    </row>
    <row r="110" spans="1:12" hidden="1">
      <c r="A110" s="249"/>
      <c r="B110" s="259" t="s">
        <v>9011</v>
      </c>
      <c r="C110" s="282">
        <f>ATAN(TAN(C56)-C104/C74*COS(C69))</f>
        <v>0.45023316659975099</v>
      </c>
      <c r="D110" s="293"/>
      <c r="E110" s="259"/>
      <c r="F110" s="259"/>
      <c r="G110" s="259"/>
      <c r="H110" s="281"/>
      <c r="I110" s="319"/>
      <c r="J110" s="721"/>
      <c r="K110" s="720"/>
      <c r="L110" s="272"/>
    </row>
    <row r="111" spans="1:12" hidden="1">
      <c r="A111" s="249" t="s">
        <v>9012</v>
      </c>
      <c r="B111" s="268" t="s">
        <v>9013</v>
      </c>
      <c r="C111" s="282">
        <f>C74/COS(C110)</f>
        <v>88.714675322623705</v>
      </c>
      <c r="D111" s="281" t="s">
        <v>8854</v>
      </c>
      <c r="E111" s="355"/>
      <c r="F111" s="355" t="s">
        <v>9014</v>
      </c>
      <c r="G111" s="259">
        <f>(G54*COS(C63)-(PI()*C16-G101))/(2*TAN(C63))+G73</f>
        <v>37.537818431271603</v>
      </c>
      <c r="H111" s="281" t="s">
        <v>8854</v>
      </c>
      <c r="I111" s="714"/>
      <c r="J111" s="721"/>
      <c r="K111" s="720"/>
      <c r="L111" s="272"/>
    </row>
    <row r="112" spans="1:12" hidden="1">
      <c r="A112" s="249"/>
      <c r="B112" s="268" t="s">
        <v>9015</v>
      </c>
      <c r="C112" s="282">
        <f>C72+2*C81*C16</f>
        <v>85</v>
      </c>
      <c r="D112" s="293"/>
      <c r="E112" s="259"/>
      <c r="F112" s="293"/>
      <c r="G112" s="259"/>
      <c r="H112" s="281"/>
      <c r="I112" s="722"/>
      <c r="J112" s="721"/>
      <c r="K112" s="720"/>
      <c r="L112" s="272"/>
    </row>
    <row r="113" spans="1:12" hidden="1">
      <c r="A113" s="249"/>
      <c r="B113" s="261" t="s">
        <v>9016</v>
      </c>
      <c r="C113" s="259">
        <f>ACOS(C74/C112)</f>
        <v>0.34906585039886501</v>
      </c>
      <c r="D113" s="320">
        <f>TAN(C113)-C113</f>
        <v>1.4904383867336401E-2</v>
      </c>
      <c r="E113" s="259"/>
      <c r="F113" s="261"/>
      <c r="G113" s="259"/>
      <c r="H113" s="320"/>
      <c r="I113" s="722"/>
      <c r="J113" s="721"/>
      <c r="K113" s="720"/>
      <c r="L113" s="272"/>
    </row>
    <row r="114" spans="1:12" hidden="1">
      <c r="A114" s="352"/>
      <c r="B114" s="293" t="s">
        <v>9017</v>
      </c>
      <c r="C114" s="259">
        <f>C89*C112/C72-C112*(D113-E65)</f>
        <v>7.8539816339744899</v>
      </c>
      <c r="D114" s="259"/>
      <c r="E114" s="337"/>
      <c r="F114" s="268"/>
      <c r="G114" s="259"/>
      <c r="H114" s="259"/>
      <c r="I114" s="722"/>
      <c r="J114" s="721"/>
      <c r="K114" s="720"/>
      <c r="L114" s="272"/>
    </row>
    <row r="115" spans="1:12" hidden="1">
      <c r="A115" s="711"/>
      <c r="B115" s="302" t="s">
        <v>9018</v>
      </c>
      <c r="C115" s="308">
        <f>(PI()*C112/C15-C114)/C112</f>
        <v>9.2399783929111495E-2</v>
      </c>
      <c r="D115" s="308"/>
      <c r="E115" s="712"/>
      <c r="F115" s="302"/>
      <c r="G115" s="308"/>
      <c r="H115" s="308"/>
      <c r="I115" s="723"/>
      <c r="J115" s="721"/>
      <c r="K115" s="720"/>
      <c r="L115" s="261"/>
    </row>
    <row r="116" spans="1:12" hidden="1">
      <c r="A116" s="713" t="s">
        <v>8909</v>
      </c>
      <c r="B116" s="262"/>
      <c r="C116" s="259"/>
      <c r="D116" s="259"/>
      <c r="E116" s="259"/>
      <c r="F116" s="262"/>
      <c r="G116" s="259"/>
      <c r="H116" s="259"/>
      <c r="I116" s="723"/>
      <c r="J116" s="721"/>
      <c r="K116" s="720"/>
      <c r="L116" s="261"/>
    </row>
    <row r="117" spans="1:12" hidden="1">
      <c r="A117" s="282" t="s">
        <v>9019</v>
      </c>
      <c r="B117" s="261" t="s">
        <v>9020</v>
      </c>
      <c r="C117" s="259">
        <f>ROUND(1/(2*PI())*(C15*(TAN(C91)-TAN(C65))+2*C21/(SIN(C65)*COS(C65))),3)</f>
        <v>1.748</v>
      </c>
      <c r="D117" s="259"/>
      <c r="E117" s="259"/>
      <c r="F117" s="261"/>
      <c r="G117" s="259"/>
      <c r="H117" s="259"/>
      <c r="I117" s="723"/>
      <c r="J117" s="721"/>
      <c r="K117" s="720"/>
      <c r="L117" s="261"/>
    </row>
    <row r="118" spans="1:12" hidden="1">
      <c r="A118" s="282" t="s">
        <v>9021</v>
      </c>
      <c r="B118" s="261" t="s">
        <v>9022</v>
      </c>
      <c r="C118" s="259">
        <f>ROUND(C19*SIN(C66)/(PI()*C16),3)</f>
        <v>0</v>
      </c>
      <c r="D118" s="259"/>
      <c r="E118" s="259"/>
      <c r="F118" s="261"/>
      <c r="G118" s="259"/>
      <c r="H118" s="259"/>
      <c r="I118" s="723"/>
      <c r="J118" s="721"/>
      <c r="K118" s="720"/>
      <c r="L118" s="261"/>
    </row>
    <row r="119" spans="1:12" hidden="1">
      <c r="A119" s="245" t="s">
        <v>9023</v>
      </c>
      <c r="B119" s="302" t="s">
        <v>9024</v>
      </c>
      <c r="C119" s="308">
        <f>ROUND(C117+C118,3)</f>
        <v>1.748</v>
      </c>
      <c r="D119" s="445"/>
      <c r="E119" s="308"/>
      <c r="F119" s="302"/>
      <c r="G119" s="308"/>
      <c r="H119" s="308"/>
      <c r="I119" s="723"/>
      <c r="J119" s="721"/>
      <c r="K119" s="720"/>
      <c r="L119" s="261"/>
    </row>
    <row r="120" spans="1:12" hidden="1">
      <c r="A120" s="282" t="s">
        <v>9025</v>
      </c>
      <c r="B120" s="267"/>
      <c r="C120" s="259">
        <f>ROUND(C92*COS(C70)/C16,2)</f>
        <v>0.67</v>
      </c>
      <c r="D120" s="264" t="str">
        <f>IF(C120&lt;0.4,"齿顶变尖 ！","齿顶未变尖")</f>
        <v>齿顶未变尖</v>
      </c>
      <c r="E120" s="259"/>
      <c r="F120" s="267"/>
      <c r="G120" s="259">
        <f>ROUND(G92*COS(C70)/C16,2)</f>
        <v>0.84</v>
      </c>
      <c r="H120" s="264" t="str">
        <f>IF(G120&lt;0.4,"齿顶变尖 ！","齿顶未变尖")</f>
        <v>齿顶未变尖</v>
      </c>
      <c r="I120" s="723"/>
      <c r="J120" s="721"/>
      <c r="K120" s="720"/>
      <c r="L120" s="261"/>
    </row>
    <row r="121" spans="1:12" hidden="1">
      <c r="A121" s="309" t="s">
        <v>9026</v>
      </c>
      <c r="B121" s="352" t="s">
        <v>9027</v>
      </c>
      <c r="C121" s="259">
        <f>INT(2*C21/SIN(C65)^2)</f>
        <v>17</v>
      </c>
      <c r="D121" s="275"/>
      <c r="E121" s="259"/>
      <c r="F121" s="267"/>
      <c r="G121" s="259"/>
      <c r="H121" s="275"/>
      <c r="I121" s="723"/>
      <c r="J121" s="721"/>
      <c r="K121" s="720"/>
      <c r="L121" s="261"/>
    </row>
    <row r="122" spans="1:12" hidden="1">
      <c r="A122" s="443" t="s">
        <v>9028</v>
      </c>
      <c r="B122" s="356" t="s">
        <v>9029</v>
      </c>
      <c r="C122" s="308">
        <f>ROUND(C21*(C121-C15)/C121,3)</f>
        <v>0</v>
      </c>
      <c r="D122" s="326" t="str">
        <f>IF(C25&gt;=C122,"不根切","根切 ！")</f>
        <v>不根切</v>
      </c>
      <c r="E122" s="308"/>
      <c r="F122" s="356"/>
      <c r="G122" s="308"/>
      <c r="H122" s="326"/>
      <c r="I122" s="723"/>
      <c r="J122" s="721"/>
      <c r="K122" s="720"/>
      <c r="L122" s="261"/>
    </row>
    <row r="123" spans="1:12" hidden="1">
      <c r="A123" s="713" t="s">
        <v>9030</v>
      </c>
      <c r="B123" s="268"/>
      <c r="C123" s="259"/>
      <c r="D123" s="320"/>
      <c r="E123" s="259"/>
      <c r="F123" s="293"/>
      <c r="G123" s="259"/>
      <c r="H123" s="320"/>
      <c r="I123" s="724"/>
      <c r="J123" s="721"/>
      <c r="K123" s="720"/>
      <c r="L123" s="261"/>
    </row>
    <row r="124" spans="1:12" hidden="1">
      <c r="A124" s="309" t="s">
        <v>9031</v>
      </c>
      <c r="B124" s="262" t="s">
        <v>9032</v>
      </c>
      <c r="C124" s="259">
        <f>ROUND(0.5*SQRT(C72^2-C74^2)+(C20-C81)*C16/SIN(C65),3)</f>
        <v>14.536</v>
      </c>
      <c r="D124" s="281" t="s">
        <v>8854</v>
      </c>
      <c r="E124" s="259"/>
      <c r="F124" s="262"/>
      <c r="G124" s="259"/>
      <c r="H124" s="281"/>
      <c r="I124" s="723"/>
      <c r="J124" s="721"/>
      <c r="K124" s="720"/>
      <c r="L124" s="261"/>
    </row>
    <row r="125" spans="1:12" hidden="1">
      <c r="A125" s="309" t="s">
        <v>9033</v>
      </c>
      <c r="B125" s="262" t="s">
        <v>9034</v>
      </c>
      <c r="C125" s="259">
        <f>SQRT((C87/2)^2-(C74/2)^2)</f>
        <v>25.715581119394798</v>
      </c>
      <c r="D125" s="281" t="s">
        <v>8854</v>
      </c>
      <c r="E125" s="259"/>
      <c r="F125" s="262"/>
      <c r="G125" s="259"/>
      <c r="H125" s="281"/>
      <c r="I125" s="723"/>
      <c r="J125" s="721"/>
      <c r="K125" s="720"/>
      <c r="L125" s="261"/>
    </row>
    <row r="126" spans="1:12" hidden="1">
      <c r="A126" s="249" t="s">
        <v>9035</v>
      </c>
      <c r="B126" s="261" t="s">
        <v>9036</v>
      </c>
      <c r="C126" s="259">
        <f>DEGREES(C124/(C74/2))</f>
        <v>20.854164751313299</v>
      </c>
      <c r="D126" s="281" t="s">
        <v>8920</v>
      </c>
      <c r="E126" s="259">
        <f t="shared" ref="E126:E129" si="2">ROUND(INT(C126)+INT((C126-INT(C126))*60)/100+((C126-INT(C126))*60-INT((C126-INT(C126))*60))*60/10000,4)</f>
        <v>20.511500000000002</v>
      </c>
      <c r="F126" s="281" t="s">
        <v>8921</v>
      </c>
      <c r="G126" s="259"/>
      <c r="H126" s="281"/>
      <c r="I126" s="259"/>
      <c r="J126" s="380"/>
      <c r="K126" s="720"/>
      <c r="L126" s="261"/>
    </row>
    <row r="127" spans="1:12" hidden="1">
      <c r="A127" s="249" t="s">
        <v>9037</v>
      </c>
      <c r="B127" s="261" t="s">
        <v>9038</v>
      </c>
      <c r="C127" s="259">
        <f>DEGREES(C125/(C74/2))</f>
        <v>36.893021831289197</v>
      </c>
      <c r="D127" s="281" t="s">
        <v>8920</v>
      </c>
      <c r="E127" s="259">
        <f t="shared" si="2"/>
        <v>36.533499999999997</v>
      </c>
      <c r="F127" s="281" t="s">
        <v>8921</v>
      </c>
      <c r="G127" s="259"/>
      <c r="H127" s="281"/>
      <c r="I127" s="259"/>
      <c r="J127" s="380"/>
      <c r="K127" s="720"/>
      <c r="L127" s="261"/>
    </row>
    <row r="128" spans="1:12" s="654" customFormat="1" hidden="1">
      <c r="A128" s="249" t="s">
        <v>9039</v>
      </c>
      <c r="B128" s="261" t="s">
        <v>9040</v>
      </c>
      <c r="C128" s="259">
        <f>C126+1/3*(C127-C126)</f>
        <v>26.200450444638602</v>
      </c>
      <c r="D128" s="281" t="s">
        <v>8920</v>
      </c>
      <c r="E128" s="259">
        <f t="shared" si="2"/>
        <v>26.120200000000001</v>
      </c>
      <c r="F128" s="281" t="s">
        <v>8921</v>
      </c>
      <c r="G128" s="259"/>
      <c r="H128" s="281"/>
      <c r="I128" s="259"/>
      <c r="J128" s="380"/>
      <c r="K128" s="720"/>
      <c r="L128" s="261"/>
    </row>
    <row r="129" spans="1:12" hidden="1">
      <c r="A129" s="371"/>
      <c r="B129" s="302" t="s">
        <v>9041</v>
      </c>
      <c r="C129" s="308">
        <f>C126+2/3*(C127-C126)</f>
        <v>31.546736137963901</v>
      </c>
      <c r="D129" s="305" t="s">
        <v>8920</v>
      </c>
      <c r="E129" s="308">
        <f t="shared" si="2"/>
        <v>31.3248</v>
      </c>
      <c r="F129" s="305" t="s">
        <v>8921</v>
      </c>
      <c r="G129" s="308"/>
      <c r="H129" s="305"/>
      <c r="I129" s="259"/>
      <c r="J129" s="380"/>
      <c r="K129" s="720"/>
      <c r="L129" s="267"/>
    </row>
    <row r="130" spans="1:12" ht="15.75" hidden="1" customHeight="1">
      <c r="A130" s="713" t="s">
        <v>9042</v>
      </c>
      <c r="B130" s="261"/>
      <c r="C130" s="259"/>
      <c r="D130" s="259"/>
      <c r="E130" s="259"/>
      <c r="F130" s="261"/>
      <c r="G130" s="259"/>
      <c r="H130" s="720"/>
      <c r="I130" s="723"/>
      <c r="J130" s="727"/>
      <c r="K130" s="309"/>
      <c r="L130" s="261"/>
    </row>
    <row r="131" spans="1:12" hidden="1">
      <c r="A131" s="249" t="s">
        <v>9043</v>
      </c>
      <c r="B131" s="268"/>
      <c r="C131" s="282">
        <f>PI()*C72/2</f>
        <v>133.51768777756601</v>
      </c>
      <c r="D131" s="320"/>
      <c r="E131" s="249" t="s">
        <v>9044</v>
      </c>
      <c r="F131" s="268" t="s">
        <v>6492</v>
      </c>
      <c r="G131" s="259">
        <f>C32</f>
        <v>3000</v>
      </c>
      <c r="H131" s="259"/>
      <c r="I131" s="723"/>
      <c r="J131" s="727"/>
      <c r="K131" s="309"/>
      <c r="L131" s="261"/>
    </row>
    <row r="132" spans="1:12" hidden="1">
      <c r="A132" s="249" t="s">
        <v>9045</v>
      </c>
      <c r="B132" s="268" t="s">
        <v>9046</v>
      </c>
      <c r="C132" s="282">
        <f>IF(AND(C131&gt;20,C131&lt;=32,C33=3),5,IF(AND(C131&gt;32,C131&lt;=50,C33=3),5.5,IF(AND(C131&gt;50,C131&lt;=80,C33=3),6,IF(AND(C131&gt;80,C131&lt;=160,C33=3),8,IF(AND(C131&gt;160,C131&lt;=315,C33=3),11,IF(AND(C131&gt;315,C131&lt;=630,C33=3),16,IF(AND(C131&gt;630,C131&lt;=1000,C33=3),20,C133)))))))</f>
        <v>63</v>
      </c>
      <c r="D132" s="320"/>
      <c r="E132" s="269"/>
      <c r="F132" s="293" t="s">
        <v>9047</v>
      </c>
      <c r="G132" s="282" t="str">
        <f>IF(AND(G131&lt;=32,C33=3),6,IF(AND(G131&gt;32,G131&lt;=50,C33=3),6.5,IF(AND(G131&gt;50,G131&lt;=80,C33=3),7,IF(AND(G131&gt;80,G131&lt;=160,C33=3),10,IF(AND(G131&gt;160,G131&lt;=315,C33=3),13,IF(AND(G131&gt;315,G131&lt;=630,C33=3),18,IF(AND(G131&gt;630,G131&lt;=1000,C33=3),24,G133)))))))</f>
        <v>*</v>
      </c>
      <c r="H132" s="259"/>
      <c r="I132" s="723"/>
      <c r="J132" s="727"/>
      <c r="K132" s="309"/>
      <c r="L132" s="261"/>
    </row>
    <row r="133" spans="1:12" hidden="1">
      <c r="A133" s="249"/>
      <c r="B133" s="268"/>
      <c r="C133" s="337">
        <f>IF(AND(C131&gt;20,C131&lt;=32,C33=4),8,IF(AND(C131&gt;32,C131&lt;=50,C33=4),9,IF(AND(C131&gt;50,C131&lt;=80,C33=4),10,IF(AND(C131&gt;80,C131&lt;=160,C33=4),12,IF(AND(C131&gt;160,C131&lt;=315,C33=4),18,IF(AND(C131&gt;315,C131&lt;=630,C33=4),25,IF(AND(C131&gt;630,C131&lt;=1000,C33=4),32,C134)))))))</f>
        <v>63</v>
      </c>
      <c r="D133" s="320"/>
      <c r="E133" s="269"/>
      <c r="F133" s="293"/>
      <c r="G133" s="337" t="str">
        <f>IF(AND(G131&lt;=32,C33=4),10,IF(AND(G131&gt;32,G131&lt;=50,C33=4),11,IF(AND(G131&gt;50,G131&lt;=80,C33=4),12,IF(AND(G131&gt;80,G131&lt;=160,C33=4),15,IF(AND(G131&gt;160,G131&lt;=315,C33=4),20,IF(AND(G131&gt;315,G131&lt;=630,C33=4),30,IF(AND(G131&gt;630,G131&lt;=1000,C33=4),40,G134)))))))</f>
        <v>*</v>
      </c>
      <c r="H133" s="259"/>
      <c r="I133" s="723"/>
      <c r="J133" s="727"/>
      <c r="K133" s="309"/>
      <c r="L133" s="261"/>
    </row>
    <row r="134" spans="1:12" hidden="1">
      <c r="A134" s="381"/>
      <c r="B134" s="268"/>
      <c r="C134" s="337">
        <f>IF(AND(C131&gt;20,C131&lt;=32,C33=5),12,IF(AND(C131&gt;32,C131&lt;=50,C33=5),14,IF(AND(C131&gt;50,C131&lt;=80,C33=5),16,IF(AND(C131&gt;80,C131&lt;=160,C33=5),20,IF(AND(C131&gt;160,C131&lt;=315,C33=5),28,IF(AND(C131&gt;315,C131&lt;=630,C33=5),40,IF(AND(C131&gt;630,C131&lt;=1000,C33=5),50,C135)))))))</f>
        <v>63</v>
      </c>
      <c r="D134" s="320"/>
      <c r="E134" s="269"/>
      <c r="F134" s="293"/>
      <c r="G134" s="337" t="str">
        <f>IF(AND(G131&lt;=32,C33=5),15,IF(AND(G131&gt;32,G131&lt;=50,C33=5),17,IF(AND(G131&gt;50,G131&lt;=80,C33=5),20,IF(AND(G131&gt;80,G131&lt;=160,C33=5),24,IF(AND(G131&gt;160,G131&lt;=315,C33=5),35,IF(AND(G131&gt;315,G131&lt;=630,C33=5),50,IF(AND(G131&gt;630,G131&lt;=1000,C33=5),60,G135)))))))</f>
        <v>*</v>
      </c>
      <c r="H134" s="259"/>
      <c r="I134" s="723"/>
      <c r="J134" s="727"/>
      <c r="K134" s="309"/>
      <c r="L134" s="261"/>
    </row>
    <row r="135" spans="1:12" hidden="1">
      <c r="A135" s="381"/>
      <c r="B135" s="282"/>
      <c r="C135" s="337">
        <f>IF(AND(C131&gt;20,C131&lt;=32,C33=6),20,IF(AND(C131&gt;32,C131&lt;=50,C33=6),22,IF(AND(C131&gt;50,C131&lt;=80,C33=6),25,IF(AND(C131&gt;80,C131&lt;=160,C33=6),32,IF(AND(C131&gt;160,C131&lt;=315,C33=6),45,IF(AND(C131&gt;315,C131&lt;=630,C33=6),63,IF(AND(C131&gt;630,C131&lt;=1000,C33=6),80,C136)))))))</f>
        <v>63</v>
      </c>
      <c r="D135" s="320"/>
      <c r="E135" s="269"/>
      <c r="F135" s="267"/>
      <c r="G135" s="337" t="str">
        <f>IF(AND(G131&lt;=32,C33=6),24,IF(AND(G131&gt;32,G131&lt;=50,C33=6),27,IF(AND(G131&gt;50,G131&lt;=80,C33=6),30,IF(AND(G131&gt;80,G131&lt;=160,C33=6),40,IF(AND(G131&gt;160,G131&lt;=315,C33=6),55,IF(AND(G131&gt;315,G131&lt;=630,C33=6),75,IF(AND(G131&gt;630,G131&lt;=1000,C33=6),95,G136)))))))</f>
        <v>*</v>
      </c>
      <c r="H135" s="259"/>
      <c r="I135" s="723"/>
      <c r="J135" s="727"/>
      <c r="K135" s="309"/>
      <c r="L135" s="261"/>
    </row>
    <row r="136" spans="1:12" hidden="1">
      <c r="A136" s="381"/>
      <c r="B136" s="282"/>
      <c r="C136" s="337">
        <f>IF(AND(C131&gt;20,C131&lt;=32,C33=7),28,IF(AND(C131&gt;32,C131&lt;=50,C33=7),32,IF(AND(C131&gt;50,C131&lt;=80,C33=7),36,IF(AND(C131&gt;80,C131&lt;=160,C33=7),45,IF(AND(C131&gt;160,C131&lt;=315,C33=7),63,IF(AND(C131&gt;315,C131&lt;=630,C33=7),90,IF(AND(C131&gt;630,C131&lt;=1000,C33=7),112,C137)))))))</f>
        <v>63</v>
      </c>
      <c r="D136" s="320"/>
      <c r="E136" s="269"/>
      <c r="F136" s="267"/>
      <c r="G136" s="337" t="str">
        <f>IF(AND(G131&lt;=32,C33=7),35,IF(AND(G131&gt;32,G131&lt;=50,C33=7),40,IF(AND(G131&gt;50,G131&lt;=80,C33=7),45,IF(AND(G131&gt;80,G131&lt;=160,C33=7),55,IF(AND(G131&gt;160,G131&lt;=315,C33=7),75,IF(AND(G131&gt;315,G131&lt;=630,C33=7),110,IF(AND(G131&gt;630,G131&lt;=1000,C33=7),135,G137)))))))</f>
        <v>*</v>
      </c>
      <c r="H136" s="259"/>
      <c r="I136" s="723"/>
      <c r="J136" s="727"/>
      <c r="K136" s="309"/>
      <c r="L136" s="261"/>
    </row>
    <row r="137" spans="1:12" hidden="1">
      <c r="A137" s="249"/>
      <c r="B137" s="282"/>
      <c r="C137" s="337">
        <f>IF(AND(C131&gt;20,C131&lt;=32,C33=8),40,IF(AND(C131&gt;32,C131&lt;=50,C33=8),45,IF(AND(C131&gt;50,C131&lt;=80,C33=8),50,IF(AND(C131&gt;80,C131&lt;=160,C33=8),63,IF(AND(C131&gt;160,C131&lt;=315,C33=8),90,IF(AND(C131&gt;315,C131&lt;=630,C33=8),125,IF(AND(C131&gt;630,C131&lt;=1000,C33=8),160,"*")))))))</f>
        <v>63</v>
      </c>
      <c r="D137" s="320"/>
      <c r="E137" s="269"/>
      <c r="F137" s="267"/>
      <c r="G137" s="337" t="str">
        <f>IF(AND(G131&lt;=32,C33=8),50,IF(AND(G131&gt;32,G131&lt;=50,C33=8),56,IF(AND(G131&gt;50,G131&lt;=80,C33=8),63,IF(AND(G131&gt;80,G131&lt;=160,C33=8),75,IF(AND(G131&gt;160,G131&lt;=315,C33=8),105,IF(AND(G131&gt;315,G131&lt;=630,C33=8),150,IF(AND(G131&gt;630,G131&lt;=1000,C33=8),190,"*")))))))</f>
        <v>*</v>
      </c>
      <c r="H137" s="259"/>
      <c r="I137" s="723"/>
      <c r="J137" s="727"/>
      <c r="K137" s="309"/>
      <c r="L137" s="261"/>
    </row>
    <row r="138" spans="1:12" hidden="1">
      <c r="A138" s="322" t="s">
        <v>9048</v>
      </c>
      <c r="B138" s="268" t="s">
        <v>9049</v>
      </c>
      <c r="C138" s="282">
        <f>IF(AND(C72&lt;=125,C16&gt;=1,C16&lt;=3.5,C33=3),6,IF(AND(C72&lt;=125,C16&gt;3.5,C16&lt;=6.3,C33=3),7,IF(AND(C72&lt;=125,C16&gt;6.3,C16&lt;=10,C33=3),8,IF(AND(C72&gt;125,C72&lt;=400,C16&gt;=1,C16&lt;=3.5,C33=3),9,IF(AND(C72&gt;125,C72&lt;=400,C16&gt;3.5,C16&lt;=6.3,C33=3),10,IF(AND(C72&gt;125,C72&lt;=400,C16&gt;6.3,C16&lt;=10,C33=3),11,C139))))))</f>
        <v>50</v>
      </c>
      <c r="D138" s="320"/>
      <c r="E138" s="322" t="s">
        <v>9050</v>
      </c>
      <c r="F138" s="268" t="s">
        <v>9051</v>
      </c>
      <c r="G138" s="282">
        <f>IF(AND(G16&gt;=1,G16&lt;=3.5,G33=3),6,IF(AND(G16&gt;3.5,G16&lt;=6.3,G33=3),8,IF(AND(G16&gt;6.3,G16&lt;=10,G33=3),9,G140)))</f>
        <v>65</v>
      </c>
      <c r="H138" s="259"/>
      <c r="I138" s="723"/>
      <c r="J138" s="727"/>
      <c r="K138" s="309"/>
      <c r="L138" s="261"/>
    </row>
    <row r="139" spans="1:12" hidden="1">
      <c r="A139" s="249"/>
      <c r="B139" s="282"/>
      <c r="C139" s="337">
        <f>IF(AND(C72&gt;400,C72&lt;=800,C16&gt;=1,C16&lt;=3.5,C33=3),11,IF(AND(C72&gt;400,C72&lt;=800,C16&gt;3.5,C16&lt;=6.3,C33=3),13,IF(AND(C72&gt;400,C72&lt;=800,C16&gt;6.3,C16&lt;=10,C33=3),14,IF(AND(C72&gt;800,C72&lt;=1600,C16&gt;=1,C16&lt;=3.5,C33=3),13,IF(AND(C72&gt;800,C72&lt;=1600,C16&gt;3.5,C16&lt;=6.3,C33=3),14,IF(AND(C72&gt;800,C72&lt;=1600,C16&gt;6.3,C16&lt;=10,C33=3),16,C140))))))</f>
        <v>50</v>
      </c>
      <c r="D139" s="320"/>
      <c r="E139" s="269"/>
      <c r="F139" s="267"/>
      <c r="G139" s="337"/>
      <c r="H139" s="259"/>
      <c r="I139" s="723"/>
      <c r="J139" s="727"/>
      <c r="K139" s="309"/>
      <c r="L139" s="261"/>
    </row>
    <row r="140" spans="1:12" hidden="1">
      <c r="A140" s="249"/>
      <c r="B140" s="282"/>
      <c r="C140" s="337">
        <f>IF(AND(C72&lt;=125,C16&gt;=1,C16&lt;=3.5,C33=4),10,IF(AND(C72&lt;=125,C16&gt;3.5,C16&lt;=6.3,C33=4),11,IF(AND(C72&lt;=125,C16&gt;6.3,C16&lt;=10,C33=4),13,IF(AND(C72&gt;125,C72&lt;=400,C16&gt;=1,C16&lt;=3.5,C33=4),15,IF(AND(C72&gt;125,C72&lt;=400,C16&gt;3.5,C16&lt;=6.3,C33=4),16,IF(AND(C72&gt;125,C72&lt;=400,C16&gt;6.3,C16&lt;=10,C33=4),18,C141))))))</f>
        <v>50</v>
      </c>
      <c r="D140" s="320"/>
      <c r="E140" s="269"/>
      <c r="F140" s="267"/>
      <c r="G140" s="337">
        <f>IF(AND(G16&gt;=1,G16&lt;=3.5,G33=4),7,IF(AND(G16&gt;3.5,G16&lt;=6.3,G33=4),13,IF(AND(G16&gt;6.3,G16&lt;=10,G33=4),15,G142)))</f>
        <v>65</v>
      </c>
      <c r="H140" s="259"/>
      <c r="I140" s="723"/>
      <c r="J140" s="727"/>
      <c r="K140" s="309"/>
      <c r="L140" s="261"/>
    </row>
    <row r="141" spans="1:12" hidden="1">
      <c r="A141" s="249"/>
      <c r="B141" s="282"/>
      <c r="C141" s="337">
        <f>IF(AND(C72&gt;400,C72&lt;=800,C16&gt;=1,C16&lt;=3.5,C33=4),18,IF(AND(C72&gt;400,C72&lt;=800,C16&gt;3.5,C16&lt;=6.3,C33=4),20,IF(AND(C72&gt;400,C72&lt;=800,C16&gt;6.3,C16&lt;=10,C33=4),22,IF(AND(C72&gt;800,C72&lt;=1600,C16&gt;=1,C16&lt;=3.5,C33=4),20,IF(AND(C72&gt;800,C72&lt;=1600,C16&gt;3.5,C16&lt;=6.3,C33=4),22,IF(AND(C72&gt;800,C72&lt;=1600,C16&gt;6.3,C16&lt;=10,C33=4),25,C142))))))</f>
        <v>50</v>
      </c>
      <c r="D141" s="320"/>
      <c r="E141" s="269"/>
      <c r="F141" s="267"/>
      <c r="G141" s="337"/>
      <c r="H141" s="259"/>
      <c r="I141" s="723"/>
      <c r="J141" s="727"/>
      <c r="K141" s="309"/>
      <c r="L141" s="261"/>
    </row>
    <row r="142" spans="1:12" hidden="1">
      <c r="A142" s="249"/>
      <c r="B142" s="282"/>
      <c r="C142" s="337">
        <f>IF(AND(C72&lt;=125,C16&gt;=1,C16&lt;=3.5,C33=5),16,IF(AND(C72&lt;=125,C16&gt;3.5,C16&lt;=6.3,C33=5),18,IF(AND(C72&lt;=125,C16&gt;6.3,C16&lt;=10,C33=5),20,IF(AND(C72&gt;125,C72&lt;=400,C16&gt;=1,C16&lt;=3.5,C33=5),22,IF(AND(C72&gt;125,C72&lt;=400,C16&gt;3.5,C16&lt;=6.3,C33=5),25,IF(AND(C72&gt;125,C72&lt;=400,C16&gt;6.3,C16&lt;=10,C33=5),28,C143))))))</f>
        <v>50</v>
      </c>
      <c r="D142" s="320"/>
      <c r="E142" s="269"/>
      <c r="F142" s="267"/>
      <c r="G142" s="337">
        <f>IF(AND(G16&gt;=1,G16&lt;=3.5,G33=5),14,IF(AND(G16&gt;3.5,G16&lt;=6.3,G33=5),21,IF(AND(G16&gt;6.3,G16&lt;=10,G33=5),24,G144)))</f>
        <v>65</v>
      </c>
      <c r="H142" s="259"/>
      <c r="I142" s="723"/>
      <c r="J142" s="727"/>
      <c r="K142" s="309"/>
      <c r="L142" s="261"/>
    </row>
    <row r="143" spans="1:12" hidden="1">
      <c r="A143" s="249"/>
      <c r="B143" s="282"/>
      <c r="C143" s="337">
        <f>IF(AND(C72&gt;400,C72&lt;=800,C16&gt;=1,C16&lt;=3.5,C33=5),28,IF(AND(C72&gt;400,C72&lt;=800,C16&gt;3.5,C16&lt;=6.3,C33=5),32,IF(AND(C72&gt;400,C72&lt;=800,C16&gt;6.3,C16&lt;=10,C33=5),36,IF(AND(C72&gt;800,C72&lt;=1600,C16&gt;=1,C16&lt;=3.5,C33=5),32,IF(AND(C72&gt;800,C72&lt;=1600,C16&gt;3.5,C16&lt;=6.3,C33=5),36,IF(AND(C72&gt;800,C72&lt;=1600,C16&gt;6.5,C16&lt;=10,C33=5),40,C144))))))</f>
        <v>50</v>
      </c>
      <c r="D143" s="320"/>
      <c r="E143" s="269"/>
      <c r="F143" s="267"/>
      <c r="G143" s="337"/>
      <c r="H143" s="259"/>
      <c r="I143" s="723"/>
      <c r="J143" s="727"/>
      <c r="K143" s="309"/>
      <c r="L143" s="261"/>
    </row>
    <row r="144" spans="1:12" hidden="1">
      <c r="A144" s="249"/>
      <c r="B144" s="282"/>
      <c r="C144" s="337">
        <f>IF(AND(C72&lt;=125,C16&gt;=1,C16&lt;=3.5,C33=6),25,IF(AND(C72&lt;=125,C16&gt;3.5,C16&lt;=6.3,C33=6),28,IF(AND(C72&lt;=125,C16&gt;6.3,C16&lt;=10,C33=6),32,IF(AND(C72&gt;125,C72&lt;=400,C16&gt;=1,C16&lt;=3.5,C33=6),36,IF(AND(C72&gt;125,C72&lt;=400,C16&gt;3.5,C16&lt;=6.3,C33=6),40,IF(AND(C72&gt;125,C72&lt;=400,C16&gt;6.3,C16&lt;=10,C33=6),45,C145))))))</f>
        <v>50</v>
      </c>
      <c r="D144" s="320"/>
      <c r="E144" s="269"/>
      <c r="F144" s="267"/>
      <c r="G144" s="337">
        <f>IF(AND(G16&gt;=1,G16&lt;=3.5,G33=6),24,IF(AND(G16&gt;3.5,G16&lt;=6.3,G33=6),34,IF(AND(G16&gt;6.3,G16&lt;=10,G33=6),38,G146)))</f>
        <v>65</v>
      </c>
      <c r="H144" s="259"/>
      <c r="I144" s="723"/>
      <c r="J144" s="727"/>
      <c r="K144" s="309"/>
      <c r="L144" s="261"/>
    </row>
    <row r="145" spans="1:12" hidden="1">
      <c r="A145" s="249"/>
      <c r="B145" s="282"/>
      <c r="C145" s="337">
        <f>IF(AND(C72&gt;400,C72&lt;=800,C16&gt;=1,C16&lt;=3.5,C33=6),45,IF(AND(C72&gt;400,C72&lt;=800,C16&gt;3.5,C16&lt;=6.3,C33=6),50,IF(AND(C72&gt;400,C72&lt;=800,C16&gt;6.3,C16&lt;=10,C33=6),56,IF(AND(C72&gt;800,C72&lt;=1600,C16&gt;=1,C16&lt;=3.5,C33=6),50,IF(AND(C72&gt;800,C72&lt;=1600,C16&gt;3.5,C16&lt;=6.3,C33=6),56,IF(AND(C72&gt;800,C72&lt;=1600,C16&gt;6.3,C16&lt;=10,C33=6),63,C146))))))</f>
        <v>50</v>
      </c>
      <c r="D145" s="320"/>
      <c r="E145" s="269"/>
      <c r="F145" s="267"/>
      <c r="G145" s="337"/>
      <c r="H145" s="259"/>
      <c r="I145" s="723"/>
      <c r="J145" s="727"/>
      <c r="K145" s="309"/>
      <c r="L145" s="261"/>
    </row>
    <row r="146" spans="1:12" hidden="1">
      <c r="A146" s="249"/>
      <c r="B146" s="282"/>
      <c r="C146" s="337">
        <f>IF(AND(C72&lt;=125,C16&gt;=1,C16&lt;=3.5,C33=7),36,IF(AND(C72&lt;=125,C16&gt;3.5,C16&lt;=6.3,C33=7),40,IF(AND(C72&lt;=125,C16&gt;6.3,C16&lt;=10,C33=7),45,IF(AND(C72&gt;125,C72&lt;=400,C16&gt;=1,C16&lt;=3.5,C33=7),50,IF(AND(C72&gt;125,C72&lt;=400,C16&gt;3.5,C16&lt;=6.3,C33=7),56,IF(AND(C72&gt;125,C72&lt;=400,C16&gt;6.3,C16&lt;=10,C33=7),63,C147))))))</f>
        <v>50</v>
      </c>
      <c r="D146" s="320"/>
      <c r="E146" s="269"/>
      <c r="F146" s="267"/>
      <c r="G146" s="337">
        <f>IF(AND(G16&gt;=1,G16&lt;=3.5,G33=7),32,IF(AND(G16&gt;3.5,G16&lt;=6.3,G33=7),45,IF(AND(G16&gt;6.3,G16&lt;=10,G33=7),55,G148)))</f>
        <v>65</v>
      </c>
      <c r="H146" s="259"/>
      <c r="I146" s="723"/>
      <c r="J146" s="727"/>
      <c r="K146" s="309"/>
      <c r="L146" s="261"/>
    </row>
    <row r="147" spans="1:12" hidden="1">
      <c r="A147" s="249"/>
      <c r="B147" s="282"/>
      <c r="C147" s="337">
        <f>IF(AND(C72&gt;400,C72&lt;=800,C16&gt;=1,C16&lt;=3.5,C33=7),63,IF(AND(C72&gt;400,C72&lt;=800,C16&gt;3.5,C16&lt;=6.3,C33=7),71,IF(AND(C72&gt;400,C72&lt;=800,C16&gt;6.3,C16&lt;=10,C33=7),80,IF(AND(C72&gt;800,C72&lt;=1600,C16&gt;=1,C16&lt;=3.5,C33=7),71,IF(AND(C72&gt;800,C72&lt;=1600,C16&gt;3.5,C16&lt;=6.3,C33=7),80,IF(AND(C72&gt;800,C72&lt;=1600,C16&gt;6.3,C16&lt;=10,C33=7),90,C148))))))</f>
        <v>50</v>
      </c>
      <c r="D147" s="320"/>
      <c r="E147" s="269"/>
      <c r="F147" s="267"/>
      <c r="G147" s="337"/>
      <c r="H147" s="259"/>
      <c r="I147" s="723"/>
      <c r="J147" s="727"/>
      <c r="K147" s="309"/>
      <c r="L147" s="261"/>
    </row>
    <row r="148" spans="1:12" hidden="1">
      <c r="A148" s="249"/>
      <c r="B148" s="282"/>
      <c r="C148" s="337">
        <f>IF(AND(C72&lt;=125,C16&gt;=1,C16&lt;=3.5,C33=8),45,IF(AND(C72&lt;=125,C16&gt;3.5,C16&lt;=6.3,C33=8),50,IF(AND(C72&lt;=125,C16&gt;6.3,C16&lt;=10,C33=8),56,IF(AND(C72&gt;125,C72&lt;=400,C16&gt;=1,C16&lt;=3.5,C33=8),63,IF(AND(C72&gt;125,C72&lt;=400,C16&gt;3.5,C16&lt;=6.3,C33=8),71,IF(AND(C72&gt;125,C72&lt;=400,C16&gt;6.3,C16&lt;=10,C33=8),80,C149))))))</f>
        <v>50</v>
      </c>
      <c r="D148" s="320"/>
      <c r="E148" s="269"/>
      <c r="F148" s="267"/>
      <c r="G148" s="337">
        <f>IF(AND(G16&gt;=1,G16&lt;=3.5,G33=8),45,IF(AND(G16&gt;3.5,G16&lt;=6.3,G33=8),65,IF(AND(G16&gt;6.3,G16&lt;=10,G33=8),75,"*")))</f>
        <v>65</v>
      </c>
      <c r="H148" s="259"/>
      <c r="I148" s="723"/>
      <c r="J148" s="727"/>
      <c r="K148" s="309"/>
      <c r="L148" s="261"/>
    </row>
    <row r="149" spans="1:12" hidden="1">
      <c r="A149" s="249"/>
      <c r="B149" s="282"/>
      <c r="C149" s="337" t="str">
        <f>IF(AND(C72&gt;400,C72&lt;=800,C16&gt;=1,C16&lt;=3.5,C33=8),80,IF(AND(C72&gt;400,C72&lt;=800,C16&gt;3.5,C16&lt;=6.3,C33=8),90,IF(AND(C72&gt;400,C72&lt;=800,C16&gt;6.3,C16&lt;=10,C33=8),100,IF(AND(C72&gt;800,C72&lt;=1600,C16&gt;=1,C16&lt;=3.5,C33=8),90,IF(AND(C72&gt;800,C72&lt;=1600,C16&gt;3.5,C16&lt;=6.3,C33=8),100,IF(AND(C72&gt;800,C72&lt;=1600,C16&gt;6.3,C16&lt;=10,C33=8),112,"*"))))))</f>
        <v>*</v>
      </c>
      <c r="D149" s="320"/>
      <c r="E149" s="269"/>
      <c r="F149" s="267"/>
      <c r="G149" s="337"/>
      <c r="H149" s="259"/>
      <c r="I149" s="723"/>
      <c r="J149" s="727"/>
      <c r="K149" s="309"/>
      <c r="L149" s="261"/>
    </row>
    <row r="150" spans="1:12" hidden="1">
      <c r="A150" s="352" t="s">
        <v>9052</v>
      </c>
      <c r="B150" s="268" t="s">
        <v>9053</v>
      </c>
      <c r="C150" s="282">
        <f>IF(AND(C72&lt;=125,C33=3),5,IF(AND(C72&lt;=125,C33=4),8,IF(AND(C72&lt;=125,C33=5),12,IF(AND(C72&lt;=125,C33=6),20,IF(AND(C72&lt;=125,C33=7),28,IF(AND(C72&lt;=125,C33=8),40,C151))))))</f>
        <v>40</v>
      </c>
      <c r="D150" s="320"/>
      <c r="E150" s="269"/>
      <c r="F150" s="293"/>
      <c r="G150" s="282"/>
      <c r="H150" s="259"/>
      <c r="I150" s="723"/>
      <c r="J150" s="727"/>
      <c r="K150" s="309"/>
      <c r="L150" s="261"/>
    </row>
    <row r="151" spans="1:12" hidden="1">
      <c r="A151" s="249"/>
      <c r="B151" s="282"/>
      <c r="C151" s="337" t="str">
        <f>IF(AND(C72&gt;125,C72&lt;=400,C33=3),6.5,IF(AND(C72&gt;125,C72&lt;=400,C33=4),10,IF(AND(C72&gt;125,C72&lt;=400,C33=5),16,IF(AND(C72&gt;125,C72&lt;=400,C33=6),25,IF(AND(C72&gt;125,C72&lt;=400,C33=7),36,IF(AND(C72&gt;125,C72&lt;=400,C33=8),50,C152))))))</f>
        <v>*</v>
      </c>
      <c r="D151" s="320"/>
      <c r="E151" s="269"/>
      <c r="F151" s="267"/>
      <c r="G151" s="337"/>
      <c r="H151" s="259"/>
      <c r="I151" s="723"/>
      <c r="J151" s="727"/>
      <c r="K151" s="309"/>
      <c r="L151" s="261"/>
    </row>
    <row r="152" spans="1:12" hidden="1">
      <c r="A152" s="249"/>
      <c r="B152" s="282"/>
      <c r="C152" s="337" t="str">
        <f>IF(AND(C72&gt;400,C72&lt;=800,C33=3),8,IF(AND(C72&gt;400,C72&lt;=800,C33=4),12,IF(AND(C72&gt;400,C72&lt;=800,C33=5),20,IF(AND(C72&gt;400,C72&lt;=800,C33=6),32,IF(AND(C72&gt;400,C72&lt;=800,C33=7),45,IF(AND(C72&gt;400,C72&lt;=800,C33=8),63,C153))))))</f>
        <v>*</v>
      </c>
      <c r="D152" s="320"/>
      <c r="E152" s="269"/>
      <c r="F152" s="267"/>
      <c r="G152" s="337"/>
      <c r="H152" s="259"/>
      <c r="I152" s="723"/>
      <c r="J152" s="727"/>
      <c r="K152" s="309"/>
      <c r="L152" s="261"/>
    </row>
    <row r="153" spans="1:12" hidden="1">
      <c r="A153" s="249"/>
      <c r="B153" s="282"/>
      <c r="C153" s="337" t="str">
        <f>IF(AND(C72&gt;800,C72&lt;=1600,C33=3),10,IF(AND(C72&gt;800,C72&lt;=1600,C33=4),16,IF(AND(C72&gt;800,C72&lt;=1600,C33=5),25,IF(AND(C72&gt;800,C72&lt;=1600,C33=6),40,IF(AND(C72&gt;800,C72&lt;=1600,C33=7),56,IF(AND(C72&gt;800,C72&lt;=1600,C33=8),80,"*"))))))</f>
        <v>*</v>
      </c>
      <c r="D153" s="320"/>
      <c r="E153" s="269"/>
      <c r="F153" s="267"/>
      <c r="G153" s="337"/>
      <c r="H153" s="259"/>
      <c r="I153" s="723"/>
      <c r="J153" s="727"/>
      <c r="K153" s="309"/>
      <c r="L153" s="261"/>
    </row>
    <row r="154" spans="1:12" hidden="1">
      <c r="A154" s="249" t="s">
        <v>9054</v>
      </c>
      <c r="B154" s="293" t="s">
        <v>9055</v>
      </c>
      <c r="C154" s="282">
        <f>IF(AND(C72&lt;=125,C16&gt;=1,C16&lt;=3.5,C34=3),2.5,IF(AND(C72&lt;=125,C16&gt;3.5,C16&lt;=6.3,C34=3),3.2,IF(AND(C72&lt;=125,C16&gt;6.3,C16&lt;=10,C34=3),3.6,IF(AND(C72&gt;125,C72&lt;=400,C16&gt;=1,C16&lt;=3.5,C34=3),2.8,IF(AND(C72&gt;125,C72&lt;=400,C16&gt;3.5,C16&lt;=6.3,C34=3),3.6,IF(AND(C72&gt;125,C72&lt;=400,C16&gt;6.3,C16&lt;=10,C34=3),4,C155))))))</f>
        <v>18</v>
      </c>
      <c r="D154" s="320"/>
      <c r="E154" s="282"/>
      <c r="F154" s="293" t="s">
        <v>9056</v>
      </c>
      <c r="G154" s="282">
        <f>IF(AND(G16&gt;=1,G16&lt;=3.5,G33=3),2.5,IF(AND(G16&gt;3.5,G16&lt;=6.3,G33=3),3.6,IF(AND(G16&gt;6.3,G16&lt;=10,G33=3),4,G156)))</f>
        <v>28</v>
      </c>
      <c r="H154" s="259"/>
      <c r="I154" s="723"/>
      <c r="J154" s="727"/>
      <c r="K154" s="309"/>
      <c r="L154" s="261"/>
    </row>
    <row r="155" spans="1:12" hidden="1">
      <c r="A155" s="249"/>
      <c r="B155" s="293"/>
      <c r="C155" s="337">
        <f>IF(AND(C72&gt;400,C72&lt;=800,C16&gt;=1,C16&lt;=3.5,C34=3),3.2,IF(AND(C72&gt;400,C72&lt;=800,C16&gt;3.5,C16&lt;=6.3,C34=3),3.6,IF(AND(C72&gt;400,C72&lt;=800,C16&gt;6.3,C16&lt;=10,C34=3),4.5,IF(AND(C72&gt;800,C72&lt;=1600,C16&gt;=1,C16&lt;=3.5,C34=3),3.6,IF(AND(C72&gt;800,C72&lt;=1600,C16&gt;3.5,C16&lt;=6.3,C34=3),4,IF(AND(C72&gt;800,C72&lt;=1600,C16&gt;6.3,C16&lt;=10,C34=3),4.5,C156))))))</f>
        <v>18</v>
      </c>
      <c r="D155" s="725"/>
      <c r="E155" s="337"/>
      <c r="F155" s="726"/>
      <c r="G155" s="337"/>
      <c r="H155" s="259"/>
      <c r="I155" s="723"/>
      <c r="J155" s="727"/>
      <c r="K155" s="309"/>
      <c r="L155" s="261"/>
    </row>
    <row r="156" spans="1:12" hidden="1">
      <c r="A156" s="249"/>
      <c r="B156" s="293"/>
      <c r="C156" s="337">
        <f>IF(AND(C72&lt;=125,C16&gt;=1,C16&lt;=3.5,C34=4),4,IF(AND(C72&lt;=125,C16&gt;3.5,C16&lt;=6.3,C34=4),5,IF(AND(C72&lt;=125,C16&gt;6.3,C16&lt;=10,C34=4),5.5,IF(AND(C72&gt;125,C72&lt;=400,C16&gt;=1,C16&lt;=3.5,C34=4),4.5,IF(AND(C72&gt;125,C72&lt;=400,C16&gt;3.5,C16&lt;=6.3,C34=4),5.5,IF(AND(C72&gt;125,C72&lt;=400,C16&gt;6.3,C16&lt;=10,C34=4),6,C157))))))</f>
        <v>18</v>
      </c>
      <c r="D156" s="725"/>
      <c r="E156" s="337"/>
      <c r="F156" s="726"/>
      <c r="G156" s="337">
        <f>IF(AND(G16&gt;=1,G16&lt;=3.5,G33=4),4,IF(AND(G16&gt;3.5,G16&lt;=6.3,G33=4),5.5,IF(AND(G16&gt;6.3,G16&lt;=10,G33=4),6,G158)))</f>
        <v>28</v>
      </c>
      <c r="H156" s="259"/>
      <c r="I156" s="723"/>
      <c r="J156" s="727"/>
      <c r="K156" s="309"/>
      <c r="L156" s="261"/>
    </row>
    <row r="157" spans="1:12" hidden="1">
      <c r="A157" s="249"/>
      <c r="B157" s="293"/>
      <c r="C157" s="337">
        <f>IF(AND(C72&gt;400,C72&lt;=800,C16&gt;=1,C16&lt;=3.5,C34=4),5,IF(AND(C72&gt;400,C72&lt;=800,C16&gt;3.5,C16&lt;=6.3,C34=4),5.5,IF(AND(C72&gt;400,C72&lt;=800,C16&gt;6.3,C16&lt;=10,C34=4),7,IF(AND(C72&gt;800,C72&lt;=1600,C16&gt;=1,C16&lt;=3.5,C34=4),5.5,IF(AND(C72&gt;800,C72&lt;=1600,C16&gt;3.5,C16&lt;=6.3,C34=4),6,IF(AND(C72&gt;800,C72&lt;=1600,C16&gt;6.3,C16&lt;=10,C34=4),7,C158))))))</f>
        <v>18</v>
      </c>
      <c r="D157" s="725"/>
      <c r="E157" s="337"/>
      <c r="F157" s="726"/>
      <c r="G157" s="337"/>
      <c r="H157" s="259"/>
      <c r="I157" s="723"/>
      <c r="J157" s="727"/>
      <c r="K157" s="309"/>
      <c r="L157" s="261"/>
    </row>
    <row r="158" spans="1:12" hidden="1">
      <c r="A158" s="249"/>
      <c r="B158" s="282"/>
      <c r="C158" s="337">
        <f>IF(AND(C72&lt;=125,C16&gt;=1,C16&lt;=3.5,C34=5),6,IF(AND(C72&lt;=125,C16&gt;3.5,C16&lt;=6.3,C34=5),8,IF(AND(C72&lt;=125,C16&gt;6.3,C16&lt;=10,C34=5),9,IF(AND(C72&gt;125,C72&lt;=400,C16&gt;=1,C16&lt;=3.5,C34=5),7,IF(AND(C72&gt;125,C72&lt;=400,C16&gt;3.5,C16&lt;=6.3,C34=5),9,IF(AND(C72&gt;125,C72&lt;=400,C16&gt;6.3,C16&lt;=10,C34=5),10,C159))))))</f>
        <v>18</v>
      </c>
      <c r="D158" s="320"/>
      <c r="E158" s="269"/>
      <c r="F158" s="267"/>
      <c r="G158" s="337">
        <f>IF(AND(G16&gt;=1,G16&lt;=3.5,G33=5),6,IF(AND(G16&gt;3.5,G16&lt;=6.3,G33=5),9,IF(AND(G16&gt;6.3,G16&lt;=10,G33=5),10,G160)))</f>
        <v>28</v>
      </c>
      <c r="H158" s="259"/>
      <c r="I158" s="723"/>
      <c r="J158" s="727"/>
      <c r="K158" s="309"/>
      <c r="L158" s="261"/>
    </row>
    <row r="159" spans="1:12" hidden="1">
      <c r="A159" s="249"/>
      <c r="B159" s="293"/>
      <c r="C159" s="337">
        <f>IF(AND(C72&gt;400,C72&lt;=800,C16&gt;=1,C16&lt;=3.5,C34=5),8,IF(AND(C72&gt;400,C72&lt;=800,C16&gt;3.5,C16&lt;=6.3,C34=5),9,IF(AND(C72&gt;400,C72&lt;=800,C16&gt;6.3,C16&lt;=10,C34=5),11,IF(AND(C72&gt;800,C72&lt;=1600,C16&gt;=1,C16&lt;=3.5,C34=5),9,IF(AND(C72&gt;800,C72&lt;=1600,C16&gt;3.5,C16&lt;=6.3,C34=5),10,IF(AND(C72&gt;800,C72&lt;=1600,C16&gt;6.3,C16&lt;=10,C34=5),11,C160))))))</f>
        <v>18</v>
      </c>
      <c r="D159" s="320"/>
      <c r="E159" s="269"/>
      <c r="F159" s="293"/>
      <c r="G159" s="337"/>
      <c r="H159" s="259"/>
      <c r="I159" s="723"/>
      <c r="J159" s="727"/>
      <c r="K159" s="309"/>
      <c r="L159" s="261"/>
    </row>
    <row r="160" spans="1:12" hidden="1">
      <c r="A160" s="249"/>
      <c r="B160" s="293"/>
      <c r="C160" s="337">
        <f>IF(AND(C72&lt;=125,C16&gt;=1,C16&lt;=3.5,C34=6),10,IF(AND(C72&lt;=125,C16&gt;3.5,C16&lt;=6.3,C34=6),13,IF(AND(C72&lt;=125,C16&gt;6.3,C16&lt;=10,C34=6),14,IF(AND(C72&gt;125,C72&lt;=400,C16&gt;=1,C16&lt;=3.5,C34=6),11,IF(AND(C72&gt;125,C72&lt;=400,C16&gt;3.5,C16&lt;=6.3,C34=6),14,IF(AND(C72&gt;125,C72&lt;=400,C16&gt;6.3,C16&lt;=10,C34=6),16,C161))))))</f>
        <v>18</v>
      </c>
      <c r="D160" s="320"/>
      <c r="E160" s="269"/>
      <c r="F160" s="293"/>
      <c r="G160" s="337">
        <f>IF(AND(G16&gt;=1,G16&lt;=3.5,G33=6),10,IF(AND(G16&gt;3.5,G16&lt;=6.3,G33=6),14,IF(AND(G16&gt;6.3,G16&lt;=10,G33=6),16,G162)))</f>
        <v>28</v>
      </c>
      <c r="H160" s="259"/>
      <c r="I160" s="723"/>
      <c r="J160" s="727"/>
      <c r="K160" s="309"/>
      <c r="L160" s="261"/>
    </row>
    <row r="161" spans="1:12" hidden="1">
      <c r="A161" s="249"/>
      <c r="B161" s="293"/>
      <c r="C161" s="337">
        <f>IF(AND(C72&gt;400,C72&lt;=800,C16&gt;=1,C16&lt;=3.5,C34=6),13,IF(AND(C72&gt;400,C72&lt;=800,C16&gt;3.5,C16&lt;=6.3,C34=6),14,IF(AND(C72&gt;400,C72&lt;=800,C16&gt;6.3,C16&lt;=10,C34=6),18,IF(AND(C72&gt;800,C72&lt;=1600,C16&gt;=1,C16&lt;=3.5,C34=6),14,IF(AND(C72&gt;800,C72&lt;=1600,C16&gt;3.5,C16&lt;=6.3,C34=6),16,IF(AND(C72&gt;800,C72&lt;=1600,C16&gt;6.3,C16&lt;=10,C34=6),18,C162))))))</f>
        <v>18</v>
      </c>
      <c r="D161" s="320"/>
      <c r="E161" s="269"/>
      <c r="F161" s="293"/>
      <c r="G161" s="337"/>
      <c r="H161" s="259"/>
      <c r="I161" s="723"/>
      <c r="J161" s="727"/>
      <c r="K161" s="309"/>
      <c r="L161" s="261"/>
    </row>
    <row r="162" spans="1:12" hidden="1">
      <c r="A162" s="249"/>
      <c r="B162" s="293"/>
      <c r="C162" s="337">
        <f>IF(AND(C72&lt;=125,C16&gt;=1,C16&lt;=3.5,C34=7),14,IF(AND(C72&lt;=125,C16&gt;3.5,C16&lt;=6.3,C34=7),18,IF(AND(C72&lt;=125,C16&gt;6.3,C16&lt;=10,C34=7),20,IF(AND(C72&gt;125,C72&lt;=400,C16&gt;=1,C16&lt;=3.5,C34=7),16,IF(AND(C72&gt;125,C72&lt;=400,C16&gt;3.5,C16&lt;=6.3,C34=7),20,IF(AND(C72&gt;125,C72&lt;=400,C16&gt;6.3,C16&lt;=10,C34=7),22,C163))))))</f>
        <v>18</v>
      </c>
      <c r="D162" s="320"/>
      <c r="E162" s="269"/>
      <c r="F162" s="293"/>
      <c r="G162" s="337">
        <f>IF(AND(G16&gt;=1,G16&lt;=3.5,G33=7),14,IF(AND(G16&gt;3.5,G16&lt;=6.3,G33=7),20,IF(AND(G16&gt;6.3,G16&lt;=10,G33=7),22,G164)))</f>
        <v>28</v>
      </c>
      <c r="H162" s="259"/>
      <c r="I162" s="723"/>
      <c r="J162" s="727"/>
      <c r="K162" s="309"/>
      <c r="L162" s="261"/>
    </row>
    <row r="163" spans="1:12" hidden="1">
      <c r="A163" s="249"/>
      <c r="B163" s="293"/>
      <c r="C163" s="337" t="str">
        <f>IF(AND(C72&gt;400,C72&lt;=800,C16&gt;=1,C16&lt;=3.5,C34=7),18,IF(AND(C72&gt;400,C72&lt;=800,C16&gt;3.5,C16&lt;=6.3,C34=7),20,IF(AND(C72&gt;400,C72&lt;=800,C16&gt;6.3,C16&lt;=10,C34=7),25,IF(AND(C72&gt;800,C72&lt;=1600,C16&gt;=1,C16&lt;=3.5,C34=7),20,IF(AND(C72&gt;800,C72&lt;=1600,C16&gt;3.5,C16&lt;=6.3,C34=7),22,IF(AND(C72&gt;800,C72&lt;=1600,C16&gt;6.3,C16&lt;=10,C34=7),25,C164))))))</f>
        <v>*</v>
      </c>
      <c r="D163" s="320"/>
      <c r="E163" s="269"/>
      <c r="F163" s="293"/>
      <c r="G163" s="337"/>
      <c r="H163" s="259"/>
      <c r="I163" s="723"/>
      <c r="J163" s="727"/>
      <c r="K163" s="309"/>
      <c r="L163" s="261"/>
    </row>
    <row r="164" spans="1:12" hidden="1">
      <c r="A164" s="249"/>
      <c r="B164" s="293"/>
      <c r="C164" s="337" t="str">
        <f>IF(AND(C72&lt;=125,C16&gt;=1,C16&lt;=3.5,C34=8),20,IF(AND(C72&lt;=125,C16&gt;3.5,C16&lt;=6.3,C34=8),25,IF(AND(C72&lt;=125,C16&gt;6.3,C16&lt;=10,C34=8),28,IF(AND(C72&gt;125,C72&lt;=400,C16&gt;=1,C16&lt;=3.5,C34=8),22,IF(AND(C72&gt;125,C72&lt;=400,C16&gt;3.5,C16&lt;=6.3,C34=8),28,IF(AND(C72&gt;125,C72&lt;=400,C16&gt;6.3,C16&lt;=10,C34=8),32,C165))))))</f>
        <v>*</v>
      </c>
      <c r="D164" s="320"/>
      <c r="E164" s="269"/>
      <c r="F164" s="293"/>
      <c r="G164" s="337">
        <f>IF(AND(G16&gt;=1,G16&lt;=3.5,G33=8),20,IF(AND(G16&gt;3.5,G16&lt;=6.3,G33=8),28,IF(AND(G16&gt;6.3,G16&lt;=10,G33=8),32,"*")))</f>
        <v>28</v>
      </c>
      <c r="H164" s="259"/>
      <c r="I164" s="723"/>
      <c r="J164" s="727"/>
      <c r="K164" s="309"/>
      <c r="L164" s="261"/>
    </row>
    <row r="165" spans="1:12" hidden="1">
      <c r="A165" s="249"/>
      <c r="B165" s="293"/>
      <c r="C165" s="337" t="str">
        <f>IF(AND(C72&gt;400,C72&lt;=800,C16&gt;=1,C16&lt;=3.5,C34=8),25,IF(AND(C72&gt;400,C72&lt;=800,C16&gt;3.5,C16&lt;=6.3,C34=8),28,IF(AND(C72&gt;400,C72&lt;=800,C16&gt;6.3,C16&lt;=10,C34=8),36,IF(AND(C72&gt;800,C72&lt;=1600,C16&gt;=1,C16&lt;=3.5,C34=8),28,IF(AND(C72&gt;800,C72&lt;=1600,C16&gt;3.5,C16&lt;=6.3,C34=8),32,IF(AND(C72&gt;800,C72&lt;=1600,C16&gt;6.3,C16&lt;=10,C34=8),36,"*"))))))</f>
        <v>*</v>
      </c>
      <c r="D165" s="320"/>
      <c r="E165" s="269"/>
      <c r="F165" s="293"/>
      <c r="G165" s="337"/>
      <c r="H165" s="259"/>
      <c r="I165" s="723"/>
      <c r="J165" s="727"/>
      <c r="K165" s="309"/>
      <c r="L165" s="261"/>
    </row>
    <row r="166" spans="1:12" hidden="1">
      <c r="A166" s="249" t="s">
        <v>9057</v>
      </c>
      <c r="B166" s="293" t="s">
        <v>9058</v>
      </c>
      <c r="C166" s="282">
        <f>IF(AND(C72&lt;=125,C16&gt;=1,C16&lt;=3.5,C34=3),2.4,IF(AND(C72&lt;=125,C16&gt;3.5,C16&lt;=6.3,C34=3),3,IF(AND(C72&lt;=125,C16&gt;6.3,C16&lt;=10,C34=3),3.2,IF(AND(C72&gt;125,C72&lt;=400,C16&gt;=1,C16&lt;=3.5,C34=3),2.4,IF(AND(C72&gt;125,C72&lt;=400,C16&gt;3.5,C16&lt;=6.3,C34=3),3.2,IF(AND(C72&gt;125,C72&lt;=400,C16&gt;6.3,C16&lt;=10,C34=3),3.6,C167))))))</f>
        <v>16</v>
      </c>
      <c r="D166" s="282"/>
      <c r="E166" s="269"/>
      <c r="F166" s="293"/>
      <c r="G166" s="282"/>
      <c r="H166" s="259"/>
      <c r="I166" s="723"/>
      <c r="J166" s="727"/>
      <c r="K166" s="309"/>
      <c r="L166" s="261"/>
    </row>
    <row r="167" spans="1:12" hidden="1">
      <c r="A167" s="249"/>
      <c r="B167" s="293"/>
      <c r="C167" s="337">
        <f>IF(AND(C72&gt;400,C72&lt;=800,C16&gt;=1,C16&lt;=3.5,C34=3),3,IF(AND(C72&gt;400,C72&lt;=800,C16&gt;3.5,C16&lt;=6.3,C34=3),3.2,IF(AND(C72&gt;400,C72&lt;=800,C16&gt;6.3,C16&lt;=10,C34=3),4.2,IF(AND(C72&gt;800,C72&lt;=1600,C16&gt;=1,C16&lt;=3.5,C34=3),3.2,IF(AND(C72&gt;800,C72&lt;=1600,C16&gt;3.5,C16&lt;=6.3,C34=3),3.6,IF(AND(C72&gt;800,C72&lt;=1600,C16&gt;6.3,C16&lt;=10,C34=3),4.2,C168))))))</f>
        <v>16</v>
      </c>
      <c r="D167" s="282"/>
      <c r="E167" s="269"/>
      <c r="F167" s="293"/>
      <c r="G167" s="337"/>
      <c r="H167" s="259"/>
      <c r="I167" s="723"/>
      <c r="J167" s="727"/>
      <c r="K167" s="309"/>
      <c r="L167" s="261"/>
    </row>
    <row r="168" spans="1:12" hidden="1">
      <c r="A168" s="249"/>
      <c r="B168" s="293"/>
      <c r="C168" s="337">
        <f>IF(AND(C72&lt;=125,C16&gt;=1,C16&lt;=3.5,C34=4),3.6,IF(AND(C72&lt;=125,C16&gt;3.5,C16&lt;=6.3,C34=4),4.5,IF(AND(C72&lt;=125,C16&gt;6.3,C16&lt;=10,C34=4),5,IF(AND(C72&gt;125,C72&lt;=400,C16&gt;=1,C16&lt;=3.5,C34=4),4.2,IF(AND(C72&gt;125,C72&lt;=400,C16&gt;3.5,C16&lt;=6.3,C34=4),5,IF(AND(C72&gt;125,C72&lt;=400,C16&gt;6.3,C16&lt;=10,C34=4),5.5,C169))))))</f>
        <v>16</v>
      </c>
      <c r="D168" s="320"/>
      <c r="E168" s="269"/>
      <c r="F168" s="293"/>
      <c r="G168" s="337"/>
      <c r="H168" s="259"/>
      <c r="I168" s="723"/>
      <c r="J168" s="727"/>
      <c r="K168" s="309"/>
      <c r="L168" s="261"/>
    </row>
    <row r="169" spans="1:12" hidden="1">
      <c r="A169" s="293" t="s">
        <v>272</v>
      </c>
      <c r="B169" s="293"/>
      <c r="C169" s="337">
        <f>IF(AND(C72&gt;400,C72&lt;=800,C16&gt;=1,C16&lt;=3.5,C34=4),4.5,IF(AND(C72&gt;400,C72&lt;=800,C16&gt;3.5,C16&lt;=6.3,C34=4),5,IF(AND(C72&gt;400,C72&lt;=800,C16&gt;6.3,C16&lt;=10,C34=4),6.5,IF(AND(C72&gt;800,C72&lt;=1600,C16&gt;=1,C16&lt;=3.5,C34=4),5,IF(AND(C72&gt;800,C72&lt;=1600,C16&gt;3.5,C16&lt;=6.3,C34=4),5.5,IF(AND(C72&gt;800,C72&lt;=1600,C16&gt;6.3,C16&lt;=10,C34=4),6.5,C170))))))</f>
        <v>16</v>
      </c>
      <c r="D169" s="320"/>
      <c r="E169" s="269"/>
      <c r="F169" s="293"/>
      <c r="G169" s="337"/>
      <c r="H169" s="259"/>
      <c r="I169" s="723"/>
      <c r="J169" s="727"/>
      <c r="K169" s="309"/>
      <c r="L169" s="261"/>
    </row>
    <row r="170" spans="1:12" hidden="1">
      <c r="A170" s="249"/>
      <c r="B170" s="293"/>
      <c r="C170" s="337">
        <f>IF(AND(C72&lt;=125,C16&gt;=1,C16&lt;=3.5,C34=5),5,IF(AND(C72&lt;=125,C16&gt;3.5,C16&lt;=6.3,C34=5),7,IF(AND(C72&lt;=125,C16&gt;6.3,C16&lt;=10,C34=5),8,IF(AND(C72&gt;125,C72&lt;=400,C16&gt;=1,C16&lt;=3.5,C34=5),6,IF(AND(C72&gt;125,C72&lt;=400,C16&gt;3.5,C16&lt;=6.3,C34=5),8,IF(AND(C72&gt;125,C72&lt;=400,C16&gt;6.3,C16&lt;=10,C34=5),9,C171))))))</f>
        <v>16</v>
      </c>
      <c r="D170" s="320"/>
      <c r="E170" s="269"/>
      <c r="F170" s="293"/>
      <c r="G170" s="337"/>
      <c r="H170" s="259"/>
      <c r="I170" s="723"/>
      <c r="J170" s="727"/>
      <c r="K170" s="309"/>
      <c r="L170" s="261"/>
    </row>
    <row r="171" spans="1:12" hidden="1">
      <c r="A171" s="249"/>
      <c r="B171" s="293"/>
      <c r="C171" s="337">
        <f>IF(AND(C72&gt;400,C72&lt;=800,C16&gt;=1,C16&lt;=3.5,C34=5),7,IF(AND(C72&gt;400,C72&lt;=800,C16&gt;3.5,C16&lt;=6.3,C34=5),8,IF(AND(C72&gt;400,C72&lt;=800,C16&gt;6.3,C16&lt;=10,C34=5),10,IF(AND(C72&gt;800,C72&lt;=1600,C16&gt;=1,C16&lt;=3.5,C34=5),8,IF(AND(C72&gt;800,C72&lt;=1600,C16&gt;3.5,C16&lt;=6.3,C34=5),9,IF(AND(C72&gt;800,C72&lt;=1600,C16&gt;6.3,C16&lt;=10,C34=5),10,C172))))))</f>
        <v>16</v>
      </c>
      <c r="D171" s="320"/>
      <c r="E171" s="269"/>
      <c r="F171" s="293"/>
      <c r="G171" s="337"/>
      <c r="H171" s="259"/>
      <c r="I171" s="723"/>
      <c r="J171" s="727"/>
      <c r="K171" s="309"/>
      <c r="L171" s="261"/>
    </row>
    <row r="172" spans="1:12" hidden="1">
      <c r="A172" s="381"/>
      <c r="B172" s="724"/>
      <c r="C172" s="337">
        <f>IF(AND(C72&lt;=125,C16&gt;=1,C16&lt;=3.5,C34=6),9,IF(AND(C72&lt;=125,C16&gt;3.5,C16&lt;=6.3,C34=6),11,IF(AND(C72&lt;=125,C16&gt;6.3,C16&lt;=10,C34=6),13,IF(AND(C72&gt;125,C72&lt;=400,C16&gt;=1,C16&lt;=3.5,C34=6),10,IF(AND(C72&gt;125,C72&lt;=400,C16&gt;3.5,C16&lt;=6.3,C34=6),13,IF(AND(C72&gt;125,C72&lt;=400,C16&gt;6.3,C16&lt;=10,C34=6),14,C173))))))</f>
        <v>16</v>
      </c>
      <c r="D172" s="320"/>
      <c r="E172" s="269"/>
      <c r="F172" s="293"/>
      <c r="G172" s="337"/>
      <c r="H172" s="259"/>
      <c r="I172" s="723"/>
      <c r="J172" s="727"/>
      <c r="K172" s="309"/>
      <c r="L172" s="261"/>
    </row>
    <row r="173" spans="1:12" hidden="1">
      <c r="A173" s="381"/>
      <c r="B173" s="724"/>
      <c r="C173" s="337">
        <f>IF(AND(C72&gt;400,C72&lt;=800,C16&gt;=1,C16&lt;=3.5,C34=6),11,IF(AND(C72&gt;400,C72&lt;=800,C16&gt;3.5,C16&lt;=6.3,C34=6),13,IF(AND(C72&gt;400,C72&lt;=800,C16&gt;6.3,C16&lt;=10,C34=6),16,IF(AND(C72&gt;800,C72&lt;=1600,C16&gt;=1,C16&lt;=3.5,C34=6),13,IF(AND(C72&gt;800,C72&lt;=1600,C16&gt;3.5,C16&lt;=6.3,C34=6),14,IF(AND(C72&gt;800,C72&lt;=1600,C16&gt;6.3,C16&lt;=10,C34=6),16,C174))))))</f>
        <v>16</v>
      </c>
      <c r="D173" s="320"/>
      <c r="E173" s="269"/>
      <c r="F173" s="293"/>
      <c r="G173" s="337"/>
      <c r="H173" s="259"/>
      <c r="I173" s="723"/>
      <c r="J173" s="727"/>
      <c r="K173" s="309"/>
      <c r="L173" s="261"/>
    </row>
    <row r="174" spans="1:12" hidden="1">
      <c r="A174" s="381"/>
      <c r="B174" s="724"/>
      <c r="C174" s="337">
        <f>IF(AND(C72&lt;=125,C16&gt;=1,C16&lt;=3.5,C34=7),13,IF(AND(C72&lt;=125,C16&gt;3.5,C16&lt;=6.3,C34=7),16,IF(AND(C72&lt;=125,C16&gt;6.3,C16&lt;=10,C34=7),18,IF(AND(C72&gt;125,C72&lt;=400,C16&gt;=1,C16&lt;=3.5,C34=7),14,IF(AND(C72&gt;125,C72&lt;=400,C16&gt;3.5,C16&lt;=6.3,C34=7),18,IF(AND(C72&gt;125,C72&lt;=400,C16&gt;6.3,C16&lt;=10,C34=7),20,C175))))))</f>
        <v>16</v>
      </c>
      <c r="D174" s="320"/>
      <c r="E174" s="269"/>
      <c r="F174" s="293"/>
      <c r="G174" s="337"/>
      <c r="H174" s="259"/>
      <c r="I174" s="723"/>
      <c r="J174" s="727"/>
      <c r="K174" s="309"/>
      <c r="L174" s="261"/>
    </row>
    <row r="175" spans="1:12" hidden="1">
      <c r="A175" s="381"/>
      <c r="B175" s="724"/>
      <c r="C175" s="337" t="str">
        <f>IF(AND(C72&gt;400,C72&lt;=800,C16&gt;=1,C16&lt;=3.5,C34=7),16,IF(AND(C72&gt;400,C72&lt;=800,C16&gt;3.5,C16&lt;=6.3,C34=7),18,IF(AND(C72&gt;400,C72&lt;=800,C16&gt;6.3,C16&lt;=10,C34=7),22,IF(AND(C72&gt;800,C72&lt;=1600,C16&gt;=1,C16&lt;=3.5,C34=7),18,IF(AND(C72&gt;800,C72&lt;=1600,C16&gt;3.5,C16&lt;=6.3,C34=7),20,IF(AND(C72&gt;800,C72&lt;=1600,C16&gt;6.3,C16&lt;=10,C34=7),22,C176))))))</f>
        <v>*</v>
      </c>
      <c r="D175" s="320"/>
      <c r="E175" s="269"/>
      <c r="F175" s="293"/>
      <c r="G175" s="337"/>
      <c r="H175" s="259"/>
      <c r="I175" s="723"/>
      <c r="J175" s="727"/>
      <c r="K175" s="309"/>
      <c r="L175" s="261"/>
    </row>
    <row r="176" spans="1:12" hidden="1">
      <c r="A176" s="381"/>
      <c r="B176" s="724"/>
      <c r="C176" s="337" t="str">
        <f>IF(AND(C72&lt;=125,C16&gt;=1,C16&lt;=3.5,C34=8),18,IF(AND(C72&lt;=125,C16&gt;3.5,C16&lt;=6.3,C34=8),22,IF(AND(C72&lt;=125,C16&gt;6.3,C16&lt;=10,C34=8),25,IF(AND(C72&gt;125,C72&lt;=400,C16&gt;=1,C16&lt;=3.5,C34=8),20,IF(AND(C72&gt;125,C72&lt;=400,C16&gt;3.5,C16&lt;=6.3,C34=8),25,IF(AND(C72&gt;125,C72&lt;=400,C16&gt;6.3,C16&lt;=10,C34=8),30,C177))))))</f>
        <v>*</v>
      </c>
      <c r="D176" s="320"/>
      <c r="E176" s="269"/>
      <c r="F176" s="293"/>
      <c r="G176" s="337"/>
      <c r="H176" s="259"/>
      <c r="I176" s="723"/>
      <c r="J176" s="727"/>
      <c r="K176" s="309"/>
      <c r="L176" s="261"/>
    </row>
    <row r="177" spans="1:12" hidden="1">
      <c r="A177" s="381"/>
      <c r="B177" s="724"/>
      <c r="C177" s="337" t="str">
        <f>IF(AND(C72&gt;400,C72&lt;=800,C16&gt;=1,C16&lt;=3.5,C34=8),22,IF(AND(C72&gt;400,C72&lt;=800,C16&gt;3.5,C16&lt;=6.3,C34=8),25,IF(AND(C72&gt;400,C72&lt;=800,C16&gt;6.3,C16&lt;=10,C34=8),32,IF(AND(C72&gt;800,C72&lt;=1600,C16&gt;=1,C16&lt;=3.5,C34=8),25,IF(AND(C72&gt;800,C72&lt;=1600,C16&gt;3.5,C16&lt;=6.3,C34=8),30,IF(AND(C72&gt;800,C72&lt;=1600,C16&gt;6.3,C16&lt;=10,C34=8),32,"*"))))))</f>
        <v>*</v>
      </c>
      <c r="D177" s="320"/>
      <c r="E177" s="269"/>
      <c r="F177" s="293"/>
      <c r="G177" s="337"/>
      <c r="H177" s="259"/>
      <c r="I177" s="723"/>
      <c r="J177" s="727"/>
      <c r="K177" s="309"/>
      <c r="L177" s="261"/>
    </row>
    <row r="178" spans="1:12" hidden="1">
      <c r="A178" s="249" t="s">
        <v>9059</v>
      </c>
      <c r="B178" s="268" t="s">
        <v>9060</v>
      </c>
      <c r="C178" s="282">
        <f>IF(AND(C72&lt;=125,C16&gt;=1,C16&lt;=3.5,C34=3),3.6,IF(AND(C72&lt;=125,C16&gt;3.5,C16&lt;=6.3,C34=3),4,IF(AND(C72&lt;=125,C16&gt;6.3,C16&lt;=10,C34=3),4.5,IF(AND(C72&gt;125,C72&lt;=400,C16&gt;=1,C16&lt;=3.5,C34=3),4,IF(AND(C72&gt;125,C72&lt;=400,C16&gt;3.5,C16&lt;=6.3,C34=3),4.5,IF(AND(C72&gt;125,C72&lt;=400,C16&gt;6.3,C16&lt;=10,C34=3),5,C179))))))</f>
        <v>14</v>
      </c>
      <c r="D178" s="320"/>
      <c r="E178" s="269"/>
      <c r="F178" s="268" t="s">
        <v>9061</v>
      </c>
      <c r="G178" s="282">
        <f>IF(AND(G16&gt;=1,G16&lt;=3.5,G33=3),3,IF(AND(G16&gt;3.5,G16&lt;=6.3,G33=3),4.5,IF(AND(G16&gt;6.3,G16&lt;=10,G33=3),5,G180)))</f>
        <v>34</v>
      </c>
      <c r="H178" s="259"/>
      <c r="I178" s="723"/>
      <c r="J178" s="727"/>
      <c r="K178" s="309"/>
      <c r="L178" s="261"/>
    </row>
    <row r="179" spans="1:12" hidden="1">
      <c r="A179" s="381"/>
      <c r="B179" s="320"/>
      <c r="C179" s="337">
        <f>IF(AND(C72&gt;400,C72&lt;=800,C16&gt;=1,C16&lt;=3.5,C34=3),4.5,IF(AND(C72&gt;400,C72&lt;=800,C16&gt;3.5,C16&lt;=6.3,C34=3),5,IF(AND(C72&gt;400,C72&lt;=800,C16&gt;6.3,C16&lt;=10,C34=3),5.5,IF(AND(C72&gt;800,C72&lt;=1600,C16&gt;=1,C16&lt;=3.5,C34=3),5.5,IF(AND(C72&gt;800,C72&lt;=1600,C16&gt;3.5,C16&lt;=6.3,C34=3),6,IF(AND(C72&gt;800,C72&lt;=1600,C16&gt;6.3,C16&lt;=10,C34=3),6.5,C180))))))</f>
        <v>14</v>
      </c>
      <c r="D179" s="320"/>
      <c r="E179" s="269"/>
      <c r="F179" s="319"/>
      <c r="G179" s="337"/>
      <c r="H179" s="259"/>
      <c r="I179" s="723"/>
      <c r="J179" s="727"/>
      <c r="K179" s="309"/>
      <c r="L179" s="261"/>
    </row>
    <row r="180" spans="1:12" hidden="1">
      <c r="A180" s="381"/>
      <c r="B180" s="320"/>
      <c r="C180" s="337">
        <f>IF(AND(C72&lt;=125,C16&gt;=1,C16&lt;=3.5,C34=4),4.8,IF(AND(C72&lt;=125,C16&gt;3.5,C16&lt;=6.3,C34=4),5.3,IF(AND(C72&lt;=125,C16&gt;6.3,C16&lt;=10,C34=4),6,IF(AND(C72&gt;125,C72&lt;=400,C16&gt;=1,C16&lt;=3.5,C34=4),5.3,IF(AND(C72&gt;125,C72&lt;=400,C16&gt;3.5,C16&lt;=6.3,C34=4),6,IF(AND(C72&gt;125,C72&lt;=400,C16&gt;6.3,C16&lt;=10,C34=4),6.5,C181))))))</f>
        <v>14</v>
      </c>
      <c r="D180" s="320"/>
      <c r="E180" s="269"/>
      <c r="F180" s="319"/>
      <c r="G180" s="337">
        <f>IF(AND(G16&gt;=1,G16&lt;=3.5,G33=4),5,IF(AND(G16&gt;3.5,G16&lt;=6.3,G33=4),7,IF(AND(G16&gt;6.3,G16&lt;=10,G33=4),8,G182)))</f>
        <v>34</v>
      </c>
      <c r="H180" s="259"/>
      <c r="I180" s="723"/>
      <c r="J180" s="727"/>
      <c r="K180" s="309"/>
      <c r="L180" s="261"/>
    </row>
    <row r="181" spans="1:12" hidden="1">
      <c r="A181" s="320"/>
      <c r="B181" s="320"/>
      <c r="C181" s="337">
        <f>IF(AND(C72&gt;400,C72&lt;=800,C16&gt;=1,C16&lt;=3.5,C34=4),6.5,IF(AND(C72&gt;400,C72&lt;=800,C16&gt;3.5,C16&lt;=6.3,C34=4),7,IF(AND(C72&gt;400,C72&lt;=800,C16&gt;6.3,C16&lt;=10,C34=4),7.5,IF(AND(C72&gt;800,C72&lt;=1600,C16&gt;=1,C16&lt;=3.5,C34=4),8,IF(AND(C72&gt;800,C72&lt;=1600,C16&gt;3.5,C16&lt;=6.3,C34=4),9,IF(AND(C72&gt;800,C72&lt;=1600,C16&gt;6.3,C16&lt;=10,C34=4),9.5,C182))))))</f>
        <v>14</v>
      </c>
      <c r="D181" s="320"/>
      <c r="E181" s="269"/>
      <c r="F181" s="319"/>
      <c r="G181" s="337"/>
      <c r="H181" s="259"/>
      <c r="I181" s="723"/>
      <c r="J181" s="727"/>
      <c r="K181" s="309"/>
      <c r="L181" s="261"/>
    </row>
    <row r="182" spans="1:12" hidden="1">
      <c r="A182" s="320"/>
      <c r="B182" s="320"/>
      <c r="C182" s="337">
        <f>IF(AND(C72&lt;=125,C16&gt;=1,C16&lt;=3.5,C34=5),6,IF(AND(C72&lt;=125,C16&gt;3.5,C16&lt;=6.3,C34=5),7,IF(AND(C72&lt;=125,C16&gt;6.3,C16&lt;=10,C34=5),8,IF(AND(C72&gt;125,C72&lt;=400,C16&gt;=1,C16&lt;=3.5,C34=5),7,IF(AND(C72&gt;125,C72&lt;=400,C16&gt;3.5,C16&lt;=6.3,C34=5),8,IF(AND(C72&gt;125,C72&lt;=400,C16&gt;6.3,C16&lt;=10,C34=5),9,C183))))))</f>
        <v>14</v>
      </c>
      <c r="D182" s="320"/>
      <c r="E182" s="269"/>
      <c r="F182" s="319"/>
      <c r="G182" s="337">
        <f>IF(AND(G16&gt;=1,G16&lt;=3.5,G33=5),7.5,IF(AND(G16&gt;3.5,G16&lt;=6.3,G33=5),10,IF(AND(G16&gt;6.3,G16&lt;=10,G33=5),12,G184)))</f>
        <v>34</v>
      </c>
      <c r="H182" s="259"/>
      <c r="I182" s="723"/>
      <c r="J182" s="727"/>
      <c r="K182" s="309"/>
      <c r="L182" s="261"/>
    </row>
    <row r="183" spans="1:12" hidden="1">
      <c r="A183" s="320"/>
      <c r="B183" s="320"/>
      <c r="C183" s="337">
        <f>IF(AND(C72&gt;400,C72&lt;=800,C16&gt;=1,C16&lt;=3.5,C34=5),9,IF(AND(C72&gt;400,C72&lt;=800,C16&gt;3.5,C16&lt;=6.3,C34=5),10,IF(AND(C72&gt;400,C72&lt;=800,C16&gt;6.3,C16&lt;=11,C34=5),11,IF(AND(C72&gt;800,C72&lt;=1600,C16&gt;=1,C16&lt;=3.5,C34=5),11,IF(AND(C72&gt;800,C72&lt;=1600,C16&gt;3.5,C16&lt;=6.3,C34=5),13,IF(AND(C72&gt;800,C72&lt;=1600,C16&gt;6.3,C16&lt;=10,C34=5),14,C184))))))</f>
        <v>14</v>
      </c>
      <c r="D183" s="320"/>
      <c r="E183" s="269"/>
      <c r="F183" s="319"/>
      <c r="G183" s="337"/>
      <c r="H183" s="259"/>
      <c r="I183" s="723"/>
      <c r="J183" s="727"/>
      <c r="K183" s="309"/>
      <c r="L183" s="261"/>
    </row>
    <row r="184" spans="1:12" hidden="1">
      <c r="A184" s="320"/>
      <c r="B184" s="320"/>
      <c r="C184" s="337">
        <f>IF(AND(C72&lt;=125,C16&gt;=1,C16&lt;=3.5,C34=6),8,IF(AND(C72&lt;=125,C16&gt;3.5,C16&lt;=6.3,C34=6),10,IF(AND(C72&lt;=125,C16&gt;6.3,C16&lt;=10,C34=6),12,IF(AND(C72&gt;125,C72&lt;=400,C16&gt;=1,C16&lt;=3.5,C34=6),9,IF(AND(C72&gt;125,C72&lt;=400,C16&gt;3.5,C16&lt;=6.3,C34=6),10,IF(AND(C72&gt;125,C72&lt;=400,C16&gt;6.3,C16&lt;=10,C34=6),13,C185))))))</f>
        <v>14</v>
      </c>
      <c r="D184" s="320"/>
      <c r="E184" s="269"/>
      <c r="F184" s="319"/>
      <c r="G184" s="337">
        <f>IF(AND(G16&gt;=1,G16&lt;=3.5,G33=6),12,IF(AND(G16&gt;3.5,G16&lt;=6.3,G33=6),17,IF(AND(G16&gt;6.3,G16&lt;=10,G33=6),20,G186)))</f>
        <v>34</v>
      </c>
      <c r="H184" s="259"/>
      <c r="I184" s="723"/>
      <c r="J184" s="727"/>
      <c r="K184" s="309"/>
      <c r="L184" s="261"/>
    </row>
    <row r="185" spans="1:12" hidden="1">
      <c r="A185" s="320"/>
      <c r="B185" s="320"/>
      <c r="C185" s="337">
        <f>IF(AND(C72&gt;400,C72&lt;=800,C16&gt;=1,C16&lt;=3.5,C34=6),12,IF(AND(C72&gt;400,C72&lt;=800,C16&gt;3.5,C16&lt;=6.3,C34=6),14,IF(AND(C72&gt;400,C72&lt;=800,C16&gt;6.3,C16&lt;=10,C34=6),16,IF(AND(C72&gt;800,C72&lt;=1600,C16&gt;=1,C16&lt;=3.5,C34=6),17,IF(AND(C72&gt;800,C72&lt;=1600,C16&gt;3.5,C16&lt;=6.3,C34=6),18,IF(AND(C72&gt;800,C72&lt;=1600,C16&gt;6.3,C16&lt;=10,C34=6),20,C186))))))</f>
        <v>14</v>
      </c>
      <c r="D185" s="320"/>
      <c r="E185" s="269"/>
      <c r="F185" s="319"/>
      <c r="G185" s="337"/>
      <c r="H185" s="259"/>
      <c r="I185" s="723"/>
      <c r="J185" s="727"/>
      <c r="K185" s="309"/>
      <c r="L185" s="261"/>
    </row>
    <row r="186" spans="1:12" hidden="1">
      <c r="A186" s="320"/>
      <c r="B186" s="320"/>
      <c r="C186" s="337">
        <f>IF(AND(C72&lt;=125,C16&gt;=1,C16&lt;=3.5,C34=7),11,IF(AND(C72&lt;=125,C16&gt;3.5,C16&lt;=6.3,C34=7),14,IF(AND(C72&lt;=125,C16&gt;6.3,C16&lt;=10,C34=7),17,IF(AND(C72&gt;125,C72&lt;=400,C16&gt;=1,C16&lt;=3.5,C34=7),13,IF(AND(C72&gt;125,C72&lt;=400,C16&gt;3.5,C16&lt;=6.3,C34=7),16,IF(AND(C72&gt;125,C72&lt;=400,C16&gt;6.3,C16&lt;=10,C34=7),19,C187))))))</f>
        <v>14</v>
      </c>
      <c r="D186" s="320"/>
      <c r="E186" s="269"/>
      <c r="F186" s="319"/>
      <c r="G186" s="337">
        <f>IF(AND(G16&gt;=1,G16&lt;=3.5,G33=7),18,IF(AND(G16&gt;3.5,G16&lt;=6.3,G33=7),24,IF(AND(G16&gt;6.3,G16&lt;=10,G33=7),28,G188)))</f>
        <v>34</v>
      </c>
      <c r="H186" s="259"/>
      <c r="I186" s="723"/>
      <c r="J186" s="727"/>
      <c r="K186" s="309"/>
      <c r="L186" s="261"/>
    </row>
    <row r="187" spans="1:12" hidden="1">
      <c r="A187" s="320"/>
      <c r="B187" s="320"/>
      <c r="C187" s="337" t="str">
        <f>IF(AND(C72&gt;400,C72&lt;=800,C16&gt;=1,C16&lt;=3.5,C34=7),17,IF(AND(C72&gt;400,C72&lt;=800,C16&gt;3.5,C16&lt;=6.3,C34=7),20,IF(AND(C72&gt;400,C72&lt;=800,C16&gt;6.3,C16&lt;=10,C34=7),24,IF(AND(C72&gt;800,C72&lt;=1600,C16&gt;=1,C16&lt;=3.5,C34=7),24,IF(AND(C72&gt;800,C72&lt;=1600,C16&gt;3.5,C16&lt;=6.3,C34=7),28,IF(AND(C72&gt;800,C72&lt;=1600,C16&gt;6.3,C16&lt;=10,C34=7),30,C188))))))</f>
        <v>*</v>
      </c>
      <c r="D187" s="320"/>
      <c r="E187" s="269"/>
      <c r="F187" s="319"/>
      <c r="G187" s="337"/>
      <c r="H187" s="259"/>
      <c r="I187" s="723"/>
      <c r="J187" s="727"/>
      <c r="K187" s="309"/>
      <c r="L187" s="261"/>
    </row>
    <row r="188" spans="1:12" hidden="1">
      <c r="A188" s="320"/>
      <c r="B188" s="320"/>
      <c r="C188" s="337" t="str">
        <f>IF(AND(C72&lt;=125,C16&gt;=1,C16&lt;=3.5,C34=8),14,IF(AND(C72&lt;=125,C16&gt;3.5,C16&lt;=6.3,C34=8),20,IF(AND(C72&lt;=125,C16&gt;6.3,C16&lt;=10,C34=8),22,IF(AND(C72&gt;125,C72&lt;=400,C16&gt;=1,C16&lt;=3.5,C34=8),18,IF(AND(C72&gt;125,C72&lt;=400,C16&gt;3.5,C16&lt;=6.3,C34=8),22,IF(AND(C72&gt;125,C72&lt;=400,C16&gt;6.3,C16&lt;=10,C34=8),28,C189))))))</f>
        <v>*</v>
      </c>
      <c r="D188" s="320"/>
      <c r="E188" s="269"/>
      <c r="F188" s="319"/>
      <c r="G188" s="337">
        <f>IF(AND(G16&gt;=1,G16&lt;=3.5,G33=8),25,IF(AND(G16&gt;3.5,G16&lt;=6.3,G33=8),34,IF(AND(G16&gt;6.3,G16&lt;=10,G33=8),40,"*")))</f>
        <v>34</v>
      </c>
      <c r="H188" s="259"/>
      <c r="I188" s="723"/>
      <c r="J188" s="727"/>
      <c r="K188" s="309"/>
      <c r="L188" s="261"/>
    </row>
    <row r="189" spans="1:12" hidden="1">
      <c r="A189" s="320"/>
      <c r="B189" s="320"/>
      <c r="C189" s="337" t="str">
        <f>IF(AND(C72&gt;400,C72&lt;=800,C16&gt;=1,C16&lt;=3.5,C34=8),25,IF(AND(C72&gt;400,C72&lt;=800,C16&gt;3.5,C16&lt;=6.3,C34=8),28,IF(AND(C72&gt;400,C72&lt;=800,C16&gt;6.3,C16&lt;=10,C34=8),36,IF(AND(C72&gt;800,C72&lt;=1600,C16&gt;=1,C16&lt;=3.5,C34=8),36,IF(AND(C72&gt;800,C72&lt;=1600,C16&gt;3.5,C16&lt;=6.3,C34=8),40,IF(AND(C72&gt;800,C72&lt;=1600,C16&gt;6.3,C16&lt;=10,C34=8),45,"*"))))))</f>
        <v>*</v>
      </c>
      <c r="D189" s="320"/>
      <c r="E189" s="269"/>
      <c r="F189" s="319"/>
      <c r="G189" s="337"/>
      <c r="H189" s="259"/>
      <c r="I189" s="723"/>
      <c r="J189" s="727"/>
      <c r="K189" s="309"/>
      <c r="L189" s="261"/>
    </row>
    <row r="190" spans="1:12" hidden="1">
      <c r="A190" s="249" t="s">
        <v>9062</v>
      </c>
      <c r="B190" s="279" t="s">
        <v>9063</v>
      </c>
      <c r="C190" s="282">
        <f>IF(AND(C19&lt;=40,C35=3),4.5,IF(AND(C19&gt;40,C19&lt;=100,C35=3),6,IF(AND(C19&gt;100,C19&lt;=160,C35=3),8,IF(AND(C19&gt;160,C19&lt;=250,C35=3),10,C191))))</f>
        <v>11</v>
      </c>
      <c r="D190" s="320"/>
      <c r="E190" s="269"/>
      <c r="F190" s="279"/>
      <c r="G190" s="337"/>
      <c r="H190" s="259"/>
      <c r="I190" s="723"/>
      <c r="J190" s="727"/>
      <c r="K190" s="309"/>
      <c r="L190" s="261"/>
    </row>
    <row r="191" spans="1:12" hidden="1">
      <c r="A191" s="320"/>
      <c r="B191" s="320"/>
      <c r="C191" s="337">
        <f>IF(AND(C19&lt;=40,C35=4),5.5,IF(AND(C19&gt;40,C19&lt;=100,C35=4),8,IF(AND(C19&gt;100,C19&lt;=160,C35=4),10,IF(AND(C19&gt;160,C19&lt;=250,C35=4),12,C192))))</f>
        <v>11</v>
      </c>
      <c r="D191" s="320"/>
      <c r="E191" s="269"/>
      <c r="F191" s="319"/>
      <c r="G191" s="337"/>
      <c r="H191" s="259"/>
      <c r="I191" s="723"/>
      <c r="J191" s="727"/>
      <c r="K191" s="309"/>
      <c r="L191" s="261"/>
    </row>
    <row r="192" spans="1:12" hidden="1">
      <c r="A192" s="320"/>
      <c r="B192" s="320"/>
      <c r="C192" s="337">
        <f>IF(AND(C19&lt;=40,C35=5),7,IF(AND(C19&gt;40,C19&lt;=100,C35=5),10,IF(AND(C19&gt;100,C19&lt;=160,C35=5),12,IF(AND(C19&gt;160,C19&lt;=250,C35=5),16,C193))))</f>
        <v>11</v>
      </c>
      <c r="D192" s="320"/>
      <c r="E192" s="269"/>
      <c r="F192" s="319"/>
      <c r="G192" s="337"/>
      <c r="H192" s="259"/>
      <c r="I192" s="723"/>
      <c r="J192" s="727"/>
      <c r="K192" s="309"/>
      <c r="L192" s="261"/>
    </row>
    <row r="193" spans="1:12" hidden="1">
      <c r="A193" s="320"/>
      <c r="B193" s="320"/>
      <c r="C193" s="337">
        <f>IF(AND(C19&lt;=40,C35=6),9,IF(AND(C19&gt;40,C19&lt;=100,C35=6),12,IF(AND(C19&gt;100,C19&lt;=160,C35=6),16,IF(AND(C19&gt;160,C19&lt;=250,C35=6),19,C194))))</f>
        <v>11</v>
      </c>
      <c r="D193" s="320"/>
      <c r="E193" s="269"/>
      <c r="F193" s="319"/>
      <c r="G193" s="337"/>
      <c r="H193" s="259"/>
      <c r="I193" s="723"/>
      <c r="J193" s="727"/>
      <c r="K193" s="309"/>
      <c r="L193" s="261"/>
    </row>
    <row r="194" spans="1:12" hidden="1">
      <c r="A194" s="320"/>
      <c r="B194" s="320"/>
      <c r="C194" s="337">
        <f>IF(AND(C19&lt;=40,C35=7),11,IF(AND(C19&gt;40,C19&lt;=100,C35=7),16,IF(AND(C19&gt;100,C19&lt;=160,C35=7),20,IF(AND(C19&gt;160,C19&lt;=250,C35=7),24,C195))))</f>
        <v>11</v>
      </c>
      <c r="D194" s="320"/>
      <c r="E194" s="269"/>
      <c r="F194" s="319"/>
      <c r="G194" s="337"/>
      <c r="H194" s="259"/>
      <c r="I194" s="723"/>
      <c r="J194" s="727"/>
      <c r="K194" s="309"/>
      <c r="L194" s="261"/>
    </row>
    <row r="195" spans="1:12" hidden="1">
      <c r="A195" s="320"/>
      <c r="B195" s="320"/>
      <c r="C195" s="337" t="str">
        <f>IF(AND(C19&lt;=40,C35=8),18,IF(AND(C19&gt;40,C19&lt;=100,C35=8),25,IF(AND(C19&gt;100,C19&lt;=160,C35=8),32,IF(AND(C19&gt;160,C19&lt;=250,C35=8),38,"*"))))</f>
        <v>*</v>
      </c>
      <c r="D195" s="320"/>
      <c r="E195" s="269"/>
      <c r="F195" s="319"/>
      <c r="G195" s="337"/>
      <c r="H195" s="259"/>
      <c r="I195" s="723"/>
      <c r="J195" s="727"/>
      <c r="K195" s="309"/>
      <c r="L195" s="261"/>
    </row>
    <row r="196" spans="1:12" hidden="1">
      <c r="A196" s="282" t="s">
        <v>9064</v>
      </c>
      <c r="B196" s="281" t="s">
        <v>9065</v>
      </c>
      <c r="C196" s="282">
        <f>IF(C35=3,65,IF(C35=4,60,IF(C35=5,55,IF(C35=6,50,IF(C35=7,45,IF(C35=8,30,"*"))))))</f>
        <v>45</v>
      </c>
      <c r="D196" s="337"/>
      <c r="E196" s="269"/>
      <c r="F196" s="319"/>
      <c r="G196" s="337"/>
      <c r="H196" s="259"/>
      <c r="I196" s="723"/>
      <c r="J196" s="727"/>
      <c r="K196" s="309"/>
      <c r="L196" s="261"/>
    </row>
    <row r="197" spans="1:12" hidden="1">
      <c r="A197" s="282"/>
      <c r="B197" s="281" t="s">
        <v>9066</v>
      </c>
      <c r="C197" s="282">
        <f>IF(C35=3,95,IF(C35=4,90,IF(C35=5,80,IF(C35=6,70,IF(C35=7,60,IF(C35=8,40,"*"))))))</f>
        <v>60</v>
      </c>
      <c r="D197" s="320"/>
      <c r="E197" s="269"/>
      <c r="F197" s="319"/>
      <c r="G197" s="337"/>
      <c r="H197" s="259"/>
      <c r="I197" s="723"/>
      <c r="J197" s="727"/>
      <c r="K197" s="309"/>
      <c r="L197" s="261"/>
    </row>
    <row r="198" spans="1:12" hidden="1">
      <c r="A198" s="259" t="s">
        <v>9067</v>
      </c>
      <c r="B198" s="268" t="s">
        <v>9068</v>
      </c>
      <c r="C198" s="282">
        <f>ROUND(C132+C178,0)</f>
        <v>77</v>
      </c>
      <c r="D198" s="320"/>
      <c r="E198" s="269"/>
      <c r="F198" s="268" t="s">
        <v>9069</v>
      </c>
      <c r="G198" s="282" t="e">
        <f>ROUND(G132+G178,0)</f>
        <v>#VALUE!</v>
      </c>
      <c r="H198" s="259"/>
      <c r="I198" s="723"/>
      <c r="J198" s="720"/>
      <c r="K198" s="259"/>
      <c r="L198" s="261"/>
    </row>
    <row r="199" spans="1:12" hidden="1">
      <c r="A199" s="432" t="s">
        <v>9070</v>
      </c>
      <c r="B199" s="268" t="s">
        <v>9071</v>
      </c>
      <c r="C199" s="282">
        <f>ROUND(0.6*(C154+C178),0)</f>
        <v>19</v>
      </c>
      <c r="D199" s="320"/>
      <c r="E199" s="269"/>
      <c r="F199" s="268" t="s">
        <v>9072</v>
      </c>
      <c r="G199" s="282">
        <f>IF(AND(G16&gt;=1,G16&lt;=3.5,G33=3),5.5,IF(AND(G16&gt;3.5,G16&lt;=6.3,G33=3),8,IF(AND(G16&gt;6.3,G16&lt;=10,G33=3),9,H199)))</f>
        <v>63</v>
      </c>
      <c r="H199" s="337">
        <f>IF(AND(G16&gt;=1,G16&lt;=3.5,G33=4),9,IF(AND(G16&gt;3.5,G16&lt;=6.3,G33=4),12,IF(AND(G16&gt;6.3,G16&lt;=10,G33=4),14,I199)))</f>
        <v>63</v>
      </c>
      <c r="I199" s="726">
        <f>IF(AND(G16&gt;=1,G16&lt;=3.5,G33=5),14,IF(AND(G16&gt;3.5,G16&lt;=6.3,G33=5),19,IF(AND(G16&gt;6.3,G16&lt;=10,G33=5),22,J199)))</f>
        <v>63</v>
      </c>
      <c r="J199" s="337">
        <f>IF(AND(G16&gt;=1,G16&lt;=3.5,G33=6),22,IF(AND(G16&gt;3.5,G16&lt;=6.3,G33=6),30,IF(AND(G16&gt;6.3,G16&lt;=10,G33=6),36,K199)))</f>
        <v>63</v>
      </c>
      <c r="K199" s="337">
        <f>IF(AND(G16&gt;=1,G16&lt;=3.5,G33=7),32,IF(AND(G16&gt;3.5,G16&lt;=6.3,G33=7),45,IF(AND(G16&gt;6.3,G16&lt;=10,G33=7),50,L199)))</f>
        <v>63</v>
      </c>
      <c r="L199" s="291">
        <f>IF(AND(G16&gt;=1,G16&lt;=3.5,G33=8),45,IF(AND(G16&gt;3.5,G16&lt;=6.3,G33=8),63,IF(AND(G16&gt;6.3,G16&lt;=10,G33=8),70,"*")))</f>
        <v>63</v>
      </c>
    </row>
    <row r="200" spans="1:12" hidden="1">
      <c r="A200" s="259" t="s">
        <v>9073</v>
      </c>
      <c r="B200" s="268" t="s">
        <v>9074</v>
      </c>
      <c r="C200" s="282">
        <f>IF(C45&lt;&gt;"",C45,D203/1000)</f>
        <v>-0.1</v>
      </c>
      <c r="D200" s="320"/>
      <c r="E200" s="269"/>
      <c r="F200" s="268" t="s">
        <v>9075</v>
      </c>
      <c r="G200" s="282">
        <f>IF(C47&lt;&gt;"",C47,D205/1000)</f>
        <v>-0.15</v>
      </c>
      <c r="H200" s="259"/>
      <c r="I200" s="293"/>
      <c r="J200" s="720"/>
      <c r="K200" s="259"/>
      <c r="L200" s="261"/>
    </row>
    <row r="201" spans="1:12" hidden="1">
      <c r="A201" s="259" t="s">
        <v>9076</v>
      </c>
      <c r="B201" s="268" t="s">
        <v>9077</v>
      </c>
      <c r="C201" s="282">
        <f>IF(C46&lt;&gt;"",C46,D204/1000)</f>
        <v>-0.2</v>
      </c>
      <c r="D201" s="320"/>
      <c r="E201" s="269"/>
      <c r="F201" s="268" t="s">
        <v>9078</v>
      </c>
      <c r="G201" s="282">
        <f>IF(C48&lt;&gt;"",C48,D206/1000)</f>
        <v>-0.25</v>
      </c>
      <c r="H201" s="259"/>
      <c r="I201" s="293"/>
      <c r="J201" s="720"/>
      <c r="K201" s="259"/>
      <c r="L201" s="261"/>
    </row>
    <row r="202" spans="1:12" hidden="1">
      <c r="A202" s="279" t="s">
        <v>9079</v>
      </c>
      <c r="B202" s="268" t="s">
        <v>9080</v>
      </c>
      <c r="C202" s="282">
        <f>ABS(C200-C201)</f>
        <v>0.1</v>
      </c>
      <c r="D202" s="320"/>
      <c r="E202" s="269"/>
      <c r="F202" s="268" t="s">
        <v>9081</v>
      </c>
      <c r="G202" s="282">
        <f>ABS(G200-G201)</f>
        <v>0.1</v>
      </c>
      <c r="H202" s="259"/>
      <c r="I202" s="293"/>
      <c r="J202" s="720"/>
      <c r="K202" s="259"/>
      <c r="L202" s="261"/>
    </row>
    <row r="203" spans="1:12" hidden="1">
      <c r="A203" s="264"/>
      <c r="B203" s="268" t="s">
        <v>8884</v>
      </c>
      <c r="C203" s="282" t="e">
        <f>ABS(D203+D205)</f>
        <v>#VALUE!</v>
      </c>
      <c r="D203" s="337" t="str">
        <f>IF(F203="C",C154,IF(F203="D",0,IF(F203="E",-2*C154,IF(F203="F",-4*C154,IF(F203="G",-6*C154,IF(F203="H",-8*C154,IF(F203="J",-10*C154,E203)))))))</f>
        <v>*</v>
      </c>
      <c r="E203" s="337" t="str">
        <f>IF(F203="K",-12*C154,IF(F203="L",-16*C154,IF(F203="M",-20*C154,IF(F203="N",-25*C154,IF(F203="P",-32*C154,IF(F203="R",-40*C154,IF(F203="S",-50*C154,"*")))))))</f>
        <v>*</v>
      </c>
      <c r="F203" s="403">
        <f t="shared" ref="F203:F206" si="3">C37</f>
        <v>0</v>
      </c>
      <c r="G203" s="264"/>
      <c r="H203" s="259"/>
      <c r="I203" s="293"/>
      <c r="J203" s="720"/>
      <c r="K203" s="259"/>
      <c r="L203" s="261"/>
    </row>
    <row r="204" spans="1:12" hidden="1">
      <c r="A204" s="264"/>
      <c r="B204" s="268" t="s">
        <v>8886</v>
      </c>
      <c r="C204" s="282" t="e">
        <f>ABS(D204+D206)</f>
        <v>#VALUE!</v>
      </c>
      <c r="D204" s="337" t="str">
        <f>IF(F204="C",C154,IF(F204="D",0,IF(F204="E",-2*C154,IF(F204="F",-4*C154,IF(F204="G",-6*C154,IF(F204="H",-8*C154,IF(F204="J",-10*C154,E204)))))))</f>
        <v>*</v>
      </c>
      <c r="E204" s="337" t="str">
        <f>IF(F204="K",-12*C154,IF(F204="L",-16*C154,IF(F204="M",-20*C154,IF(F204="N",-25*C154,IF(F204="P",-32*C154,IF(F204="R",-40*C154,IF(F204="S",-50*C154,"*")))))))</f>
        <v>*</v>
      </c>
      <c r="F204" s="403">
        <f t="shared" si="3"/>
        <v>0</v>
      </c>
      <c r="G204" s="264"/>
      <c r="H204" s="259"/>
      <c r="I204" s="293"/>
      <c r="J204" s="720"/>
      <c r="K204" s="259"/>
      <c r="L204" s="261"/>
    </row>
    <row r="205" spans="1:12" hidden="1">
      <c r="A205" s="264"/>
      <c r="B205" s="268"/>
      <c r="C205" s="282"/>
      <c r="D205" s="337" t="str">
        <f>IF(F205="C",G154,IF(F205="D",0,IF(F205="E",-2*G154,IF(F205="F",-4*G154,IF(F205="G",-6*G154,IF(F205="H",-8*G154,IF(F205="J",-10*G154,E205)))))))</f>
        <v>*</v>
      </c>
      <c r="E205" s="337" t="str">
        <f>IF(F205="K",-12*G154,IF(F205="L",-16*G154,IF(F205="M",-20*G154,IF(F205="N",-25*G154,IF(F205="P",-32*G154,IF(F205="R",-40*G154,IF(F205="S",-50*G154,"*")))))))</f>
        <v>*</v>
      </c>
      <c r="F205" s="403">
        <f t="shared" si="3"/>
        <v>0</v>
      </c>
      <c r="G205" s="264"/>
      <c r="H205" s="259"/>
      <c r="I205" s="293"/>
      <c r="J205" s="720"/>
      <c r="K205" s="259"/>
      <c r="L205" s="261"/>
    </row>
    <row r="206" spans="1:12" hidden="1">
      <c r="A206" s="728"/>
      <c r="B206" s="268"/>
      <c r="C206" s="282"/>
      <c r="D206" s="337" t="str">
        <f>IF(F206="C",G154,IF(F206="D",0,IF(F206="E",-2*G154,IF(F206="F",-4*G154,IF(F206="G",-6*G154,IF(F206="H",-8*G154,IF(F206="J",-10*G154,E206)))))))</f>
        <v>*</v>
      </c>
      <c r="E206" s="337" t="str">
        <f>IF(F206="K",-12*G154,IF(F206="L",-16*G154,IF(F206="M",-20*G154,IF(F206="N",-25*G154,IF(F206="P",-32*G154,IF(F206="R",-40*G154,IF(F206="S",-50*G154,"*")))))))</f>
        <v>*</v>
      </c>
      <c r="F206" s="403">
        <f t="shared" si="3"/>
        <v>0</v>
      </c>
      <c r="G206" s="264"/>
      <c r="H206" s="259"/>
      <c r="I206" s="293"/>
      <c r="J206" s="720"/>
      <c r="K206" s="259"/>
      <c r="L206" s="261"/>
    </row>
    <row r="207" spans="1:12" hidden="1">
      <c r="A207" s="375" t="s">
        <v>9082</v>
      </c>
      <c r="B207" s="268"/>
      <c r="C207" s="282"/>
      <c r="D207" s="337"/>
      <c r="E207" s="337"/>
      <c r="F207" s="403"/>
      <c r="G207" s="264"/>
      <c r="H207" s="259"/>
      <c r="I207" s="293"/>
      <c r="J207" s="720"/>
      <c r="K207" s="259"/>
      <c r="L207" s="261"/>
    </row>
    <row r="208" spans="1:12" hidden="1">
      <c r="A208" s="342"/>
      <c r="B208" s="268" t="s">
        <v>9083</v>
      </c>
      <c r="C208" s="282">
        <f>ROUND(C200*COS(C63)-0.72*C138/1000*SIN(C63),3)</f>
        <v>-0.106</v>
      </c>
      <c r="D208" s="337"/>
      <c r="E208" s="337"/>
      <c r="F208" s="403"/>
      <c r="G208" s="282"/>
      <c r="H208" s="259"/>
      <c r="I208" s="293"/>
      <c r="J208" s="720"/>
      <c r="K208" s="259"/>
      <c r="L208" s="261"/>
    </row>
    <row r="209" spans="1:12" hidden="1">
      <c r="A209" s="352"/>
      <c r="B209" s="268" t="s">
        <v>9084</v>
      </c>
      <c r="C209" s="282">
        <f>ROUND(C201*COS(C63)+0.72*C138/1000*SIN(C63),3)</f>
        <v>-0.17599999999999999</v>
      </c>
      <c r="D209" s="337"/>
      <c r="E209" s="337"/>
      <c r="F209" s="403"/>
      <c r="G209" s="282"/>
      <c r="H209" s="259"/>
      <c r="I209" s="293"/>
      <c r="J209" s="720"/>
      <c r="K209" s="259"/>
      <c r="L209" s="261"/>
    </row>
    <row r="210" spans="1:12" hidden="1">
      <c r="A210" s="352"/>
      <c r="B210" s="268" t="s">
        <v>9085</v>
      </c>
      <c r="C210" s="282">
        <f>C208-C209</f>
        <v>7.0000000000000007E-2</v>
      </c>
      <c r="D210" s="337"/>
      <c r="E210" s="337"/>
      <c r="F210" s="403"/>
      <c r="G210" s="282"/>
      <c r="H210" s="259"/>
      <c r="I210" s="293"/>
      <c r="J210" s="720"/>
      <c r="K210" s="259"/>
      <c r="L210" s="261"/>
    </row>
    <row r="211" spans="1:12" hidden="1">
      <c r="A211" s="375" t="s">
        <v>9086</v>
      </c>
      <c r="B211" s="268"/>
      <c r="C211" s="282"/>
      <c r="D211" s="337"/>
      <c r="E211" s="337"/>
      <c r="F211" s="403"/>
      <c r="G211" s="282"/>
      <c r="H211" s="259"/>
      <c r="I211" s="293"/>
      <c r="J211" s="720"/>
      <c r="K211" s="259"/>
      <c r="L211" s="261"/>
    </row>
    <row r="212" spans="1:12" hidden="1">
      <c r="A212" s="342"/>
      <c r="B212" s="268" t="s">
        <v>9087</v>
      </c>
      <c r="C212" s="282">
        <f>IF(ODD((C15)-C15)=0,D212,E212)</f>
        <v>-0.20899999999999999</v>
      </c>
      <c r="D212" s="337">
        <f>ROUND(C208/(SIN(C106)*COS(C69)),3)</f>
        <v>-0.21</v>
      </c>
      <c r="E212" s="337">
        <f>ROUND(C208/(SIN(C106)*COS(C69))*COS(PI()/(2*C15)),3)</f>
        <v>-0.20899999999999999</v>
      </c>
      <c r="F212" s="403"/>
      <c r="G212" s="282">
        <f>ROUND(G54/2+G54/2*SIN(C63)+(G54*COS(C63)-(PI()*C16-(G101+G200)))/(2*TAN(C63))+G73-G109,3)</f>
        <v>-0.20599999999999999</v>
      </c>
      <c r="H212" s="337"/>
      <c r="I212" s="340"/>
      <c r="J212" s="740"/>
      <c r="K212" s="259"/>
      <c r="L212" s="261"/>
    </row>
    <row r="213" spans="1:12" hidden="1">
      <c r="A213" s="352"/>
      <c r="B213" s="268" t="s">
        <v>9088</v>
      </c>
      <c r="C213" s="282">
        <f>IF(ODD((C15)-C15)=0,D213,E213)</f>
        <v>-0.34799999999999998</v>
      </c>
      <c r="D213" s="337">
        <f>ROUND(C209/(SIN(C106)*COS(C69)),3)</f>
        <v>-0.34899999999999998</v>
      </c>
      <c r="E213" s="337">
        <f>ROUND(C209/(SIN(C106)*COS(C69))*COS(PI()/(2*C15)),3)</f>
        <v>-0.34799999999999998</v>
      </c>
      <c r="F213" s="403"/>
      <c r="G213" s="282">
        <f>ROUND(G54/2+G54/2*SIN(C63)+(G54*COS(C63)-(PI()*C16-(G101+G201)))/(2*TAN(C63))+G73-G109,3)</f>
        <v>-0.34300000000000003</v>
      </c>
      <c r="H213" s="337"/>
      <c r="I213" s="340"/>
      <c r="J213" s="720"/>
      <c r="K213" s="259"/>
      <c r="L213" s="261"/>
    </row>
    <row r="214" spans="1:12" hidden="1">
      <c r="A214" s="352"/>
      <c r="B214" s="268" t="s">
        <v>9089</v>
      </c>
      <c r="C214" s="282">
        <f>C212-C213</f>
        <v>0.13900000000000001</v>
      </c>
      <c r="D214" s="337"/>
      <c r="E214" s="337"/>
      <c r="F214" s="403"/>
      <c r="G214" s="282"/>
      <c r="H214" s="259"/>
      <c r="I214" s="293"/>
      <c r="J214" s="720"/>
      <c r="K214" s="259"/>
      <c r="L214" s="261"/>
    </row>
    <row r="215" spans="1:12" hidden="1">
      <c r="A215" s="729" t="s">
        <v>9090</v>
      </c>
      <c r="B215" s="268" t="s">
        <v>9091</v>
      </c>
      <c r="C215" s="282">
        <f>C190</f>
        <v>11</v>
      </c>
      <c r="D215" s="337"/>
      <c r="E215" s="337"/>
      <c r="F215" s="268"/>
      <c r="G215" s="264"/>
      <c r="H215" s="259"/>
      <c r="I215" s="293"/>
      <c r="J215" s="720"/>
      <c r="K215" s="259"/>
      <c r="L215" s="261"/>
    </row>
    <row r="216" spans="1:12" hidden="1">
      <c r="A216" s="730" t="s">
        <v>9092</v>
      </c>
      <c r="B216" s="268" t="s">
        <v>9093</v>
      </c>
      <c r="C216" s="282">
        <f>C190/2</f>
        <v>5.5</v>
      </c>
      <c r="D216" s="337"/>
      <c r="E216" s="337"/>
      <c r="F216" s="268"/>
      <c r="G216" s="264"/>
      <c r="H216" s="259"/>
      <c r="I216" s="293"/>
      <c r="J216" s="720"/>
      <c r="K216" s="259"/>
      <c r="L216" s="261"/>
    </row>
    <row r="217" spans="1:12" hidden="1">
      <c r="A217" s="249" t="s">
        <v>9094</v>
      </c>
      <c r="B217" s="293" t="s">
        <v>9095</v>
      </c>
      <c r="C217" s="282">
        <f>IF(AND(C82&gt;18,C82&lt;=30,C34&lt;=4),6.5,IF(AND(C82&gt;18,C82&lt;=30,C34&lt;=6),10.5,IF(AND(C82&gt;18,C82&lt;=30,C34&lt;=8),16.5,IF(AND(C82&gt;30,C82&lt;=50,C34&lt;=4),8,IF(AND(C82&gt;30,C82&lt;=50,C34&lt;=6),12.5,IF(AND(C82&gt;30,C82&lt;=50,C34&lt;=8),19.5,D217))))))</f>
        <v>27</v>
      </c>
      <c r="D217" s="337">
        <f>IF(AND(C82&gt;50,C82&lt;=80,C34&lt;=4),9.5,IF(AND(C82&gt;50,C82&lt;=80,C34&lt;=6),15,IF(AND(C82&gt;50,C82&lt;=80,C34&lt;=8),23,IF(AND(C82&gt;80,C82&lt;=120,C34&lt;=4),11,IF(AND(C82&gt;80,C82&lt;=120,C34&lt;=6),17.5,IF(AND(C82&gt;80,C82&lt;=120,C34&lt;=8),27,E217))))))</f>
        <v>27</v>
      </c>
      <c r="E217" s="337" t="str">
        <f>IF(AND(C82&gt;120,C82&lt;=180,C34&lt;=4),12.5,IF(AND(C82&gt;120,C82&lt;=180,C34&lt;=6),20,IF(AND(C82&gt;120,C82&lt;=180,C34&lt;=8),31.5,IF(AND(C82&gt;180,C82&lt;=250,C34&lt;=4),14.5,IF(AND(C82&gt;180,C82&lt;=250,C34&lt;=6),23,IF(AND(C82&gt;180,C82&lt;=250,C34&lt;=8),36,F217))))))</f>
        <v>*</v>
      </c>
      <c r="F217" s="337" t="str">
        <f>IF(AND(C82&gt;250,C82&lt;=315,C34&lt;=4),16,IF(AND(C82&gt;250,C82&lt;=315,C34&lt;=6),26,IF(AND(C82&gt;250,C82&lt;=315,C34&lt;=8),40.5,IF(AND(C82&gt;315,C82&lt;=400,C34&lt;=4),18,IF(AND(C82&gt;315,C82&lt;=400,C34&lt;=6),28.5,IF(AND(C82&gt;315,C82&lt;=400,C34&lt;=8),44.5,"*"))))))</f>
        <v>*</v>
      </c>
      <c r="G217" s="337"/>
      <c r="H217" s="337"/>
      <c r="I217" s="293"/>
      <c r="J217" s="720"/>
      <c r="K217" s="259"/>
      <c r="L217" s="261"/>
    </row>
    <row r="218" spans="1:12" hidden="1">
      <c r="A218" s="731" t="s">
        <v>9096</v>
      </c>
      <c r="B218" s="268"/>
      <c r="C218" s="282">
        <f>IF(AND(C33&lt;=C34,C33&lt;=C35),C33,IF(C34&lt;=C35,C34,C35))</f>
        <v>7</v>
      </c>
      <c r="D218" s="337"/>
      <c r="E218" s="337"/>
      <c r="F218" s="403"/>
      <c r="G218" s="337">
        <f>C218</f>
        <v>7</v>
      </c>
      <c r="H218" s="337"/>
      <c r="I218" s="293"/>
      <c r="J218" s="720"/>
      <c r="K218" s="259"/>
      <c r="L218" s="261"/>
    </row>
    <row r="219" spans="1:12" hidden="1">
      <c r="A219" s="320" t="s">
        <v>9097</v>
      </c>
      <c r="B219" s="268"/>
      <c r="C219" s="282"/>
      <c r="D219" s="337"/>
      <c r="E219" s="337"/>
      <c r="F219" s="268"/>
      <c r="G219" s="264"/>
      <c r="H219" s="259"/>
      <c r="I219" s="293"/>
      <c r="J219" s="720"/>
      <c r="K219" s="259"/>
      <c r="L219" s="261"/>
    </row>
    <row r="220" spans="1:12" hidden="1">
      <c r="A220" s="282" t="s">
        <v>9098</v>
      </c>
      <c r="B220" s="292"/>
      <c r="C220" s="282" t="str">
        <f>IF(C218=3,"IT4",IF(C218=4,"IT4",IF(C218=5,"IT5",IF(C218=6,"IT6",IF(C218=7,"IT7",IF(C218=8,"IT7",))))))</f>
        <v>IT7</v>
      </c>
      <c r="D220" s="337"/>
      <c r="E220" s="337"/>
      <c r="F220" s="268"/>
      <c r="G220" s="264"/>
      <c r="H220" s="259"/>
      <c r="I220" s="293"/>
      <c r="J220" s="720"/>
      <c r="K220" s="259"/>
      <c r="L220" s="261"/>
    </row>
    <row r="221" spans="1:12" hidden="1">
      <c r="A221" s="282" t="s">
        <v>9099</v>
      </c>
      <c r="B221" s="433"/>
      <c r="C221" s="282" t="str">
        <f>IF(C218=3,"IT4",IF(C218=4,"IT4",IF(C218=5,"IT5",IF(C218=6,"IT5",IF(C218=7,"IT6",IF(C218=8,"IT7"))))))</f>
        <v>IT6</v>
      </c>
      <c r="D221" s="337"/>
      <c r="E221" s="337"/>
      <c r="F221" s="268"/>
      <c r="G221" s="264"/>
      <c r="H221" s="259"/>
      <c r="I221" s="293"/>
      <c r="J221" s="720"/>
      <c r="K221" s="259"/>
      <c r="L221" s="261"/>
    </row>
    <row r="222" spans="1:12" hidden="1">
      <c r="A222" s="282" t="s">
        <v>9100</v>
      </c>
      <c r="B222" s="433"/>
      <c r="C222" s="282" t="str">
        <f>IF(C218&lt;=5,"IT7",IF(C218&gt;5,"IT8"))</f>
        <v>IT8</v>
      </c>
      <c r="D222" s="337"/>
      <c r="E222" s="433" t="s">
        <v>9101</v>
      </c>
      <c r="F222" s="268">
        <f>0.1*C16</f>
        <v>0.5</v>
      </c>
      <c r="G222" s="264"/>
      <c r="H222" s="259"/>
      <c r="I222" s="293"/>
      <c r="J222" s="720"/>
      <c r="K222" s="259"/>
      <c r="L222" s="261"/>
    </row>
    <row r="223" spans="1:12" hidden="1">
      <c r="A223" s="730" t="s">
        <v>9102</v>
      </c>
      <c r="B223" s="268"/>
      <c r="C223" s="282">
        <f>IF(AND(C72&lt;=125,OR(C218=3,C218=4)),7,IF(AND(C72&lt;=125,OR(C218=5,C218=6)),11,IF(AND(C72&lt;=125,OR(C218=7,C218=8)),18,IF(AND(C72&gt;125,C72&lt;=400,OR(C218=3,C218=4)),9,IF(AND(C72&gt;125,C72&lt;=400,OR(C218=5,C218=6)),14,IF(AND(C72&gt;125,C72&lt;=400,OR(C218=7,C218=8)),22,D223))))))</f>
        <v>18</v>
      </c>
      <c r="D223" s="337" t="str">
        <f>IF(AND(C72&gt;400,C72&lt;=800,OR(C218=3,C218=4)),12,IF(AND(C72&gt;400,C72&lt;=800,OR(C218=5,C218=6)),20,IF(AND(C72&gt;400,C72&lt;=800,OR(C218=7,C218=8)),32,IF(AND(C72&gt;800,C72&lt;=1600,OR(C218=3,C218=4)),18,IF(AND(C72&gt;800,C72&lt;=1600,OR(C218=5,C218=6)),28,IF(AND(C72&gt;800,C72&lt;=1600,OR(C218=7,C218=8)),45,"*"))))))</f>
        <v>*</v>
      </c>
      <c r="E223" s="337"/>
      <c r="F223" s="268"/>
      <c r="G223" s="282">
        <f>IF(AND(G72&lt;=125,OR(G218=3,G218=4)),7,IF(AND(G72&lt;=125,OR(G218=5,G218=6)),11,IF(AND(G72&lt;=125,OR(G218=7,G218=8)),18,IF(AND(G72&gt;125,G72&lt;=400,OR(G218=3,G218=4)),9,IF(AND(G72&gt;125,G72&lt;=400,OR(G218=5,G218=6)),14,IF(AND(G72&gt;125,G72&lt;=400,OR(G218=7,G218=8)),22,H223))))))</f>
        <v>18</v>
      </c>
      <c r="H223" s="337" t="str">
        <f>IF(AND(G72&gt;400,G72&lt;=800,OR(G218=3,G218=4)),12,IF(AND(G72&gt;400,G72&lt;=800,OR(G218=5,G218=6)),20,IF(AND(G72&gt;400,G72&lt;=800,OR(G218=7,G218=8)),32,IF(AND(G72&gt;800,G72&lt;=1600,OR(G218=3,G218=4)),18,IF(AND(G72&gt;800,G72&lt;=1600,OR(G218=5,G218=6)),28,IF(AND(G72&gt;800,G72&lt;=1600,OR(G218=7,G218=8)),45,"*"))))))</f>
        <v>*</v>
      </c>
      <c r="I223" s="293"/>
      <c r="J223" s="720"/>
      <c r="K223" s="259"/>
      <c r="L223" s="261"/>
    </row>
    <row r="224" spans="1:12" hidden="1">
      <c r="A224" s="352"/>
      <c r="B224" s="320"/>
      <c r="C224" s="282"/>
      <c r="D224" s="320"/>
      <c r="E224" s="282"/>
      <c r="F224" s="400"/>
      <c r="G224" s="282"/>
      <c r="H224" s="259"/>
      <c r="I224" s="293"/>
      <c r="J224" s="720"/>
      <c r="K224" s="259"/>
      <c r="L224" s="261"/>
    </row>
    <row r="225" spans="1:12">
      <c r="A225" s="409"/>
      <c r="B225" s="410"/>
      <c r="C225" s="411"/>
      <c r="D225" s="412"/>
      <c r="E225" s="411"/>
      <c r="F225" s="413"/>
      <c r="G225" s="411"/>
      <c r="H225" s="413"/>
      <c r="I225" s="282"/>
      <c r="J225" s="337"/>
      <c r="K225" s="259"/>
      <c r="L225" s="261"/>
    </row>
    <row r="226" spans="1:12">
      <c r="A226" s="414" t="s">
        <v>9103</v>
      </c>
      <c r="B226" s="415"/>
      <c r="C226" s="416"/>
      <c r="D226" s="417"/>
      <c r="E226" s="417"/>
      <c r="F226" s="417"/>
      <c r="G226" s="416"/>
      <c r="H226" s="418"/>
      <c r="I226" s="282"/>
      <c r="J226" s="337"/>
      <c r="K226" s="337"/>
      <c r="L226" s="261"/>
    </row>
    <row r="227" spans="1:12" ht="22.15" customHeight="1">
      <c r="A227" s="732"/>
      <c r="B227" s="656" t="s">
        <v>9104</v>
      </c>
      <c r="C227" s="733"/>
      <c r="D227" s="261"/>
      <c r="E227" s="261"/>
      <c r="F227" s="261"/>
      <c r="G227" s="234" t="str">
        <f>H1</f>
        <v>编号：</v>
      </c>
      <c r="H227" s="419" t="str">
        <f>IF(I1=0,"",I1)</f>
        <v/>
      </c>
      <c r="I227" s="259"/>
      <c r="J227" s="259"/>
      <c r="K227" s="259"/>
      <c r="L227" s="261"/>
    </row>
    <row r="228" spans="1:12">
      <c r="A228" s="423" t="s">
        <v>8842</v>
      </c>
      <c r="B228" s="235"/>
      <c r="C228" s="331" t="str">
        <f t="shared" ref="C228:C230" si="4">IF(C10=0,"",C10)</f>
        <v/>
      </c>
      <c r="D228" s="235"/>
      <c r="E228" s="423" t="s">
        <v>8843</v>
      </c>
      <c r="F228" s="238"/>
      <c r="G228" s="300">
        <f t="shared" ref="G228:G230" si="5">IF(G10=0,"",G10)</f>
        <v>10026</v>
      </c>
      <c r="H228" s="237"/>
      <c r="I228" s="259"/>
      <c r="J228" s="259"/>
      <c r="K228" s="259"/>
      <c r="L228" s="261"/>
    </row>
    <row r="229" spans="1:12">
      <c r="A229" s="423" t="s">
        <v>8844</v>
      </c>
      <c r="B229" s="243"/>
      <c r="C229" s="300">
        <f t="shared" si="4"/>
        <v>30201</v>
      </c>
      <c r="D229" s="235"/>
      <c r="E229" s="424"/>
      <c r="F229" s="243"/>
      <c r="G229" s="300">
        <f t="shared" si="5"/>
        <v>30202</v>
      </c>
      <c r="H229" s="237"/>
      <c r="I229" s="259"/>
      <c r="J229" s="259"/>
      <c r="K229" s="259"/>
      <c r="L229" s="261"/>
    </row>
    <row r="230" spans="1:12">
      <c r="A230" s="423" t="s">
        <v>9105</v>
      </c>
      <c r="B230" s="282"/>
      <c r="C230" s="268" t="str">
        <f t="shared" si="4"/>
        <v/>
      </c>
      <c r="D230" s="425"/>
      <c r="E230" s="423" t="s">
        <v>8846</v>
      </c>
      <c r="F230" s="254"/>
      <c r="G230" s="268" t="str">
        <f t="shared" si="5"/>
        <v/>
      </c>
      <c r="H230" s="237"/>
      <c r="I230" s="259"/>
      <c r="J230" s="259"/>
      <c r="K230" s="259"/>
      <c r="L230" s="261"/>
    </row>
    <row r="231" spans="1:12">
      <c r="A231" s="426" t="s">
        <v>9106</v>
      </c>
      <c r="B231" s="282"/>
      <c r="C231" s="303"/>
      <c r="D231" s="734"/>
      <c r="E231" s="735"/>
      <c r="F231" s="248"/>
      <c r="G231" s="303"/>
      <c r="H231" s="237"/>
      <c r="I231" s="259"/>
      <c r="J231" s="259"/>
      <c r="K231" s="259"/>
      <c r="L231" s="261"/>
    </row>
    <row r="232" spans="1:12">
      <c r="A232" s="427" t="s">
        <v>9107</v>
      </c>
      <c r="B232" s="428"/>
      <c r="C232" s="427" t="s">
        <v>8899</v>
      </c>
      <c r="D232" s="736"/>
      <c r="E232" s="737"/>
      <c r="F232" s="738"/>
      <c r="G232" s="427" t="s">
        <v>8900</v>
      </c>
      <c r="H232" s="429"/>
      <c r="I232" s="259"/>
      <c r="J232" s="259"/>
      <c r="K232" s="259"/>
      <c r="L232" s="261"/>
    </row>
    <row r="233" spans="1:12">
      <c r="A233" s="431" t="s">
        <v>9108</v>
      </c>
      <c r="B233" s="309"/>
      <c r="C233" s="405"/>
      <c r="D233" s="309"/>
      <c r="E233" s="259"/>
      <c r="F233" s="309"/>
      <c r="G233" s="405"/>
      <c r="H233" s="309"/>
      <c r="I233" s="259"/>
      <c r="J233" s="259"/>
      <c r="K233" s="259"/>
      <c r="L233" s="261"/>
    </row>
    <row r="234" spans="1:12" ht="15.75" customHeight="1">
      <c r="A234" s="267" t="s">
        <v>9109</v>
      </c>
      <c r="B234" s="268" t="s">
        <v>6644</v>
      </c>
      <c r="C234" s="282">
        <v>17</v>
      </c>
      <c r="D234" s="268"/>
      <c r="E234" s="259"/>
      <c r="F234" s="268"/>
      <c r="G234" s="282"/>
      <c r="H234" s="259"/>
      <c r="I234" s="259"/>
      <c r="J234" s="259"/>
      <c r="K234" s="259"/>
      <c r="L234" s="261"/>
    </row>
    <row r="235" spans="1:12" ht="15.75" customHeight="1">
      <c r="A235" s="267" t="s">
        <v>9110</v>
      </c>
      <c r="B235" s="268" t="s">
        <v>8853</v>
      </c>
      <c r="C235" s="259"/>
      <c r="D235" s="281"/>
      <c r="E235" s="282">
        <f>C16</f>
        <v>5</v>
      </c>
      <c r="F235" s="281" t="s">
        <v>8854</v>
      </c>
      <c r="G235" s="282"/>
      <c r="H235" s="259"/>
      <c r="I235" s="259"/>
      <c r="J235" s="259"/>
      <c r="K235" s="259"/>
      <c r="L235" s="261"/>
    </row>
    <row r="236" spans="1:12" ht="15.75" customHeight="1">
      <c r="A236" s="267" t="s">
        <v>9111</v>
      </c>
      <c r="B236" s="259" t="s">
        <v>8856</v>
      </c>
      <c r="C236" s="259"/>
      <c r="D236" s="281"/>
      <c r="E236" s="282">
        <f>E64</f>
        <v>20</v>
      </c>
      <c r="F236" s="281" t="s">
        <v>8921</v>
      </c>
      <c r="G236" s="282"/>
      <c r="H236" s="259"/>
      <c r="I236" s="259"/>
      <c r="J236" s="272"/>
      <c r="K236" s="259"/>
      <c r="L236" s="261"/>
    </row>
    <row r="237" spans="1:12" ht="15.75" customHeight="1">
      <c r="A237" s="279" t="s">
        <v>9112</v>
      </c>
      <c r="B237" s="259" t="str">
        <f>B18</f>
        <v>βf</v>
      </c>
      <c r="C237" s="259"/>
      <c r="D237" s="281"/>
      <c r="E237" s="282">
        <f>E67</f>
        <v>0</v>
      </c>
      <c r="F237" s="281" t="s">
        <v>8921</v>
      </c>
      <c r="G237" s="282"/>
      <c r="H237" s="259"/>
      <c r="I237" s="259"/>
      <c r="J237" s="272"/>
      <c r="K237" s="259"/>
      <c r="L237" s="261"/>
    </row>
    <row r="238" spans="1:12" ht="15.75" customHeight="1">
      <c r="A238" s="267" t="s">
        <v>9113</v>
      </c>
      <c r="B238" s="268" t="s">
        <v>5900</v>
      </c>
      <c r="C238" s="259"/>
      <c r="D238" s="281"/>
      <c r="E238" s="282">
        <f>C19</f>
        <v>40</v>
      </c>
      <c r="F238" s="281" t="s">
        <v>8854</v>
      </c>
      <c r="G238" s="282"/>
      <c r="H238" s="259"/>
      <c r="I238" s="259"/>
      <c r="J238" s="272"/>
      <c r="K238" s="259"/>
      <c r="L238" s="261"/>
    </row>
    <row r="239" spans="1:12" ht="15.75" customHeight="1">
      <c r="A239" s="279" t="s">
        <v>9114</v>
      </c>
      <c r="B239" s="262" t="s">
        <v>8861</v>
      </c>
      <c r="C239" s="259"/>
      <c r="D239" s="281"/>
      <c r="E239" s="282">
        <f>C21</f>
        <v>1</v>
      </c>
      <c r="F239" s="281"/>
      <c r="G239" s="282"/>
      <c r="H239" s="259"/>
      <c r="I239" s="259"/>
      <c r="J239" s="272"/>
      <c r="K239" s="259"/>
      <c r="L239" s="261"/>
    </row>
    <row r="240" spans="1:12" ht="15.75" customHeight="1">
      <c r="A240" s="279" t="s">
        <v>9115</v>
      </c>
      <c r="B240" s="262" t="s">
        <v>8864</v>
      </c>
      <c r="C240" s="259"/>
      <c r="D240" s="281"/>
      <c r="E240" s="282">
        <f>C22</f>
        <v>0</v>
      </c>
      <c r="F240" s="281"/>
      <c r="G240" s="282"/>
      <c r="H240" s="259"/>
      <c r="I240" s="259"/>
      <c r="J240" s="272"/>
      <c r="K240" s="259"/>
      <c r="L240" s="261"/>
    </row>
    <row r="241" spans="1:12" ht="15.75" customHeight="1">
      <c r="A241" s="279" t="s">
        <v>8865</v>
      </c>
      <c r="B241" s="262" t="s">
        <v>8866</v>
      </c>
      <c r="C241" s="259"/>
      <c r="D241" s="281"/>
      <c r="E241" s="282">
        <f>C24</f>
        <v>0.25</v>
      </c>
      <c r="F241" s="281"/>
      <c r="G241" s="282"/>
      <c r="H241" s="259"/>
      <c r="I241" s="259"/>
      <c r="J241" s="272"/>
      <c r="K241" s="259"/>
      <c r="L241" s="261"/>
    </row>
    <row r="242" spans="1:12" ht="15.75" customHeight="1">
      <c r="A242" s="267" t="s">
        <v>9116</v>
      </c>
      <c r="B242" s="268" t="s">
        <v>9117</v>
      </c>
      <c r="C242" s="259"/>
      <c r="D242" s="281"/>
      <c r="E242" s="259">
        <f>2*C21+C24</f>
        <v>2.25</v>
      </c>
      <c r="F242" s="268"/>
      <c r="G242" s="282"/>
      <c r="H242" s="259"/>
      <c r="I242" s="259"/>
      <c r="J242" s="272"/>
      <c r="K242" s="259"/>
      <c r="L242" s="261"/>
    </row>
    <row r="243" spans="1:12" ht="15.75" customHeight="1">
      <c r="A243" s="249" t="s">
        <v>9118</v>
      </c>
      <c r="B243" s="282" t="s">
        <v>5899</v>
      </c>
      <c r="C243" s="281"/>
      <c r="D243" s="281"/>
      <c r="E243" s="259">
        <f>C82</f>
        <v>80.5</v>
      </c>
      <c r="F243" s="281" t="s">
        <v>9119</v>
      </c>
      <c r="G243" s="282"/>
      <c r="H243" s="259"/>
      <c r="I243" s="259"/>
      <c r="J243" s="272"/>
      <c r="K243" s="259"/>
      <c r="L243" s="261"/>
    </row>
    <row r="244" spans="1:12" ht="15.75" customHeight="1">
      <c r="A244" s="267" t="s">
        <v>9120</v>
      </c>
      <c r="B244" s="268" t="s">
        <v>5929</v>
      </c>
      <c r="C244" s="259">
        <f>C80</f>
        <v>0</v>
      </c>
      <c r="D244" s="281"/>
      <c r="E244" s="259"/>
      <c r="F244" s="268"/>
      <c r="G244" s="259"/>
      <c r="H244" s="259"/>
      <c r="I244" s="259"/>
      <c r="J244" s="272"/>
      <c r="K244" s="259"/>
      <c r="L244" s="261"/>
    </row>
    <row r="245" spans="1:12" ht="15.75" customHeight="1">
      <c r="A245" s="267" t="s">
        <v>9121</v>
      </c>
      <c r="B245" s="268" t="s">
        <v>9122</v>
      </c>
      <c r="C245" s="282">
        <f>C81</f>
        <v>0</v>
      </c>
      <c r="D245" s="281"/>
      <c r="E245" s="259"/>
      <c r="F245" s="268"/>
      <c r="G245" s="282"/>
      <c r="H245" s="259"/>
      <c r="I245" s="259"/>
      <c r="J245" s="3166" t="s">
        <v>12704</v>
      </c>
      <c r="K245" s="225"/>
      <c r="L245" s="261"/>
    </row>
    <row r="246" spans="1:12" ht="15.75" customHeight="1">
      <c r="A246" s="267" t="s">
        <v>9123</v>
      </c>
      <c r="B246" s="268" t="s">
        <v>6565</v>
      </c>
      <c r="C246" s="259">
        <f>ROUND(C72,3)</f>
        <v>85</v>
      </c>
      <c r="D246" s="281" t="s">
        <v>8854</v>
      </c>
      <c r="E246" s="259"/>
      <c r="F246" s="355" t="s">
        <v>8938</v>
      </c>
      <c r="G246" s="259">
        <f>G73</f>
        <v>38</v>
      </c>
      <c r="H246" s="281" t="s">
        <v>8854</v>
      </c>
      <c r="I246" s="348"/>
      <c r="J246" s="272"/>
      <c r="K246" s="225"/>
      <c r="L246" s="261"/>
    </row>
    <row r="247" spans="1:12" ht="15.75" customHeight="1">
      <c r="A247" s="267" t="s">
        <v>9124</v>
      </c>
      <c r="B247" s="268" t="s">
        <v>9125</v>
      </c>
      <c r="C247" s="259">
        <f>ROUND(C74,3)</f>
        <v>79.873999999999995</v>
      </c>
      <c r="D247" s="281" t="s">
        <v>8854</v>
      </c>
      <c r="E247" s="259"/>
      <c r="F247" s="355" t="s">
        <v>8941</v>
      </c>
      <c r="G247" s="259">
        <f>G74</f>
        <v>38</v>
      </c>
      <c r="H247" s="281" t="s">
        <v>8854</v>
      </c>
      <c r="I247" s="348"/>
      <c r="J247" s="272"/>
      <c r="K247" s="225"/>
      <c r="L247" s="261"/>
    </row>
    <row r="248" spans="1:12" ht="15.75" customHeight="1">
      <c r="A248" s="267" t="s">
        <v>9126</v>
      </c>
      <c r="B248" s="268" t="s">
        <v>9127</v>
      </c>
      <c r="C248" s="259">
        <f>ROUND(C86,3)</f>
        <v>95</v>
      </c>
      <c r="D248" s="281" t="s">
        <v>8854</v>
      </c>
      <c r="E248" s="259"/>
      <c r="F248" s="355" t="s">
        <v>8966</v>
      </c>
      <c r="G248" s="259">
        <f>ROUND(G86,3)</f>
        <v>43</v>
      </c>
      <c r="H248" s="281" t="s">
        <v>8854</v>
      </c>
      <c r="I248" s="348"/>
      <c r="J248" s="272"/>
      <c r="K248" s="225"/>
      <c r="L248" s="261"/>
    </row>
    <row r="249" spans="1:12" ht="15.75" customHeight="1">
      <c r="A249" s="267" t="s">
        <v>9128</v>
      </c>
      <c r="B249" s="268" t="s">
        <v>9129</v>
      </c>
      <c r="C249" s="259">
        <f>ROUND(C88,3)</f>
        <v>72.5</v>
      </c>
      <c r="D249" s="281" t="s">
        <v>8854</v>
      </c>
      <c r="E249" s="259"/>
      <c r="F249" s="355" t="s">
        <v>8971</v>
      </c>
      <c r="G249" s="259">
        <f>ROUND(G88,3)</f>
        <v>31.75</v>
      </c>
      <c r="H249" s="281" t="s">
        <v>8854</v>
      </c>
      <c r="I249" s="348"/>
      <c r="J249" s="272"/>
      <c r="K249" s="225"/>
      <c r="L249" s="261"/>
    </row>
    <row r="250" spans="1:12" ht="15.75" customHeight="1">
      <c r="A250" s="267" t="s">
        <v>9130</v>
      </c>
      <c r="B250" s="268" t="s">
        <v>9131</v>
      </c>
      <c r="C250" s="259">
        <f t="shared" ref="C250:C252" si="6">ROUND(C83,3)</f>
        <v>5</v>
      </c>
      <c r="D250" s="281" t="s">
        <v>8854</v>
      </c>
      <c r="E250" s="259"/>
      <c r="F250" s="268"/>
      <c r="G250" s="259">
        <f>ROUND(G83,3)</f>
        <v>5</v>
      </c>
      <c r="H250" s="281" t="s">
        <v>8854</v>
      </c>
      <c r="I250" s="348"/>
      <c r="J250" s="272"/>
      <c r="K250" s="225"/>
      <c r="L250" s="261"/>
    </row>
    <row r="251" spans="1:12" ht="15.75" customHeight="1">
      <c r="A251" s="267" t="s">
        <v>9132</v>
      </c>
      <c r="B251" s="268" t="s">
        <v>9133</v>
      </c>
      <c r="C251" s="259">
        <f t="shared" si="6"/>
        <v>6.25</v>
      </c>
      <c r="D251" s="281" t="s">
        <v>8854</v>
      </c>
      <c r="E251" s="259"/>
      <c r="F251" s="268"/>
      <c r="G251" s="259">
        <f>ROUND(G84,3)</f>
        <v>6.25</v>
      </c>
      <c r="H251" s="281" t="s">
        <v>8854</v>
      </c>
      <c r="I251" s="348"/>
      <c r="J251" s="272"/>
      <c r="K251" s="225"/>
      <c r="L251" s="261"/>
    </row>
    <row r="252" spans="1:12" ht="15.75" customHeight="1">
      <c r="A252" s="267" t="s">
        <v>9134</v>
      </c>
      <c r="B252" s="268" t="s">
        <v>9135</v>
      </c>
      <c r="C252" s="259">
        <f t="shared" si="6"/>
        <v>11.25</v>
      </c>
      <c r="D252" s="281" t="s">
        <v>8854</v>
      </c>
      <c r="E252" s="259"/>
      <c r="F252" s="281"/>
      <c r="G252" s="259">
        <f>ROUND(C85,3)</f>
        <v>11.25</v>
      </c>
      <c r="H252" s="281" t="s">
        <v>8854</v>
      </c>
      <c r="I252" s="348"/>
      <c r="J252" s="272"/>
      <c r="K252" s="225"/>
      <c r="L252" s="261"/>
    </row>
    <row r="253" spans="1:12" ht="15.75" customHeight="1">
      <c r="A253" s="279" t="s">
        <v>9136</v>
      </c>
      <c r="B253" s="262" t="s">
        <v>9137</v>
      </c>
      <c r="C253" s="259">
        <f>ROUND(C89,3)</f>
        <v>7.8540000000000001</v>
      </c>
      <c r="D253" s="281" t="s">
        <v>8854</v>
      </c>
      <c r="E253" s="259"/>
      <c r="F253" s="281"/>
      <c r="G253" s="259">
        <f>ROUND(G89,3)</f>
        <v>7.8540000000000001</v>
      </c>
      <c r="H253" s="281" t="s">
        <v>8854</v>
      </c>
      <c r="I253" s="348"/>
      <c r="J253" s="272"/>
      <c r="K253" s="225"/>
      <c r="L253" s="261"/>
    </row>
    <row r="254" spans="1:12" ht="15.75" customHeight="1">
      <c r="A254" s="371"/>
      <c r="B254" s="357"/>
      <c r="C254" s="308"/>
      <c r="D254" s="305"/>
      <c r="E254" s="308"/>
      <c r="F254" s="305"/>
      <c r="G254" s="308"/>
      <c r="H254" s="305"/>
      <c r="I254" s="348"/>
      <c r="J254" s="272"/>
      <c r="K254" s="225"/>
      <c r="L254" s="261"/>
    </row>
    <row r="255" spans="1:12" ht="15.75" customHeight="1">
      <c r="A255" s="739" t="s">
        <v>9138</v>
      </c>
      <c r="B255" s="262"/>
      <c r="C255" s="259"/>
      <c r="D255" s="281"/>
      <c r="E255" s="259"/>
      <c r="F255" s="281"/>
      <c r="G255" s="259"/>
      <c r="H255" s="281"/>
      <c r="I255" s="348"/>
      <c r="J255" s="272"/>
      <c r="K255" s="225"/>
      <c r="L255" s="261"/>
    </row>
    <row r="256" spans="1:12" ht="15.75" customHeight="1">
      <c r="A256" s="261" t="s">
        <v>9139</v>
      </c>
      <c r="B256" s="262" t="s">
        <v>9140</v>
      </c>
      <c r="C256" s="259">
        <f>ROUND(C93,3)</f>
        <v>23.331</v>
      </c>
      <c r="D256" s="281" t="s">
        <v>8854</v>
      </c>
      <c r="E256" s="259"/>
      <c r="F256" s="281"/>
      <c r="G256" s="259"/>
      <c r="H256" s="281"/>
      <c r="I256" s="348"/>
      <c r="J256" s="272"/>
      <c r="K256" s="225"/>
      <c r="L256" s="261"/>
    </row>
    <row r="257" spans="1:12" ht="15.75" customHeight="1">
      <c r="A257" s="261" t="s">
        <v>9141</v>
      </c>
      <c r="B257" s="262" t="s">
        <v>9142</v>
      </c>
      <c r="C257" s="259">
        <f>C94</f>
        <v>2</v>
      </c>
      <c r="D257" s="281"/>
      <c r="E257" s="259"/>
      <c r="F257" s="281"/>
      <c r="G257" s="259"/>
      <c r="H257" s="281"/>
      <c r="I257" s="348"/>
      <c r="J257" s="272"/>
      <c r="K257" s="225"/>
      <c r="L257" s="261"/>
    </row>
    <row r="258" spans="1:12" ht="15.75" customHeight="1">
      <c r="A258" s="262" t="s">
        <v>9143</v>
      </c>
      <c r="B258" s="262"/>
      <c r="C258" s="259" t="str">
        <f>C95</f>
        <v>可以测量</v>
      </c>
      <c r="D258" s="281"/>
      <c r="E258" s="259"/>
      <c r="F258" s="281"/>
      <c r="G258" s="259"/>
      <c r="H258" s="281"/>
      <c r="I258" s="348"/>
      <c r="J258" s="272"/>
      <c r="K258" s="267"/>
      <c r="L258" s="268"/>
    </row>
    <row r="259" spans="1:12" ht="15.75" customHeight="1">
      <c r="A259" s="249" t="s">
        <v>9144</v>
      </c>
      <c r="B259" s="293" t="s">
        <v>9145</v>
      </c>
      <c r="C259" s="259">
        <f t="shared" ref="C259:C262" si="7">ROUND(C99,3)</f>
        <v>6.9349999999999996</v>
      </c>
      <c r="D259" s="281" t="s">
        <v>8854</v>
      </c>
      <c r="E259" s="281"/>
      <c r="F259" s="268"/>
      <c r="G259" s="259"/>
      <c r="H259" s="281"/>
      <c r="I259" s="348"/>
      <c r="J259" s="272"/>
      <c r="K259" s="267"/>
      <c r="L259" s="268"/>
    </row>
    <row r="260" spans="1:12" ht="15.75" customHeight="1">
      <c r="A260" s="249" t="s">
        <v>9146</v>
      </c>
      <c r="B260" s="293" t="s">
        <v>9147</v>
      </c>
      <c r="C260" s="259">
        <f t="shared" si="7"/>
        <v>3.738</v>
      </c>
      <c r="D260" s="281" t="s">
        <v>8854</v>
      </c>
      <c r="E260" s="259"/>
      <c r="F260" s="268"/>
      <c r="G260" s="259"/>
      <c r="H260" s="281"/>
      <c r="I260" s="272"/>
      <c r="J260" s="272"/>
      <c r="K260" s="261"/>
      <c r="L260" s="261"/>
    </row>
    <row r="261" spans="1:12" ht="15.75" customHeight="1">
      <c r="A261" s="267" t="s">
        <v>9148</v>
      </c>
      <c r="B261" s="268" t="s">
        <v>9149</v>
      </c>
      <c r="C261" s="259">
        <f t="shared" si="7"/>
        <v>7.843</v>
      </c>
      <c r="D261" s="281" t="s">
        <v>8854</v>
      </c>
      <c r="E261" s="259"/>
      <c r="F261" s="268"/>
      <c r="G261" s="259">
        <f>ROUND(G101,3)</f>
        <v>7.8540000000000001</v>
      </c>
      <c r="H261" s="281" t="s">
        <v>8854</v>
      </c>
      <c r="I261" s="272"/>
      <c r="J261" s="272"/>
      <c r="K261" s="261"/>
      <c r="L261" s="261"/>
    </row>
    <row r="262" spans="1:12" ht="15.75" customHeight="1">
      <c r="A262" s="267" t="s">
        <v>9150</v>
      </c>
      <c r="B262" s="268" t="s">
        <v>9151</v>
      </c>
      <c r="C262" s="259">
        <f t="shared" si="7"/>
        <v>5.181</v>
      </c>
      <c r="D262" s="281" t="s">
        <v>8854</v>
      </c>
      <c r="E262" s="259"/>
      <c r="F262" s="268"/>
      <c r="G262" s="259">
        <f>ROUND(G102,3)</f>
        <v>5</v>
      </c>
      <c r="H262" s="281" t="s">
        <v>8854</v>
      </c>
      <c r="I262" s="272"/>
      <c r="J262" s="272"/>
      <c r="K262" s="261"/>
      <c r="L262" s="261"/>
    </row>
    <row r="263" spans="1:12" ht="15.75" customHeight="1">
      <c r="A263" s="249" t="s">
        <v>9002</v>
      </c>
      <c r="B263" s="293" t="s">
        <v>9152</v>
      </c>
      <c r="C263" s="259" t="str">
        <f>IF(OR(C54=0,B55&lt;&gt;""),"",C104)</f>
        <v/>
      </c>
      <c r="D263" s="281" t="s">
        <v>8854</v>
      </c>
      <c r="E263" s="259"/>
      <c r="F263" s="268"/>
      <c r="G263" s="259">
        <f>IF(OR(G54=0,F55&lt;&gt;""),"",G104)</f>
        <v>8</v>
      </c>
      <c r="H263" s="281" t="s">
        <v>8854</v>
      </c>
      <c r="I263" s="272"/>
      <c r="J263" s="272"/>
      <c r="K263" s="261"/>
      <c r="L263" s="261"/>
    </row>
    <row r="264" spans="1:12" ht="15.75" customHeight="1">
      <c r="A264" s="249" t="s">
        <v>9008</v>
      </c>
      <c r="B264" s="293" t="s">
        <v>6407</v>
      </c>
      <c r="C264" s="259" t="str">
        <f>IF(OR(C54=0,B55&lt;&gt;""),"",ROUND(C109,3))</f>
        <v/>
      </c>
      <c r="D264" s="281" t="s">
        <v>8854</v>
      </c>
      <c r="E264" s="259"/>
      <c r="F264" s="355" t="s">
        <v>9010</v>
      </c>
      <c r="G264" s="259">
        <f>IF(OR(G54=0,F55&lt;&gt;""),"",ROUND(G109,3))</f>
        <v>42.905999999999999</v>
      </c>
      <c r="H264" s="281" t="s">
        <v>8854</v>
      </c>
      <c r="I264" s="272"/>
      <c r="J264" s="272"/>
      <c r="K264" s="261"/>
      <c r="L264" s="261"/>
    </row>
    <row r="265" spans="1:12" ht="15.75" customHeight="1">
      <c r="A265" s="249" t="s">
        <v>9153</v>
      </c>
      <c r="B265" s="268" t="s">
        <v>9154</v>
      </c>
      <c r="C265" s="259" t="str">
        <f>IF(OR(C54=0,B55&lt;&gt;""),"",ROUND(C111,2))</f>
        <v/>
      </c>
      <c r="D265" s="281" t="s">
        <v>8854</v>
      </c>
      <c r="E265" s="355"/>
      <c r="F265" s="355" t="s">
        <v>9014</v>
      </c>
      <c r="G265" s="259">
        <f>IF(OR(G54=0,F55&lt;&gt;""),"",ROUND(G111,2))</f>
        <v>37.54</v>
      </c>
      <c r="H265" s="281" t="s">
        <v>8854</v>
      </c>
      <c r="I265" s="272"/>
      <c r="J265" s="272"/>
      <c r="K265" s="261"/>
      <c r="L265" s="261"/>
    </row>
    <row r="266" spans="1:12" ht="15.75" customHeight="1">
      <c r="A266" s="324"/>
      <c r="B266" s="357"/>
      <c r="C266" s="308"/>
      <c r="D266" s="305"/>
      <c r="E266" s="308"/>
      <c r="F266" s="303"/>
      <c r="G266" s="245"/>
      <c r="H266" s="305"/>
      <c r="I266" s="272"/>
      <c r="J266" s="272"/>
      <c r="K266" s="261"/>
      <c r="L266" s="261"/>
    </row>
    <row r="267" spans="1:12" ht="15.75" customHeight="1">
      <c r="A267" s="431" t="s">
        <v>9155</v>
      </c>
      <c r="B267" s="268"/>
      <c r="C267" s="259"/>
      <c r="D267" s="281"/>
      <c r="E267" s="259"/>
      <c r="F267" s="268"/>
      <c r="G267" s="282"/>
      <c r="H267" s="281"/>
      <c r="I267" s="272"/>
      <c r="J267" s="272"/>
      <c r="K267" s="261"/>
      <c r="L267" s="261"/>
    </row>
    <row r="268" spans="1:12" ht="15.75" customHeight="1">
      <c r="A268" s="432" t="s">
        <v>9031</v>
      </c>
      <c r="B268" s="262" t="s">
        <v>9156</v>
      </c>
      <c r="C268" s="259">
        <f>ROUND(C124,3)</f>
        <v>14.536</v>
      </c>
      <c r="D268" s="281" t="s">
        <v>8854</v>
      </c>
      <c r="E268" s="259"/>
      <c r="F268" s="268"/>
      <c r="G268" s="259"/>
      <c r="H268" s="281"/>
      <c r="I268" s="272"/>
      <c r="J268" s="272"/>
      <c r="K268" s="261"/>
      <c r="L268" s="261"/>
    </row>
    <row r="269" spans="1:12" ht="15.75" customHeight="1">
      <c r="A269" s="432" t="s">
        <v>9033</v>
      </c>
      <c r="B269" s="262" t="s">
        <v>9157</v>
      </c>
      <c r="C269" s="259">
        <f>ROUND(C125,3)</f>
        <v>25.716000000000001</v>
      </c>
      <c r="D269" s="281" t="s">
        <v>8854</v>
      </c>
      <c r="E269" s="259"/>
      <c r="F269" s="268"/>
      <c r="G269" s="259"/>
      <c r="H269" s="281"/>
      <c r="I269" s="272"/>
      <c r="J269" s="272"/>
      <c r="K269" s="261"/>
      <c r="L269" s="261"/>
    </row>
    <row r="270" spans="1:12" ht="15.75" customHeight="1">
      <c r="A270" s="249" t="s">
        <v>9158</v>
      </c>
      <c r="B270" s="261" t="s">
        <v>9159</v>
      </c>
      <c r="C270" s="259">
        <f t="shared" ref="C270:C273" si="8">E126</f>
        <v>20.511500000000002</v>
      </c>
      <c r="D270" s="281" t="s">
        <v>8921</v>
      </c>
      <c r="E270" s="259"/>
      <c r="F270" s="268"/>
      <c r="G270" s="259"/>
      <c r="H270" s="281"/>
      <c r="I270" s="272"/>
      <c r="J270" s="272"/>
      <c r="K270" s="261"/>
      <c r="L270" s="261"/>
    </row>
    <row r="271" spans="1:12" ht="15.75" customHeight="1">
      <c r="A271" s="249" t="s">
        <v>9160</v>
      </c>
      <c r="B271" s="261" t="s">
        <v>9161</v>
      </c>
      <c r="C271" s="259">
        <f t="shared" si="8"/>
        <v>36.533499999999997</v>
      </c>
      <c r="D271" s="281" t="s">
        <v>8921</v>
      </c>
      <c r="E271" s="259"/>
      <c r="F271" s="268"/>
      <c r="G271" s="259"/>
      <c r="H271" s="281"/>
      <c r="I271" s="272"/>
      <c r="J271" s="272"/>
      <c r="K271" s="261"/>
      <c r="L271" s="261"/>
    </row>
    <row r="272" spans="1:12" ht="15.75" customHeight="1">
      <c r="A272" s="249" t="s">
        <v>9162</v>
      </c>
      <c r="B272" s="261" t="s">
        <v>9163</v>
      </c>
      <c r="C272" s="259">
        <f t="shared" si="8"/>
        <v>26.120200000000001</v>
      </c>
      <c r="D272" s="281" t="s">
        <v>8921</v>
      </c>
      <c r="E272" s="259"/>
      <c r="F272" s="268"/>
      <c r="G272" s="259"/>
      <c r="H272" s="281"/>
      <c r="I272" s="272"/>
      <c r="J272" s="272"/>
      <c r="K272" s="261"/>
      <c r="L272" s="261"/>
    </row>
    <row r="273" spans="1:12" ht="15.75" customHeight="1">
      <c r="A273" s="371"/>
      <c r="B273" s="302" t="s">
        <v>9164</v>
      </c>
      <c r="C273" s="308">
        <f t="shared" si="8"/>
        <v>31.3248</v>
      </c>
      <c r="D273" s="305" t="s">
        <v>8921</v>
      </c>
      <c r="E273" s="308"/>
      <c r="F273" s="303"/>
      <c r="G273" s="308"/>
      <c r="H273" s="305"/>
      <c r="I273" s="272"/>
      <c r="J273" s="3166" t="s">
        <v>12704</v>
      </c>
      <c r="K273" s="261"/>
      <c r="L273" s="261"/>
    </row>
    <row r="274" spans="1:12" ht="15.75" customHeight="1">
      <c r="A274" s="431" t="s">
        <v>9165</v>
      </c>
      <c r="B274" s="281"/>
      <c r="C274" s="405"/>
      <c r="D274" s="313"/>
      <c r="E274" s="687"/>
      <c r="F274" s="319"/>
      <c r="G274" s="405"/>
      <c r="H274" s="281"/>
      <c r="I274" s="272"/>
      <c r="J274" s="272"/>
      <c r="K274" s="261"/>
      <c r="L274" s="261"/>
    </row>
    <row r="275" spans="1:12" ht="15.75" customHeight="1">
      <c r="A275" s="267" t="s">
        <v>9166</v>
      </c>
      <c r="B275" s="442" t="s">
        <v>9167</v>
      </c>
      <c r="C275" s="259"/>
      <c r="D275" s="320"/>
      <c r="E275" s="259">
        <f>C119</f>
        <v>1.748</v>
      </c>
      <c r="F275" s="442"/>
      <c r="G275" s="282"/>
      <c r="H275" s="275"/>
      <c r="I275" s="272"/>
      <c r="J275" s="272"/>
      <c r="K275" s="261"/>
      <c r="L275" s="261"/>
    </row>
    <row r="276" spans="1:12" ht="15.75" customHeight="1">
      <c r="A276" s="259" t="s">
        <v>9168</v>
      </c>
      <c r="B276" s="267"/>
      <c r="C276" s="432" t="str">
        <f>D122</f>
        <v>不根切</v>
      </c>
      <c r="D276" s="730"/>
      <c r="E276" s="432"/>
      <c r="F276" s="741"/>
      <c r="G276" s="432"/>
      <c r="H276" s="275"/>
      <c r="I276" s="272"/>
      <c r="J276" s="272"/>
      <c r="K276" s="261"/>
      <c r="L276" s="261"/>
    </row>
    <row r="277" spans="1:12" ht="15.75" customHeight="1">
      <c r="A277" s="282" t="s">
        <v>9169</v>
      </c>
      <c r="B277" s="267"/>
      <c r="C277" s="432" t="str">
        <f>D120</f>
        <v>齿顶未变尖</v>
      </c>
      <c r="D277" s="730"/>
      <c r="E277" s="432"/>
      <c r="F277" s="741"/>
      <c r="G277" s="432" t="str">
        <f>H120</f>
        <v>齿顶未变尖</v>
      </c>
      <c r="H277" s="275"/>
      <c r="I277" s="272"/>
      <c r="J277" s="272"/>
      <c r="K277" s="261"/>
      <c r="L277" s="261"/>
    </row>
    <row r="278" spans="1:12" ht="15.75" customHeight="1">
      <c r="A278" s="443"/>
      <c r="B278" s="308"/>
      <c r="C278" s="444"/>
      <c r="D278" s="305"/>
      <c r="E278" s="444"/>
      <c r="F278" s="742"/>
      <c r="G278" s="445"/>
      <c r="H278" s="305"/>
      <c r="I278" s="272"/>
      <c r="J278" s="272"/>
      <c r="K278" s="261"/>
      <c r="L278" s="261"/>
    </row>
    <row r="279" spans="1:12" ht="15.75" customHeight="1">
      <c r="A279" s="431" t="s">
        <v>9170</v>
      </c>
      <c r="B279" s="281"/>
      <c r="C279" s="730" t="str">
        <f>IF(OR(C33="",C34="",C35=""),"             （未输入精度等级）","（按 GB10095—88 渐开线圆柱齿轮 精度，GB10096—88 齿条精度）")</f>
        <v>（按 GB10095—88 渐开线圆柱齿轮 精度，GB10096—88 齿条精度）</v>
      </c>
      <c r="D279" s="313"/>
      <c r="E279" s="687"/>
      <c r="F279" s="319"/>
      <c r="G279" s="405"/>
      <c r="H279" s="281"/>
      <c r="I279" s="272"/>
      <c r="J279" s="272"/>
      <c r="K279" s="261"/>
      <c r="L279" s="261"/>
    </row>
    <row r="280" spans="1:12" ht="15.75" customHeight="1">
      <c r="A280" s="259" t="s">
        <v>9171</v>
      </c>
      <c r="B280" s="405" t="s">
        <v>9172</v>
      </c>
      <c r="C280" s="405"/>
      <c r="D280" s="282"/>
      <c r="E280" s="282">
        <f>IF(OR(C33=0,C34=0,C35=0),"",C33)</f>
        <v>8</v>
      </c>
      <c r="F280" s="282"/>
      <c r="G280" s="405"/>
      <c r="H280" s="281"/>
      <c r="I280" s="259"/>
      <c r="J280" s="272"/>
      <c r="K280" s="261"/>
      <c r="L280" s="261"/>
    </row>
    <row r="281" spans="1:12" ht="15.75" customHeight="1">
      <c r="A281" s="404"/>
      <c r="B281" s="405" t="s">
        <v>9173</v>
      </c>
      <c r="C281" s="405"/>
      <c r="D281" s="282"/>
      <c r="E281" s="282">
        <f>IF(OR(C33=0,C34=0,C35=0),"",C34)</f>
        <v>7</v>
      </c>
      <c r="F281" s="320"/>
      <c r="G281" s="405"/>
      <c r="H281" s="281"/>
      <c r="I281" s="272"/>
      <c r="J281" s="272"/>
      <c r="K281" s="261"/>
      <c r="L281" s="261"/>
    </row>
    <row r="282" spans="1:12" ht="15.75" customHeight="1">
      <c r="A282" s="404"/>
      <c r="B282" s="405" t="s">
        <v>9174</v>
      </c>
      <c r="C282" s="405"/>
      <c r="D282" s="282"/>
      <c r="E282" s="282">
        <f>IF(OR(C33=0,C34=0,C35=0),"",C35)</f>
        <v>7</v>
      </c>
      <c r="F282" s="282"/>
      <c r="G282" s="405"/>
      <c r="H282" s="281"/>
      <c r="I282" s="272"/>
      <c r="J282" s="272"/>
      <c r="K282" s="261"/>
      <c r="L282" s="261"/>
    </row>
    <row r="283" spans="1:12" ht="15.75" customHeight="1">
      <c r="A283" s="322" t="s">
        <v>9175</v>
      </c>
      <c r="B283" s="309" t="s">
        <v>9176</v>
      </c>
      <c r="C283" s="268" t="str">
        <f>IF(OR(C33=0,C34=0,C35=0,C45&lt;&gt;""),"",F203)</f>
        <v/>
      </c>
      <c r="D283" s="298"/>
      <c r="E283" s="255"/>
      <c r="F283" s="298"/>
      <c r="G283" s="268" t="str">
        <f>IF(OR(C33=0,C34=0,C35=0,C47&lt;&gt;""),"",F205)</f>
        <v/>
      </c>
      <c r="H283" s="281"/>
      <c r="I283" s="272"/>
      <c r="J283" s="272"/>
      <c r="K283" s="261"/>
      <c r="L283" s="261"/>
    </row>
    <row r="284" spans="1:12" ht="15.75" customHeight="1">
      <c r="A284" s="322"/>
      <c r="B284" s="309" t="s">
        <v>9177</v>
      </c>
      <c r="C284" s="268" t="str">
        <f>IF(OR(C33=0,C34=0,C35=0,C46&lt;&gt;""),"",F204)</f>
        <v/>
      </c>
      <c r="D284" s="298"/>
      <c r="E284" s="255"/>
      <c r="F284" s="298"/>
      <c r="G284" s="268" t="str">
        <f>IF(OR(C33=0,C34=0,C35=0,C48&lt;&gt;""),"",F206)</f>
        <v/>
      </c>
      <c r="H284" s="281"/>
      <c r="I284" s="272"/>
      <c r="J284" s="272"/>
      <c r="K284" s="261"/>
      <c r="L284" s="261"/>
    </row>
    <row r="285" spans="1:12" ht="15.75" customHeight="1">
      <c r="A285" s="259" t="s">
        <v>9073</v>
      </c>
      <c r="B285" s="268" t="s">
        <v>9178</v>
      </c>
      <c r="C285" s="259">
        <f>IF(OR(C33=0,C34=0,C35=0),"",C200)</f>
        <v>-0.1</v>
      </c>
      <c r="D285" s="281" t="s">
        <v>8854</v>
      </c>
      <c r="E285" s="259"/>
      <c r="F285" s="268"/>
      <c r="G285" s="259">
        <f>IF(OR(C33=0,C34=0,C35=0),"",G200)</f>
        <v>-0.15</v>
      </c>
      <c r="H285" s="281" t="s">
        <v>8854</v>
      </c>
      <c r="I285" s="272"/>
      <c r="J285" s="272"/>
      <c r="K285" s="261"/>
      <c r="L285" s="261"/>
    </row>
    <row r="286" spans="1:12" ht="15.75" customHeight="1">
      <c r="A286" s="259" t="s">
        <v>9076</v>
      </c>
      <c r="B286" s="268" t="s">
        <v>9179</v>
      </c>
      <c r="C286" s="259">
        <f>IF(OR(C33=0,C34=0,C35=0),"",C201)</f>
        <v>-0.2</v>
      </c>
      <c r="D286" s="281" t="s">
        <v>8854</v>
      </c>
      <c r="E286" s="259"/>
      <c r="F286" s="268"/>
      <c r="G286" s="259">
        <f>IF(OR(C33=0,C34=0,C35=0),"",G201)</f>
        <v>-0.25</v>
      </c>
      <c r="H286" s="281" t="s">
        <v>8854</v>
      </c>
      <c r="I286" s="272"/>
      <c r="J286" s="272"/>
      <c r="K286" s="261"/>
      <c r="L286" s="261"/>
    </row>
    <row r="287" spans="1:12" ht="15.75" customHeight="1">
      <c r="A287" s="259" t="s">
        <v>9180</v>
      </c>
      <c r="B287" s="268" t="s">
        <v>9181</v>
      </c>
      <c r="C287" s="259">
        <f>IF(OR(C33=0,C34=0,C35=0),"",C202)</f>
        <v>0.1</v>
      </c>
      <c r="D287" s="281" t="s">
        <v>8854</v>
      </c>
      <c r="E287" s="259"/>
      <c r="F287" s="268"/>
      <c r="G287" s="259">
        <f>IF(OR(C33=0,C34=0,C35=0),"",G202)</f>
        <v>0.1</v>
      </c>
      <c r="H287" s="281" t="s">
        <v>8854</v>
      </c>
      <c r="I287" s="272"/>
      <c r="J287" s="272"/>
      <c r="K287" s="261"/>
      <c r="L287" s="261"/>
    </row>
    <row r="288" spans="1:12" ht="15.75" customHeight="1">
      <c r="A288" s="249" t="s">
        <v>9182</v>
      </c>
      <c r="B288" s="268" t="s">
        <v>9183</v>
      </c>
      <c r="C288" s="259"/>
      <c r="D288" s="281"/>
      <c r="E288" s="259">
        <f>IF(OR(C33=0,C34=0,C35=0),"",ABS(C285+G285))</f>
        <v>0.25</v>
      </c>
      <c r="F288" s="281" t="s">
        <v>8854</v>
      </c>
      <c r="G288" s="259"/>
      <c r="H288" s="281"/>
      <c r="I288" s="272"/>
      <c r="J288" s="272"/>
      <c r="K288" s="261"/>
      <c r="L288" s="261"/>
    </row>
    <row r="289" spans="1:12" ht="15.75" customHeight="1">
      <c r="A289" s="249" t="s">
        <v>9184</v>
      </c>
      <c r="B289" s="268" t="s">
        <v>9185</v>
      </c>
      <c r="C289" s="259"/>
      <c r="D289" s="281"/>
      <c r="E289" s="259">
        <f>IF(OR(C33=0,C34=0,C35=0),"",ABS(C286+G286))</f>
        <v>0.45</v>
      </c>
      <c r="F289" s="281" t="s">
        <v>8854</v>
      </c>
      <c r="G289" s="259"/>
      <c r="H289" s="281"/>
      <c r="I289" s="272"/>
      <c r="J289" s="272"/>
      <c r="K289" s="261"/>
      <c r="L289" s="261"/>
    </row>
    <row r="290" spans="1:12" ht="15.75" customHeight="1">
      <c r="A290" s="375" t="s">
        <v>9082</v>
      </c>
      <c r="B290" s="268"/>
      <c r="C290" s="259"/>
      <c r="D290" s="281"/>
      <c r="E290" s="259"/>
      <c r="F290" s="281"/>
      <c r="G290" s="259"/>
      <c r="H290" s="281"/>
      <c r="I290" s="272"/>
      <c r="J290" s="272"/>
      <c r="K290" s="261"/>
      <c r="L290" s="261"/>
    </row>
    <row r="291" spans="1:12" ht="15.75" customHeight="1">
      <c r="A291" s="293" t="s">
        <v>9186</v>
      </c>
      <c r="B291" s="268" t="s">
        <v>9083</v>
      </c>
      <c r="C291" s="259">
        <f>IF(OR(C33=0,C34=0,C35=0),"",C208)</f>
        <v>-0.106</v>
      </c>
      <c r="D291" s="281" t="s">
        <v>8854</v>
      </c>
      <c r="E291" s="259"/>
      <c r="F291" s="281"/>
      <c r="G291" s="259"/>
      <c r="H291" s="281"/>
      <c r="I291" s="272"/>
      <c r="J291" s="272"/>
      <c r="K291" s="261"/>
      <c r="L291" s="261"/>
    </row>
    <row r="292" spans="1:12" ht="15.75" customHeight="1">
      <c r="A292" s="352"/>
      <c r="B292" s="268" t="s">
        <v>9084</v>
      </c>
      <c r="C292" s="259">
        <f>IF(OR(C33=0,C34=0,C35=0),"",C209)</f>
        <v>-0.17599999999999999</v>
      </c>
      <c r="D292" s="281" t="s">
        <v>8854</v>
      </c>
      <c r="E292" s="259"/>
      <c r="F292" s="281"/>
      <c r="G292" s="259"/>
      <c r="H292" s="281"/>
      <c r="I292" s="272"/>
      <c r="J292" s="272"/>
      <c r="K292" s="261"/>
      <c r="L292" s="261"/>
    </row>
    <row r="293" spans="1:12" ht="15.75" customHeight="1">
      <c r="A293" s="352"/>
      <c r="B293" s="268" t="s">
        <v>9085</v>
      </c>
      <c r="C293" s="259">
        <f>IF(OR(C33=0,C34=0,C35=0),"",C210)</f>
        <v>7.0000000000000007E-2</v>
      </c>
      <c r="D293" s="281" t="s">
        <v>8854</v>
      </c>
      <c r="E293" s="259"/>
      <c r="F293" s="281"/>
      <c r="G293" s="259"/>
      <c r="H293" s="281"/>
      <c r="I293" s="272"/>
      <c r="J293" s="272"/>
      <c r="K293" s="261"/>
      <c r="L293" s="261"/>
    </row>
    <row r="294" spans="1:12" ht="15.75" customHeight="1">
      <c r="A294" s="375" t="s">
        <v>9086</v>
      </c>
      <c r="B294" s="743"/>
      <c r="C294" s="269"/>
      <c r="D294" s="264"/>
      <c r="E294" s="259"/>
      <c r="F294" s="281"/>
      <c r="G294" s="269"/>
      <c r="H294" s="264"/>
      <c r="I294" s="272"/>
      <c r="J294" s="272"/>
      <c r="K294" s="261"/>
      <c r="L294" s="261"/>
    </row>
    <row r="295" spans="1:12" ht="15.75" customHeight="1">
      <c r="A295" s="293" t="s">
        <v>9186</v>
      </c>
      <c r="B295" s="268" t="s">
        <v>9087</v>
      </c>
      <c r="C295" s="259">
        <f>IF(OR(C33=0,C34=0,C35=0),"",C212)</f>
        <v>-0.20899999999999999</v>
      </c>
      <c r="D295" s="281" t="s">
        <v>8854</v>
      </c>
      <c r="E295" s="259"/>
      <c r="F295" s="281"/>
      <c r="G295" s="259">
        <f>IF(OR(C33=0,C34=0,C35=0),"",G212)</f>
        <v>-0.20599999999999999</v>
      </c>
      <c r="H295" s="281" t="s">
        <v>8854</v>
      </c>
      <c r="I295" s="272"/>
      <c r="J295" s="272"/>
      <c r="K295" s="261"/>
      <c r="L295" s="261"/>
    </row>
    <row r="296" spans="1:12" ht="15.75" customHeight="1">
      <c r="A296" s="352"/>
      <c r="B296" s="268" t="s">
        <v>9088</v>
      </c>
      <c r="C296" s="259">
        <f>IF(OR(C33=0,C34=0,C35=0),"",C213)</f>
        <v>-0.34799999999999998</v>
      </c>
      <c r="D296" s="281" t="s">
        <v>8854</v>
      </c>
      <c r="E296" s="259"/>
      <c r="F296" s="281"/>
      <c r="G296" s="259">
        <f>IF(OR(C33=0,C34=0,C35=0),"",G213)</f>
        <v>-0.34300000000000003</v>
      </c>
      <c r="H296" s="281" t="s">
        <v>8854</v>
      </c>
      <c r="I296" s="272"/>
      <c r="J296" s="3166" t="s">
        <v>12704</v>
      </c>
      <c r="K296" s="261"/>
      <c r="L296" s="261"/>
    </row>
    <row r="297" spans="1:12" ht="15.75" customHeight="1">
      <c r="A297" s="352"/>
      <c r="B297" s="268" t="s">
        <v>9089</v>
      </c>
      <c r="C297" s="259">
        <f>IF(OR(C33=0,C34=0,C35=0),"",C214)</f>
        <v>0.13900000000000001</v>
      </c>
      <c r="D297" s="281" t="s">
        <v>8854</v>
      </c>
      <c r="E297" s="259"/>
      <c r="F297" s="281"/>
      <c r="G297" s="259">
        <f>IF(OR(C33=0,C34=0,C35=0),"",G214)</f>
        <v>0</v>
      </c>
      <c r="H297" s="281" t="s">
        <v>8854</v>
      </c>
      <c r="I297" s="272"/>
      <c r="J297" s="272"/>
      <c r="K297" s="261"/>
      <c r="L297" s="261"/>
    </row>
    <row r="298" spans="1:12" ht="15.75" customHeight="1">
      <c r="A298" s="259" t="s">
        <v>9067</v>
      </c>
      <c r="B298" s="268" t="s">
        <v>9187</v>
      </c>
      <c r="C298" s="259">
        <f>IF(OR(C33=0,C34=0,C35=0),"",C198/1000)</f>
        <v>7.6999999999999999E-2</v>
      </c>
      <c r="D298" s="281" t="s">
        <v>8854</v>
      </c>
      <c r="E298" s="259"/>
      <c r="F298" s="268"/>
      <c r="G298" s="259" t="e">
        <f>IF(OR(C33=0,C34=0,C35=0),"",G198/1000)</f>
        <v>#VALUE!</v>
      </c>
      <c r="H298" s="281" t="s">
        <v>8854</v>
      </c>
      <c r="I298" s="272"/>
      <c r="J298" s="272"/>
      <c r="K298" s="261"/>
      <c r="L298" s="261"/>
    </row>
    <row r="299" spans="1:12" ht="15.75" customHeight="1">
      <c r="A299" s="432" t="s">
        <v>9070</v>
      </c>
      <c r="B299" s="268" t="s">
        <v>9188</v>
      </c>
      <c r="C299" s="259">
        <f>IF(OR(C33=0,C34=0,C35=0),"",C199/1000)</f>
        <v>1.9E-2</v>
      </c>
      <c r="D299" s="281" t="s">
        <v>8854</v>
      </c>
      <c r="E299" s="259"/>
      <c r="F299" s="268"/>
      <c r="G299" s="259">
        <f>IF(OR(C33=0,C34=0,C35=0),"",G199/1000)</f>
        <v>6.3E-2</v>
      </c>
      <c r="H299" s="281" t="s">
        <v>8854</v>
      </c>
      <c r="I299" s="272"/>
      <c r="J299" s="272"/>
      <c r="K299" s="261"/>
      <c r="L299" s="261"/>
    </row>
    <row r="300" spans="1:12" ht="15.75" customHeight="1">
      <c r="A300" s="267" t="s">
        <v>9189</v>
      </c>
      <c r="B300" s="268" t="s">
        <v>9190</v>
      </c>
      <c r="C300" s="259">
        <f>IF(OR(C33=0,C34=0,C35=0),"",C132/1000)</f>
        <v>6.3E-2</v>
      </c>
      <c r="D300" s="281" t="s">
        <v>8854</v>
      </c>
      <c r="E300" s="448"/>
      <c r="F300" s="268"/>
      <c r="G300" s="259" t="e">
        <f>IF(OR(C33=0,C34=0,C35=0),"",G132/1000)</f>
        <v>#VALUE!</v>
      </c>
      <c r="H300" s="281" t="s">
        <v>8854</v>
      </c>
      <c r="I300" s="272"/>
      <c r="J300" s="272"/>
      <c r="K300" s="261"/>
      <c r="L300" s="261"/>
    </row>
    <row r="301" spans="1:12" ht="15.75" customHeight="1">
      <c r="A301" s="267" t="s">
        <v>9191</v>
      </c>
      <c r="B301" s="268" t="s">
        <v>9192</v>
      </c>
      <c r="C301" s="259">
        <f>IF(OR(C33=0,C34=0,C35=0),"",C154/1000)</f>
        <v>1.7999999999999999E-2</v>
      </c>
      <c r="D301" s="281" t="s">
        <v>8854</v>
      </c>
      <c r="E301" s="448"/>
      <c r="F301" s="268"/>
      <c r="G301" s="259">
        <f>IF(OR(C33=0,C34=0,C35=0),"",G154/1000)</f>
        <v>2.8000000000000001E-2</v>
      </c>
      <c r="H301" s="281" t="s">
        <v>8854</v>
      </c>
      <c r="I301" s="272"/>
      <c r="J301" s="272"/>
      <c r="K301" s="261"/>
      <c r="L301" s="261"/>
    </row>
    <row r="302" spans="1:12" ht="15.75" customHeight="1">
      <c r="A302" s="249" t="s">
        <v>9193</v>
      </c>
      <c r="B302" s="293" t="s">
        <v>9194</v>
      </c>
      <c r="C302" s="259">
        <f>IF(OR(C33=0,C34=0,C35=0),"",C166/1000)</f>
        <v>1.6E-2</v>
      </c>
      <c r="D302" s="281" t="s">
        <v>8854</v>
      </c>
      <c r="E302" s="448"/>
      <c r="F302" s="268"/>
      <c r="G302" s="259"/>
      <c r="H302" s="281"/>
      <c r="I302" s="272"/>
      <c r="J302" s="272"/>
      <c r="K302" s="261"/>
      <c r="L302" s="261"/>
    </row>
    <row r="303" spans="1:12" ht="15.75" customHeight="1">
      <c r="A303" s="249" t="s">
        <v>9195</v>
      </c>
      <c r="B303" s="268" t="s">
        <v>9196</v>
      </c>
      <c r="C303" s="259">
        <f>IF(OR(C33=0,C34=0,C35=0),"",C178/1000)</f>
        <v>1.4E-2</v>
      </c>
      <c r="D303" s="281" t="s">
        <v>8854</v>
      </c>
      <c r="E303" s="448"/>
      <c r="F303" s="268"/>
      <c r="G303" s="259">
        <f>IF(OR(C33=0,C34=0,C35=0),"",G178/1000)</f>
        <v>3.4000000000000002E-2</v>
      </c>
      <c r="H303" s="281" t="s">
        <v>8854</v>
      </c>
      <c r="I303" s="272"/>
      <c r="J303" s="272"/>
      <c r="K303" s="261"/>
      <c r="L303" s="261"/>
    </row>
    <row r="304" spans="1:12" ht="15.75" customHeight="1">
      <c r="A304" s="249" t="s">
        <v>9197</v>
      </c>
      <c r="B304" s="279" t="s">
        <v>9063</v>
      </c>
      <c r="C304" s="259"/>
      <c r="D304" s="281"/>
      <c r="E304" s="259">
        <f>IF(OR(C33=0,C34=0,C35=0),"",C190/1000)</f>
        <v>1.0999999999999999E-2</v>
      </c>
      <c r="F304" s="281" t="s">
        <v>8854</v>
      </c>
      <c r="G304" s="259"/>
      <c r="H304" s="281"/>
      <c r="I304" s="272"/>
      <c r="J304" s="272"/>
      <c r="K304" s="261"/>
      <c r="L304" s="261"/>
    </row>
    <row r="305" spans="1:12">
      <c r="A305" s="282" t="s">
        <v>9064</v>
      </c>
      <c r="B305" s="281" t="s">
        <v>9065</v>
      </c>
      <c r="C305" s="259"/>
      <c r="D305" s="292"/>
      <c r="E305" s="744">
        <f>IF(OR(C33=0,C34=0,C35=0),"",C196/100)</f>
        <v>0.45</v>
      </c>
      <c r="F305" s="292"/>
      <c r="G305" s="447"/>
      <c r="H305" s="448"/>
      <c r="I305" s="272"/>
      <c r="J305" s="272"/>
      <c r="K305" s="261"/>
      <c r="L305" s="261"/>
    </row>
    <row r="306" spans="1:12" ht="15.75" customHeight="1">
      <c r="A306" s="282"/>
      <c r="B306" s="281" t="s">
        <v>9066</v>
      </c>
      <c r="C306" s="259"/>
      <c r="D306" s="292"/>
      <c r="E306" s="744">
        <f>IF(OR(C33=0,C34=0,C35=0),"",C197/100)</f>
        <v>0.6</v>
      </c>
      <c r="F306" s="292"/>
      <c r="G306" s="447"/>
      <c r="H306" s="448"/>
      <c r="I306" s="272"/>
      <c r="J306" s="272"/>
      <c r="K306" s="261"/>
      <c r="L306" s="261"/>
    </row>
    <row r="307" spans="1:12" ht="15.75" customHeight="1">
      <c r="A307" s="296" t="s">
        <v>9198</v>
      </c>
      <c r="B307" s="268" t="s">
        <v>9091</v>
      </c>
      <c r="C307" s="259"/>
      <c r="D307" s="292"/>
      <c r="E307" s="282">
        <f>IF(OR(C33=0,C34=0,C35=0),"",C215/1000)</f>
        <v>1.0999999999999999E-2</v>
      </c>
      <c r="F307" s="281" t="s">
        <v>8854</v>
      </c>
      <c r="G307" s="447"/>
      <c r="H307" s="448"/>
      <c r="I307" s="751"/>
      <c r="J307" s="272"/>
      <c r="K307" s="261"/>
      <c r="L307" s="261"/>
    </row>
    <row r="308" spans="1:12" ht="15.75" customHeight="1">
      <c r="A308" s="309" t="s">
        <v>9092</v>
      </c>
      <c r="B308" s="268" t="s">
        <v>9093</v>
      </c>
      <c r="C308" s="259"/>
      <c r="D308" s="292"/>
      <c r="E308" s="282">
        <f>IF(OR(C33=0,C34=0,C35=0),"",C216/1000)</f>
        <v>5.4999999999999997E-3</v>
      </c>
      <c r="F308" s="281" t="s">
        <v>8854</v>
      </c>
      <c r="G308" s="447"/>
      <c r="H308" s="448"/>
      <c r="I308" s="272"/>
      <c r="J308" s="272"/>
      <c r="K308" s="261"/>
      <c r="L308" s="261"/>
    </row>
    <row r="309" spans="1:12" ht="15.75" customHeight="1">
      <c r="A309" s="249" t="s">
        <v>9094</v>
      </c>
      <c r="B309" s="293" t="s">
        <v>9095</v>
      </c>
      <c r="C309" s="259"/>
      <c r="D309" s="292"/>
      <c r="E309" s="282">
        <f>IF(OR(C33=0,C34=0,C35=0),"",C217/1000)</f>
        <v>2.7E-2</v>
      </c>
      <c r="F309" s="281" t="s">
        <v>8854</v>
      </c>
      <c r="G309" s="447"/>
      <c r="H309" s="448"/>
      <c r="I309" s="272"/>
      <c r="J309" s="272"/>
      <c r="K309" s="261"/>
      <c r="L309" s="261"/>
    </row>
    <row r="310" spans="1:12">
      <c r="A310" s="320" t="s">
        <v>9097</v>
      </c>
      <c r="B310" s="259"/>
      <c r="C310" s="259"/>
      <c r="D310" s="281"/>
      <c r="E310" s="448"/>
      <c r="F310" s="448"/>
      <c r="G310" s="259"/>
      <c r="H310" s="281"/>
      <c r="I310" s="272"/>
      <c r="J310" s="272"/>
      <c r="K310" s="261"/>
      <c r="L310" s="261"/>
    </row>
    <row r="311" spans="1:12" ht="15.75" customHeight="1">
      <c r="A311" s="282" t="s">
        <v>9098</v>
      </c>
      <c r="B311" s="309"/>
      <c r="C311" s="259" t="str">
        <f>IF(OR(C33=0,C34=0,C35=0),"",C220)</f>
        <v>IT7</v>
      </c>
      <c r="D311" s="320" t="str">
        <f>IF(OR(C33=0,C34=0,C35=0),"","GB 1800—79")</f>
        <v>GB 1800—79</v>
      </c>
      <c r="E311" s="259"/>
      <c r="F311" s="320"/>
      <c r="G311" s="259"/>
      <c r="H311" s="281"/>
      <c r="I311" s="272"/>
      <c r="J311" s="272"/>
      <c r="K311" s="261"/>
      <c r="L311" s="261"/>
    </row>
    <row r="312" spans="1:12" ht="15.75" customHeight="1">
      <c r="A312" s="282" t="s">
        <v>9099</v>
      </c>
      <c r="B312" s="309"/>
      <c r="C312" s="259" t="str">
        <f>IF(OR(C33=0,C34=0,C35=0),"",C221)</f>
        <v>IT6</v>
      </c>
      <c r="D312" s="320" t="str">
        <f>IF(OR(C33=0,C34=0,C35=0),"","GB 1800—79")</f>
        <v>GB 1800—79</v>
      </c>
      <c r="E312" s="259"/>
      <c r="F312" s="320"/>
      <c r="G312" s="259"/>
      <c r="H312" s="281"/>
      <c r="I312" s="272"/>
      <c r="J312" s="272"/>
      <c r="K312" s="261"/>
      <c r="L312" s="261"/>
    </row>
    <row r="313" spans="1:12" ht="15.75" customHeight="1">
      <c r="A313" s="320" t="s">
        <v>9199</v>
      </c>
      <c r="B313" s="281"/>
      <c r="C313" s="259" t="str">
        <f>IF(OR(C33=0,C34=0,C35=0),"",C222)</f>
        <v>IT8</v>
      </c>
      <c r="D313" s="320" t="str">
        <f>IF(OR(C33=0,C34=0,C35=0),"","GB 1800—79")</f>
        <v>GB 1800—79</v>
      </c>
      <c r="E313" s="259"/>
      <c r="F313" s="320"/>
      <c r="G313" s="259"/>
      <c r="H313" s="281"/>
      <c r="I313" s="272"/>
      <c r="J313" s="272"/>
      <c r="K313" s="261"/>
      <c r="L313" s="261"/>
    </row>
    <row r="314" spans="1:12" ht="15.75" customHeight="1">
      <c r="A314" s="307" t="s">
        <v>9200</v>
      </c>
      <c r="B314" s="281"/>
      <c r="C314" s="745" t="str">
        <f>IF(OR(C33=0,C34=0,C35=0),"",E222)</f>
        <v>IT11， 但不大于</v>
      </c>
      <c r="D314" s="700">
        <f>IF(OR(C33=0,C34=0,C35=0),"",F222)</f>
        <v>0.5</v>
      </c>
      <c r="E314" s="305" t="str">
        <f>IF(OR(C33=0,C34=0,C35=0),"","毫米")</f>
        <v>毫米</v>
      </c>
      <c r="F314" s="245"/>
      <c r="G314" s="307"/>
      <c r="H314" s="305"/>
      <c r="I314" s="272"/>
      <c r="J314" s="272"/>
      <c r="K314" s="261"/>
      <c r="L314" s="261"/>
    </row>
    <row r="315" spans="1:12" ht="15.75" customHeight="1">
      <c r="A315" s="369" t="s">
        <v>9201</v>
      </c>
      <c r="B315" s="746">
        <f>IF(OR(C33=0,C34=0,C35=0),"",IF(OR(E280&lt;&gt;E281,E280&lt;&gt;E282),E280,""))</f>
        <v>8</v>
      </c>
      <c r="C315" s="747">
        <f>IF(OR(C33=0,C34=0,C35=0),"",IF(OR(E280&lt;&gt;E281,E280&lt;&gt;E282),-E281,""))</f>
        <v>-7</v>
      </c>
      <c r="D315" s="748">
        <f>IF(OR(C33=0,C34=0,C35=0),"",IF(OR(E280&lt;&gt;E281,E280&lt;&gt;E282),-E282,E282))</f>
        <v>-7</v>
      </c>
      <c r="E315" s="747">
        <f>IF(OR(C33=0,C34=0,C35=0),"",IF(C45&lt;&gt;"",C45,F203))</f>
        <v>-0.1</v>
      </c>
      <c r="F315" s="748" t="str">
        <f>IF(OR(C33=0,C34=0,C35=0,C46&lt;&gt;""),"",F204)</f>
        <v/>
      </c>
      <c r="G315" s="431" t="str">
        <f>IF(OR(C33=0,C34=0,C35=0),"","GB 10096—88")</f>
        <v>GB 10096—88</v>
      </c>
      <c r="H315" s="749"/>
      <c r="I315" s="752"/>
      <c r="J315" s="272"/>
      <c r="K315" s="261"/>
      <c r="L315" s="261"/>
    </row>
    <row r="316" spans="1:12" ht="15.75" customHeight="1">
      <c r="A316" s="369"/>
      <c r="B316" s="750"/>
      <c r="C316" s="405"/>
      <c r="D316" s="431"/>
      <c r="E316" s="405">
        <f>IF(OR(C33=0,C34=0,C35=0),"",IF(C46&lt;&gt;"",C46,""))</f>
        <v>-0.2</v>
      </c>
      <c r="F316" s="431"/>
      <c r="G316" s="431"/>
      <c r="H316" s="320"/>
      <c r="I316" s="752"/>
      <c r="J316" s="272"/>
      <c r="K316" s="261"/>
      <c r="L316" s="261"/>
    </row>
    <row r="317" spans="1:12" ht="15.75" customHeight="1">
      <c r="A317" s="249" t="s">
        <v>9202</v>
      </c>
      <c r="B317" s="750">
        <f>IF(OR(C33=0,C34=0,C35=0),"",IF(OR(E280&lt;&gt;E281,E280&lt;&gt;E282),E280,""))</f>
        <v>8</v>
      </c>
      <c r="C317" s="405">
        <f>IF(OR(C33=0,C34=0,C35=0),"",IF(OR(E280&lt;&gt;E281,E280&lt;&gt;E282),-E281,""))</f>
        <v>-7</v>
      </c>
      <c r="D317" s="431">
        <f>IF(OR(C33=0,C34=0,C35=0),"",IF(OR(E280&lt;&gt;E281,E280&lt;&gt;E282),-E282,E282))</f>
        <v>-7</v>
      </c>
      <c r="E317" s="405">
        <f>IF(OR(C33=0,C34=0,C35=0),"",IF(C47&lt;&gt;"",C47,F205))</f>
        <v>-0.15</v>
      </c>
      <c r="F317" s="431" t="str">
        <f>IF(OR(C33=0,C34=0,C35=0,C48&lt;&gt;""),"",F206)</f>
        <v/>
      </c>
      <c r="G317" s="431" t="str">
        <f>IF(OR(C33=0,C34=0,C35=0),"","GB 10096—88")</f>
        <v>GB 10096—88</v>
      </c>
      <c r="H317" s="320"/>
      <c r="I317" s="752"/>
      <c r="J317" s="3166" t="s">
        <v>12704</v>
      </c>
      <c r="K317" s="261"/>
      <c r="L317" s="261"/>
    </row>
    <row r="318" spans="1:12" ht="15.75" customHeight="1">
      <c r="A318" s="249"/>
      <c r="B318" s="750"/>
      <c r="C318" s="405"/>
      <c r="D318" s="431"/>
      <c r="E318" s="405">
        <f>IF(OR(C33=0,C34=0,C35=0),"",IF(C48&lt;&gt;"",C48,""))</f>
        <v>-0.25</v>
      </c>
      <c r="F318" s="431"/>
      <c r="G318" s="431"/>
      <c r="H318" s="320"/>
      <c r="I318" s="752"/>
      <c r="J318" s="272"/>
      <c r="K318" s="261"/>
      <c r="L318" s="261"/>
    </row>
    <row r="319" spans="1:12" ht="15.75" customHeight="1">
      <c r="A319" s="371"/>
      <c r="B319" s="248"/>
      <c r="C319" s="245"/>
      <c r="D319" s="700"/>
      <c r="E319" s="245" t="str">
        <f>IF(OR(C33=0,C34=0,C35=0),"",IF(C45&lt;&gt;"","注：齿厚上、下偏差两边加括号",""))</f>
        <v>注：齿厚上、下偏差两边加括号</v>
      </c>
      <c r="F319" s="700"/>
      <c r="G319" s="245"/>
      <c r="H319" s="305"/>
      <c r="I319" s="272"/>
      <c r="J319" s="272"/>
      <c r="K319" s="455"/>
      <c r="L319" s="261"/>
    </row>
    <row r="320" spans="1:12" ht="15.75" customHeight="1">
      <c r="A320" s="258" t="s">
        <v>9203</v>
      </c>
      <c r="B320" s="281"/>
      <c r="C320" s="259"/>
      <c r="D320" s="281"/>
      <c r="E320" s="463"/>
      <c r="F320" s="448"/>
      <c r="G320" s="259"/>
      <c r="H320" s="281"/>
      <c r="I320" s="272"/>
      <c r="J320" s="272"/>
      <c r="K320" s="261"/>
      <c r="L320" s="261"/>
    </row>
    <row r="321" ht="15.75" customHeight="1"/>
    <row r="322" ht="15.75" customHeight="1"/>
    <row r="323" ht="15.75" customHeight="1"/>
    <row r="324" ht="15.75" customHeight="1"/>
    <row r="327" ht="15" customHeight="1"/>
    <row r="332" ht="15.75" customHeight="1"/>
    <row r="333" ht="15.75" customHeight="1"/>
    <row r="334" ht="15.75" customHeight="1"/>
    <row r="342" ht="15" customHeight="1"/>
    <row r="345" ht="15.75" customHeight="1"/>
    <row r="346" ht="15.75" customHeight="1"/>
    <row r="347" ht="15.75" customHeight="1"/>
    <row r="348" ht="15.75" customHeight="1"/>
    <row r="349" ht="15.75" customHeight="1"/>
    <row r="350" ht="15.75" customHeight="1"/>
    <row r="351" ht="15.75" customHeight="1"/>
  </sheetData>
  <phoneticPr fontId="378" type="noConversion"/>
  <hyperlinks>
    <hyperlink ref="J3" location="总目录!A1" display="返回目录"/>
    <hyperlink ref="J32" location="总目录!A1" display="返回目录"/>
    <hyperlink ref="J58" location="总目录!A1" display="返回目录"/>
    <hyperlink ref="J245" location="总目录!A1" display="返回目录"/>
    <hyperlink ref="J273" location="总目录!A1" display="返回目录"/>
    <hyperlink ref="J296" location="总目录!A1" display="返回目录"/>
    <hyperlink ref="J317" location="总目录!A1" display="返回目录"/>
  </hyperlinks>
  <pageMargins left="0.75" right="0.75" top="1" bottom="1" header="0.5" footer="0.5"/>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
  <sheetViews>
    <sheetView topLeftCell="A31" workbookViewId="0">
      <selection activeCell="L53" sqref="L53"/>
    </sheetView>
  </sheetViews>
  <sheetFormatPr defaultColWidth="8" defaultRowHeight="14.25"/>
  <cols>
    <col min="1" max="1" width="8" style="1464"/>
    <col min="2" max="2" width="4.75" style="1464" customWidth="1"/>
    <col min="3" max="3" width="28.5" style="1464" customWidth="1"/>
    <col min="4" max="4" width="4" style="1464" customWidth="1"/>
    <col min="5" max="5" width="9" style="1464" customWidth="1"/>
    <col min="6" max="6" width="10.75" style="1464" customWidth="1"/>
    <col min="7" max="7" width="2.75" style="1464" hidden="1" customWidth="1"/>
    <col min="8" max="16384" width="8" style="1464"/>
  </cols>
  <sheetData>
    <row r="1" spans="1:12" ht="45" customHeight="1">
      <c r="A1" s="4187" t="s">
        <v>9204</v>
      </c>
      <c r="B1" s="4187"/>
      <c r="C1" s="4187"/>
      <c r="D1" s="4187"/>
      <c r="E1" s="4187"/>
      <c r="F1" s="4187"/>
      <c r="G1" s="4187"/>
      <c r="H1" s="4187"/>
      <c r="I1" s="4187"/>
      <c r="J1" s="4187"/>
      <c r="K1" s="4187"/>
      <c r="L1" s="4187"/>
    </row>
    <row r="2" spans="1:12" ht="25.15" customHeight="1">
      <c r="A2" s="1607"/>
      <c r="B2" s="1607"/>
      <c r="C2" s="1607"/>
      <c r="D2" s="1607"/>
      <c r="E2" s="1607"/>
      <c r="F2" s="1607"/>
      <c r="G2" s="1607"/>
      <c r="H2" s="1607"/>
      <c r="I2" s="1607"/>
      <c r="J2" s="1607"/>
      <c r="K2" s="3160" t="s">
        <v>12716</v>
      </c>
      <c r="L2" s="1607"/>
    </row>
    <row r="3" spans="1:12">
      <c r="A3" s="4188" t="s">
        <v>9205</v>
      </c>
      <c r="C3" s="1608" t="s">
        <v>9206</v>
      </c>
      <c r="D3" s="2790" t="s">
        <v>5934</v>
      </c>
      <c r="E3" s="1610">
        <v>60</v>
      </c>
      <c r="F3" s="1464" t="s">
        <v>8920</v>
      </c>
    </row>
    <row r="4" spans="1:12">
      <c r="A4" s="4188"/>
      <c r="C4" s="1608" t="s">
        <v>9207</v>
      </c>
      <c r="D4" s="1611"/>
      <c r="E4" s="1610">
        <v>90</v>
      </c>
      <c r="F4" s="1464" t="s">
        <v>8920</v>
      </c>
      <c r="H4" s="1612" t="s">
        <v>9208</v>
      </c>
    </row>
    <row r="5" spans="1:12">
      <c r="A5" s="4188"/>
      <c r="C5" s="1608" t="s">
        <v>9209</v>
      </c>
      <c r="D5" s="2791" t="s">
        <v>5934</v>
      </c>
      <c r="E5" s="1613">
        <v>0.3</v>
      </c>
      <c r="F5" s="1464" t="s">
        <v>6088</v>
      </c>
      <c r="H5" s="1612" t="s">
        <v>9210</v>
      </c>
    </row>
    <row r="6" spans="1:12">
      <c r="A6" s="4188"/>
      <c r="C6" s="1608" t="s">
        <v>9211</v>
      </c>
      <c r="D6" s="2791" t="s">
        <v>5934</v>
      </c>
      <c r="E6" s="1613">
        <v>0.3</v>
      </c>
      <c r="F6" s="1464" t="s">
        <v>6088</v>
      </c>
    </row>
    <row r="7" spans="1:12">
      <c r="A7" s="4188"/>
      <c r="C7" s="1608" t="s">
        <v>9212</v>
      </c>
      <c r="D7" s="2790" t="s">
        <v>5934</v>
      </c>
      <c r="E7" s="1610">
        <v>0.25</v>
      </c>
      <c r="F7" s="1527" t="s">
        <v>9213</v>
      </c>
      <c r="H7" s="1612" t="s">
        <v>9214</v>
      </c>
    </row>
    <row r="8" spans="1:12">
      <c r="A8" s="4188"/>
      <c r="C8" s="1614" t="s">
        <v>9215</v>
      </c>
      <c r="D8" s="2790" t="s">
        <v>5934</v>
      </c>
      <c r="E8" s="1610">
        <v>1</v>
      </c>
      <c r="F8" s="1464" t="s">
        <v>9213</v>
      </c>
      <c r="H8" s="1612" t="s">
        <v>9214</v>
      </c>
      <c r="L8" s="1486"/>
    </row>
    <row r="9" spans="1:12">
      <c r="A9" s="4188"/>
      <c r="C9" s="1608" t="s">
        <v>9216</v>
      </c>
      <c r="D9" s="1609"/>
      <c r="E9" s="1610">
        <v>0.25</v>
      </c>
      <c r="F9" s="1527" t="s">
        <v>9213</v>
      </c>
      <c r="H9" s="1612" t="s">
        <v>9214</v>
      </c>
    </row>
    <row r="10" spans="1:12">
      <c r="A10" s="4188"/>
      <c r="C10" s="1614" t="s">
        <v>9217</v>
      </c>
      <c r="D10" s="2790" t="s">
        <v>5934</v>
      </c>
      <c r="E10" s="1610">
        <v>1</v>
      </c>
      <c r="F10" s="1464" t="s">
        <v>9213</v>
      </c>
      <c r="H10" s="1612" t="s">
        <v>9214</v>
      </c>
      <c r="L10" s="1486"/>
    </row>
    <row r="11" spans="1:12">
      <c r="A11" s="4188"/>
      <c r="C11" s="1614" t="s">
        <v>9218</v>
      </c>
      <c r="D11" s="2790" t="s">
        <v>5934</v>
      </c>
      <c r="E11" s="1610">
        <v>60</v>
      </c>
      <c r="F11" s="1464" t="s">
        <v>2016</v>
      </c>
    </row>
    <row r="12" spans="1:12">
      <c r="A12" s="4188"/>
      <c r="C12" s="1608" t="s">
        <v>9219</v>
      </c>
      <c r="D12" s="2790" t="s">
        <v>5934</v>
      </c>
      <c r="E12" s="1610">
        <v>0.5</v>
      </c>
      <c r="F12" s="1464" t="s">
        <v>9220</v>
      </c>
      <c r="I12" s="1463"/>
    </row>
    <row r="13" spans="1:12">
      <c r="A13" s="4188"/>
      <c r="B13" s="4189" t="s">
        <v>9221</v>
      </c>
      <c r="C13" s="1608" t="s">
        <v>9222</v>
      </c>
      <c r="D13" s="1611"/>
      <c r="E13" s="1610">
        <v>0.04</v>
      </c>
      <c r="F13" s="1464" t="s">
        <v>6088</v>
      </c>
    </row>
    <row r="14" spans="1:12">
      <c r="A14" s="4188"/>
      <c r="B14" s="4189"/>
      <c r="C14" s="1608" t="s">
        <v>9223</v>
      </c>
      <c r="D14" s="1611"/>
      <c r="E14" s="1610">
        <v>0.02</v>
      </c>
      <c r="F14" s="1464" t="s">
        <v>6088</v>
      </c>
    </row>
    <row r="15" spans="1:12">
      <c r="A15" s="4188"/>
      <c r="B15" s="4189"/>
      <c r="C15" s="1608" t="s">
        <v>9224</v>
      </c>
      <c r="D15" s="1611"/>
      <c r="E15" s="1610">
        <v>0.3</v>
      </c>
      <c r="F15" s="1464" t="s">
        <v>6088</v>
      </c>
    </row>
    <row r="16" spans="1:12">
      <c r="A16" s="4188"/>
      <c r="B16" s="4189"/>
      <c r="C16" s="1608" t="s">
        <v>9225</v>
      </c>
      <c r="D16" s="2791" t="s">
        <v>5934</v>
      </c>
      <c r="E16" s="1615">
        <f>SUM($E$13*$E$14*$E$15)*7.8*1000</f>
        <v>1.8720000000000001</v>
      </c>
      <c r="F16" s="1464" t="s">
        <v>9220</v>
      </c>
    </row>
    <row r="17" spans="1:10">
      <c r="A17" s="4188"/>
      <c r="C17" s="1505" t="s">
        <v>9226</v>
      </c>
      <c r="D17" s="1516"/>
      <c r="E17" s="1616">
        <f>360/$E$3</f>
        <v>6</v>
      </c>
      <c r="F17" s="1486" t="s">
        <v>9227</v>
      </c>
      <c r="G17" s="1476"/>
      <c r="H17" s="1617" t="s">
        <v>9228</v>
      </c>
    </row>
    <row r="18" spans="1:10">
      <c r="A18" s="4188"/>
      <c r="C18" s="1618" t="s">
        <v>9229</v>
      </c>
      <c r="H18" s="1464" t="s">
        <v>272</v>
      </c>
    </row>
    <row r="19" spans="1:10">
      <c r="A19" s="4188"/>
      <c r="C19" s="1619" t="s">
        <v>9230</v>
      </c>
      <c r="H19" s="1476"/>
    </row>
    <row r="20" spans="1:10">
      <c r="A20" s="4188"/>
      <c r="C20" s="1555" t="s">
        <v>9231</v>
      </c>
      <c r="D20" s="2792" t="s">
        <v>5934</v>
      </c>
      <c r="E20" s="1620">
        <v>1.76</v>
      </c>
      <c r="G20" s="1463"/>
    </row>
    <row r="21" spans="1:10">
      <c r="A21" s="4188"/>
      <c r="C21" s="1555" t="s">
        <v>9232</v>
      </c>
      <c r="D21" s="2792" t="s">
        <v>5934</v>
      </c>
      <c r="E21" s="1610">
        <v>5.53</v>
      </c>
      <c r="J21" s="1464" t="s">
        <v>272</v>
      </c>
    </row>
    <row r="22" spans="1:10">
      <c r="A22" s="4188"/>
      <c r="C22" s="1555" t="s">
        <v>9233</v>
      </c>
      <c r="D22" s="2792" t="s">
        <v>5934</v>
      </c>
      <c r="E22" s="1621">
        <v>0.99</v>
      </c>
    </row>
    <row r="23" spans="1:10">
      <c r="C23" s="1464" t="s">
        <v>272</v>
      </c>
      <c r="E23" s="1464" t="s">
        <v>272</v>
      </c>
    </row>
    <row r="24" spans="1:10">
      <c r="C24" s="1622" t="s">
        <v>9234</v>
      </c>
      <c r="E24" s="1464" t="s">
        <v>272</v>
      </c>
    </row>
    <row r="25" spans="1:10">
      <c r="C25" s="1533" t="s">
        <v>9235</v>
      </c>
      <c r="D25" s="1489" t="s">
        <v>5934</v>
      </c>
      <c r="E25" s="1623" t="s">
        <v>9236</v>
      </c>
      <c r="F25" s="1463"/>
      <c r="G25" s="1464" t="s">
        <v>272</v>
      </c>
    </row>
    <row r="26" spans="1:10">
      <c r="D26" s="2792" t="s">
        <v>5934</v>
      </c>
      <c r="E26" s="1624">
        <f>((4*($E$12))*(((($E$17)*($E$5))/(2*3.14159))^2))</f>
        <v>0.16414059478772799</v>
      </c>
      <c r="F26" s="1464" t="s">
        <v>9237</v>
      </c>
    </row>
    <row r="27" spans="1:10">
      <c r="D27" s="1489" t="s">
        <v>272</v>
      </c>
      <c r="E27" s="1533" t="s">
        <v>272</v>
      </c>
    </row>
    <row r="28" spans="1:10">
      <c r="C28" s="1533" t="s">
        <v>9238</v>
      </c>
      <c r="D28" s="2792" t="s">
        <v>5934</v>
      </c>
      <c r="E28" s="1533" t="s">
        <v>9239</v>
      </c>
    </row>
    <row r="29" spans="1:10">
      <c r="D29" s="2792" t="s">
        <v>5934</v>
      </c>
      <c r="E29" s="1625">
        <f>(2*(((($E$6^2)+($E$14^2))/3)+($E$5^2)))</f>
        <v>0.24026666666666699</v>
      </c>
      <c r="F29" s="1464" t="s">
        <v>6081</v>
      </c>
    </row>
    <row r="31" spans="1:10">
      <c r="C31" s="1626" t="s">
        <v>9240</v>
      </c>
      <c r="D31" s="1489" t="s">
        <v>272</v>
      </c>
      <c r="E31" s="1533" t="s">
        <v>272</v>
      </c>
    </row>
    <row r="32" spans="1:10">
      <c r="C32" s="1533" t="s">
        <v>9241</v>
      </c>
      <c r="D32" s="1489" t="s">
        <v>5934</v>
      </c>
      <c r="E32" s="1533" t="s">
        <v>9242</v>
      </c>
    </row>
    <row r="33" spans="3:6">
      <c r="E33" s="1625">
        <f>(0.585*$E$21*(($E$12*$E$17*$E$5^2*$E$11^2)/$E$4^2))</f>
        <v>0.388206</v>
      </c>
      <c r="F33" s="1464" t="s">
        <v>9243</v>
      </c>
    </row>
    <row r="35" spans="3:6">
      <c r="C35" s="1627" t="s">
        <v>9244</v>
      </c>
      <c r="D35" s="2792" t="s">
        <v>5934</v>
      </c>
      <c r="E35" s="1533" t="s">
        <v>9245</v>
      </c>
    </row>
    <row r="36" spans="3:6">
      <c r="D36" s="2792" t="s">
        <v>5934</v>
      </c>
      <c r="E36" s="1625">
        <f>(5.77*$E$21*(($E$29*$E$11^2)/($E$17*$E$4^2)))</f>
        <v>0.56788539456790099</v>
      </c>
      <c r="F36" s="1464" t="s">
        <v>9243</v>
      </c>
    </row>
    <row r="38" spans="3:6">
      <c r="C38" s="1628" t="s">
        <v>9246</v>
      </c>
      <c r="D38" s="1489" t="s">
        <v>5934</v>
      </c>
      <c r="E38" s="1533" t="s">
        <v>9247</v>
      </c>
    </row>
    <row r="39" spans="3:6">
      <c r="D39" s="1489" t="s">
        <v>5934</v>
      </c>
      <c r="E39" s="1625">
        <f>($E$33+$E$36)</f>
        <v>0.95609139456790104</v>
      </c>
      <c r="F39" s="1464" t="s">
        <v>9243</v>
      </c>
    </row>
    <row r="41" spans="3:6">
      <c r="C41" s="1626" t="s">
        <v>9248</v>
      </c>
    </row>
    <row r="42" spans="3:6">
      <c r="C42" s="1535" t="s">
        <v>9249</v>
      </c>
      <c r="D42" s="1489" t="s">
        <v>272</v>
      </c>
      <c r="E42" s="1464" t="s">
        <v>272</v>
      </c>
    </row>
    <row r="43" spans="3:6">
      <c r="C43" s="1629" t="s">
        <v>6463</v>
      </c>
      <c r="D43" s="1489" t="s">
        <v>5934</v>
      </c>
      <c r="E43" s="1533" t="s">
        <v>9250</v>
      </c>
    </row>
    <row r="44" spans="3:6">
      <c r="C44" s="1629"/>
      <c r="D44" s="1489" t="s">
        <v>5934</v>
      </c>
      <c r="E44" s="1625">
        <f>($E$12*0.05*$E$17*$E$5)/(2*3.14159)</f>
        <v>7.16197848859972E-3</v>
      </c>
    </row>
    <row r="45" spans="3:6">
      <c r="C45" s="1629"/>
      <c r="D45" s="1489"/>
      <c r="E45" s="1533"/>
    </row>
    <row r="46" spans="3:6">
      <c r="C46" s="1626" t="s">
        <v>9251</v>
      </c>
      <c r="D46" s="2792" t="s">
        <v>5934</v>
      </c>
      <c r="E46" s="1533" t="s">
        <v>9252</v>
      </c>
    </row>
    <row r="47" spans="3:6">
      <c r="D47" s="2792" t="s">
        <v>5934</v>
      </c>
      <c r="E47" s="1630">
        <f>$E$39+$E$44</f>
        <v>0.96325337305650105</v>
      </c>
      <c r="F47" s="1464" t="s">
        <v>9253</v>
      </c>
    </row>
    <row r="49" spans="3:12">
      <c r="C49" s="1622" t="s">
        <v>9254</v>
      </c>
      <c r="D49" s="2792" t="s">
        <v>5934</v>
      </c>
      <c r="E49" s="1533" t="s">
        <v>9255</v>
      </c>
    </row>
    <row r="50" spans="3:12">
      <c r="C50" s="1535" t="s">
        <v>9256</v>
      </c>
      <c r="D50" s="2792" t="s">
        <v>5934</v>
      </c>
      <c r="E50" s="1631">
        <f>$E$47*1.5</f>
        <v>1.44488005958475</v>
      </c>
      <c r="F50" s="1464" t="s">
        <v>9257</v>
      </c>
    </row>
    <row r="52" spans="3:12">
      <c r="C52" s="1632" t="s">
        <v>9258</v>
      </c>
      <c r="D52" s="1633"/>
      <c r="E52" s="1633"/>
      <c r="F52" s="1633"/>
      <c r="G52" s="1633"/>
      <c r="H52" s="1634"/>
    </row>
    <row r="53" spans="3:12">
      <c r="C53" s="1635" t="s">
        <v>9259</v>
      </c>
      <c r="D53" s="2792" t="s">
        <v>5934</v>
      </c>
      <c r="E53" s="1533" t="s">
        <v>9260</v>
      </c>
      <c r="L53" s="3160" t="s">
        <v>12716</v>
      </c>
    </row>
    <row r="54" spans="3:12">
      <c r="D54" s="2792" t="s">
        <v>5934</v>
      </c>
      <c r="E54" s="1636">
        <f>(360/($E$4*$E$17))*$E$22*($E$50+0)</f>
        <v>0.953620839325936</v>
      </c>
      <c r="F54" s="1464" t="s">
        <v>9261</v>
      </c>
    </row>
    <row r="56" spans="3:12">
      <c r="C56" s="1622" t="s">
        <v>9262</v>
      </c>
      <c r="D56" s="2792" t="s">
        <v>5934</v>
      </c>
      <c r="E56" s="1533" t="s">
        <v>9263</v>
      </c>
    </row>
    <row r="57" spans="3:12">
      <c r="C57" s="1535" t="s">
        <v>9264</v>
      </c>
      <c r="D57" s="2792" t="s">
        <v>5934</v>
      </c>
      <c r="E57" s="1625">
        <f>($E$54*$E$11)/(716*0.6)</f>
        <v>0.13318726806228201</v>
      </c>
      <c r="F57" s="1464" t="s">
        <v>9265</v>
      </c>
    </row>
    <row r="59" spans="3:12">
      <c r="C59" s="1464" t="s">
        <v>9266</v>
      </c>
      <c r="D59" s="2792" t="s">
        <v>5934</v>
      </c>
      <c r="E59" s="1533" t="s">
        <v>9267</v>
      </c>
    </row>
    <row r="60" spans="3:12">
      <c r="D60" s="2792" t="s">
        <v>5934</v>
      </c>
      <c r="E60" s="1625">
        <f>($E$54*$E$11)/(975*0.6)</f>
        <v>9.7807265571890803E-2</v>
      </c>
      <c r="F60" s="1464" t="s">
        <v>9268</v>
      </c>
    </row>
    <row r="62" spans="3:12" ht="20.25">
      <c r="C62" s="1637" t="s">
        <v>9269</v>
      </c>
    </row>
  </sheetData>
  <mergeCells count="3">
    <mergeCell ref="A1:L1"/>
    <mergeCell ref="A3:A22"/>
    <mergeCell ref="B13:B16"/>
  </mergeCells>
  <phoneticPr fontId="378" type="noConversion"/>
  <dataValidations count="1">
    <dataValidation type="whole" errorStyle="warning" allowBlank="1" showInputMessage="1" showErrorMessage="1" errorTitle="輸入分割等份" error="請輸入0到999之間的整數" sqref="E5:E6">
      <formula1>1</formula1>
      <formula2>999</formula2>
    </dataValidation>
  </dataValidations>
  <hyperlinks>
    <hyperlink ref="K2" location="总目录!A1" display="总目录!A1"/>
    <hyperlink ref="L53" location="总目录!A1" display="总目录!A1"/>
  </hyperlinks>
  <pageMargins left="0.75" right="0.75" top="1" bottom="1" header="0.5" footer="0.5"/>
  <pageSetup paperSize="9" scale="75" orientation="portrait"/>
  <headerFooter scaleWithDoc="0" alignWithMargins="0"/>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0"/>
  <sheetViews>
    <sheetView topLeftCell="A76" zoomScale="85" zoomScaleNormal="85" workbookViewId="0">
      <selection activeCell="O110" sqref="O110"/>
    </sheetView>
  </sheetViews>
  <sheetFormatPr defaultColWidth="8" defaultRowHeight="14.25"/>
  <cols>
    <col min="1" max="1" width="8" style="1464"/>
    <col min="2" max="2" width="26" style="1464" customWidth="1"/>
    <col min="3" max="3" width="4.75" style="1464" customWidth="1"/>
    <col min="4" max="4" width="7.75" style="1464" customWidth="1"/>
    <col min="5" max="5" width="9.75" style="1464" customWidth="1"/>
    <col min="6" max="6" width="12.75" style="1464"/>
    <col min="7" max="7" width="10.25" style="1464" customWidth="1"/>
    <col min="8" max="8" width="12.75" style="1464"/>
    <col min="9" max="9" width="8.25" style="1464" customWidth="1"/>
    <col min="10" max="10" width="9.625" style="1464" customWidth="1"/>
    <col min="11" max="13" width="8" style="1464"/>
    <col min="14" max="14" width="5.25" style="1464" customWidth="1"/>
    <col min="15" max="15" width="23.125" style="1464" customWidth="1"/>
    <col min="16" max="16" width="11.625" style="1464" customWidth="1"/>
    <col min="17" max="16384" width="8" style="1464"/>
  </cols>
  <sheetData>
    <row r="1" spans="1:17" ht="63" customHeight="1">
      <c r="A1" s="4190" t="s">
        <v>9270</v>
      </c>
      <c r="B1" s="4190"/>
      <c r="C1" s="4190"/>
      <c r="D1" s="4190"/>
      <c r="E1" s="4190"/>
      <c r="F1" s="4190"/>
      <c r="G1" s="4190"/>
      <c r="H1" s="4190"/>
      <c r="I1" s="4190"/>
      <c r="J1" s="4190"/>
      <c r="K1" s="4190"/>
      <c r="L1" s="4190"/>
      <c r="M1" s="4190"/>
      <c r="N1" s="4190"/>
      <c r="O1" s="3177" t="s">
        <v>12716</v>
      </c>
    </row>
    <row r="2" spans="1:17" s="1536" customFormat="1" ht="28.15" customHeight="1">
      <c r="A2" s="4191" t="s">
        <v>9271</v>
      </c>
      <c r="B2" s="4192"/>
      <c r="C2" s="4192"/>
      <c r="D2" s="4192"/>
      <c r="E2" s="4192"/>
      <c r="F2" s="4192"/>
      <c r="G2" s="4192"/>
      <c r="H2" s="4192"/>
      <c r="I2" s="4192"/>
      <c r="J2" s="4192"/>
      <c r="K2" s="4192"/>
      <c r="L2" s="4192"/>
      <c r="M2" s="4192"/>
      <c r="N2" s="4193"/>
    </row>
    <row r="3" spans="1:17" s="1537" customFormat="1" ht="23.45" customHeight="1">
      <c r="A3" s="1541"/>
      <c r="B3" s="1541" t="s">
        <v>9272</v>
      </c>
      <c r="C3" s="1542" t="s">
        <v>1445</v>
      </c>
      <c r="D3" s="1541"/>
      <c r="E3" s="1541" t="s">
        <v>6393</v>
      </c>
      <c r="F3" s="1541" t="s">
        <v>6394</v>
      </c>
      <c r="G3" s="1543"/>
      <c r="H3" s="1543"/>
      <c r="I3" s="1543"/>
      <c r="J3" s="1543"/>
      <c r="K3" s="1543"/>
    </row>
    <row r="4" spans="1:17" s="1537" customFormat="1" ht="18.600000000000001" customHeight="1">
      <c r="A4" s="4194" t="s">
        <v>9205</v>
      </c>
      <c r="B4" s="1544" t="s">
        <v>9273</v>
      </c>
      <c r="C4" s="1545" t="s">
        <v>6109</v>
      </c>
      <c r="D4" s="2793" t="s">
        <v>5934</v>
      </c>
      <c r="E4" s="1546">
        <v>6</v>
      </c>
      <c r="F4" s="1547"/>
      <c r="G4" s="1543"/>
      <c r="H4" s="1543"/>
      <c r="I4" s="1543"/>
      <c r="J4" s="1543"/>
      <c r="K4" s="1543"/>
      <c r="N4" s="4196" t="s">
        <v>9274</v>
      </c>
      <c r="O4" s="1267" t="s">
        <v>9275</v>
      </c>
      <c r="P4" s="1268">
        <f>G71</f>
        <v>12.013620581758801</v>
      </c>
      <c r="Q4" s="1246" t="s">
        <v>9276</v>
      </c>
    </row>
    <row r="5" spans="1:17" ht="15.6" customHeight="1">
      <c r="A5" s="4195"/>
      <c r="B5" s="1548" t="s">
        <v>9277</v>
      </c>
      <c r="C5" s="1549" t="s">
        <v>683</v>
      </c>
      <c r="D5" s="2794" t="s">
        <v>5934</v>
      </c>
      <c r="E5" s="1550">
        <v>20</v>
      </c>
      <c r="F5" s="1551" t="s">
        <v>9278</v>
      </c>
      <c r="G5" s="1552" t="s">
        <v>9279</v>
      </c>
      <c r="N5" s="4196"/>
      <c r="O5" s="1255"/>
      <c r="P5" s="1247"/>
      <c r="Q5" s="1247"/>
    </row>
    <row r="6" spans="1:17" ht="16.5">
      <c r="A6" s="4195"/>
      <c r="B6" s="1553" t="s">
        <v>9280</v>
      </c>
      <c r="C6" s="1554" t="s">
        <v>9281</v>
      </c>
      <c r="D6" s="2795" t="s">
        <v>5934</v>
      </c>
      <c r="E6" s="1550">
        <v>5</v>
      </c>
      <c r="F6" s="1551" t="s">
        <v>6081</v>
      </c>
      <c r="G6" s="1552" t="s">
        <v>9279</v>
      </c>
      <c r="N6" s="4196"/>
      <c r="O6" s="1223" t="s">
        <v>9282</v>
      </c>
      <c r="P6" s="1269">
        <f>H77</f>
        <v>0.33884570871627501</v>
      </c>
      <c r="Q6" s="1246" t="s">
        <v>2003</v>
      </c>
    </row>
    <row r="7" spans="1:17" ht="16.5">
      <c r="A7" s="4195"/>
      <c r="B7" s="1548" t="s">
        <v>9283</v>
      </c>
      <c r="C7" s="1549" t="s">
        <v>732</v>
      </c>
      <c r="D7" s="2794" t="s">
        <v>5934</v>
      </c>
      <c r="E7" s="1550">
        <v>20</v>
      </c>
      <c r="F7" s="1551" t="s">
        <v>9278</v>
      </c>
      <c r="G7" s="1552" t="s">
        <v>9279</v>
      </c>
      <c r="N7" s="4196"/>
      <c r="O7" s="1221"/>
      <c r="P7" s="1221"/>
      <c r="Q7" s="1221"/>
    </row>
    <row r="8" spans="1:17" ht="16.5">
      <c r="A8" s="4195"/>
      <c r="B8" s="1553" t="s">
        <v>9284</v>
      </c>
      <c r="C8" s="1554" t="s">
        <v>9285</v>
      </c>
      <c r="D8" s="2795" t="s">
        <v>5934</v>
      </c>
      <c r="E8" s="1550">
        <v>5</v>
      </c>
      <c r="F8" s="1551" t="s">
        <v>6081</v>
      </c>
      <c r="G8" s="1552" t="s">
        <v>9279</v>
      </c>
      <c r="N8" s="4196"/>
      <c r="O8" s="1223" t="s">
        <v>9286</v>
      </c>
      <c r="P8" s="1268">
        <f>G62</f>
        <v>271.78480000000002</v>
      </c>
      <c r="Q8" s="1246" t="s">
        <v>9287</v>
      </c>
    </row>
    <row r="9" spans="1:17" ht="16.5">
      <c r="A9" s="4195"/>
      <c r="B9" s="1548" t="s">
        <v>9288</v>
      </c>
      <c r="C9" s="1549" t="s">
        <v>725</v>
      </c>
      <c r="D9" s="2794" t="s">
        <v>5934</v>
      </c>
      <c r="E9" s="1550">
        <v>6</v>
      </c>
      <c r="F9" s="1551" t="s">
        <v>9278</v>
      </c>
      <c r="G9" s="1552" t="s">
        <v>9279</v>
      </c>
      <c r="N9" s="4196"/>
      <c r="O9" s="1221"/>
      <c r="P9" s="1221"/>
      <c r="Q9" s="1221"/>
    </row>
    <row r="10" spans="1:17" ht="16.5">
      <c r="A10" s="4195"/>
      <c r="B10" s="1553" t="s">
        <v>9289</v>
      </c>
      <c r="C10" s="1554" t="s">
        <v>9290</v>
      </c>
      <c r="D10" s="2795" t="s">
        <v>5934</v>
      </c>
      <c r="E10" s="1550">
        <v>5</v>
      </c>
      <c r="F10" s="1551" t="s">
        <v>6081</v>
      </c>
      <c r="G10" s="1552" t="s">
        <v>9279</v>
      </c>
      <c r="N10" s="4196"/>
      <c r="O10" s="1223" t="s">
        <v>9291</v>
      </c>
      <c r="P10" s="1268">
        <f>F59</f>
        <v>328.896229087942</v>
      </c>
      <c r="Q10" s="1246" t="s">
        <v>9292</v>
      </c>
    </row>
    <row r="11" spans="1:17">
      <c r="A11" s="4195"/>
      <c r="B11" s="1548" t="s">
        <v>9293</v>
      </c>
      <c r="C11" s="1549" t="s">
        <v>9294</v>
      </c>
      <c r="D11" s="2794" t="s">
        <v>5934</v>
      </c>
      <c r="E11" s="1550">
        <v>2</v>
      </c>
      <c r="F11" s="1551" t="s">
        <v>9295</v>
      </c>
      <c r="G11" s="1552" t="s">
        <v>9279</v>
      </c>
    </row>
    <row r="12" spans="1:17">
      <c r="A12" s="4195"/>
      <c r="B12" s="1553" t="s">
        <v>9296</v>
      </c>
      <c r="C12" s="1554" t="s">
        <v>9297</v>
      </c>
      <c r="D12" s="2795" t="s">
        <v>5934</v>
      </c>
      <c r="E12" s="1550">
        <v>48.533000000000001</v>
      </c>
      <c r="F12" s="1551" t="s">
        <v>9278</v>
      </c>
      <c r="G12" s="1552" t="s">
        <v>9279</v>
      </c>
    </row>
    <row r="13" spans="1:17">
      <c r="A13" s="4195"/>
      <c r="B13" s="1548" t="s">
        <v>9298</v>
      </c>
      <c r="C13" s="1549" t="s">
        <v>9299</v>
      </c>
      <c r="D13" s="2794" t="s">
        <v>5934</v>
      </c>
      <c r="E13" s="1550">
        <v>15</v>
      </c>
      <c r="F13" s="1551" t="s">
        <v>9300</v>
      </c>
      <c r="G13" s="1552" t="s">
        <v>9279</v>
      </c>
    </row>
    <row r="14" spans="1:17">
      <c r="A14" s="4195"/>
      <c r="B14" s="1553" t="s">
        <v>9301</v>
      </c>
      <c r="C14" s="1554" t="s">
        <v>9302</v>
      </c>
      <c r="D14" s="2795" t="s">
        <v>5934</v>
      </c>
      <c r="E14" s="1550">
        <v>4</v>
      </c>
      <c r="F14" s="1551" t="s">
        <v>9303</v>
      </c>
      <c r="G14" s="1552" t="s">
        <v>9279</v>
      </c>
    </row>
    <row r="15" spans="1:17">
      <c r="A15" s="4195"/>
      <c r="B15" s="1548" t="s">
        <v>6340</v>
      </c>
      <c r="C15" s="1549" t="s">
        <v>711</v>
      </c>
      <c r="D15" s="2794" t="s">
        <v>5934</v>
      </c>
      <c r="E15" s="1550">
        <v>10</v>
      </c>
      <c r="F15" s="1551" t="s">
        <v>9304</v>
      </c>
      <c r="G15" s="1552" t="s">
        <v>9279</v>
      </c>
    </row>
    <row r="16" spans="1:17">
      <c r="A16" s="4195"/>
      <c r="B16" s="1553" t="s">
        <v>9305</v>
      </c>
      <c r="C16" s="1554" t="s">
        <v>175</v>
      </c>
      <c r="D16" s="2795" t="s">
        <v>5934</v>
      </c>
      <c r="E16" s="1550">
        <v>2</v>
      </c>
      <c r="F16" s="1551" t="s">
        <v>9306</v>
      </c>
      <c r="G16" s="1552" t="s">
        <v>9279</v>
      </c>
    </row>
    <row r="17" spans="1:15">
      <c r="A17" s="4195"/>
      <c r="B17" s="1548" t="s">
        <v>9307</v>
      </c>
      <c r="C17" s="1549" t="s">
        <v>9308</v>
      </c>
      <c r="D17" s="2794" t="s">
        <v>5934</v>
      </c>
      <c r="E17" s="1550">
        <v>2</v>
      </c>
      <c r="F17" s="1551" t="s">
        <v>9300</v>
      </c>
      <c r="G17" s="1552" t="s">
        <v>9279</v>
      </c>
    </row>
    <row r="18" spans="1:15">
      <c r="A18" s="4195"/>
      <c r="B18" s="1553" t="s">
        <v>9309</v>
      </c>
      <c r="C18" s="1554" t="s">
        <v>9310</v>
      </c>
      <c r="D18" s="2795" t="s">
        <v>5934</v>
      </c>
      <c r="E18" s="1550">
        <v>16</v>
      </c>
      <c r="F18" s="1551" t="s">
        <v>9303</v>
      </c>
      <c r="G18" s="1552" t="s">
        <v>9279</v>
      </c>
    </row>
    <row r="19" spans="1:15">
      <c r="A19" s="4195"/>
      <c r="B19" s="1548" t="s">
        <v>9311</v>
      </c>
      <c r="C19" s="1549" t="s">
        <v>9312</v>
      </c>
      <c r="D19" s="2794" t="s">
        <v>5934</v>
      </c>
      <c r="E19" s="1550">
        <v>6</v>
      </c>
      <c r="F19" s="1551" t="s">
        <v>9300</v>
      </c>
      <c r="G19" s="1552" t="s">
        <v>9279</v>
      </c>
    </row>
    <row r="20" spans="1:15">
      <c r="A20" s="4195"/>
      <c r="B20" s="1553" t="s">
        <v>9313</v>
      </c>
      <c r="C20" s="1554" t="s">
        <v>9314</v>
      </c>
      <c r="D20" s="2795" t="s">
        <v>5934</v>
      </c>
      <c r="E20" s="1550">
        <v>5</v>
      </c>
      <c r="F20" s="1551" t="s">
        <v>9303</v>
      </c>
      <c r="G20" s="1552" t="s">
        <v>9279</v>
      </c>
    </row>
    <row r="21" spans="1:15">
      <c r="A21" s="4195"/>
      <c r="B21" s="1548" t="s">
        <v>9315</v>
      </c>
      <c r="C21" s="1549" t="s">
        <v>9316</v>
      </c>
      <c r="D21" s="2794" t="s">
        <v>5934</v>
      </c>
      <c r="E21" s="1550">
        <v>25.4</v>
      </c>
      <c r="F21" s="1551" t="s">
        <v>9278</v>
      </c>
      <c r="G21" s="1552" t="s">
        <v>9279</v>
      </c>
    </row>
    <row r="22" spans="1:15">
      <c r="A22" s="4195"/>
      <c r="B22" s="1553" t="s">
        <v>9317</v>
      </c>
      <c r="C22" s="1554" t="s">
        <v>9318</v>
      </c>
      <c r="D22" s="2795" t="s">
        <v>5934</v>
      </c>
      <c r="E22" s="1550">
        <v>180</v>
      </c>
      <c r="F22" s="1551" t="s">
        <v>8920</v>
      </c>
      <c r="G22" s="1552" t="s">
        <v>9279</v>
      </c>
    </row>
    <row r="23" spans="1:15">
      <c r="A23" s="4195"/>
      <c r="B23" s="1555" t="s">
        <v>9319</v>
      </c>
      <c r="C23" s="1495" t="s">
        <v>9320</v>
      </c>
      <c r="D23" s="2796" t="s">
        <v>5934</v>
      </c>
      <c r="E23" s="1550">
        <v>50</v>
      </c>
      <c r="F23" s="1551" t="s">
        <v>2016</v>
      </c>
      <c r="G23" s="1552" t="s">
        <v>9279</v>
      </c>
    </row>
    <row r="24" spans="1:15">
      <c r="A24" s="4195"/>
      <c r="B24" s="1553" t="s">
        <v>9321</v>
      </c>
      <c r="C24" s="1554" t="s">
        <v>8083</v>
      </c>
      <c r="D24" s="2793" t="s">
        <v>5934</v>
      </c>
      <c r="E24" s="1556">
        <f>$E$5/$E$7</f>
        <v>1</v>
      </c>
      <c r="F24" s="1551" t="s">
        <v>272</v>
      </c>
      <c r="G24" s="1552" t="s">
        <v>9279</v>
      </c>
    </row>
    <row r="25" spans="1:15">
      <c r="A25" s="4195"/>
      <c r="B25" s="1549" t="s">
        <v>9322</v>
      </c>
      <c r="C25" s="1549"/>
      <c r="D25" s="1495"/>
      <c r="E25" s="1495"/>
      <c r="F25" s="1557"/>
      <c r="G25" s="1552" t="s">
        <v>9279</v>
      </c>
    </row>
    <row r="26" spans="1:15">
      <c r="A26" s="4195"/>
      <c r="B26" s="1544" t="s">
        <v>9323</v>
      </c>
      <c r="C26" s="1558" t="s">
        <v>7306</v>
      </c>
      <c r="D26" s="2793" t="s">
        <v>5934</v>
      </c>
      <c r="E26" s="1559">
        <v>1.76</v>
      </c>
      <c r="F26" s="1557"/>
      <c r="G26" s="1552" t="s">
        <v>9279</v>
      </c>
    </row>
    <row r="27" spans="1:15">
      <c r="A27" s="4195"/>
      <c r="B27" s="1555" t="s">
        <v>9324</v>
      </c>
      <c r="C27" s="1495" t="s">
        <v>7311</v>
      </c>
      <c r="D27" s="2796" t="s">
        <v>5934</v>
      </c>
      <c r="E27" s="1559">
        <v>5.53</v>
      </c>
      <c r="F27" s="1557"/>
      <c r="G27" s="1552" t="s">
        <v>9279</v>
      </c>
      <c r="J27" s="1464" t="s">
        <v>272</v>
      </c>
    </row>
    <row r="28" spans="1:15">
      <c r="A28" s="4195"/>
      <c r="B28" s="1544" t="s">
        <v>9325</v>
      </c>
      <c r="C28" s="1558" t="s">
        <v>9326</v>
      </c>
      <c r="D28" s="2793" t="s">
        <v>5934</v>
      </c>
      <c r="E28" s="1559">
        <v>0.99</v>
      </c>
      <c r="F28" s="1557"/>
      <c r="G28" s="1552" t="s">
        <v>9279</v>
      </c>
    </row>
    <row r="29" spans="1:15">
      <c r="A29" s="4195"/>
      <c r="B29" s="1555" t="s">
        <v>1461</v>
      </c>
      <c r="C29" s="1495" t="s">
        <v>9327</v>
      </c>
      <c r="D29" s="2796" t="s">
        <v>5934</v>
      </c>
      <c r="E29" s="1559">
        <v>0.2</v>
      </c>
      <c r="F29" s="1557"/>
      <c r="G29" s="1552"/>
    </row>
    <row r="30" spans="1:15">
      <c r="A30" s="4195"/>
      <c r="B30" s="1544" t="s">
        <v>2056</v>
      </c>
      <c r="C30" s="1558" t="s">
        <v>9328</v>
      </c>
      <c r="D30" s="2793" t="s">
        <v>5934</v>
      </c>
      <c r="E30" s="1559">
        <v>2</v>
      </c>
      <c r="F30" s="1557"/>
      <c r="G30" s="1552"/>
    </row>
    <row r="31" spans="1:15">
      <c r="A31" s="4195"/>
      <c r="B31" s="1560" t="s">
        <v>9329</v>
      </c>
      <c r="C31" s="1561" t="s">
        <v>6644</v>
      </c>
      <c r="D31" s="2797" t="s">
        <v>5934</v>
      </c>
      <c r="E31" s="1562">
        <v>0.7</v>
      </c>
      <c r="F31" s="1563"/>
      <c r="G31" s="1552"/>
    </row>
    <row r="32" spans="1:15" s="1538" customFormat="1" ht="36" customHeight="1">
      <c r="A32" s="1564" t="s">
        <v>9330</v>
      </c>
      <c r="B32" s="1565"/>
      <c r="C32" s="1565"/>
      <c r="D32" s="1566"/>
      <c r="E32" s="1565"/>
      <c r="F32" s="1565"/>
      <c r="G32" s="1565"/>
      <c r="H32" s="1565"/>
      <c r="I32" s="1565"/>
      <c r="J32" s="1565"/>
      <c r="K32" s="1565"/>
      <c r="O32" s="3177" t="s">
        <v>12716</v>
      </c>
    </row>
    <row r="33" spans="1:16">
      <c r="A33" s="1567" t="s">
        <v>9331</v>
      </c>
      <c r="B33" s="1568"/>
      <c r="D33" s="1464" t="s">
        <v>272</v>
      </c>
    </row>
    <row r="34" spans="1:16">
      <c r="A34" s="1533" t="s">
        <v>9332</v>
      </c>
      <c r="B34" s="1533"/>
      <c r="F34" s="1464" t="s">
        <v>272</v>
      </c>
    </row>
    <row r="35" spans="1:16" ht="15" customHeight="1">
      <c r="A35" s="1569" t="s">
        <v>9333</v>
      </c>
      <c r="B35" s="1570"/>
      <c r="C35" s="1570" t="s">
        <v>5934</v>
      </c>
      <c r="D35" s="1570" t="s">
        <v>9334</v>
      </c>
      <c r="E35" s="1570"/>
      <c r="F35" s="1570" t="s">
        <v>5934</v>
      </c>
      <c r="G35" s="1571">
        <f>($E$6*(($E$5/100)/2)^2)/(2*9.8)</f>
        <v>2.5510204081632699E-3</v>
      </c>
      <c r="H35" s="1570" t="s">
        <v>9335</v>
      </c>
      <c r="I35" s="1570"/>
      <c r="J35" s="1590"/>
      <c r="K35" s="1590"/>
      <c r="L35" s="1590"/>
      <c r="M35" s="1590"/>
      <c r="N35" s="1590"/>
      <c r="O35" s="1590"/>
      <c r="P35" s="1591"/>
    </row>
    <row r="36" spans="1:16" s="52" customFormat="1" ht="1.9" customHeight="1">
      <c r="A36" s="1572"/>
      <c r="B36" s="1573"/>
      <c r="C36" s="1573"/>
      <c r="D36" s="1573"/>
      <c r="E36" s="1573"/>
      <c r="F36" s="1573"/>
      <c r="G36" s="1573"/>
      <c r="H36" s="1573"/>
      <c r="I36" s="1573"/>
      <c r="J36" s="1573"/>
      <c r="K36" s="1573"/>
      <c r="L36" s="1573"/>
      <c r="M36" s="1573"/>
      <c r="N36" s="1573"/>
      <c r="O36" s="1573"/>
      <c r="P36" s="1592"/>
    </row>
    <row r="37" spans="1:16" s="1539" customFormat="1" ht="15" customHeight="1">
      <c r="A37" s="1574" t="s">
        <v>9336</v>
      </c>
      <c r="B37" s="1575"/>
      <c r="C37" s="1576"/>
      <c r="D37" s="1577"/>
      <c r="E37" s="1578"/>
      <c r="F37" s="1578"/>
      <c r="G37" s="1576"/>
      <c r="H37" s="1579"/>
      <c r="I37" s="1578"/>
      <c r="J37" s="1578"/>
      <c r="K37" s="1578"/>
      <c r="L37" s="1578"/>
      <c r="M37" s="1578"/>
      <c r="N37" s="1578"/>
      <c r="O37" s="1578"/>
      <c r="P37" s="1593"/>
    </row>
    <row r="38" spans="1:16" s="52" customFormat="1" ht="1.9" customHeight="1">
      <c r="A38" s="1572"/>
      <c r="B38" s="1573"/>
      <c r="C38" s="1573"/>
      <c r="D38" s="1573"/>
      <c r="E38" s="1573"/>
      <c r="F38" s="1573"/>
      <c r="G38" s="1573"/>
      <c r="H38" s="1573"/>
      <c r="I38" s="1573"/>
      <c r="J38" s="1573"/>
      <c r="K38" s="1573"/>
      <c r="L38" s="1573"/>
      <c r="M38" s="1573"/>
      <c r="N38" s="1573"/>
      <c r="O38" s="1573"/>
      <c r="P38" s="1592"/>
    </row>
    <row r="39" spans="1:16" ht="15" customHeight="1">
      <c r="A39" s="1574" t="s">
        <v>9337</v>
      </c>
      <c r="B39" s="1575"/>
      <c r="C39" s="1575" t="s">
        <v>5934</v>
      </c>
      <c r="D39" s="1575" t="s">
        <v>9338</v>
      </c>
      <c r="E39" s="1575"/>
      <c r="F39" s="1575"/>
      <c r="G39" s="1575"/>
      <c r="H39" s="1575" t="s">
        <v>5934</v>
      </c>
      <c r="I39" s="1580">
        <f>(($E$8*(((($E$7/100)/2)^2)+((($E$9/100)/2)^2)))/(2*9.8))</f>
        <v>2.78061224489796E-3</v>
      </c>
      <c r="J39" s="1575" t="s">
        <v>9335</v>
      </c>
      <c r="K39" s="1581"/>
      <c r="L39" s="1581"/>
      <c r="M39" s="1581"/>
      <c r="N39" s="1581"/>
      <c r="O39" s="1581"/>
      <c r="P39" s="1594"/>
    </row>
    <row r="40" spans="1:16" s="52" customFormat="1" ht="1.9" customHeight="1">
      <c r="A40" s="1572"/>
      <c r="B40" s="1573"/>
      <c r="C40" s="1573"/>
      <c r="D40" s="1573"/>
      <c r="E40" s="1573"/>
      <c r="F40" s="1573"/>
      <c r="G40" s="1573"/>
      <c r="H40" s="1573"/>
      <c r="I40" s="1573"/>
      <c r="J40" s="1573"/>
      <c r="K40" s="1573"/>
      <c r="L40" s="1573"/>
      <c r="M40" s="1573"/>
      <c r="N40" s="1573"/>
      <c r="O40" s="1573"/>
      <c r="P40" s="1592"/>
    </row>
    <row r="41" spans="1:16" ht="15" customHeight="1">
      <c r="A41" s="1574" t="s">
        <v>9339</v>
      </c>
      <c r="B41" s="1575"/>
      <c r="C41" s="1575" t="s">
        <v>5934</v>
      </c>
      <c r="D41" s="1575" t="s">
        <v>9340</v>
      </c>
      <c r="E41" s="1575"/>
      <c r="F41" s="1575"/>
      <c r="G41" s="1575" t="s">
        <v>5934</v>
      </c>
      <c r="H41" s="1580">
        <f>(($E$10*((($E$9/100)/2)^2))/(2*9.8))*$E$11</f>
        <v>4.59183673469388E-4</v>
      </c>
      <c r="I41" s="1575" t="s">
        <v>9335</v>
      </c>
      <c r="J41" s="1575"/>
      <c r="K41" s="1581"/>
      <c r="L41" s="1581"/>
      <c r="M41" s="1581"/>
      <c r="N41" s="1581"/>
      <c r="O41" s="1581"/>
      <c r="P41" s="1594"/>
    </row>
    <row r="42" spans="1:16" s="52" customFormat="1" ht="1.9" customHeight="1">
      <c r="A42" s="1572"/>
      <c r="B42" s="1573"/>
      <c r="C42" s="1573"/>
      <c r="D42" s="1573"/>
      <c r="E42" s="1573"/>
      <c r="F42" s="1573"/>
      <c r="G42" s="1573"/>
      <c r="H42" s="1573"/>
      <c r="I42" s="1573"/>
      <c r="J42" s="1573"/>
      <c r="K42" s="1573"/>
      <c r="L42" s="1573"/>
      <c r="M42" s="1573"/>
      <c r="N42" s="1573"/>
      <c r="O42" s="1573"/>
      <c r="P42" s="1592"/>
    </row>
    <row r="43" spans="1:16" ht="15" customHeight="1">
      <c r="A43" s="1574" t="s">
        <v>9341</v>
      </c>
      <c r="B43" s="1575"/>
      <c r="C43" s="1575" t="s">
        <v>5934</v>
      </c>
      <c r="D43" s="1575" t="s">
        <v>9342</v>
      </c>
      <c r="E43" s="1575"/>
      <c r="F43" s="1575"/>
      <c r="G43" s="1575"/>
      <c r="H43" s="1575" t="s">
        <v>5934</v>
      </c>
      <c r="I43" s="1580">
        <f>(($E$13*(((($E$12/100)/2)^2)+((($E$9/100)/2)^2)))/(2*9.8))*$E$14</f>
        <v>0.18301929252551</v>
      </c>
      <c r="J43" s="1575" t="s">
        <v>9335</v>
      </c>
      <c r="K43" s="1581"/>
      <c r="L43" s="1581"/>
      <c r="M43" s="1581"/>
      <c r="N43" s="1581"/>
      <c r="O43" s="1581"/>
      <c r="P43" s="1594"/>
    </row>
    <row r="44" spans="1:16" s="52" customFormat="1" ht="1.9" customHeight="1">
      <c r="A44" s="1572"/>
      <c r="B44" s="1573"/>
      <c r="C44" s="1573"/>
      <c r="D44" s="1573"/>
      <c r="E44" s="1573"/>
      <c r="F44" s="1573"/>
      <c r="G44" s="1573"/>
      <c r="H44" s="1573"/>
      <c r="I44" s="1573"/>
      <c r="J44" s="1573"/>
      <c r="K44" s="1573"/>
      <c r="L44" s="1573"/>
      <c r="M44" s="1573"/>
      <c r="N44" s="1573"/>
      <c r="O44" s="1573"/>
      <c r="P44" s="1592"/>
    </row>
    <row r="45" spans="1:16" ht="15" customHeight="1">
      <c r="A45" s="1574" t="s">
        <v>9343</v>
      </c>
      <c r="B45" s="1575"/>
      <c r="C45" s="1575" t="s">
        <v>5934</v>
      </c>
      <c r="D45" s="1575" t="s">
        <v>9344</v>
      </c>
      <c r="E45" s="1575"/>
      <c r="F45" s="1575"/>
      <c r="G45" s="1575" t="s">
        <v>5934</v>
      </c>
      <c r="H45" s="1580">
        <f>(($E$15*((($E$12/100)/2)^2))/9.8)*E16</f>
        <v>0.120176126989796</v>
      </c>
      <c r="I45" s="1575" t="s">
        <v>9335</v>
      </c>
      <c r="J45" s="1575"/>
      <c r="K45" s="1581"/>
      <c r="L45" s="1581"/>
      <c r="M45" s="1581"/>
      <c r="N45" s="1581"/>
      <c r="O45" s="1581"/>
      <c r="P45" s="1594"/>
    </row>
    <row r="46" spans="1:16" s="52" customFormat="1" ht="1.9" customHeight="1">
      <c r="A46" s="1572"/>
      <c r="B46" s="1573"/>
      <c r="C46" s="1573"/>
      <c r="D46" s="1573"/>
      <c r="E46" s="1573"/>
      <c r="F46" s="1573"/>
      <c r="G46" s="1573"/>
      <c r="H46" s="1573"/>
      <c r="I46" s="1573"/>
      <c r="J46" s="1573"/>
      <c r="K46" s="1573"/>
      <c r="L46" s="1573"/>
      <c r="M46" s="1573"/>
      <c r="N46" s="1573"/>
      <c r="O46" s="1573"/>
      <c r="P46" s="1592"/>
    </row>
    <row r="47" spans="1:16" ht="15" customHeight="1">
      <c r="A47" s="1574" t="s">
        <v>9345</v>
      </c>
      <c r="B47" s="1575"/>
      <c r="C47" s="1575" t="s">
        <v>5934</v>
      </c>
      <c r="D47" s="1575" t="s">
        <v>9346</v>
      </c>
      <c r="E47" s="1575"/>
      <c r="F47" s="1575"/>
      <c r="G47" s="1575" t="s">
        <v>5934</v>
      </c>
      <c r="H47" s="1580">
        <f>(($E$17*((($E$12/100)/2)^2))/9.8)*$E$18</f>
        <v>0.19228180318367299</v>
      </c>
      <c r="I47" s="1575" t="s">
        <v>9335</v>
      </c>
      <c r="J47" s="1575"/>
      <c r="K47" s="1581"/>
      <c r="L47" s="1581"/>
      <c r="M47" s="1581"/>
      <c r="N47" s="1581"/>
      <c r="O47" s="1581"/>
      <c r="P47" s="1594"/>
    </row>
    <row r="48" spans="1:16" s="52" customFormat="1" ht="1.9" customHeight="1">
      <c r="A48" s="1572"/>
      <c r="B48" s="1573"/>
      <c r="C48" s="1573"/>
      <c r="D48" s="1573"/>
      <c r="E48" s="1573"/>
      <c r="F48" s="1573"/>
      <c r="G48" s="1573"/>
      <c r="H48" s="1573"/>
      <c r="I48" s="1573"/>
      <c r="J48" s="1573"/>
      <c r="K48" s="1573"/>
      <c r="L48" s="1573"/>
      <c r="M48" s="1573"/>
      <c r="N48" s="1573"/>
      <c r="O48" s="1573"/>
      <c r="P48" s="1592"/>
    </row>
    <row r="49" spans="1:16" ht="15" customHeight="1">
      <c r="A49" s="1574" t="s">
        <v>9347</v>
      </c>
      <c r="B49" s="1575"/>
      <c r="C49" s="1575" t="s">
        <v>5934</v>
      </c>
      <c r="D49" s="1575" t="s">
        <v>9348</v>
      </c>
      <c r="E49" s="1575"/>
      <c r="F49" s="1575"/>
      <c r="G49" s="1575" t="s">
        <v>5934</v>
      </c>
      <c r="H49" s="1580">
        <f>(($E$19*((($E$12/100)/2)^2))/9.8)*$E$20</f>
        <v>0.180264190484694</v>
      </c>
      <c r="I49" s="1575" t="s">
        <v>9335</v>
      </c>
      <c r="J49" s="1575"/>
      <c r="K49" s="1581"/>
      <c r="L49" s="1581"/>
      <c r="M49" s="1581"/>
      <c r="N49" s="1581"/>
      <c r="O49" s="1581"/>
      <c r="P49" s="1594"/>
    </row>
    <row r="50" spans="1:16" s="52" customFormat="1" ht="1.9" customHeight="1">
      <c r="A50" s="1572"/>
      <c r="B50" s="1573"/>
      <c r="C50" s="1573"/>
      <c r="D50" s="1573"/>
      <c r="E50" s="1573"/>
      <c r="F50" s="1573"/>
      <c r="G50" s="1573"/>
      <c r="H50" s="1573"/>
      <c r="I50" s="1573"/>
      <c r="J50" s="1573"/>
      <c r="K50" s="1573"/>
      <c r="L50" s="1573"/>
      <c r="M50" s="1573"/>
      <c r="N50" s="1573"/>
      <c r="O50" s="1573"/>
      <c r="P50" s="1592"/>
    </row>
    <row r="51" spans="1:16" ht="15" customHeight="1">
      <c r="A51" s="1574" t="s">
        <v>9349</v>
      </c>
      <c r="B51" s="1575"/>
      <c r="C51" s="1575" t="s">
        <v>5934</v>
      </c>
      <c r="D51" s="1575" t="s">
        <v>9350</v>
      </c>
      <c r="E51" s="1575"/>
      <c r="F51" s="1575"/>
      <c r="G51" s="1575" t="s">
        <v>5934</v>
      </c>
      <c r="H51" s="1580">
        <f>$I$39+$H$41+$I$43+$H$45+$H$47+$H$49</f>
        <v>0.67898120910204096</v>
      </c>
      <c r="I51" s="1575" t="s">
        <v>9335</v>
      </c>
      <c r="J51" s="1575"/>
      <c r="K51" s="1581"/>
      <c r="L51" s="1581"/>
      <c r="M51" s="1581"/>
      <c r="N51" s="1581"/>
      <c r="O51" s="1581"/>
      <c r="P51" s="1594"/>
    </row>
    <row r="52" spans="1:16" s="52" customFormat="1" ht="1.9" customHeight="1">
      <c r="A52" s="1572"/>
      <c r="B52" s="1573"/>
      <c r="C52" s="1573"/>
      <c r="D52" s="1573"/>
      <c r="E52" s="1573"/>
      <c r="F52" s="1573"/>
      <c r="G52" s="1573"/>
      <c r="H52" s="1573"/>
      <c r="I52" s="1573"/>
      <c r="J52" s="1573"/>
      <c r="K52" s="1573"/>
      <c r="L52" s="1573"/>
      <c r="M52" s="1573"/>
      <c r="N52" s="1573"/>
      <c r="O52" s="1573"/>
      <c r="P52" s="1592"/>
    </row>
    <row r="53" spans="1:16" ht="15" customHeight="1">
      <c r="A53" s="1574" t="s">
        <v>9351</v>
      </c>
      <c r="B53" s="1575"/>
      <c r="C53" s="1575" t="s">
        <v>5934</v>
      </c>
      <c r="D53" s="1575" t="s">
        <v>9352</v>
      </c>
      <c r="E53" s="1575"/>
      <c r="F53" s="1575"/>
      <c r="G53" s="1575" t="s">
        <v>5934</v>
      </c>
      <c r="H53" s="1580">
        <f>$H$51*(($E$5/$E$7)^2)</f>
        <v>0.67898120910204096</v>
      </c>
      <c r="I53" s="1575" t="s">
        <v>9335</v>
      </c>
      <c r="J53" s="1575"/>
      <c r="K53" s="1581"/>
      <c r="L53" s="1581"/>
      <c r="M53" s="1581"/>
      <c r="N53" s="1581"/>
      <c r="O53" s="1581"/>
      <c r="P53" s="1594"/>
    </row>
    <row r="54" spans="1:16" s="52" customFormat="1" ht="1.9" customHeight="1">
      <c r="A54" s="1572"/>
      <c r="B54" s="1573"/>
      <c r="C54" s="1573"/>
      <c r="D54" s="1573"/>
      <c r="E54" s="1573"/>
      <c r="F54" s="1573"/>
      <c r="G54" s="1573"/>
      <c r="H54" s="1573"/>
      <c r="I54" s="1573"/>
      <c r="J54" s="1573"/>
      <c r="K54" s="1573"/>
      <c r="L54" s="1573"/>
      <c r="M54" s="1573"/>
      <c r="N54" s="1573"/>
      <c r="O54" s="1573"/>
      <c r="P54" s="1592"/>
    </row>
    <row r="55" spans="1:16" ht="15" customHeight="1">
      <c r="A55" s="1574" t="s">
        <v>9353</v>
      </c>
      <c r="B55" s="1575"/>
      <c r="C55" s="1575" t="s">
        <v>5934</v>
      </c>
      <c r="D55" s="1575" t="s">
        <v>9354</v>
      </c>
      <c r="E55" s="1575" t="s">
        <v>5934</v>
      </c>
      <c r="F55" s="1580">
        <f>$G$35+$H$53</f>
        <v>0.68153222951020398</v>
      </c>
      <c r="G55" s="1575" t="s">
        <v>9335</v>
      </c>
      <c r="H55" s="1581"/>
      <c r="I55" s="1581"/>
      <c r="J55" s="1581"/>
      <c r="K55" s="1581"/>
      <c r="L55" s="1581"/>
      <c r="M55" s="1581"/>
      <c r="N55" s="1581"/>
      <c r="O55" s="1581"/>
      <c r="P55" s="1594"/>
    </row>
    <row r="56" spans="1:16" s="52" customFormat="1" ht="1.9" customHeight="1">
      <c r="A56" s="1572"/>
      <c r="B56" s="1573"/>
      <c r="C56" s="1573"/>
      <c r="D56" s="1573"/>
      <c r="E56" s="1573"/>
      <c r="F56" s="1573"/>
      <c r="G56" s="1573"/>
      <c r="H56" s="1573"/>
      <c r="I56" s="1573"/>
      <c r="J56" s="1573"/>
      <c r="K56" s="1573"/>
      <c r="L56" s="1573"/>
      <c r="M56" s="1573"/>
      <c r="N56" s="1573"/>
      <c r="O56" s="1573"/>
      <c r="P56" s="1592"/>
    </row>
    <row r="57" spans="1:16" ht="15" customHeight="1">
      <c r="A57" s="1574" t="s">
        <v>9355</v>
      </c>
      <c r="B57" s="1575"/>
      <c r="C57" s="1575" t="s">
        <v>5934</v>
      </c>
      <c r="D57" s="1575" t="s">
        <v>9356</v>
      </c>
      <c r="E57" s="1575"/>
      <c r="F57" s="1575"/>
      <c r="G57" s="1575"/>
      <c r="H57" s="1575"/>
      <c r="I57" s="1575" t="s">
        <v>5934</v>
      </c>
      <c r="J57" s="1580">
        <f>$E$27*((2*3.1415926/$E$4)*(((360/$E$22)*(30/60))*(360/$E$22)*(E23/2/60)))</f>
        <v>4.8258352994444502</v>
      </c>
      <c r="K57" s="1575" t="s">
        <v>9357</v>
      </c>
      <c r="L57" s="1575"/>
      <c r="M57" s="1581"/>
      <c r="N57" s="1581"/>
      <c r="O57" s="1581"/>
      <c r="P57" s="1594"/>
    </row>
    <row r="58" spans="1:16" s="52" customFormat="1" ht="1.9" customHeight="1">
      <c r="A58" s="1572"/>
      <c r="B58" s="1573"/>
      <c r="C58" s="1573"/>
      <c r="D58" s="1573"/>
      <c r="E58" s="1573"/>
      <c r="F58" s="1573"/>
      <c r="G58" s="1573"/>
      <c r="H58" s="1573"/>
      <c r="I58" s="1573"/>
      <c r="J58" s="1573"/>
      <c r="K58" s="1573"/>
      <c r="L58" s="1573"/>
      <c r="M58" s="1573"/>
      <c r="N58" s="1573"/>
      <c r="O58" s="1573"/>
      <c r="P58" s="1592"/>
    </row>
    <row r="59" spans="1:16" ht="15" customHeight="1">
      <c r="A59" s="1574" t="s">
        <v>9358</v>
      </c>
      <c r="B59" s="1575"/>
      <c r="C59" s="1575" t="s">
        <v>5934</v>
      </c>
      <c r="D59" s="1575" t="s">
        <v>9359</v>
      </c>
      <c r="E59" s="1575" t="s">
        <v>5934</v>
      </c>
      <c r="F59" s="1580">
        <f>$F$55*100*$J$57</f>
        <v>328.896229087942</v>
      </c>
      <c r="G59" s="1575" t="s">
        <v>9360</v>
      </c>
      <c r="H59" s="1581"/>
      <c r="I59" s="1581"/>
      <c r="J59" s="1581"/>
      <c r="K59" s="1581"/>
      <c r="L59" s="1581"/>
      <c r="M59" s="1581"/>
      <c r="N59" s="1581"/>
      <c r="O59" s="1581"/>
      <c r="P59" s="1594"/>
    </row>
    <row r="60" spans="1:16" s="52" customFormat="1" ht="1.9" customHeight="1">
      <c r="A60" s="1572"/>
      <c r="B60" s="1573"/>
      <c r="C60" s="1573"/>
      <c r="D60" s="1573"/>
      <c r="E60" s="1573"/>
      <c r="F60" s="1573"/>
      <c r="G60" s="1573"/>
      <c r="H60" s="1573"/>
      <c r="I60" s="1573"/>
      <c r="J60" s="1573"/>
      <c r="K60" s="1573"/>
      <c r="L60" s="1573"/>
      <c r="M60" s="1573"/>
      <c r="N60" s="1573"/>
      <c r="O60" s="1573"/>
      <c r="P60" s="1592"/>
    </row>
    <row r="61" spans="1:16" ht="15" customHeight="1">
      <c r="A61" s="1582" t="s">
        <v>9361</v>
      </c>
      <c r="B61" s="1583"/>
      <c r="C61" s="1584" t="s">
        <v>272</v>
      </c>
      <c r="D61" s="1585" t="s">
        <v>272</v>
      </c>
      <c r="E61" s="1581"/>
      <c r="F61" s="1581"/>
      <c r="G61" s="1581"/>
      <c r="H61" s="1581"/>
      <c r="I61" s="1581"/>
      <c r="J61" s="1581"/>
      <c r="K61" s="1581"/>
      <c r="L61" s="1581"/>
      <c r="M61" s="1581"/>
      <c r="N61" s="1581"/>
      <c r="O61" s="1581"/>
      <c r="P61" s="1594"/>
    </row>
    <row r="62" spans="1:16" ht="15" customHeight="1">
      <c r="A62" s="1574" t="s">
        <v>9362</v>
      </c>
      <c r="B62" s="1575"/>
      <c r="C62" s="1575" t="s">
        <v>5934</v>
      </c>
      <c r="D62" s="1575" t="s">
        <v>9363</v>
      </c>
      <c r="E62" s="1575"/>
      <c r="F62" s="1575" t="s">
        <v>5934</v>
      </c>
      <c r="G62" s="1580">
        <f>E29*((E15*E16/2)+($E$17*$E$18)/2+($E$19*$E$20))*E12/2</f>
        <v>271.78480000000002</v>
      </c>
      <c r="H62" s="1575" t="s">
        <v>9360</v>
      </c>
      <c r="I62" s="1581"/>
      <c r="J62" s="1581"/>
      <c r="K62" s="1581"/>
      <c r="L62" s="1595"/>
      <c r="M62" s="1581"/>
      <c r="N62" s="1581"/>
      <c r="O62" s="1581"/>
      <c r="P62" s="1594"/>
    </row>
    <row r="63" spans="1:16" ht="15" customHeight="1">
      <c r="A63" s="1586" t="s">
        <v>9364</v>
      </c>
      <c r="B63" s="1587"/>
      <c r="C63" s="1588"/>
      <c r="D63" s="1589"/>
      <c r="E63" s="1587"/>
      <c r="F63" s="1587"/>
      <c r="G63" s="1587"/>
      <c r="H63" s="1581"/>
      <c r="I63" s="1581"/>
      <c r="J63" s="1581"/>
      <c r="K63" s="1581"/>
      <c r="L63" s="1581"/>
      <c r="M63" s="1581"/>
      <c r="N63" s="1581"/>
      <c r="O63" s="1581"/>
      <c r="P63" s="1594"/>
    </row>
    <row r="64" spans="1:16" s="52" customFormat="1" ht="1.9" customHeight="1">
      <c r="A64" s="1572"/>
      <c r="B64" s="1573"/>
      <c r="C64" s="1573"/>
      <c r="D64" s="1573"/>
      <c r="E64" s="1573"/>
      <c r="F64" s="1573"/>
      <c r="G64" s="1573"/>
      <c r="H64" s="1573"/>
      <c r="I64" s="1573"/>
      <c r="J64" s="1573"/>
      <c r="K64" s="1573"/>
      <c r="L64" s="1573"/>
      <c r="M64" s="1573"/>
      <c r="N64" s="1573"/>
      <c r="O64" s="1573"/>
      <c r="P64" s="1592"/>
    </row>
    <row r="65" spans="1:16" ht="15" customHeight="1">
      <c r="A65" s="1574" t="s">
        <v>9365</v>
      </c>
      <c r="B65" s="1575"/>
      <c r="C65" s="1575" t="s">
        <v>5934</v>
      </c>
      <c r="D65" s="1575" t="s">
        <v>9366</v>
      </c>
      <c r="E65" s="1575"/>
      <c r="F65" s="1575" t="s">
        <v>5934</v>
      </c>
      <c r="G65" s="1580">
        <f>$G$62*($E$5/$E$7)</f>
        <v>271.78480000000002</v>
      </c>
      <c r="H65" s="1575" t="s">
        <v>9360</v>
      </c>
      <c r="I65" s="1581"/>
      <c r="J65" s="1581"/>
      <c r="K65" s="1581"/>
      <c r="L65" s="1581"/>
      <c r="M65" s="1581"/>
      <c r="N65" s="1581"/>
      <c r="O65" s="1581"/>
      <c r="P65" s="1594"/>
    </row>
    <row r="66" spans="1:16" s="52" customFormat="1" ht="1.9" customHeight="1">
      <c r="A66" s="1572"/>
      <c r="B66" s="1573"/>
      <c r="C66" s="1573"/>
      <c r="D66" s="1573"/>
      <c r="E66" s="1573"/>
      <c r="F66" s="1573"/>
      <c r="G66" s="1573"/>
      <c r="H66" s="1573"/>
      <c r="I66" s="1573"/>
      <c r="J66" s="1573"/>
      <c r="K66" s="1573"/>
      <c r="L66" s="1573"/>
      <c r="M66" s="1573"/>
      <c r="N66" s="1573"/>
      <c r="O66" s="1573"/>
      <c r="P66" s="1592"/>
    </row>
    <row r="67" spans="1:16" ht="15" customHeight="1">
      <c r="A67" s="1582" t="s">
        <v>9367</v>
      </c>
      <c r="B67" s="1583"/>
      <c r="C67" s="1581"/>
      <c r="D67" s="1581"/>
      <c r="E67" s="1581"/>
      <c r="F67" s="1581"/>
      <c r="G67" s="1581"/>
      <c r="H67" s="1581"/>
      <c r="I67" s="1581"/>
      <c r="J67" s="1581"/>
      <c r="K67" s="1581"/>
      <c r="L67" s="1581"/>
      <c r="M67" s="1581"/>
      <c r="N67" s="1581"/>
      <c r="O67" s="1581"/>
      <c r="P67" s="1594"/>
    </row>
    <row r="68" spans="1:16" s="52" customFormat="1" ht="1.9" customHeight="1">
      <c r="A68" s="1572"/>
      <c r="B68" s="1573"/>
      <c r="C68" s="1573"/>
      <c r="D68" s="1573"/>
      <c r="E68" s="1573"/>
      <c r="F68" s="1573"/>
      <c r="G68" s="1573"/>
      <c r="H68" s="1573"/>
      <c r="I68" s="1573"/>
      <c r="J68" s="1573"/>
      <c r="K68" s="1573"/>
      <c r="L68" s="1573"/>
      <c r="M68" s="1573"/>
      <c r="N68" s="1573"/>
      <c r="O68" s="1573"/>
      <c r="P68" s="1592"/>
    </row>
    <row r="69" spans="1:16" ht="15" customHeight="1">
      <c r="A69" s="1574" t="s">
        <v>9368</v>
      </c>
      <c r="B69" s="1575"/>
      <c r="C69" s="1575" t="s">
        <v>5934</v>
      </c>
      <c r="D69" s="1575" t="s">
        <v>9369</v>
      </c>
      <c r="E69" s="1575"/>
      <c r="F69" s="1575" t="s">
        <v>5934</v>
      </c>
      <c r="G69" s="1580">
        <f>($F$59+$G$62+0)/100</f>
        <v>6.0068102908794199</v>
      </c>
      <c r="H69" s="1575" t="s">
        <v>9261</v>
      </c>
      <c r="I69" s="1581"/>
      <c r="J69" s="1581"/>
      <c r="K69" s="1581"/>
      <c r="L69" s="1581"/>
      <c r="M69" s="1581"/>
      <c r="N69" s="1581"/>
      <c r="O69" s="1581"/>
      <c r="P69" s="1594"/>
    </row>
    <row r="70" spans="1:16" s="52" customFormat="1" ht="1.9" customHeight="1">
      <c r="A70" s="1572"/>
      <c r="B70" s="1573"/>
      <c r="C70" s="1573"/>
      <c r="D70" s="1573"/>
      <c r="E70" s="1573"/>
      <c r="F70" s="1573"/>
      <c r="G70" s="1573"/>
      <c r="H70" s="1573"/>
      <c r="I70" s="1573"/>
      <c r="J70" s="1573"/>
      <c r="K70" s="1573"/>
      <c r="L70" s="1573"/>
      <c r="M70" s="1573"/>
      <c r="N70" s="1573"/>
      <c r="O70" s="1573"/>
      <c r="P70" s="1592"/>
    </row>
    <row r="71" spans="1:16" ht="15" customHeight="1">
      <c r="A71" s="1574" t="s">
        <v>9370</v>
      </c>
      <c r="B71" s="1575"/>
      <c r="C71" s="1575" t="s">
        <v>5934</v>
      </c>
      <c r="D71" s="1575" t="s">
        <v>9255</v>
      </c>
      <c r="E71" s="1575"/>
      <c r="F71" s="1575" t="s">
        <v>5934</v>
      </c>
      <c r="G71" s="1580">
        <f>$G$69*2</f>
        <v>12.013620581758801</v>
      </c>
      <c r="H71" s="1575" t="s">
        <v>9261</v>
      </c>
      <c r="I71" s="1581"/>
      <c r="J71" s="1581"/>
      <c r="K71" s="1581"/>
      <c r="L71" s="1581"/>
      <c r="M71" s="1581"/>
      <c r="N71" s="1581"/>
      <c r="O71" s="1581"/>
      <c r="P71" s="1594"/>
    </row>
    <row r="72" spans="1:16" s="52" customFormat="1" ht="1.9" customHeight="1">
      <c r="A72" s="1572"/>
      <c r="B72" s="1573"/>
      <c r="C72" s="1573"/>
      <c r="D72" s="1573"/>
      <c r="E72" s="1573"/>
      <c r="F72" s="1573"/>
      <c r="G72" s="1573"/>
      <c r="H72" s="1573"/>
      <c r="I72" s="1573"/>
      <c r="J72" s="1573"/>
      <c r="K72" s="1573"/>
      <c r="L72" s="1573"/>
      <c r="M72" s="1573"/>
      <c r="N72" s="1573"/>
      <c r="O72" s="1573"/>
      <c r="P72" s="1592"/>
    </row>
    <row r="73" spans="1:16" ht="15" customHeight="1">
      <c r="A73" s="1574" t="s">
        <v>9371</v>
      </c>
      <c r="B73" s="1575"/>
      <c r="C73" s="1575"/>
      <c r="D73" s="1575"/>
      <c r="E73" s="1575"/>
      <c r="F73" s="1575"/>
      <c r="G73" s="1575"/>
      <c r="H73" s="1575" t="s">
        <v>5934</v>
      </c>
      <c r="I73" s="1575" t="s">
        <v>9260</v>
      </c>
      <c r="J73" s="1575"/>
      <c r="K73" s="1575"/>
      <c r="L73" s="1575"/>
      <c r="M73" s="1575"/>
      <c r="N73" s="1575" t="s">
        <v>5934</v>
      </c>
      <c r="O73" s="1580">
        <f>(360/($E$4*$E$22))*$E$28*($G$71+0)</f>
        <v>3.9644947919804099</v>
      </c>
      <c r="P73" s="1604" t="s">
        <v>9261</v>
      </c>
    </row>
    <row r="74" spans="1:16" s="52" customFormat="1" ht="1.9" customHeight="1">
      <c r="A74" s="1572"/>
      <c r="B74" s="1573"/>
      <c r="C74" s="1573"/>
      <c r="D74" s="1573"/>
      <c r="E74" s="1573"/>
      <c r="F74" s="1573"/>
      <c r="G74" s="1573"/>
      <c r="H74" s="1573"/>
      <c r="I74" s="1573"/>
      <c r="J74" s="1573"/>
      <c r="K74" s="1573"/>
      <c r="L74" s="1573"/>
      <c r="M74" s="1573"/>
      <c r="N74" s="1573"/>
      <c r="O74" s="1573"/>
      <c r="P74" s="1592"/>
    </row>
    <row r="75" spans="1:16" ht="15" customHeight="1">
      <c r="A75" s="1574" t="s">
        <v>9372</v>
      </c>
      <c r="B75" s="1575"/>
      <c r="C75" s="1575" t="s">
        <v>5934</v>
      </c>
      <c r="D75" s="1575" t="s">
        <v>9263</v>
      </c>
      <c r="E75" s="1575"/>
      <c r="F75" s="1575"/>
      <c r="G75" s="1575" t="s">
        <v>5934</v>
      </c>
      <c r="H75" s="1580">
        <f>($O$73*$E$23)/(716*0.6)</f>
        <v>0.46141699161783201</v>
      </c>
      <c r="I75" s="1581" t="s">
        <v>9265</v>
      </c>
      <c r="J75" s="1581"/>
      <c r="K75" s="1581"/>
      <c r="L75" s="1581"/>
      <c r="M75" s="1581"/>
      <c r="N75" s="1581"/>
      <c r="O75" s="1581"/>
      <c r="P75" s="1594"/>
    </row>
    <row r="76" spans="1:16" ht="1.9" customHeight="1">
      <c r="A76" s="1596"/>
      <c r="B76" s="1597"/>
      <c r="C76" s="1598"/>
      <c r="D76" s="1598"/>
      <c r="E76" s="1598"/>
      <c r="F76" s="1598"/>
      <c r="G76" s="1598"/>
      <c r="H76" s="1598"/>
      <c r="I76" s="1598"/>
      <c r="J76" s="1598"/>
      <c r="K76" s="1598"/>
      <c r="L76" s="1598"/>
      <c r="M76" s="1598"/>
      <c r="N76" s="1598"/>
      <c r="O76" s="1598"/>
      <c r="P76" s="1605"/>
    </row>
    <row r="77" spans="1:16" ht="15" customHeight="1">
      <c r="A77" s="1599" t="s">
        <v>9373</v>
      </c>
      <c r="B77" s="1600"/>
      <c r="C77" s="1601" t="s">
        <v>5934</v>
      </c>
      <c r="D77" s="1601" t="s">
        <v>9267</v>
      </c>
      <c r="E77" s="1601"/>
      <c r="F77" s="1601"/>
      <c r="G77" s="1601" t="s">
        <v>5934</v>
      </c>
      <c r="H77" s="1602">
        <f>($O$73*$E$23)/(975*0.6)</f>
        <v>0.33884570871627501</v>
      </c>
      <c r="I77" s="1601" t="s">
        <v>9268</v>
      </c>
      <c r="J77" s="1606"/>
      <c r="K77" s="1606"/>
      <c r="L77" s="1606"/>
      <c r="M77" s="1606"/>
      <c r="N77" s="1606"/>
      <c r="O77" s="1606"/>
      <c r="P77" s="1606"/>
    </row>
    <row r="79" spans="1:16" s="1540" customFormat="1" ht="39.6" customHeight="1">
      <c r="A79" s="1603" t="s">
        <v>9374</v>
      </c>
    </row>
    <row r="110" spans="15:15" ht="22.5">
      <c r="O110" s="3177" t="s">
        <v>12716</v>
      </c>
    </row>
  </sheetData>
  <mergeCells count="4">
    <mergeCell ref="A1:N1"/>
    <mergeCell ref="A2:N2"/>
    <mergeCell ref="A4:A31"/>
    <mergeCell ref="N4:N10"/>
  </mergeCells>
  <phoneticPr fontId="378" type="noConversion"/>
  <dataValidations count="1">
    <dataValidation type="whole" errorStyle="warning" allowBlank="1" showInputMessage="1" showErrorMessage="1" errorTitle="輸入分割等份" error="請輸入0到999之間的整數" sqref="E5:E21">
      <formula1>1</formula1>
      <formula2>999</formula2>
    </dataValidation>
  </dataValidations>
  <hyperlinks>
    <hyperlink ref="O1" location="总目录!A1" display="总目录!A1"/>
    <hyperlink ref="O32" location="总目录!A1" display="总目录!A1"/>
    <hyperlink ref="O110" location="总目录!A1" display="总目录!A1"/>
  </hyperlinks>
  <pageMargins left="0.75" right="0.75" top="1" bottom="1" header="0.5" footer="0.5"/>
  <pageSetup paperSize="9" orientation="portrait"/>
  <headerFooter scaleWithDoc="0" alignWithMargins="0"/>
  <drawing r:id="rId1"/>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4"/>
  <sheetViews>
    <sheetView showGridLines="0" topLeftCell="A70" zoomScale="70" zoomScaleNormal="70" workbookViewId="0">
      <selection activeCell="G84" sqref="G84"/>
    </sheetView>
  </sheetViews>
  <sheetFormatPr defaultColWidth="8" defaultRowHeight="26.25" customHeight="1"/>
  <cols>
    <col min="1" max="1" width="8" style="1464"/>
    <col min="2" max="2" width="33.875" style="1464" customWidth="1"/>
    <col min="3" max="3" width="4" style="1464" customWidth="1"/>
    <col min="4" max="4" width="9" style="1464" customWidth="1"/>
    <col min="5" max="5" width="8" style="1464"/>
    <col min="6" max="6" width="8.5" style="1464"/>
    <col min="7" max="7" width="8" style="1464"/>
    <col min="8" max="8" width="12.75" style="1464"/>
    <col min="9" max="9" width="8" style="1464"/>
    <col min="10" max="10" width="10.625" style="1464"/>
    <col min="11" max="12" width="8" style="1464"/>
    <col min="13" max="13" width="16" style="1464" customWidth="1"/>
    <col min="14" max="14" width="23.5" style="1464" customWidth="1"/>
    <col min="15" max="15" width="11" style="1464"/>
    <col min="16" max="16384" width="8" style="1464"/>
  </cols>
  <sheetData>
    <row r="1" spans="1:17" ht="49.9" customHeight="1">
      <c r="A1" s="4197" t="s">
        <v>9375</v>
      </c>
      <c r="B1" s="4197"/>
      <c r="C1" s="4197"/>
      <c r="D1" s="4197"/>
      <c r="E1" s="4197"/>
      <c r="F1" s="4197"/>
      <c r="G1" s="4197"/>
      <c r="H1" s="4197"/>
      <c r="I1" s="4197"/>
      <c r="J1" s="4197"/>
      <c r="M1" s="3160" t="s">
        <v>12716</v>
      </c>
    </row>
    <row r="2" spans="1:17" ht="33" customHeight="1">
      <c r="A2" s="4198" t="s">
        <v>9376</v>
      </c>
      <c r="B2" s="4198"/>
      <c r="C2" s="4198"/>
      <c r="D2" s="4198"/>
      <c r="E2" s="4198"/>
      <c r="F2" s="4198"/>
      <c r="G2" s="4198"/>
      <c r="H2" s="4198"/>
      <c r="I2" s="4198"/>
      <c r="J2" s="4198"/>
      <c r="K2" s="4198"/>
      <c r="L2" s="4198"/>
      <c r="M2" s="4198"/>
      <c r="N2" s="4198"/>
    </row>
    <row r="3" spans="1:17" ht="26.25" customHeight="1">
      <c r="A3" s="4213" t="s">
        <v>9205</v>
      </c>
      <c r="B3" s="1465" t="s">
        <v>9377</v>
      </c>
      <c r="C3" s="2798" t="s">
        <v>5934</v>
      </c>
      <c r="D3" s="1466">
        <v>6</v>
      </c>
      <c r="E3" s="1467"/>
    </row>
    <row r="4" spans="1:17" ht="26.25" customHeight="1">
      <c r="A4" s="4213"/>
      <c r="B4" s="1468" t="s">
        <v>9378</v>
      </c>
      <c r="C4" s="2799" t="s">
        <v>5934</v>
      </c>
      <c r="D4" s="1469">
        <v>1</v>
      </c>
      <c r="E4" s="1470" t="s">
        <v>9213</v>
      </c>
    </row>
    <row r="5" spans="1:17" ht="26.25" customHeight="1">
      <c r="A5" s="4213"/>
      <c r="B5" s="1471" t="s">
        <v>9379</v>
      </c>
      <c r="C5" s="2800" t="s">
        <v>5934</v>
      </c>
      <c r="D5" s="1469">
        <v>1</v>
      </c>
      <c r="E5" s="1472" t="s">
        <v>9213</v>
      </c>
      <c r="K5" s="1486"/>
      <c r="M5" s="4196" t="s">
        <v>9274</v>
      </c>
      <c r="N5" s="1267" t="s">
        <v>9275</v>
      </c>
      <c r="O5" s="1521">
        <f>D75</f>
        <v>6.6542093133407301</v>
      </c>
      <c r="P5" s="1246" t="s">
        <v>9276</v>
      </c>
      <c r="Q5" s="1221"/>
    </row>
    <row r="6" spans="1:17" ht="26.25" customHeight="1">
      <c r="A6" s="4213"/>
      <c r="B6" s="1468" t="s">
        <v>9380</v>
      </c>
      <c r="C6" s="2799" t="s">
        <v>5934</v>
      </c>
      <c r="D6" s="1469">
        <v>100</v>
      </c>
      <c r="E6" s="1472" t="s">
        <v>2016</v>
      </c>
      <c r="M6" s="4196"/>
      <c r="N6" s="1255"/>
      <c r="O6" s="1247"/>
      <c r="P6" s="1247"/>
      <c r="Q6" s="1221"/>
    </row>
    <row r="7" spans="1:17" ht="26.25" customHeight="1">
      <c r="A7" s="4213"/>
      <c r="B7" s="1471" t="s">
        <v>9381</v>
      </c>
      <c r="C7" s="2800" t="s">
        <v>5934</v>
      </c>
      <c r="D7" s="1469">
        <v>40</v>
      </c>
      <c r="E7" s="1472" t="s">
        <v>9278</v>
      </c>
      <c r="M7" s="4196"/>
      <c r="N7" s="1223" t="s">
        <v>9282</v>
      </c>
      <c r="O7" s="1522">
        <f>D81</f>
        <v>0.32174198877691501</v>
      </c>
      <c r="P7" s="1246" t="s">
        <v>2003</v>
      </c>
      <c r="Q7" s="1221"/>
    </row>
    <row r="8" spans="1:17" ht="26.25" customHeight="1">
      <c r="A8" s="4213"/>
      <c r="B8" s="1468" t="s">
        <v>9382</v>
      </c>
      <c r="C8" s="2799" t="s">
        <v>5934</v>
      </c>
      <c r="D8" s="1469">
        <v>15</v>
      </c>
      <c r="E8" s="1472" t="s">
        <v>6081</v>
      </c>
      <c r="M8" s="4196"/>
      <c r="N8" s="1221"/>
      <c r="O8" s="1221"/>
      <c r="P8" s="1221"/>
      <c r="Q8" s="1221"/>
    </row>
    <row r="9" spans="1:17" ht="26.25" customHeight="1">
      <c r="A9" s="4213"/>
      <c r="B9" s="1471" t="s">
        <v>9383</v>
      </c>
      <c r="C9" s="2800" t="s">
        <v>5934</v>
      </c>
      <c r="D9" s="1469">
        <v>10</v>
      </c>
      <c r="E9" s="1472" t="s">
        <v>9278</v>
      </c>
      <c r="G9" s="1463"/>
      <c r="M9" s="4196"/>
      <c r="N9" s="1223" t="s">
        <v>9286</v>
      </c>
      <c r="O9" s="1521">
        <f>D67</f>
        <v>1.0132499531250001</v>
      </c>
      <c r="P9" s="1246" t="s">
        <v>9384</v>
      </c>
      <c r="Q9" s="1221"/>
    </row>
    <row r="10" spans="1:17" ht="26.25" customHeight="1">
      <c r="A10" s="4213"/>
      <c r="B10" s="1468" t="s">
        <v>9385</v>
      </c>
      <c r="C10" s="2799" t="s">
        <v>5934</v>
      </c>
      <c r="D10" s="1469">
        <v>5</v>
      </c>
      <c r="E10" s="1472" t="s">
        <v>9386</v>
      </c>
      <c r="M10" s="4196"/>
      <c r="N10" s="1221"/>
      <c r="O10" s="1221"/>
      <c r="P10" s="1221"/>
      <c r="Q10" s="1221"/>
    </row>
    <row r="11" spans="1:17" ht="26.25" customHeight="1">
      <c r="A11" s="4213"/>
      <c r="B11" s="1471" t="s">
        <v>9387</v>
      </c>
      <c r="C11" s="2800" t="s">
        <v>5934</v>
      </c>
      <c r="D11" s="1469">
        <v>1.5</v>
      </c>
      <c r="E11" s="1472" t="s">
        <v>9388</v>
      </c>
      <c r="M11" s="4196"/>
      <c r="N11" s="1223" t="s">
        <v>9291</v>
      </c>
      <c r="O11" s="1521">
        <f>D58</f>
        <v>2.31385470354537</v>
      </c>
      <c r="P11" s="1246" t="s">
        <v>9292</v>
      </c>
      <c r="Q11" s="1221"/>
    </row>
    <row r="12" spans="1:17" ht="26.25" customHeight="1">
      <c r="A12" s="4213"/>
      <c r="B12" s="1468" t="s">
        <v>9389</v>
      </c>
      <c r="C12" s="2799" t="s">
        <v>5934</v>
      </c>
      <c r="D12" s="1469">
        <v>1</v>
      </c>
      <c r="E12" s="1472" t="s">
        <v>9388</v>
      </c>
    </row>
    <row r="13" spans="1:17" ht="26.25" customHeight="1">
      <c r="A13" s="4213"/>
      <c r="B13" s="1471" t="s">
        <v>9390</v>
      </c>
      <c r="C13" s="2800" t="s">
        <v>5934</v>
      </c>
      <c r="D13" s="1469">
        <v>24</v>
      </c>
      <c r="E13" s="1472" t="s">
        <v>9391</v>
      </c>
    </row>
    <row r="14" spans="1:17" ht="26.25" customHeight="1">
      <c r="A14" s="4213"/>
      <c r="B14" s="1473" t="s">
        <v>9392</v>
      </c>
      <c r="C14" s="2799" t="s">
        <v>5934</v>
      </c>
      <c r="D14" s="1469">
        <v>25</v>
      </c>
      <c r="E14" s="1472" t="s">
        <v>9278</v>
      </c>
      <c r="G14" s="1463"/>
      <c r="H14" s="1463"/>
    </row>
    <row r="15" spans="1:17" ht="26.25" customHeight="1">
      <c r="A15" s="4213"/>
      <c r="B15" s="1471" t="s">
        <v>9393</v>
      </c>
      <c r="C15" s="2800" t="s">
        <v>5934</v>
      </c>
      <c r="D15" s="1469">
        <v>25</v>
      </c>
      <c r="E15" s="1472" t="s">
        <v>9278</v>
      </c>
      <c r="G15" s="1463"/>
    </row>
    <row r="16" spans="1:17" ht="26.25" customHeight="1">
      <c r="A16" s="4213"/>
      <c r="B16" s="1468" t="s">
        <v>9394</v>
      </c>
      <c r="C16" s="2799" t="s">
        <v>5934</v>
      </c>
      <c r="D16" s="1474">
        <f>360*(D4/(D4+D5))</f>
        <v>180</v>
      </c>
      <c r="E16" s="1475" t="s">
        <v>8920</v>
      </c>
      <c r="F16" s="1476"/>
      <c r="G16" s="1477"/>
    </row>
    <row r="17" spans="1:17" ht="26.25" customHeight="1">
      <c r="A17" s="4213"/>
      <c r="B17" s="1471" t="s">
        <v>9395</v>
      </c>
      <c r="C17" s="2800" t="s">
        <v>5934</v>
      </c>
      <c r="D17" s="1478">
        <v>60</v>
      </c>
      <c r="E17" s="1479" t="s">
        <v>9396</v>
      </c>
    </row>
    <row r="18" spans="1:17" ht="26.25" customHeight="1">
      <c r="A18" s="4213"/>
      <c r="B18" s="1468" t="s">
        <v>9397</v>
      </c>
      <c r="C18" s="2799" t="s">
        <v>5934</v>
      </c>
      <c r="D18" s="1469">
        <v>1.5</v>
      </c>
      <c r="E18" s="1472" t="s">
        <v>9278</v>
      </c>
    </row>
    <row r="19" spans="1:17" ht="26.25" customHeight="1">
      <c r="A19" s="4213"/>
      <c r="B19" s="1480" t="s">
        <v>9398</v>
      </c>
      <c r="C19" s="1481" t="s">
        <v>5934</v>
      </c>
      <c r="D19" s="1482">
        <v>2</v>
      </c>
      <c r="E19" s="1472"/>
    </row>
    <row r="20" spans="1:17" ht="26.25" customHeight="1">
      <c r="A20" s="4213"/>
      <c r="B20" s="1483" t="s">
        <v>9399</v>
      </c>
      <c r="C20" s="1484" t="s">
        <v>5934</v>
      </c>
      <c r="D20" s="1482">
        <v>0.15</v>
      </c>
      <c r="E20" s="1472"/>
      <c r="L20" s="1523"/>
      <c r="M20" s="1524"/>
      <c r="N20" s="1525"/>
      <c r="O20" s="1524"/>
    </row>
    <row r="21" spans="1:17" ht="26.25" customHeight="1">
      <c r="A21" s="4213"/>
      <c r="B21" s="1480" t="s">
        <v>9400</v>
      </c>
      <c r="C21" s="1481" t="s">
        <v>5934</v>
      </c>
      <c r="D21" s="1482">
        <v>0.7</v>
      </c>
      <c r="E21" s="1472"/>
      <c r="L21" s="1523"/>
      <c r="M21" s="1524"/>
      <c r="N21" s="1525"/>
      <c r="O21" s="1524"/>
      <c r="P21" s="1463"/>
      <c r="Q21" s="1463"/>
    </row>
    <row r="22" spans="1:17" ht="26.25" customHeight="1">
      <c r="A22" s="4214" t="s">
        <v>9401</v>
      </c>
      <c r="B22" s="1468" t="s">
        <v>9402</v>
      </c>
      <c r="C22" s="2801" t="s">
        <v>5934</v>
      </c>
      <c r="D22" s="1485">
        <v>1.76</v>
      </c>
      <c r="G22" s="1486"/>
      <c r="H22" s="1487"/>
      <c r="K22" s="1463"/>
      <c r="L22" s="1463"/>
      <c r="M22" s="1463"/>
      <c r="N22" s="1463"/>
      <c r="O22" s="1524"/>
      <c r="P22" s="1463"/>
      <c r="Q22" s="1463"/>
    </row>
    <row r="23" spans="1:17" ht="26.25" customHeight="1">
      <c r="A23" s="4215"/>
      <c r="B23" s="1471" t="s">
        <v>9403</v>
      </c>
      <c r="C23" s="2802" t="s">
        <v>5934</v>
      </c>
      <c r="D23" s="1485">
        <v>5.53</v>
      </c>
      <c r="K23" s="1463"/>
      <c r="L23" s="1463"/>
      <c r="M23" s="1463"/>
      <c r="N23" s="1463"/>
      <c r="O23" s="1524"/>
      <c r="P23" s="1463"/>
      <c r="Q23" s="1463"/>
    </row>
    <row r="24" spans="1:17" ht="26.25" customHeight="1">
      <c r="A24" s="4216"/>
      <c r="B24" s="1468" t="s">
        <v>9404</v>
      </c>
      <c r="C24" s="2801" t="s">
        <v>5934</v>
      </c>
      <c r="D24" s="1485">
        <v>0.99</v>
      </c>
      <c r="G24" s="1476"/>
      <c r="K24" s="1463"/>
      <c r="L24" s="1463"/>
      <c r="M24" s="1463"/>
      <c r="N24" s="1463"/>
      <c r="O24" s="1524"/>
      <c r="P24" s="1463"/>
      <c r="Q24" s="1463"/>
    </row>
    <row r="25" spans="1:17" ht="26.25" customHeight="1">
      <c r="A25" s="1488"/>
      <c r="K25" s="1463"/>
      <c r="L25" s="1463"/>
      <c r="M25" s="1463"/>
      <c r="N25" s="1463"/>
      <c r="O25" s="1463"/>
      <c r="P25" s="1463"/>
      <c r="Q25" s="1463"/>
    </row>
    <row r="26" spans="1:17" ht="26.25" customHeight="1">
      <c r="A26" s="1488"/>
      <c r="I26" s="1464" t="s">
        <v>272</v>
      </c>
    </row>
    <row r="27" spans="1:17" ht="12" customHeight="1">
      <c r="B27" s="1464" t="s">
        <v>272</v>
      </c>
      <c r="D27" s="1464" t="s">
        <v>272</v>
      </c>
    </row>
    <row r="28" spans="1:17" ht="49.15" customHeight="1">
      <c r="A28" s="4199" t="s">
        <v>9405</v>
      </c>
      <c r="B28" s="4199"/>
      <c r="C28" s="4199"/>
      <c r="D28" s="4199"/>
      <c r="E28" s="4199"/>
      <c r="F28" s="4199"/>
      <c r="G28" s="4199"/>
      <c r="H28" s="4199"/>
      <c r="I28" s="4199"/>
      <c r="J28" s="3160" t="s">
        <v>12716</v>
      </c>
    </row>
    <row r="29" spans="1:17" ht="10.15" customHeight="1">
      <c r="C29" s="1489"/>
      <c r="D29" s="1489"/>
    </row>
    <row r="30" spans="1:17" ht="26.25" customHeight="1">
      <c r="A30" s="4217" t="s">
        <v>9406</v>
      </c>
      <c r="B30" s="4218" t="s">
        <v>9407</v>
      </c>
      <c r="C30" s="1490" t="s">
        <v>5934</v>
      </c>
      <c r="D30" s="1491" t="s">
        <v>9408</v>
      </c>
      <c r="E30" s="1492"/>
      <c r="F30" s="1492"/>
      <c r="G30" s="1492"/>
    </row>
    <row r="31" spans="1:17" ht="26.25" customHeight="1">
      <c r="A31" s="4217"/>
      <c r="B31" s="4218"/>
      <c r="C31" s="1490" t="s">
        <v>5934</v>
      </c>
      <c r="D31" s="1493">
        <f>3.1415*D17*D17*D18*7.8/4/1000</f>
        <v>33.079994999999997</v>
      </c>
      <c r="E31" s="1494" t="s">
        <v>6081</v>
      </c>
      <c r="F31" s="1495"/>
      <c r="G31" s="1495"/>
    </row>
    <row r="32" spans="1:17" ht="9" customHeight="1">
      <c r="A32" s="4217"/>
      <c r="B32" s="1496"/>
      <c r="D32" s="1489"/>
    </row>
    <row r="33" spans="1:10" ht="26.25" customHeight="1">
      <c r="A33" s="4217"/>
      <c r="B33" s="4219" t="s">
        <v>9409</v>
      </c>
      <c r="C33" s="2793" t="s">
        <v>5934</v>
      </c>
      <c r="D33" s="4200" t="s">
        <v>9410</v>
      </c>
      <c r="E33" s="4201"/>
      <c r="H33" s="1463"/>
    </row>
    <row r="34" spans="1:10" ht="26.25" customHeight="1">
      <c r="A34" s="4217"/>
      <c r="B34" s="4220"/>
      <c r="C34" s="1497" t="s">
        <v>5934</v>
      </c>
      <c r="D34" s="1493">
        <f>D11*D13</f>
        <v>36</v>
      </c>
      <c r="E34" s="1494" t="s">
        <v>9220</v>
      </c>
    </row>
    <row r="35" spans="1:10" ht="9" customHeight="1">
      <c r="A35" s="4217"/>
      <c r="D35" s="1489"/>
    </row>
    <row r="36" spans="1:10" ht="26.25" customHeight="1">
      <c r="A36" s="4217"/>
      <c r="B36" s="4219" t="s">
        <v>9411</v>
      </c>
      <c r="C36" s="1497" t="s">
        <v>5934</v>
      </c>
      <c r="D36" s="4202" t="s">
        <v>9412</v>
      </c>
      <c r="E36" s="4203"/>
      <c r="F36" s="1476"/>
      <c r="G36" s="1477"/>
      <c r="J36" s="1526"/>
    </row>
    <row r="37" spans="1:10" ht="26.25" customHeight="1">
      <c r="A37" s="4217"/>
      <c r="B37" s="4220"/>
      <c r="C37" s="1497" t="s">
        <v>5934</v>
      </c>
      <c r="D37" s="1498">
        <f>D12*D13</f>
        <v>24</v>
      </c>
      <c r="E37" s="1494" t="s">
        <v>9220</v>
      </c>
      <c r="F37" s="1476"/>
      <c r="G37" s="1487"/>
    </row>
    <row r="38" spans="1:10" ht="9" customHeight="1">
      <c r="C38" s="1489"/>
      <c r="D38" s="1499"/>
      <c r="F38" s="1476"/>
      <c r="G38" s="1487"/>
    </row>
    <row r="39" spans="1:10" ht="26.25" customHeight="1">
      <c r="A39" s="4217" t="s">
        <v>9413</v>
      </c>
      <c r="B39" s="4221" t="s">
        <v>9414</v>
      </c>
      <c r="C39" s="2803" t="s">
        <v>5934</v>
      </c>
      <c r="D39" s="1501" t="s">
        <v>9415</v>
      </c>
      <c r="E39" s="1502"/>
      <c r="F39" s="1502"/>
    </row>
    <row r="40" spans="1:10" ht="26.25" customHeight="1">
      <c r="A40" s="4217"/>
      <c r="B40" s="4221"/>
      <c r="C40" s="1500" t="s">
        <v>5934</v>
      </c>
      <c r="D40" s="1503">
        <f>(D10*(D9/200)^2)/19.6</f>
        <v>6.3775510204081595E-4</v>
      </c>
      <c r="E40" s="1494" t="s">
        <v>9416</v>
      </c>
      <c r="F40" s="1494"/>
    </row>
    <row r="41" spans="1:10" s="1463" customFormat="1" ht="7.15" customHeight="1">
      <c r="A41" s="4217"/>
      <c r="B41" s="1504"/>
      <c r="C41" s="1505"/>
    </row>
    <row r="42" spans="1:10" ht="26.25" customHeight="1">
      <c r="A42" s="4217"/>
      <c r="B42" s="4221" t="s">
        <v>9417</v>
      </c>
      <c r="C42" s="1500" t="s">
        <v>5934</v>
      </c>
      <c r="D42" s="1506" t="s">
        <v>9418</v>
      </c>
      <c r="E42" s="1506"/>
      <c r="F42" s="1506"/>
      <c r="G42" s="1507"/>
      <c r="H42" s="1508"/>
    </row>
    <row r="43" spans="1:10" ht="26.25" customHeight="1">
      <c r="A43" s="4217"/>
      <c r="B43" s="4221"/>
      <c r="C43" s="2803" t="s">
        <v>5934</v>
      </c>
      <c r="D43" s="1509">
        <f>(D8*(D7/200)^2)/19.6</f>
        <v>3.06122448979592E-2</v>
      </c>
      <c r="E43" s="1494" t="s">
        <v>9416</v>
      </c>
      <c r="F43" s="1494"/>
    </row>
    <row r="44" spans="1:10" s="1463" customFormat="1" ht="9" customHeight="1">
      <c r="A44" s="4217"/>
      <c r="C44" s="1505"/>
    </row>
    <row r="45" spans="1:10" ht="26.25" customHeight="1">
      <c r="A45" s="4217"/>
      <c r="B45" s="4221" t="s">
        <v>9419</v>
      </c>
      <c r="C45" s="2803" t="s">
        <v>5934</v>
      </c>
      <c r="D45" s="4204" t="s">
        <v>9420</v>
      </c>
      <c r="E45" s="4204"/>
      <c r="F45" s="4204"/>
    </row>
    <row r="46" spans="1:10" ht="26.25" customHeight="1">
      <c r="A46" s="4217"/>
      <c r="B46" s="4221"/>
      <c r="C46" s="1500" t="s">
        <v>5934</v>
      </c>
      <c r="D46" s="1510">
        <f>D31*D17*D17/100/100/4/2/9.8</f>
        <v>0.15189793622448999</v>
      </c>
      <c r="E46" s="1494" t="s">
        <v>9421</v>
      </c>
      <c r="F46" s="1494"/>
    </row>
    <row r="47" spans="1:10" ht="9" customHeight="1">
      <c r="A47" s="4217"/>
      <c r="C47" s="1505"/>
      <c r="D47" s="1511"/>
      <c r="E47" s="1463"/>
      <c r="F47" s="1463"/>
    </row>
    <row r="48" spans="1:10" ht="26.25" customHeight="1">
      <c r="A48" s="4217"/>
      <c r="B48" s="4221" t="s">
        <v>9422</v>
      </c>
      <c r="C48" s="1500" t="s">
        <v>5934</v>
      </c>
      <c r="D48" s="1501" t="s">
        <v>9423</v>
      </c>
      <c r="E48" s="1502"/>
      <c r="F48" s="1502"/>
    </row>
    <row r="49" spans="1:8" ht="26.25" customHeight="1">
      <c r="A49" s="4217"/>
      <c r="B49" s="4221"/>
      <c r="C49" s="2803" t="s">
        <v>5934</v>
      </c>
      <c r="D49" s="1512">
        <f>($D$34*(($D$14/100)^2))/9.8</f>
        <v>0.22959183673469399</v>
      </c>
      <c r="E49" s="1494" t="s">
        <v>9421</v>
      </c>
      <c r="F49" s="1494"/>
    </row>
    <row r="50" spans="1:8" s="1463" customFormat="1" ht="7.15" customHeight="1">
      <c r="A50" s="4217"/>
      <c r="C50" s="1505"/>
      <c r="D50" s="1513"/>
    </row>
    <row r="51" spans="1:8" ht="26.25" customHeight="1">
      <c r="A51" s="4217"/>
      <c r="B51" s="4221" t="s">
        <v>9424</v>
      </c>
      <c r="C51" s="2803" t="s">
        <v>5934</v>
      </c>
      <c r="D51" s="4205" t="s">
        <v>9425</v>
      </c>
      <c r="E51" s="4205"/>
      <c r="F51" s="4205"/>
    </row>
    <row r="52" spans="1:8" ht="26.25" customHeight="1">
      <c r="A52" s="4217"/>
      <c r="B52" s="4221"/>
      <c r="C52" s="1500" t="s">
        <v>5934</v>
      </c>
      <c r="D52" s="1503">
        <f>D37*0.25*0.25/9.8</f>
        <v>0.15306122448979601</v>
      </c>
      <c r="E52" s="1494" t="s">
        <v>9416</v>
      </c>
      <c r="F52" s="1494"/>
    </row>
    <row r="53" spans="1:8" ht="9" customHeight="1">
      <c r="C53" s="1489"/>
    </row>
    <row r="54" spans="1:8" ht="26.25" customHeight="1">
      <c r="A54" s="4224" t="s">
        <v>9426</v>
      </c>
      <c r="B54" s="4224"/>
      <c r="C54" s="2793" t="s">
        <v>5934</v>
      </c>
      <c r="D54" s="1492" t="s">
        <v>9427</v>
      </c>
      <c r="E54" s="1502"/>
      <c r="F54" s="1502"/>
      <c r="G54" s="1502"/>
      <c r="H54" s="1502"/>
    </row>
    <row r="55" spans="1:8" ht="26.25" customHeight="1">
      <c r="A55" s="4224"/>
      <c r="B55" s="4224"/>
      <c r="C55" s="2793" t="s">
        <v>5934</v>
      </c>
      <c r="D55" s="1514">
        <f>(72*3.14159*D23*D6^2)/(D3*(D16/1)^2)</f>
        <v>64.344417407407406</v>
      </c>
      <c r="E55" s="4206" t="s">
        <v>9428</v>
      </c>
      <c r="F55" s="4207"/>
      <c r="G55" s="1495"/>
      <c r="H55" s="1495"/>
    </row>
    <row r="56" spans="1:8" ht="7.15" customHeight="1">
      <c r="C56" s="1489"/>
    </row>
    <row r="57" spans="1:8" ht="26.25" customHeight="1">
      <c r="A57" s="4217" t="s">
        <v>9429</v>
      </c>
      <c r="B57" s="4222" t="s">
        <v>9430</v>
      </c>
      <c r="C57" s="2793" t="s">
        <v>5934</v>
      </c>
      <c r="D57" s="1501" t="s">
        <v>9247</v>
      </c>
      <c r="E57" s="1502"/>
      <c r="F57" s="1502"/>
    </row>
    <row r="58" spans="1:8" ht="26.25" customHeight="1">
      <c r="A58" s="4217"/>
      <c r="B58" s="4222"/>
      <c r="C58" s="1497" t="s">
        <v>5934</v>
      </c>
      <c r="D58" s="1515">
        <f>D61+D64</f>
        <v>2.31385470354537</v>
      </c>
      <c r="E58" s="1494" t="s">
        <v>9431</v>
      </c>
      <c r="F58" s="1494"/>
    </row>
    <row r="59" spans="1:8" s="1463" customFormat="1" ht="9" customHeight="1">
      <c r="A59" s="4217"/>
      <c r="C59" s="1516"/>
      <c r="D59" s="1517"/>
    </row>
    <row r="60" spans="1:8" ht="26.25" customHeight="1">
      <c r="A60" s="4217"/>
      <c r="B60" s="3478" t="s">
        <v>9432</v>
      </c>
      <c r="C60" s="2793" t="s">
        <v>5934</v>
      </c>
      <c r="D60" s="1501" t="s">
        <v>9433</v>
      </c>
      <c r="E60" s="1502"/>
      <c r="F60" s="1502"/>
      <c r="G60" s="1502"/>
      <c r="H60" s="1502"/>
    </row>
    <row r="61" spans="1:8" ht="26.25" customHeight="1">
      <c r="A61" s="4217"/>
      <c r="B61" s="3478"/>
      <c r="C61" s="1497"/>
      <c r="D61" s="1518">
        <f>(D43+D46+D49+D52)*(D3/D13)^2*D55</f>
        <v>2.2728187230559498</v>
      </c>
      <c r="E61" s="1494" t="s">
        <v>9431</v>
      </c>
      <c r="F61" s="1494"/>
      <c r="G61" s="1495"/>
      <c r="H61" s="1495"/>
    </row>
    <row r="62" spans="1:8" s="1463" customFormat="1" ht="10.15" customHeight="1">
      <c r="A62" s="4217"/>
      <c r="C62" s="1516"/>
    </row>
    <row r="63" spans="1:8" ht="26.25" customHeight="1">
      <c r="A63" s="4217"/>
      <c r="B63" s="3478" t="s">
        <v>9434</v>
      </c>
      <c r="C63" s="1497" t="s">
        <v>5934</v>
      </c>
      <c r="D63" s="1519" t="s">
        <v>9435</v>
      </c>
      <c r="E63" s="1502"/>
      <c r="F63" s="1502"/>
      <c r="G63" s="1463"/>
      <c r="H63" s="1463"/>
    </row>
    <row r="64" spans="1:8" ht="26.25" customHeight="1">
      <c r="A64" s="4217"/>
      <c r="B64" s="3478"/>
      <c r="C64" s="1497"/>
      <c r="D64" s="1520">
        <f>D40*D55</f>
        <v>4.1035980489417999E-2</v>
      </c>
      <c r="E64" s="1494" t="s">
        <v>9431</v>
      </c>
      <c r="F64" s="1494"/>
      <c r="G64" s="1463"/>
      <c r="H64" s="1463"/>
    </row>
    <row r="65" spans="1:15" ht="9" customHeight="1"/>
    <row r="66" spans="1:15" ht="26.25" customHeight="1">
      <c r="A66" s="4210" t="s">
        <v>9436</v>
      </c>
      <c r="B66" s="4210"/>
      <c r="C66" s="2793" t="s">
        <v>5934</v>
      </c>
      <c r="D66" s="1501" t="s">
        <v>9437</v>
      </c>
      <c r="E66" s="1502"/>
      <c r="F66" s="1502"/>
      <c r="G66" s="4208"/>
      <c r="H66" s="4209"/>
      <c r="I66" s="4209"/>
    </row>
    <row r="67" spans="1:15" ht="26.25" customHeight="1">
      <c r="A67" s="4210"/>
      <c r="B67" s="4210"/>
      <c r="C67" s="2793" t="s">
        <v>5934</v>
      </c>
      <c r="D67" s="1520">
        <f>D20*($D$8+$D$34+D31+D37)*($D$15/100)*($D$3/$D$13)</f>
        <v>1.0132499531250001</v>
      </c>
      <c r="E67" s="1494" t="s">
        <v>9261</v>
      </c>
      <c r="F67" s="1494"/>
      <c r="G67" s="1528"/>
    </row>
    <row r="68" spans="1:15" ht="10.9" customHeight="1"/>
    <row r="69" spans="1:15" ht="26.25" customHeight="1">
      <c r="A69" s="4210" t="s">
        <v>9438</v>
      </c>
      <c r="B69" s="4210"/>
      <c r="C69" s="4210"/>
      <c r="D69" s="4210"/>
      <c r="E69" s="4210"/>
      <c r="F69" s="4210"/>
      <c r="G69" s="4210"/>
      <c r="H69" s="4210"/>
    </row>
    <row r="70" spans="1:15" ht="7.9" customHeight="1"/>
    <row r="71" spans="1:15" ht="26.25" customHeight="1">
      <c r="A71" s="4210" t="s">
        <v>9439</v>
      </c>
      <c r="B71" s="4210"/>
      <c r="C71" s="2793" t="s">
        <v>5934</v>
      </c>
      <c r="D71" s="1501" t="s">
        <v>9369</v>
      </c>
      <c r="E71" s="1502"/>
      <c r="F71" s="1502"/>
      <c r="O71" s="1534"/>
    </row>
    <row r="72" spans="1:15" ht="26.25" customHeight="1">
      <c r="A72" s="4210"/>
      <c r="B72" s="4210"/>
      <c r="C72" s="2793" t="s">
        <v>5934</v>
      </c>
      <c r="D72" s="1529">
        <f>$D$58+$D$67+0</f>
        <v>3.3271046566703699</v>
      </c>
      <c r="E72" s="1494" t="s">
        <v>9261</v>
      </c>
      <c r="F72" s="1494"/>
    </row>
    <row r="73" spans="1:15" ht="12" customHeight="1"/>
    <row r="74" spans="1:15" ht="26.25" customHeight="1">
      <c r="A74" s="4223" t="s">
        <v>9440</v>
      </c>
      <c r="B74" s="4223"/>
      <c r="C74" s="2793" t="s">
        <v>5934</v>
      </c>
      <c r="D74" s="4211" t="s">
        <v>9441</v>
      </c>
      <c r="E74" s="4211"/>
      <c r="F74" s="1502"/>
      <c r="I74" s="1535"/>
    </row>
    <row r="75" spans="1:15" ht="22.9" customHeight="1">
      <c r="A75" s="4223"/>
      <c r="B75" s="4223"/>
      <c r="C75" s="1497" t="s">
        <v>5934</v>
      </c>
      <c r="D75" s="1530">
        <f>$D$72*D19</f>
        <v>6.6542093133407301</v>
      </c>
      <c r="E75" s="1494" t="s">
        <v>9261</v>
      </c>
      <c r="F75" s="1494"/>
      <c r="I75" s="1535"/>
    </row>
    <row r="76" spans="1:15" ht="4.9000000000000004" customHeight="1">
      <c r="G76" s="1463"/>
      <c r="H76" s="1463"/>
      <c r="I76" s="1463"/>
      <c r="J76" s="1463"/>
      <c r="K76" s="1463"/>
      <c r="L76" s="1463"/>
    </row>
    <row r="77" spans="1:15" ht="26.25" customHeight="1">
      <c r="A77" s="4224" t="s">
        <v>9442</v>
      </c>
      <c r="B77" s="4224"/>
      <c r="C77" s="2793" t="s">
        <v>5934</v>
      </c>
      <c r="D77" s="1501" t="s">
        <v>9443</v>
      </c>
      <c r="E77" s="1502"/>
      <c r="F77" s="1502"/>
      <c r="G77" s="1463" t="s">
        <v>9444</v>
      </c>
      <c r="H77" s="1463"/>
      <c r="I77" s="1463"/>
      <c r="J77" s="1463"/>
      <c r="K77" s="1463"/>
      <c r="L77" s="1463"/>
    </row>
    <row r="78" spans="1:15" ht="26.25" customHeight="1">
      <c r="A78" s="4224"/>
      <c r="B78" s="4224"/>
      <c r="C78" s="2793" t="s">
        <v>5934</v>
      </c>
      <c r="D78" s="1531">
        <f>(360/(D3*D16))*D24*(D75+0)</f>
        <v>2.1958890734024399</v>
      </c>
      <c r="E78" s="1494" t="s">
        <v>9261</v>
      </c>
      <c r="F78" s="1494"/>
      <c r="G78" s="1463"/>
      <c r="H78" s="1463"/>
      <c r="I78" s="1463"/>
      <c r="J78" s="1463"/>
      <c r="K78" s="1463"/>
      <c r="L78" s="1463"/>
    </row>
    <row r="79" spans="1:15" ht="10.15" customHeight="1">
      <c r="G79" s="1463"/>
      <c r="H79" s="1463"/>
      <c r="I79" s="1463"/>
      <c r="J79" s="1463"/>
      <c r="K79" s="1463"/>
      <c r="L79" s="1463"/>
    </row>
    <row r="80" spans="1:15" ht="26.25" customHeight="1">
      <c r="A80" s="4224" t="s">
        <v>9445</v>
      </c>
      <c r="B80" s="4224"/>
      <c r="C80" s="2793" t="s">
        <v>5934</v>
      </c>
      <c r="D80" s="1501" t="s">
        <v>9446</v>
      </c>
      <c r="E80" s="1502"/>
      <c r="F80" s="1502"/>
    </row>
    <row r="81" spans="1:7" ht="26.25" customHeight="1">
      <c r="A81" s="4224"/>
      <c r="B81" s="4224"/>
      <c r="C81" s="2793" t="s">
        <v>5934</v>
      </c>
      <c r="D81" s="1532">
        <f>($D$78*$D$6)/(975*D21)</f>
        <v>0.32174198877691501</v>
      </c>
      <c r="E81" s="1494" t="s">
        <v>9447</v>
      </c>
      <c r="F81" s="1494"/>
    </row>
    <row r="83" spans="1:7" ht="26.25" customHeight="1">
      <c r="C83" s="1489"/>
      <c r="D83" s="1533"/>
    </row>
    <row r="84" spans="1:7" ht="52.9" customHeight="1">
      <c r="A84" s="4212" t="s">
        <v>9448</v>
      </c>
      <c r="B84" s="4212"/>
      <c r="C84" s="4212"/>
      <c r="D84" s="4212"/>
      <c r="E84" s="4212"/>
      <c r="F84" s="4212"/>
      <c r="G84" s="3160" t="s">
        <v>12716</v>
      </c>
    </row>
  </sheetData>
  <mergeCells count="35">
    <mergeCell ref="A74:B75"/>
    <mergeCell ref="A77:B78"/>
    <mergeCell ref="A80:B81"/>
    <mergeCell ref="A54:B55"/>
    <mergeCell ref="A66:B67"/>
    <mergeCell ref="A71:B72"/>
    <mergeCell ref="D74:E74"/>
    <mergeCell ref="A84:F84"/>
    <mergeCell ref="A3:A21"/>
    <mergeCell ref="A22:A24"/>
    <mergeCell ref="A30:A37"/>
    <mergeCell ref="A39:A52"/>
    <mergeCell ref="A57:A64"/>
    <mergeCell ref="B30:B31"/>
    <mergeCell ref="B33:B34"/>
    <mergeCell ref="B36:B37"/>
    <mergeCell ref="B39:B40"/>
    <mergeCell ref="B42:B43"/>
    <mergeCell ref="B45:B46"/>
    <mergeCell ref="B48:B49"/>
    <mergeCell ref="B51:B52"/>
    <mergeCell ref="B57:B58"/>
    <mergeCell ref="D45:F45"/>
    <mergeCell ref="D51:F51"/>
    <mergeCell ref="E55:F55"/>
    <mergeCell ref="G66:I66"/>
    <mergeCell ref="A69:H69"/>
    <mergeCell ref="B60:B61"/>
    <mergeCell ref="B63:B64"/>
    <mergeCell ref="A1:J1"/>
    <mergeCell ref="A2:N2"/>
    <mergeCell ref="A28:I28"/>
    <mergeCell ref="D33:E33"/>
    <mergeCell ref="D36:E36"/>
    <mergeCell ref="M5:M11"/>
  </mergeCells>
  <phoneticPr fontId="378" type="noConversion"/>
  <dataValidations count="1">
    <dataValidation type="whole" errorStyle="warning" allowBlank="1" showInputMessage="1" showErrorMessage="1" errorTitle="輸入分割等份" error="請輸入0到999之間的整數" sqref="D3">
      <formula1>1</formula1>
      <formula2>999</formula2>
    </dataValidation>
  </dataValidations>
  <hyperlinks>
    <hyperlink ref="M1" location="总目录!A1" display="总目录!A1"/>
    <hyperlink ref="J28" location="总目录!A1" display="总目录!A1"/>
    <hyperlink ref="G84" location="总目录!A1" display="总目录!A1"/>
  </hyperlinks>
  <pageMargins left="0.75" right="0.75" top="1" bottom="1" header="0.5" footer="0.5"/>
  <pageSetup paperSize="12" orientation="portrait"/>
  <headerFooter scaleWithDoc="0" alignWithMargins="0"/>
  <drawing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42"/>
  <sheetViews>
    <sheetView topLeftCell="D4" zoomScale="115" zoomScaleNormal="115" workbookViewId="0">
      <selection activeCell="H23" sqref="H23"/>
    </sheetView>
  </sheetViews>
  <sheetFormatPr defaultColWidth="8" defaultRowHeight="16.5"/>
  <cols>
    <col min="1" max="3" width="8.125" style="1441" hidden="1" customWidth="1"/>
    <col min="4" max="4" width="16.625" style="1441" customWidth="1"/>
    <col min="5" max="5" width="11.75" style="1442" customWidth="1"/>
    <col min="6" max="6" width="7.375" style="1441" customWidth="1"/>
    <col min="7" max="7" width="12" style="1441" customWidth="1"/>
    <col min="8" max="8" width="16" style="1441" customWidth="1"/>
    <col min="9" max="9" width="7.875" style="1443" customWidth="1"/>
    <col min="10" max="10" width="10.75" style="1441" customWidth="1"/>
    <col min="11" max="11" width="7.25" style="1442" customWidth="1"/>
    <col min="12" max="16384" width="8" style="1441"/>
  </cols>
  <sheetData>
    <row r="1" spans="4:14" ht="34.5" customHeight="1"/>
    <row r="2" spans="4:14" ht="20.25" customHeight="1">
      <c r="D2" s="1444" t="s">
        <v>9449</v>
      </c>
      <c r="F2" s="1445" t="s">
        <v>9450</v>
      </c>
      <c r="H2" s="3178" t="s">
        <v>12716</v>
      </c>
    </row>
    <row r="3" spans="4:14" ht="20.25" customHeight="1">
      <c r="D3" s="1441" t="s">
        <v>9451</v>
      </c>
      <c r="F3" s="1442">
        <v>5.3</v>
      </c>
    </row>
    <row r="4" spans="4:14" ht="20.25" customHeight="1">
      <c r="D4" s="1441" t="s">
        <v>9452</v>
      </c>
      <c r="F4" s="1442">
        <v>0.12</v>
      </c>
    </row>
    <row r="5" spans="4:14" ht="20.25" customHeight="1">
      <c r="D5" s="1446" t="s">
        <v>9453</v>
      </c>
      <c r="F5" s="1442">
        <v>1</v>
      </c>
      <c r="M5" s="1446"/>
      <c r="N5" s="1461"/>
    </row>
    <row r="7" spans="4:14">
      <c r="D7" s="1446" t="s">
        <v>6109</v>
      </c>
      <c r="F7" s="1441">
        <v>25</v>
      </c>
      <c r="H7" s="1442"/>
    </row>
    <row r="8" spans="4:14">
      <c r="D8" s="1447" t="s">
        <v>9454</v>
      </c>
      <c r="E8" s="1448" t="s">
        <v>9455</v>
      </c>
      <c r="F8" s="1449">
        <f>F3*F7</f>
        <v>132.5</v>
      </c>
      <c r="G8" s="1447"/>
      <c r="H8" s="1450"/>
    </row>
    <row r="9" spans="4:14">
      <c r="D9" s="1447" t="s">
        <v>9456</v>
      </c>
      <c r="E9" s="1448" t="s">
        <v>9457</v>
      </c>
      <c r="F9" s="1451">
        <f>F8/PI()</f>
        <v>42.176059919352298</v>
      </c>
      <c r="G9" s="1447" t="s">
        <v>9458</v>
      </c>
      <c r="H9" s="1452">
        <f>F9/2</f>
        <v>21.088029959676099</v>
      </c>
    </row>
    <row r="10" spans="4:14">
      <c r="D10" s="1447" t="s">
        <v>9459</v>
      </c>
      <c r="E10" s="1448" t="s">
        <v>9460</v>
      </c>
      <c r="F10" s="1451">
        <f>F9-F4*2</f>
        <v>41.936059919352303</v>
      </c>
      <c r="G10" s="1447" t="s">
        <v>9461</v>
      </c>
      <c r="H10" s="1452">
        <f>F10/2</f>
        <v>20.968029959676102</v>
      </c>
    </row>
    <row r="11" spans="4:14">
      <c r="D11" s="1447" t="s">
        <v>9462</v>
      </c>
      <c r="E11" s="1448" t="s">
        <v>9463</v>
      </c>
      <c r="F11" s="1449">
        <f>F4*2</f>
        <v>0.24</v>
      </c>
      <c r="G11" s="1447"/>
      <c r="H11" s="1450"/>
    </row>
    <row r="12" spans="4:14">
      <c r="D12" s="1453" t="s">
        <v>9464</v>
      </c>
      <c r="E12" s="1454" t="s">
        <v>9465</v>
      </c>
      <c r="F12" s="1449">
        <f>F5-0.04</f>
        <v>0.96</v>
      </c>
      <c r="G12" s="1447"/>
      <c r="H12" s="1450"/>
    </row>
    <row r="13" spans="4:14">
      <c r="D13" s="1453"/>
      <c r="E13" s="1448"/>
      <c r="F13" s="1449">
        <f>F21/2</f>
        <v>0.4365</v>
      </c>
      <c r="G13" s="1447"/>
      <c r="H13" s="1450"/>
    </row>
    <row r="14" spans="4:14">
      <c r="D14" s="1453" t="s">
        <v>6486</v>
      </c>
      <c r="E14" s="1448"/>
      <c r="F14" s="1451">
        <f>F3*F7/3.1415926</f>
        <v>42.176060638798297</v>
      </c>
      <c r="G14" s="1447"/>
      <c r="H14" s="1450"/>
    </row>
    <row r="15" spans="4:14">
      <c r="D15" s="1455" t="s">
        <v>9466</v>
      </c>
      <c r="E15" s="1448"/>
      <c r="F15" s="1451">
        <f>F14-(F4*2)</f>
        <v>41.936060638798303</v>
      </c>
      <c r="G15" s="1447"/>
      <c r="H15" s="1450"/>
    </row>
    <row r="16" spans="4:14">
      <c r="D16" s="1455" t="s">
        <v>9467</v>
      </c>
      <c r="E16" s="1448"/>
      <c r="F16" s="1451">
        <f>F15+(2*F21*0.66)</f>
        <v>43.088420638798297</v>
      </c>
      <c r="G16" s="1447"/>
      <c r="H16" s="1450"/>
    </row>
    <row r="17" spans="4:15">
      <c r="D17" s="1455" t="s">
        <v>6556</v>
      </c>
      <c r="E17" s="1448"/>
      <c r="F17" s="1456">
        <f>F16-F15</f>
        <v>1.1523600000000001</v>
      </c>
      <c r="G17" s="1447"/>
      <c r="H17" s="1450"/>
    </row>
    <row r="18" spans="4:15">
      <c r="D18" s="1455" t="s">
        <v>9468</v>
      </c>
      <c r="E18" s="1448"/>
      <c r="F18" s="1456">
        <f>F21/2</f>
        <v>0.4365</v>
      </c>
      <c r="G18" s="1447"/>
      <c r="H18" s="1450"/>
    </row>
    <row r="19" spans="4:15">
      <c r="D19" s="1455" t="s">
        <v>9469</v>
      </c>
      <c r="E19" s="1448"/>
      <c r="F19" s="1449">
        <f>F21/0.85</f>
        <v>1.02705882352941</v>
      </c>
      <c r="G19" s="1447"/>
      <c r="H19" s="1450"/>
      <c r="I19" s="1441"/>
      <c r="J19" s="1443"/>
      <c r="K19" s="1441"/>
      <c r="L19" s="1442"/>
    </row>
    <row r="20" spans="4:15">
      <c r="D20" s="1455" t="s">
        <v>8104</v>
      </c>
      <c r="E20" s="1448"/>
      <c r="F20" s="1457">
        <f>F21*0.66</f>
        <v>0.57618000000000003</v>
      </c>
      <c r="G20" s="1447"/>
      <c r="H20" s="1450"/>
      <c r="I20" s="1446"/>
      <c r="J20" s="1443"/>
      <c r="K20" s="1441"/>
      <c r="L20" s="1442"/>
    </row>
    <row r="21" spans="4:15">
      <c r="D21" s="1455" t="s">
        <v>9470</v>
      </c>
      <c r="E21" s="1448"/>
      <c r="F21" s="1458">
        <f>F5-0.127</f>
        <v>0.873</v>
      </c>
      <c r="G21" s="1447"/>
      <c r="H21" s="1450"/>
      <c r="I21" s="1446"/>
      <c r="J21" s="1443"/>
      <c r="K21" s="1441"/>
      <c r="L21" s="1442"/>
    </row>
    <row r="22" spans="4:15">
      <c r="E22" s="1441"/>
      <c r="F22" s="1442"/>
      <c r="I22" s="1446"/>
      <c r="J22" s="1443"/>
      <c r="K22" s="1441"/>
      <c r="L22" s="1442"/>
    </row>
    <row r="23" spans="4:15">
      <c r="E23" s="1441"/>
      <c r="F23" s="1442"/>
      <c r="H23" s="3178" t="s">
        <v>12716</v>
      </c>
      <c r="I23" s="1446"/>
      <c r="J23" s="1443"/>
      <c r="K23" s="1441"/>
      <c r="L23" s="1442"/>
    </row>
    <row r="24" spans="4:15">
      <c r="E24" s="1441"/>
      <c r="F24" s="1442"/>
      <c r="H24" s="1446"/>
      <c r="I24" s="1446"/>
      <c r="J24" s="1443"/>
      <c r="K24" s="1441"/>
      <c r="L24" s="1442"/>
    </row>
    <row r="25" spans="4:15">
      <c r="D25" s="1459"/>
      <c r="E25" s="1459"/>
      <c r="F25" s="1460"/>
      <c r="G25" s="1459"/>
      <c r="H25" s="1459"/>
      <c r="I25" s="1459"/>
      <c r="J25" s="1462"/>
      <c r="K25" s="1459"/>
      <c r="L25" s="1460"/>
      <c r="M25" s="1459"/>
    </row>
    <row r="26" spans="4:15">
      <c r="D26" s="1459"/>
      <c r="E26" s="1459"/>
      <c r="F26" s="1460"/>
      <c r="G26" s="1459"/>
      <c r="H26" s="1459"/>
      <c r="I26" s="1459"/>
      <c r="J26" s="1462"/>
      <c r="K26" s="1459"/>
      <c r="L26" s="1460"/>
      <c r="M26" s="1459"/>
    </row>
    <row r="27" spans="4:15">
      <c r="D27" s="1459"/>
      <c r="E27" s="1459"/>
      <c r="F27" s="1460"/>
      <c r="G27" s="1459"/>
      <c r="H27" s="1459"/>
      <c r="I27" s="1459"/>
      <c r="J27" s="1462"/>
      <c r="K27" s="1459"/>
      <c r="L27" s="1460"/>
      <c r="M27" s="1459"/>
    </row>
    <row r="28" spans="4:15">
      <c r="D28" s="1459"/>
      <c r="E28" s="1459"/>
      <c r="F28" s="1460"/>
      <c r="G28" s="1459"/>
      <c r="H28" s="1459"/>
      <c r="I28" s="1459"/>
      <c r="J28" s="1462"/>
      <c r="K28" s="1459"/>
      <c r="L28" s="1460"/>
      <c r="M28" s="1459"/>
    </row>
    <row r="29" spans="4:15">
      <c r="D29" s="1459"/>
      <c r="E29" s="1459"/>
      <c r="F29" s="1460"/>
      <c r="G29" s="1459"/>
      <c r="H29" s="1459"/>
      <c r="I29" s="1459"/>
      <c r="J29" s="1462"/>
      <c r="K29" s="1459"/>
      <c r="L29" s="1460"/>
      <c r="M29" s="1459"/>
    </row>
    <row r="30" spans="4:15">
      <c r="D30" s="1459"/>
      <c r="E30" s="1459"/>
      <c r="F30" s="1460"/>
      <c r="G30" s="1459"/>
      <c r="H30" s="1459"/>
      <c r="I30" s="1459"/>
      <c r="J30" s="1462"/>
      <c r="K30" s="1459"/>
      <c r="L30" s="1460"/>
      <c r="M30" s="1459"/>
    </row>
    <row r="31" spans="4:15">
      <c r="D31" s="1459"/>
      <c r="E31" s="1459"/>
      <c r="F31" s="1460"/>
      <c r="G31" s="1459"/>
      <c r="H31" s="1459"/>
      <c r="I31" s="1459"/>
      <c r="J31" s="1462"/>
      <c r="K31" s="1459"/>
      <c r="L31" s="1460"/>
      <c r="M31" s="1459"/>
    </row>
    <row r="32" spans="4:15">
      <c r="D32" s="1459"/>
      <c r="E32" s="1459"/>
      <c r="F32" s="1460"/>
      <c r="G32" s="1459"/>
      <c r="H32" s="1459"/>
      <c r="I32" s="1462"/>
      <c r="J32" s="1459"/>
      <c r="K32" s="1460"/>
      <c r="L32" s="1460"/>
      <c r="M32" s="1459"/>
      <c r="O32" s="1443"/>
    </row>
    <row r="33" spans="4:15">
      <c r="D33" s="1459"/>
      <c r="E33" s="1459"/>
      <c r="F33" s="1460"/>
      <c r="G33" s="1459"/>
      <c r="H33" s="1459"/>
      <c r="I33" s="1462"/>
      <c r="J33" s="1459"/>
      <c r="K33" s="1460"/>
      <c r="L33" s="1460"/>
      <c r="M33" s="1459"/>
      <c r="O33" s="1443"/>
    </row>
    <row r="34" spans="4:15">
      <c r="D34" s="1459"/>
      <c r="E34" s="1460"/>
      <c r="F34" s="1459"/>
      <c r="G34" s="1459"/>
      <c r="H34" s="1459"/>
      <c r="I34" s="1462"/>
      <c r="J34" s="1459"/>
      <c r="K34" s="1460"/>
      <c r="L34" s="1459"/>
      <c r="M34" s="1459"/>
    </row>
    <row r="35" spans="4:15">
      <c r="D35" s="1459"/>
      <c r="E35" s="1460"/>
      <c r="F35" s="1459"/>
      <c r="G35" s="1459"/>
      <c r="H35" s="1459"/>
      <c r="I35" s="1462"/>
      <c r="J35" s="1459"/>
      <c r="K35" s="1460"/>
      <c r="L35" s="1459"/>
      <c r="M35" s="1459"/>
    </row>
    <row r="36" spans="4:15">
      <c r="D36" s="1459"/>
      <c r="E36" s="1460"/>
      <c r="F36" s="1459"/>
      <c r="G36" s="1459"/>
      <c r="H36" s="1459"/>
      <c r="I36" s="1462"/>
      <c r="J36" s="1459"/>
      <c r="K36" s="1460"/>
      <c r="L36" s="1459"/>
      <c r="M36" s="1459"/>
    </row>
    <row r="37" spans="4:15">
      <c r="D37" s="1459"/>
      <c r="E37" s="1460"/>
      <c r="F37" s="1459"/>
      <c r="G37" s="1459"/>
      <c r="H37" s="1459"/>
      <c r="I37" s="1462"/>
      <c r="J37" s="1459"/>
      <c r="K37" s="1460"/>
      <c r="L37" s="1459"/>
      <c r="M37" s="1459"/>
    </row>
    <row r="38" spans="4:15">
      <c r="D38" s="1459"/>
      <c r="E38" s="1460"/>
      <c r="F38" s="1459"/>
      <c r="G38" s="1459"/>
      <c r="H38" s="1459"/>
      <c r="I38" s="1462"/>
      <c r="J38" s="1459"/>
      <c r="K38" s="1460"/>
      <c r="L38" s="1459"/>
      <c r="M38" s="1459"/>
    </row>
    <row r="39" spans="4:15">
      <c r="D39" s="1459"/>
      <c r="E39" s="1460"/>
      <c r="F39" s="1459"/>
      <c r="G39" s="1459"/>
      <c r="H39" s="1459"/>
      <c r="I39" s="1462"/>
      <c r="J39" s="1459"/>
      <c r="K39" s="1460"/>
      <c r="L39" s="1459"/>
      <c r="M39" s="1459"/>
    </row>
    <row r="40" spans="4:15">
      <c r="D40" s="1459"/>
      <c r="E40" s="1460"/>
      <c r="F40" s="1459"/>
      <c r="G40" s="1459"/>
      <c r="H40" s="1459"/>
      <c r="I40" s="1462"/>
      <c r="J40" s="1459"/>
      <c r="K40" s="1460"/>
      <c r="L40" s="1459"/>
      <c r="M40" s="1459"/>
    </row>
    <row r="41" spans="4:15">
      <c r="D41" s="1459"/>
      <c r="E41" s="1460"/>
      <c r="F41" s="1459"/>
      <c r="G41" s="1459"/>
      <c r="H41" s="1459"/>
      <c r="I41" s="1462"/>
      <c r="J41" s="1459"/>
      <c r="K41" s="1460"/>
      <c r="L41" s="1459"/>
      <c r="M41" s="1459"/>
    </row>
    <row r="42" spans="4:15">
      <c r="D42" s="1459"/>
      <c r="E42" s="1460"/>
      <c r="F42" s="1459"/>
      <c r="G42" s="1459"/>
      <c r="H42" s="1459"/>
      <c r="I42" s="1462"/>
      <c r="J42" s="1459"/>
      <c r="K42" s="1460"/>
      <c r="L42" s="1459"/>
      <c r="M42" s="1459"/>
    </row>
  </sheetData>
  <phoneticPr fontId="378" type="noConversion"/>
  <hyperlinks>
    <hyperlink ref="H2" location="总目录!A1" display="总目录!A1"/>
    <hyperlink ref="H23" location="总目录!A1" display="总目录!A1"/>
  </hyperlinks>
  <pageMargins left="0.38888888888888901" right="0.45902777777777798" top="1" bottom="1" header="0.5" footer="0.5"/>
  <pageSetup paperSize="9" orientation="portrait"/>
  <headerFooter scaleWithDoc="0" alignWithMargins="0"/>
  <drawing r:id="rId1"/>
  <legacyDrawing r:id="rId2"/>
  <oleObjects>
    <mc:AlternateContent xmlns:mc="http://schemas.openxmlformats.org/markup-compatibility/2006">
      <mc:Choice Requires="x14">
        <oleObject progId="AutoCAD.Drawing.15" shapeId="1219585" r:id="rId3">
          <objectPr defaultSize="0" altText="" r:id="rId4">
            <anchor moveWithCells="1">
              <from>
                <xdr:col>3</xdr:col>
                <xdr:colOff>114300</xdr:colOff>
                <xdr:row>43</xdr:row>
                <xdr:rowOff>57150</xdr:rowOff>
              </from>
              <to>
                <xdr:col>13</xdr:col>
                <xdr:colOff>152400</xdr:colOff>
                <xdr:row>71</xdr:row>
                <xdr:rowOff>47625</xdr:rowOff>
              </to>
            </anchor>
          </objectPr>
        </oleObject>
      </mc:Choice>
      <mc:Fallback>
        <oleObject progId="AutoCAD.Drawing.15" shapeId="1219585" r:id="rId3"/>
      </mc:Fallback>
    </mc:AlternateContent>
  </oleObjec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view="pageBreakPreview" zoomScaleNormal="100" zoomScaleSheetLayoutView="100" workbookViewId="0">
      <selection activeCell="D2" sqref="D2"/>
    </sheetView>
  </sheetViews>
  <sheetFormatPr defaultColWidth="8.125" defaultRowHeight="15"/>
  <cols>
    <col min="1" max="1" width="5.125" style="1389" customWidth="1"/>
    <col min="2" max="2" width="6.75" style="1389" customWidth="1"/>
    <col min="3" max="3" width="25.25" style="1389" customWidth="1"/>
    <col min="4" max="4" width="28.25" style="1389" customWidth="1"/>
    <col min="5" max="5" width="15.75" style="1389" customWidth="1"/>
    <col min="6" max="6" width="8.125" style="1389"/>
    <col min="7" max="7" width="73.125" style="1389" customWidth="1"/>
    <col min="8" max="16384" width="8.125" style="1389"/>
  </cols>
  <sheetData>
    <row r="1" spans="1:6" s="1322" customFormat="1" ht="20.100000000000001" customHeight="1">
      <c r="A1" s="1373" t="s">
        <v>9471</v>
      </c>
      <c r="B1" s="1374" t="s">
        <v>9472</v>
      </c>
      <c r="C1" s="1374" t="s">
        <v>9473</v>
      </c>
      <c r="D1" s="1374" t="s">
        <v>9474</v>
      </c>
      <c r="E1" s="1374" t="s">
        <v>9475</v>
      </c>
      <c r="F1" s="1390" t="s">
        <v>9476</v>
      </c>
    </row>
    <row r="2" spans="1:6" s="1322" customFormat="1" ht="20.100000000000001" customHeight="1">
      <c r="A2" s="1377"/>
      <c r="B2" s="1391" t="s">
        <v>9477</v>
      </c>
      <c r="C2" s="1391" t="s">
        <v>9478</v>
      </c>
      <c r="D2" s="3167" t="s">
        <v>12716</v>
      </c>
      <c r="E2" s="1379"/>
      <c r="F2" s="1380"/>
    </row>
    <row r="3" spans="1:6" s="1432" customFormat="1" ht="18.75">
      <c r="A3" s="2804" t="s">
        <v>6704</v>
      </c>
      <c r="B3" s="1434" t="s">
        <v>9479</v>
      </c>
      <c r="C3" s="1434" t="s">
        <v>9480</v>
      </c>
      <c r="D3" s="1435"/>
      <c r="E3" s="1435">
        <v>0</v>
      </c>
      <c r="F3" s="1436" t="s">
        <v>6109</v>
      </c>
    </row>
    <row r="4" spans="1:6" s="1432" customFormat="1" ht="19.5">
      <c r="A4" s="2804" t="s">
        <v>7334</v>
      </c>
      <c r="B4" s="1435" t="s">
        <v>9481</v>
      </c>
      <c r="C4" s="1434" t="s">
        <v>9482</v>
      </c>
      <c r="D4" s="1435"/>
      <c r="E4" s="1435">
        <v>3122</v>
      </c>
      <c r="F4" s="1436" t="s">
        <v>6109</v>
      </c>
    </row>
    <row r="5" spans="1:6" s="1432" customFormat="1">
      <c r="A5" s="2804" t="s">
        <v>7335</v>
      </c>
      <c r="B5" s="1435" t="s">
        <v>8104</v>
      </c>
      <c r="C5" s="1434" t="s">
        <v>9483</v>
      </c>
      <c r="D5" s="1435"/>
      <c r="E5" s="1435">
        <v>25</v>
      </c>
      <c r="F5" s="1436" t="s">
        <v>2040</v>
      </c>
    </row>
    <row r="6" spans="1:6" s="1432" customFormat="1">
      <c r="A6" s="2804" t="s">
        <v>7336</v>
      </c>
      <c r="B6" s="1435" t="s">
        <v>4554</v>
      </c>
      <c r="C6" s="1434" t="s">
        <v>9484</v>
      </c>
      <c r="D6" s="1435"/>
      <c r="E6" s="1435">
        <v>32</v>
      </c>
      <c r="F6" s="1436" t="s">
        <v>2040</v>
      </c>
    </row>
    <row r="7" spans="1:6" s="1432" customFormat="1" ht="18">
      <c r="A7" s="2804" t="s">
        <v>7337</v>
      </c>
      <c r="B7" s="1435"/>
      <c r="C7" s="1434" t="s">
        <v>9485</v>
      </c>
      <c r="D7" s="1435" t="s">
        <v>9486</v>
      </c>
      <c r="E7" s="1435"/>
      <c r="F7" s="1437" t="s">
        <v>9487</v>
      </c>
    </row>
    <row r="8" spans="1:6" s="1432" customFormat="1">
      <c r="A8" s="2804" t="s">
        <v>7338</v>
      </c>
      <c r="B8" s="1435"/>
      <c r="C8" s="1434" t="s">
        <v>9488</v>
      </c>
      <c r="D8" s="1435" t="s">
        <v>9489</v>
      </c>
      <c r="E8" s="1435"/>
      <c r="F8" s="1436"/>
    </row>
    <row r="9" spans="1:6" s="1432" customFormat="1">
      <c r="A9" s="2804" t="s">
        <v>7339</v>
      </c>
      <c r="B9" s="1435"/>
      <c r="C9" s="1434" t="s">
        <v>9490</v>
      </c>
      <c r="D9" s="1435" t="s">
        <v>9491</v>
      </c>
      <c r="E9" s="1435"/>
      <c r="F9" s="1436"/>
    </row>
    <row r="10" spans="1:6" s="1432" customFormat="1">
      <c r="A10" s="2804" t="s">
        <v>6000</v>
      </c>
      <c r="B10" s="1435" t="s">
        <v>5933</v>
      </c>
      <c r="C10" s="1434" t="s">
        <v>9492</v>
      </c>
      <c r="D10" s="1435"/>
      <c r="E10" s="1435">
        <v>79000</v>
      </c>
      <c r="F10" s="1436" t="s">
        <v>9493</v>
      </c>
    </row>
    <row r="11" spans="1:6" s="1432" customFormat="1">
      <c r="A11" s="2804" t="s">
        <v>6003</v>
      </c>
      <c r="B11" s="1435" t="s">
        <v>5931</v>
      </c>
      <c r="C11" s="1434" t="s">
        <v>9494</v>
      </c>
      <c r="D11" s="1435"/>
      <c r="E11" s="1435">
        <v>206000</v>
      </c>
      <c r="F11" s="1436" t="s">
        <v>9493</v>
      </c>
    </row>
    <row r="12" spans="1:6" s="1322" customFormat="1" ht="20.100000000000001" customHeight="1">
      <c r="A12" s="1377"/>
      <c r="B12" s="1391" t="s">
        <v>9495</v>
      </c>
      <c r="C12" s="1391" t="s">
        <v>9496</v>
      </c>
      <c r="D12" s="1379"/>
      <c r="E12" s="1379"/>
      <c r="F12" s="1380"/>
    </row>
    <row r="13" spans="1:6" s="1432" customFormat="1" ht="18.75">
      <c r="A13" s="2804" t="s">
        <v>287</v>
      </c>
      <c r="B13" s="1434" t="s">
        <v>9497</v>
      </c>
      <c r="C13" s="1434" t="s">
        <v>9498</v>
      </c>
      <c r="D13" s="1438" t="s">
        <v>9499</v>
      </c>
      <c r="E13" s="1435">
        <v>1370</v>
      </c>
      <c r="F13" s="1436" t="s">
        <v>9493</v>
      </c>
    </row>
    <row r="14" spans="1:6" s="1432" customFormat="1" ht="19.5">
      <c r="A14" s="2804" t="s">
        <v>7340</v>
      </c>
      <c r="B14" s="1435" t="s">
        <v>9500</v>
      </c>
      <c r="C14" s="1434" t="s">
        <v>9501</v>
      </c>
      <c r="D14" s="1435" t="s">
        <v>9502</v>
      </c>
      <c r="E14" s="1435">
        <f>0.5*E13</f>
        <v>685</v>
      </c>
      <c r="F14" s="1436" t="s">
        <v>9493</v>
      </c>
    </row>
    <row r="15" spans="1:6" s="1432" customFormat="1" ht="19.5">
      <c r="A15" s="2804" t="s">
        <v>7341</v>
      </c>
      <c r="B15" s="1435" t="s">
        <v>9503</v>
      </c>
      <c r="C15" s="1434" t="s">
        <v>9504</v>
      </c>
      <c r="D15" s="1435" t="s">
        <v>9505</v>
      </c>
      <c r="E15" s="1435">
        <f>E14*E6^2/E4</f>
        <v>224.67648942985301</v>
      </c>
      <c r="F15" s="1436"/>
    </row>
    <row r="16" spans="1:6" s="1432" customFormat="1">
      <c r="A16" s="2804" t="s">
        <v>7397</v>
      </c>
      <c r="B16" s="1435" t="s">
        <v>9506</v>
      </c>
      <c r="C16" s="1434" t="s">
        <v>9507</v>
      </c>
      <c r="D16" s="1438" t="s">
        <v>9508</v>
      </c>
      <c r="E16" s="1435"/>
      <c r="F16" s="1436"/>
    </row>
    <row r="17" spans="1:6" s="1432" customFormat="1">
      <c r="A17" s="2804" t="s">
        <v>7389</v>
      </c>
      <c r="B17" s="1435" t="s">
        <v>9509</v>
      </c>
      <c r="C17" s="1434" t="s">
        <v>9510</v>
      </c>
      <c r="D17" s="1435"/>
      <c r="E17" s="1435">
        <v>4</v>
      </c>
      <c r="F17" s="1436"/>
    </row>
    <row r="18" spans="1:6" s="1432" customFormat="1">
      <c r="A18" s="2804" t="s">
        <v>292</v>
      </c>
      <c r="B18" s="1435" t="s">
        <v>9511</v>
      </c>
      <c r="C18" s="1434" t="s">
        <v>9512</v>
      </c>
      <c r="D18" s="1435"/>
      <c r="E18" s="1435">
        <v>1.4039999999999999</v>
      </c>
      <c r="F18" s="1436"/>
    </row>
    <row r="19" spans="1:6" s="1432" customFormat="1">
      <c r="A19" s="2804" t="s">
        <v>7355</v>
      </c>
      <c r="B19" s="1435" t="s">
        <v>6565</v>
      </c>
      <c r="C19" s="1434" t="s">
        <v>9513</v>
      </c>
      <c r="D19" s="1435" t="s">
        <v>9514</v>
      </c>
      <c r="E19" s="1435">
        <f>E6/E17</f>
        <v>8</v>
      </c>
      <c r="F19" s="1436" t="s">
        <v>2040</v>
      </c>
    </row>
    <row r="20" spans="1:6" s="1432" customFormat="1">
      <c r="A20" s="1433"/>
      <c r="B20" s="1435"/>
      <c r="C20" s="1434"/>
      <c r="D20" s="1435" t="s">
        <v>9515</v>
      </c>
      <c r="E20" s="1435">
        <v>8</v>
      </c>
      <c r="F20" s="1436" t="s">
        <v>2040</v>
      </c>
    </row>
    <row r="21" spans="1:6" s="1355" customFormat="1">
      <c r="A21" s="2804" t="s">
        <v>7699</v>
      </c>
      <c r="B21" s="1435" t="s">
        <v>5930</v>
      </c>
      <c r="C21" s="1434" t="s">
        <v>9516</v>
      </c>
      <c r="D21" s="1435" t="s">
        <v>9517</v>
      </c>
      <c r="E21" s="1435">
        <f>E6/E20</f>
        <v>4</v>
      </c>
      <c r="F21" s="1436"/>
    </row>
    <row r="22" spans="1:6" s="1355" customFormat="1" ht="30" customHeight="1">
      <c r="A22" s="2804" t="s">
        <v>7390</v>
      </c>
      <c r="B22" s="1435" t="s">
        <v>6163</v>
      </c>
      <c r="C22" s="1434" t="s">
        <v>9518</v>
      </c>
      <c r="D22" s="1439" t="s">
        <v>9519</v>
      </c>
      <c r="E22" s="1435">
        <f>(4*E21-1)/(4*E21-4)+0.615/E21</f>
        <v>1.4037500000000001</v>
      </c>
      <c r="F22" s="1436"/>
    </row>
    <row r="23" spans="1:6" s="1355" customFormat="1">
      <c r="A23" s="2804" t="s">
        <v>7403</v>
      </c>
      <c r="B23" s="1435" t="s">
        <v>9520</v>
      </c>
      <c r="C23" s="1434" t="s">
        <v>9521</v>
      </c>
      <c r="D23" s="1435" t="s">
        <v>9522</v>
      </c>
      <c r="E23" s="1435">
        <f>(E4-E3)/E5</f>
        <v>124.88</v>
      </c>
      <c r="F23" s="1436" t="s">
        <v>6532</v>
      </c>
    </row>
    <row r="24" spans="1:6" s="1355" customFormat="1" ht="19.5">
      <c r="A24" s="2804" t="s">
        <v>298</v>
      </c>
      <c r="B24" s="1435" t="s">
        <v>9523</v>
      </c>
      <c r="C24" s="1434" t="s">
        <v>9524</v>
      </c>
      <c r="D24" s="1435" t="s">
        <v>9525</v>
      </c>
      <c r="E24" s="1435">
        <f>E3/E23</f>
        <v>0</v>
      </c>
      <c r="F24" s="1436" t="s">
        <v>2040</v>
      </c>
    </row>
    <row r="25" spans="1:6" s="1355" customFormat="1" ht="19.5">
      <c r="A25" s="2804" t="s">
        <v>7398</v>
      </c>
      <c r="B25" s="1435" t="s">
        <v>9526</v>
      </c>
      <c r="C25" s="1434" t="s">
        <v>9527</v>
      </c>
      <c r="D25" s="1435" t="s">
        <v>9528</v>
      </c>
      <c r="E25" s="1435">
        <f>E4/E23</f>
        <v>25</v>
      </c>
      <c r="F25" s="1436" t="s">
        <v>2040</v>
      </c>
    </row>
    <row r="26" spans="1:6" s="1355" customFormat="1" ht="19.5">
      <c r="A26" s="2804" t="s">
        <v>7392</v>
      </c>
      <c r="B26" s="1435" t="s">
        <v>9529</v>
      </c>
      <c r="C26" s="1434" t="s">
        <v>9530</v>
      </c>
      <c r="D26" s="1435" t="s">
        <v>9531</v>
      </c>
      <c r="E26" s="1435">
        <f>E25/0.65</f>
        <v>38.461538461538503</v>
      </c>
      <c r="F26" s="1436" t="s">
        <v>2040</v>
      </c>
    </row>
    <row r="27" spans="1:6" s="1355" customFormat="1" ht="19.5">
      <c r="A27" s="2804" t="s">
        <v>7415</v>
      </c>
      <c r="B27" s="1435" t="s">
        <v>9532</v>
      </c>
      <c r="C27" s="1434" t="s">
        <v>9533</v>
      </c>
      <c r="D27" s="1435" t="s">
        <v>9534</v>
      </c>
      <c r="E27" s="1435">
        <f>E4/0.65</f>
        <v>4803.0769230769201</v>
      </c>
      <c r="F27" s="1436" t="s">
        <v>2040</v>
      </c>
    </row>
    <row r="28" spans="1:6" s="1355" customFormat="1" ht="19.5">
      <c r="A28" s="2804" t="s">
        <v>7542</v>
      </c>
      <c r="B28" s="1435" t="s">
        <v>6569</v>
      </c>
      <c r="C28" s="1438" t="s">
        <v>9535</v>
      </c>
      <c r="D28" s="1435" t="s">
        <v>9536</v>
      </c>
      <c r="E28" s="1435">
        <f>E10*E20^4*E25/(8*E4*E6^3)</f>
        <v>9.8844891095451608</v>
      </c>
      <c r="F28" s="1436"/>
    </row>
    <row r="29" spans="1:6" s="1355" customFormat="1">
      <c r="A29" s="1433"/>
      <c r="B29" s="1435"/>
      <c r="C29" s="1438"/>
      <c r="D29" s="1435" t="s">
        <v>9515</v>
      </c>
      <c r="E29" s="1435">
        <v>10</v>
      </c>
      <c r="F29" s="1436"/>
    </row>
    <row r="30" spans="1:6" s="1355" customFormat="1" ht="19.5">
      <c r="A30" s="2804" t="s">
        <v>304</v>
      </c>
      <c r="B30" s="1435" t="s">
        <v>9537</v>
      </c>
      <c r="C30" s="1438" t="s">
        <v>9538</v>
      </c>
      <c r="D30" s="1438" t="s">
        <v>9539</v>
      </c>
      <c r="E30" s="1435">
        <f>E29+2</f>
        <v>12</v>
      </c>
      <c r="F30" s="1436"/>
    </row>
    <row r="31" spans="1:6" s="1355" customFormat="1" ht="19.5">
      <c r="A31" s="2804" t="s">
        <v>7700</v>
      </c>
      <c r="B31" s="1435" t="s">
        <v>9540</v>
      </c>
      <c r="C31" s="1434" t="s">
        <v>9541</v>
      </c>
      <c r="D31" s="1435" t="s">
        <v>9542</v>
      </c>
      <c r="E31" s="1435">
        <f>(E29+1.5)*E20</f>
        <v>92</v>
      </c>
      <c r="F31" s="1436" t="s">
        <v>2040</v>
      </c>
    </row>
    <row r="32" spans="1:6" s="1355" customFormat="1" ht="19.5">
      <c r="A32" s="2804" t="s">
        <v>7395</v>
      </c>
      <c r="B32" s="1435" t="s">
        <v>9543</v>
      </c>
      <c r="C32" s="1434" t="s">
        <v>9544</v>
      </c>
      <c r="D32" s="1435" t="s">
        <v>9545</v>
      </c>
      <c r="E32" s="1435">
        <f>E31+E26</f>
        <v>130.461538461538</v>
      </c>
      <c r="F32" s="1436" t="s">
        <v>2040</v>
      </c>
    </row>
    <row r="33" spans="1:6" s="1355" customFormat="1">
      <c r="A33" s="1433"/>
      <c r="B33" s="1435"/>
      <c r="C33" s="1438"/>
      <c r="D33" s="1435" t="s">
        <v>9515</v>
      </c>
      <c r="E33" s="1435">
        <v>130</v>
      </c>
      <c r="F33" s="1436" t="s">
        <v>2040</v>
      </c>
    </row>
    <row r="34" spans="1:6" s="1355" customFormat="1" ht="19.5">
      <c r="A34" s="2804" t="s">
        <v>7842</v>
      </c>
      <c r="B34" s="1435" t="s">
        <v>6345</v>
      </c>
      <c r="C34" s="1438" t="s">
        <v>9546</v>
      </c>
      <c r="D34" s="1435" t="s">
        <v>9547</v>
      </c>
      <c r="E34" s="1435">
        <f>(E33-1.5*E20)/E29</f>
        <v>11.8</v>
      </c>
      <c r="F34" s="1436" t="s">
        <v>2040</v>
      </c>
    </row>
    <row r="35" spans="1:6" s="1355" customFormat="1">
      <c r="A35" s="2804" t="s">
        <v>7411</v>
      </c>
      <c r="B35" s="1435" t="s">
        <v>6356</v>
      </c>
      <c r="C35" s="1438" t="s">
        <v>9548</v>
      </c>
      <c r="D35" s="1435" t="s">
        <v>9549</v>
      </c>
      <c r="E35" s="1435">
        <f>ATAN(E34/(PI()*E6))*180/PI()</f>
        <v>6.6945613686926704</v>
      </c>
      <c r="F35" s="1436" t="s">
        <v>9550</v>
      </c>
    </row>
    <row r="36" spans="1:6" s="1355" customFormat="1">
      <c r="A36" s="2804" t="s">
        <v>309</v>
      </c>
      <c r="B36" s="1435" t="s">
        <v>6492</v>
      </c>
      <c r="C36" s="1438" t="s">
        <v>9551</v>
      </c>
      <c r="D36" s="1435" t="s">
        <v>9552</v>
      </c>
      <c r="E36" s="1435">
        <f>PI()*E6*E30/(COS(E35))</f>
        <v>1316.17844656954</v>
      </c>
      <c r="F36" s="1436" t="s">
        <v>2040</v>
      </c>
    </row>
    <row r="37" spans="1:6" s="1322" customFormat="1" ht="18.75" customHeight="1">
      <c r="A37" s="1329"/>
      <c r="B37" s="1330" t="s">
        <v>9553</v>
      </c>
      <c r="C37" s="1330" t="s">
        <v>9554</v>
      </c>
      <c r="D37" s="1331"/>
      <c r="E37" s="1331"/>
      <c r="F37" s="1332"/>
    </row>
    <row r="38" spans="1:6" s="1355" customFormat="1">
      <c r="A38" s="1433"/>
      <c r="B38" s="1397"/>
      <c r="C38" s="1440" t="s">
        <v>9555</v>
      </c>
      <c r="D38" s="1397"/>
      <c r="E38" s="1401"/>
      <c r="F38" s="1404"/>
    </row>
    <row r="39" spans="1:6" s="1355" customFormat="1" ht="19.5">
      <c r="A39" s="2804" t="s">
        <v>9556</v>
      </c>
      <c r="B39" s="1397" t="s">
        <v>5900</v>
      </c>
      <c r="C39" s="1438" t="s">
        <v>9557</v>
      </c>
      <c r="D39" s="1397" t="s">
        <v>9558</v>
      </c>
      <c r="E39" s="1401">
        <f>E33/E6</f>
        <v>4.0625</v>
      </c>
      <c r="F39" s="1404"/>
    </row>
    <row r="40" spans="1:6" s="1355" customFormat="1">
      <c r="A40" s="1433"/>
      <c r="B40" s="1397"/>
      <c r="C40" s="1438"/>
      <c r="D40" s="1397" t="s">
        <v>9559</v>
      </c>
      <c r="E40" s="1401" t="s">
        <v>9560</v>
      </c>
      <c r="F40" s="1404"/>
    </row>
    <row r="41" spans="1:6" s="1355" customFormat="1">
      <c r="A41" s="1433"/>
      <c r="B41" s="1397"/>
      <c r="C41" s="1440" t="s">
        <v>9561</v>
      </c>
      <c r="D41" s="1397"/>
      <c r="E41" s="1401"/>
      <c r="F41" s="1404"/>
    </row>
    <row r="42" spans="1:6" s="1355" customFormat="1" ht="19.5">
      <c r="A42" s="2804" t="s">
        <v>7416</v>
      </c>
      <c r="B42" s="1435" t="s">
        <v>9562</v>
      </c>
      <c r="C42" s="1434" t="s">
        <v>9563</v>
      </c>
      <c r="D42" s="1435" t="s">
        <v>9564</v>
      </c>
      <c r="E42" s="1401">
        <f>(8*E22*E6*E4)/(PI()*E20^3)</f>
        <v>697.49773176230497</v>
      </c>
      <c r="F42" s="1404" t="s">
        <v>9493</v>
      </c>
    </row>
    <row r="43" spans="1:6" s="1355" customFormat="1" ht="19.5">
      <c r="A43" s="1433"/>
      <c r="B43" s="1435" t="s">
        <v>9565</v>
      </c>
      <c r="C43" s="1434" t="s">
        <v>9566</v>
      </c>
      <c r="D43" s="1434" t="s">
        <v>9567</v>
      </c>
      <c r="E43" s="1401">
        <v>930</v>
      </c>
      <c r="F43" s="1404" t="s">
        <v>9493</v>
      </c>
    </row>
    <row r="44" spans="1:6" s="1355" customFormat="1" ht="19.5">
      <c r="A44" s="2804" t="s">
        <v>7399</v>
      </c>
      <c r="B44" s="1397" t="s">
        <v>6346</v>
      </c>
      <c r="C44" s="1438" t="s">
        <v>9568</v>
      </c>
      <c r="D44" s="1397" t="s">
        <v>9569</v>
      </c>
      <c r="E44" s="1401">
        <f>E43/E42</f>
        <v>1.33333766928568</v>
      </c>
      <c r="F44" s="1404"/>
    </row>
    <row r="45" spans="1:6" s="1355" customFormat="1" ht="19.5">
      <c r="A45" s="2804" t="s">
        <v>7788</v>
      </c>
      <c r="B45" s="1397" t="s">
        <v>9570</v>
      </c>
      <c r="C45" s="1438"/>
      <c r="D45" s="1397"/>
      <c r="E45" s="1401" t="s">
        <v>9571</v>
      </c>
      <c r="F45" s="1404"/>
    </row>
    <row r="46" spans="1:6" s="1355" customFormat="1" ht="19.5">
      <c r="A46" s="2804" t="s">
        <v>314</v>
      </c>
      <c r="B46" s="1397"/>
      <c r="C46" s="1438"/>
      <c r="D46" s="1397" t="s">
        <v>9572</v>
      </c>
      <c r="E46" s="1401" t="s">
        <v>9560</v>
      </c>
      <c r="F46" s="1404"/>
    </row>
    <row r="47" spans="1:6" s="1355" customFormat="1">
      <c r="A47" s="1433"/>
      <c r="B47" s="1435"/>
      <c r="C47" s="1438"/>
      <c r="D47" s="1435"/>
      <c r="E47" s="1401"/>
      <c r="F47" s="1404"/>
    </row>
    <row r="48" spans="1:6" s="1355" customFormat="1">
      <c r="A48" s="1433"/>
      <c r="B48" s="1435"/>
      <c r="C48" s="1438"/>
      <c r="D48" s="1435"/>
      <c r="E48" s="1435"/>
      <c r="F48" s="1436"/>
    </row>
    <row r="49" spans="1:6" s="1355" customFormat="1">
      <c r="A49" s="1433"/>
      <c r="B49" s="1435"/>
      <c r="C49" s="1438"/>
      <c r="D49" s="1435"/>
      <c r="E49" s="1435"/>
      <c r="F49" s="1436"/>
    </row>
    <row r="50" spans="1:6" s="1355" customFormat="1">
      <c r="A50" s="1433"/>
      <c r="B50" s="1435"/>
      <c r="C50" s="1438"/>
      <c r="D50" s="1435"/>
      <c r="E50" s="1435"/>
      <c r="F50" s="1436"/>
    </row>
    <row r="51" spans="1:6" s="1355" customFormat="1">
      <c r="A51" s="1433"/>
      <c r="B51" s="1435"/>
      <c r="C51" s="1438"/>
      <c r="D51" s="1435"/>
      <c r="E51" s="1435"/>
      <c r="F51" s="1436"/>
    </row>
    <row r="52" spans="1:6" s="1355" customFormat="1">
      <c r="A52" s="1433"/>
      <c r="B52" s="1435"/>
      <c r="C52" s="1438"/>
      <c r="D52" s="1435"/>
      <c r="E52" s="1435"/>
      <c r="F52" s="1436"/>
    </row>
  </sheetData>
  <phoneticPr fontId="378" type="noConversion"/>
  <hyperlinks>
    <hyperlink ref="D2" location="总目录!A1" display="总目录!A1"/>
  </hyperlinks>
  <pageMargins left="0.75" right="0.75" top="1" bottom="1" header="0.5" footer="0.5"/>
  <pageSetup paperSize="9" scale="97" orientation="landscape"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view="pageBreakPreview" zoomScaleNormal="100" zoomScaleSheetLayoutView="100" workbookViewId="0">
      <selection activeCell="E17" sqref="E17"/>
    </sheetView>
  </sheetViews>
  <sheetFormatPr defaultColWidth="8.125" defaultRowHeight="15"/>
  <cols>
    <col min="1" max="1" width="5.125" style="1389" customWidth="1"/>
    <col min="2" max="2" width="6.75" style="1389" customWidth="1"/>
    <col min="3" max="3" width="25.25" style="1389" customWidth="1"/>
    <col min="4" max="4" width="28.25" style="1389" customWidth="1"/>
    <col min="5" max="5" width="15.75" style="1389" customWidth="1"/>
    <col min="6" max="6" width="8.125" style="1389"/>
    <col min="7" max="7" width="73.125" style="1389" customWidth="1"/>
    <col min="8" max="16384" width="8.125" style="1389"/>
  </cols>
  <sheetData>
    <row r="1" spans="1:6" s="1322" customFormat="1" ht="20.100000000000001" customHeight="1">
      <c r="A1" s="1373" t="s">
        <v>9471</v>
      </c>
      <c r="B1" s="1374" t="s">
        <v>9472</v>
      </c>
      <c r="C1" s="1374" t="s">
        <v>9473</v>
      </c>
      <c r="D1" s="1374" t="s">
        <v>9474</v>
      </c>
      <c r="E1" s="1374" t="s">
        <v>9475</v>
      </c>
      <c r="F1" s="1390" t="s">
        <v>9476</v>
      </c>
    </row>
    <row r="2" spans="1:6" s="1322" customFormat="1" ht="20.100000000000001" customHeight="1">
      <c r="A2" s="1377"/>
      <c r="B2" s="1391" t="s">
        <v>9477</v>
      </c>
      <c r="C2" s="1391" t="s">
        <v>9478</v>
      </c>
      <c r="D2" s="1379"/>
      <c r="E2" s="1379"/>
      <c r="F2" s="1380"/>
    </row>
    <row r="3" spans="1:6" s="1322" customFormat="1" ht="20.100000000000001" customHeight="1">
      <c r="A3" s="2805" t="s">
        <v>6704</v>
      </c>
      <c r="B3" s="1397" t="s">
        <v>6436</v>
      </c>
      <c r="C3" s="1426" t="s">
        <v>9573</v>
      </c>
      <c r="D3" s="1430"/>
      <c r="E3" s="1397">
        <f>9550*E4/E5</f>
        <v>2387.5</v>
      </c>
      <c r="F3" s="1399" t="s">
        <v>9574</v>
      </c>
    </row>
    <row r="4" spans="1:6" s="1322" customFormat="1" ht="20.100000000000001" customHeight="1">
      <c r="A4" s="2805" t="s">
        <v>7334</v>
      </c>
      <c r="B4" s="1397" t="s">
        <v>9575</v>
      </c>
      <c r="C4" s="1426" t="s">
        <v>9576</v>
      </c>
      <c r="D4" s="1430"/>
      <c r="E4" s="1397">
        <v>300</v>
      </c>
      <c r="F4" s="1399" t="s">
        <v>9577</v>
      </c>
    </row>
    <row r="5" spans="1:6" s="1322" customFormat="1" ht="20.100000000000001" customHeight="1">
      <c r="A5" s="2805" t="s">
        <v>7335</v>
      </c>
      <c r="B5" s="1397" t="s">
        <v>6569</v>
      </c>
      <c r="C5" s="1426" t="s">
        <v>9578</v>
      </c>
      <c r="D5" s="1430"/>
      <c r="E5" s="1397">
        <v>1200</v>
      </c>
      <c r="F5" s="1399" t="s">
        <v>1997</v>
      </c>
    </row>
    <row r="6" spans="1:6" s="1322" customFormat="1" ht="20.100000000000001" customHeight="1">
      <c r="A6" s="2805" t="s">
        <v>7336</v>
      </c>
      <c r="B6" s="1397" t="s">
        <v>9579</v>
      </c>
      <c r="C6" s="1426" t="s">
        <v>9580</v>
      </c>
      <c r="D6" s="1426" t="s">
        <v>9581</v>
      </c>
      <c r="E6" s="1397">
        <v>1</v>
      </c>
      <c r="F6" s="1399"/>
    </row>
    <row r="7" spans="1:6" s="1322" customFormat="1" ht="20.100000000000001" customHeight="1">
      <c r="A7" s="2805" t="s">
        <v>7337</v>
      </c>
      <c r="B7" s="1397" t="s">
        <v>6163</v>
      </c>
      <c r="C7" s="1426" t="s">
        <v>9582</v>
      </c>
      <c r="D7" s="1426" t="s">
        <v>9583</v>
      </c>
      <c r="E7" s="1397">
        <v>2</v>
      </c>
      <c r="F7" s="1431"/>
    </row>
    <row r="8" spans="1:6" s="1322" customFormat="1" ht="20.100000000000001" customHeight="1">
      <c r="A8" s="2805" t="s">
        <v>7338</v>
      </c>
      <c r="B8" s="1397" t="s">
        <v>9584</v>
      </c>
      <c r="C8" s="1398" t="s">
        <v>9585</v>
      </c>
      <c r="D8" s="1426" t="s">
        <v>9581</v>
      </c>
      <c r="E8" s="1397">
        <v>1</v>
      </c>
      <c r="F8" s="1399"/>
    </row>
    <row r="9" spans="1:6" s="1322" customFormat="1" ht="20.100000000000001" customHeight="1">
      <c r="A9" s="2805" t="s">
        <v>7339</v>
      </c>
      <c r="B9" s="1397" t="s">
        <v>9586</v>
      </c>
      <c r="C9" s="1426" t="s">
        <v>9587</v>
      </c>
      <c r="D9" s="1426" t="s">
        <v>9588</v>
      </c>
      <c r="E9" s="1397">
        <v>1</v>
      </c>
      <c r="F9" s="1399"/>
    </row>
    <row r="10" spans="1:6" s="1322" customFormat="1" ht="20.100000000000001" customHeight="1">
      <c r="A10" s="2805" t="s">
        <v>6000</v>
      </c>
      <c r="B10" s="1397"/>
      <c r="C10" s="1398" t="s">
        <v>9589</v>
      </c>
      <c r="D10" s="1398" t="s">
        <v>9590</v>
      </c>
      <c r="E10" s="1397">
        <v>710</v>
      </c>
      <c r="F10" s="1399" t="s">
        <v>2040</v>
      </c>
    </row>
    <row r="11" spans="1:6" s="1322" customFormat="1" ht="20.100000000000001" customHeight="1">
      <c r="A11" s="2805" t="s">
        <v>6003</v>
      </c>
      <c r="B11" s="1397" t="s">
        <v>9591</v>
      </c>
      <c r="C11" s="1426" t="s">
        <v>9592</v>
      </c>
      <c r="D11" s="1426" t="s">
        <v>9593</v>
      </c>
      <c r="E11" s="1397">
        <v>14000</v>
      </c>
      <c r="F11" s="1399" t="s">
        <v>9574</v>
      </c>
    </row>
    <row r="12" spans="1:6" s="1322" customFormat="1" ht="20.100000000000001" customHeight="1">
      <c r="A12" s="1377"/>
      <c r="B12" s="1391" t="s">
        <v>9495</v>
      </c>
      <c r="C12" s="1391" t="s">
        <v>9496</v>
      </c>
      <c r="D12" s="1379"/>
      <c r="E12" s="1379"/>
      <c r="F12" s="1380"/>
    </row>
    <row r="13" spans="1:6" s="1322" customFormat="1" ht="20.100000000000001" customHeight="1">
      <c r="A13" s="2805" t="s">
        <v>287</v>
      </c>
      <c r="B13" s="1397" t="s">
        <v>9594</v>
      </c>
      <c r="C13" s="1398" t="s">
        <v>9595</v>
      </c>
      <c r="D13" s="1398" t="s">
        <v>9596</v>
      </c>
      <c r="E13" s="1397">
        <f>E5*E8*E9*E10</f>
        <v>852000</v>
      </c>
      <c r="F13" s="1399" t="s">
        <v>9574</v>
      </c>
    </row>
    <row r="14" spans="1:6" s="1322" customFormat="1" ht="18.75" customHeight="1">
      <c r="A14" s="1329"/>
      <c r="B14" s="1330" t="s">
        <v>9553</v>
      </c>
      <c r="C14" s="1330" t="s">
        <v>9554</v>
      </c>
      <c r="D14" s="1331"/>
      <c r="E14" s="1331"/>
      <c r="F14" s="1332"/>
    </row>
    <row r="15" spans="1:6" s="1322" customFormat="1" ht="20.100000000000001" customHeight="1">
      <c r="A15" s="1400"/>
      <c r="B15" s="1401"/>
      <c r="C15" s="1402"/>
      <c r="D15" s="1402" t="s">
        <v>9597</v>
      </c>
      <c r="E15" s="1403" t="s">
        <v>9598</v>
      </c>
      <c r="F15" s="1404"/>
    </row>
    <row r="16" spans="1:6" s="1322" customFormat="1" ht="20.100000000000001" customHeight="1">
      <c r="A16" s="1400"/>
      <c r="B16" s="1405"/>
      <c r="C16" s="1405"/>
      <c r="D16" s="1406"/>
      <c r="E16" s="1406"/>
      <c r="F16" s="1407"/>
    </row>
    <row r="17" spans="1:6" s="1322" customFormat="1" ht="20.100000000000001" customHeight="1">
      <c r="A17" s="1400"/>
      <c r="B17" s="1405"/>
      <c r="C17" s="1405"/>
      <c r="D17" s="1406"/>
      <c r="E17" s="3178" t="s">
        <v>12716</v>
      </c>
      <c r="F17" s="1407"/>
    </row>
  </sheetData>
  <phoneticPr fontId="378" type="noConversion"/>
  <hyperlinks>
    <hyperlink ref="E17" location="总目录!A1" display="总目录!A1"/>
  </hyperlinks>
  <pageMargins left="0.75" right="0.75" top="1" bottom="1" header="0.5" footer="0.5"/>
  <pageSetup paperSize="9" scale="97" orientation="landscape"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view="pageBreakPreview" zoomScaleNormal="100" zoomScaleSheetLayoutView="100" workbookViewId="0">
      <selection activeCell="D19" sqref="D19"/>
    </sheetView>
  </sheetViews>
  <sheetFormatPr defaultColWidth="8.125" defaultRowHeight="15"/>
  <cols>
    <col min="1" max="1" width="5.125" style="1389" customWidth="1"/>
    <col min="2" max="2" width="6.75" style="1389" customWidth="1"/>
    <col min="3" max="3" width="25.25" style="1389" customWidth="1"/>
    <col min="4" max="4" width="28.25" style="1389" customWidth="1"/>
    <col min="5" max="5" width="15.75" style="1389" customWidth="1"/>
    <col min="6" max="6" width="8.125" style="1389"/>
    <col min="7" max="7" width="73.125" style="1389" customWidth="1"/>
    <col min="8" max="16384" width="8.125" style="1389"/>
  </cols>
  <sheetData>
    <row r="1" spans="1:6" s="1322" customFormat="1" ht="20.100000000000001" customHeight="1">
      <c r="A1" s="1373" t="s">
        <v>9471</v>
      </c>
      <c r="B1" s="1374" t="s">
        <v>9472</v>
      </c>
      <c r="C1" s="1374" t="s">
        <v>9473</v>
      </c>
      <c r="D1" s="1374" t="s">
        <v>9474</v>
      </c>
      <c r="E1" s="1374" t="s">
        <v>9475</v>
      </c>
      <c r="F1" s="1390" t="s">
        <v>9476</v>
      </c>
    </row>
    <row r="2" spans="1:6" s="1322" customFormat="1" ht="20.100000000000001" customHeight="1">
      <c r="A2" s="1377"/>
      <c r="B2" s="1391" t="s">
        <v>9477</v>
      </c>
      <c r="C2" s="1391" t="s">
        <v>9478</v>
      </c>
      <c r="D2" s="1379"/>
      <c r="E2" s="1379"/>
      <c r="F2" s="1380"/>
    </row>
    <row r="3" spans="1:6" s="1322" customFormat="1" ht="20.100000000000001" customHeight="1">
      <c r="A3" s="2805" t="s">
        <v>6704</v>
      </c>
      <c r="B3" s="1397" t="s">
        <v>6370</v>
      </c>
      <c r="C3" s="1426" t="s">
        <v>9599</v>
      </c>
      <c r="D3" s="1426"/>
      <c r="E3" s="1427">
        <v>5.5</v>
      </c>
      <c r="F3" s="1399" t="s">
        <v>9577</v>
      </c>
    </row>
    <row r="4" spans="1:6" s="1322" customFormat="1" ht="20.100000000000001" customHeight="1">
      <c r="A4" s="2805" t="s">
        <v>7334</v>
      </c>
      <c r="B4" s="1397" t="s">
        <v>6569</v>
      </c>
      <c r="C4" s="1426" t="s">
        <v>9600</v>
      </c>
      <c r="D4" s="1426"/>
      <c r="E4" s="1427">
        <v>73</v>
      </c>
      <c r="F4" s="1399" t="s">
        <v>1997</v>
      </c>
    </row>
    <row r="5" spans="1:6" s="1322" customFormat="1" ht="20.100000000000001" customHeight="1">
      <c r="A5" s="2805" t="s">
        <v>7335</v>
      </c>
      <c r="B5" s="1397" t="s">
        <v>6436</v>
      </c>
      <c r="C5" s="1426" t="s">
        <v>9573</v>
      </c>
      <c r="D5" s="1426" t="s">
        <v>9601</v>
      </c>
      <c r="E5" s="1427">
        <f>9550*E3/E4/1000</f>
        <v>0.71952054794520504</v>
      </c>
      <c r="F5" s="1399" t="s">
        <v>9602</v>
      </c>
    </row>
    <row r="6" spans="1:6" s="1322" customFormat="1" ht="20.100000000000001" customHeight="1">
      <c r="A6" s="2805" t="s">
        <v>7336</v>
      </c>
      <c r="B6" s="1397" t="s">
        <v>6163</v>
      </c>
      <c r="C6" s="1398" t="s">
        <v>9603</v>
      </c>
      <c r="D6" s="1426" t="s">
        <v>9604</v>
      </c>
      <c r="E6" s="1427">
        <v>5</v>
      </c>
      <c r="F6" s="1399"/>
    </row>
    <row r="7" spans="1:6" s="1322" customFormat="1" ht="20.100000000000001" customHeight="1">
      <c r="A7" s="1377"/>
      <c r="B7" s="1391" t="s">
        <v>9495</v>
      </c>
      <c r="C7" s="1391" t="s">
        <v>9496</v>
      </c>
      <c r="D7" s="1379"/>
      <c r="E7" s="1379"/>
      <c r="F7" s="1380"/>
    </row>
    <row r="8" spans="1:6" s="1322" customFormat="1" ht="20.100000000000001" customHeight="1">
      <c r="A8" s="2805" t="s">
        <v>7337</v>
      </c>
      <c r="B8" s="1401" t="s">
        <v>9594</v>
      </c>
      <c r="C8" s="1402" t="s">
        <v>9605</v>
      </c>
      <c r="D8" s="1402" t="s">
        <v>9606</v>
      </c>
      <c r="E8" s="1428">
        <f>E5*E6</f>
        <v>3.59760273972603</v>
      </c>
      <c r="F8" s="1404" t="s">
        <v>9602</v>
      </c>
    </row>
    <row r="9" spans="1:6" s="1322" customFormat="1" ht="20.100000000000001" customHeight="1">
      <c r="A9" s="2805" t="s">
        <v>7338</v>
      </c>
      <c r="B9" s="1401" t="s">
        <v>9607</v>
      </c>
      <c r="C9" s="1402"/>
      <c r="D9" s="1428"/>
      <c r="E9" s="1428">
        <v>7.88</v>
      </c>
      <c r="F9" s="1404" t="s">
        <v>9550</v>
      </c>
    </row>
    <row r="10" spans="1:6" s="1322" customFormat="1" ht="20.100000000000001" customHeight="1">
      <c r="A10" s="2805" t="s">
        <v>7339</v>
      </c>
      <c r="B10" s="1401" t="s">
        <v>9608</v>
      </c>
      <c r="C10" s="1402"/>
      <c r="D10" s="1428"/>
      <c r="E10" s="1428">
        <v>12</v>
      </c>
      <c r="F10" s="1404" t="s">
        <v>9550</v>
      </c>
    </row>
    <row r="11" spans="1:6" s="1322" customFormat="1" ht="20.100000000000001" customHeight="1">
      <c r="A11" s="2805" t="s">
        <v>6000</v>
      </c>
      <c r="B11" s="1401" t="s">
        <v>9609</v>
      </c>
      <c r="C11" s="1402"/>
      <c r="D11" s="1402" t="s">
        <v>9610</v>
      </c>
      <c r="E11" s="1428">
        <f>((TAN(E9/180*PI()))^2+(TAN(E10/180*PI()))^2)^0.5</f>
        <v>0.253646267230906</v>
      </c>
      <c r="F11" s="1404"/>
    </row>
    <row r="12" spans="1:6" s="1322" customFormat="1" ht="20.100000000000001" customHeight="1">
      <c r="A12" s="2805" t="s">
        <v>6003</v>
      </c>
      <c r="B12" s="1401" t="s">
        <v>9611</v>
      </c>
      <c r="C12" s="1402"/>
      <c r="D12" s="1402"/>
      <c r="E12" s="1428">
        <f>ATAN(E11)/PI()*180</f>
        <v>14.232700710914999</v>
      </c>
      <c r="F12" s="1404" t="s">
        <v>9550</v>
      </c>
    </row>
    <row r="13" spans="1:6" s="1322" customFormat="1" ht="18.75" customHeight="1">
      <c r="A13" s="2805" t="s">
        <v>287</v>
      </c>
      <c r="B13" s="1401"/>
      <c r="C13" s="4225" t="s">
        <v>9612</v>
      </c>
      <c r="D13" s="4225"/>
      <c r="E13" s="1428"/>
      <c r="F13" s="1404"/>
    </row>
    <row r="14" spans="1:6" s="1322" customFormat="1" ht="20.100000000000001" customHeight="1">
      <c r="A14" s="1400"/>
      <c r="B14" s="1401" t="s">
        <v>9591</v>
      </c>
      <c r="C14" s="1429" t="s">
        <v>9613</v>
      </c>
      <c r="D14" s="1402"/>
      <c r="E14" s="1428">
        <v>12.5</v>
      </c>
      <c r="F14" s="1404" t="s">
        <v>9602</v>
      </c>
    </row>
    <row r="15" spans="1:6" s="1322" customFormat="1" ht="20.100000000000001" customHeight="1">
      <c r="A15" s="1400"/>
      <c r="B15" s="1401" t="s">
        <v>9614</v>
      </c>
      <c r="C15" s="1429" t="s">
        <v>9615</v>
      </c>
      <c r="D15" s="1402"/>
      <c r="E15" s="1428">
        <v>6.3</v>
      </c>
      <c r="F15" s="1404" t="s">
        <v>9602</v>
      </c>
    </row>
    <row r="16" spans="1:6" s="1322" customFormat="1" ht="18.75" customHeight="1">
      <c r="A16" s="1329"/>
      <c r="B16" s="1330" t="s">
        <v>9553</v>
      </c>
      <c r="C16" s="1330" t="s">
        <v>9554</v>
      </c>
      <c r="D16" s="1331"/>
      <c r="E16" s="1331"/>
      <c r="F16" s="1332"/>
    </row>
    <row r="17" spans="1:6" s="1322" customFormat="1" ht="20.100000000000001" customHeight="1">
      <c r="A17" s="1400"/>
      <c r="B17" s="1401"/>
      <c r="C17" s="1402"/>
      <c r="D17" s="1402" t="s">
        <v>9616</v>
      </c>
      <c r="E17" s="1403" t="s">
        <v>9598</v>
      </c>
      <c r="F17" s="1404"/>
    </row>
    <row r="18" spans="1:6" s="1322" customFormat="1" ht="20.100000000000001" customHeight="1">
      <c r="A18" s="1400"/>
      <c r="B18" s="1405"/>
      <c r="C18" s="1405"/>
      <c r="D18" s="1406"/>
      <c r="E18" s="1406"/>
      <c r="F18" s="1407"/>
    </row>
    <row r="19" spans="1:6" s="1322" customFormat="1" ht="20.100000000000001" customHeight="1">
      <c r="A19" s="1400"/>
      <c r="B19" s="1405"/>
      <c r="C19" s="1405"/>
      <c r="D19" s="3178" t="s">
        <v>12716</v>
      </c>
      <c r="E19" s="1406"/>
      <c r="F19" s="1407"/>
    </row>
  </sheetData>
  <mergeCells count="1">
    <mergeCell ref="C13:D13"/>
  </mergeCells>
  <phoneticPr fontId="378" type="noConversion"/>
  <hyperlinks>
    <hyperlink ref="D19" location="总目录!A1" display="总目录!A1"/>
  </hyperlinks>
  <pageMargins left="0.75" right="0.75" top="1" bottom="1" header="0.5" footer="0.5"/>
  <pageSetup paperSize="9" scale="97" orientation="landscape"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view="pageBreakPreview" topLeftCell="A34" zoomScaleNormal="100" zoomScaleSheetLayoutView="100" workbookViewId="0">
      <selection activeCell="D53" sqref="D53"/>
    </sheetView>
  </sheetViews>
  <sheetFormatPr defaultColWidth="8.125" defaultRowHeight="15"/>
  <cols>
    <col min="1" max="1" width="5.125" style="1389" customWidth="1"/>
    <col min="2" max="2" width="6.75" style="1389" customWidth="1"/>
    <col min="3" max="3" width="25.25" style="1389" customWidth="1"/>
    <col min="4" max="4" width="28.25" style="1389" customWidth="1"/>
    <col min="5" max="5" width="15.75" style="1389" customWidth="1"/>
    <col min="6" max="6" width="8.125" style="1389"/>
    <col min="7" max="7" width="73.125" style="1389" customWidth="1"/>
    <col min="8" max="16384" width="8.125" style="1389"/>
  </cols>
  <sheetData>
    <row r="1" spans="1:6" s="1322" customFormat="1" ht="20.100000000000001" customHeight="1">
      <c r="A1" s="1408" t="s">
        <v>9471</v>
      </c>
      <c r="B1" s="1409" t="s">
        <v>9472</v>
      </c>
      <c r="C1" s="1409" t="s">
        <v>9473</v>
      </c>
      <c r="D1" s="1409" t="s">
        <v>9474</v>
      </c>
      <c r="E1" s="1409" t="s">
        <v>9475</v>
      </c>
      <c r="F1" s="1410" t="s">
        <v>9476</v>
      </c>
    </row>
    <row r="2" spans="1:6" s="1322" customFormat="1" ht="20.100000000000001" customHeight="1">
      <c r="A2" s="1411"/>
      <c r="B2" s="1412" t="s">
        <v>9477</v>
      </c>
      <c r="C2" s="1412" t="s">
        <v>9478</v>
      </c>
      <c r="D2" s="1413"/>
      <c r="E2" s="1413"/>
      <c r="F2" s="1414"/>
    </row>
    <row r="3" spans="1:6" s="1322" customFormat="1" ht="20.100000000000001" customHeight="1">
      <c r="A3" s="2806" t="s">
        <v>6704</v>
      </c>
      <c r="B3" s="1416" t="s">
        <v>9617</v>
      </c>
      <c r="C3" s="1416" t="s">
        <v>9618</v>
      </c>
      <c r="D3" s="1416"/>
      <c r="E3" s="1416">
        <v>295</v>
      </c>
      <c r="F3" s="1417" t="s">
        <v>2040</v>
      </c>
    </row>
    <row r="4" spans="1:6" s="1322" customFormat="1" ht="20.100000000000001" customHeight="1">
      <c r="A4" s="2806" t="s">
        <v>7334</v>
      </c>
      <c r="B4" s="1416" t="s">
        <v>9619</v>
      </c>
      <c r="C4" s="1416" t="s">
        <v>9620</v>
      </c>
      <c r="D4" s="1416"/>
      <c r="E4" s="1416">
        <v>100</v>
      </c>
      <c r="F4" s="1417" t="s">
        <v>2040</v>
      </c>
    </row>
    <row r="5" spans="1:6" s="1322" customFormat="1" ht="20.100000000000001" customHeight="1">
      <c r="A5" s="2806" t="s">
        <v>7335</v>
      </c>
      <c r="B5" s="1416" t="s">
        <v>9621</v>
      </c>
      <c r="C5" s="1416" t="s">
        <v>9622</v>
      </c>
      <c r="D5" s="1416"/>
      <c r="E5" s="1416">
        <v>0</v>
      </c>
      <c r="F5" s="1417" t="s">
        <v>2040</v>
      </c>
    </row>
    <row r="6" spans="1:6" s="1322" customFormat="1" ht="20.100000000000001" customHeight="1">
      <c r="A6" s="2806" t="s">
        <v>7336</v>
      </c>
      <c r="B6" s="1416" t="s">
        <v>9623</v>
      </c>
      <c r="C6" s="1416" t="s">
        <v>9624</v>
      </c>
      <c r="D6" s="1416"/>
      <c r="E6" s="1416">
        <v>50</v>
      </c>
      <c r="F6" s="1417" t="s">
        <v>2040</v>
      </c>
    </row>
    <row r="7" spans="1:6" s="1322" customFormat="1" ht="20.100000000000001" customHeight="1">
      <c r="A7" s="2806" t="s">
        <v>7337</v>
      </c>
      <c r="B7" s="1416" t="s">
        <v>9625</v>
      </c>
      <c r="C7" s="1416" t="s">
        <v>9626</v>
      </c>
      <c r="D7" s="1416" t="s">
        <v>9627</v>
      </c>
      <c r="E7" s="1416">
        <v>0.14000000000000001</v>
      </c>
      <c r="F7" s="1417"/>
    </row>
    <row r="8" spans="1:6" s="1322" customFormat="1" ht="20.100000000000001" customHeight="1">
      <c r="A8" s="2806" t="s">
        <v>7338</v>
      </c>
      <c r="B8" s="1416" t="s">
        <v>9628</v>
      </c>
      <c r="C8" s="1416" t="s">
        <v>9629</v>
      </c>
      <c r="D8" s="1416"/>
      <c r="E8" s="1416">
        <v>200000</v>
      </c>
      <c r="F8" s="1417" t="s">
        <v>9493</v>
      </c>
    </row>
    <row r="9" spans="1:6" s="1322" customFormat="1" ht="20.100000000000001" customHeight="1">
      <c r="A9" s="2806" t="s">
        <v>7339</v>
      </c>
      <c r="B9" s="1416" t="s">
        <v>9630</v>
      </c>
      <c r="C9" s="1416" t="s">
        <v>9631</v>
      </c>
      <c r="D9" s="1416"/>
      <c r="E9" s="1416">
        <v>200000</v>
      </c>
      <c r="F9" s="1417" t="s">
        <v>9493</v>
      </c>
    </row>
    <row r="10" spans="1:6" s="1322" customFormat="1" ht="20.100000000000001" customHeight="1">
      <c r="A10" s="2806" t="s">
        <v>6000</v>
      </c>
      <c r="B10" s="1416" t="s">
        <v>9632</v>
      </c>
      <c r="C10" s="1416" t="s">
        <v>9633</v>
      </c>
      <c r="D10" s="1416"/>
      <c r="E10" s="1416">
        <v>0.3</v>
      </c>
      <c r="F10" s="1417"/>
    </row>
    <row r="11" spans="1:6" s="1322" customFormat="1" ht="20.100000000000001" customHeight="1">
      <c r="A11" s="2806" t="s">
        <v>6003</v>
      </c>
      <c r="B11" s="1416" t="s">
        <v>9634</v>
      </c>
      <c r="C11" s="1416" t="s">
        <v>9635</v>
      </c>
      <c r="D11" s="1416"/>
      <c r="E11" s="1416">
        <v>0.3</v>
      </c>
      <c r="F11" s="1417"/>
    </row>
    <row r="12" spans="1:6" s="1322" customFormat="1" ht="20.100000000000001" customHeight="1">
      <c r="A12" s="2806" t="s">
        <v>287</v>
      </c>
      <c r="B12" s="1416" t="s">
        <v>9636</v>
      </c>
      <c r="C12" s="1416" t="s">
        <v>9637</v>
      </c>
      <c r="D12" s="1416"/>
      <c r="E12" s="1416">
        <v>295</v>
      </c>
      <c r="F12" s="1417" t="s">
        <v>9493</v>
      </c>
    </row>
    <row r="13" spans="1:6" s="1322" customFormat="1" ht="20.100000000000001" customHeight="1">
      <c r="A13" s="2806" t="s">
        <v>7340</v>
      </c>
      <c r="B13" s="1416" t="s">
        <v>9638</v>
      </c>
      <c r="C13" s="1416" t="s">
        <v>9639</v>
      </c>
      <c r="D13" s="1416"/>
      <c r="E13" s="1416">
        <v>275</v>
      </c>
      <c r="F13" s="1417" t="s">
        <v>9493</v>
      </c>
    </row>
    <row r="14" spans="1:6" s="1322" customFormat="1" ht="20.100000000000001" customHeight="1">
      <c r="A14" s="2806" t="s">
        <v>7341</v>
      </c>
      <c r="B14" s="1416" t="s">
        <v>6109</v>
      </c>
      <c r="C14" s="1416" t="s">
        <v>9640</v>
      </c>
      <c r="D14" s="1416"/>
      <c r="E14" s="1416">
        <v>11</v>
      </c>
      <c r="F14" s="1417" t="s">
        <v>9577</v>
      </c>
    </row>
    <row r="15" spans="1:6" s="1322" customFormat="1" ht="20.100000000000001" customHeight="1">
      <c r="A15" s="2806" t="s">
        <v>7397</v>
      </c>
      <c r="B15" s="1416" t="s">
        <v>9641</v>
      </c>
      <c r="C15" s="1416" t="s">
        <v>9642</v>
      </c>
      <c r="D15" s="1416"/>
      <c r="E15" s="1416">
        <v>2.5</v>
      </c>
      <c r="F15" s="1417"/>
    </row>
    <row r="16" spans="1:6" s="1322" customFormat="1" ht="20.100000000000001" customHeight="1">
      <c r="A16" s="2806" t="s">
        <v>7389</v>
      </c>
      <c r="B16" s="1416" t="s">
        <v>6569</v>
      </c>
      <c r="C16" s="1416" t="s">
        <v>9600</v>
      </c>
      <c r="D16" s="1416"/>
      <c r="E16" s="1416">
        <v>159.16</v>
      </c>
      <c r="F16" s="1417" t="s">
        <v>1997</v>
      </c>
    </row>
    <row r="17" spans="1:6" s="1322" customFormat="1" ht="20.100000000000001" customHeight="1">
      <c r="A17" s="1411"/>
      <c r="B17" s="1412" t="s">
        <v>9495</v>
      </c>
      <c r="C17" s="1412" t="s">
        <v>9496</v>
      </c>
      <c r="D17" s="3178" t="s">
        <v>12716</v>
      </c>
      <c r="E17" s="1413"/>
      <c r="F17" s="1414"/>
    </row>
    <row r="18" spans="1:6" s="1322" customFormat="1" ht="20.100000000000001" customHeight="1">
      <c r="A18" s="2806" t="s">
        <v>6704</v>
      </c>
      <c r="B18" s="1416" t="s">
        <v>6436</v>
      </c>
      <c r="C18" s="1416" t="s">
        <v>9643</v>
      </c>
      <c r="D18" s="1416" t="s">
        <v>9644</v>
      </c>
      <c r="E18" s="1416">
        <f>9550*E15*E14/E16</f>
        <v>1650.0691128424201</v>
      </c>
      <c r="F18" s="1417" t="s">
        <v>9574</v>
      </c>
    </row>
    <row r="19" spans="1:6" s="1322" customFormat="1" ht="20.100000000000001" customHeight="1">
      <c r="A19" s="2806" t="s">
        <v>7334</v>
      </c>
      <c r="B19" s="1416" t="s">
        <v>9645</v>
      </c>
      <c r="C19" s="1416" t="s">
        <v>9646</v>
      </c>
      <c r="D19" s="1416" t="s">
        <v>9647</v>
      </c>
      <c r="E19" s="1416">
        <f>2*E18*10^3/(PI()*E4^2*E6*E7)</f>
        <v>15.0066660429789</v>
      </c>
      <c r="F19" s="1417" t="s">
        <v>9493</v>
      </c>
    </row>
    <row r="20" spans="1:6" s="1322" customFormat="1" ht="20.100000000000001" customHeight="1">
      <c r="A20" s="2806" t="s">
        <v>7335</v>
      </c>
      <c r="B20" s="1416" t="s">
        <v>9648</v>
      </c>
      <c r="C20" s="1416" t="s">
        <v>9649</v>
      </c>
      <c r="D20" s="1416" t="s">
        <v>9650</v>
      </c>
      <c r="E20" s="1416">
        <f>E4/E3</f>
        <v>0.338983050847458</v>
      </c>
      <c r="F20" s="1417"/>
    </row>
    <row r="21" spans="1:6" s="1322" customFormat="1" ht="20.100000000000001" customHeight="1">
      <c r="A21" s="2806" t="s">
        <v>7336</v>
      </c>
      <c r="B21" s="1416" t="s">
        <v>9651</v>
      </c>
      <c r="C21" s="1416" t="s">
        <v>9652</v>
      </c>
      <c r="D21" s="1416" t="s">
        <v>9653</v>
      </c>
      <c r="E21" s="1416">
        <f>E5/E4</f>
        <v>0</v>
      </c>
      <c r="F21" s="1417"/>
    </row>
    <row r="22" spans="1:6" s="1322" customFormat="1" ht="20.100000000000001" customHeight="1">
      <c r="A22" s="2806" t="s">
        <v>7337</v>
      </c>
      <c r="B22" s="1416" t="s">
        <v>9654</v>
      </c>
      <c r="C22" s="1416" t="s">
        <v>9655</v>
      </c>
      <c r="D22" s="1416" t="s">
        <v>9656</v>
      </c>
      <c r="E22" s="1416">
        <v>1.579</v>
      </c>
      <c r="F22" s="1417"/>
    </row>
    <row r="23" spans="1:6" s="1322" customFormat="1" ht="20.100000000000001" customHeight="1">
      <c r="A23" s="2806" t="s">
        <v>7338</v>
      </c>
      <c r="B23" s="1416" t="s">
        <v>9657</v>
      </c>
      <c r="C23" s="1416" t="s">
        <v>9655</v>
      </c>
      <c r="D23" s="1416" t="s">
        <v>9656</v>
      </c>
      <c r="E23" s="1416">
        <v>0.7</v>
      </c>
      <c r="F23" s="1417"/>
    </row>
    <row r="24" spans="1:6" s="1322" customFormat="1" ht="39.950000000000003" customHeight="1">
      <c r="A24" s="2806" t="s">
        <v>7339</v>
      </c>
      <c r="B24" s="1416" t="s">
        <v>9658</v>
      </c>
      <c r="C24" s="1416" t="s">
        <v>9659</v>
      </c>
      <c r="D24" s="1416" t="s">
        <v>9660</v>
      </c>
      <c r="E24" s="1416">
        <f>E19*E4*E22/E8</f>
        <v>1.1847762840931799E-2</v>
      </c>
      <c r="F24" s="1417" t="s">
        <v>2040</v>
      </c>
    </row>
    <row r="25" spans="1:6" s="1322" customFormat="1" ht="39.950000000000003" customHeight="1">
      <c r="A25" s="2806" t="s">
        <v>6000</v>
      </c>
      <c r="B25" s="1416" t="s">
        <v>9661</v>
      </c>
      <c r="C25" s="1416" t="s">
        <v>9662</v>
      </c>
      <c r="D25" s="1416" t="s">
        <v>9663</v>
      </c>
      <c r="E25" s="1416">
        <f>E19*E4*E23/E9</f>
        <v>5.2523331150426001E-3</v>
      </c>
      <c r="F25" s="1417" t="s">
        <v>2040</v>
      </c>
    </row>
    <row r="26" spans="1:6" s="1322" customFormat="1" ht="39.950000000000003" customHeight="1">
      <c r="A26" s="2806" t="s">
        <v>6003</v>
      </c>
      <c r="B26" s="1416" t="s">
        <v>9664</v>
      </c>
      <c r="C26" s="1416" t="s">
        <v>9665</v>
      </c>
      <c r="D26" s="1416" t="s">
        <v>9666</v>
      </c>
      <c r="E26" s="1418">
        <f>E24+E25</f>
        <v>1.71000959559744E-2</v>
      </c>
      <c r="F26" s="1419" t="s">
        <v>2040</v>
      </c>
    </row>
    <row r="27" spans="1:6" s="1322" customFormat="1" ht="20.100000000000001" customHeight="1">
      <c r="A27" s="2806" t="s">
        <v>7341</v>
      </c>
      <c r="B27" s="1416" t="s">
        <v>9667</v>
      </c>
      <c r="C27" s="1416" t="s">
        <v>9668</v>
      </c>
      <c r="D27" s="1416" t="s">
        <v>9669</v>
      </c>
      <c r="E27" s="1416">
        <f>E26</f>
        <v>1.71000959559744E-2</v>
      </c>
      <c r="F27" s="1417" t="s">
        <v>2040</v>
      </c>
    </row>
    <row r="28" spans="1:6" s="1322" customFormat="1" ht="20.100000000000001" customHeight="1">
      <c r="A28" s="2806" t="s">
        <v>7397</v>
      </c>
      <c r="B28" s="1416" t="s">
        <v>5899</v>
      </c>
      <c r="C28" s="1416"/>
      <c r="D28" s="1416" t="s">
        <v>9670</v>
      </c>
      <c r="E28" s="1416">
        <v>0.52</v>
      </c>
      <c r="F28" s="1417"/>
    </row>
    <row r="29" spans="1:6" s="1322" customFormat="1" ht="20.100000000000001" customHeight="1">
      <c r="A29" s="2806" t="s">
        <v>7389</v>
      </c>
      <c r="B29" s="1416" t="s">
        <v>5901</v>
      </c>
      <c r="C29" s="1416"/>
      <c r="D29" s="1416" t="s">
        <v>9670</v>
      </c>
      <c r="E29" s="1416">
        <v>0.5</v>
      </c>
      <c r="F29" s="1417"/>
    </row>
    <row r="30" spans="1:6" s="1322" customFormat="1" ht="39.950000000000003" customHeight="1">
      <c r="A30" s="2806" t="s">
        <v>292</v>
      </c>
      <c r="B30" s="1416" t="s">
        <v>9671</v>
      </c>
      <c r="C30" s="1416" t="s">
        <v>9672</v>
      </c>
      <c r="D30" s="1416" t="s">
        <v>9673</v>
      </c>
      <c r="E30" s="1416">
        <f>E28*E12</f>
        <v>153.4</v>
      </c>
      <c r="F30" s="1417" t="s">
        <v>9493</v>
      </c>
    </row>
    <row r="31" spans="1:6" s="1322" customFormat="1" ht="39.950000000000003" customHeight="1">
      <c r="A31" s="2806" t="s">
        <v>7355</v>
      </c>
      <c r="B31" s="1416" t="s">
        <v>9674</v>
      </c>
      <c r="C31" s="1416" t="s">
        <v>9672</v>
      </c>
      <c r="D31" s="1416" t="s">
        <v>9675</v>
      </c>
      <c r="E31" s="1416">
        <f>E29*E13</f>
        <v>137.5</v>
      </c>
      <c r="F31" s="1417" t="s">
        <v>9493</v>
      </c>
    </row>
    <row r="32" spans="1:6" s="1322" customFormat="1" ht="39.950000000000003" customHeight="1">
      <c r="A32" s="2806" t="s">
        <v>7699</v>
      </c>
      <c r="B32" s="1416" t="s">
        <v>9676</v>
      </c>
      <c r="C32" s="1416" t="s">
        <v>9677</v>
      </c>
      <c r="D32" s="1416"/>
      <c r="E32" s="1416">
        <f>E31</f>
        <v>137.5</v>
      </c>
      <c r="F32" s="1417" t="s">
        <v>9493</v>
      </c>
    </row>
    <row r="33" spans="1:6" s="1322" customFormat="1" ht="39.950000000000003" customHeight="1">
      <c r="A33" s="2806" t="s">
        <v>7390</v>
      </c>
      <c r="B33" s="1416" t="s">
        <v>9678</v>
      </c>
      <c r="C33" s="1416" t="s">
        <v>9679</v>
      </c>
      <c r="D33" s="1416" t="s">
        <v>9680</v>
      </c>
      <c r="E33" s="1416">
        <f>E32*PI()*E4*E6*E7</f>
        <v>302378.29290801799</v>
      </c>
      <c r="F33" s="1417" t="s">
        <v>6109</v>
      </c>
    </row>
    <row r="34" spans="1:6" s="1322" customFormat="1" ht="39.950000000000003" customHeight="1">
      <c r="A34" s="2806" t="s">
        <v>7403</v>
      </c>
      <c r="B34" s="1416" t="s">
        <v>9681</v>
      </c>
      <c r="C34" s="1416" t="s">
        <v>9682</v>
      </c>
      <c r="D34" s="1416" t="s">
        <v>9683</v>
      </c>
      <c r="E34" s="1416">
        <f>E32*E4*E22/E8</f>
        <v>0.10855625000000001</v>
      </c>
      <c r="F34" s="1417" t="s">
        <v>2040</v>
      </c>
    </row>
    <row r="35" spans="1:6" s="1322" customFormat="1" ht="39.950000000000003" customHeight="1">
      <c r="A35" s="2806" t="s">
        <v>298</v>
      </c>
      <c r="B35" s="1416" t="s">
        <v>9684</v>
      </c>
      <c r="C35" s="1416" t="s">
        <v>9685</v>
      </c>
      <c r="D35" s="1416" t="s">
        <v>9686</v>
      </c>
      <c r="E35" s="1416">
        <f>E32*E4*E23/E9</f>
        <v>4.8125000000000001E-2</v>
      </c>
      <c r="F35" s="1417" t="s">
        <v>2040</v>
      </c>
    </row>
    <row r="36" spans="1:6" s="1322" customFormat="1" ht="39.950000000000003" customHeight="1">
      <c r="A36" s="2806" t="s">
        <v>7398</v>
      </c>
      <c r="B36" s="1416" t="s">
        <v>9687</v>
      </c>
      <c r="C36" s="1416" t="s">
        <v>9688</v>
      </c>
      <c r="D36" s="1416" t="s">
        <v>9689</v>
      </c>
      <c r="E36" s="1420">
        <f>E34+E35</f>
        <v>0.15668124999999999</v>
      </c>
      <c r="F36" s="1421" t="s">
        <v>2040</v>
      </c>
    </row>
    <row r="37" spans="1:6" s="1322" customFormat="1" ht="20.100000000000001" customHeight="1">
      <c r="A37" s="2806" t="s">
        <v>7392</v>
      </c>
      <c r="B37" s="1416" t="s">
        <v>9690</v>
      </c>
      <c r="C37" s="1416" t="s">
        <v>9691</v>
      </c>
      <c r="D37" s="1416" t="s">
        <v>9692</v>
      </c>
      <c r="E37" s="1416"/>
      <c r="F37" s="1417"/>
    </row>
    <row r="38" spans="1:6" s="1322" customFormat="1" ht="20.100000000000001" customHeight="1">
      <c r="A38" s="2806" t="s">
        <v>7415</v>
      </c>
      <c r="B38" s="1416" t="s">
        <v>9693</v>
      </c>
      <c r="C38" s="1416" t="s">
        <v>9691</v>
      </c>
      <c r="D38" s="1416" t="s">
        <v>9694</v>
      </c>
      <c r="E38" s="1416"/>
      <c r="F38" s="1417"/>
    </row>
    <row r="39" spans="1:6" s="1322" customFormat="1" ht="20.100000000000001" customHeight="1">
      <c r="A39" s="2806" t="s">
        <v>7542</v>
      </c>
      <c r="B39" s="1416" t="s">
        <v>9695</v>
      </c>
      <c r="C39" s="1416" t="s">
        <v>9696</v>
      </c>
      <c r="D39" s="1416" t="s">
        <v>9697</v>
      </c>
      <c r="E39" s="1416">
        <f>(E26+E36)/2</f>
        <v>8.6890672977987193E-2</v>
      </c>
      <c r="F39" s="1417" t="s">
        <v>2040</v>
      </c>
    </row>
    <row r="40" spans="1:6" s="1322" customFormat="1" ht="20.100000000000001" customHeight="1">
      <c r="A40" s="2806" t="s">
        <v>304</v>
      </c>
      <c r="B40" s="1416"/>
      <c r="C40" s="1416" t="s">
        <v>9698</v>
      </c>
      <c r="D40" s="1416" t="s">
        <v>9699</v>
      </c>
      <c r="E40" s="1416" t="s">
        <v>6345</v>
      </c>
      <c r="F40" s="1417"/>
    </row>
    <row r="41" spans="1:6" s="1322" customFormat="1" ht="20.100000000000001" customHeight="1">
      <c r="A41" s="2806" t="s">
        <v>7700</v>
      </c>
      <c r="B41" s="1416"/>
      <c r="C41" s="1416" t="s">
        <v>9700</v>
      </c>
      <c r="D41" s="1416" t="s">
        <v>9701</v>
      </c>
      <c r="E41" s="1416"/>
      <c r="F41" s="1417"/>
    </row>
    <row r="42" spans="1:6" s="1322" customFormat="1" ht="20.100000000000001" customHeight="1">
      <c r="A42" s="2806" t="s">
        <v>7395</v>
      </c>
      <c r="B42" s="1416"/>
      <c r="C42" s="1416" t="s">
        <v>9702</v>
      </c>
      <c r="D42" s="1416" t="s">
        <v>9703</v>
      </c>
      <c r="E42" s="1416"/>
      <c r="F42" s="1417"/>
    </row>
    <row r="43" spans="1:6" s="1322" customFormat="1" ht="20.100000000000001" customHeight="1">
      <c r="A43" s="2806" t="s">
        <v>7842</v>
      </c>
      <c r="B43" s="1416"/>
      <c r="C43" s="1416"/>
      <c r="D43" s="1416" t="s">
        <v>9704</v>
      </c>
      <c r="E43" s="1416"/>
      <c r="F43" s="1417"/>
    </row>
    <row r="44" spans="1:6" s="1322" customFormat="1" ht="18.75" customHeight="1">
      <c r="A44" s="2806" t="s">
        <v>7411</v>
      </c>
      <c r="B44" s="1416" t="s">
        <v>9705</v>
      </c>
      <c r="C44" s="1416" t="s">
        <v>9706</v>
      </c>
      <c r="D44" s="1416" t="s">
        <v>9707</v>
      </c>
      <c r="E44" s="1416">
        <v>0.124</v>
      </c>
      <c r="F44" s="1417" t="s">
        <v>2040</v>
      </c>
    </row>
    <row r="45" spans="1:6" s="1322" customFormat="1" ht="20.100000000000001" customHeight="1">
      <c r="A45" s="2806" t="s">
        <v>309</v>
      </c>
      <c r="B45" s="1416" t="s">
        <v>8041</v>
      </c>
      <c r="C45" s="1416"/>
      <c r="D45" s="1416"/>
      <c r="E45" s="1416">
        <v>3.5000000000000003E-2</v>
      </c>
      <c r="F45" s="1417" t="s">
        <v>2040</v>
      </c>
    </row>
    <row r="46" spans="1:6" s="1322" customFormat="1" ht="20.100000000000001" customHeight="1">
      <c r="A46" s="2806" t="s">
        <v>9556</v>
      </c>
      <c r="B46" s="1416" t="s">
        <v>8040</v>
      </c>
      <c r="C46" s="1416"/>
      <c r="D46" s="1416"/>
      <c r="E46" s="1416">
        <v>2.1999999999999999E-2</v>
      </c>
      <c r="F46" s="1417" t="s">
        <v>2040</v>
      </c>
    </row>
    <row r="47" spans="1:6" s="1322" customFormat="1" ht="20.100000000000001" customHeight="1">
      <c r="A47" s="2806" t="s">
        <v>7416</v>
      </c>
      <c r="B47" s="1416" t="s">
        <v>9690</v>
      </c>
      <c r="C47" s="1416" t="s">
        <v>9691</v>
      </c>
      <c r="D47" s="1416" t="s">
        <v>9708</v>
      </c>
      <c r="E47" s="1420">
        <f>E44-E45</f>
        <v>8.8999999999999996E-2</v>
      </c>
      <c r="F47" s="1421" t="s">
        <v>2040</v>
      </c>
    </row>
    <row r="48" spans="1:6" s="1322" customFormat="1" ht="20.100000000000001" customHeight="1">
      <c r="A48" s="1415"/>
      <c r="B48" s="1416"/>
      <c r="C48" s="1416"/>
      <c r="D48" s="1416"/>
      <c r="E48" s="1420" t="s">
        <v>9709</v>
      </c>
      <c r="F48" s="1421" t="s">
        <v>2040</v>
      </c>
    </row>
    <row r="49" spans="1:6" s="1322" customFormat="1" ht="20.100000000000001" customHeight="1">
      <c r="A49" s="2806" t="s">
        <v>7399</v>
      </c>
      <c r="B49" s="1416" t="s">
        <v>9693</v>
      </c>
      <c r="C49" s="1416" t="s">
        <v>9691</v>
      </c>
      <c r="D49" s="1416" t="s">
        <v>9710</v>
      </c>
      <c r="E49" s="1420">
        <f>E44+E46</f>
        <v>0.14599999999999999</v>
      </c>
      <c r="F49" s="1421" t="s">
        <v>2040</v>
      </c>
    </row>
    <row r="50" spans="1:6">
      <c r="A50" s="1415"/>
      <c r="B50" s="1416"/>
      <c r="C50" s="1416"/>
      <c r="D50" s="1416"/>
      <c r="E50" s="1420" t="s">
        <v>9711</v>
      </c>
      <c r="F50" s="1421" t="s">
        <v>2040</v>
      </c>
    </row>
    <row r="51" spans="1:6">
      <c r="A51" s="1422"/>
      <c r="B51" s="1423"/>
      <c r="C51" s="1424"/>
      <c r="D51" s="1423"/>
      <c r="E51" s="1423"/>
      <c r="F51" s="1425"/>
    </row>
    <row r="52" spans="1:6" s="1322" customFormat="1" ht="18.75" customHeight="1">
      <c r="A52" s="1329"/>
      <c r="B52" s="1330" t="s">
        <v>9553</v>
      </c>
      <c r="C52" s="1330" t="s">
        <v>9554</v>
      </c>
      <c r="D52" s="1331"/>
      <c r="E52" s="1331"/>
      <c r="F52" s="1332"/>
    </row>
    <row r="53" spans="1:6">
      <c r="A53" s="1422"/>
      <c r="B53" s="1423" t="s">
        <v>9712</v>
      </c>
      <c r="C53" s="1424"/>
      <c r="D53" s="3178" t="s">
        <v>12716</v>
      </c>
      <c r="E53" s="1423"/>
      <c r="F53" s="1425"/>
    </row>
  </sheetData>
  <phoneticPr fontId="378" type="noConversion"/>
  <hyperlinks>
    <hyperlink ref="D17" location="总目录!A1" display="总目录!A1"/>
    <hyperlink ref="D53" location="总目录!A1" display="总目录!A1"/>
  </hyperlinks>
  <pageMargins left="0.75" right="0.75" top="1" bottom="1" header="0.5" footer="0.5"/>
  <pageSetup paperSize="9" scale="97" orientation="landscape"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view="pageBreakPreview" zoomScaleNormal="100" zoomScaleSheetLayoutView="100" workbookViewId="0">
      <selection activeCell="K3" sqref="K3"/>
    </sheetView>
  </sheetViews>
  <sheetFormatPr defaultColWidth="8.125" defaultRowHeight="15"/>
  <cols>
    <col min="1" max="1" width="5.125" style="1389" customWidth="1"/>
    <col min="2" max="2" width="6.75" style="1389" customWidth="1"/>
    <col min="3" max="3" width="25.25" style="1389" customWidth="1"/>
    <col min="4" max="4" width="28.25" style="1389" customWidth="1"/>
    <col min="5" max="5" width="15.75" style="1389" customWidth="1"/>
    <col min="6" max="6" width="8.125" style="1389"/>
    <col min="7" max="7" width="73.125" style="1389" customWidth="1"/>
    <col min="8" max="16384" width="8.125" style="1389"/>
  </cols>
  <sheetData>
    <row r="1" spans="1:6" s="1322" customFormat="1" ht="20.100000000000001" customHeight="1">
      <c r="A1" s="1373" t="s">
        <v>9471</v>
      </c>
      <c r="B1" s="1374" t="s">
        <v>9472</v>
      </c>
      <c r="C1" s="1374" t="s">
        <v>9473</v>
      </c>
      <c r="D1" s="1374" t="s">
        <v>9474</v>
      </c>
      <c r="E1" s="1374" t="s">
        <v>9475</v>
      </c>
      <c r="F1" s="1390" t="s">
        <v>9476</v>
      </c>
    </row>
    <row r="2" spans="1:6" s="1322" customFormat="1" ht="20.100000000000001" customHeight="1">
      <c r="A2" s="1377"/>
      <c r="B2" s="1391" t="s">
        <v>9477</v>
      </c>
      <c r="C2" s="1391" t="s">
        <v>9478</v>
      </c>
      <c r="D2" s="1379"/>
      <c r="E2" s="1379"/>
      <c r="F2" s="1380"/>
    </row>
    <row r="3" spans="1:6" s="1322" customFormat="1" ht="20.100000000000001" customHeight="1">
      <c r="A3" s="2805" t="s">
        <v>6704</v>
      </c>
      <c r="B3" s="1393" t="s">
        <v>9713</v>
      </c>
      <c r="C3" s="1394" t="s">
        <v>9603</v>
      </c>
      <c r="D3" s="1395"/>
      <c r="E3" s="1395">
        <v>1.5</v>
      </c>
      <c r="F3" s="1396"/>
    </row>
    <row r="4" spans="1:6" s="1322" customFormat="1" ht="20.100000000000001" customHeight="1">
      <c r="A4" s="2805" t="s">
        <v>7334</v>
      </c>
      <c r="B4" s="1393" t="s">
        <v>9714</v>
      </c>
      <c r="C4" s="1394" t="s">
        <v>2056</v>
      </c>
      <c r="D4" s="1395"/>
      <c r="E4" s="1395">
        <v>1.5</v>
      </c>
      <c r="F4" s="1396"/>
    </row>
    <row r="5" spans="1:6" s="1322" customFormat="1" ht="20.100000000000001" customHeight="1">
      <c r="A5" s="2805" t="s">
        <v>7335</v>
      </c>
      <c r="B5" s="1395" t="s">
        <v>6370</v>
      </c>
      <c r="C5" s="1394" t="s">
        <v>9715</v>
      </c>
      <c r="D5" s="1393"/>
      <c r="E5" s="1395">
        <v>300</v>
      </c>
      <c r="F5" s="1396" t="s">
        <v>9716</v>
      </c>
    </row>
    <row r="6" spans="1:6" s="1322" customFormat="1" ht="20.100000000000001" customHeight="1">
      <c r="A6" s="2805" t="s">
        <v>7337</v>
      </c>
      <c r="B6" s="1395" t="s">
        <v>6109</v>
      </c>
      <c r="C6" s="1394" t="s">
        <v>9717</v>
      </c>
      <c r="D6" s="1395"/>
      <c r="E6" s="1395">
        <v>1200</v>
      </c>
      <c r="F6" s="1396" t="s">
        <v>9718</v>
      </c>
    </row>
    <row r="7" spans="1:6" s="1322" customFormat="1" ht="20.100000000000001" customHeight="1">
      <c r="A7" s="2805" t="s">
        <v>7338</v>
      </c>
      <c r="B7" s="1395" t="s">
        <v>6569</v>
      </c>
      <c r="C7" s="1394" t="s">
        <v>9719</v>
      </c>
      <c r="D7" s="1395"/>
      <c r="E7" s="1395">
        <v>41</v>
      </c>
      <c r="F7" s="1396" t="s">
        <v>9718</v>
      </c>
    </row>
    <row r="8" spans="1:6" s="1322" customFormat="1" ht="20.100000000000001" customHeight="1">
      <c r="A8" s="1377"/>
      <c r="B8" s="1391" t="s">
        <v>9495</v>
      </c>
      <c r="C8" s="1391" t="s">
        <v>9496</v>
      </c>
      <c r="D8" s="1379"/>
      <c r="E8" s="1379"/>
      <c r="F8" s="1380"/>
    </row>
    <row r="9" spans="1:6" s="1322" customFormat="1" ht="20.100000000000001" customHeight="1">
      <c r="A9" s="2805" t="s">
        <v>7336</v>
      </c>
      <c r="B9" s="1393" t="s">
        <v>9720</v>
      </c>
      <c r="C9" s="1394" t="s">
        <v>9721</v>
      </c>
      <c r="D9" s="1393" t="s">
        <v>9722</v>
      </c>
      <c r="E9" s="1395">
        <f>E5*E3*E4</f>
        <v>675</v>
      </c>
      <c r="F9" s="1396" t="s">
        <v>9716</v>
      </c>
    </row>
    <row r="10" spans="1:6" s="1322" customFormat="1" ht="20.100000000000001" customHeight="1">
      <c r="A10" s="2805" t="s">
        <v>7339</v>
      </c>
      <c r="B10" s="1395" t="s">
        <v>9723</v>
      </c>
      <c r="C10" s="1394" t="s">
        <v>2004</v>
      </c>
      <c r="D10" s="1395" t="s">
        <v>9724</v>
      </c>
      <c r="E10" s="1395">
        <f>E6/E7</f>
        <v>29.268292682926798</v>
      </c>
      <c r="F10" s="1396"/>
    </row>
    <row r="11" spans="1:6" s="1322" customFormat="1" ht="20.100000000000001" customHeight="1">
      <c r="A11" s="2805" t="s">
        <v>6000</v>
      </c>
      <c r="B11" s="1395" t="s">
        <v>9479</v>
      </c>
      <c r="C11" s="1394" t="s">
        <v>9725</v>
      </c>
      <c r="D11" s="1395" t="s">
        <v>9726</v>
      </c>
      <c r="E11" s="1395"/>
      <c r="F11" s="1396"/>
    </row>
    <row r="12" spans="1:6" s="1322" customFormat="1" ht="18.75" customHeight="1">
      <c r="A12" s="1329"/>
      <c r="B12" s="1330" t="s">
        <v>9553</v>
      </c>
      <c r="C12" s="1330" t="s">
        <v>9554</v>
      </c>
      <c r="D12" s="1331"/>
      <c r="E12" s="1331"/>
      <c r="F12" s="1332"/>
    </row>
    <row r="13" spans="1:6" s="1322" customFormat="1" ht="20.100000000000001" customHeight="1">
      <c r="A13" s="2805" t="s">
        <v>6003</v>
      </c>
      <c r="B13" s="1395"/>
      <c r="C13" s="1395"/>
      <c r="D13" s="1394" t="s">
        <v>9727</v>
      </c>
      <c r="E13" s="1395">
        <v>840</v>
      </c>
      <c r="F13" s="1396" t="s">
        <v>9728</v>
      </c>
    </row>
    <row r="14" spans="1:6" s="1322" customFormat="1" ht="20.100000000000001" customHeight="1">
      <c r="A14" s="1392"/>
      <c r="B14" s="1397"/>
      <c r="C14" s="1398"/>
      <c r="D14" s="1398"/>
      <c r="E14" s="1397"/>
      <c r="F14" s="1399"/>
    </row>
    <row r="15" spans="1:6" s="1322" customFormat="1" ht="20.100000000000001" customHeight="1">
      <c r="A15" s="1400"/>
      <c r="B15" s="1401"/>
      <c r="C15" s="1402"/>
      <c r="D15" s="1402"/>
      <c r="E15" s="1403"/>
      <c r="F15" s="1404"/>
    </row>
    <row r="16" spans="1:6" s="1322" customFormat="1" ht="20.100000000000001" customHeight="1">
      <c r="A16" s="1400"/>
      <c r="B16" s="1405"/>
      <c r="C16" s="1405"/>
      <c r="D16" s="1406"/>
      <c r="E16" s="1406"/>
      <c r="F16" s="1407"/>
    </row>
    <row r="17" spans="1:6" s="1322" customFormat="1" ht="20.100000000000001" customHeight="1">
      <c r="A17" s="1400"/>
      <c r="B17" s="1405"/>
      <c r="C17" s="1405"/>
      <c r="D17" s="1406"/>
      <c r="E17" s="3167" t="s">
        <v>12704</v>
      </c>
      <c r="F17" s="1407"/>
    </row>
  </sheetData>
  <phoneticPr fontId="378" type="noConversion"/>
  <hyperlinks>
    <hyperlink ref="E17" location="总目录!A1" display="返回目录"/>
  </hyperlinks>
  <pageMargins left="0.75" right="0.75" top="1" bottom="1" header="0.5" footer="0.5"/>
  <pageSetup paperSize="9" scale="97" orientation="landscape" r:id="rId1"/>
  <headerFooter alignWithMargins="0"/>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0"/>
  <sheetViews>
    <sheetView view="pageBreakPreview" zoomScaleNormal="100" zoomScaleSheetLayoutView="100" workbookViewId="0">
      <selection activeCell="E17" sqref="E17"/>
    </sheetView>
  </sheetViews>
  <sheetFormatPr defaultColWidth="8.125" defaultRowHeight="14.25"/>
  <cols>
    <col min="1" max="1" width="5.125" style="1324" customWidth="1"/>
    <col min="2" max="2" width="6.75" style="1324" customWidth="1"/>
    <col min="3" max="3" width="25.25" style="1324" customWidth="1"/>
    <col min="4" max="4" width="21.75" style="1324" customWidth="1"/>
    <col min="5" max="5" width="15.75" style="1324" customWidth="1"/>
    <col min="6" max="6" width="8.125" style="1324"/>
    <col min="7" max="7" width="73.125" style="1324" customWidth="1"/>
    <col min="8" max="16384" width="8.125" style="1324"/>
  </cols>
  <sheetData>
    <row r="1" spans="1:16" s="1322" customFormat="1" ht="20.100000000000001" customHeight="1">
      <c r="A1" s="1373" t="s">
        <v>9471</v>
      </c>
      <c r="B1" s="1374" t="s">
        <v>9472</v>
      </c>
      <c r="C1" s="1374" t="s">
        <v>9473</v>
      </c>
      <c r="D1" s="1375" t="s">
        <v>9729</v>
      </c>
      <c r="E1" s="1375" t="s">
        <v>9730</v>
      </c>
      <c r="F1" s="1376" t="s">
        <v>6394</v>
      </c>
    </row>
    <row r="2" spans="1:16" s="1322" customFormat="1" ht="20.100000000000001" customHeight="1">
      <c r="A2" s="1377"/>
      <c r="B2" s="1378" t="s">
        <v>9731</v>
      </c>
      <c r="C2" s="1378" t="s">
        <v>9732</v>
      </c>
      <c r="D2" s="1379"/>
      <c r="E2" s="1379"/>
      <c r="F2" s="1380"/>
    </row>
    <row r="3" spans="1:16" s="1323" customFormat="1" ht="20.100000000000001" customHeight="1">
      <c r="A3" s="2807" t="s">
        <v>6704</v>
      </c>
      <c r="B3" s="1381" t="s">
        <v>9733</v>
      </c>
      <c r="C3" s="1382" t="s">
        <v>9734</v>
      </c>
      <c r="D3" s="1338"/>
      <c r="E3" s="1338">
        <v>10</v>
      </c>
      <c r="F3" s="1339" t="s">
        <v>1997</v>
      </c>
      <c r="G3" s="1336"/>
      <c r="H3" s="1336"/>
      <c r="I3" s="1336"/>
      <c r="J3" s="1336"/>
      <c r="K3" s="1336"/>
      <c r="L3" s="1336"/>
      <c r="M3" s="1336"/>
      <c r="N3" s="1336"/>
      <c r="O3" s="1336"/>
      <c r="P3" s="1336"/>
    </row>
    <row r="4" spans="1:16" s="1323" customFormat="1" ht="20.100000000000001" customHeight="1">
      <c r="A4" s="2807" t="s">
        <v>7334</v>
      </c>
      <c r="B4" s="1381" t="s">
        <v>9735</v>
      </c>
      <c r="C4" s="1382" t="s">
        <v>9736</v>
      </c>
      <c r="D4" s="1338"/>
      <c r="E4" s="1338">
        <v>10</v>
      </c>
      <c r="F4" s="1339" t="s">
        <v>1997</v>
      </c>
      <c r="G4" s="1336"/>
      <c r="H4" s="1336"/>
      <c r="I4" s="1336"/>
      <c r="J4" s="1336"/>
      <c r="K4" s="1336"/>
      <c r="L4" s="1336"/>
      <c r="M4" s="1336"/>
      <c r="N4" s="1336"/>
      <c r="O4" s="1336"/>
      <c r="P4" s="1336"/>
    </row>
    <row r="5" spans="1:16" s="1323" customFormat="1" ht="20.100000000000001" customHeight="1">
      <c r="A5" s="2807" t="s">
        <v>7335</v>
      </c>
      <c r="B5" s="1383" t="s">
        <v>9723</v>
      </c>
      <c r="C5" s="1384" t="s">
        <v>9737</v>
      </c>
      <c r="D5" s="1385" t="s">
        <v>9738</v>
      </c>
      <c r="E5" s="1385">
        <f>E3/E4</f>
        <v>1</v>
      </c>
      <c r="F5" s="1386"/>
      <c r="G5" s="1336"/>
      <c r="H5" s="1336"/>
      <c r="I5" s="1336"/>
      <c r="J5" s="1336"/>
      <c r="K5" s="1336"/>
      <c r="L5" s="1336"/>
      <c r="M5" s="1336"/>
      <c r="N5" s="1336"/>
      <c r="O5" s="1336"/>
      <c r="P5" s="1336"/>
    </row>
    <row r="6" spans="1:16" s="1323" customFormat="1" ht="20.100000000000001" customHeight="1">
      <c r="A6" s="2807" t="s">
        <v>7336</v>
      </c>
      <c r="B6" s="1383" t="s">
        <v>9739</v>
      </c>
      <c r="C6" s="1382" t="s">
        <v>9740</v>
      </c>
      <c r="D6" s="1385"/>
      <c r="E6" s="1385">
        <v>30</v>
      </c>
      <c r="F6" s="1386"/>
      <c r="G6" s="1336"/>
      <c r="H6" s="1336"/>
      <c r="I6" s="1336"/>
      <c r="J6" s="1336"/>
      <c r="K6" s="1336"/>
      <c r="L6" s="1336"/>
      <c r="M6" s="1336"/>
      <c r="N6" s="1336"/>
      <c r="O6" s="1336"/>
      <c r="P6" s="1336"/>
    </row>
    <row r="7" spans="1:16" s="1323" customFormat="1" ht="20.100000000000001" customHeight="1">
      <c r="A7" s="2807" t="s">
        <v>7337</v>
      </c>
      <c r="B7" s="1383" t="s">
        <v>9741</v>
      </c>
      <c r="C7" s="1382" t="s">
        <v>9742</v>
      </c>
      <c r="D7" s="1385" t="s">
        <v>9743</v>
      </c>
      <c r="E7" s="1385">
        <v>24</v>
      </c>
      <c r="F7" s="1386"/>
      <c r="G7" s="1336"/>
      <c r="H7" s="1336"/>
      <c r="I7" s="1336"/>
      <c r="J7" s="1336"/>
      <c r="K7" s="1336"/>
      <c r="L7" s="1336"/>
      <c r="M7" s="1336"/>
      <c r="N7" s="1336"/>
      <c r="O7" s="1336"/>
      <c r="P7" s="1336"/>
    </row>
    <row r="8" spans="1:16" s="1323" customFormat="1" ht="20.100000000000001" customHeight="1">
      <c r="A8" s="2807" t="s">
        <v>7338</v>
      </c>
      <c r="B8" s="1383" t="s">
        <v>6370</v>
      </c>
      <c r="C8" s="1382" t="s">
        <v>9744</v>
      </c>
      <c r="D8" s="1385"/>
      <c r="E8" s="1385">
        <v>3</v>
      </c>
      <c r="F8" s="1386" t="s">
        <v>9577</v>
      </c>
      <c r="G8" s="1336"/>
      <c r="H8" s="1336"/>
      <c r="I8" s="1336"/>
      <c r="J8" s="1336"/>
      <c r="K8" s="1336"/>
      <c r="L8" s="1336"/>
      <c r="M8" s="1336"/>
      <c r="N8" s="1336"/>
      <c r="O8" s="1336"/>
      <c r="P8" s="1336"/>
    </row>
    <row r="9" spans="1:16" s="1323" customFormat="1" ht="20.100000000000001" customHeight="1">
      <c r="A9" s="2807" t="s">
        <v>7339</v>
      </c>
      <c r="B9" s="1383" t="s">
        <v>9745</v>
      </c>
      <c r="C9" s="1382" t="s">
        <v>9746</v>
      </c>
      <c r="D9" s="1385" t="s">
        <v>9747</v>
      </c>
      <c r="E9" s="1385">
        <v>1.4</v>
      </c>
      <c r="F9" s="1386"/>
      <c r="G9" s="1336"/>
      <c r="H9" s="1336"/>
      <c r="I9" s="1336"/>
      <c r="J9" s="1336"/>
      <c r="K9" s="1336"/>
      <c r="L9" s="1336"/>
      <c r="M9" s="1336"/>
      <c r="N9" s="1336"/>
      <c r="O9" s="1336"/>
      <c r="P9" s="1336"/>
    </row>
    <row r="10" spans="1:16" s="1323" customFormat="1" ht="20.100000000000001" customHeight="1">
      <c r="A10" s="2807" t="s">
        <v>6000</v>
      </c>
      <c r="B10" s="1383" t="s">
        <v>9748</v>
      </c>
      <c r="C10" s="1384" t="s">
        <v>9749</v>
      </c>
      <c r="D10" s="1385" t="s">
        <v>9750</v>
      </c>
      <c r="E10" s="1385">
        <f>E8*E9</f>
        <v>4.2</v>
      </c>
      <c r="F10" s="1386" t="s">
        <v>9577</v>
      </c>
      <c r="G10" s="1336"/>
      <c r="H10" s="1336"/>
      <c r="I10" s="1336"/>
      <c r="J10" s="1336"/>
      <c r="K10" s="1336"/>
      <c r="L10" s="1336"/>
      <c r="M10" s="1336"/>
      <c r="N10" s="1336"/>
      <c r="O10" s="1336"/>
      <c r="P10" s="1336"/>
    </row>
    <row r="11" spans="1:16" s="1323" customFormat="1" ht="20.100000000000001" customHeight="1">
      <c r="A11" s="2807" t="s">
        <v>6003</v>
      </c>
      <c r="B11" s="1383" t="s">
        <v>9751</v>
      </c>
      <c r="C11" s="1384" t="s">
        <v>9752</v>
      </c>
      <c r="D11" s="1385" t="s">
        <v>9753</v>
      </c>
      <c r="E11" s="1385">
        <v>1.51</v>
      </c>
      <c r="F11" s="1386"/>
      <c r="G11" s="1336"/>
      <c r="H11" s="1336"/>
      <c r="I11" s="1336"/>
      <c r="J11" s="1336"/>
      <c r="K11" s="1336"/>
      <c r="L11" s="1336"/>
      <c r="M11" s="1336"/>
      <c r="N11" s="1336"/>
      <c r="O11" s="1336"/>
      <c r="P11" s="1336"/>
    </row>
    <row r="12" spans="1:16" s="1323" customFormat="1" ht="20.100000000000001" customHeight="1">
      <c r="A12" s="2807" t="s">
        <v>287</v>
      </c>
      <c r="B12" s="1383" t="s">
        <v>9754</v>
      </c>
      <c r="C12" s="1384" t="s">
        <v>9755</v>
      </c>
      <c r="D12" s="1385" t="s">
        <v>9756</v>
      </c>
      <c r="E12" s="1385">
        <v>1</v>
      </c>
      <c r="F12" s="1386"/>
      <c r="G12" s="1336"/>
      <c r="H12" s="1336"/>
      <c r="I12" s="1336"/>
      <c r="J12" s="1336"/>
      <c r="K12" s="1336"/>
      <c r="L12" s="1336"/>
      <c r="M12" s="1336"/>
      <c r="N12" s="1336"/>
      <c r="O12" s="1336"/>
      <c r="P12" s="1336"/>
    </row>
    <row r="13" spans="1:16" s="1322" customFormat="1" ht="20.100000000000001" customHeight="1">
      <c r="A13" s="1377"/>
      <c r="B13" s="1378" t="s">
        <v>9757</v>
      </c>
      <c r="C13" s="1378" t="s">
        <v>9758</v>
      </c>
      <c r="D13" s="1379"/>
      <c r="E13" s="1379"/>
      <c r="F13" s="1380"/>
    </row>
    <row r="14" spans="1:16" s="1323" customFormat="1" ht="20.100000000000001" customHeight="1">
      <c r="A14" s="2807" t="s">
        <v>7340</v>
      </c>
      <c r="B14" s="1383" t="s">
        <v>9759</v>
      </c>
      <c r="C14" s="1384" t="s">
        <v>9760</v>
      </c>
      <c r="D14" s="1385" t="s">
        <v>9761</v>
      </c>
      <c r="E14" s="1385">
        <f>E10/(E11*E12)</f>
        <v>2.7814569536423801</v>
      </c>
      <c r="F14" s="1386" t="s">
        <v>9577</v>
      </c>
      <c r="G14" s="1336"/>
      <c r="H14" s="1336"/>
      <c r="I14" s="1336"/>
      <c r="J14" s="1336"/>
      <c r="K14" s="1336"/>
      <c r="L14" s="1336"/>
      <c r="M14" s="1336"/>
      <c r="N14" s="1336"/>
      <c r="O14" s="1336"/>
      <c r="P14" s="1336"/>
    </row>
    <row r="15" spans="1:16" s="1323" customFormat="1" ht="20.100000000000001" customHeight="1">
      <c r="A15" s="2807" t="s">
        <v>7341</v>
      </c>
      <c r="B15" s="1383" t="s">
        <v>6689</v>
      </c>
      <c r="C15" s="1384" t="s">
        <v>9762</v>
      </c>
      <c r="D15" s="1385" t="s">
        <v>9763</v>
      </c>
      <c r="E15" s="1385">
        <v>19.05</v>
      </c>
      <c r="F15" s="1386" t="s">
        <v>2040</v>
      </c>
      <c r="G15" s="1336"/>
      <c r="H15" s="1336"/>
      <c r="I15" s="1336"/>
      <c r="J15" s="1336"/>
      <c r="K15" s="1336"/>
      <c r="L15" s="1336"/>
      <c r="M15" s="1336"/>
      <c r="N15" s="1336"/>
      <c r="O15" s="1336"/>
      <c r="P15" s="1336"/>
    </row>
    <row r="16" spans="1:16" s="1323" customFormat="1" ht="20.100000000000001" customHeight="1">
      <c r="A16" s="2807" t="s">
        <v>7397</v>
      </c>
      <c r="B16" s="1383" t="s">
        <v>9764</v>
      </c>
      <c r="C16" s="1384" t="s">
        <v>9765</v>
      </c>
      <c r="D16" s="1385" t="s">
        <v>9766</v>
      </c>
      <c r="E16" s="1385">
        <v>88</v>
      </c>
      <c r="F16" s="1386" t="s">
        <v>2040</v>
      </c>
      <c r="G16" s="1336"/>
      <c r="H16" s="1336"/>
      <c r="I16" s="1336"/>
      <c r="J16" s="1336"/>
      <c r="K16" s="1336"/>
      <c r="L16" s="1336"/>
      <c r="M16" s="1336"/>
      <c r="N16" s="1336"/>
      <c r="O16" s="1336"/>
      <c r="P16" s="1336"/>
    </row>
    <row r="17" spans="1:16" s="1323" customFormat="1" ht="58.5" customHeight="1">
      <c r="A17" s="1337"/>
      <c r="B17" s="1338"/>
      <c r="C17" s="1387" t="s">
        <v>9767</v>
      </c>
      <c r="D17" s="1338"/>
      <c r="E17" s="3166" t="s">
        <v>12704</v>
      </c>
      <c r="F17" s="1339"/>
      <c r="G17" s="1336"/>
      <c r="H17" s="1336"/>
      <c r="I17" s="1336"/>
      <c r="J17" s="1336"/>
      <c r="K17" s="1336"/>
      <c r="L17" s="1336"/>
      <c r="M17" s="1336"/>
      <c r="N17" s="1336"/>
      <c r="O17" s="1336"/>
      <c r="P17" s="1336"/>
    </row>
    <row r="18" spans="1:16" s="1323" customFormat="1" ht="20.100000000000001" customHeight="1">
      <c r="A18" s="2807" t="s">
        <v>7389</v>
      </c>
      <c r="B18" s="1383" t="s">
        <v>9739</v>
      </c>
      <c r="C18" s="1382" t="s">
        <v>9740</v>
      </c>
      <c r="D18" s="1385"/>
      <c r="E18" s="1385">
        <v>25</v>
      </c>
      <c r="F18" s="1339"/>
      <c r="G18" s="1336"/>
      <c r="H18" s="1336"/>
      <c r="I18" s="1336"/>
      <c r="J18" s="1336"/>
      <c r="K18" s="1336"/>
      <c r="L18" s="1336"/>
      <c r="M18" s="1336"/>
      <c r="N18" s="1336"/>
      <c r="O18" s="1336"/>
      <c r="P18" s="1336"/>
    </row>
    <row r="19" spans="1:16" s="1323" customFormat="1" ht="20.100000000000001" customHeight="1">
      <c r="A19" s="2807" t="s">
        <v>292</v>
      </c>
      <c r="B19" s="1383" t="s">
        <v>9741</v>
      </c>
      <c r="C19" s="1382" t="s">
        <v>9742</v>
      </c>
      <c r="D19" s="1385" t="s">
        <v>9743</v>
      </c>
      <c r="E19" s="1385">
        <f>E18*E5</f>
        <v>25</v>
      </c>
      <c r="F19" s="1339"/>
      <c r="G19" s="1336"/>
      <c r="H19" s="1336"/>
      <c r="I19" s="1336"/>
      <c r="J19" s="1336"/>
      <c r="K19" s="1336"/>
      <c r="L19" s="1336"/>
      <c r="M19" s="1336"/>
      <c r="N19" s="1336"/>
      <c r="O19" s="1336"/>
      <c r="P19" s="1336"/>
    </row>
    <row r="20" spans="1:16" s="1323" customFormat="1" ht="20.100000000000001" customHeight="1">
      <c r="A20" s="2807" t="s">
        <v>7355</v>
      </c>
      <c r="B20" s="1383" t="s">
        <v>6689</v>
      </c>
      <c r="C20" s="1384" t="s">
        <v>9762</v>
      </c>
      <c r="D20" s="1385" t="s">
        <v>9763</v>
      </c>
      <c r="E20" s="1385">
        <v>25.4</v>
      </c>
      <c r="F20" s="1386" t="s">
        <v>2040</v>
      </c>
      <c r="G20" s="1336"/>
      <c r="H20" s="1336"/>
      <c r="I20" s="1336"/>
      <c r="J20" s="1336"/>
      <c r="K20" s="1336"/>
      <c r="L20" s="1336"/>
      <c r="M20" s="1336"/>
      <c r="N20" s="1336"/>
      <c r="O20" s="1336"/>
      <c r="P20" s="1336"/>
    </row>
    <row r="21" spans="1:16" s="1323" customFormat="1" ht="20.100000000000001" customHeight="1">
      <c r="A21" s="2807" t="s">
        <v>7699</v>
      </c>
      <c r="B21" s="1383" t="s">
        <v>9768</v>
      </c>
      <c r="C21" s="1338"/>
      <c r="D21" s="1385" t="s">
        <v>9769</v>
      </c>
      <c r="E21" s="1385">
        <v>90</v>
      </c>
      <c r="F21" s="1339"/>
      <c r="G21" s="1336"/>
      <c r="H21" s="1336"/>
      <c r="I21" s="1336"/>
      <c r="J21" s="1336"/>
      <c r="K21" s="1336"/>
      <c r="L21" s="1336"/>
      <c r="M21" s="1336"/>
      <c r="N21" s="1336"/>
      <c r="O21" s="1336"/>
      <c r="P21" s="1336"/>
    </row>
    <row r="22" spans="1:16" s="1323" customFormat="1" ht="20.100000000000001" customHeight="1">
      <c r="A22" s="2807" t="s">
        <v>7390</v>
      </c>
      <c r="B22" s="1383" t="s">
        <v>9770</v>
      </c>
      <c r="C22" s="1388" t="s">
        <v>9771</v>
      </c>
      <c r="D22" s="1385" t="s">
        <v>9772</v>
      </c>
      <c r="E22" s="1385">
        <f>0.2*E18*(E5+1)*E20</f>
        <v>254</v>
      </c>
      <c r="F22" s="1386" t="s">
        <v>2040</v>
      </c>
      <c r="G22" s="1336"/>
      <c r="H22" s="1336"/>
      <c r="I22" s="1336"/>
      <c r="J22" s="1336"/>
      <c r="K22" s="1336"/>
      <c r="L22" s="1336"/>
      <c r="M22" s="1336"/>
      <c r="N22" s="1336"/>
      <c r="O22" s="1336"/>
      <c r="P22" s="1336"/>
    </row>
    <row r="23" spans="1:16" s="1323" customFormat="1" ht="20.100000000000001" customHeight="1">
      <c r="A23" s="1337"/>
      <c r="B23" s="1383"/>
      <c r="C23" s="1388"/>
      <c r="D23" s="1338" t="s">
        <v>9773</v>
      </c>
      <c r="E23" s="1338">
        <f>80*E20</f>
        <v>2032</v>
      </c>
      <c r="F23" s="1386" t="s">
        <v>2040</v>
      </c>
      <c r="G23" s="1336"/>
      <c r="H23" s="1336"/>
      <c r="I23" s="1336"/>
      <c r="J23" s="1336"/>
      <c r="K23" s="1336"/>
      <c r="L23" s="1336"/>
      <c r="M23" s="1336"/>
      <c r="N23" s="1336"/>
      <c r="O23" s="1336"/>
      <c r="P23" s="1336"/>
    </row>
    <row r="24" spans="1:16" s="1323" customFormat="1" ht="20.100000000000001" customHeight="1">
      <c r="A24" s="2807" t="s">
        <v>7403</v>
      </c>
      <c r="B24" s="1383" t="s">
        <v>9774</v>
      </c>
      <c r="C24" s="1388"/>
      <c r="D24" s="1338"/>
      <c r="E24" s="1338">
        <v>1100</v>
      </c>
      <c r="F24" s="1386" t="s">
        <v>2040</v>
      </c>
      <c r="G24" s="1336"/>
      <c r="H24" s="1336"/>
      <c r="I24" s="1336"/>
      <c r="J24" s="1336"/>
      <c r="K24" s="1336"/>
      <c r="L24" s="1336"/>
      <c r="M24" s="1336"/>
      <c r="N24" s="1336"/>
      <c r="O24" s="1336"/>
      <c r="P24" s="1336"/>
    </row>
    <row r="25" spans="1:16" s="1323" customFormat="1" ht="20.100000000000001" customHeight="1">
      <c r="A25" s="2807" t="s">
        <v>298</v>
      </c>
      <c r="B25" s="1383" t="s">
        <v>9775</v>
      </c>
      <c r="C25" s="1384" t="s">
        <v>9776</v>
      </c>
      <c r="D25" s="1383" t="s">
        <v>9777</v>
      </c>
      <c r="E25" s="1385">
        <f>E24/E20</f>
        <v>43.307086614173201</v>
      </c>
      <c r="F25" s="1386" t="s">
        <v>2040</v>
      </c>
      <c r="G25" s="1336"/>
      <c r="H25" s="1336"/>
      <c r="I25" s="1336"/>
      <c r="J25" s="1336"/>
      <c r="K25" s="1336"/>
      <c r="L25" s="1336"/>
      <c r="M25" s="1336"/>
      <c r="N25" s="1336"/>
      <c r="O25" s="1336"/>
      <c r="P25" s="1336"/>
    </row>
    <row r="26" spans="1:16" s="1323" customFormat="1" ht="20.100000000000001" customHeight="1">
      <c r="A26" s="2807" t="s">
        <v>7398</v>
      </c>
      <c r="B26" s="1383" t="s">
        <v>9142</v>
      </c>
      <c r="C26" s="1384"/>
      <c r="D26" s="1385" t="s">
        <v>9778</v>
      </c>
      <c r="E26" s="1385">
        <v>0</v>
      </c>
      <c r="F26" s="1384"/>
      <c r="G26" s="1336"/>
      <c r="H26" s="1336"/>
      <c r="I26" s="1336"/>
      <c r="J26" s="1336"/>
      <c r="K26" s="1336"/>
      <c r="L26" s="1336"/>
      <c r="M26" s="1336"/>
      <c r="N26" s="1336"/>
      <c r="O26" s="1336"/>
      <c r="P26" s="1336"/>
    </row>
    <row r="27" spans="1:16" s="1323" customFormat="1" ht="20.100000000000001" customHeight="1">
      <c r="A27" s="2807" t="s">
        <v>7392</v>
      </c>
      <c r="B27" s="1383" t="s">
        <v>9779</v>
      </c>
      <c r="C27" s="1384" t="s">
        <v>9780</v>
      </c>
      <c r="D27" s="1385" t="s">
        <v>9781</v>
      </c>
      <c r="E27" s="1385">
        <f>(E19+E19)/2+2*E25+E26*E25</f>
        <v>111.614173228346</v>
      </c>
      <c r="F27" s="1384" t="s">
        <v>9782</v>
      </c>
      <c r="G27" s="1336"/>
      <c r="H27" s="1336"/>
      <c r="I27" s="1336"/>
      <c r="J27" s="1336"/>
      <c r="K27" s="1336"/>
      <c r="L27" s="1336"/>
      <c r="M27" s="1336"/>
      <c r="N27" s="1336"/>
      <c r="O27" s="1336"/>
      <c r="P27" s="1336"/>
    </row>
    <row r="28" spans="1:16" s="1323" customFormat="1" ht="20.100000000000001" customHeight="1">
      <c r="A28" s="2807" t="s">
        <v>7415</v>
      </c>
      <c r="B28" s="1383"/>
      <c r="C28" s="1384"/>
      <c r="D28" s="1385"/>
      <c r="E28" s="1385">
        <v>110</v>
      </c>
      <c r="F28" s="1384"/>
      <c r="G28" s="1336"/>
      <c r="H28" s="1336"/>
      <c r="I28" s="1336"/>
      <c r="J28" s="1336"/>
      <c r="K28" s="1336"/>
      <c r="L28" s="1336"/>
      <c r="M28" s="1336"/>
      <c r="N28" s="1336"/>
      <c r="O28" s="1336"/>
      <c r="P28" s="1336"/>
    </row>
    <row r="29" spans="1:16" s="1323" customFormat="1" ht="20.100000000000001" customHeight="1">
      <c r="A29" s="2807" t="s">
        <v>7542</v>
      </c>
      <c r="B29" s="1383" t="s">
        <v>6492</v>
      </c>
      <c r="C29" s="1384" t="s">
        <v>9783</v>
      </c>
      <c r="D29" s="1385" t="s">
        <v>9784</v>
      </c>
      <c r="E29" s="1385">
        <f>E28*E20/1000</f>
        <v>2.794</v>
      </c>
      <c r="F29" s="1384" t="s">
        <v>6088</v>
      </c>
      <c r="G29" s="1336"/>
      <c r="H29" s="1336"/>
      <c r="I29" s="1336"/>
      <c r="J29" s="1336"/>
      <c r="K29" s="1336"/>
      <c r="L29" s="1336"/>
      <c r="M29" s="1336"/>
      <c r="N29" s="1336"/>
      <c r="O29" s="1336"/>
      <c r="P29" s="1336"/>
    </row>
    <row r="30" spans="1:16" s="1323" customFormat="1" ht="20.100000000000001" customHeight="1">
      <c r="A30" s="2807" t="s">
        <v>304</v>
      </c>
      <c r="B30" s="1383" t="s">
        <v>9785</v>
      </c>
      <c r="C30" s="1384"/>
      <c r="D30" s="1385" t="s">
        <v>9786</v>
      </c>
      <c r="E30" s="1385">
        <v>0.25</v>
      </c>
      <c r="F30" s="1384"/>
      <c r="G30" s="1336"/>
      <c r="H30" s="1336"/>
      <c r="I30" s="1336"/>
      <c r="J30" s="1336"/>
      <c r="K30" s="1336"/>
      <c r="L30" s="1336"/>
      <c r="M30" s="1336"/>
      <c r="N30" s="1336"/>
      <c r="O30" s="1336"/>
      <c r="P30" s="1336"/>
    </row>
    <row r="31" spans="1:16" s="1323" customFormat="1" ht="20.100000000000001" customHeight="1">
      <c r="A31" s="2807" t="s">
        <v>7700</v>
      </c>
      <c r="B31" s="1383" t="s">
        <v>9787</v>
      </c>
      <c r="C31" s="1384" t="s">
        <v>9788</v>
      </c>
      <c r="D31" s="1385" t="s">
        <v>9789</v>
      </c>
      <c r="E31" s="1385">
        <f>E20*(2*E28-E19-E19)*E30</f>
        <v>1079.5</v>
      </c>
      <c r="F31" s="1384" t="s">
        <v>2040</v>
      </c>
      <c r="G31" s="1336"/>
      <c r="H31" s="1336"/>
      <c r="I31" s="1336"/>
      <c r="J31" s="1336"/>
      <c r="K31" s="1336"/>
      <c r="L31" s="1336"/>
      <c r="M31" s="1336"/>
      <c r="N31" s="1336"/>
      <c r="O31" s="1336"/>
      <c r="P31" s="1336"/>
    </row>
    <row r="32" spans="1:16" s="1323" customFormat="1" ht="20.100000000000001" customHeight="1">
      <c r="A32" s="2807" t="s">
        <v>7395</v>
      </c>
      <c r="B32" s="1383" t="s">
        <v>9790</v>
      </c>
      <c r="C32" s="1384"/>
      <c r="D32" s="1385" t="s">
        <v>9791</v>
      </c>
      <c r="E32" s="1385">
        <f>0.002*E31</f>
        <v>2.1589999999999998</v>
      </c>
      <c r="F32" s="1384"/>
      <c r="G32" s="1336"/>
      <c r="H32" s="1336"/>
      <c r="I32" s="1336"/>
      <c r="J32" s="1336"/>
      <c r="K32" s="1336"/>
      <c r="L32" s="1336"/>
      <c r="M32" s="1336"/>
      <c r="N32" s="1336"/>
      <c r="O32" s="1336"/>
      <c r="P32" s="1336"/>
    </row>
    <row r="33" spans="1:17" s="1323" customFormat="1" ht="20.100000000000001" customHeight="1">
      <c r="A33" s="2807" t="s">
        <v>7842</v>
      </c>
      <c r="B33" s="1383" t="s">
        <v>5899</v>
      </c>
      <c r="C33" s="1384" t="s">
        <v>9792</v>
      </c>
      <c r="D33" s="1385" t="s">
        <v>9793</v>
      </c>
      <c r="E33" s="1385">
        <f>E31-E32</f>
        <v>1077.3409999999999</v>
      </c>
      <c r="F33" s="1384" t="s">
        <v>2040</v>
      </c>
      <c r="G33" s="1336"/>
      <c r="H33" s="1336"/>
      <c r="I33" s="1336"/>
      <c r="J33" s="1336"/>
      <c r="K33" s="1336"/>
      <c r="L33" s="1336"/>
      <c r="M33" s="1336"/>
      <c r="N33" s="1336"/>
      <c r="O33" s="1336"/>
      <c r="P33" s="1336"/>
    </row>
    <row r="34" spans="1:17" s="1323" customFormat="1" ht="20.100000000000001" customHeight="1">
      <c r="A34" s="2807" t="s">
        <v>7411</v>
      </c>
      <c r="B34" s="1383"/>
      <c r="C34" s="1384"/>
      <c r="D34" s="1385"/>
      <c r="E34" s="1385">
        <v>1000</v>
      </c>
      <c r="F34" s="1384"/>
      <c r="G34" s="1336"/>
      <c r="H34" s="1336"/>
      <c r="I34" s="1336"/>
      <c r="J34" s="1336"/>
      <c r="K34" s="1336"/>
      <c r="L34" s="1336"/>
      <c r="M34" s="1336"/>
      <c r="N34" s="1336"/>
      <c r="O34" s="1336"/>
      <c r="P34" s="1336"/>
    </row>
    <row r="35" spans="1:17" s="1323" customFormat="1" ht="20.100000000000001" customHeight="1">
      <c r="A35" s="2807" t="s">
        <v>309</v>
      </c>
      <c r="B35" s="1383" t="s">
        <v>8083</v>
      </c>
      <c r="C35" s="1384" t="s">
        <v>9794</v>
      </c>
      <c r="D35" s="1385" t="s">
        <v>9795</v>
      </c>
      <c r="E35" s="1385">
        <f>(E19*E5*E20)/(60*1000)</f>
        <v>1.0583333333333301E-2</v>
      </c>
      <c r="F35" s="1384" t="s">
        <v>6127</v>
      </c>
      <c r="G35" s="1336"/>
      <c r="H35" s="1336"/>
      <c r="I35" s="1336"/>
      <c r="J35" s="1336"/>
      <c r="K35" s="1336"/>
      <c r="L35" s="1336"/>
      <c r="M35" s="1336"/>
      <c r="N35" s="1336"/>
      <c r="O35" s="1336"/>
      <c r="P35" s="1336"/>
    </row>
    <row r="36" spans="1:17" s="1323" customFormat="1" ht="20.100000000000001" customHeight="1">
      <c r="A36" s="2807" t="s">
        <v>9556</v>
      </c>
      <c r="B36" s="1383" t="s">
        <v>9796</v>
      </c>
      <c r="C36" s="1384" t="s">
        <v>9797</v>
      </c>
      <c r="D36" s="1385" t="s">
        <v>9798</v>
      </c>
      <c r="E36" s="1385">
        <f>1000*E10/E35</f>
        <v>396850.39370078698</v>
      </c>
      <c r="F36" s="1384" t="s">
        <v>6109</v>
      </c>
      <c r="G36" s="1336"/>
      <c r="H36" s="1336"/>
      <c r="I36" s="1336"/>
      <c r="J36" s="1336"/>
      <c r="K36" s="1336"/>
      <c r="L36" s="1336"/>
      <c r="M36" s="1336"/>
      <c r="N36" s="1336"/>
      <c r="O36" s="1336"/>
      <c r="P36" s="1336"/>
    </row>
    <row r="37" spans="1:17" s="1323" customFormat="1" ht="20.100000000000001" customHeight="1">
      <c r="A37" s="1337"/>
      <c r="B37" s="1338"/>
      <c r="C37" s="1338"/>
      <c r="D37" s="1338"/>
      <c r="E37" s="1338"/>
      <c r="F37" s="1339"/>
      <c r="G37" s="1336"/>
      <c r="H37" s="1336"/>
      <c r="I37" s="1336"/>
      <c r="J37" s="1336"/>
      <c r="K37" s="1336"/>
      <c r="L37" s="1336"/>
      <c r="M37" s="1336"/>
      <c r="N37" s="1336"/>
      <c r="O37" s="1336"/>
      <c r="P37" s="1336"/>
    </row>
    <row r="38" spans="1:17" s="1323" customFormat="1" ht="20.100000000000001" customHeight="1">
      <c r="A38" s="1337"/>
      <c r="B38" s="1338"/>
      <c r="C38" s="1338"/>
      <c r="D38" s="1338"/>
      <c r="E38" s="1338"/>
      <c r="F38" s="1339"/>
      <c r="G38" s="1336"/>
      <c r="H38" s="1336"/>
      <c r="I38" s="1336"/>
      <c r="J38" s="1336"/>
      <c r="K38" s="1336"/>
      <c r="L38" s="1336"/>
      <c r="M38" s="1336"/>
      <c r="N38" s="1336"/>
      <c r="O38" s="1336"/>
      <c r="P38" s="1336"/>
    </row>
    <row r="39" spans="1:17" s="1323" customFormat="1" ht="20.100000000000001" customHeight="1">
      <c r="A39" s="1337"/>
      <c r="B39" s="1338"/>
      <c r="C39" s="1338"/>
      <c r="D39" s="1338"/>
      <c r="E39" s="1338"/>
      <c r="F39" s="1339"/>
      <c r="G39" s="1336"/>
      <c r="H39" s="1336"/>
      <c r="I39" s="1336"/>
      <c r="J39" s="1336"/>
      <c r="K39" s="1336"/>
      <c r="L39" s="1336"/>
      <c r="M39" s="1336"/>
      <c r="N39" s="1336"/>
      <c r="O39" s="1336"/>
      <c r="P39" s="1336"/>
    </row>
    <row r="40" spans="1:17" s="1323" customFormat="1" ht="20.100000000000001" customHeight="1">
      <c r="A40" s="1337"/>
      <c r="B40" s="1338"/>
      <c r="C40" s="1338"/>
      <c r="D40" s="1338"/>
      <c r="E40" s="1338"/>
      <c r="F40" s="1339"/>
      <c r="G40" s="1336"/>
      <c r="H40" s="1336"/>
      <c r="I40" s="1336"/>
      <c r="J40" s="1336"/>
      <c r="K40" s="1336"/>
      <c r="L40" s="1336"/>
      <c r="M40" s="1336"/>
      <c r="N40" s="1336"/>
      <c r="O40" s="1336"/>
      <c r="P40" s="1336"/>
    </row>
    <row r="41" spans="1:17" s="1323" customFormat="1" ht="20.100000000000001" customHeight="1">
      <c r="A41" s="1337"/>
      <c r="B41" s="1338"/>
      <c r="C41" s="1338"/>
      <c r="D41" s="1338"/>
      <c r="E41" s="1338"/>
      <c r="F41" s="1339"/>
      <c r="G41" s="1336"/>
      <c r="H41" s="1336"/>
      <c r="I41" s="1336"/>
      <c r="J41" s="1336"/>
      <c r="K41" s="1336"/>
      <c r="L41" s="1336"/>
      <c r="M41" s="1336"/>
      <c r="N41" s="1336"/>
      <c r="O41" s="1336"/>
      <c r="P41" s="1336"/>
    </row>
    <row r="42" spans="1:17" s="1323" customFormat="1" ht="20.100000000000001" customHeight="1">
      <c r="A42" s="1337"/>
      <c r="B42" s="1338"/>
      <c r="C42" s="1338"/>
      <c r="D42" s="1338"/>
      <c r="E42" s="1338"/>
      <c r="F42" s="1339"/>
      <c r="G42" s="1336"/>
      <c r="H42" s="1336"/>
      <c r="I42" s="1336"/>
      <c r="J42" s="1336"/>
      <c r="K42" s="1336"/>
      <c r="L42" s="1336"/>
      <c r="M42" s="1336"/>
      <c r="N42" s="1336"/>
      <c r="O42" s="1336"/>
      <c r="P42" s="1336"/>
    </row>
    <row r="43" spans="1:17">
      <c r="A43" s="1340"/>
      <c r="B43" s="1336"/>
      <c r="C43" s="1336"/>
      <c r="D43" s="1336"/>
      <c r="E43" s="1336"/>
      <c r="F43" s="1336"/>
      <c r="G43" s="1336"/>
      <c r="H43" s="1336"/>
      <c r="I43" s="1336"/>
      <c r="J43" s="1336"/>
      <c r="K43" s="1336"/>
      <c r="L43" s="1336"/>
      <c r="M43" s="1336"/>
      <c r="N43" s="1336"/>
      <c r="O43" s="1336"/>
      <c r="P43" s="1336"/>
      <c r="Q43" s="1323"/>
    </row>
    <row r="44" spans="1:17">
      <c r="A44" s="1340"/>
      <c r="B44" s="1336"/>
      <c r="C44" s="1336"/>
      <c r="D44" s="1336"/>
      <c r="E44" s="1336"/>
      <c r="F44" s="1336"/>
      <c r="G44" s="1336"/>
      <c r="H44" s="1336"/>
      <c r="I44" s="1336"/>
      <c r="J44" s="1336"/>
      <c r="K44" s="1336"/>
      <c r="L44" s="1336"/>
      <c r="M44" s="1336"/>
      <c r="N44" s="1336"/>
      <c r="O44" s="1336"/>
      <c r="P44" s="1336"/>
      <c r="Q44" s="1323"/>
    </row>
    <row r="45" spans="1:17">
      <c r="B45" s="1336"/>
      <c r="C45" s="1336"/>
      <c r="D45" s="1336"/>
      <c r="E45" s="1336"/>
      <c r="F45" s="1336"/>
      <c r="G45" s="1336"/>
      <c r="H45" s="1336"/>
      <c r="I45" s="1336"/>
      <c r="J45" s="1336"/>
      <c r="K45" s="1336"/>
      <c r="L45" s="1336"/>
      <c r="M45" s="1336"/>
      <c r="N45" s="1336"/>
      <c r="O45" s="1336"/>
      <c r="P45" s="1336"/>
      <c r="Q45" s="1323"/>
    </row>
    <row r="46" spans="1:17">
      <c r="B46" s="1336"/>
      <c r="C46" s="1336"/>
      <c r="D46" s="1336"/>
      <c r="E46" s="1336"/>
      <c r="F46" s="1336"/>
      <c r="G46" s="1336"/>
      <c r="H46" s="1336"/>
      <c r="I46" s="1336"/>
      <c r="J46" s="1336"/>
      <c r="K46" s="1336"/>
      <c r="L46" s="1336"/>
      <c r="M46" s="1336"/>
      <c r="N46" s="1336"/>
      <c r="O46" s="1336"/>
      <c r="P46" s="1336"/>
      <c r="Q46" s="1323"/>
    </row>
    <row r="47" spans="1:17">
      <c r="B47" s="1336"/>
      <c r="C47" s="1336"/>
      <c r="D47" s="1336"/>
      <c r="E47" s="1336"/>
      <c r="F47" s="1336"/>
      <c r="G47" s="1336"/>
      <c r="H47" s="1336"/>
      <c r="I47" s="1336"/>
      <c r="J47" s="1336"/>
      <c r="K47" s="1336"/>
      <c r="L47" s="1336"/>
      <c r="M47" s="1336"/>
      <c r="N47" s="1336"/>
      <c r="O47" s="1336"/>
      <c r="P47" s="1336"/>
      <c r="Q47" s="1323"/>
    </row>
    <row r="48" spans="1:17">
      <c r="B48" s="1336"/>
      <c r="C48" s="1336"/>
      <c r="D48" s="1336"/>
      <c r="E48" s="1336"/>
      <c r="F48" s="1336"/>
      <c r="G48" s="1336"/>
      <c r="H48" s="1336"/>
      <c r="I48" s="1336"/>
      <c r="J48" s="1336"/>
      <c r="K48" s="1336"/>
      <c r="L48" s="1336"/>
      <c r="M48" s="1336"/>
      <c r="N48" s="1336"/>
      <c r="O48" s="1336"/>
      <c r="P48" s="1336"/>
      <c r="Q48" s="1323"/>
    </row>
    <row r="49" spans="2:17">
      <c r="B49" s="1336"/>
      <c r="C49" s="1336"/>
      <c r="D49" s="1336"/>
      <c r="E49" s="1336"/>
      <c r="F49" s="1336"/>
      <c r="G49" s="1336"/>
      <c r="H49" s="1336"/>
      <c r="I49" s="1336"/>
      <c r="J49" s="1336"/>
      <c r="K49" s="1336"/>
      <c r="L49" s="1336"/>
      <c r="M49" s="1336"/>
      <c r="N49" s="1336"/>
      <c r="O49" s="1336"/>
      <c r="P49" s="1336"/>
      <c r="Q49" s="1323"/>
    </row>
    <row r="50" spans="2:17">
      <c r="B50" s="1336"/>
      <c r="C50" s="1336"/>
      <c r="D50" s="1336"/>
      <c r="E50" s="1336"/>
      <c r="F50" s="1336"/>
      <c r="G50" s="1336"/>
      <c r="H50" s="1336"/>
      <c r="I50" s="1336"/>
      <c r="J50" s="1336"/>
      <c r="K50" s="1336"/>
      <c r="L50" s="1336"/>
      <c r="M50" s="1336"/>
      <c r="N50" s="1336"/>
      <c r="O50" s="1336"/>
      <c r="P50" s="1336"/>
      <c r="Q50" s="1323"/>
    </row>
    <row r="51" spans="2:17">
      <c r="B51" s="1336"/>
      <c r="C51" s="1336"/>
      <c r="D51" s="1336"/>
      <c r="E51" s="1336"/>
      <c r="F51" s="1336"/>
      <c r="G51" s="1336"/>
      <c r="H51" s="1336"/>
      <c r="I51" s="1336"/>
      <c r="J51" s="1336"/>
      <c r="K51" s="1336"/>
      <c r="L51" s="1336"/>
      <c r="M51" s="1336"/>
      <c r="N51" s="1336"/>
      <c r="O51" s="1336"/>
      <c r="P51" s="1336"/>
      <c r="Q51" s="1323"/>
    </row>
    <row r="52" spans="2:17">
      <c r="B52" s="1336"/>
      <c r="C52" s="1336"/>
      <c r="D52" s="1336"/>
      <c r="E52" s="1336"/>
      <c r="F52" s="1336"/>
      <c r="G52" s="1336"/>
      <c r="H52" s="1336"/>
      <c r="I52" s="1336"/>
      <c r="J52" s="1336"/>
      <c r="K52" s="1336"/>
      <c r="L52" s="1336"/>
      <c r="M52" s="1336"/>
      <c r="N52" s="1336"/>
      <c r="O52" s="1336"/>
      <c r="P52" s="1336"/>
      <c r="Q52" s="1323"/>
    </row>
    <row r="53" spans="2:17">
      <c r="B53" s="1336"/>
      <c r="C53" s="1336"/>
      <c r="D53" s="1336"/>
      <c r="E53" s="1336"/>
      <c r="F53" s="1336"/>
      <c r="G53" s="1336"/>
      <c r="H53" s="1336"/>
      <c r="I53" s="1336"/>
      <c r="J53" s="1336"/>
      <c r="K53" s="1336"/>
      <c r="L53" s="1336"/>
      <c r="M53" s="1336"/>
      <c r="N53" s="1336"/>
      <c r="O53" s="1336"/>
      <c r="P53" s="1336"/>
      <c r="Q53" s="1323"/>
    </row>
    <row r="54" spans="2:17">
      <c r="B54" s="1336"/>
      <c r="C54" s="1336"/>
      <c r="D54" s="1336"/>
      <c r="E54" s="1336"/>
      <c r="F54" s="1336"/>
      <c r="G54" s="1336"/>
      <c r="H54" s="1336"/>
      <c r="I54" s="1336"/>
      <c r="J54" s="1336"/>
      <c r="K54" s="1336"/>
      <c r="L54" s="1336"/>
      <c r="M54" s="1336"/>
      <c r="N54" s="1336"/>
      <c r="O54" s="1336"/>
      <c r="P54" s="1336"/>
      <c r="Q54" s="1323"/>
    </row>
    <row r="55" spans="2:17">
      <c r="B55" s="1336"/>
      <c r="C55" s="1336"/>
      <c r="D55" s="1336"/>
      <c r="E55" s="1336"/>
      <c r="F55" s="1336"/>
      <c r="G55" s="1336"/>
      <c r="H55" s="1336"/>
      <c r="I55" s="1336"/>
      <c r="J55" s="1336"/>
      <c r="K55" s="1336"/>
      <c r="L55" s="1336"/>
      <c r="M55" s="1336"/>
      <c r="N55" s="1336"/>
      <c r="O55" s="1336"/>
      <c r="P55" s="1336"/>
      <c r="Q55" s="1323"/>
    </row>
    <row r="56" spans="2:17">
      <c r="B56" s="1336"/>
      <c r="C56" s="1336"/>
      <c r="D56" s="1336"/>
      <c r="E56" s="1336"/>
      <c r="F56" s="1336"/>
      <c r="G56" s="1336"/>
      <c r="H56" s="1336"/>
      <c r="I56" s="1336"/>
      <c r="J56" s="1336"/>
      <c r="K56" s="1336"/>
      <c r="L56" s="1336"/>
      <c r="M56" s="1336"/>
      <c r="N56" s="1336"/>
      <c r="O56" s="1336"/>
      <c r="P56" s="1336"/>
      <c r="Q56" s="1323"/>
    </row>
    <row r="57" spans="2:17">
      <c r="B57" s="1336"/>
      <c r="C57" s="1336"/>
      <c r="D57" s="1336"/>
      <c r="E57" s="1336"/>
      <c r="F57" s="1336"/>
      <c r="G57" s="1336"/>
      <c r="H57" s="1336"/>
      <c r="I57" s="1336"/>
      <c r="J57" s="1336"/>
      <c r="K57" s="1336"/>
      <c r="L57" s="1336"/>
      <c r="M57" s="1336"/>
      <c r="N57" s="1336"/>
      <c r="O57" s="1336"/>
      <c r="P57" s="1336"/>
      <c r="Q57" s="1323"/>
    </row>
    <row r="58" spans="2:17">
      <c r="B58" s="1336"/>
      <c r="C58" s="1336"/>
      <c r="D58" s="1336"/>
      <c r="E58" s="1336"/>
      <c r="F58" s="1336"/>
      <c r="G58" s="1336"/>
      <c r="H58" s="1336"/>
      <c r="I58" s="1336"/>
      <c r="J58" s="1336"/>
      <c r="K58" s="1336"/>
      <c r="L58" s="1336"/>
      <c r="M58" s="1336"/>
      <c r="N58" s="1336"/>
      <c r="O58" s="1336"/>
      <c r="P58" s="1336"/>
      <c r="Q58" s="1323"/>
    </row>
    <row r="59" spans="2:17">
      <c r="B59" s="1336"/>
      <c r="C59" s="1336"/>
      <c r="D59" s="1336"/>
      <c r="E59" s="1336"/>
      <c r="F59" s="1336"/>
      <c r="G59" s="1336"/>
      <c r="H59" s="1336"/>
      <c r="I59" s="1336"/>
      <c r="J59" s="1336"/>
      <c r="K59" s="1336"/>
      <c r="L59" s="1336"/>
      <c r="M59" s="1336"/>
      <c r="N59" s="1336"/>
      <c r="O59" s="1336"/>
      <c r="P59" s="1336"/>
      <c r="Q59" s="1323"/>
    </row>
    <row r="60" spans="2:17">
      <c r="B60" s="1336"/>
      <c r="C60" s="1336"/>
      <c r="D60" s="1336"/>
      <c r="E60" s="1336"/>
      <c r="F60" s="1336"/>
      <c r="G60" s="1336"/>
      <c r="H60" s="1336"/>
      <c r="I60" s="1336"/>
      <c r="J60" s="1336"/>
      <c r="K60" s="1336"/>
      <c r="L60" s="1336"/>
      <c r="M60" s="1336"/>
      <c r="N60" s="1336"/>
      <c r="O60" s="1336"/>
      <c r="P60" s="1336"/>
      <c r="Q60" s="1323"/>
    </row>
    <row r="61" spans="2:17">
      <c r="B61" s="1336"/>
      <c r="C61" s="1336"/>
      <c r="D61" s="1336"/>
      <c r="E61" s="1336"/>
      <c r="F61" s="1336"/>
      <c r="G61" s="1336"/>
      <c r="H61" s="1336"/>
      <c r="I61" s="1336"/>
      <c r="J61" s="1336"/>
      <c r="K61" s="1336"/>
      <c r="L61" s="1336"/>
      <c r="M61" s="1336"/>
      <c r="N61" s="1336"/>
      <c r="O61" s="1336"/>
      <c r="P61" s="1336"/>
      <c r="Q61" s="1323"/>
    </row>
    <row r="62" spans="2:17">
      <c r="B62" s="1336"/>
      <c r="C62" s="1336"/>
      <c r="D62" s="1336"/>
      <c r="E62" s="1336"/>
      <c r="F62" s="1336"/>
      <c r="G62" s="1336"/>
      <c r="H62" s="1336"/>
      <c r="I62" s="1336"/>
      <c r="J62" s="1336"/>
      <c r="K62" s="1336"/>
      <c r="L62" s="1336"/>
      <c r="M62" s="1336"/>
      <c r="N62" s="1336"/>
      <c r="O62" s="1336"/>
      <c r="P62" s="1336"/>
      <c r="Q62" s="1323"/>
    </row>
    <row r="63" spans="2:17">
      <c r="B63" s="1336"/>
      <c r="C63" s="1336"/>
      <c r="D63" s="1336"/>
      <c r="E63" s="1336"/>
      <c r="F63" s="1336"/>
      <c r="G63" s="1336"/>
      <c r="H63" s="1336"/>
      <c r="I63" s="1336"/>
      <c r="J63" s="1336"/>
      <c r="K63" s="1336"/>
      <c r="L63" s="1336"/>
      <c r="M63" s="1336"/>
      <c r="N63" s="1336"/>
      <c r="O63" s="1336"/>
      <c r="P63" s="1336"/>
      <c r="Q63" s="1323"/>
    </row>
    <row r="64" spans="2:17">
      <c r="B64" s="1336"/>
      <c r="C64" s="1336"/>
      <c r="D64" s="1336"/>
      <c r="E64" s="1336"/>
      <c r="F64" s="1336"/>
      <c r="G64" s="1336"/>
      <c r="H64" s="1336"/>
      <c r="I64" s="1336"/>
      <c r="J64" s="1336"/>
      <c r="K64" s="1336"/>
      <c r="L64" s="1336"/>
      <c r="M64" s="1336"/>
      <c r="N64" s="1336"/>
      <c r="O64" s="1336"/>
      <c r="P64" s="1336"/>
      <c r="Q64" s="1323"/>
    </row>
    <row r="65" spans="2:17">
      <c r="B65" s="1336"/>
      <c r="C65" s="1336"/>
      <c r="D65" s="1336"/>
      <c r="E65" s="1336"/>
      <c r="F65" s="1336"/>
      <c r="G65" s="1336"/>
      <c r="H65" s="1336"/>
      <c r="I65" s="1336"/>
      <c r="J65" s="1336"/>
      <c r="K65" s="1336"/>
      <c r="L65" s="1336"/>
      <c r="M65" s="1336"/>
      <c r="N65" s="1336"/>
      <c r="O65" s="1336"/>
      <c r="P65" s="1336"/>
      <c r="Q65" s="1323"/>
    </row>
    <row r="66" spans="2:17">
      <c r="B66" s="1336"/>
      <c r="C66" s="1336"/>
      <c r="D66" s="1336"/>
      <c r="E66" s="1336"/>
      <c r="F66" s="1336"/>
      <c r="G66" s="1336"/>
      <c r="H66" s="1336"/>
      <c r="I66" s="1336"/>
      <c r="J66" s="1336"/>
      <c r="K66" s="1336"/>
      <c r="L66" s="1336"/>
      <c r="M66" s="1336"/>
      <c r="N66" s="1336"/>
      <c r="O66" s="1336"/>
      <c r="P66" s="1336"/>
      <c r="Q66" s="1323"/>
    </row>
    <row r="67" spans="2:17">
      <c r="B67" s="1336"/>
      <c r="C67" s="1336"/>
      <c r="D67" s="1336"/>
      <c r="E67" s="1336"/>
      <c r="F67" s="1336"/>
      <c r="G67" s="1336"/>
      <c r="H67" s="1336"/>
      <c r="I67" s="1336"/>
      <c r="J67" s="1336"/>
      <c r="K67" s="1336"/>
      <c r="L67" s="1336"/>
      <c r="M67" s="1336"/>
      <c r="N67" s="1336"/>
      <c r="O67" s="1336"/>
      <c r="P67" s="1336"/>
      <c r="Q67" s="1323"/>
    </row>
    <row r="68" spans="2:17">
      <c r="B68" s="1336"/>
      <c r="C68" s="1336"/>
      <c r="D68" s="1336"/>
      <c r="E68" s="1336"/>
      <c r="F68" s="1336"/>
      <c r="G68" s="1336"/>
      <c r="H68" s="1336"/>
      <c r="I68" s="1336"/>
      <c r="J68" s="1336"/>
      <c r="K68" s="1336"/>
      <c r="L68" s="1336"/>
      <c r="M68" s="1336"/>
      <c r="N68" s="1336"/>
      <c r="O68" s="1336"/>
      <c r="P68" s="1336"/>
      <c r="Q68" s="1323"/>
    </row>
    <row r="69" spans="2:17">
      <c r="B69" s="1336"/>
      <c r="C69" s="1336"/>
      <c r="D69" s="1336"/>
      <c r="E69" s="1336"/>
      <c r="F69" s="1336"/>
      <c r="G69" s="1336"/>
      <c r="H69" s="1336"/>
      <c r="I69" s="1336"/>
      <c r="J69" s="1336"/>
      <c r="K69" s="1336"/>
      <c r="L69" s="1336"/>
      <c r="M69" s="1336"/>
      <c r="N69" s="1336"/>
      <c r="O69" s="1336"/>
      <c r="P69" s="1336"/>
      <c r="Q69" s="1323"/>
    </row>
    <row r="70" spans="2:17">
      <c r="B70" s="1336"/>
      <c r="C70" s="1336"/>
      <c r="D70" s="1336"/>
      <c r="E70" s="1336"/>
      <c r="F70" s="1336"/>
      <c r="G70" s="1336"/>
      <c r="H70" s="1336"/>
      <c r="I70" s="1336"/>
      <c r="J70" s="1336"/>
      <c r="K70" s="1336"/>
      <c r="L70" s="1336"/>
      <c r="M70" s="1336"/>
      <c r="N70" s="1336"/>
      <c r="O70" s="1336"/>
      <c r="P70" s="1336"/>
      <c r="Q70" s="1323"/>
    </row>
    <row r="71" spans="2:17">
      <c r="B71" s="1336"/>
      <c r="C71" s="1336"/>
      <c r="D71" s="1336"/>
      <c r="E71" s="1336"/>
      <c r="F71" s="1336"/>
      <c r="G71" s="1336"/>
      <c r="H71" s="1336"/>
      <c r="I71" s="1336"/>
      <c r="J71" s="1336"/>
      <c r="K71" s="1336"/>
      <c r="L71" s="1336"/>
      <c r="M71" s="1336"/>
      <c r="N71" s="1336"/>
      <c r="O71" s="1336"/>
      <c r="P71" s="1336"/>
      <c r="Q71" s="1323"/>
    </row>
    <row r="72" spans="2:17">
      <c r="B72" s="1336"/>
      <c r="C72" s="1336"/>
      <c r="D72" s="1336"/>
      <c r="E72" s="1336"/>
      <c r="F72" s="1336"/>
      <c r="G72" s="1336"/>
      <c r="H72" s="1336"/>
      <c r="I72" s="1336"/>
      <c r="J72" s="1336"/>
      <c r="K72" s="1336"/>
      <c r="L72" s="1336"/>
      <c r="M72" s="1336"/>
      <c r="N72" s="1336"/>
      <c r="O72" s="1336"/>
      <c r="P72" s="1336"/>
      <c r="Q72" s="1323"/>
    </row>
    <row r="73" spans="2:17">
      <c r="B73" s="1336"/>
      <c r="C73" s="1336"/>
      <c r="D73" s="1336"/>
      <c r="E73" s="1336"/>
      <c r="F73" s="1336"/>
      <c r="G73" s="1336"/>
      <c r="H73" s="1336"/>
      <c r="I73" s="1336"/>
      <c r="J73" s="1336"/>
      <c r="K73" s="1336"/>
      <c r="L73" s="1336"/>
      <c r="M73" s="1336"/>
      <c r="N73" s="1336"/>
      <c r="O73" s="1336"/>
      <c r="P73" s="1336"/>
      <c r="Q73" s="1323"/>
    </row>
    <row r="74" spans="2:17">
      <c r="B74" s="1341"/>
      <c r="C74" s="1342"/>
      <c r="D74" s="1342"/>
      <c r="E74" s="1342"/>
      <c r="F74" s="1342"/>
      <c r="G74" s="1342"/>
      <c r="H74" s="1342"/>
      <c r="I74" s="1342"/>
      <c r="J74" s="1342"/>
      <c r="K74" s="1342"/>
      <c r="L74" s="1342"/>
      <c r="M74" s="1342"/>
      <c r="N74" s="1342"/>
      <c r="O74" s="1342"/>
      <c r="P74" s="1342"/>
      <c r="Q74" s="1323"/>
    </row>
    <row r="75" spans="2:17">
      <c r="B75" s="1341"/>
      <c r="C75" s="1342"/>
      <c r="D75" s="1342"/>
      <c r="E75" s="1342"/>
      <c r="F75" s="1342"/>
      <c r="G75" s="1342"/>
      <c r="H75" s="1342"/>
      <c r="I75" s="1342"/>
      <c r="J75" s="1342"/>
      <c r="K75" s="1342"/>
      <c r="L75" s="1342"/>
      <c r="M75" s="1342"/>
      <c r="N75" s="1342"/>
      <c r="O75" s="1342"/>
      <c r="P75" s="1342"/>
      <c r="Q75" s="1323"/>
    </row>
    <row r="76" spans="2:17">
      <c r="B76" s="1341"/>
      <c r="C76" s="1342"/>
      <c r="D76" s="1342"/>
      <c r="E76" s="1342"/>
      <c r="F76" s="1342"/>
      <c r="G76" s="1342"/>
      <c r="H76" s="1342"/>
      <c r="I76" s="1342"/>
      <c r="J76" s="1342"/>
      <c r="K76" s="1342"/>
      <c r="L76" s="1342"/>
      <c r="M76" s="1342"/>
      <c r="N76" s="1342"/>
      <c r="O76" s="1342"/>
      <c r="P76" s="1342"/>
      <c r="Q76" s="1323"/>
    </row>
    <row r="77" spans="2:17">
      <c r="B77" s="1341"/>
      <c r="C77" s="1342"/>
      <c r="D77" s="1342"/>
      <c r="E77" s="1342"/>
      <c r="F77" s="1342"/>
      <c r="G77" s="1342"/>
      <c r="H77" s="1342"/>
      <c r="I77" s="1342"/>
      <c r="J77" s="1342"/>
      <c r="K77" s="1342"/>
      <c r="L77" s="1342"/>
      <c r="M77" s="1342"/>
      <c r="N77" s="1342"/>
      <c r="O77" s="1342"/>
      <c r="P77" s="1342"/>
      <c r="Q77" s="1323"/>
    </row>
    <row r="78" spans="2:17">
      <c r="B78" s="1341"/>
      <c r="C78" s="1342"/>
      <c r="D78" s="1342"/>
      <c r="E78" s="1342"/>
      <c r="F78" s="1342"/>
      <c r="G78" s="1342"/>
      <c r="H78" s="1342"/>
      <c r="I78" s="1342"/>
      <c r="J78" s="1342"/>
      <c r="K78" s="1342"/>
      <c r="L78" s="1342"/>
      <c r="M78" s="1342"/>
      <c r="N78" s="1342"/>
      <c r="O78" s="1342"/>
      <c r="P78" s="1342"/>
      <c r="Q78" s="1323"/>
    </row>
    <row r="79" spans="2:17">
      <c r="B79" s="1341"/>
      <c r="C79" s="1342"/>
      <c r="D79" s="1342"/>
      <c r="E79" s="1342"/>
      <c r="F79" s="1342"/>
      <c r="G79" s="1342"/>
      <c r="H79" s="1342"/>
      <c r="I79" s="1342"/>
      <c r="J79" s="1342"/>
      <c r="K79" s="1342"/>
      <c r="L79" s="1342"/>
      <c r="M79" s="1342"/>
      <c r="N79" s="1342"/>
      <c r="O79" s="1342"/>
      <c r="P79" s="1342"/>
      <c r="Q79" s="1323"/>
    </row>
    <row r="80" spans="2:17">
      <c r="G80" s="1341"/>
      <c r="H80" s="1341"/>
      <c r="I80" s="1341"/>
      <c r="J80" s="1341"/>
      <c r="K80" s="1341"/>
      <c r="L80" s="1341"/>
      <c r="M80" s="1341"/>
      <c r="N80" s="1341"/>
      <c r="O80" s="1341"/>
      <c r="P80" s="1341"/>
    </row>
  </sheetData>
  <phoneticPr fontId="378" type="noConversion"/>
  <hyperlinks>
    <hyperlink ref="E17" location="总目录!A1" display="返回目录"/>
  </hyperlinks>
  <pageMargins left="0.75" right="0.75" top="1" bottom="1" header="0.5" footer="0.5"/>
  <pageSetup paperSize="9" orientation="landscape" r:id="rId1"/>
  <headerFooter alignWithMargins="0"/>
  <legacy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view="pageBreakPreview" zoomScaleNormal="100" zoomScaleSheetLayoutView="100" workbookViewId="0">
      <selection activeCell="E23" sqref="E23"/>
    </sheetView>
  </sheetViews>
  <sheetFormatPr defaultColWidth="8.125" defaultRowHeight="15"/>
  <cols>
    <col min="1" max="1" width="6.25" style="1354" customWidth="1"/>
    <col min="2" max="2" width="8.125" style="1355"/>
    <col min="3" max="4" width="27.625" style="1355" customWidth="1"/>
    <col min="5" max="5" width="12.75" style="1355"/>
    <col min="6" max="16384" width="8.125" style="1355"/>
  </cols>
  <sheetData>
    <row r="1" spans="1:6" s="1352" customFormat="1">
      <c r="A1" s="1356" t="s">
        <v>9799</v>
      </c>
      <c r="B1" s="1357" t="s">
        <v>9800</v>
      </c>
      <c r="C1" s="1357" t="s">
        <v>9801</v>
      </c>
      <c r="D1" s="1357" t="s">
        <v>9802</v>
      </c>
      <c r="E1" s="1357" t="s">
        <v>9803</v>
      </c>
      <c r="F1" s="1358" t="s">
        <v>9804</v>
      </c>
    </row>
    <row r="2" spans="1:6" s="1353" customFormat="1" ht="15.75">
      <c r="A2" s="1359" t="s">
        <v>9805</v>
      </c>
      <c r="B2" s="4231" t="s">
        <v>9806</v>
      </c>
      <c r="C2" s="4232"/>
      <c r="D2" s="1360"/>
      <c r="E2" s="1360"/>
      <c r="F2" s="1361"/>
    </row>
    <row r="3" spans="1:6" s="1352" customFormat="1">
      <c r="A3" s="1362">
        <v>1</v>
      </c>
      <c r="B3" s="1363" t="s">
        <v>6407</v>
      </c>
      <c r="C3" s="1363" t="s">
        <v>9807</v>
      </c>
      <c r="D3" s="1363"/>
      <c r="E3" s="1363">
        <v>1650</v>
      </c>
      <c r="F3" s="1364" t="s">
        <v>9574</v>
      </c>
    </row>
    <row r="4" spans="1:6" s="1352" customFormat="1">
      <c r="A4" s="1362">
        <v>2</v>
      </c>
      <c r="B4" s="1363" t="s">
        <v>7460</v>
      </c>
      <c r="C4" s="1363" t="s">
        <v>9808</v>
      </c>
      <c r="D4" s="1363"/>
      <c r="E4" s="1363">
        <v>100</v>
      </c>
      <c r="F4" s="1364" t="s">
        <v>2040</v>
      </c>
    </row>
    <row r="5" spans="1:6" s="1352" customFormat="1">
      <c r="A5" s="1362">
        <v>3</v>
      </c>
      <c r="B5" s="1363" t="s">
        <v>9142</v>
      </c>
      <c r="C5" s="1363" t="s">
        <v>9809</v>
      </c>
      <c r="D5" s="1363"/>
      <c r="E5" s="1363">
        <v>15</v>
      </c>
      <c r="F5" s="1364" t="s">
        <v>2040</v>
      </c>
    </row>
    <row r="6" spans="1:6" s="1352" customFormat="1">
      <c r="A6" s="1362">
        <v>4</v>
      </c>
      <c r="B6" s="1363" t="s">
        <v>5899</v>
      </c>
      <c r="C6" s="1363"/>
      <c r="D6" s="1363" t="s">
        <v>9810</v>
      </c>
      <c r="E6" s="1363">
        <f>0.7*E5</f>
        <v>10.5</v>
      </c>
      <c r="F6" s="1364" t="s">
        <v>2040</v>
      </c>
    </row>
    <row r="7" spans="1:6" s="1352" customFormat="1" ht="15.75">
      <c r="A7" s="1365"/>
      <c r="B7" s="4233" t="s">
        <v>9811</v>
      </c>
      <c r="C7" s="4234"/>
      <c r="D7" s="1363"/>
      <c r="E7" s="1363"/>
      <c r="F7" s="1364"/>
    </row>
    <row r="8" spans="1:6" s="1352" customFormat="1">
      <c r="A8" s="1362">
        <v>1</v>
      </c>
      <c r="B8" s="1363" t="s">
        <v>6554</v>
      </c>
      <c r="C8" s="1363" t="s">
        <v>9812</v>
      </c>
      <c r="D8" s="1363" t="s">
        <v>9813</v>
      </c>
      <c r="E8" s="1363">
        <f>2*E3*10^3*(E4+E6)/(2*PI()*((E4+E6)^4-E4^4))</f>
        <v>1.18222871394752</v>
      </c>
      <c r="F8" s="1364" t="s">
        <v>966</v>
      </c>
    </row>
    <row r="9" spans="1:6" s="1352" customFormat="1">
      <c r="A9" s="1362"/>
      <c r="B9" s="1363" t="s">
        <v>9814</v>
      </c>
      <c r="C9" s="1363"/>
      <c r="D9" s="1363"/>
      <c r="E9" s="1363">
        <v>167</v>
      </c>
      <c r="F9" s="1364" t="s">
        <v>966</v>
      </c>
    </row>
    <row r="10" spans="1:6" s="1352" customFormat="1">
      <c r="A10" s="1362"/>
      <c r="B10" s="1363"/>
      <c r="C10" s="1363"/>
      <c r="D10" s="1363" t="s">
        <v>9815</v>
      </c>
      <c r="E10" s="1363"/>
      <c r="F10" s="1364"/>
    </row>
    <row r="11" spans="1:6" s="1353" customFormat="1" ht="15.75">
      <c r="A11" s="1359" t="s">
        <v>9816</v>
      </c>
      <c r="B11" s="4231" t="s">
        <v>9817</v>
      </c>
      <c r="C11" s="4232"/>
      <c r="D11" s="1360"/>
      <c r="E11" s="1360"/>
      <c r="F11" s="1361"/>
    </row>
    <row r="12" spans="1:6" s="1352" customFormat="1">
      <c r="A12" s="1362">
        <v>1</v>
      </c>
      <c r="B12" s="1363" t="s">
        <v>6436</v>
      </c>
      <c r="C12" s="1363" t="s">
        <v>9807</v>
      </c>
      <c r="D12" s="1363"/>
      <c r="E12" s="1363">
        <v>1650</v>
      </c>
      <c r="F12" s="1364" t="s">
        <v>9574</v>
      </c>
    </row>
    <row r="13" spans="1:6" s="1352" customFormat="1">
      <c r="A13" s="1362">
        <v>2</v>
      </c>
      <c r="B13" s="1363" t="s">
        <v>4554</v>
      </c>
      <c r="C13" s="1363" t="s">
        <v>9808</v>
      </c>
      <c r="D13" s="1363"/>
      <c r="E13" s="1363">
        <v>100</v>
      </c>
      <c r="F13" s="1364" t="s">
        <v>2040</v>
      </c>
    </row>
    <row r="14" spans="1:6" s="1352" customFormat="1">
      <c r="A14" s="1362">
        <v>3</v>
      </c>
      <c r="B14" s="1363" t="s">
        <v>5900</v>
      </c>
      <c r="C14" s="1363" t="s">
        <v>9818</v>
      </c>
      <c r="D14" s="1363"/>
      <c r="E14" s="1363">
        <v>28</v>
      </c>
      <c r="F14" s="1364" t="s">
        <v>2040</v>
      </c>
    </row>
    <row r="15" spans="1:6" s="1352" customFormat="1">
      <c r="A15" s="1362">
        <v>4</v>
      </c>
      <c r="B15" s="1363" t="s">
        <v>6492</v>
      </c>
      <c r="C15" s="1363" t="s">
        <v>9819</v>
      </c>
      <c r="D15" s="1363"/>
      <c r="E15" s="1363">
        <v>70</v>
      </c>
      <c r="F15" s="1364" t="s">
        <v>2040</v>
      </c>
    </row>
    <row r="16" spans="1:6" s="1352" customFormat="1">
      <c r="A16" s="1362"/>
      <c r="B16" s="1363"/>
      <c r="C16" s="1363"/>
      <c r="D16" s="1363"/>
      <c r="E16" s="1363"/>
      <c r="F16" s="1364"/>
    </row>
    <row r="17" spans="1:6" s="1352" customFormat="1" ht="15.75">
      <c r="A17" s="1365"/>
      <c r="B17" s="4233" t="s">
        <v>9811</v>
      </c>
      <c r="C17" s="4234"/>
      <c r="D17" s="1363"/>
      <c r="E17" s="1363"/>
      <c r="F17" s="1364"/>
    </row>
    <row r="18" spans="1:6" s="1352" customFormat="1">
      <c r="A18" s="1362">
        <v>1</v>
      </c>
      <c r="B18" s="1363" t="s">
        <v>6554</v>
      </c>
      <c r="C18" s="1363" t="s">
        <v>9820</v>
      </c>
      <c r="D18" s="1363" t="s">
        <v>9821</v>
      </c>
      <c r="E18" s="1363">
        <f>2*E12*10^3/(E13*E14*E15)</f>
        <v>16.836734693877599</v>
      </c>
      <c r="F18" s="1364" t="s">
        <v>966</v>
      </c>
    </row>
    <row r="19" spans="1:6" s="1352" customFormat="1">
      <c r="A19" s="1362"/>
      <c r="B19" s="1363" t="s">
        <v>9814</v>
      </c>
      <c r="C19" s="1363"/>
      <c r="D19" s="1363"/>
      <c r="E19" s="1363">
        <v>60</v>
      </c>
      <c r="F19" s="1364" t="s">
        <v>966</v>
      </c>
    </row>
    <row r="20" spans="1:6" s="1352" customFormat="1">
      <c r="A20" s="1366"/>
      <c r="B20" s="1367"/>
      <c r="C20" s="1367"/>
      <c r="D20" s="1367" t="s">
        <v>9815</v>
      </c>
      <c r="E20" s="1367"/>
      <c r="F20" s="1368"/>
    </row>
    <row r="21" spans="1:6" s="1353" customFormat="1" ht="15.75">
      <c r="A21" s="1369" t="s">
        <v>9822</v>
      </c>
      <c r="B21" s="4231" t="s">
        <v>9823</v>
      </c>
      <c r="C21" s="4232"/>
      <c r="D21" s="1370"/>
      <c r="E21" s="1370"/>
      <c r="F21" s="1371"/>
    </row>
    <row r="22" spans="1:6" s="1352" customFormat="1">
      <c r="A22" s="1372"/>
      <c r="B22" s="4226" t="s">
        <v>9824</v>
      </c>
      <c r="C22" s="4227"/>
      <c r="D22" s="4227"/>
      <c r="E22" s="4227"/>
      <c r="F22" s="4228"/>
    </row>
    <row r="23" spans="1:6" s="1352" customFormat="1" ht="22.5">
      <c r="A23" s="1366"/>
      <c r="B23" s="4229"/>
      <c r="C23" s="4230"/>
      <c r="D23" s="1367"/>
      <c r="E23" s="3177" t="s">
        <v>12716</v>
      </c>
      <c r="F23" s="1368"/>
    </row>
    <row r="24" spans="1:6">
      <c r="B24" s="1354"/>
      <c r="C24" s="1354"/>
      <c r="D24" s="1354"/>
      <c r="E24" s="1354"/>
      <c r="F24" s="1354"/>
    </row>
    <row r="25" spans="1:6">
      <c r="B25" s="1354"/>
      <c r="C25" s="1354"/>
      <c r="D25" s="1354"/>
      <c r="E25" s="1354"/>
      <c r="F25" s="1354"/>
    </row>
    <row r="26" spans="1:6">
      <c r="B26" s="1354"/>
      <c r="C26" s="1354"/>
      <c r="D26" s="1354"/>
      <c r="E26" s="1354"/>
      <c r="F26" s="1354"/>
    </row>
    <row r="27" spans="1:6">
      <c r="B27" s="1354"/>
      <c r="C27" s="1354"/>
      <c r="D27" s="1354"/>
      <c r="E27" s="1354"/>
      <c r="F27" s="1354"/>
    </row>
    <row r="28" spans="1:6">
      <c r="B28" s="1354"/>
      <c r="C28" s="1354"/>
      <c r="D28" s="1354"/>
      <c r="E28" s="1354"/>
      <c r="F28" s="1354"/>
    </row>
    <row r="29" spans="1:6">
      <c r="B29" s="1354"/>
      <c r="C29" s="1354"/>
      <c r="D29" s="1354"/>
      <c r="E29" s="1354"/>
      <c r="F29" s="1354"/>
    </row>
    <row r="30" spans="1:6">
      <c r="B30" s="1354"/>
      <c r="C30" s="1354"/>
      <c r="D30" s="1354"/>
      <c r="E30" s="1354"/>
      <c r="F30" s="1354"/>
    </row>
    <row r="31" spans="1:6">
      <c r="B31" s="1354"/>
      <c r="C31" s="1354"/>
      <c r="D31" s="1354"/>
      <c r="E31" s="1354"/>
      <c r="F31" s="1354"/>
    </row>
    <row r="32" spans="1:6">
      <c r="B32" s="1354"/>
      <c r="C32" s="1354"/>
      <c r="D32" s="1354"/>
      <c r="E32" s="1354"/>
      <c r="F32" s="1354"/>
    </row>
    <row r="33" spans="2:6">
      <c r="B33" s="1354"/>
      <c r="C33" s="1354"/>
      <c r="D33" s="1354"/>
      <c r="E33" s="1354"/>
      <c r="F33" s="1354"/>
    </row>
    <row r="34" spans="2:6">
      <c r="B34" s="1354"/>
      <c r="C34" s="1354"/>
      <c r="D34" s="1354"/>
      <c r="E34" s="1354"/>
      <c r="F34" s="1354"/>
    </row>
    <row r="35" spans="2:6">
      <c r="B35" s="1354"/>
      <c r="C35" s="1354"/>
      <c r="D35" s="1354"/>
      <c r="E35" s="1354"/>
      <c r="F35" s="1354"/>
    </row>
    <row r="36" spans="2:6">
      <c r="B36" s="1354"/>
      <c r="C36" s="1354"/>
      <c r="D36" s="1354"/>
      <c r="E36" s="1354"/>
      <c r="F36" s="1354"/>
    </row>
    <row r="37" spans="2:6">
      <c r="B37" s="1354"/>
      <c r="C37" s="1354"/>
      <c r="D37" s="1354"/>
      <c r="E37" s="1354"/>
    </row>
    <row r="38" spans="2:6">
      <c r="B38" s="1354"/>
      <c r="C38" s="1354"/>
      <c r="D38" s="1354"/>
      <c r="E38" s="1354"/>
    </row>
  </sheetData>
  <mergeCells count="7">
    <mergeCell ref="B22:F22"/>
    <mergeCell ref="B23:C23"/>
    <mergeCell ref="B2:C2"/>
    <mergeCell ref="B7:C7"/>
    <mergeCell ref="B11:C11"/>
    <mergeCell ref="B17:C17"/>
    <mergeCell ref="B21:C21"/>
  </mergeCells>
  <phoneticPr fontId="378" type="noConversion"/>
  <hyperlinks>
    <hyperlink ref="E23" location="总目录!A1" display="总目录!A1"/>
  </hyperlinks>
  <printOptions horizontalCentered="1"/>
  <pageMargins left="0.75" right="0.75" top="0.97916666666666696" bottom="0.97916666666666696" header="0.50902777777777797" footer="0.50902777777777797"/>
  <pageSetup paperSize="9" scale="85" orientation="portrait" r:id="rId1"/>
  <headerFooter alignWithMargins="0">
    <oddHeader>&amp;L&amp;A
参考书目:机械手册Ⅰ、机械手册Ⅱ</oddHead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4"/>
  <sheetViews>
    <sheetView view="pageBreakPreview" topLeftCell="A7" zoomScaleNormal="100" zoomScaleSheetLayoutView="100" workbookViewId="0">
      <selection activeCell="K3" sqref="K3"/>
    </sheetView>
  </sheetViews>
  <sheetFormatPr defaultColWidth="8.125" defaultRowHeight="14.25"/>
  <cols>
    <col min="1" max="1" width="5.125" style="1324" customWidth="1"/>
    <col min="2" max="2" width="6.75" style="1324" customWidth="1"/>
    <col min="3" max="3" width="25.25" style="1324" customWidth="1"/>
    <col min="4" max="4" width="22.25" style="1324" customWidth="1"/>
    <col min="5" max="5" width="15.75" style="1324" customWidth="1"/>
    <col min="6" max="16384" width="8.125" style="1324"/>
  </cols>
  <sheetData>
    <row r="1" spans="1:6" s="1322" customFormat="1" ht="20.100000000000001" customHeight="1">
      <c r="A1" s="1325" t="s">
        <v>9825</v>
      </c>
      <c r="B1" s="1326" t="s">
        <v>9826</v>
      </c>
      <c r="C1" s="1326" t="s">
        <v>9827</v>
      </c>
      <c r="D1" s="1327" t="s">
        <v>9729</v>
      </c>
      <c r="E1" s="1327" t="s">
        <v>9730</v>
      </c>
      <c r="F1" s="1328" t="s">
        <v>6394</v>
      </c>
    </row>
    <row r="2" spans="1:6" s="1322" customFormat="1" ht="20.100000000000001" customHeight="1">
      <c r="A2" s="1343"/>
      <c r="B2" s="1344"/>
      <c r="C2" s="1344" t="s">
        <v>9828</v>
      </c>
      <c r="D2" s="1345" t="s">
        <v>9829</v>
      </c>
      <c r="E2" s="1346"/>
      <c r="F2" s="1347"/>
    </row>
    <row r="3" spans="1:6" s="1322" customFormat="1" ht="20.100000000000001" customHeight="1">
      <c r="A3" s="1329"/>
      <c r="B3" s="1330" t="s">
        <v>9731</v>
      </c>
      <c r="C3" s="1330" t="s">
        <v>9732</v>
      </c>
      <c r="D3" s="1331"/>
      <c r="E3" s="1331"/>
      <c r="F3" s="1332"/>
    </row>
    <row r="4" spans="1:6" s="1322" customFormat="1" ht="20.100000000000001" customHeight="1">
      <c r="A4" s="2808" t="s">
        <v>6704</v>
      </c>
      <c r="B4" s="1334" t="s">
        <v>5932</v>
      </c>
      <c r="C4" s="1348" t="s">
        <v>9830</v>
      </c>
      <c r="D4" s="1334"/>
      <c r="E4" s="1334">
        <v>5000</v>
      </c>
      <c r="F4" s="1335" t="s">
        <v>6109</v>
      </c>
    </row>
    <row r="5" spans="1:6" s="1322" customFormat="1" ht="20.100000000000001" customHeight="1">
      <c r="A5" s="2808" t="s">
        <v>7334</v>
      </c>
      <c r="B5" s="1334" t="s">
        <v>6565</v>
      </c>
      <c r="C5" s="1348" t="s">
        <v>9831</v>
      </c>
      <c r="D5" s="1334"/>
      <c r="E5" s="1334">
        <v>10</v>
      </c>
      <c r="F5" s="1335" t="s">
        <v>2040</v>
      </c>
    </row>
    <row r="6" spans="1:6" s="1322" customFormat="1" ht="20.100000000000001" customHeight="1">
      <c r="A6" s="2808" t="s">
        <v>7335</v>
      </c>
      <c r="B6" s="1334" t="s">
        <v>6644</v>
      </c>
      <c r="C6" s="1348" t="s">
        <v>9832</v>
      </c>
      <c r="D6" s="1334"/>
      <c r="E6" s="1334">
        <v>5</v>
      </c>
      <c r="F6" s="1349" t="s">
        <v>9833</v>
      </c>
    </row>
    <row r="7" spans="1:6" s="1322" customFormat="1" ht="20.100000000000001" customHeight="1">
      <c r="A7" s="1329"/>
      <c r="B7" s="1330" t="s">
        <v>9757</v>
      </c>
      <c r="C7" s="1330" t="s">
        <v>9758</v>
      </c>
      <c r="D7" s="1331"/>
      <c r="E7" s="1331"/>
      <c r="F7" s="1332"/>
    </row>
    <row r="8" spans="1:6" s="1322" customFormat="1" ht="20.100000000000001" customHeight="1">
      <c r="A8" s="2808" t="s">
        <v>7336</v>
      </c>
      <c r="B8" s="1334" t="s">
        <v>6554</v>
      </c>
      <c r="C8" s="1348" t="s">
        <v>9834</v>
      </c>
      <c r="D8" s="1334" t="s">
        <v>9835</v>
      </c>
      <c r="E8" s="1334">
        <f>4*E4/(PI()*E5^2*E6)</f>
        <v>12.7323954473516</v>
      </c>
      <c r="F8" s="1335" t="s">
        <v>9493</v>
      </c>
    </row>
    <row r="9" spans="1:6" s="1322" customFormat="1" ht="39.75" customHeight="1">
      <c r="A9" s="2808" t="s">
        <v>7337</v>
      </c>
      <c r="B9" s="1334" t="s">
        <v>9836</v>
      </c>
      <c r="C9" s="1348" t="s">
        <v>9837</v>
      </c>
      <c r="D9" s="1350" t="s">
        <v>9838</v>
      </c>
      <c r="E9" s="1334"/>
      <c r="F9" s="1335"/>
    </row>
    <row r="10" spans="1:6" s="1322" customFormat="1" ht="20.100000000000001" customHeight="1">
      <c r="A10" s="1329"/>
      <c r="B10" s="1330" t="s">
        <v>9553</v>
      </c>
      <c r="C10" s="1330" t="s">
        <v>9839</v>
      </c>
      <c r="D10" s="1331"/>
      <c r="E10" s="1331"/>
      <c r="F10" s="1332"/>
    </row>
    <row r="11" spans="1:6" s="1322" customFormat="1" ht="20.100000000000001" customHeight="1">
      <c r="A11" s="1333"/>
      <c r="B11" s="1334"/>
      <c r="C11" s="1334" t="s">
        <v>9840</v>
      </c>
      <c r="D11" s="1334"/>
      <c r="E11" s="1334"/>
      <c r="F11" s="1349" t="s">
        <v>9598</v>
      </c>
    </row>
    <row r="12" spans="1:6" s="1322" customFormat="1" ht="20.100000000000001" customHeight="1">
      <c r="A12" s="1333"/>
      <c r="B12" s="1334"/>
      <c r="C12" s="1348"/>
      <c r="D12" s="1334"/>
      <c r="E12" s="1334"/>
      <c r="F12" s="1335"/>
    </row>
    <row r="13" spans="1:6" s="1322" customFormat="1" ht="20.100000000000001" customHeight="1">
      <c r="A13" s="1343"/>
      <c r="B13" s="1344"/>
      <c r="C13" s="1344" t="s">
        <v>9841</v>
      </c>
      <c r="D13" s="1345" t="s">
        <v>9842</v>
      </c>
      <c r="E13" s="1346"/>
      <c r="F13" s="1347"/>
    </row>
    <row r="14" spans="1:6" s="1322" customFormat="1" ht="20.100000000000001" customHeight="1">
      <c r="A14" s="1329"/>
      <c r="B14" s="1330" t="s">
        <v>9731</v>
      </c>
      <c r="C14" s="1330" t="s">
        <v>9732</v>
      </c>
      <c r="D14" s="1331"/>
      <c r="E14" s="1331"/>
      <c r="F14" s="1332"/>
    </row>
    <row r="15" spans="1:6" s="1322" customFormat="1" ht="20.100000000000001" customHeight="1">
      <c r="A15" s="2808" t="s">
        <v>6704</v>
      </c>
      <c r="B15" s="1334" t="s">
        <v>6436</v>
      </c>
      <c r="C15" s="1348" t="s">
        <v>9843</v>
      </c>
      <c r="D15" s="1334"/>
      <c r="E15" s="1334">
        <v>5000</v>
      </c>
      <c r="F15" s="1335" t="s">
        <v>9844</v>
      </c>
    </row>
    <row r="16" spans="1:6" s="1322" customFormat="1" ht="20.100000000000001" customHeight="1">
      <c r="A16" s="2808" t="s">
        <v>7334</v>
      </c>
      <c r="B16" s="1334" t="s">
        <v>4554</v>
      </c>
      <c r="C16" s="1348" t="s">
        <v>9845</v>
      </c>
      <c r="D16" s="1334"/>
      <c r="E16" s="1334">
        <v>100</v>
      </c>
      <c r="F16" s="1335" t="s">
        <v>2040</v>
      </c>
    </row>
    <row r="17" spans="1:15" s="1322" customFormat="1" ht="20.100000000000001" customHeight="1">
      <c r="A17" s="2808" t="s">
        <v>7335</v>
      </c>
      <c r="B17" s="1334" t="s">
        <v>6565</v>
      </c>
      <c r="C17" s="1348" t="s">
        <v>9831</v>
      </c>
      <c r="D17" s="1334"/>
      <c r="E17" s="1334">
        <v>5</v>
      </c>
      <c r="F17" s="1335" t="s">
        <v>2040</v>
      </c>
    </row>
    <row r="18" spans="1:15" s="1322" customFormat="1" ht="20.100000000000001" customHeight="1">
      <c r="A18" s="2808" t="s">
        <v>7336</v>
      </c>
      <c r="B18" s="1334" t="s">
        <v>6492</v>
      </c>
      <c r="C18" s="1348" t="s">
        <v>9846</v>
      </c>
      <c r="D18" s="1334"/>
      <c r="E18" s="1334">
        <v>50</v>
      </c>
      <c r="F18" s="1335" t="s">
        <v>2040</v>
      </c>
    </row>
    <row r="19" spans="1:15" s="1322" customFormat="1" ht="20.100000000000001" customHeight="1">
      <c r="A19" s="1329"/>
      <c r="B19" s="1330" t="s">
        <v>9757</v>
      </c>
      <c r="C19" s="1330" t="s">
        <v>9758</v>
      </c>
      <c r="D19" s="1331"/>
      <c r="E19" s="1331"/>
      <c r="F19" s="1332"/>
    </row>
    <row r="20" spans="1:15" s="1322" customFormat="1" ht="20.100000000000001" customHeight="1">
      <c r="A20" s="2808" t="s">
        <v>7336</v>
      </c>
      <c r="B20" s="1334" t="s">
        <v>9847</v>
      </c>
      <c r="C20" s="1348" t="s">
        <v>9848</v>
      </c>
      <c r="D20" s="1334" t="s">
        <v>9849</v>
      </c>
      <c r="E20" s="1334">
        <f>4*E15/(E16*E17*E18)</f>
        <v>0.8</v>
      </c>
      <c r="F20" s="1335" t="s">
        <v>9493</v>
      </c>
    </row>
    <row r="21" spans="1:15" s="1322" customFormat="1" ht="39.75" customHeight="1">
      <c r="A21" s="2808" t="s">
        <v>7337</v>
      </c>
      <c r="B21" s="1334" t="s">
        <v>9850</v>
      </c>
      <c r="C21" s="1348" t="s">
        <v>9851</v>
      </c>
      <c r="D21" s="1351" t="s">
        <v>9852</v>
      </c>
      <c r="E21" s="1334"/>
      <c r="F21" s="1335" t="s">
        <v>9493</v>
      </c>
    </row>
    <row r="22" spans="1:15" s="1322" customFormat="1" ht="20.100000000000001" customHeight="1">
      <c r="A22" s="2808" t="s">
        <v>7336</v>
      </c>
      <c r="B22" s="1334" t="s">
        <v>6554</v>
      </c>
      <c r="C22" s="1348" t="s">
        <v>9834</v>
      </c>
      <c r="D22" s="1334" t="s">
        <v>9853</v>
      </c>
      <c r="E22" s="1334">
        <f>2*E15/(E16*E17*E18)</f>
        <v>0.4</v>
      </c>
      <c r="F22" s="1335" t="s">
        <v>9493</v>
      </c>
    </row>
    <row r="23" spans="1:15" s="1322" customFormat="1" ht="39.75" customHeight="1">
      <c r="A23" s="2808" t="s">
        <v>7337</v>
      </c>
      <c r="B23" s="1334" t="s">
        <v>9836</v>
      </c>
      <c r="C23" s="1348" t="s">
        <v>9837</v>
      </c>
      <c r="D23" s="1350" t="s">
        <v>9838</v>
      </c>
      <c r="E23" s="1334"/>
      <c r="F23" s="1335"/>
    </row>
    <row r="24" spans="1:15" s="1322" customFormat="1" ht="18.75" customHeight="1">
      <c r="A24" s="1329"/>
      <c r="B24" s="1330" t="s">
        <v>9553</v>
      </c>
      <c r="C24" s="1330" t="s">
        <v>9839</v>
      </c>
      <c r="D24" s="1331"/>
      <c r="E24" s="1331"/>
      <c r="F24" s="1332"/>
    </row>
    <row r="25" spans="1:15" s="1322" customFormat="1" ht="20.100000000000001" customHeight="1">
      <c r="A25" s="1333"/>
      <c r="B25" s="1334"/>
      <c r="C25" s="1334" t="s">
        <v>9854</v>
      </c>
      <c r="D25" s="1334"/>
      <c r="E25" s="1334"/>
      <c r="F25" s="1335" t="s">
        <v>9560</v>
      </c>
    </row>
    <row r="26" spans="1:15" s="1322" customFormat="1" ht="20.100000000000001" customHeight="1">
      <c r="A26" s="1333"/>
      <c r="B26" s="1334"/>
      <c r="C26" s="1334" t="s">
        <v>9840</v>
      </c>
      <c r="D26" s="1334"/>
      <c r="E26" s="1334"/>
      <c r="F26" s="1335" t="s">
        <v>9560</v>
      </c>
    </row>
    <row r="27" spans="1:15" s="1322" customFormat="1" ht="20.100000000000001" customHeight="1">
      <c r="A27" s="1333"/>
      <c r="B27" s="1334"/>
      <c r="C27" s="1348"/>
      <c r="D27" s="1334"/>
      <c r="E27" s="1334"/>
      <c r="F27" s="1335"/>
    </row>
    <row r="28" spans="1:15" s="1322" customFormat="1" ht="20.100000000000001" customHeight="1">
      <c r="A28" s="1333"/>
      <c r="B28" s="1334"/>
      <c r="C28" s="1348"/>
      <c r="D28" s="1334"/>
      <c r="E28" s="1334"/>
      <c r="F28" s="1335"/>
    </row>
    <row r="29" spans="1:15">
      <c r="B29" s="1336"/>
      <c r="C29" s="1336"/>
      <c r="D29" s="1336"/>
      <c r="E29" s="1336"/>
      <c r="F29" s="1336"/>
      <c r="G29" s="1336"/>
      <c r="H29" s="1336"/>
      <c r="I29" s="1336"/>
      <c r="J29" s="1336"/>
      <c r="K29" s="1336"/>
      <c r="L29" s="1336"/>
      <c r="M29" s="1336"/>
      <c r="N29" s="1336"/>
      <c r="O29" s="1323"/>
    </row>
    <row r="30" spans="1:15">
      <c r="B30" s="1336"/>
      <c r="C30" s="1336"/>
      <c r="D30" s="1336"/>
      <c r="E30" s="1336"/>
      <c r="F30" s="1336"/>
      <c r="G30" s="1336"/>
      <c r="H30" s="1336"/>
      <c r="I30" s="1336"/>
      <c r="J30" s="1336"/>
      <c r="K30" s="1336"/>
      <c r="L30" s="1336"/>
      <c r="M30" s="1336"/>
      <c r="N30" s="1336"/>
      <c r="O30" s="1323"/>
    </row>
    <row r="31" spans="1:15">
      <c r="B31" s="1336"/>
      <c r="C31" s="1336"/>
      <c r="D31" s="1336"/>
      <c r="E31" s="1336"/>
      <c r="F31" s="1336"/>
      <c r="G31" s="1336"/>
      <c r="H31" s="1336"/>
      <c r="I31" s="1336"/>
      <c r="J31" s="1336"/>
      <c r="K31" s="1336"/>
      <c r="L31" s="1336"/>
      <c r="M31" s="1336"/>
      <c r="N31" s="1336"/>
      <c r="O31" s="1323"/>
    </row>
    <row r="32" spans="1:15">
      <c r="B32" s="1336"/>
      <c r="C32" s="1336"/>
      <c r="D32" s="1336"/>
      <c r="E32" s="1336"/>
      <c r="F32" s="1336"/>
      <c r="G32" s="1336"/>
      <c r="H32" s="1336"/>
      <c r="I32" s="1336"/>
      <c r="J32" s="1336"/>
      <c r="K32" s="1336"/>
      <c r="L32" s="1336"/>
      <c r="M32" s="1336"/>
      <c r="N32" s="1336"/>
      <c r="O32" s="1323"/>
    </row>
    <row r="33" spans="2:15">
      <c r="B33" s="1336"/>
      <c r="C33" s="1336"/>
      <c r="D33" s="1336"/>
      <c r="E33" s="1336"/>
      <c r="F33" s="1336"/>
      <c r="G33" s="1336"/>
      <c r="H33" s="1336"/>
      <c r="I33" s="1336"/>
      <c r="J33" s="1336"/>
      <c r="K33" s="1336"/>
      <c r="L33" s="1336"/>
      <c r="M33" s="1336"/>
      <c r="N33" s="1336"/>
      <c r="O33" s="1323"/>
    </row>
    <row r="34" spans="2:15">
      <c r="B34" s="1336"/>
      <c r="C34" s="1336"/>
      <c r="D34" s="1336"/>
      <c r="E34" s="1336"/>
      <c r="F34" s="1336"/>
      <c r="G34" s="1336"/>
      <c r="H34" s="1336"/>
      <c r="I34" s="1336"/>
      <c r="J34" s="1336"/>
      <c r="K34" s="1336"/>
      <c r="L34" s="1336"/>
      <c r="M34" s="1336"/>
      <c r="N34" s="1336"/>
      <c r="O34" s="1323"/>
    </row>
    <row r="35" spans="2:15">
      <c r="B35" s="1336"/>
      <c r="C35" s="1336"/>
      <c r="D35" s="1336"/>
      <c r="E35" s="1336"/>
      <c r="F35" s="1336"/>
      <c r="G35" s="1336"/>
      <c r="H35" s="1336"/>
      <c r="I35" s="1336"/>
      <c r="J35" s="1336"/>
      <c r="K35" s="1336"/>
      <c r="L35" s="1336"/>
      <c r="M35" s="1336"/>
      <c r="N35" s="1336"/>
      <c r="O35" s="1323"/>
    </row>
    <row r="36" spans="2:15">
      <c r="B36" s="1336"/>
      <c r="C36" s="1336"/>
      <c r="D36" s="1336"/>
      <c r="E36" s="1336"/>
      <c r="F36" s="1336"/>
      <c r="G36" s="1336"/>
      <c r="H36" s="1336"/>
      <c r="I36" s="1336"/>
      <c r="J36" s="1336"/>
      <c r="K36" s="1336"/>
      <c r="L36" s="1336"/>
      <c r="M36" s="1336"/>
      <c r="N36" s="1336"/>
      <c r="O36" s="1323"/>
    </row>
    <row r="37" spans="2:15">
      <c r="B37" s="1336"/>
      <c r="C37" s="1336"/>
      <c r="D37" s="1336"/>
      <c r="E37" s="1336"/>
      <c r="F37" s="1336"/>
      <c r="G37" s="1336"/>
      <c r="H37" s="1336"/>
      <c r="I37" s="1336"/>
      <c r="J37" s="1336"/>
      <c r="K37" s="1336"/>
      <c r="L37" s="1336"/>
      <c r="M37" s="1336"/>
      <c r="N37" s="1336"/>
      <c r="O37" s="1323"/>
    </row>
    <row r="38" spans="2:15">
      <c r="B38" s="1341"/>
      <c r="C38" s="1342"/>
      <c r="D38" s="1342"/>
      <c r="E38" s="1342"/>
      <c r="F38" s="1342"/>
      <c r="G38" s="1342"/>
      <c r="H38" s="1342"/>
      <c r="I38" s="1342"/>
      <c r="J38" s="1342"/>
      <c r="K38" s="1342"/>
      <c r="L38" s="1342"/>
      <c r="M38" s="1342"/>
      <c r="N38" s="1342"/>
      <c r="O38" s="1323"/>
    </row>
    <row r="39" spans="2:15">
      <c r="B39" s="1341"/>
      <c r="C39" s="1342"/>
      <c r="D39" s="1342"/>
      <c r="E39" s="1342"/>
      <c r="F39" s="1342"/>
      <c r="G39" s="1342"/>
      <c r="H39" s="1342"/>
      <c r="I39" s="1342"/>
      <c r="J39" s="1342"/>
      <c r="K39" s="1342"/>
      <c r="L39" s="1342"/>
      <c r="M39" s="1342"/>
      <c r="N39" s="1342"/>
      <c r="O39" s="1323"/>
    </row>
    <row r="40" spans="2:15">
      <c r="B40" s="1341"/>
      <c r="C40" s="1342"/>
      <c r="D40" s="1342"/>
      <c r="E40" s="1342"/>
      <c r="F40" s="1342"/>
      <c r="G40" s="1342"/>
      <c r="H40" s="1342"/>
      <c r="I40" s="1342"/>
      <c r="J40" s="1342"/>
      <c r="K40" s="1342"/>
      <c r="L40" s="1342"/>
      <c r="M40" s="1342"/>
      <c r="N40" s="1342"/>
      <c r="O40" s="1323"/>
    </row>
    <row r="41" spans="2:15">
      <c r="B41" s="1341"/>
      <c r="C41" s="1342"/>
      <c r="D41" s="1342"/>
      <c r="E41" s="1342"/>
      <c r="F41" s="1342"/>
      <c r="G41" s="1342"/>
      <c r="H41" s="1342"/>
      <c r="I41" s="1342"/>
      <c r="J41" s="1342"/>
      <c r="K41" s="1342"/>
      <c r="L41" s="1342"/>
      <c r="M41" s="1342"/>
      <c r="N41" s="1342"/>
      <c r="O41" s="1323"/>
    </row>
    <row r="42" spans="2:15">
      <c r="B42" s="1341"/>
      <c r="C42" s="1342"/>
      <c r="D42" s="1342"/>
      <c r="E42" s="1342"/>
      <c r="F42" s="1342"/>
      <c r="G42" s="1342"/>
      <c r="H42" s="1342"/>
      <c r="I42" s="1342"/>
      <c r="J42" s="1342"/>
      <c r="K42" s="1342"/>
      <c r="L42" s="1342"/>
      <c r="M42" s="1342"/>
      <c r="N42" s="1342"/>
      <c r="O42" s="1323"/>
    </row>
    <row r="43" spans="2:15">
      <c r="B43" s="1341"/>
      <c r="C43" s="1342"/>
      <c r="D43" s="1342"/>
      <c r="E43" s="1342"/>
      <c r="F43" s="1342"/>
      <c r="G43" s="1342"/>
      <c r="H43" s="1342"/>
      <c r="I43" s="1342"/>
      <c r="J43" s="1342"/>
      <c r="K43" s="1342"/>
      <c r="L43" s="1342"/>
      <c r="M43" s="1342"/>
      <c r="N43" s="1342"/>
      <c r="O43" s="1323"/>
    </row>
    <row r="44" spans="2:15">
      <c r="G44" s="1341"/>
      <c r="H44" s="1341"/>
      <c r="I44" s="1341"/>
      <c r="J44" s="1341"/>
      <c r="K44" s="1341"/>
      <c r="L44" s="1341"/>
      <c r="M44" s="1341"/>
      <c r="N44" s="1341"/>
    </row>
  </sheetData>
  <phoneticPr fontId="378" type="noConversion"/>
  <pageMargins left="0.75" right="0.75" top="1" bottom="1" header="0.5" footer="0.5"/>
  <pageSetup paperSize="9"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
  <sheetViews>
    <sheetView view="pageBreakPreview" zoomScaleNormal="100" zoomScaleSheetLayoutView="100" workbookViewId="0">
      <selection activeCell="E22" sqref="E22"/>
    </sheetView>
  </sheetViews>
  <sheetFormatPr defaultColWidth="8.125" defaultRowHeight="14.25"/>
  <cols>
    <col min="1" max="1" width="5.125" style="1324" customWidth="1"/>
    <col min="2" max="2" width="6.75" style="1324" customWidth="1"/>
    <col min="3" max="3" width="25.25" style="1324" customWidth="1"/>
    <col min="4" max="4" width="20" style="1324" customWidth="1"/>
    <col min="5" max="5" width="15.75" style="1324" customWidth="1"/>
    <col min="6" max="6" width="8.125" style="1324"/>
    <col min="7" max="7" width="73.125" style="1324" customWidth="1"/>
    <col min="8" max="16384" width="8.125" style="1324"/>
  </cols>
  <sheetData>
    <row r="1" spans="1:16" s="1322" customFormat="1" ht="20.100000000000001" customHeight="1">
      <c r="A1" s="1325" t="s">
        <v>9825</v>
      </c>
      <c r="B1" s="1326" t="s">
        <v>9826</v>
      </c>
      <c r="C1" s="1326" t="s">
        <v>9827</v>
      </c>
      <c r="D1" s="1327" t="s">
        <v>9729</v>
      </c>
      <c r="E1" s="1327" t="s">
        <v>9730</v>
      </c>
      <c r="F1" s="1328" t="s">
        <v>6394</v>
      </c>
    </row>
    <row r="2" spans="1:16" s="1322" customFormat="1" ht="20.100000000000001" customHeight="1">
      <c r="A2" s="1329"/>
      <c r="B2" s="1330" t="s">
        <v>9731</v>
      </c>
      <c r="C2" s="1330" t="s">
        <v>9732</v>
      </c>
      <c r="D2" s="1331"/>
      <c r="E2" s="1331"/>
      <c r="F2" s="1332"/>
    </row>
    <row r="3" spans="1:16" s="1323" customFormat="1" ht="20.100000000000001" customHeight="1">
      <c r="A3" s="2808" t="s">
        <v>6704</v>
      </c>
      <c r="B3" s="1334" t="s">
        <v>6436</v>
      </c>
      <c r="C3" s="1334" t="s">
        <v>9855</v>
      </c>
      <c r="D3" s="1334"/>
      <c r="E3" s="1334">
        <v>50</v>
      </c>
      <c r="F3" s="1335" t="s">
        <v>9574</v>
      </c>
      <c r="G3" s="1336"/>
      <c r="H3" s="1336"/>
      <c r="I3" s="1336"/>
      <c r="J3" s="1336"/>
      <c r="K3" s="1336"/>
      <c r="L3" s="1336"/>
      <c r="M3" s="1336"/>
      <c r="N3" s="1336"/>
      <c r="O3" s="1336"/>
      <c r="P3" s="1336"/>
    </row>
    <row r="4" spans="1:16" s="1323" customFormat="1" ht="20.100000000000001" customHeight="1">
      <c r="A4" s="2808" t="s">
        <v>7334</v>
      </c>
      <c r="B4" s="1334" t="s">
        <v>6492</v>
      </c>
      <c r="C4" s="1334" t="s">
        <v>9856</v>
      </c>
      <c r="D4" s="1334"/>
      <c r="E4" s="1334">
        <v>50</v>
      </c>
      <c r="F4" s="1335" t="s">
        <v>2040</v>
      </c>
      <c r="G4" s="1336"/>
      <c r="H4" s="1336"/>
      <c r="I4" s="1336"/>
      <c r="J4" s="1336"/>
      <c r="K4" s="1336"/>
      <c r="L4" s="1336"/>
      <c r="M4" s="1336"/>
      <c r="N4" s="1336"/>
      <c r="O4" s="1336"/>
      <c r="P4" s="1336"/>
    </row>
    <row r="5" spans="1:16" s="1323" customFormat="1" ht="20.100000000000001" customHeight="1">
      <c r="A5" s="2808" t="s">
        <v>7335</v>
      </c>
      <c r="B5" s="1334" t="s">
        <v>5900</v>
      </c>
      <c r="C5" s="1334" t="s">
        <v>9857</v>
      </c>
      <c r="D5" s="1334"/>
      <c r="E5" s="1334">
        <v>20</v>
      </c>
      <c r="F5" s="1335" t="s">
        <v>2040</v>
      </c>
      <c r="G5" s="1336"/>
      <c r="H5" s="1336"/>
      <c r="I5" s="1336"/>
      <c r="J5" s="1336"/>
      <c r="K5" s="1336"/>
      <c r="L5" s="1336"/>
      <c r="M5" s="1336"/>
      <c r="N5" s="1336"/>
      <c r="O5" s="1336"/>
      <c r="P5" s="1336"/>
    </row>
    <row r="6" spans="1:16" s="1323" customFormat="1" ht="20.100000000000001" customHeight="1">
      <c r="A6" s="2808" t="s">
        <v>7336</v>
      </c>
      <c r="B6" s="1334" t="s">
        <v>9858</v>
      </c>
      <c r="C6" s="1334" t="s">
        <v>9859</v>
      </c>
      <c r="D6" s="1334" t="s">
        <v>9860</v>
      </c>
      <c r="E6" s="1334">
        <f>E4-E5</f>
        <v>30</v>
      </c>
      <c r="F6" s="1335" t="s">
        <v>2040</v>
      </c>
      <c r="G6" s="1336"/>
      <c r="H6" s="1336"/>
      <c r="I6" s="1336"/>
      <c r="J6" s="1336"/>
      <c r="K6" s="1336"/>
      <c r="L6" s="1336"/>
      <c r="M6" s="1336"/>
      <c r="N6" s="1336"/>
      <c r="O6" s="1336"/>
      <c r="P6" s="1336"/>
    </row>
    <row r="7" spans="1:16" s="1323" customFormat="1" ht="20.100000000000001" customHeight="1">
      <c r="A7" s="2808" t="s">
        <v>7337</v>
      </c>
      <c r="B7" s="1334" t="s">
        <v>4554</v>
      </c>
      <c r="C7" s="1334" t="s">
        <v>9861</v>
      </c>
      <c r="D7" s="1334"/>
      <c r="E7" s="1334">
        <v>30</v>
      </c>
      <c r="F7" s="1335" t="s">
        <v>2040</v>
      </c>
      <c r="G7" s="1336"/>
      <c r="H7" s="1336"/>
      <c r="I7" s="1336"/>
      <c r="J7" s="1336"/>
      <c r="K7" s="1336"/>
      <c r="L7" s="1336"/>
      <c r="M7" s="1336"/>
      <c r="N7" s="1336"/>
      <c r="O7" s="1336"/>
      <c r="P7" s="1336"/>
    </row>
    <row r="8" spans="1:16" s="1323" customFormat="1" ht="20.100000000000001" customHeight="1">
      <c r="A8" s="2808" t="s">
        <v>7338</v>
      </c>
      <c r="B8" s="1334" t="s">
        <v>8104</v>
      </c>
      <c r="C8" s="1334" t="s">
        <v>9862</v>
      </c>
      <c r="D8" s="1334"/>
      <c r="E8" s="1334">
        <v>10</v>
      </c>
      <c r="F8" s="1335" t="s">
        <v>2040</v>
      </c>
      <c r="G8" s="1336"/>
      <c r="H8" s="1336"/>
      <c r="I8" s="1336"/>
      <c r="J8" s="1336"/>
      <c r="K8" s="1336"/>
      <c r="L8" s="1336"/>
      <c r="M8" s="1336"/>
      <c r="N8" s="1336"/>
      <c r="O8" s="1336"/>
      <c r="P8" s="1336"/>
    </row>
    <row r="9" spans="1:16" s="1323" customFormat="1" ht="20.100000000000001" customHeight="1">
      <c r="A9" s="2808" t="s">
        <v>7339</v>
      </c>
      <c r="B9" s="1334" t="s">
        <v>9142</v>
      </c>
      <c r="C9" s="1334" t="s">
        <v>9863</v>
      </c>
      <c r="D9" s="1334" t="s">
        <v>9864</v>
      </c>
      <c r="E9" s="1334">
        <f>E8/2</f>
        <v>5</v>
      </c>
      <c r="F9" s="1335" t="s">
        <v>2040</v>
      </c>
      <c r="G9" s="1336"/>
      <c r="H9" s="1336"/>
      <c r="I9" s="1336"/>
      <c r="J9" s="1336"/>
      <c r="K9" s="1336"/>
      <c r="L9" s="1336"/>
      <c r="M9" s="1336"/>
      <c r="N9" s="1336"/>
      <c r="O9" s="1336"/>
      <c r="P9" s="1336"/>
    </row>
    <row r="10" spans="1:16" s="1323" customFormat="1" ht="20.100000000000001" customHeight="1">
      <c r="A10" s="2808" t="s">
        <v>6000</v>
      </c>
      <c r="B10" s="1334" t="s">
        <v>9865</v>
      </c>
      <c r="C10" s="1334" t="s">
        <v>9866</v>
      </c>
      <c r="D10" s="1334" t="s">
        <v>9852</v>
      </c>
      <c r="E10" s="1334">
        <v>40</v>
      </c>
      <c r="F10" s="1335" t="s">
        <v>9493</v>
      </c>
      <c r="G10" s="1336"/>
      <c r="H10" s="1336"/>
      <c r="I10" s="1336"/>
      <c r="J10" s="1336"/>
      <c r="K10" s="1336"/>
      <c r="L10" s="1336"/>
      <c r="M10" s="1336"/>
      <c r="N10" s="1336"/>
      <c r="O10" s="1336"/>
      <c r="P10" s="1336"/>
    </row>
    <row r="11" spans="1:16" s="1323" customFormat="1" ht="20.100000000000001" customHeight="1">
      <c r="A11" s="2808" t="s">
        <v>6003</v>
      </c>
      <c r="B11" s="1334" t="s">
        <v>9814</v>
      </c>
      <c r="C11" s="1334" t="s">
        <v>9867</v>
      </c>
      <c r="D11" s="1334" t="s">
        <v>9852</v>
      </c>
      <c r="E11" s="1334">
        <v>90</v>
      </c>
      <c r="F11" s="1335" t="s">
        <v>966</v>
      </c>
      <c r="G11" s="1336"/>
      <c r="H11" s="1336"/>
      <c r="I11" s="1336"/>
      <c r="J11" s="1336"/>
      <c r="K11" s="1336"/>
      <c r="L11" s="1336"/>
      <c r="M11" s="1336"/>
      <c r="N11" s="1336"/>
      <c r="O11" s="1336"/>
      <c r="P11" s="1336"/>
    </row>
    <row r="12" spans="1:16" s="1322" customFormat="1" ht="20.100000000000001" customHeight="1">
      <c r="A12" s="1329"/>
      <c r="B12" s="1330" t="s">
        <v>9757</v>
      </c>
      <c r="C12" s="1330" t="s">
        <v>9758</v>
      </c>
      <c r="D12" s="1331"/>
      <c r="E12" s="1331"/>
      <c r="F12" s="1332"/>
    </row>
    <row r="13" spans="1:16" s="1323" customFormat="1" ht="20.100000000000001" customHeight="1">
      <c r="A13" s="2808" t="s">
        <v>287</v>
      </c>
      <c r="B13" s="1334" t="s">
        <v>6370</v>
      </c>
      <c r="C13" s="1334" t="s">
        <v>9868</v>
      </c>
      <c r="D13" s="1334" t="s">
        <v>9869</v>
      </c>
      <c r="E13" s="1334">
        <f>2*E3*1000/(E7*E9*E6)</f>
        <v>22.2222222222222</v>
      </c>
      <c r="F13" s="1335" t="s">
        <v>9493</v>
      </c>
      <c r="G13" s="1336"/>
      <c r="H13" s="1336"/>
      <c r="I13" s="1336"/>
      <c r="J13" s="1336"/>
      <c r="K13" s="1336"/>
      <c r="L13" s="1336"/>
      <c r="M13" s="1336"/>
      <c r="N13" s="1336"/>
      <c r="O13" s="1336"/>
      <c r="P13" s="1336"/>
    </row>
    <row r="14" spans="1:16" s="1323" customFormat="1" ht="20.100000000000001" customHeight="1">
      <c r="A14" s="2808" t="s">
        <v>7340</v>
      </c>
      <c r="B14" s="1334" t="s">
        <v>6554</v>
      </c>
      <c r="C14" s="1334" t="s">
        <v>9870</v>
      </c>
      <c r="D14" s="1334" t="s">
        <v>9871</v>
      </c>
      <c r="E14" s="1334">
        <f>2*E3*1000/(E7*E5*E6)</f>
        <v>5.5555555555555598</v>
      </c>
      <c r="F14" s="1335" t="s">
        <v>966</v>
      </c>
      <c r="G14" s="1336"/>
      <c r="H14" s="1336"/>
      <c r="I14" s="1336"/>
      <c r="J14" s="1336"/>
      <c r="K14" s="1336"/>
      <c r="L14" s="1336"/>
      <c r="M14" s="1336"/>
      <c r="N14" s="1336"/>
      <c r="O14" s="1336"/>
      <c r="P14" s="1336"/>
    </row>
    <row r="15" spans="1:16" s="1322" customFormat="1" ht="20.100000000000001" customHeight="1">
      <c r="A15" s="1329"/>
      <c r="B15" s="1330" t="s">
        <v>9553</v>
      </c>
      <c r="C15" s="1330" t="s">
        <v>9839</v>
      </c>
      <c r="D15" s="1331"/>
      <c r="E15" s="1331"/>
      <c r="F15" s="1332"/>
    </row>
    <row r="16" spans="1:16" s="1323" customFormat="1" ht="20.100000000000001" customHeight="1">
      <c r="A16" s="2808" t="s">
        <v>7341</v>
      </c>
      <c r="B16" s="1334"/>
      <c r="C16" s="1334" t="s">
        <v>9872</v>
      </c>
      <c r="D16" s="1334"/>
      <c r="E16" s="1334"/>
      <c r="F16" s="1335" t="s">
        <v>9560</v>
      </c>
      <c r="G16" s="1336"/>
      <c r="H16" s="1336"/>
      <c r="I16" s="1336"/>
      <c r="J16" s="1336"/>
      <c r="K16" s="1336"/>
      <c r="L16" s="1336"/>
      <c r="M16" s="1336"/>
      <c r="N16" s="1336"/>
      <c r="O16" s="1336"/>
      <c r="P16" s="1336"/>
    </row>
    <row r="17" spans="1:17" s="1323" customFormat="1" ht="20.100000000000001" customHeight="1">
      <c r="A17" s="2808" t="s">
        <v>7397</v>
      </c>
      <c r="B17" s="1334"/>
      <c r="C17" s="1334" t="s">
        <v>9873</v>
      </c>
      <c r="D17" s="1334"/>
      <c r="E17" s="1334"/>
      <c r="F17" s="1335" t="s">
        <v>9560</v>
      </c>
      <c r="G17" s="1336"/>
      <c r="H17" s="1336"/>
      <c r="I17" s="1336"/>
      <c r="J17" s="1336"/>
      <c r="K17" s="1336"/>
      <c r="L17" s="1336"/>
      <c r="M17" s="1336"/>
      <c r="N17" s="1336"/>
      <c r="O17" s="1336"/>
      <c r="P17" s="1336"/>
    </row>
    <row r="18" spans="1:17" s="1323" customFormat="1" ht="20.100000000000001" customHeight="1">
      <c r="A18" s="1337"/>
      <c r="B18" s="1338"/>
      <c r="C18" s="1338"/>
      <c r="D18" s="1338"/>
      <c r="E18" s="1338"/>
      <c r="F18" s="1339"/>
      <c r="G18" s="1336"/>
      <c r="H18" s="1336"/>
      <c r="I18" s="1336"/>
      <c r="J18" s="1336"/>
      <c r="K18" s="1336"/>
      <c r="L18" s="1336"/>
      <c r="M18" s="1336"/>
      <c r="N18" s="1336"/>
      <c r="O18" s="1336"/>
      <c r="P18" s="1336"/>
    </row>
    <row r="19" spans="1:17" s="1323" customFormat="1" ht="20.100000000000001" customHeight="1">
      <c r="A19" s="1337"/>
      <c r="B19" s="1338"/>
      <c r="C19" s="1338"/>
      <c r="D19" s="1338"/>
      <c r="E19" s="1338"/>
      <c r="F19" s="1339"/>
      <c r="G19" s="1336"/>
      <c r="H19" s="1336"/>
      <c r="I19" s="1336"/>
      <c r="J19" s="1336"/>
      <c r="K19" s="1336"/>
      <c r="L19" s="1336"/>
      <c r="M19" s="1336"/>
      <c r="N19" s="1336"/>
      <c r="O19" s="1336"/>
      <c r="P19" s="1336"/>
    </row>
    <row r="20" spans="1:17" s="1323" customFormat="1" ht="20.100000000000001" customHeight="1">
      <c r="A20" s="1337"/>
      <c r="B20" s="1338"/>
      <c r="C20" s="1338"/>
      <c r="D20" s="1338"/>
      <c r="E20" s="1338"/>
      <c r="F20" s="1339"/>
      <c r="G20" s="1336"/>
      <c r="H20" s="1336"/>
      <c r="I20" s="1336"/>
      <c r="J20" s="1336"/>
      <c r="K20" s="1336"/>
      <c r="L20" s="1336"/>
      <c r="M20" s="1336"/>
      <c r="N20" s="1336"/>
      <c r="O20" s="1336"/>
      <c r="P20" s="1336"/>
    </row>
    <row r="21" spans="1:17" s="1323" customFormat="1" ht="20.100000000000001" customHeight="1">
      <c r="A21" s="1337"/>
      <c r="B21" s="1338"/>
      <c r="C21" s="1338"/>
      <c r="D21" s="1338"/>
      <c r="E21" s="1338"/>
      <c r="F21" s="1339"/>
      <c r="G21" s="1336"/>
      <c r="H21" s="1336"/>
      <c r="I21" s="1336"/>
      <c r="J21" s="1336"/>
      <c r="K21" s="1336"/>
      <c r="L21" s="1336"/>
      <c r="M21" s="1336"/>
      <c r="N21" s="1336"/>
      <c r="O21" s="1336"/>
      <c r="P21" s="1336"/>
    </row>
    <row r="22" spans="1:17" s="1323" customFormat="1" ht="20.100000000000001" customHeight="1">
      <c r="A22" s="1337"/>
      <c r="B22" s="1338"/>
      <c r="C22" s="1338"/>
      <c r="D22" s="1338"/>
      <c r="E22" s="3160" t="s">
        <v>12716</v>
      </c>
      <c r="F22" s="1339"/>
      <c r="G22" s="1336"/>
      <c r="H22" s="1336"/>
      <c r="I22" s="1336"/>
      <c r="J22" s="1336"/>
      <c r="K22" s="1336"/>
      <c r="L22" s="1336"/>
      <c r="M22" s="1336"/>
      <c r="N22" s="1336"/>
      <c r="O22" s="1336"/>
      <c r="P22" s="1336"/>
    </row>
    <row r="23" spans="1:17">
      <c r="A23" s="1340"/>
      <c r="B23" s="1336"/>
      <c r="C23" s="1336"/>
      <c r="D23" s="1336"/>
      <c r="E23" s="1336"/>
      <c r="F23" s="1336"/>
      <c r="G23" s="1336"/>
      <c r="H23" s="1336"/>
      <c r="I23" s="1336"/>
      <c r="J23" s="1336"/>
      <c r="K23" s="1336"/>
      <c r="L23" s="1336"/>
      <c r="M23" s="1336"/>
      <c r="N23" s="1336"/>
      <c r="O23" s="1336"/>
      <c r="P23" s="1336"/>
      <c r="Q23" s="1323"/>
    </row>
    <row r="24" spans="1:17">
      <c r="A24" s="1340"/>
      <c r="B24" s="1336"/>
      <c r="C24" s="1336"/>
      <c r="D24" s="1336"/>
      <c r="E24" s="1336"/>
      <c r="F24" s="1336"/>
      <c r="G24" s="1336"/>
      <c r="H24" s="1336"/>
      <c r="I24" s="1336"/>
      <c r="J24" s="1336"/>
      <c r="K24" s="1336"/>
      <c r="L24" s="1336"/>
      <c r="M24" s="1336"/>
      <c r="N24" s="1336"/>
      <c r="O24" s="1336"/>
      <c r="P24" s="1336"/>
      <c r="Q24" s="1323"/>
    </row>
    <row r="25" spans="1:17">
      <c r="B25" s="1336"/>
      <c r="C25" s="1336"/>
      <c r="D25" s="1336"/>
      <c r="E25" s="1336"/>
      <c r="F25" s="1336"/>
      <c r="G25" s="1336"/>
      <c r="H25" s="1336"/>
      <c r="I25" s="1336"/>
      <c r="J25" s="1336"/>
      <c r="K25" s="1336"/>
      <c r="L25" s="1336"/>
      <c r="M25" s="1336"/>
      <c r="N25" s="1336"/>
      <c r="O25" s="1336"/>
      <c r="P25" s="1336"/>
      <c r="Q25" s="1323"/>
    </row>
    <row r="26" spans="1:17">
      <c r="B26" s="1336"/>
      <c r="C26" s="1336"/>
      <c r="D26" s="1336"/>
      <c r="E26" s="1336"/>
      <c r="F26" s="1336"/>
      <c r="G26" s="1336"/>
      <c r="H26" s="1336"/>
      <c r="I26" s="1336"/>
      <c r="J26" s="1336"/>
      <c r="K26" s="1336"/>
      <c r="L26" s="1336"/>
      <c r="M26" s="1336"/>
      <c r="N26" s="1336"/>
      <c r="O26" s="1336"/>
      <c r="P26" s="1336"/>
      <c r="Q26" s="1323"/>
    </row>
    <row r="27" spans="1:17">
      <c r="B27" s="1336"/>
      <c r="C27" s="1336"/>
      <c r="D27" s="1336"/>
      <c r="E27" s="1336"/>
      <c r="F27" s="1336"/>
      <c r="G27" s="1336"/>
      <c r="H27" s="1336"/>
      <c r="I27" s="1336"/>
      <c r="J27" s="1336"/>
      <c r="K27" s="1336"/>
      <c r="L27" s="1336"/>
      <c r="M27" s="1336"/>
      <c r="N27" s="1336"/>
      <c r="O27" s="1336"/>
      <c r="P27" s="1336"/>
      <c r="Q27" s="1323"/>
    </row>
    <row r="28" spans="1:17">
      <c r="B28" s="1336"/>
      <c r="C28" s="1336"/>
      <c r="D28" s="1336"/>
      <c r="E28" s="1336"/>
      <c r="F28" s="1336"/>
      <c r="G28" s="1336"/>
      <c r="H28" s="1336"/>
      <c r="I28" s="1336"/>
      <c r="J28" s="1336"/>
      <c r="K28" s="1336"/>
      <c r="L28" s="1336"/>
      <c r="M28" s="1336"/>
      <c r="N28" s="1336"/>
      <c r="O28" s="1336"/>
      <c r="P28" s="1336"/>
      <c r="Q28" s="1323"/>
    </row>
    <row r="29" spans="1:17">
      <c r="B29" s="1336"/>
      <c r="C29" s="1336"/>
      <c r="D29" s="1336"/>
      <c r="E29" s="1336"/>
      <c r="F29" s="1336"/>
      <c r="G29" s="1336"/>
      <c r="H29" s="1336"/>
      <c r="I29" s="1336"/>
      <c r="J29" s="1336"/>
      <c r="K29" s="1336"/>
      <c r="L29" s="1336"/>
      <c r="M29" s="1336"/>
      <c r="N29" s="1336"/>
      <c r="O29" s="1336"/>
      <c r="P29" s="1336"/>
      <c r="Q29" s="1323"/>
    </row>
    <row r="30" spans="1:17">
      <c r="B30" s="1336"/>
      <c r="C30" s="1336"/>
      <c r="D30" s="1336"/>
      <c r="E30" s="1336"/>
      <c r="F30" s="1336"/>
      <c r="G30" s="1336"/>
      <c r="H30" s="1336"/>
      <c r="I30" s="1336"/>
      <c r="J30" s="1336"/>
      <c r="K30" s="1336"/>
      <c r="L30" s="1336"/>
      <c r="M30" s="1336"/>
      <c r="N30" s="1336"/>
      <c r="O30" s="1336"/>
      <c r="P30" s="1336"/>
      <c r="Q30" s="1323"/>
    </row>
    <row r="31" spans="1:17">
      <c r="B31" s="1336"/>
      <c r="C31" s="1336"/>
      <c r="D31" s="1336"/>
      <c r="E31" s="1336"/>
      <c r="F31" s="1336"/>
      <c r="G31" s="1336"/>
      <c r="H31" s="1336"/>
      <c r="I31" s="1336"/>
      <c r="J31" s="1336"/>
      <c r="K31" s="1336"/>
      <c r="L31" s="1336"/>
      <c r="M31" s="1336"/>
      <c r="N31" s="1336"/>
      <c r="O31" s="1336"/>
      <c r="P31" s="1336"/>
      <c r="Q31" s="1323"/>
    </row>
    <row r="32" spans="1:17">
      <c r="B32" s="1336"/>
      <c r="C32" s="1336"/>
      <c r="D32" s="1336"/>
      <c r="E32" s="1336"/>
      <c r="F32" s="1336"/>
      <c r="G32" s="1336"/>
      <c r="H32" s="1336"/>
      <c r="I32" s="1336"/>
      <c r="J32" s="1336"/>
      <c r="K32" s="1336"/>
      <c r="L32" s="1336"/>
      <c r="M32" s="1336"/>
      <c r="N32" s="1336"/>
      <c r="O32" s="1336"/>
      <c r="P32" s="1336"/>
      <c r="Q32" s="1323"/>
    </row>
    <row r="33" spans="2:17">
      <c r="B33" s="1336"/>
      <c r="C33" s="1336"/>
      <c r="D33" s="1336"/>
      <c r="E33" s="1336"/>
      <c r="F33" s="1336"/>
      <c r="G33" s="1336"/>
      <c r="H33" s="1336"/>
      <c r="I33" s="1336"/>
      <c r="J33" s="1336"/>
      <c r="K33" s="1336"/>
      <c r="L33" s="1336"/>
      <c r="M33" s="1336"/>
      <c r="N33" s="1336"/>
      <c r="O33" s="1336"/>
      <c r="P33" s="1336"/>
      <c r="Q33" s="1323"/>
    </row>
    <row r="34" spans="2:17">
      <c r="B34" s="1336"/>
      <c r="C34" s="1336"/>
      <c r="D34" s="1336"/>
      <c r="E34" s="1336"/>
      <c r="F34" s="1336"/>
      <c r="G34" s="1336"/>
      <c r="H34" s="1336"/>
      <c r="I34" s="1336"/>
      <c r="J34" s="1336"/>
      <c r="K34" s="1336"/>
      <c r="L34" s="1336"/>
      <c r="M34" s="1336"/>
      <c r="N34" s="1336"/>
      <c r="O34" s="1336"/>
      <c r="P34" s="1336"/>
      <c r="Q34" s="1323"/>
    </row>
    <row r="35" spans="2:17">
      <c r="B35" s="1336"/>
      <c r="C35" s="1336"/>
      <c r="D35" s="1336"/>
      <c r="E35" s="1336"/>
      <c r="F35" s="1336"/>
      <c r="G35" s="1336"/>
      <c r="H35" s="1336"/>
      <c r="I35" s="1336"/>
      <c r="J35" s="1336"/>
      <c r="K35" s="1336"/>
      <c r="L35" s="1336"/>
      <c r="M35" s="1336"/>
      <c r="N35" s="1336"/>
      <c r="O35" s="1336"/>
      <c r="P35" s="1336"/>
      <c r="Q35" s="1323"/>
    </row>
    <row r="36" spans="2:17">
      <c r="B36" s="1336"/>
      <c r="C36" s="1336"/>
      <c r="D36" s="1336"/>
      <c r="E36" s="1336"/>
      <c r="F36" s="1336"/>
      <c r="G36" s="1336"/>
      <c r="H36" s="1336"/>
      <c r="I36" s="1336"/>
      <c r="J36" s="1336"/>
      <c r="K36" s="1336"/>
      <c r="L36" s="1336"/>
      <c r="M36" s="1336"/>
      <c r="N36" s="1336"/>
      <c r="O36" s="1336"/>
      <c r="P36" s="1336"/>
      <c r="Q36" s="1323"/>
    </row>
    <row r="37" spans="2:17">
      <c r="B37" s="1336"/>
      <c r="C37" s="1336"/>
      <c r="D37" s="1336"/>
      <c r="E37" s="1336"/>
      <c r="F37" s="1336"/>
      <c r="G37" s="1336"/>
      <c r="H37" s="1336"/>
      <c r="I37" s="1336"/>
      <c r="J37" s="1336"/>
      <c r="K37" s="1336"/>
      <c r="L37" s="1336"/>
      <c r="M37" s="1336"/>
      <c r="N37" s="1336"/>
      <c r="O37" s="1336"/>
      <c r="P37" s="1336"/>
      <c r="Q37" s="1323"/>
    </row>
    <row r="38" spans="2:17">
      <c r="B38" s="1336"/>
      <c r="C38" s="1336"/>
      <c r="D38" s="1336"/>
      <c r="E38" s="1336"/>
      <c r="F38" s="1336"/>
      <c r="G38" s="1336"/>
      <c r="H38" s="1336"/>
      <c r="I38" s="1336"/>
      <c r="J38" s="1336"/>
      <c r="K38" s="1336"/>
      <c r="L38" s="1336"/>
      <c r="M38" s="1336"/>
      <c r="N38" s="1336"/>
      <c r="O38" s="1336"/>
      <c r="P38" s="1336"/>
      <c r="Q38" s="1323"/>
    </row>
    <row r="39" spans="2:17">
      <c r="B39" s="1336"/>
      <c r="C39" s="1336"/>
      <c r="D39" s="1336"/>
      <c r="E39" s="1336"/>
      <c r="F39" s="1336"/>
      <c r="G39" s="1336"/>
      <c r="H39" s="1336"/>
      <c r="I39" s="1336"/>
      <c r="J39" s="1336"/>
      <c r="K39" s="1336"/>
      <c r="L39" s="1336"/>
      <c r="M39" s="1336"/>
      <c r="N39" s="1336"/>
      <c r="O39" s="1336"/>
      <c r="P39" s="1336"/>
      <c r="Q39" s="1323"/>
    </row>
    <row r="40" spans="2:17">
      <c r="B40" s="1336"/>
      <c r="C40" s="1336"/>
      <c r="D40" s="1336"/>
      <c r="E40" s="1336"/>
      <c r="F40" s="1336"/>
      <c r="G40" s="1336"/>
      <c r="H40" s="1336"/>
      <c r="I40" s="1336"/>
      <c r="J40" s="1336"/>
      <c r="K40" s="1336"/>
      <c r="L40" s="1336"/>
      <c r="M40" s="1336"/>
      <c r="N40" s="1336"/>
      <c r="O40" s="1336"/>
      <c r="P40" s="1336"/>
      <c r="Q40" s="1323"/>
    </row>
    <row r="41" spans="2:17">
      <c r="B41" s="1336"/>
      <c r="C41" s="1336"/>
      <c r="D41" s="1336"/>
      <c r="E41" s="1336"/>
      <c r="F41" s="1336"/>
      <c r="G41" s="1336"/>
      <c r="H41" s="1336"/>
      <c r="I41" s="1336"/>
      <c r="J41" s="1336"/>
      <c r="K41" s="1336"/>
      <c r="L41" s="1336"/>
      <c r="M41" s="1336"/>
      <c r="N41" s="1336"/>
      <c r="O41" s="1336"/>
      <c r="P41" s="1336"/>
      <c r="Q41" s="1323"/>
    </row>
    <row r="42" spans="2:17">
      <c r="B42" s="1336"/>
      <c r="C42" s="1336"/>
      <c r="D42" s="1336"/>
      <c r="E42" s="1336"/>
      <c r="F42" s="1336"/>
      <c r="G42" s="1336"/>
      <c r="H42" s="1336"/>
      <c r="I42" s="1336"/>
      <c r="J42" s="1336"/>
      <c r="K42" s="1336"/>
      <c r="L42" s="1336"/>
      <c r="M42" s="1336"/>
      <c r="N42" s="1336"/>
      <c r="O42" s="1336"/>
      <c r="P42" s="1336"/>
      <c r="Q42" s="1323"/>
    </row>
    <row r="43" spans="2:17">
      <c r="B43" s="1336"/>
      <c r="C43" s="1336"/>
      <c r="D43" s="1336"/>
      <c r="E43" s="1336"/>
      <c r="F43" s="1336"/>
      <c r="G43" s="1336"/>
      <c r="H43" s="1336"/>
      <c r="I43" s="1336"/>
      <c r="J43" s="1336"/>
      <c r="K43" s="1336"/>
      <c r="L43" s="1336"/>
      <c r="M43" s="1336"/>
      <c r="N43" s="1336"/>
      <c r="O43" s="1336"/>
      <c r="P43" s="1336"/>
      <c r="Q43" s="1323"/>
    </row>
    <row r="44" spans="2:17">
      <c r="B44" s="1336"/>
      <c r="C44" s="1336"/>
      <c r="D44" s="1336"/>
      <c r="E44" s="1336"/>
      <c r="F44" s="1336"/>
      <c r="G44" s="1336"/>
      <c r="H44" s="1336"/>
      <c r="I44" s="1336"/>
      <c r="J44" s="1336"/>
      <c r="K44" s="1336"/>
      <c r="L44" s="1336"/>
      <c r="M44" s="1336"/>
      <c r="N44" s="1336"/>
      <c r="O44" s="1336"/>
      <c r="P44" s="1336"/>
      <c r="Q44" s="1323"/>
    </row>
    <row r="45" spans="2:17">
      <c r="B45" s="1336"/>
      <c r="C45" s="1336"/>
      <c r="D45" s="1336"/>
      <c r="E45" s="1336"/>
      <c r="F45" s="1336"/>
      <c r="G45" s="1336"/>
      <c r="H45" s="1336"/>
      <c r="I45" s="1336"/>
      <c r="J45" s="1336"/>
      <c r="K45" s="1336"/>
      <c r="L45" s="1336"/>
      <c r="M45" s="1336"/>
      <c r="N45" s="1336"/>
      <c r="O45" s="1336"/>
      <c r="P45" s="1336"/>
      <c r="Q45" s="1323"/>
    </row>
    <row r="46" spans="2:17">
      <c r="B46" s="1336"/>
      <c r="C46" s="1336"/>
      <c r="D46" s="1336"/>
      <c r="E46" s="1336"/>
      <c r="F46" s="1336"/>
      <c r="G46" s="1336"/>
      <c r="H46" s="1336"/>
      <c r="I46" s="1336"/>
      <c r="J46" s="1336"/>
      <c r="K46" s="1336"/>
      <c r="L46" s="1336"/>
      <c r="M46" s="1336"/>
      <c r="N46" s="1336"/>
      <c r="O46" s="1336"/>
      <c r="P46" s="1336"/>
      <c r="Q46" s="1323"/>
    </row>
    <row r="47" spans="2:17">
      <c r="B47" s="1336"/>
      <c r="C47" s="1336"/>
      <c r="D47" s="1336"/>
      <c r="E47" s="1336"/>
      <c r="F47" s="1336"/>
      <c r="G47" s="1336"/>
      <c r="H47" s="1336"/>
      <c r="I47" s="1336"/>
      <c r="J47" s="1336"/>
      <c r="K47" s="1336"/>
      <c r="L47" s="1336"/>
      <c r="M47" s="1336"/>
      <c r="N47" s="1336"/>
      <c r="O47" s="1336"/>
      <c r="P47" s="1336"/>
      <c r="Q47" s="1323"/>
    </row>
    <row r="48" spans="2:17">
      <c r="B48" s="1336"/>
      <c r="C48" s="1336"/>
      <c r="D48" s="1336"/>
      <c r="E48" s="1336"/>
      <c r="F48" s="1336"/>
      <c r="G48" s="1336"/>
      <c r="H48" s="1336"/>
      <c r="I48" s="1336"/>
      <c r="J48" s="1336"/>
      <c r="K48" s="1336"/>
      <c r="L48" s="1336"/>
      <c r="M48" s="1336"/>
      <c r="N48" s="1336"/>
      <c r="O48" s="1336"/>
      <c r="P48" s="1336"/>
      <c r="Q48" s="1323"/>
    </row>
    <row r="49" spans="2:17">
      <c r="B49" s="1336"/>
      <c r="C49" s="1336"/>
      <c r="D49" s="1336"/>
      <c r="E49" s="1336"/>
      <c r="F49" s="1336"/>
      <c r="G49" s="1336"/>
      <c r="H49" s="1336"/>
      <c r="I49" s="1336"/>
      <c r="J49" s="1336"/>
      <c r="K49" s="1336"/>
      <c r="L49" s="1336"/>
      <c r="M49" s="1336"/>
      <c r="N49" s="1336"/>
      <c r="O49" s="1336"/>
      <c r="P49" s="1336"/>
      <c r="Q49" s="1323"/>
    </row>
    <row r="50" spans="2:17">
      <c r="B50" s="1336"/>
      <c r="C50" s="1336"/>
      <c r="D50" s="1336"/>
      <c r="E50" s="1336"/>
      <c r="F50" s="1336"/>
      <c r="G50" s="1336"/>
      <c r="H50" s="1336"/>
      <c r="I50" s="1336"/>
      <c r="J50" s="1336"/>
      <c r="K50" s="1336"/>
      <c r="L50" s="1336"/>
      <c r="M50" s="1336"/>
      <c r="N50" s="1336"/>
      <c r="O50" s="1336"/>
      <c r="P50" s="1336"/>
      <c r="Q50" s="1323"/>
    </row>
    <row r="51" spans="2:17">
      <c r="B51" s="1336"/>
      <c r="C51" s="1336"/>
      <c r="D51" s="1336"/>
      <c r="E51" s="1336"/>
      <c r="F51" s="1336"/>
      <c r="G51" s="1336"/>
      <c r="H51" s="1336"/>
      <c r="I51" s="1336"/>
      <c r="J51" s="1336"/>
      <c r="K51" s="1336"/>
      <c r="L51" s="1336"/>
      <c r="M51" s="1336"/>
      <c r="N51" s="1336"/>
      <c r="O51" s="1336"/>
      <c r="P51" s="1336"/>
      <c r="Q51" s="1323"/>
    </row>
    <row r="52" spans="2:17">
      <c r="B52" s="1336"/>
      <c r="C52" s="1336"/>
      <c r="D52" s="1336"/>
      <c r="E52" s="1336"/>
      <c r="F52" s="1336"/>
      <c r="G52" s="1336"/>
      <c r="H52" s="1336"/>
      <c r="I52" s="1336"/>
      <c r="J52" s="1336"/>
      <c r="K52" s="1336"/>
      <c r="L52" s="1336"/>
      <c r="M52" s="1336"/>
      <c r="N52" s="1336"/>
      <c r="O52" s="1336"/>
      <c r="P52" s="1336"/>
      <c r="Q52" s="1323"/>
    </row>
    <row r="53" spans="2:17">
      <c r="B53" s="1336"/>
      <c r="C53" s="1336"/>
      <c r="D53" s="1336"/>
      <c r="E53" s="1336"/>
      <c r="F53" s="1336"/>
      <c r="G53" s="1336"/>
      <c r="H53" s="1336"/>
      <c r="I53" s="1336"/>
      <c r="J53" s="1336"/>
      <c r="K53" s="1336"/>
      <c r="L53" s="1336"/>
      <c r="M53" s="1336"/>
      <c r="N53" s="1336"/>
      <c r="O53" s="1336"/>
      <c r="P53" s="1336"/>
      <c r="Q53" s="1323"/>
    </row>
    <row r="54" spans="2:17">
      <c r="B54" s="1341"/>
      <c r="C54" s="1342"/>
      <c r="D54" s="1342"/>
      <c r="E54" s="1342"/>
      <c r="F54" s="1342"/>
      <c r="G54" s="1342"/>
      <c r="H54" s="1342"/>
      <c r="I54" s="1342"/>
      <c r="J54" s="1342"/>
      <c r="K54" s="1342"/>
      <c r="L54" s="1342"/>
      <c r="M54" s="1342"/>
      <c r="N54" s="1342"/>
      <c r="O54" s="1342"/>
      <c r="P54" s="1342"/>
      <c r="Q54" s="1323"/>
    </row>
    <row r="55" spans="2:17">
      <c r="B55" s="1341"/>
      <c r="C55" s="1342"/>
      <c r="D55" s="1342"/>
      <c r="E55" s="1342"/>
      <c r="F55" s="1342"/>
      <c r="G55" s="1342"/>
      <c r="H55" s="1342"/>
      <c r="I55" s="1342"/>
      <c r="J55" s="1342"/>
      <c r="K55" s="1342"/>
      <c r="L55" s="1342"/>
      <c r="M55" s="1342"/>
      <c r="N55" s="1342"/>
      <c r="O55" s="1342"/>
      <c r="P55" s="1342"/>
      <c r="Q55" s="1323"/>
    </row>
    <row r="56" spans="2:17">
      <c r="B56" s="1341"/>
      <c r="C56" s="1342"/>
      <c r="D56" s="1342"/>
      <c r="E56" s="1342"/>
      <c r="F56" s="1342"/>
      <c r="G56" s="1342"/>
      <c r="H56" s="1342"/>
      <c r="I56" s="1342"/>
      <c r="J56" s="1342"/>
      <c r="K56" s="1342"/>
      <c r="L56" s="1342"/>
      <c r="M56" s="1342"/>
      <c r="N56" s="1342"/>
      <c r="O56" s="1342"/>
      <c r="P56" s="1342"/>
      <c r="Q56" s="1323"/>
    </row>
    <row r="57" spans="2:17">
      <c r="B57" s="1341"/>
      <c r="C57" s="1342"/>
      <c r="D57" s="1342"/>
      <c r="E57" s="1342"/>
      <c r="F57" s="1342"/>
      <c r="G57" s="1342"/>
      <c r="H57" s="1342"/>
      <c r="I57" s="1342"/>
      <c r="J57" s="1342"/>
      <c r="K57" s="1342"/>
      <c r="L57" s="1342"/>
      <c r="M57" s="1342"/>
      <c r="N57" s="1342"/>
      <c r="O57" s="1342"/>
      <c r="P57" s="1342"/>
      <c r="Q57" s="1323"/>
    </row>
    <row r="58" spans="2:17">
      <c r="B58" s="1341"/>
      <c r="C58" s="1342"/>
      <c r="D58" s="1342"/>
      <c r="E58" s="1342"/>
      <c r="F58" s="1342"/>
      <c r="G58" s="1342"/>
      <c r="H58" s="1342"/>
      <c r="I58" s="1342"/>
      <c r="J58" s="1342"/>
      <c r="K58" s="1342"/>
      <c r="L58" s="1342"/>
      <c r="M58" s="1342"/>
      <c r="N58" s="1342"/>
      <c r="O58" s="1342"/>
      <c r="P58" s="1342"/>
      <c r="Q58" s="1323"/>
    </row>
    <row r="59" spans="2:17">
      <c r="B59" s="1341"/>
      <c r="C59" s="1342"/>
      <c r="D59" s="1342"/>
      <c r="E59" s="1342"/>
      <c r="F59" s="1342"/>
      <c r="G59" s="1342"/>
      <c r="H59" s="1342"/>
      <c r="I59" s="1342"/>
      <c r="J59" s="1342"/>
      <c r="K59" s="1342"/>
      <c r="L59" s="1342"/>
      <c r="M59" s="1342"/>
      <c r="N59" s="1342"/>
      <c r="O59" s="1342"/>
      <c r="P59" s="1342"/>
      <c r="Q59" s="1323"/>
    </row>
    <row r="60" spans="2:17">
      <c r="G60" s="1341"/>
      <c r="H60" s="1341"/>
      <c r="I60" s="1341"/>
      <c r="J60" s="1341"/>
      <c r="K60" s="1341"/>
      <c r="L60" s="1341"/>
      <c r="M60" s="1341"/>
      <c r="N60" s="1341"/>
      <c r="O60" s="1341"/>
      <c r="P60" s="1341"/>
    </row>
  </sheetData>
  <phoneticPr fontId="378" type="noConversion"/>
  <hyperlinks>
    <hyperlink ref="E22" location="总目录!A1" display="总目录!A1"/>
  </hyperlinks>
  <pageMargins left="0.75" right="0.75" top="1" bottom="1" header="0.5" footer="0.5"/>
  <pageSetup paperSize="9"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
  <sheetViews>
    <sheetView zoomScale="70" zoomScaleNormal="70" workbookViewId="0">
      <selection activeCell="H18" sqref="H18"/>
    </sheetView>
  </sheetViews>
  <sheetFormatPr defaultColWidth="18.5" defaultRowHeight="16.5"/>
  <cols>
    <col min="1" max="2" width="8.5" style="95" customWidth="1"/>
    <col min="3" max="5" width="18.5" style="95" customWidth="1"/>
    <col min="6" max="6" width="19.375" style="95" customWidth="1"/>
    <col min="7" max="7" width="25.625" style="95" customWidth="1"/>
    <col min="8" max="9" width="18.5" style="95" customWidth="1"/>
    <col min="10" max="10" width="20" style="95" customWidth="1"/>
    <col min="11" max="16384" width="18.5" style="95"/>
  </cols>
  <sheetData>
    <row r="1" spans="1:11" ht="39.75" customHeight="1">
      <c r="A1" s="4235" t="s">
        <v>9874</v>
      </c>
      <c r="B1" s="4236"/>
      <c r="C1" s="4236"/>
      <c r="D1" s="4236"/>
      <c r="E1" s="4236"/>
      <c r="F1" s="4236"/>
      <c r="G1" s="4236"/>
      <c r="H1" s="4236"/>
      <c r="I1" s="4236"/>
      <c r="J1" s="4236"/>
      <c r="K1" s="4237"/>
    </row>
    <row r="2" spans="1:11" ht="18.75" customHeight="1">
      <c r="A2" s="4238" t="s">
        <v>9875</v>
      </c>
      <c r="B2" s="4239"/>
      <c r="C2" s="1273" t="s">
        <v>9876</v>
      </c>
      <c r="D2" s="1273" t="s">
        <v>9877</v>
      </c>
      <c r="E2" s="1273" t="s">
        <v>9878</v>
      </c>
      <c r="F2" s="1273" t="s">
        <v>9879</v>
      </c>
      <c r="G2" s="1273" t="s">
        <v>9880</v>
      </c>
      <c r="H2" s="1273" t="s">
        <v>9881</v>
      </c>
      <c r="I2" s="1273" t="s">
        <v>9882</v>
      </c>
      <c r="J2" s="1309" t="s">
        <v>9883</v>
      </c>
      <c r="K2" s="1285" t="s">
        <v>9884</v>
      </c>
    </row>
    <row r="3" spans="1:11" ht="18.75" customHeight="1">
      <c r="A3" s="4240" t="s">
        <v>9885</v>
      </c>
      <c r="B3" s="4241"/>
      <c r="C3" s="1274">
        <v>2.032</v>
      </c>
      <c r="D3" s="1275">
        <v>27</v>
      </c>
      <c r="E3" s="1275">
        <v>78</v>
      </c>
      <c r="F3" s="1276">
        <v>600</v>
      </c>
      <c r="G3" s="1277">
        <f>2*F3+1.57*(((D3*C3)/3.1415)+((E3*C3)/3.1415))+(((D3*C3)/3.1415)-((E3*C3)/3.1415))*(((D3*C3)/3.1415)-((E3*C3)/3.1415))/(4*F3)</f>
        <v>1307.08248434236</v>
      </c>
      <c r="H3" s="1278">
        <f t="shared" ref="H3:H11" si="0">G3/C3</f>
        <v>643.24925410549099</v>
      </c>
      <c r="I3" s="1275">
        <v>121</v>
      </c>
      <c r="J3" s="1310">
        <f t="shared" ref="J3:J11" si="1">((I3*C3)-((D3*C3/2)+(E3*C3/2)))/2</f>
        <v>69.596000000000004</v>
      </c>
      <c r="K3" s="1311">
        <f t="shared" ref="K3:K11" si="2">H3*1</f>
        <v>643.24925410549099</v>
      </c>
    </row>
    <row r="4" spans="1:11" ht="18.75" customHeight="1">
      <c r="A4" s="4238" t="s">
        <v>9886</v>
      </c>
      <c r="B4" s="4239"/>
      <c r="C4" s="1279">
        <v>5.08</v>
      </c>
      <c r="D4" s="1280">
        <v>24</v>
      </c>
      <c r="E4" s="1280">
        <v>19</v>
      </c>
      <c r="F4" s="1281">
        <v>600</v>
      </c>
      <c r="G4" s="1277">
        <f t="shared" ref="G4:G11" si="3">2*F4+1.57*(((D4*C4)/3.1415)+((E4*C4)/3.1415))+(((D4*C4)/3.1415)-((E4*C4)/3.1415))*(((D4*C4)/3.1415)-((E4*C4)/3.1415))/(4*F4)</f>
        <v>1309.19508818279</v>
      </c>
      <c r="H4" s="1279">
        <f t="shared" si="0"/>
        <v>257.71556853991899</v>
      </c>
      <c r="I4" s="1280">
        <v>59</v>
      </c>
      <c r="J4" s="1312">
        <f t="shared" si="1"/>
        <v>95.25</v>
      </c>
      <c r="K4" s="1313">
        <f t="shared" si="2"/>
        <v>257.71556853991899</v>
      </c>
    </row>
    <row r="5" spans="1:11" ht="18.75" customHeight="1">
      <c r="A5" s="4240" t="s">
        <v>6492</v>
      </c>
      <c r="B5" s="4241"/>
      <c r="C5" s="1278">
        <v>9.5250000000000004</v>
      </c>
      <c r="D5" s="1275">
        <v>20</v>
      </c>
      <c r="E5" s="1275">
        <v>20</v>
      </c>
      <c r="F5" s="1276">
        <v>100</v>
      </c>
      <c r="G5" s="1277">
        <f t="shared" si="3"/>
        <v>390.40904026738798</v>
      </c>
      <c r="H5" s="1278">
        <f t="shared" si="0"/>
        <v>40.987825749857002</v>
      </c>
      <c r="I5" s="1275">
        <v>41</v>
      </c>
      <c r="J5" s="1310">
        <f t="shared" si="1"/>
        <v>100.0125</v>
      </c>
      <c r="K5" s="1311">
        <f t="shared" si="2"/>
        <v>40.987825749857002</v>
      </c>
    </row>
    <row r="6" spans="1:11" ht="18.75" customHeight="1">
      <c r="A6" s="4238" t="s">
        <v>6556</v>
      </c>
      <c r="B6" s="4239"/>
      <c r="C6" s="1279">
        <v>12.7</v>
      </c>
      <c r="D6" s="1280">
        <v>20</v>
      </c>
      <c r="E6" s="1280">
        <v>20</v>
      </c>
      <c r="F6" s="1281">
        <v>800</v>
      </c>
      <c r="G6" s="1277">
        <f t="shared" si="3"/>
        <v>1853.87872035652</v>
      </c>
      <c r="H6" s="1279">
        <f t="shared" si="0"/>
        <v>145.974702390277</v>
      </c>
      <c r="I6" s="1280">
        <v>36</v>
      </c>
      <c r="J6" s="1312">
        <f t="shared" si="1"/>
        <v>101.6</v>
      </c>
      <c r="K6" s="1313">
        <f t="shared" si="2"/>
        <v>145.974702390277</v>
      </c>
    </row>
    <row r="7" spans="1:11" ht="18.75" customHeight="1">
      <c r="A7" s="4240" t="s">
        <v>9887</v>
      </c>
      <c r="B7" s="4241"/>
      <c r="C7" s="1278">
        <v>22.225000000000001</v>
      </c>
      <c r="D7" s="1275">
        <v>20</v>
      </c>
      <c r="E7" s="1275">
        <v>20</v>
      </c>
      <c r="F7" s="1276">
        <v>100</v>
      </c>
      <c r="G7" s="1277">
        <f t="shared" si="3"/>
        <v>644.28776062390602</v>
      </c>
      <c r="H7" s="1278">
        <f t="shared" si="0"/>
        <v>28.9893255623805</v>
      </c>
      <c r="I7" s="1275">
        <v>29</v>
      </c>
      <c r="J7" s="1310">
        <f t="shared" si="1"/>
        <v>100.0125</v>
      </c>
      <c r="K7" s="1311">
        <f t="shared" si="2"/>
        <v>28.9893255623805</v>
      </c>
    </row>
    <row r="8" spans="1:11" ht="18.75" customHeight="1">
      <c r="A8" s="4238" t="s">
        <v>9888</v>
      </c>
      <c r="B8" s="4239"/>
      <c r="C8" s="1279">
        <v>31.75</v>
      </c>
      <c r="D8" s="1280">
        <v>20</v>
      </c>
      <c r="E8" s="1280">
        <v>20</v>
      </c>
      <c r="F8" s="1281">
        <v>800</v>
      </c>
      <c r="G8" s="1277">
        <f t="shared" si="3"/>
        <v>2234.69680089129</v>
      </c>
      <c r="H8" s="1279">
        <f t="shared" si="0"/>
        <v>70.384151209174604</v>
      </c>
      <c r="I8" s="1280">
        <v>26</v>
      </c>
      <c r="J8" s="1312">
        <f t="shared" si="1"/>
        <v>95.25</v>
      </c>
      <c r="K8" s="1313">
        <f t="shared" si="2"/>
        <v>70.384151209174604</v>
      </c>
    </row>
    <row r="9" spans="1:11" ht="18.75" customHeight="1">
      <c r="A9" s="4240" t="s">
        <v>9889</v>
      </c>
      <c r="B9" s="4241"/>
      <c r="C9" s="1278">
        <v>3</v>
      </c>
      <c r="D9" s="1275">
        <v>20</v>
      </c>
      <c r="E9" s="1275">
        <v>20</v>
      </c>
      <c r="F9" s="1276">
        <v>100</v>
      </c>
      <c r="G9" s="1277">
        <f t="shared" si="3"/>
        <v>259.97135126531902</v>
      </c>
      <c r="H9" s="1278">
        <f t="shared" si="0"/>
        <v>86.657117088439705</v>
      </c>
      <c r="I9" s="1275">
        <v>87</v>
      </c>
      <c r="J9" s="1310">
        <f t="shared" si="1"/>
        <v>100.5</v>
      </c>
      <c r="K9" s="1311">
        <f t="shared" si="2"/>
        <v>86.657117088439705</v>
      </c>
    </row>
    <row r="10" spans="1:11" ht="18.75" customHeight="1">
      <c r="A10" s="4238" t="s">
        <v>9890</v>
      </c>
      <c r="B10" s="4239"/>
      <c r="C10" s="1279">
        <v>5</v>
      </c>
      <c r="D10" s="1280">
        <v>100</v>
      </c>
      <c r="E10" s="1280">
        <v>35</v>
      </c>
      <c r="F10" s="1281">
        <v>800</v>
      </c>
      <c r="G10" s="1277">
        <f t="shared" si="3"/>
        <v>1940.6834387773299</v>
      </c>
      <c r="H10" s="1279">
        <f t="shared" si="0"/>
        <v>388.13668775546603</v>
      </c>
      <c r="I10" s="1280">
        <v>60</v>
      </c>
      <c r="J10" s="1312">
        <f t="shared" si="1"/>
        <v>-18.75</v>
      </c>
      <c r="K10" s="1313">
        <f t="shared" si="2"/>
        <v>388.13668775546603</v>
      </c>
    </row>
    <row r="11" spans="1:11" ht="18.75" customHeight="1">
      <c r="A11" s="4244" t="s">
        <v>9891</v>
      </c>
      <c r="B11" s="4245"/>
      <c r="C11" s="1277">
        <v>8</v>
      </c>
      <c r="D11" s="1282">
        <v>40</v>
      </c>
      <c r="E11" s="1282">
        <v>40</v>
      </c>
      <c r="F11" s="1283">
        <v>400</v>
      </c>
      <c r="G11" s="1277">
        <f t="shared" si="3"/>
        <v>1119.8472067483699</v>
      </c>
      <c r="H11" s="1277">
        <f t="shared" si="0"/>
        <v>139.98090084354601</v>
      </c>
      <c r="I11" s="1282">
        <v>45</v>
      </c>
      <c r="J11" s="1314">
        <f t="shared" si="1"/>
        <v>20</v>
      </c>
      <c r="K11" s="1315">
        <f t="shared" si="2"/>
        <v>139.98090084354601</v>
      </c>
    </row>
    <row r="12" spans="1:11">
      <c r="B12" s="204"/>
      <c r="C12" s="204"/>
      <c r="D12" s="204"/>
      <c r="E12" s="204"/>
      <c r="F12" s="204"/>
      <c r="G12" s="204"/>
      <c r="H12" s="204"/>
      <c r="I12" s="204"/>
    </row>
    <row r="13" spans="1:11" ht="39.75" customHeight="1">
      <c r="A13" s="4235" t="s">
        <v>9892</v>
      </c>
      <c r="B13" s="4236"/>
      <c r="C13" s="4236"/>
      <c r="D13" s="4236"/>
      <c r="E13" s="4236"/>
      <c r="F13" s="4237"/>
      <c r="G13" s="1284"/>
      <c r="H13" s="1284"/>
      <c r="I13" s="1284"/>
    </row>
    <row r="14" spans="1:11" ht="18.75" customHeight="1">
      <c r="A14" s="4246" t="s">
        <v>9875</v>
      </c>
      <c r="B14" s="4247"/>
      <c r="C14" s="1273" t="s">
        <v>9876</v>
      </c>
      <c r="D14" s="1273" t="s">
        <v>9893</v>
      </c>
      <c r="E14" s="1273" t="s">
        <v>9894</v>
      </c>
      <c r="F14" s="1285" t="s">
        <v>9895</v>
      </c>
      <c r="G14" s="1286"/>
      <c r="H14" s="1286"/>
      <c r="I14" s="1286"/>
    </row>
    <row r="15" spans="1:11" ht="18.75" customHeight="1">
      <c r="A15" s="1287">
        <f t="shared" ref="A15:A23" si="4">D15*1</f>
        <v>60</v>
      </c>
      <c r="B15" s="1288" t="s">
        <v>9885</v>
      </c>
      <c r="C15" s="1274">
        <v>2.032</v>
      </c>
      <c r="D15" s="1275">
        <v>60</v>
      </c>
      <c r="E15" s="1278">
        <f>(C15*D15)/3.1415926</f>
        <v>38.808341985526702</v>
      </c>
      <c r="F15" s="1289">
        <f>E15-0.51</f>
        <v>38.298341985526697</v>
      </c>
      <c r="G15" s="1290"/>
      <c r="H15" s="1290"/>
      <c r="I15" s="1316"/>
    </row>
    <row r="16" spans="1:11" ht="18.75" customHeight="1">
      <c r="A16" s="1291">
        <f t="shared" si="4"/>
        <v>60</v>
      </c>
      <c r="B16" s="1292" t="s">
        <v>9886</v>
      </c>
      <c r="C16" s="1279">
        <v>5.08</v>
      </c>
      <c r="D16" s="1275">
        <v>60</v>
      </c>
      <c r="E16" s="1279">
        <f t="shared" ref="E16:E23" si="5">(C16*D16)/3.1415926</f>
        <v>97.020854963816802</v>
      </c>
      <c r="F16" s="1293">
        <f>E16-0.51</f>
        <v>96.510854963816797</v>
      </c>
      <c r="G16" s="1290"/>
      <c r="H16" s="1290"/>
      <c r="I16" s="1316"/>
    </row>
    <row r="17" spans="1:10" ht="18.75" customHeight="1">
      <c r="A17" s="1287">
        <f t="shared" si="4"/>
        <v>60</v>
      </c>
      <c r="B17" s="1288" t="s">
        <v>6492</v>
      </c>
      <c r="C17" s="1278">
        <v>9.5250000000000004</v>
      </c>
      <c r="D17" s="1275">
        <v>60</v>
      </c>
      <c r="E17" s="1278">
        <f t="shared" si="5"/>
        <v>181.91410305715601</v>
      </c>
      <c r="F17" s="1289">
        <f>E17-0.76</f>
        <v>181.15410305715599</v>
      </c>
      <c r="G17" s="1290"/>
      <c r="H17" s="1290"/>
      <c r="I17" s="1316"/>
    </row>
    <row r="18" spans="1:10" ht="18.75" customHeight="1">
      <c r="A18" s="1291">
        <f t="shared" si="4"/>
        <v>60</v>
      </c>
      <c r="B18" s="1292" t="s">
        <v>6556</v>
      </c>
      <c r="C18" s="1279">
        <v>12.7</v>
      </c>
      <c r="D18" s="1275">
        <v>60</v>
      </c>
      <c r="E18" s="1279">
        <f t="shared" si="5"/>
        <v>242.55213740954201</v>
      </c>
      <c r="F18" s="1293">
        <f>E18-1.37</f>
        <v>241.18213740954201</v>
      </c>
      <c r="G18" s="1290"/>
      <c r="H18" s="3166" t="s">
        <v>12704</v>
      </c>
      <c r="I18" s="1316"/>
    </row>
    <row r="19" spans="1:10" ht="18.75" customHeight="1">
      <c r="A19" s="1287">
        <f t="shared" si="4"/>
        <v>60</v>
      </c>
      <c r="B19" s="1288" t="s">
        <v>9887</v>
      </c>
      <c r="C19" s="1278">
        <v>22.225000000000001</v>
      </c>
      <c r="D19" s="1275">
        <v>60</v>
      </c>
      <c r="E19" s="1278">
        <f t="shared" si="5"/>
        <v>424.46624046669803</v>
      </c>
      <c r="F19" s="1289">
        <f>E19-2.8</f>
        <v>421.66624046669801</v>
      </c>
      <c r="G19" s="1290"/>
      <c r="H19" s="1290"/>
      <c r="I19" s="1316"/>
    </row>
    <row r="20" spans="1:10" ht="18.75" customHeight="1">
      <c r="A20" s="1291">
        <f t="shared" si="4"/>
        <v>60</v>
      </c>
      <c r="B20" s="1292" t="s">
        <v>9888</v>
      </c>
      <c r="C20" s="1279">
        <v>31.75</v>
      </c>
      <c r="D20" s="1275">
        <v>60</v>
      </c>
      <c r="E20" s="1279">
        <f t="shared" si="5"/>
        <v>606.380343523855</v>
      </c>
      <c r="F20" s="1293">
        <f>E20-3.05</f>
        <v>603.33034352385505</v>
      </c>
      <c r="G20" s="1290"/>
      <c r="H20" s="1290"/>
      <c r="I20" s="1316"/>
    </row>
    <row r="21" spans="1:10" ht="18.75" customHeight="1">
      <c r="A21" s="1287">
        <f t="shared" si="4"/>
        <v>60</v>
      </c>
      <c r="B21" s="1288" t="s">
        <v>9896</v>
      </c>
      <c r="C21" s="1278">
        <v>3</v>
      </c>
      <c r="D21" s="1275">
        <v>60</v>
      </c>
      <c r="E21" s="1278">
        <f t="shared" si="5"/>
        <v>57.295780490443001</v>
      </c>
      <c r="F21" s="1289">
        <f>E21-0.76</f>
        <v>56.535780490443003</v>
      </c>
      <c r="G21" s="1290"/>
      <c r="H21" s="1290"/>
      <c r="I21" s="1316"/>
    </row>
    <row r="22" spans="1:10" ht="18.75" customHeight="1">
      <c r="A22" s="1291">
        <f t="shared" si="4"/>
        <v>60</v>
      </c>
      <c r="B22" s="1292" t="s">
        <v>9897</v>
      </c>
      <c r="C22" s="1279">
        <v>5</v>
      </c>
      <c r="D22" s="1275">
        <v>60</v>
      </c>
      <c r="E22" s="1279">
        <f t="shared" si="5"/>
        <v>95.492967484071599</v>
      </c>
      <c r="F22" s="1293">
        <f>E22-1.14</f>
        <v>94.352967484071598</v>
      </c>
      <c r="G22" s="1290"/>
      <c r="H22" s="1290"/>
      <c r="I22" s="1316"/>
    </row>
    <row r="23" spans="1:10" ht="18.75" customHeight="1">
      <c r="A23" s="1294">
        <f t="shared" si="4"/>
        <v>60</v>
      </c>
      <c r="B23" s="1295" t="s">
        <v>9898</v>
      </c>
      <c r="C23" s="1277">
        <v>8</v>
      </c>
      <c r="D23" s="1275">
        <v>60</v>
      </c>
      <c r="E23" s="1277">
        <f t="shared" si="5"/>
        <v>152.78874797451499</v>
      </c>
      <c r="F23" s="1296">
        <f>E23-1.37</f>
        <v>151.41874797451499</v>
      </c>
      <c r="G23" s="1290"/>
      <c r="H23" s="1290"/>
      <c r="I23" s="1316"/>
    </row>
    <row r="24" spans="1:10">
      <c r="B24" s="204"/>
      <c r="C24" s="204"/>
      <c r="D24" s="204"/>
      <c r="E24" s="204"/>
      <c r="F24" s="204"/>
      <c r="G24" s="204"/>
      <c r="H24" s="204"/>
      <c r="I24" s="204"/>
    </row>
    <row r="25" spans="1:10" ht="31.5">
      <c r="A25" s="4248" t="s">
        <v>9899</v>
      </c>
      <c r="B25" s="4249"/>
      <c r="C25" s="4249"/>
      <c r="D25" s="4249"/>
      <c r="E25" s="4249"/>
      <c r="F25" s="4249"/>
      <c r="G25" s="4249"/>
      <c r="H25" s="4249"/>
      <c r="I25" s="4250"/>
    </row>
    <row r="26" spans="1:10" ht="20.25">
      <c r="A26" s="4251" t="s">
        <v>9875</v>
      </c>
      <c r="B26" s="4252"/>
      <c r="C26" s="1297" t="s">
        <v>9876</v>
      </c>
      <c r="D26" s="1297" t="s">
        <v>9900</v>
      </c>
      <c r="E26" s="1297" t="s">
        <v>9901</v>
      </c>
      <c r="F26" s="1297" t="s">
        <v>9893</v>
      </c>
      <c r="G26" s="1297" t="s">
        <v>9902</v>
      </c>
      <c r="H26" s="1297" t="s">
        <v>9903</v>
      </c>
      <c r="I26" s="1317" t="s">
        <v>9904</v>
      </c>
    </row>
    <row r="27" spans="1:10" ht="20.25">
      <c r="A27" s="1298">
        <f>F27/1.25</f>
        <v>34.4</v>
      </c>
      <c r="B27" s="1299" t="s">
        <v>9885</v>
      </c>
      <c r="C27" s="1274">
        <v>2.032</v>
      </c>
      <c r="D27" s="1300" t="s">
        <v>9885</v>
      </c>
      <c r="E27" s="1278">
        <f t="shared" ref="E27:E35" si="6">F27*C27</f>
        <v>87.376000000000005</v>
      </c>
      <c r="F27" s="1275">
        <v>43</v>
      </c>
      <c r="G27" s="1278">
        <v>0.51</v>
      </c>
      <c r="H27" s="1278">
        <v>1.1399999999999999</v>
      </c>
      <c r="I27" s="1318">
        <v>40</v>
      </c>
      <c r="J27" s="1319"/>
    </row>
    <row r="28" spans="1:10" ht="20.25">
      <c r="A28" s="1301">
        <f>F28*2</f>
        <v>174</v>
      </c>
      <c r="B28" s="1302" t="s">
        <v>9886</v>
      </c>
      <c r="C28" s="1279">
        <v>5.08</v>
      </c>
      <c r="D28" s="1303" t="s">
        <v>9886</v>
      </c>
      <c r="E28" s="1279">
        <f t="shared" si="6"/>
        <v>441.96</v>
      </c>
      <c r="F28" s="1280">
        <v>87</v>
      </c>
      <c r="G28" s="1279">
        <v>1.27</v>
      </c>
      <c r="H28" s="1279">
        <v>2.2999999999999998</v>
      </c>
      <c r="I28" s="1320">
        <v>50</v>
      </c>
    </row>
    <row r="29" spans="1:10" ht="20.25">
      <c r="A29" s="1298">
        <f>F29*3.75</f>
        <v>150</v>
      </c>
      <c r="B29" s="1299" t="s">
        <v>6492</v>
      </c>
      <c r="C29" s="1278">
        <v>9.5250000000000004</v>
      </c>
      <c r="D29" s="1300" t="s">
        <v>6492</v>
      </c>
      <c r="E29" s="1278">
        <f t="shared" si="6"/>
        <v>381</v>
      </c>
      <c r="F29" s="1275">
        <v>40</v>
      </c>
      <c r="G29" s="1278">
        <v>1.91</v>
      </c>
      <c r="H29" s="1278">
        <v>3.6</v>
      </c>
      <c r="I29" s="1318">
        <v>40</v>
      </c>
    </row>
    <row r="30" spans="1:10" ht="20.25">
      <c r="A30" s="1301">
        <f>F30*5</f>
        <v>500</v>
      </c>
      <c r="B30" s="1302" t="s">
        <v>6556</v>
      </c>
      <c r="C30" s="1279">
        <v>12.7</v>
      </c>
      <c r="D30" s="1303" t="s">
        <v>6556</v>
      </c>
      <c r="E30" s="1279">
        <f t="shared" si="6"/>
        <v>1270</v>
      </c>
      <c r="F30" s="1280">
        <v>100</v>
      </c>
      <c r="G30" s="1279">
        <v>2.29</v>
      </c>
      <c r="H30" s="1279">
        <v>4.3</v>
      </c>
      <c r="I30" s="1320">
        <v>40</v>
      </c>
    </row>
    <row r="31" spans="1:10" ht="20.25">
      <c r="A31" s="1298">
        <f>F31*8.75</f>
        <v>700</v>
      </c>
      <c r="B31" s="1299" t="s">
        <v>9887</v>
      </c>
      <c r="C31" s="1278">
        <v>22.225000000000001</v>
      </c>
      <c r="D31" s="1300" t="s">
        <v>9887</v>
      </c>
      <c r="E31" s="1278">
        <f t="shared" si="6"/>
        <v>1778</v>
      </c>
      <c r="F31" s="1275">
        <v>80</v>
      </c>
      <c r="G31" s="1278">
        <v>6.35</v>
      </c>
      <c r="H31" s="1278">
        <v>11.2</v>
      </c>
      <c r="I31" s="1318">
        <v>40</v>
      </c>
    </row>
    <row r="32" spans="1:10" ht="20.25">
      <c r="A32" s="1301">
        <f>F32*12.5</f>
        <v>625</v>
      </c>
      <c r="B32" s="1302" t="s">
        <v>9888</v>
      </c>
      <c r="C32" s="1279">
        <v>31.75</v>
      </c>
      <c r="D32" s="1303" t="s">
        <v>9888</v>
      </c>
      <c r="E32" s="1279">
        <f t="shared" si="6"/>
        <v>1587.5</v>
      </c>
      <c r="F32" s="1280">
        <v>50</v>
      </c>
      <c r="G32" s="1279">
        <v>9.5299999999999994</v>
      </c>
      <c r="H32" s="1279">
        <v>15.7</v>
      </c>
      <c r="I32" s="1320">
        <v>40</v>
      </c>
    </row>
    <row r="33" spans="1:9" ht="20.25">
      <c r="A33" s="1298">
        <f t="shared" ref="A33:A35" si="7">E33*1</f>
        <v>150</v>
      </c>
      <c r="B33" s="1304" t="s">
        <v>9896</v>
      </c>
      <c r="C33" s="1278">
        <v>3</v>
      </c>
      <c r="D33" s="1300" t="s">
        <v>9889</v>
      </c>
      <c r="E33" s="1278">
        <f t="shared" si="6"/>
        <v>150</v>
      </c>
      <c r="F33" s="1275">
        <v>50</v>
      </c>
      <c r="G33" s="1278">
        <v>1.17</v>
      </c>
      <c r="H33" s="1278">
        <v>2.4</v>
      </c>
      <c r="I33" s="1318"/>
    </row>
    <row r="34" spans="1:9" ht="20.25">
      <c r="A34" s="1301">
        <f t="shared" si="7"/>
        <v>250</v>
      </c>
      <c r="B34" s="1305" t="s">
        <v>9897</v>
      </c>
      <c r="C34" s="1279">
        <v>5</v>
      </c>
      <c r="D34" s="1303" t="s">
        <v>9890</v>
      </c>
      <c r="E34" s="1279">
        <f t="shared" si="6"/>
        <v>250</v>
      </c>
      <c r="F34" s="1280">
        <v>50</v>
      </c>
      <c r="G34" s="1279">
        <v>2.06</v>
      </c>
      <c r="H34" s="1279">
        <v>3.8</v>
      </c>
      <c r="I34" s="1320"/>
    </row>
    <row r="35" spans="1:9" ht="20.25">
      <c r="A35" s="1306">
        <f t="shared" si="7"/>
        <v>1888</v>
      </c>
      <c r="B35" s="1307" t="s">
        <v>9898</v>
      </c>
      <c r="C35" s="1277">
        <v>8</v>
      </c>
      <c r="D35" s="1308" t="s">
        <v>9891</v>
      </c>
      <c r="E35" s="1277">
        <f t="shared" si="6"/>
        <v>1888</v>
      </c>
      <c r="F35" s="1282">
        <v>236</v>
      </c>
      <c r="G35" s="1277">
        <v>3.36</v>
      </c>
      <c r="H35" s="1277">
        <v>6</v>
      </c>
      <c r="I35" s="1321"/>
    </row>
    <row r="36" spans="1:9">
      <c r="F36" s="95">
        <v>150</v>
      </c>
    </row>
    <row r="37" spans="1:9" ht="31.5">
      <c r="A37" s="4242" t="s">
        <v>9905</v>
      </c>
      <c r="B37" s="4242"/>
      <c r="C37" s="4242"/>
      <c r="D37" s="4242"/>
      <c r="E37" s="4242"/>
      <c r="F37" s="4242"/>
    </row>
    <row r="39" spans="1:9">
      <c r="A39" s="4243"/>
      <c r="B39" s="4243"/>
    </row>
  </sheetData>
  <mergeCells count="17">
    <mergeCell ref="A37:F37"/>
    <mergeCell ref="A39:B39"/>
    <mergeCell ref="A11:B11"/>
    <mergeCell ref="A13:F13"/>
    <mergeCell ref="A14:B14"/>
    <mergeCell ref="A25:I25"/>
    <mergeCell ref="A26:B26"/>
    <mergeCell ref="A6:B6"/>
    <mergeCell ref="A7:B7"/>
    <mergeCell ref="A8:B8"/>
    <mergeCell ref="A9:B9"/>
    <mergeCell ref="A10:B10"/>
    <mergeCell ref="A1:K1"/>
    <mergeCell ref="A2:B2"/>
    <mergeCell ref="A3:B3"/>
    <mergeCell ref="A4:B4"/>
    <mergeCell ref="A5:B5"/>
  </mergeCells>
  <phoneticPr fontId="378" type="noConversion"/>
  <hyperlinks>
    <hyperlink ref="H18" location="总目录!A1" display="返回目录"/>
  </hyperlinks>
  <pageMargins left="0.75" right="0.75" top="1" bottom="1" header="0.5" footer="0.5"/>
  <pageSetup paperSize="9" orientation="portrait" horizontalDpi="300" verticalDpi="300"/>
  <headerFooter scaleWithDoc="0"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1"/>
  <sheetViews>
    <sheetView zoomScale="70" zoomScaleNormal="70" workbookViewId="0">
      <selection activeCell="N1" sqref="N1"/>
    </sheetView>
  </sheetViews>
  <sheetFormatPr defaultColWidth="9" defaultRowHeight="16.5"/>
  <cols>
    <col min="1" max="1" width="7.125" style="1221" customWidth="1"/>
    <col min="2" max="2" width="27.875" style="1221" customWidth="1"/>
    <col min="3" max="3" width="4.5" style="1221" customWidth="1"/>
    <col min="4" max="4" width="13.375" style="1221" customWidth="1"/>
    <col min="5" max="5" width="9" style="1221"/>
    <col min="6" max="6" width="9.5" style="1221"/>
    <col min="7" max="9" width="9" style="1221"/>
    <col min="10" max="10" width="22.125" style="1221" customWidth="1"/>
    <col min="11" max="11" width="7.75" style="1221" customWidth="1"/>
    <col min="12" max="12" width="6" style="1221" customWidth="1"/>
    <col min="13" max="13" width="9" style="1221"/>
    <col min="14" max="14" width="18.75" style="1221" customWidth="1"/>
    <col min="15" max="16384" width="9" style="1221"/>
  </cols>
  <sheetData>
    <row r="1" spans="1:16" ht="43.9" customHeight="1">
      <c r="A1" s="4256" t="s">
        <v>9906</v>
      </c>
      <c r="B1" s="4256"/>
      <c r="C1" s="4256"/>
      <c r="D1" s="4256"/>
      <c r="E1" s="4256"/>
      <c r="F1" s="4256"/>
      <c r="G1" s="4256"/>
      <c r="H1" s="4256"/>
      <c r="I1" s="4256"/>
      <c r="J1" s="4256"/>
      <c r="K1" s="4256"/>
      <c r="L1" s="4256"/>
      <c r="N1" s="3160" t="s">
        <v>12716</v>
      </c>
    </row>
    <row r="2" spans="1:16" s="1219" customFormat="1" ht="34.15" customHeight="1">
      <c r="A2" s="1222" t="s">
        <v>9376</v>
      </c>
    </row>
    <row r="3" spans="1:16" ht="24" customHeight="1">
      <c r="A3" s="4262" t="s">
        <v>6395</v>
      </c>
      <c r="B3" s="4257" t="s">
        <v>9377</v>
      </c>
      <c r="C3" s="4258"/>
      <c r="D3" s="1224">
        <v>12</v>
      </c>
      <c r="F3" s="1225"/>
      <c r="G3" s="1220"/>
    </row>
    <row r="4" spans="1:16" ht="24" customHeight="1">
      <c r="A4" s="4263"/>
      <c r="B4" s="4254" t="s">
        <v>9907</v>
      </c>
      <c r="C4" s="4255"/>
      <c r="D4" s="1226">
        <v>1</v>
      </c>
      <c r="E4" s="212" t="s">
        <v>9213</v>
      </c>
      <c r="F4" s="1225"/>
      <c r="G4" s="1220"/>
      <c r="M4" s="4196" t="s">
        <v>9274</v>
      </c>
      <c r="N4" s="1267" t="s">
        <v>9275</v>
      </c>
      <c r="O4" s="1268">
        <f>D60</f>
        <v>19.863674651115598</v>
      </c>
      <c r="P4" s="1246" t="s">
        <v>9276</v>
      </c>
    </row>
    <row r="5" spans="1:16" ht="24" customHeight="1">
      <c r="A5" s="4263"/>
      <c r="B5" s="4257" t="s">
        <v>9908</v>
      </c>
      <c r="C5" s="4258"/>
      <c r="D5" s="1227">
        <v>3</v>
      </c>
      <c r="E5" s="1221" t="s">
        <v>9213</v>
      </c>
      <c r="F5" s="1225"/>
      <c r="G5" s="1220"/>
      <c r="M5" s="4196"/>
      <c r="N5" s="1255"/>
      <c r="O5" s="1247"/>
      <c r="P5" s="1247"/>
    </row>
    <row r="6" spans="1:16" ht="24" customHeight="1">
      <c r="A6" s="4263"/>
      <c r="B6" s="4254" t="s">
        <v>9909</v>
      </c>
      <c r="C6" s="4255"/>
      <c r="D6" s="1224">
        <v>125</v>
      </c>
      <c r="E6" s="1221" t="s">
        <v>2016</v>
      </c>
      <c r="F6" s="1225"/>
      <c r="G6" s="1220"/>
      <c r="M6" s="4196"/>
      <c r="N6" s="1223" t="s">
        <v>9282</v>
      </c>
      <c r="O6" s="1269">
        <f>D69</f>
        <v>0.400183921542622</v>
      </c>
      <c r="P6" s="1246" t="s">
        <v>2003</v>
      </c>
    </row>
    <row r="7" spans="1:16" ht="24" customHeight="1">
      <c r="A7" s="4263"/>
      <c r="B7" s="4257" t="s">
        <v>9910</v>
      </c>
      <c r="C7" s="4258"/>
      <c r="D7" s="1224">
        <v>60</v>
      </c>
      <c r="E7" s="1221" t="s">
        <v>9278</v>
      </c>
      <c r="F7" s="1225"/>
      <c r="G7" s="1220"/>
      <c r="M7" s="4196"/>
    </row>
    <row r="8" spans="1:16" ht="24" customHeight="1">
      <c r="A8" s="4263"/>
      <c r="B8" s="4254" t="s">
        <v>9911</v>
      </c>
      <c r="C8" s="4255"/>
      <c r="D8" s="1224">
        <v>1.5</v>
      </c>
      <c r="E8" s="1221" t="s">
        <v>9278</v>
      </c>
      <c r="F8" s="1225"/>
      <c r="G8" s="1220"/>
      <c r="M8" s="4196"/>
      <c r="N8" s="1223" t="s">
        <v>9286</v>
      </c>
      <c r="O8" s="1268">
        <f>D52</f>
        <v>0</v>
      </c>
      <c r="P8" s="1246" t="s">
        <v>9287</v>
      </c>
    </row>
    <row r="9" spans="1:16" ht="24" customHeight="1">
      <c r="A9" s="4263"/>
      <c r="B9" s="4257" t="s">
        <v>9912</v>
      </c>
      <c r="C9" s="4258"/>
      <c r="D9" s="1224">
        <v>7.8</v>
      </c>
      <c r="E9" s="2809" t="s">
        <v>9913</v>
      </c>
      <c r="F9" s="4253"/>
      <c r="G9" s="4253"/>
      <c r="H9" s="4253"/>
      <c r="M9" s="4196"/>
    </row>
    <row r="10" spans="1:16" ht="24" customHeight="1">
      <c r="A10" s="4263"/>
      <c r="B10" s="4254" t="s">
        <v>9914</v>
      </c>
      <c r="C10" s="4255"/>
      <c r="D10" s="1224">
        <v>1</v>
      </c>
      <c r="E10" s="1221" t="s">
        <v>9915</v>
      </c>
      <c r="F10" s="1225"/>
      <c r="G10" s="1220"/>
      <c r="H10" s="1220"/>
      <c r="M10" s="4196"/>
      <c r="N10" s="1223" t="s">
        <v>9291</v>
      </c>
      <c r="O10" s="1268">
        <f>D49</f>
        <v>13.242449767410401</v>
      </c>
      <c r="P10" s="1246" t="s">
        <v>9292</v>
      </c>
    </row>
    <row r="11" spans="1:16" ht="24" customHeight="1">
      <c r="A11" s="4263"/>
      <c r="B11" s="4257" t="s">
        <v>9916</v>
      </c>
      <c r="C11" s="4258"/>
      <c r="D11" s="1224">
        <v>3</v>
      </c>
      <c r="E11" s="1221" t="s">
        <v>9915</v>
      </c>
      <c r="F11" s="1225"/>
      <c r="G11" s="1220"/>
    </row>
    <row r="12" spans="1:16" ht="31.15" customHeight="1">
      <c r="A12" s="4263"/>
      <c r="B12" s="4290" t="s">
        <v>9917</v>
      </c>
      <c r="C12" s="4291"/>
      <c r="D12" s="1228">
        <v>0</v>
      </c>
      <c r="E12" s="1229" t="s">
        <v>9278</v>
      </c>
      <c r="F12" s="1225"/>
      <c r="G12" s="1230"/>
    </row>
    <row r="13" spans="1:16" ht="24" customHeight="1">
      <c r="A13" s="4264"/>
      <c r="B13" s="4257" t="s">
        <v>9392</v>
      </c>
      <c r="C13" s="4258"/>
      <c r="D13" s="1224">
        <v>30</v>
      </c>
      <c r="E13" s="1221" t="s">
        <v>9278</v>
      </c>
      <c r="F13" s="1225"/>
      <c r="G13" s="1220"/>
      <c r="H13" s="1220"/>
    </row>
    <row r="14" spans="1:16" ht="24" customHeight="1">
      <c r="A14" s="1231"/>
      <c r="B14" s="4259" t="s">
        <v>9399</v>
      </c>
      <c r="C14" s="4259"/>
      <c r="D14" s="1232">
        <v>0</v>
      </c>
      <c r="F14" s="1233"/>
    </row>
    <row r="15" spans="1:16" ht="24" customHeight="1">
      <c r="A15" s="1231"/>
      <c r="B15" s="4260" t="s">
        <v>9918</v>
      </c>
      <c r="C15" s="4260"/>
      <c r="D15" s="1232">
        <v>0.7</v>
      </c>
      <c r="F15" s="1233"/>
    </row>
    <row r="16" spans="1:16" ht="24" customHeight="1">
      <c r="A16" s="1231"/>
      <c r="B16" s="4254" t="s">
        <v>9919</v>
      </c>
      <c r="C16" s="4255"/>
      <c r="D16" s="1232">
        <v>1.5</v>
      </c>
      <c r="F16" s="4289" t="s">
        <v>9920</v>
      </c>
      <c r="G16" s="4289"/>
      <c r="H16" s="4289"/>
      <c r="I16" s="4289"/>
      <c r="J16" s="4289"/>
    </row>
    <row r="17" spans="1:10" ht="24" customHeight="1">
      <c r="A17" s="1234"/>
      <c r="B17" s="4257" t="s">
        <v>9921</v>
      </c>
      <c r="C17" s="4258"/>
      <c r="D17" s="1235">
        <f>360*(D5/(D4+D5))</f>
        <v>270</v>
      </c>
      <c r="E17" s="1236" t="s">
        <v>8920</v>
      </c>
      <c r="F17" s="4289" t="s">
        <v>9922</v>
      </c>
      <c r="G17" s="4289"/>
      <c r="H17" s="4289"/>
      <c r="I17" s="4289"/>
      <c r="J17" s="4289"/>
    </row>
    <row r="18" spans="1:10" ht="24" customHeight="1">
      <c r="A18" s="1231"/>
      <c r="C18" s="1237" t="s">
        <v>9229</v>
      </c>
      <c r="F18" s="1220"/>
      <c r="G18" s="1220"/>
    </row>
    <row r="19" spans="1:10" ht="24" customHeight="1">
      <c r="A19" s="1231"/>
      <c r="C19" s="1238" t="s">
        <v>9923</v>
      </c>
      <c r="E19" s="1220"/>
      <c r="G19" s="1239"/>
    </row>
    <row r="20" spans="1:10" ht="24" customHeight="1">
      <c r="A20" s="1231"/>
      <c r="B20" s="4257" t="s">
        <v>9924</v>
      </c>
      <c r="C20" s="4258"/>
      <c r="D20" s="1240">
        <v>1.76</v>
      </c>
      <c r="E20" s="1220"/>
      <c r="F20" s="1225"/>
      <c r="G20" s="1220"/>
    </row>
    <row r="21" spans="1:10" ht="24" customHeight="1">
      <c r="A21" s="1231"/>
      <c r="B21" s="4254" t="s">
        <v>9925</v>
      </c>
      <c r="C21" s="4255"/>
      <c r="D21" s="1240">
        <v>5.53</v>
      </c>
      <c r="E21" s="1220"/>
      <c r="F21" s="1225"/>
      <c r="G21" s="1220"/>
      <c r="I21" s="1221" t="s">
        <v>272</v>
      </c>
    </row>
    <row r="22" spans="1:10" ht="24" customHeight="1">
      <c r="A22" s="1241"/>
      <c r="B22" s="4257" t="s">
        <v>9926</v>
      </c>
      <c r="C22" s="4258"/>
      <c r="D22" s="1240">
        <v>0.99</v>
      </c>
      <c r="E22" s="1220"/>
      <c r="F22" s="1225"/>
      <c r="G22" s="1220"/>
    </row>
    <row r="23" spans="1:10" ht="37.9" customHeight="1">
      <c r="A23" s="4270" t="s">
        <v>9927</v>
      </c>
      <c r="B23" s="4270"/>
      <c r="C23" s="4270"/>
      <c r="D23" s="4270"/>
      <c r="E23" s="4270"/>
      <c r="F23" s="4270"/>
    </row>
    <row r="24" spans="1:10">
      <c r="A24" s="4265" t="s">
        <v>9928</v>
      </c>
      <c r="B24" s="4267" t="s">
        <v>9929</v>
      </c>
      <c r="C24" s="2810" t="s">
        <v>5934</v>
      </c>
      <c r="D24" s="2811" t="s">
        <v>9930</v>
      </c>
      <c r="E24" s="1243"/>
      <c r="F24" s="1243"/>
      <c r="G24" s="1244"/>
    </row>
    <row r="25" spans="1:10">
      <c r="A25" s="4265"/>
      <c r="B25" s="4267"/>
      <c r="C25" s="2810" t="s">
        <v>5934</v>
      </c>
      <c r="D25" s="1245">
        <f>(3.14159/4)*$D$7^2*$D$8*$D$9*0.001</f>
        <v>33.080942700000001</v>
      </c>
      <c r="E25" s="1246" t="s">
        <v>6081</v>
      </c>
      <c r="F25" s="1247"/>
    </row>
    <row r="26" spans="1:10" s="1220" customFormat="1" ht="7.9" customHeight="1">
      <c r="A26" s="4265"/>
      <c r="B26" s="1248"/>
      <c r="C26" s="1249"/>
      <c r="D26" s="1250"/>
    </row>
    <row r="27" spans="1:10">
      <c r="A27" s="4265"/>
      <c r="B27" s="4267" t="s">
        <v>9931</v>
      </c>
      <c r="C27" s="2810" t="s">
        <v>5934</v>
      </c>
      <c r="D27" s="1242" t="s">
        <v>9932</v>
      </c>
      <c r="E27" s="1243"/>
      <c r="F27" s="1247"/>
    </row>
    <row r="28" spans="1:10">
      <c r="A28" s="4265"/>
      <c r="B28" s="4267"/>
      <c r="C28" s="2810" t="s">
        <v>5934</v>
      </c>
      <c r="D28" s="1251">
        <f>$D$10*$D$3</f>
        <v>12</v>
      </c>
      <c r="E28" s="1246" t="s">
        <v>6081</v>
      </c>
      <c r="F28" s="1247"/>
    </row>
    <row r="29" spans="1:10" s="1220" customFormat="1" ht="7.9" customHeight="1">
      <c r="A29" s="4265"/>
      <c r="B29" s="1248"/>
      <c r="C29" s="1249"/>
      <c r="D29" s="1252"/>
    </row>
    <row r="30" spans="1:10">
      <c r="A30" s="4265"/>
      <c r="B30" s="4267" t="s">
        <v>9933</v>
      </c>
      <c r="C30" s="2810" t="s">
        <v>5934</v>
      </c>
      <c r="D30" s="1242" t="s">
        <v>9934</v>
      </c>
      <c r="E30" s="1247"/>
      <c r="F30" s="1220"/>
    </row>
    <row r="31" spans="1:10">
      <c r="A31" s="4265"/>
      <c r="B31" s="4267"/>
      <c r="C31" s="2810" t="s">
        <v>5934</v>
      </c>
      <c r="D31" s="1251">
        <f>$D$11*$D$3</f>
        <v>36</v>
      </c>
      <c r="E31" s="1246" t="s">
        <v>6081</v>
      </c>
      <c r="F31" s="1220"/>
    </row>
    <row r="32" spans="1:10" ht="6" customHeight="1">
      <c r="C32" s="1253"/>
    </row>
    <row r="33" spans="1:8">
      <c r="A33" s="4266" t="s">
        <v>9935</v>
      </c>
      <c r="B33" s="4268" t="s">
        <v>9936</v>
      </c>
      <c r="C33" s="2810" t="s">
        <v>5934</v>
      </c>
      <c r="D33" s="1242" t="s">
        <v>9937</v>
      </c>
      <c r="E33" s="1243"/>
      <c r="F33" s="1243"/>
    </row>
    <row r="34" spans="1:8">
      <c r="A34" s="4266"/>
      <c r="B34" s="4269"/>
      <c r="C34" s="2810" t="s">
        <v>5934</v>
      </c>
      <c r="D34" s="1254">
        <f>($D$25*($D$7/200)^2)/(2*9.8)</f>
        <v>0.15190228790816299</v>
      </c>
      <c r="E34" s="1246" t="s">
        <v>9421</v>
      </c>
      <c r="F34" s="1246"/>
    </row>
    <row r="35" spans="1:8" ht="7.15" customHeight="1">
      <c r="A35" s="4266"/>
      <c r="B35" s="1255"/>
      <c r="C35" s="1256"/>
      <c r="D35" s="1257"/>
      <c r="E35" s="1247"/>
      <c r="F35" s="1247"/>
    </row>
    <row r="36" spans="1:8">
      <c r="A36" s="4266"/>
      <c r="B36" s="4268" t="s">
        <v>9938</v>
      </c>
      <c r="C36" s="2810" t="s">
        <v>5934</v>
      </c>
      <c r="D36" s="1242" t="s">
        <v>9939</v>
      </c>
      <c r="E36" s="1243"/>
      <c r="F36" s="1243"/>
    </row>
    <row r="37" spans="1:8">
      <c r="A37" s="4266"/>
      <c r="B37" s="4269"/>
      <c r="C37" s="2810" t="s">
        <v>5934</v>
      </c>
      <c r="D37" s="1254">
        <f>($D$28*(($D$13/100)^2)/9.8)</f>
        <v>0.11020408163265299</v>
      </c>
      <c r="E37" s="1246" t="s">
        <v>9421</v>
      </c>
      <c r="F37" s="1246"/>
    </row>
    <row r="38" spans="1:8" ht="6" customHeight="1">
      <c r="A38" s="4266"/>
      <c r="C38" s="1253"/>
    </row>
    <row r="39" spans="1:8">
      <c r="A39" s="4266"/>
      <c r="B39" s="4267" t="s">
        <v>9940</v>
      </c>
      <c r="C39" s="2810" t="s">
        <v>5934</v>
      </c>
      <c r="D39" s="1242" t="s">
        <v>9941</v>
      </c>
      <c r="E39" s="1243"/>
      <c r="F39" s="1243"/>
    </row>
    <row r="40" spans="1:8">
      <c r="A40" s="4266"/>
      <c r="B40" s="4267"/>
      <c r="C40" s="2810" t="s">
        <v>5934</v>
      </c>
      <c r="D40" s="1254">
        <f>($D$31*($D$13/100)^2)/9.8</f>
        <v>0.33061224489795898</v>
      </c>
      <c r="E40" s="1246" t="s">
        <v>9421</v>
      </c>
      <c r="F40" s="1246"/>
    </row>
    <row r="41" spans="1:8" s="1220" customFormat="1" ht="6" customHeight="1">
      <c r="A41" s="4266"/>
      <c r="B41" s="1248"/>
      <c r="C41" s="1249"/>
      <c r="D41" s="1258"/>
    </row>
    <row r="42" spans="1:8" ht="15" customHeight="1">
      <c r="A42" s="4266"/>
      <c r="B42" s="4268" t="s">
        <v>9942</v>
      </c>
      <c r="C42" s="2810" t="s">
        <v>5934</v>
      </c>
      <c r="D42" s="1242" t="s">
        <v>9943</v>
      </c>
      <c r="E42" s="1243"/>
      <c r="F42" s="1243"/>
    </row>
    <row r="43" spans="1:8">
      <c r="A43" s="4266"/>
      <c r="B43" s="4269"/>
      <c r="C43" s="2810" t="s">
        <v>5934</v>
      </c>
      <c r="D43" s="1259">
        <f>($D$34+$D$37+$D$40)</f>
        <v>0.59271861443877505</v>
      </c>
      <c r="E43" s="1246" t="s">
        <v>9421</v>
      </c>
      <c r="F43" s="1246"/>
    </row>
    <row r="44" spans="1:8" ht="6" customHeight="1">
      <c r="C44" s="1253" t="s">
        <v>272</v>
      </c>
    </row>
    <row r="45" spans="1:8">
      <c r="A45" s="4276" t="s">
        <v>9944</v>
      </c>
      <c r="B45" s="4276"/>
      <c r="C45" s="2810" t="s">
        <v>5934</v>
      </c>
      <c r="D45" s="1242" t="s">
        <v>9945</v>
      </c>
      <c r="E45" s="1243"/>
      <c r="F45" s="1243"/>
      <c r="G45" s="1243"/>
      <c r="H45" s="1244"/>
    </row>
    <row r="46" spans="1:8">
      <c r="A46" s="4276"/>
      <c r="B46" s="4276"/>
      <c r="C46" s="2810" t="s">
        <v>5934</v>
      </c>
      <c r="D46" s="1260">
        <f>$D$21*(6.2832/$D$3)*((360/$D$17)*($D$6/60))^2</f>
        <v>22.341882716049401</v>
      </c>
      <c r="E46" s="1246" t="s">
        <v>9428</v>
      </c>
      <c r="F46" s="1246"/>
      <c r="G46" s="1247"/>
    </row>
    <row r="47" spans="1:8" ht="4.1500000000000004" customHeight="1">
      <c r="C47" s="1253"/>
    </row>
    <row r="48" spans="1:8">
      <c r="A48" s="4276" t="s">
        <v>9430</v>
      </c>
      <c r="B48" s="4276"/>
      <c r="C48" s="2810" t="s">
        <v>5934</v>
      </c>
      <c r="D48" s="1242" t="s">
        <v>9946</v>
      </c>
      <c r="E48" s="1243"/>
      <c r="F48" s="1243"/>
    </row>
    <row r="49" spans="1:13">
      <c r="A49" s="4276"/>
      <c r="B49" s="4276"/>
      <c r="C49" s="2810" t="s">
        <v>5934</v>
      </c>
      <c r="D49" s="1260">
        <f>$D$43*$D$46</f>
        <v>13.242449767410401</v>
      </c>
      <c r="E49" s="1246" t="s">
        <v>9261</v>
      </c>
      <c r="F49" s="1247"/>
    </row>
    <row r="50" spans="1:13" ht="4.9000000000000004" customHeight="1">
      <c r="C50" s="1253"/>
    </row>
    <row r="51" spans="1:13">
      <c r="A51" s="4277" t="s">
        <v>9436</v>
      </c>
      <c r="B51" s="4278"/>
      <c r="C51" s="2810" t="s">
        <v>5934</v>
      </c>
      <c r="D51" s="1242" t="s">
        <v>9363</v>
      </c>
      <c r="E51" s="1243"/>
    </row>
    <row r="52" spans="1:13" ht="13.9" customHeight="1">
      <c r="A52" s="4278"/>
      <c r="B52" s="4278"/>
      <c r="C52" s="2810" t="s">
        <v>5934</v>
      </c>
      <c r="D52" s="1260">
        <f>D14*($D$25+$D$28+$D$31)*($D$12*0.01)</f>
        <v>0</v>
      </c>
      <c r="E52" s="1246" t="s">
        <v>9261</v>
      </c>
    </row>
    <row r="53" spans="1:13" ht="4.9000000000000004" customHeight="1">
      <c r="B53" s="1261"/>
      <c r="C53" s="1233"/>
      <c r="D53" s="1262"/>
    </row>
    <row r="54" spans="1:13">
      <c r="A54" s="4271" t="s">
        <v>9438</v>
      </c>
      <c r="B54" s="4272"/>
      <c r="C54" s="4272"/>
      <c r="D54" s="4272"/>
      <c r="E54" s="4273"/>
    </row>
    <row r="55" spans="1:13" ht="7.15" customHeight="1"/>
    <row r="56" spans="1:13">
      <c r="A56" s="4279" t="s">
        <v>9439</v>
      </c>
      <c r="B56" s="4280"/>
      <c r="C56" s="2810" t="s">
        <v>5934</v>
      </c>
      <c r="D56" s="1242" t="s">
        <v>9369</v>
      </c>
      <c r="E56" s="1243"/>
    </row>
    <row r="57" spans="1:13">
      <c r="A57" s="4281"/>
      <c r="B57" s="4282"/>
      <c r="C57" s="2810" t="s">
        <v>5934</v>
      </c>
      <c r="D57" s="1263">
        <f>$D$49+$D$52+0</f>
        <v>13.242449767410401</v>
      </c>
      <c r="E57" s="1246" t="s">
        <v>9261</v>
      </c>
    </row>
    <row r="58" spans="1:13" ht="6" customHeight="1">
      <c r="C58" s="1253"/>
    </row>
    <row r="59" spans="1:13">
      <c r="A59" s="4283" t="s">
        <v>9947</v>
      </c>
      <c r="B59" s="4284"/>
      <c r="C59" s="2810" t="s">
        <v>5934</v>
      </c>
      <c r="D59" s="1242" t="s">
        <v>9948</v>
      </c>
      <c r="E59" s="1243"/>
    </row>
    <row r="60" spans="1:13">
      <c r="A60" s="4285"/>
      <c r="B60" s="4286"/>
      <c r="C60" s="2810" t="s">
        <v>5934</v>
      </c>
      <c r="D60" s="1264">
        <f>$D$57*D16</f>
        <v>19.863674651115598</v>
      </c>
      <c r="E60" s="1246" t="s">
        <v>9261</v>
      </c>
    </row>
    <row r="61" spans="1:13">
      <c r="C61" s="1253"/>
    </row>
    <row r="62" spans="1:13">
      <c r="A62" s="4274" t="s">
        <v>9949</v>
      </c>
      <c r="B62" s="4274"/>
      <c r="C62" s="2810" t="s">
        <v>5934</v>
      </c>
      <c r="D62" s="1242" t="s">
        <v>9260</v>
      </c>
      <c r="E62" s="1243"/>
      <c r="F62" s="1265"/>
      <c r="G62" s="4287" t="s">
        <v>9950</v>
      </c>
      <c r="H62" s="4288"/>
      <c r="I62" s="4288"/>
      <c r="J62" s="4288"/>
      <c r="K62" s="4288"/>
      <c r="L62" s="4288"/>
      <c r="M62" s="4288"/>
    </row>
    <row r="63" spans="1:13">
      <c r="A63" s="4274"/>
      <c r="B63" s="4274"/>
      <c r="C63" s="2810" t="s">
        <v>5934</v>
      </c>
      <c r="D63" s="1266">
        <f>(360/($D$17*$D$3))*$D$22*($D$60+0)</f>
        <v>2.18500421162272</v>
      </c>
      <c r="E63" s="1246" t="s">
        <v>9261</v>
      </c>
      <c r="F63" s="1220"/>
    </row>
    <row r="64" spans="1:13" ht="9" customHeight="1">
      <c r="C64" s="1253"/>
    </row>
    <row r="65" spans="1:6">
      <c r="A65" s="4275" t="s">
        <v>9951</v>
      </c>
      <c r="B65" s="4275"/>
      <c r="C65" s="2810" t="s">
        <v>5934</v>
      </c>
      <c r="D65" s="1242" t="s">
        <v>9263</v>
      </c>
      <c r="E65" s="1243"/>
      <c r="F65" s="1220"/>
    </row>
    <row r="66" spans="1:6">
      <c r="A66" s="4275"/>
      <c r="B66" s="4275"/>
      <c r="C66" s="2810" t="s">
        <v>5934</v>
      </c>
      <c r="D66" s="1245">
        <f>($D$63*$D$6)/(716*D15)</f>
        <v>0.544943189251476</v>
      </c>
      <c r="E66" s="1246" t="s">
        <v>9265</v>
      </c>
      <c r="F66" s="1220"/>
    </row>
    <row r="67" spans="1:6">
      <c r="C67" s="1253"/>
    </row>
    <row r="68" spans="1:6">
      <c r="B68" s="1221" t="s">
        <v>9952</v>
      </c>
      <c r="C68" s="2812" t="s">
        <v>5934</v>
      </c>
      <c r="D68" s="1270" t="s">
        <v>9267</v>
      </c>
      <c r="E68" s="1244"/>
    </row>
    <row r="69" spans="1:6">
      <c r="C69" s="2812" t="s">
        <v>5934</v>
      </c>
      <c r="D69" s="1271">
        <f>($D$63*$D$6)/(975*D15)</f>
        <v>0.400183921542622</v>
      </c>
      <c r="E69" s="1272" t="s">
        <v>9268</v>
      </c>
    </row>
    <row r="71" spans="1:6" ht="61.9" customHeight="1">
      <c r="A71" s="4261" t="s">
        <v>9953</v>
      </c>
      <c r="B71" s="4261"/>
      <c r="C71" s="4261"/>
      <c r="D71" s="4261"/>
      <c r="E71" s="4261"/>
    </row>
  </sheetData>
  <mergeCells count="44">
    <mergeCell ref="M4:M10"/>
    <mergeCell ref="A62:B63"/>
    <mergeCell ref="A65:B66"/>
    <mergeCell ref="A48:B49"/>
    <mergeCell ref="A51:B52"/>
    <mergeCell ref="A56:B57"/>
    <mergeCell ref="A45:B46"/>
    <mergeCell ref="A59:B60"/>
    <mergeCell ref="G62:M62"/>
    <mergeCell ref="F16:J16"/>
    <mergeCell ref="B17:C17"/>
    <mergeCell ref="F17:J17"/>
    <mergeCell ref="B20:C20"/>
    <mergeCell ref="B11:C11"/>
    <mergeCell ref="B12:C12"/>
    <mergeCell ref="B13:C13"/>
    <mergeCell ref="A71:E71"/>
    <mergeCell ref="A3:A13"/>
    <mergeCell ref="A24:A31"/>
    <mergeCell ref="A33:A43"/>
    <mergeCell ref="B24:B25"/>
    <mergeCell ref="B27:B28"/>
    <mergeCell ref="B30:B31"/>
    <mergeCell ref="B33:B34"/>
    <mergeCell ref="B36:B37"/>
    <mergeCell ref="B39:B40"/>
    <mergeCell ref="B42:B43"/>
    <mergeCell ref="B21:C21"/>
    <mergeCell ref="B22:C22"/>
    <mergeCell ref="A23:F23"/>
    <mergeCell ref="A54:E54"/>
    <mergeCell ref="B16:C16"/>
    <mergeCell ref="B14:C14"/>
    <mergeCell ref="B15:C15"/>
    <mergeCell ref="B7:C7"/>
    <mergeCell ref="B8:C8"/>
    <mergeCell ref="B9:C9"/>
    <mergeCell ref="F9:H9"/>
    <mergeCell ref="B10:C10"/>
    <mergeCell ref="A1:L1"/>
    <mergeCell ref="B3:C3"/>
    <mergeCell ref="B4:C4"/>
    <mergeCell ref="B5:C5"/>
    <mergeCell ref="B6:C6"/>
  </mergeCells>
  <phoneticPr fontId="378" type="noConversion"/>
  <dataValidations count="1">
    <dataValidation type="whole" errorStyle="warning" allowBlank="1" showInputMessage="1" showErrorMessage="1" errorTitle="輸入分割等份" error="請輸入0到999之間的整數" sqref="D3">
      <formula1>1</formula1>
      <formula2>999</formula2>
    </dataValidation>
  </dataValidations>
  <hyperlinks>
    <hyperlink ref="N1" location="总目录!A1" display="总目录!A1"/>
  </hyperlinks>
  <pageMargins left="0.75" right="0.75" top="1" bottom="1" header="0.5" footer="0.5"/>
  <pageSetup paperSize="12" orientation="portrait"/>
  <headerFooter scaleWithDoc="0" alignWithMargins="0"/>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7"/>
  <sheetViews>
    <sheetView topLeftCell="A75" zoomScale="55" zoomScaleNormal="55" workbookViewId="0">
      <selection activeCell="J114" sqref="J114"/>
    </sheetView>
  </sheetViews>
  <sheetFormatPr defaultColWidth="9" defaultRowHeight="24" customHeight="1"/>
  <cols>
    <col min="2" max="3" width="11.75" customWidth="1"/>
    <col min="4" max="4" width="9.5" customWidth="1"/>
    <col min="5" max="5" width="12.625"/>
    <col min="6" max="6" width="11.25" customWidth="1"/>
    <col min="7" max="9" width="12.625"/>
    <col min="10" max="10" width="12.125" customWidth="1"/>
  </cols>
  <sheetData>
    <row r="1" spans="1:11" ht="43.9" customHeight="1">
      <c r="A1" s="4292" t="s">
        <v>9954</v>
      </c>
      <c r="B1" s="4293"/>
      <c r="C1" s="4293"/>
      <c r="D1" s="4293"/>
      <c r="E1" s="4293"/>
      <c r="F1" s="4293"/>
      <c r="G1" s="4293"/>
      <c r="H1" s="4293"/>
      <c r="I1" s="4293"/>
      <c r="J1" s="4294"/>
    </row>
    <row r="2" spans="1:11" ht="24" customHeight="1">
      <c r="A2" s="1110"/>
      <c r="B2" s="1110"/>
      <c r="C2" s="1110"/>
      <c r="D2" s="1110"/>
      <c r="E2" s="1110"/>
      <c r="F2" s="1110"/>
      <c r="G2" s="1110"/>
      <c r="H2" s="1110"/>
      <c r="I2" s="1110"/>
      <c r="J2" s="1110"/>
    </row>
    <row r="3" spans="1:11" ht="24" customHeight="1">
      <c r="A3" s="1110"/>
      <c r="B3" s="1111"/>
      <c r="C3" s="4295" t="s">
        <v>9955</v>
      </c>
      <c r="D3" s="4296"/>
      <c r="E3" s="1110"/>
      <c r="F3" s="1112"/>
      <c r="G3" s="1113"/>
      <c r="H3" s="4295" t="s">
        <v>9956</v>
      </c>
      <c r="I3" s="4296"/>
      <c r="J3" s="3166" t="s">
        <v>12704</v>
      </c>
    </row>
    <row r="4" spans="1:11" ht="24" customHeight="1">
      <c r="A4" s="1110"/>
      <c r="B4" s="1110"/>
      <c r="C4" s="1114"/>
      <c r="D4" s="1114"/>
      <c r="E4" s="1110"/>
      <c r="F4" s="1110"/>
      <c r="G4" s="1110"/>
      <c r="H4" s="1110"/>
      <c r="I4" s="1110"/>
      <c r="J4" s="1110"/>
    </row>
    <row r="5" spans="1:11" ht="24" customHeight="1">
      <c r="A5" s="4297" t="s">
        <v>9957</v>
      </c>
      <c r="B5" s="4297"/>
      <c r="C5" s="1115"/>
      <c r="D5" s="1115"/>
      <c r="E5" s="1115"/>
      <c r="F5" s="1115"/>
      <c r="G5" s="67"/>
      <c r="H5" s="67"/>
      <c r="I5" s="67"/>
      <c r="J5" s="67"/>
    </row>
    <row r="6" spans="1:11" ht="24" customHeight="1">
      <c r="A6" s="1116"/>
      <c r="B6" s="1117"/>
      <c r="C6" s="1118" t="s">
        <v>9958</v>
      </c>
      <c r="D6" s="1118" t="s">
        <v>9959</v>
      </c>
      <c r="E6" s="1118" t="s">
        <v>9960</v>
      </c>
      <c r="F6" s="1118" t="s">
        <v>9961</v>
      </c>
      <c r="G6" s="1118" t="s">
        <v>9962</v>
      </c>
      <c r="H6" s="1118" t="s">
        <v>9963</v>
      </c>
      <c r="I6" s="1118" t="s">
        <v>9964</v>
      </c>
      <c r="J6" s="1130" t="s">
        <v>9965</v>
      </c>
      <c r="K6" s="65"/>
    </row>
    <row r="7" spans="1:11" ht="24" customHeight="1">
      <c r="A7" s="1119">
        <v>1</v>
      </c>
      <c r="B7" s="1120" t="s">
        <v>9958</v>
      </c>
      <c r="C7" s="1121">
        <f>A7*1</f>
        <v>1</v>
      </c>
      <c r="D7" s="1121">
        <f t="shared" ref="D7:D14" si="0">C7*100</f>
        <v>100</v>
      </c>
      <c r="E7" s="1121">
        <f t="shared" ref="E7:E14" si="1">C7*POWER(10,-4)*9.869</f>
        <v>9.8689999999999997E-4</v>
      </c>
      <c r="F7" s="1121">
        <f t="shared" ref="F7:F14" si="2">C7*0.0145</f>
        <v>1.4500000000000001E-2</v>
      </c>
      <c r="G7" s="1121">
        <f t="shared" ref="G7:G14" si="3">C7*0.00102</f>
        <v>1.0200000000000001E-3</v>
      </c>
      <c r="H7" s="1121">
        <f t="shared" ref="H7:H14" si="4">C7*0.02953</f>
        <v>2.9530000000000001E-2</v>
      </c>
      <c r="I7" s="1121">
        <f t="shared" ref="I7:I14" si="5">H7*25.4</f>
        <v>0.75006200000000001</v>
      </c>
      <c r="J7" s="1131">
        <f t="shared" ref="J7:J14" si="6">C7*10.197</f>
        <v>10.196999999999999</v>
      </c>
    </row>
    <row r="8" spans="1:11" ht="24" customHeight="1">
      <c r="A8" s="1119">
        <v>1</v>
      </c>
      <c r="B8" s="1120" t="s">
        <v>9959</v>
      </c>
      <c r="C8" s="1121">
        <f>A8*0.01</f>
        <v>0.01</v>
      </c>
      <c r="D8" s="1121">
        <f t="shared" si="0"/>
        <v>1</v>
      </c>
      <c r="E8" s="1121">
        <f t="shared" si="1"/>
        <v>9.8689999999999999E-6</v>
      </c>
      <c r="F8" s="1121">
        <f t="shared" si="2"/>
        <v>1.45E-4</v>
      </c>
      <c r="G8" s="1121">
        <f t="shared" si="3"/>
        <v>1.0200000000000001E-5</v>
      </c>
      <c r="H8" s="1121">
        <f t="shared" si="4"/>
        <v>2.9530000000000002E-4</v>
      </c>
      <c r="I8" s="1121">
        <f t="shared" si="5"/>
        <v>7.5006200000000004E-3</v>
      </c>
      <c r="J8" s="1131">
        <f t="shared" si="6"/>
        <v>0.10197000000000001</v>
      </c>
    </row>
    <row r="9" spans="1:11" ht="24" customHeight="1">
      <c r="A9" s="1119">
        <v>1</v>
      </c>
      <c r="B9" s="1120" t="s">
        <v>9960</v>
      </c>
      <c r="C9" s="1121">
        <f>1013.25*A9</f>
        <v>1013.25</v>
      </c>
      <c r="D9" s="1121">
        <f t="shared" si="0"/>
        <v>101325</v>
      </c>
      <c r="E9" s="1121">
        <f t="shared" si="1"/>
        <v>0.99997642499999995</v>
      </c>
      <c r="F9" s="1121">
        <f t="shared" si="2"/>
        <v>14.692125000000001</v>
      </c>
      <c r="G9" s="1121">
        <f t="shared" si="3"/>
        <v>1.033515</v>
      </c>
      <c r="H9" s="1121">
        <f t="shared" si="4"/>
        <v>29.921272500000001</v>
      </c>
      <c r="I9" s="1121">
        <f t="shared" si="5"/>
        <v>760.00032150000004</v>
      </c>
      <c r="J9" s="1131">
        <f t="shared" si="6"/>
        <v>10332.11025</v>
      </c>
    </row>
    <row r="10" spans="1:11" ht="24" customHeight="1">
      <c r="A10" s="1119">
        <v>1</v>
      </c>
      <c r="B10" s="1120" t="s">
        <v>9961</v>
      </c>
      <c r="C10" s="1121">
        <f>A10*68.95</f>
        <v>68.95</v>
      </c>
      <c r="D10" s="1121">
        <f t="shared" si="0"/>
        <v>6895</v>
      </c>
      <c r="E10" s="1121">
        <f t="shared" si="1"/>
        <v>6.8046755E-2</v>
      </c>
      <c r="F10" s="1121">
        <f t="shared" si="2"/>
        <v>0.99977499999999997</v>
      </c>
      <c r="G10" s="1121">
        <f t="shared" si="3"/>
        <v>7.0329000000000003E-2</v>
      </c>
      <c r="H10" s="1121">
        <f t="shared" si="4"/>
        <v>2.0360934999999998</v>
      </c>
      <c r="I10" s="1121">
        <f t="shared" si="5"/>
        <v>51.716774899999997</v>
      </c>
      <c r="J10" s="1131">
        <f t="shared" si="6"/>
        <v>703.08315000000005</v>
      </c>
    </row>
    <row r="11" spans="1:11" ht="24" customHeight="1">
      <c r="A11" s="1119">
        <v>1</v>
      </c>
      <c r="B11" s="1120" t="s">
        <v>9962</v>
      </c>
      <c r="C11" s="1121">
        <f>A11*980.7</f>
        <v>980.7</v>
      </c>
      <c r="D11" s="1121">
        <f t="shared" si="0"/>
        <v>98070</v>
      </c>
      <c r="E11" s="1121">
        <f t="shared" si="1"/>
        <v>0.96785283</v>
      </c>
      <c r="F11" s="1121">
        <f t="shared" si="2"/>
        <v>14.22015</v>
      </c>
      <c r="G11" s="1121">
        <f t="shared" si="3"/>
        <v>1.0003139999999999</v>
      </c>
      <c r="H11" s="1121">
        <f t="shared" si="4"/>
        <v>28.960070999999999</v>
      </c>
      <c r="I11" s="1121">
        <f t="shared" si="5"/>
        <v>735.58580340000003</v>
      </c>
      <c r="J11" s="1131">
        <f t="shared" si="6"/>
        <v>10000.197899999999</v>
      </c>
    </row>
    <row r="12" spans="1:11" ht="24" customHeight="1">
      <c r="A12" s="1119">
        <v>1</v>
      </c>
      <c r="B12" s="1120" t="s">
        <v>9963</v>
      </c>
      <c r="C12" s="1121">
        <f>A12*33.86</f>
        <v>33.86</v>
      </c>
      <c r="D12" s="1121">
        <f t="shared" si="0"/>
        <v>3386</v>
      </c>
      <c r="E12" s="1121">
        <f t="shared" si="1"/>
        <v>3.3416434000000002E-2</v>
      </c>
      <c r="F12" s="1121">
        <f t="shared" si="2"/>
        <v>0.49097000000000002</v>
      </c>
      <c r="G12" s="1121">
        <f t="shared" si="3"/>
        <v>3.4537199999999997E-2</v>
      </c>
      <c r="H12" s="1121">
        <f t="shared" si="4"/>
        <v>0.99988580000000005</v>
      </c>
      <c r="I12" s="1121">
        <f t="shared" si="5"/>
        <v>25.397099319999999</v>
      </c>
      <c r="J12" s="1131">
        <f t="shared" si="6"/>
        <v>345.27042</v>
      </c>
    </row>
    <row r="13" spans="1:11" ht="24" customHeight="1">
      <c r="A13" s="1119">
        <v>1</v>
      </c>
      <c r="B13" s="1122" t="s">
        <v>9964</v>
      </c>
      <c r="C13" s="1121">
        <f>A13*1.334</f>
        <v>1.3340000000000001</v>
      </c>
      <c r="D13" s="1121">
        <f t="shared" si="0"/>
        <v>133.4</v>
      </c>
      <c r="E13" s="1121">
        <f t="shared" si="1"/>
        <v>1.3165245999999999E-3</v>
      </c>
      <c r="F13" s="1121">
        <f t="shared" si="2"/>
        <v>1.9342999999999999E-2</v>
      </c>
      <c r="G13" s="1121">
        <f t="shared" si="3"/>
        <v>1.36068E-3</v>
      </c>
      <c r="H13" s="1121">
        <f t="shared" si="4"/>
        <v>3.9393020000000001E-2</v>
      </c>
      <c r="I13" s="1121">
        <f t="shared" si="5"/>
        <v>1.000582708</v>
      </c>
      <c r="J13" s="1131">
        <f t="shared" si="6"/>
        <v>13.602798</v>
      </c>
    </row>
    <row r="14" spans="1:11" ht="24" customHeight="1">
      <c r="A14" s="1123">
        <v>1</v>
      </c>
      <c r="B14" s="1124" t="s">
        <v>9965</v>
      </c>
      <c r="C14" s="1125">
        <f>A14*0.09807</f>
        <v>9.8070000000000004E-2</v>
      </c>
      <c r="D14" s="1126">
        <f t="shared" si="0"/>
        <v>9.8070000000000004</v>
      </c>
      <c r="E14" s="1126">
        <f t="shared" si="1"/>
        <v>9.6785282999999997E-5</v>
      </c>
      <c r="F14" s="1126">
        <f t="shared" si="2"/>
        <v>1.422015E-3</v>
      </c>
      <c r="G14" s="1126">
        <f t="shared" si="3"/>
        <v>1.0003140000000001E-4</v>
      </c>
      <c r="H14" s="1126">
        <f t="shared" si="4"/>
        <v>2.8960071E-3</v>
      </c>
      <c r="I14" s="1126">
        <f t="shared" si="5"/>
        <v>7.3558580339999999E-2</v>
      </c>
      <c r="J14" s="1184">
        <f t="shared" si="6"/>
        <v>1.0000197900000001</v>
      </c>
    </row>
    <row r="15" spans="1:11" ht="24" customHeight="1">
      <c r="A15" s="4298" t="s">
        <v>9966</v>
      </c>
      <c r="B15" s="4299"/>
      <c r="C15" s="1128"/>
      <c r="D15" s="1128"/>
      <c r="E15" s="1128"/>
      <c r="F15" s="1128"/>
      <c r="G15" s="1129"/>
      <c r="H15" s="1129"/>
      <c r="I15" s="1129"/>
      <c r="J15" s="1129"/>
    </row>
    <row r="16" spans="1:11" ht="24" customHeight="1">
      <c r="A16" s="1116"/>
      <c r="B16" s="1118"/>
      <c r="C16" s="1118" t="s">
        <v>9967</v>
      </c>
      <c r="D16" s="1118" t="s">
        <v>9968</v>
      </c>
      <c r="E16" s="1118" t="s">
        <v>9969</v>
      </c>
      <c r="F16" s="1130" t="s">
        <v>9970</v>
      </c>
      <c r="G16" s="1129"/>
      <c r="H16" s="1129"/>
      <c r="I16" s="1129"/>
      <c r="J16" s="1129"/>
    </row>
    <row r="17" spans="1:10" ht="24" customHeight="1">
      <c r="A17" s="1119">
        <v>1</v>
      </c>
      <c r="B17" s="1120" t="s">
        <v>9967</v>
      </c>
      <c r="C17" s="1121">
        <f>A17*1</f>
        <v>1</v>
      </c>
      <c r="D17" s="1121">
        <f t="shared" ref="D17:D20" si="7">C17*60</f>
        <v>60</v>
      </c>
      <c r="E17" s="1121">
        <f t="shared" ref="E17:E20" si="8">C17*1000</f>
        <v>1000</v>
      </c>
      <c r="F17" s="1131">
        <f t="shared" ref="F17:F20" si="9">C17*35.31</f>
        <v>35.31</v>
      </c>
      <c r="G17" s="1129"/>
      <c r="H17" s="1129"/>
      <c r="I17" s="1129"/>
      <c r="J17" s="1129"/>
    </row>
    <row r="18" spans="1:10" ht="24" customHeight="1">
      <c r="A18" s="1119">
        <v>1800</v>
      </c>
      <c r="B18" s="1120" t="s">
        <v>9968</v>
      </c>
      <c r="C18" s="1121">
        <f>A18*0.01667</f>
        <v>30.006</v>
      </c>
      <c r="D18" s="1121">
        <f t="shared" si="7"/>
        <v>1800.36</v>
      </c>
      <c r="E18" s="1121">
        <f t="shared" si="8"/>
        <v>30006</v>
      </c>
      <c r="F18" s="1131">
        <f t="shared" si="9"/>
        <v>1059.5118600000001</v>
      </c>
      <c r="G18" s="1129"/>
      <c r="H18" s="1129"/>
      <c r="I18" s="1129"/>
      <c r="J18" s="1129"/>
    </row>
    <row r="19" spans="1:10" ht="24" customHeight="1">
      <c r="A19" s="1119">
        <v>1</v>
      </c>
      <c r="B19" s="1120" t="s">
        <v>9969</v>
      </c>
      <c r="C19" s="1121">
        <f>A19*0.001</f>
        <v>1E-3</v>
      </c>
      <c r="D19" s="1121">
        <f t="shared" si="7"/>
        <v>0.06</v>
      </c>
      <c r="E19" s="1121">
        <f t="shared" si="8"/>
        <v>1</v>
      </c>
      <c r="F19" s="1131">
        <f t="shared" si="9"/>
        <v>3.5310000000000001E-2</v>
      </c>
      <c r="G19" s="1129"/>
      <c r="H19" s="1129"/>
      <c r="I19" s="1129"/>
      <c r="J19" s="1129"/>
    </row>
    <row r="20" spans="1:10" ht="24" customHeight="1">
      <c r="A20" s="1132">
        <v>1</v>
      </c>
      <c r="B20" s="1133" t="s">
        <v>9970</v>
      </c>
      <c r="C20" s="1126">
        <f>A20*0.02832</f>
        <v>2.8320000000000001E-2</v>
      </c>
      <c r="D20" s="1126">
        <f t="shared" si="7"/>
        <v>1.6992</v>
      </c>
      <c r="E20" s="1126">
        <f t="shared" si="8"/>
        <v>28.32</v>
      </c>
      <c r="F20" s="1134">
        <f t="shared" si="9"/>
        <v>0.99997919999999996</v>
      </c>
      <c r="G20" s="1129"/>
      <c r="H20" s="1129"/>
      <c r="I20" s="1129"/>
      <c r="J20" s="1129"/>
    </row>
    <row r="21" spans="1:10" ht="24" customHeight="1">
      <c r="A21" s="4303" t="s">
        <v>9971</v>
      </c>
      <c r="B21" s="4303"/>
      <c r="C21" s="1128"/>
      <c r="D21" s="1128"/>
      <c r="E21" s="1128"/>
      <c r="F21" s="1129"/>
      <c r="G21" s="1129"/>
      <c r="H21" s="1129"/>
      <c r="I21" s="1129"/>
      <c r="J21" s="1129"/>
    </row>
    <row r="22" spans="1:10" ht="24" customHeight="1">
      <c r="A22" s="1116"/>
      <c r="B22" s="1118"/>
      <c r="C22" s="1118" t="s">
        <v>7458</v>
      </c>
      <c r="D22" s="1118" t="s">
        <v>9972</v>
      </c>
      <c r="E22" s="1135" t="s">
        <v>9973</v>
      </c>
      <c r="F22" s="1130" t="s">
        <v>9974</v>
      </c>
      <c r="G22" s="1129"/>
      <c r="H22" s="1129"/>
      <c r="I22" s="1129"/>
      <c r="J22" s="1129"/>
    </row>
    <row r="23" spans="1:10" ht="24" customHeight="1">
      <c r="A23" s="1119">
        <v>1</v>
      </c>
      <c r="B23" s="1120" t="s">
        <v>7458</v>
      </c>
      <c r="C23" s="1121">
        <f>A23*1</f>
        <v>1</v>
      </c>
      <c r="D23" s="1121">
        <f t="shared" ref="D23:D26" si="10">C23*0.238845896</f>
        <v>0.238845896</v>
      </c>
      <c r="E23" s="1121">
        <f t="shared" ref="E23:E26" si="11">C23*0.0000002777777777</f>
        <v>2.7777777770000002E-7</v>
      </c>
      <c r="F23" s="1136">
        <f t="shared" ref="F23:F26" si="12">C23*0.00094777746</f>
        <v>9.4777746000000002E-4</v>
      </c>
      <c r="G23" s="1129"/>
      <c r="H23" s="1129"/>
      <c r="I23" s="1129"/>
      <c r="J23" s="1129"/>
    </row>
    <row r="24" spans="1:10" ht="24" customHeight="1">
      <c r="A24" s="1119">
        <v>1</v>
      </c>
      <c r="B24" s="1120" t="s">
        <v>9972</v>
      </c>
      <c r="C24" s="1121">
        <f>A24*4.1868</f>
        <v>4.1867999999999999</v>
      </c>
      <c r="D24" s="1121">
        <f t="shared" si="10"/>
        <v>0.99999999737279999</v>
      </c>
      <c r="E24" s="1121">
        <f t="shared" si="11"/>
        <v>1.16299999967436E-6</v>
      </c>
      <c r="F24" s="1136">
        <f t="shared" si="12"/>
        <v>3.9681546695279997E-3</v>
      </c>
      <c r="G24" s="1129"/>
      <c r="H24" s="1129"/>
      <c r="I24" s="1129"/>
      <c r="J24" s="1129"/>
    </row>
    <row r="25" spans="1:10" ht="24" customHeight="1">
      <c r="A25" s="1119">
        <v>1</v>
      </c>
      <c r="B25" s="1120" t="s">
        <v>9973</v>
      </c>
      <c r="C25" s="1121">
        <f>A25*3600000</f>
        <v>3600000</v>
      </c>
      <c r="D25" s="1121">
        <f t="shared" si="10"/>
        <v>859845.22560000001</v>
      </c>
      <c r="E25" s="1121">
        <f t="shared" si="11"/>
        <v>0.99999999971999998</v>
      </c>
      <c r="F25" s="1136">
        <f t="shared" si="12"/>
        <v>3411.9988560000002</v>
      </c>
      <c r="G25" s="1129"/>
      <c r="H25" s="1129"/>
      <c r="I25" s="1129"/>
      <c r="J25" s="1129"/>
    </row>
    <row r="26" spans="1:10" ht="24" customHeight="1">
      <c r="A26" s="1132">
        <v>1</v>
      </c>
      <c r="B26" s="1133" t="s">
        <v>9974</v>
      </c>
      <c r="C26" s="1126">
        <f>A26*1055.1</f>
        <v>1055.0999999999999</v>
      </c>
      <c r="D26" s="1126">
        <f t="shared" si="10"/>
        <v>252.0063048696</v>
      </c>
      <c r="E26" s="1126">
        <f t="shared" si="11"/>
        <v>2.9308333325126998E-4</v>
      </c>
      <c r="F26" s="1134">
        <f t="shared" si="12"/>
        <v>0.99999999804600004</v>
      </c>
      <c r="G26" s="1129"/>
      <c r="H26" s="1129"/>
      <c r="I26" s="1129"/>
      <c r="J26" s="3166" t="s">
        <v>12704</v>
      </c>
    </row>
    <row r="27" spans="1:10" ht="24" customHeight="1">
      <c r="A27" s="4303" t="s">
        <v>9975</v>
      </c>
      <c r="B27" s="4303"/>
      <c r="C27" s="1128"/>
      <c r="D27" s="1128"/>
      <c r="E27" s="1128"/>
      <c r="F27" s="1128"/>
      <c r="G27" s="1129"/>
      <c r="H27" s="1129"/>
      <c r="I27" s="1129"/>
      <c r="J27" s="1129"/>
    </row>
    <row r="28" spans="1:10" ht="24" customHeight="1">
      <c r="A28" s="1116"/>
      <c r="B28" s="1118"/>
      <c r="C28" s="1118" t="s">
        <v>9976</v>
      </c>
      <c r="D28" s="1118" t="s">
        <v>9447</v>
      </c>
      <c r="E28" s="1118" t="s">
        <v>9287</v>
      </c>
      <c r="F28" s="1130" t="s">
        <v>1604</v>
      </c>
      <c r="G28" s="1137"/>
      <c r="H28" s="1129"/>
      <c r="I28" s="1129"/>
      <c r="J28" s="1129"/>
    </row>
    <row r="29" spans="1:10" ht="24" customHeight="1">
      <c r="A29" s="1119">
        <v>1</v>
      </c>
      <c r="B29" s="1120" t="s">
        <v>9976</v>
      </c>
      <c r="C29" s="1121">
        <f>A29*1</f>
        <v>1</v>
      </c>
      <c r="D29" s="1121">
        <f t="shared" ref="D29:D32" si="13">C29*0.01</f>
        <v>0.01</v>
      </c>
      <c r="E29" s="1121">
        <f t="shared" ref="E29:E32" si="14">C29*0.01315</f>
        <v>1.315E-2</v>
      </c>
      <c r="F29" s="1131">
        <f t="shared" ref="F29:F32" si="15">C29*0.01333</f>
        <v>1.333E-2</v>
      </c>
      <c r="G29" s="1129"/>
      <c r="H29" s="1129"/>
      <c r="I29" s="1129"/>
      <c r="J29" s="1129"/>
    </row>
    <row r="30" spans="1:10" ht="24" customHeight="1">
      <c r="A30" s="1119">
        <v>1</v>
      </c>
      <c r="B30" s="1120" t="s">
        <v>9447</v>
      </c>
      <c r="C30" s="1121">
        <f>A30*101.97</f>
        <v>101.97</v>
      </c>
      <c r="D30" s="1121">
        <f t="shared" si="13"/>
        <v>1.0197000000000001</v>
      </c>
      <c r="E30" s="1121">
        <f t="shared" si="14"/>
        <v>1.3409055000000001</v>
      </c>
      <c r="F30" s="1131">
        <f t="shared" si="15"/>
        <v>1.3592601</v>
      </c>
      <c r="G30" s="1129"/>
      <c r="H30" s="1129"/>
      <c r="I30" s="1129"/>
      <c r="J30" s="1129"/>
    </row>
    <row r="31" spans="1:10" ht="24" customHeight="1">
      <c r="A31" s="1119">
        <v>1</v>
      </c>
      <c r="B31" s="1120" t="s">
        <v>9287</v>
      </c>
      <c r="C31" s="1121">
        <f>A31*76.038</f>
        <v>76.037999999999997</v>
      </c>
      <c r="D31" s="1121">
        <f t="shared" si="13"/>
        <v>0.76037999999999994</v>
      </c>
      <c r="E31" s="1138">
        <f t="shared" si="14"/>
        <v>0.99989969999999995</v>
      </c>
      <c r="F31" s="1131">
        <f t="shared" si="15"/>
        <v>1.0135865399999999</v>
      </c>
      <c r="G31" s="1129"/>
      <c r="H31" s="1129"/>
      <c r="I31" s="1129"/>
      <c r="J31" s="1129"/>
    </row>
    <row r="32" spans="1:10" ht="24" customHeight="1">
      <c r="A32" s="1132">
        <v>1</v>
      </c>
      <c r="B32" s="1133" t="s">
        <v>1604</v>
      </c>
      <c r="C32" s="1126">
        <f>A32*75</f>
        <v>75</v>
      </c>
      <c r="D32" s="1126">
        <f t="shared" si="13"/>
        <v>0.75</v>
      </c>
      <c r="E32" s="1126">
        <f t="shared" si="14"/>
        <v>0.98624999999999996</v>
      </c>
      <c r="F32" s="1139">
        <f t="shared" si="15"/>
        <v>0.99975000000000003</v>
      </c>
      <c r="G32" s="1129"/>
      <c r="H32" s="1129"/>
      <c r="I32" s="1129"/>
      <c r="J32" s="1129"/>
    </row>
    <row r="33" spans="1:12" ht="24" customHeight="1">
      <c r="A33" s="4304" t="s">
        <v>9977</v>
      </c>
      <c r="B33" s="4304"/>
      <c r="C33" s="1129"/>
      <c r="D33" s="1129"/>
      <c r="E33" s="1129"/>
      <c r="F33" s="1129"/>
      <c r="G33" s="1129"/>
      <c r="H33" s="1129"/>
      <c r="I33" s="1129"/>
      <c r="J33" s="1129"/>
    </row>
    <row r="34" spans="1:12" ht="24" customHeight="1">
      <c r="A34" s="1140"/>
      <c r="B34" s="1141"/>
      <c r="C34" s="1141" t="s">
        <v>9978</v>
      </c>
      <c r="D34" s="1142" t="s">
        <v>717</v>
      </c>
      <c r="E34" s="1141" t="s">
        <v>9447</v>
      </c>
      <c r="F34" s="1143" t="s">
        <v>9979</v>
      </c>
      <c r="G34" s="67"/>
      <c r="H34" s="67"/>
      <c r="I34" s="67"/>
      <c r="J34" s="67"/>
    </row>
    <row r="35" spans="1:12" ht="24" customHeight="1">
      <c r="A35" s="1144">
        <v>300000</v>
      </c>
      <c r="B35" s="1120" t="s">
        <v>9978</v>
      </c>
      <c r="C35" s="1121">
        <f>A35*1</f>
        <v>300000</v>
      </c>
      <c r="D35" s="1121">
        <f t="shared" ref="D35:D38" si="16">C35*1.163</f>
        <v>348900</v>
      </c>
      <c r="E35" s="1121">
        <f t="shared" ref="E35:E38" si="17">C35*0.001163</f>
        <v>348.9</v>
      </c>
      <c r="F35" s="1145">
        <f t="shared" ref="F35:F38" si="18">C35*0.0003306880187</f>
        <v>99.206405610000004</v>
      </c>
      <c r="G35" s="67"/>
      <c r="H35" s="67"/>
      <c r="I35" s="67"/>
      <c r="J35" s="67"/>
    </row>
    <row r="36" spans="1:12" ht="24" customHeight="1">
      <c r="A36" s="1144">
        <v>1</v>
      </c>
      <c r="B36" s="1120" t="s">
        <v>717</v>
      </c>
      <c r="C36" s="1121">
        <f>A36*0.8598452</f>
        <v>0.85984519999999998</v>
      </c>
      <c r="D36" s="1121">
        <f t="shared" si="16"/>
        <v>0.99999996759999998</v>
      </c>
      <c r="E36" s="1121">
        <f t="shared" si="17"/>
        <v>9.9999996760000002E-4</v>
      </c>
      <c r="F36" s="1145">
        <f t="shared" si="18"/>
        <v>2.8434050557670502E-4</v>
      </c>
      <c r="G36" s="67"/>
      <c r="H36" s="67"/>
      <c r="I36" s="67"/>
      <c r="J36" s="67"/>
    </row>
    <row r="37" spans="1:12" ht="24" customHeight="1">
      <c r="A37" s="1144">
        <v>100</v>
      </c>
      <c r="B37" s="1120" t="s">
        <v>9447</v>
      </c>
      <c r="C37" s="1121">
        <f>A37*859.8452</f>
        <v>85984.52</v>
      </c>
      <c r="D37" s="1121">
        <f t="shared" si="16"/>
        <v>99999.996759999995</v>
      </c>
      <c r="E37" s="1121">
        <f t="shared" si="17"/>
        <v>99.999996760000002</v>
      </c>
      <c r="F37" s="1145">
        <f t="shared" si="18"/>
        <v>28.434050557670499</v>
      </c>
      <c r="G37" s="67"/>
      <c r="H37" s="67"/>
      <c r="I37" s="67"/>
      <c r="J37" s="67"/>
    </row>
    <row r="38" spans="1:12" ht="24" customHeight="1">
      <c r="A38" s="1146">
        <v>200</v>
      </c>
      <c r="B38" s="1147" t="s">
        <v>9979</v>
      </c>
      <c r="C38" s="1148">
        <f>A38*3023.99828</f>
        <v>604799.65599999996</v>
      </c>
      <c r="D38" s="1148">
        <f t="shared" si="16"/>
        <v>703381.99992800003</v>
      </c>
      <c r="E38" s="1148">
        <f t="shared" si="17"/>
        <v>703.38199992800003</v>
      </c>
      <c r="F38" s="1149">
        <f t="shared" si="18"/>
        <v>199.99999995308201</v>
      </c>
      <c r="G38" s="67"/>
      <c r="H38" s="67"/>
      <c r="I38" s="67"/>
      <c r="J38" s="67"/>
    </row>
    <row r="39" spans="1:12" ht="24" customHeight="1">
      <c r="A39" s="1150"/>
      <c r="B39" s="1151"/>
      <c r="C39" s="654"/>
      <c r="D39" s="654"/>
      <c r="E39" s="654"/>
      <c r="F39" s="1152"/>
    </row>
    <row r="40" spans="1:12" ht="24" customHeight="1">
      <c r="A40" s="1153" t="s">
        <v>9980</v>
      </c>
      <c r="K40" s="65"/>
      <c r="L40" s="65"/>
    </row>
    <row r="41" spans="1:12" ht="24" customHeight="1">
      <c r="A41" s="1154"/>
      <c r="B41" s="1155"/>
      <c r="C41" s="1156" t="s">
        <v>6127</v>
      </c>
      <c r="D41" s="1156" t="s">
        <v>2044</v>
      </c>
      <c r="E41" s="1156" t="s">
        <v>9981</v>
      </c>
      <c r="F41" s="1156" t="s">
        <v>9982</v>
      </c>
      <c r="G41" s="1157" t="s">
        <v>9983</v>
      </c>
    </row>
    <row r="42" spans="1:12" ht="24" customHeight="1">
      <c r="A42" s="1158">
        <v>1</v>
      </c>
      <c r="B42" s="1159" t="s">
        <v>6127</v>
      </c>
      <c r="C42" s="1160">
        <f>A42*1</f>
        <v>1</v>
      </c>
      <c r="D42" s="1160">
        <f t="shared" ref="D42:D46" si="19">C42*60</f>
        <v>60</v>
      </c>
      <c r="E42" s="1160">
        <f t="shared" ref="E42:E46" si="20">C42*3600</f>
        <v>3600</v>
      </c>
      <c r="F42" s="1160">
        <f t="shared" ref="F42:F46" si="21">C42/0.0051</f>
        <v>196.07843137254901</v>
      </c>
      <c r="G42" s="1161">
        <f t="shared" ref="G42:G46" si="22">C42/0.3048</f>
        <v>3.2808398950131199</v>
      </c>
    </row>
    <row r="43" spans="1:12" ht="24" customHeight="1">
      <c r="A43" s="1158">
        <v>0.154</v>
      </c>
      <c r="B43" s="1159" t="s">
        <v>2044</v>
      </c>
      <c r="C43" s="1160">
        <f>A43/60</f>
        <v>2.5666666666666698E-3</v>
      </c>
      <c r="D43" s="1160">
        <f t="shared" si="19"/>
        <v>0.154</v>
      </c>
      <c r="E43" s="1160">
        <f t="shared" si="20"/>
        <v>9.24</v>
      </c>
      <c r="F43" s="1160">
        <f t="shared" si="21"/>
        <v>0.50326797385620903</v>
      </c>
      <c r="G43" s="1161">
        <f t="shared" si="22"/>
        <v>8.4208223972003504E-3</v>
      </c>
    </row>
    <row r="44" spans="1:12" ht="24" customHeight="1">
      <c r="A44" s="1158">
        <v>9</v>
      </c>
      <c r="B44" s="1159" t="s">
        <v>9981</v>
      </c>
      <c r="C44" s="1160">
        <f>A44/3600</f>
        <v>2.5000000000000001E-3</v>
      </c>
      <c r="D44" s="1160">
        <f t="shared" si="19"/>
        <v>0.15</v>
      </c>
      <c r="E44" s="1160">
        <f t="shared" si="20"/>
        <v>9</v>
      </c>
      <c r="F44" s="1160">
        <f t="shared" si="21"/>
        <v>0.49019607843137297</v>
      </c>
      <c r="G44" s="1161">
        <f t="shared" si="22"/>
        <v>8.20209973753281E-3</v>
      </c>
    </row>
    <row r="45" spans="1:12" ht="24" customHeight="1">
      <c r="A45" s="1158">
        <v>1</v>
      </c>
      <c r="B45" s="1159" t="s">
        <v>9982</v>
      </c>
      <c r="C45" s="1160">
        <f>A45*0.0051</f>
        <v>5.1000000000000004E-3</v>
      </c>
      <c r="D45" s="1160">
        <f t="shared" si="19"/>
        <v>0.30599999999999999</v>
      </c>
      <c r="E45" s="1160">
        <f t="shared" si="20"/>
        <v>18.36</v>
      </c>
      <c r="F45" s="1160">
        <f t="shared" si="21"/>
        <v>1</v>
      </c>
      <c r="G45" s="1161">
        <f t="shared" si="22"/>
        <v>1.6732283464566899E-2</v>
      </c>
    </row>
    <row r="46" spans="1:12" ht="24" customHeight="1">
      <c r="A46" s="1162">
        <v>1</v>
      </c>
      <c r="B46" s="1163" t="s">
        <v>9983</v>
      </c>
      <c r="C46" s="1164">
        <f>A46*0.3048</f>
        <v>0.30480000000000002</v>
      </c>
      <c r="D46" s="1164">
        <f t="shared" si="19"/>
        <v>18.288</v>
      </c>
      <c r="E46" s="1164">
        <f t="shared" si="20"/>
        <v>1097.28</v>
      </c>
      <c r="F46" s="1164">
        <f t="shared" si="21"/>
        <v>59.764705882352899</v>
      </c>
      <c r="G46" s="1165">
        <f t="shared" si="22"/>
        <v>1</v>
      </c>
    </row>
    <row r="47" spans="1:12" ht="24" customHeight="1">
      <c r="A47" s="1166" t="s">
        <v>9984</v>
      </c>
      <c r="B47" s="1127"/>
      <c r="C47" s="1127"/>
      <c r="D47" s="1127"/>
      <c r="E47" s="1127"/>
      <c r="F47" s="1127"/>
      <c r="G47" s="52"/>
    </row>
    <row r="48" spans="1:12" ht="24" customHeight="1">
      <c r="A48" s="1167"/>
      <c r="B48" s="1168"/>
      <c r="C48" s="1169" t="s">
        <v>6088</v>
      </c>
      <c r="D48" s="1169" t="s">
        <v>9278</v>
      </c>
      <c r="E48" s="1169" t="s">
        <v>2040</v>
      </c>
      <c r="F48" s="1168" t="s">
        <v>9985</v>
      </c>
      <c r="G48" s="1168" t="s">
        <v>9986</v>
      </c>
      <c r="H48" s="1168" t="s">
        <v>9987</v>
      </c>
      <c r="I48" s="1185" t="s">
        <v>9988</v>
      </c>
      <c r="J48" s="3166" t="s">
        <v>12704</v>
      </c>
    </row>
    <row r="49" spans="1:9" ht="24" customHeight="1">
      <c r="A49" s="1170">
        <v>0.154</v>
      </c>
      <c r="B49" s="1159" t="s">
        <v>6088</v>
      </c>
      <c r="C49" s="1160">
        <f>A49*1</f>
        <v>0.154</v>
      </c>
      <c r="D49" s="1160">
        <f t="shared" ref="D49:D55" si="23">C49*100</f>
        <v>15.4</v>
      </c>
      <c r="E49" s="1160">
        <f t="shared" ref="E49:E55" si="24">C49*1000</f>
        <v>154</v>
      </c>
      <c r="F49" s="1160">
        <f t="shared" ref="F49:F55" si="25">C49*39.37</f>
        <v>6.0629799999999996</v>
      </c>
      <c r="G49" s="1160">
        <f t="shared" ref="G49:G55" si="26">C49*3.281</f>
        <v>0.505274</v>
      </c>
      <c r="H49" s="1160">
        <f t="shared" ref="H49:H55" si="27">C49*3.3</f>
        <v>0.50819999999999999</v>
      </c>
      <c r="I49" s="1186">
        <f t="shared" ref="I49:I55" si="28">C49*POWER(10,6)</f>
        <v>154000</v>
      </c>
    </row>
    <row r="50" spans="1:9" ht="24" customHeight="1">
      <c r="A50" s="1170">
        <v>1</v>
      </c>
      <c r="B50" s="1159" t="s">
        <v>9989</v>
      </c>
      <c r="C50" s="1160">
        <f>0.01*A50</f>
        <v>0.01</v>
      </c>
      <c r="D50" s="1160">
        <f t="shared" si="23"/>
        <v>1</v>
      </c>
      <c r="E50" s="1160">
        <f t="shared" si="24"/>
        <v>10</v>
      </c>
      <c r="F50" s="1160">
        <f t="shared" si="25"/>
        <v>0.39369999999999999</v>
      </c>
      <c r="G50" s="1160">
        <f t="shared" si="26"/>
        <v>3.2809999999999999E-2</v>
      </c>
      <c r="H50" s="1160">
        <f t="shared" si="27"/>
        <v>3.3000000000000002E-2</v>
      </c>
      <c r="I50" s="1186">
        <f t="shared" si="28"/>
        <v>10000</v>
      </c>
    </row>
    <row r="51" spans="1:9" ht="24" customHeight="1">
      <c r="A51" s="1170">
        <v>92300</v>
      </c>
      <c r="B51" s="1159" t="s">
        <v>2040</v>
      </c>
      <c r="C51" s="1160">
        <f>A51*0.001</f>
        <v>92.3</v>
      </c>
      <c r="D51" s="1160">
        <f t="shared" si="23"/>
        <v>9230</v>
      </c>
      <c r="E51" s="1160">
        <f t="shared" si="24"/>
        <v>92300</v>
      </c>
      <c r="F51" s="1160">
        <f t="shared" si="25"/>
        <v>3633.8510000000001</v>
      </c>
      <c r="G51" s="1160">
        <f t="shared" si="26"/>
        <v>302.83629999999999</v>
      </c>
      <c r="H51" s="1160">
        <f t="shared" si="27"/>
        <v>304.58999999999997</v>
      </c>
      <c r="I51" s="1186">
        <f t="shared" si="28"/>
        <v>92300000</v>
      </c>
    </row>
    <row r="52" spans="1:9" ht="24" customHeight="1">
      <c r="A52" s="1170">
        <v>1</v>
      </c>
      <c r="B52" s="1171" t="s">
        <v>9985</v>
      </c>
      <c r="C52" s="1160">
        <f>A52*0.0254</f>
        <v>2.5399999999999999E-2</v>
      </c>
      <c r="D52" s="1160">
        <f t="shared" si="23"/>
        <v>2.54</v>
      </c>
      <c r="E52" s="1160">
        <f t="shared" si="24"/>
        <v>25.4</v>
      </c>
      <c r="F52" s="1172">
        <f t="shared" si="25"/>
        <v>0.99999800000000005</v>
      </c>
      <c r="G52" s="1160">
        <f t="shared" si="26"/>
        <v>8.3337400000000006E-2</v>
      </c>
      <c r="H52" s="1160">
        <f t="shared" si="27"/>
        <v>8.3820000000000006E-2</v>
      </c>
      <c r="I52" s="1186">
        <f t="shared" si="28"/>
        <v>25400</v>
      </c>
    </row>
    <row r="53" spans="1:9" ht="24" customHeight="1">
      <c r="A53" s="1170">
        <v>1</v>
      </c>
      <c r="B53" s="1171" t="s">
        <v>9986</v>
      </c>
      <c r="C53" s="1160">
        <f>A53*0.3048</f>
        <v>0.30480000000000002</v>
      </c>
      <c r="D53" s="1160">
        <f t="shared" si="23"/>
        <v>30.48</v>
      </c>
      <c r="E53" s="1160">
        <f t="shared" si="24"/>
        <v>304.8</v>
      </c>
      <c r="F53" s="1160">
        <f t="shared" si="25"/>
        <v>11.999976</v>
      </c>
      <c r="G53" s="1172">
        <f t="shared" si="26"/>
        <v>1.0000488000000001</v>
      </c>
      <c r="H53" s="1160">
        <f t="shared" si="27"/>
        <v>1.0058400000000001</v>
      </c>
      <c r="I53" s="1186">
        <f t="shared" si="28"/>
        <v>304800</v>
      </c>
    </row>
    <row r="54" spans="1:9" ht="24" customHeight="1">
      <c r="A54" s="1170">
        <v>1</v>
      </c>
      <c r="B54" s="1171" t="s">
        <v>9987</v>
      </c>
      <c r="C54" s="1160">
        <f>A54*0.303</f>
        <v>0.30299999999999999</v>
      </c>
      <c r="D54" s="1160">
        <f t="shared" si="23"/>
        <v>30.3</v>
      </c>
      <c r="E54" s="1160">
        <f t="shared" si="24"/>
        <v>303</v>
      </c>
      <c r="F54" s="1160">
        <f t="shared" si="25"/>
        <v>11.92911</v>
      </c>
      <c r="G54" s="1160">
        <f t="shared" si="26"/>
        <v>0.994143</v>
      </c>
      <c r="H54" s="1172">
        <f t="shared" si="27"/>
        <v>0.99990000000000001</v>
      </c>
      <c r="I54" s="1186">
        <f t="shared" si="28"/>
        <v>303000</v>
      </c>
    </row>
    <row r="55" spans="1:9" ht="24" customHeight="1">
      <c r="A55" s="1173">
        <v>1</v>
      </c>
      <c r="B55" s="1174" t="s">
        <v>9988</v>
      </c>
      <c r="C55" s="1175">
        <f>POWER(10,-6)*A55</f>
        <v>9.9999999999999995E-7</v>
      </c>
      <c r="D55" s="1175">
        <f t="shared" si="23"/>
        <v>1E-4</v>
      </c>
      <c r="E55" s="1175">
        <f t="shared" si="24"/>
        <v>1E-3</v>
      </c>
      <c r="F55" s="1175">
        <f t="shared" si="25"/>
        <v>3.9369999999999997E-5</v>
      </c>
      <c r="G55" s="1175">
        <f t="shared" si="26"/>
        <v>3.281E-6</v>
      </c>
      <c r="H55" s="1175">
        <f t="shared" si="27"/>
        <v>3.3000000000000002E-6</v>
      </c>
      <c r="I55" s="1187">
        <f t="shared" si="28"/>
        <v>1</v>
      </c>
    </row>
    <row r="56" spans="1:9" ht="24" customHeight="1">
      <c r="A56" s="1153" t="s">
        <v>9990</v>
      </c>
    </row>
    <row r="57" spans="1:9" ht="24" customHeight="1">
      <c r="A57" s="1176"/>
      <c r="B57" s="1155"/>
      <c r="C57" s="1156" t="s">
        <v>9991</v>
      </c>
      <c r="D57" s="1156" t="s">
        <v>9992</v>
      </c>
      <c r="E57" s="1156" t="s">
        <v>9993</v>
      </c>
      <c r="F57" s="1156" t="s">
        <v>9994</v>
      </c>
      <c r="G57" s="1177" t="s">
        <v>9995</v>
      </c>
      <c r="H57" s="1178" t="s">
        <v>9996</v>
      </c>
    </row>
    <row r="58" spans="1:9" ht="24" customHeight="1">
      <c r="A58" s="1179">
        <v>1</v>
      </c>
      <c r="B58" s="1159" t="s">
        <v>9991</v>
      </c>
      <c r="C58" s="1180">
        <f>A58*1</f>
        <v>1</v>
      </c>
      <c r="D58" s="1160">
        <f t="shared" ref="D58:D63" si="29">C58*10000</f>
        <v>10000</v>
      </c>
      <c r="E58" s="1160">
        <f t="shared" ref="E58:E63" si="30">C58*1550</f>
        <v>1550</v>
      </c>
      <c r="F58" s="1160">
        <f t="shared" ref="F58:F63" si="31">C58*10.76</f>
        <v>10.76</v>
      </c>
      <c r="G58" s="1160">
        <f t="shared" ref="G58:G63" si="32">C58*0.0002471</f>
        <v>2.4709999999999999E-4</v>
      </c>
      <c r="H58" s="1161">
        <f t="shared" ref="H58:H63" si="33">C58*0.303</f>
        <v>0.30299999999999999</v>
      </c>
    </row>
    <row r="59" spans="1:9" ht="24" customHeight="1">
      <c r="A59" s="1179">
        <v>1</v>
      </c>
      <c r="B59" s="1159" t="s">
        <v>9992</v>
      </c>
      <c r="C59" s="1160">
        <f>A59*0.0001</f>
        <v>1E-4</v>
      </c>
      <c r="D59" s="1160">
        <f t="shared" si="29"/>
        <v>1</v>
      </c>
      <c r="E59" s="1160">
        <f t="shared" si="30"/>
        <v>0.155</v>
      </c>
      <c r="F59" s="1160">
        <f t="shared" si="31"/>
        <v>1.0759999999999999E-3</v>
      </c>
      <c r="G59" s="1160">
        <f t="shared" si="32"/>
        <v>2.4710000000000001E-8</v>
      </c>
      <c r="H59" s="1161">
        <f t="shared" si="33"/>
        <v>3.0300000000000001E-5</v>
      </c>
    </row>
    <row r="60" spans="1:9" ht="24" customHeight="1">
      <c r="A60" s="1179">
        <v>1</v>
      </c>
      <c r="B60" s="1159" t="s">
        <v>9993</v>
      </c>
      <c r="C60" s="1160">
        <f>A60*0.0006452</f>
        <v>6.4519999999999996E-4</v>
      </c>
      <c r="D60" s="1160">
        <f t="shared" si="29"/>
        <v>6.452</v>
      </c>
      <c r="E60" s="1160">
        <f t="shared" si="30"/>
        <v>1.0000599999999999</v>
      </c>
      <c r="F60" s="1160">
        <f t="shared" si="31"/>
        <v>6.9423519999999997E-3</v>
      </c>
      <c r="G60" s="1160">
        <f t="shared" si="32"/>
        <v>1.5942891999999999E-7</v>
      </c>
      <c r="H60" s="1161">
        <f t="shared" si="33"/>
        <v>1.954956E-4</v>
      </c>
    </row>
    <row r="61" spans="1:9" ht="24" customHeight="1">
      <c r="A61" s="1179">
        <v>1</v>
      </c>
      <c r="B61" s="1159" t="s">
        <v>9994</v>
      </c>
      <c r="C61" s="1160">
        <f>A61*0.0929</f>
        <v>9.2899999999999996E-2</v>
      </c>
      <c r="D61" s="1160">
        <f t="shared" si="29"/>
        <v>929</v>
      </c>
      <c r="E61" s="1160">
        <f t="shared" si="30"/>
        <v>143.995</v>
      </c>
      <c r="F61" s="1160">
        <f t="shared" si="31"/>
        <v>0.99960400000000005</v>
      </c>
      <c r="G61" s="1160">
        <f t="shared" si="32"/>
        <v>2.295559E-5</v>
      </c>
      <c r="H61" s="1161">
        <f t="shared" si="33"/>
        <v>2.8148699999999999E-2</v>
      </c>
    </row>
    <row r="62" spans="1:9" ht="24" customHeight="1">
      <c r="A62" s="1179">
        <v>1</v>
      </c>
      <c r="B62" s="1181" t="s">
        <v>9995</v>
      </c>
      <c r="C62" s="1160">
        <f>A62*4047</f>
        <v>4047</v>
      </c>
      <c r="D62" s="1160">
        <f t="shared" si="29"/>
        <v>40470000</v>
      </c>
      <c r="E62" s="1160">
        <f t="shared" si="30"/>
        <v>6272850</v>
      </c>
      <c r="F62" s="1160">
        <f t="shared" si="31"/>
        <v>43545.72</v>
      </c>
      <c r="G62" s="1160">
        <f t="shared" si="32"/>
        <v>1.0000137</v>
      </c>
      <c r="H62" s="1161">
        <f t="shared" si="33"/>
        <v>1226.241</v>
      </c>
    </row>
    <row r="63" spans="1:9" ht="24" customHeight="1">
      <c r="A63" s="1182">
        <v>1</v>
      </c>
      <c r="B63" s="1183" t="s">
        <v>9996</v>
      </c>
      <c r="C63" s="1164">
        <f>A63*3.306</f>
        <v>3.306</v>
      </c>
      <c r="D63" s="1164">
        <f t="shared" si="29"/>
        <v>33060</v>
      </c>
      <c r="E63" s="1164">
        <f t="shared" si="30"/>
        <v>5124.3</v>
      </c>
      <c r="F63" s="1164">
        <f t="shared" si="31"/>
        <v>35.572560000000003</v>
      </c>
      <c r="G63" s="1164">
        <f t="shared" si="32"/>
        <v>8.1691260000000003E-4</v>
      </c>
      <c r="H63" s="1165">
        <f t="shared" si="33"/>
        <v>1.0017180000000001</v>
      </c>
    </row>
    <row r="64" spans="1:9" ht="24" customHeight="1">
      <c r="A64" s="1153" t="s">
        <v>9997</v>
      </c>
    </row>
    <row r="65" spans="1:10" ht="24" customHeight="1">
      <c r="A65" s="1188"/>
      <c r="B65" s="1156"/>
      <c r="C65" s="1156" t="s">
        <v>9998</v>
      </c>
      <c r="D65" s="1156" t="s">
        <v>9999</v>
      </c>
      <c r="E65" s="1156" t="s">
        <v>10000</v>
      </c>
      <c r="F65" s="1157" t="s">
        <v>10001</v>
      </c>
    </row>
    <row r="66" spans="1:10" ht="24" customHeight="1">
      <c r="A66" s="1179">
        <v>1</v>
      </c>
      <c r="B66" s="1159" t="s">
        <v>10002</v>
      </c>
      <c r="C66" s="1160">
        <f>A66*1</f>
        <v>1</v>
      </c>
      <c r="D66" s="1160">
        <f t="shared" ref="D66:D69" si="34">C66*1000</f>
        <v>1000</v>
      </c>
      <c r="E66" s="1160">
        <f t="shared" ref="E66:E69" si="35">C66*35.31</f>
        <v>35.31</v>
      </c>
      <c r="F66" s="1161">
        <f t="shared" ref="F66:F69" si="36">C66*264.2</f>
        <v>264.2</v>
      </c>
    </row>
    <row r="67" spans="1:10" ht="24" customHeight="1">
      <c r="A67" s="1179">
        <v>1</v>
      </c>
      <c r="B67" s="1159" t="s">
        <v>9999</v>
      </c>
      <c r="C67" s="1160">
        <f>A67*0.001</f>
        <v>1E-3</v>
      </c>
      <c r="D67" s="1160">
        <f t="shared" si="34"/>
        <v>1</v>
      </c>
      <c r="E67" s="1160">
        <f t="shared" si="35"/>
        <v>3.5310000000000001E-2</v>
      </c>
      <c r="F67" s="1161">
        <f t="shared" si="36"/>
        <v>0.26419999999999999</v>
      </c>
    </row>
    <row r="68" spans="1:10" ht="24" customHeight="1">
      <c r="A68" s="1179">
        <v>1</v>
      </c>
      <c r="B68" s="1159" t="s">
        <v>10000</v>
      </c>
      <c r="C68" s="1160">
        <f>A68*0.02832</f>
        <v>2.8320000000000001E-2</v>
      </c>
      <c r="D68" s="1160">
        <f t="shared" si="34"/>
        <v>28.32</v>
      </c>
      <c r="E68" s="1189">
        <f t="shared" si="35"/>
        <v>0.99997919999999996</v>
      </c>
      <c r="F68" s="1161">
        <f t="shared" si="36"/>
        <v>7.4821439999999999</v>
      </c>
    </row>
    <row r="69" spans="1:10" ht="24" customHeight="1">
      <c r="A69" s="1182">
        <v>1</v>
      </c>
      <c r="B69" s="1163" t="s">
        <v>10003</v>
      </c>
      <c r="C69" s="1164">
        <f>A69*0.003785</f>
        <v>3.7850000000000002E-3</v>
      </c>
      <c r="D69" s="1164">
        <f t="shared" si="34"/>
        <v>3.7850000000000001</v>
      </c>
      <c r="E69" s="1164">
        <f t="shared" si="35"/>
        <v>0.13364835</v>
      </c>
      <c r="F69" s="1190">
        <f t="shared" si="36"/>
        <v>0.99999700000000002</v>
      </c>
    </row>
    <row r="70" spans="1:10" ht="24" customHeight="1">
      <c r="A70" s="4305" t="s">
        <v>10004</v>
      </c>
      <c r="B70" s="4305"/>
      <c r="J70" s="3166" t="s">
        <v>12704</v>
      </c>
    </row>
    <row r="71" spans="1:10" ht="24" customHeight="1">
      <c r="A71" s="1191"/>
      <c r="B71" s="1155"/>
      <c r="C71" s="1156" t="s">
        <v>6081</v>
      </c>
      <c r="D71" s="1156" t="s">
        <v>10005</v>
      </c>
      <c r="E71" s="1156" t="s">
        <v>10006</v>
      </c>
      <c r="F71" s="1143" t="s">
        <v>10007</v>
      </c>
    </row>
    <row r="72" spans="1:10" ht="24" customHeight="1">
      <c r="A72" s="1179">
        <v>10</v>
      </c>
      <c r="B72" s="1159" t="s">
        <v>6081</v>
      </c>
      <c r="C72" s="1160">
        <f>A72*1</f>
        <v>10</v>
      </c>
      <c r="D72" s="1160">
        <f t="shared" ref="D72:D75" si="37">C72*2.205</f>
        <v>22.05</v>
      </c>
      <c r="E72" s="1160">
        <f t="shared" ref="E72:E75" si="38">C72*0.001</f>
        <v>0.01</v>
      </c>
      <c r="F72" s="1161">
        <f t="shared" ref="F72:F75" si="39">9.8*C72</f>
        <v>98</v>
      </c>
    </row>
    <row r="73" spans="1:10" ht="24" customHeight="1">
      <c r="A73" s="1179">
        <v>1</v>
      </c>
      <c r="B73" s="1159" t="s">
        <v>10005</v>
      </c>
      <c r="C73" s="1160">
        <f>A73*0.4536</f>
        <v>0.4536</v>
      </c>
      <c r="D73" s="1192">
        <f t="shared" si="37"/>
        <v>1.0001880000000001</v>
      </c>
      <c r="E73" s="1160">
        <f t="shared" si="38"/>
        <v>4.5360000000000002E-4</v>
      </c>
      <c r="F73" s="1161">
        <f t="shared" si="39"/>
        <v>4.4452800000000003</v>
      </c>
    </row>
    <row r="74" spans="1:10" ht="24" customHeight="1">
      <c r="A74" s="1179">
        <v>1</v>
      </c>
      <c r="B74" s="1159" t="s">
        <v>10006</v>
      </c>
      <c r="C74" s="1160">
        <f>A74*1000</f>
        <v>1000</v>
      </c>
      <c r="D74" s="1160">
        <f t="shared" si="37"/>
        <v>2205</v>
      </c>
      <c r="E74" s="1160">
        <f t="shared" si="38"/>
        <v>1</v>
      </c>
      <c r="F74" s="1161">
        <f t="shared" si="39"/>
        <v>9800</v>
      </c>
    </row>
    <row r="75" spans="1:10" ht="24" customHeight="1">
      <c r="A75" s="1182">
        <v>60</v>
      </c>
      <c r="B75" s="1147" t="s">
        <v>10007</v>
      </c>
      <c r="C75" s="1164">
        <f>A75/9.8</f>
        <v>6.12244897959184</v>
      </c>
      <c r="D75" s="1164">
        <f t="shared" si="37"/>
        <v>13.5</v>
      </c>
      <c r="E75" s="1164">
        <f t="shared" si="38"/>
        <v>6.1224489795918399E-3</v>
      </c>
      <c r="F75" s="1165">
        <f t="shared" si="39"/>
        <v>60</v>
      </c>
    </row>
    <row r="76" spans="1:10" ht="24" customHeight="1">
      <c r="A76" s="1193" t="s">
        <v>10008</v>
      </c>
    </row>
    <row r="77" spans="1:10" ht="24" customHeight="1">
      <c r="B77" s="1168"/>
      <c r="C77" s="1169" t="s">
        <v>10009</v>
      </c>
      <c r="D77" s="1169" t="s">
        <v>10010</v>
      </c>
      <c r="E77" s="1169" t="s">
        <v>10011</v>
      </c>
      <c r="F77" s="1169" t="s">
        <v>10012</v>
      </c>
      <c r="G77" s="1169" t="s">
        <v>10013</v>
      </c>
      <c r="H77" s="1194" t="s">
        <v>10014</v>
      </c>
    </row>
    <row r="78" spans="1:10" ht="24" customHeight="1">
      <c r="A78" s="1195">
        <v>1</v>
      </c>
      <c r="B78" s="1159" t="s">
        <v>10009</v>
      </c>
      <c r="C78" s="1160">
        <f>A78*1</f>
        <v>1</v>
      </c>
      <c r="D78" s="1160">
        <f t="shared" ref="D78:D83" si="40">C78*1000</f>
        <v>1000</v>
      </c>
      <c r="E78" s="1160">
        <f t="shared" ref="E78:E83" si="41">C78*62.42</f>
        <v>62.42</v>
      </c>
      <c r="F78" s="1160">
        <f t="shared" ref="F78:F83" si="42">C78*8.345</f>
        <v>8.3450000000000006</v>
      </c>
      <c r="G78" s="1160">
        <f t="shared" ref="G78:G83" si="43">C78*1000000</f>
        <v>1000000</v>
      </c>
      <c r="H78" s="1186">
        <f t="shared" ref="H78:H83" si="44">C78*436900</f>
        <v>436900</v>
      </c>
    </row>
    <row r="79" spans="1:10" ht="24" customHeight="1">
      <c r="A79" s="1195">
        <v>1</v>
      </c>
      <c r="B79" s="1159" t="s">
        <v>10010</v>
      </c>
      <c r="C79" s="1160">
        <f>A79*0.001</f>
        <v>1E-3</v>
      </c>
      <c r="D79" s="1160">
        <f t="shared" si="40"/>
        <v>1</v>
      </c>
      <c r="E79" s="1160">
        <f t="shared" si="41"/>
        <v>6.2420000000000003E-2</v>
      </c>
      <c r="F79" s="1160">
        <f t="shared" si="42"/>
        <v>8.345E-3</v>
      </c>
      <c r="G79" s="1160">
        <f t="shared" si="43"/>
        <v>1000</v>
      </c>
      <c r="H79" s="1186">
        <f t="shared" si="44"/>
        <v>436.9</v>
      </c>
    </row>
    <row r="80" spans="1:10" ht="24" customHeight="1">
      <c r="A80" s="1195">
        <v>1</v>
      </c>
      <c r="B80" s="1159" t="s">
        <v>10011</v>
      </c>
      <c r="C80" s="1160">
        <f>A80*0.01602</f>
        <v>1.602E-2</v>
      </c>
      <c r="D80" s="1160">
        <f t="shared" si="40"/>
        <v>16.02</v>
      </c>
      <c r="E80" s="1189">
        <f t="shared" si="41"/>
        <v>0.99996839999999998</v>
      </c>
      <c r="F80" s="1160">
        <f t="shared" si="42"/>
        <v>0.1336869</v>
      </c>
      <c r="G80" s="1160">
        <f t="shared" si="43"/>
        <v>16020</v>
      </c>
      <c r="H80" s="1186">
        <f t="shared" si="44"/>
        <v>6999.1379999999999</v>
      </c>
    </row>
    <row r="81" spans="1:10" ht="24" customHeight="1">
      <c r="A81" s="1195">
        <v>1</v>
      </c>
      <c r="B81" s="1159" t="s">
        <v>10012</v>
      </c>
      <c r="C81" s="1160">
        <f>A81*0.1198</f>
        <v>0.1198</v>
      </c>
      <c r="D81" s="1160">
        <f t="shared" si="40"/>
        <v>119.8</v>
      </c>
      <c r="E81" s="1160">
        <f t="shared" si="41"/>
        <v>7.4779159999999996</v>
      </c>
      <c r="F81" s="1192">
        <f t="shared" si="42"/>
        <v>0.99973100000000004</v>
      </c>
      <c r="G81" s="1160">
        <f t="shared" si="43"/>
        <v>119800</v>
      </c>
      <c r="H81" s="1186">
        <f t="shared" si="44"/>
        <v>52340.62</v>
      </c>
    </row>
    <row r="82" spans="1:10" ht="24" customHeight="1">
      <c r="A82" s="1195">
        <v>1</v>
      </c>
      <c r="B82" s="1159" t="s">
        <v>10013</v>
      </c>
      <c r="C82" s="1160">
        <f>A82*0.000001</f>
        <v>9.9999999999999995E-7</v>
      </c>
      <c r="D82" s="1160">
        <f t="shared" si="40"/>
        <v>1E-3</v>
      </c>
      <c r="E82" s="1160">
        <f t="shared" si="41"/>
        <v>6.2420000000000002E-5</v>
      </c>
      <c r="F82" s="1160">
        <f t="shared" si="42"/>
        <v>8.3450000000000006E-6</v>
      </c>
      <c r="G82" s="1160">
        <f t="shared" si="43"/>
        <v>1</v>
      </c>
      <c r="H82" s="1186">
        <f t="shared" si="44"/>
        <v>0.43690000000000001</v>
      </c>
    </row>
    <row r="83" spans="1:10" ht="24" customHeight="1">
      <c r="A83" s="1196">
        <v>1</v>
      </c>
      <c r="B83" s="1197" t="s">
        <v>10014</v>
      </c>
      <c r="C83" s="1175">
        <f>A83*0.000002289</f>
        <v>2.289E-6</v>
      </c>
      <c r="D83" s="1175">
        <f t="shared" si="40"/>
        <v>2.2889999999999998E-3</v>
      </c>
      <c r="E83" s="1175">
        <f t="shared" si="41"/>
        <v>1.4287938E-4</v>
      </c>
      <c r="F83" s="1175">
        <f t="shared" si="42"/>
        <v>1.9101705000000001E-5</v>
      </c>
      <c r="G83" s="1175">
        <f t="shared" si="43"/>
        <v>2.2890000000000001</v>
      </c>
      <c r="H83" s="1198">
        <f t="shared" si="44"/>
        <v>1.0000640999999999</v>
      </c>
      <c r="I83" s="654"/>
    </row>
    <row r="84" spans="1:10" ht="24" customHeight="1">
      <c r="A84" s="1153" t="s">
        <v>10015</v>
      </c>
    </row>
    <row r="85" spans="1:10" ht="24" customHeight="1">
      <c r="A85" s="1199"/>
      <c r="B85" s="1168"/>
      <c r="C85" s="1169" t="s">
        <v>10016</v>
      </c>
      <c r="D85" s="1169" t="s">
        <v>10017</v>
      </c>
      <c r="E85" s="1169" t="s">
        <v>10018</v>
      </c>
      <c r="F85" s="1169" t="s">
        <v>10019</v>
      </c>
      <c r="G85" s="1194" t="s">
        <v>10020</v>
      </c>
    </row>
    <row r="86" spans="1:10" ht="24" customHeight="1">
      <c r="A86" s="1195">
        <v>1</v>
      </c>
      <c r="B86" s="1159" t="s">
        <v>10016</v>
      </c>
      <c r="C86" s="1160">
        <f>A86*1</f>
        <v>1</v>
      </c>
      <c r="D86" s="1160">
        <f t="shared" ref="D86:D90" si="45">C86*100</f>
        <v>100</v>
      </c>
      <c r="E86" s="1160">
        <f t="shared" ref="E86:E90" si="46">C86*0.1</f>
        <v>0.1</v>
      </c>
      <c r="F86" s="1160">
        <f t="shared" ref="F86:F90" si="47">C86*360</f>
        <v>360</v>
      </c>
      <c r="G86" s="1186">
        <f t="shared" ref="G86:G90" si="48">C86*0.0672</f>
        <v>6.7199999999999996E-2</v>
      </c>
    </row>
    <row r="87" spans="1:10" ht="24" customHeight="1">
      <c r="A87" s="1195">
        <v>1</v>
      </c>
      <c r="B87" s="1159" t="s">
        <v>10017</v>
      </c>
      <c r="C87" s="1160">
        <f>A87*0.01</f>
        <v>0.01</v>
      </c>
      <c r="D87" s="1160">
        <f t="shared" si="45"/>
        <v>1</v>
      </c>
      <c r="E87" s="1160">
        <f t="shared" si="46"/>
        <v>1E-3</v>
      </c>
      <c r="F87" s="1160">
        <f t="shared" si="47"/>
        <v>3.6</v>
      </c>
      <c r="G87" s="1186">
        <f t="shared" si="48"/>
        <v>6.7199999999999996E-4</v>
      </c>
    </row>
    <row r="88" spans="1:10" ht="24" customHeight="1">
      <c r="A88" s="1195">
        <v>1</v>
      </c>
      <c r="B88" s="1159" t="s">
        <v>10018</v>
      </c>
      <c r="C88" s="1160">
        <f>A88*10</f>
        <v>10</v>
      </c>
      <c r="D88" s="1160">
        <f t="shared" si="45"/>
        <v>1000</v>
      </c>
      <c r="E88" s="1160">
        <f t="shared" si="46"/>
        <v>1</v>
      </c>
      <c r="F88" s="1160">
        <f t="shared" si="47"/>
        <v>3600</v>
      </c>
      <c r="G88" s="1186">
        <f t="shared" si="48"/>
        <v>0.67200000000000004</v>
      </c>
    </row>
    <row r="89" spans="1:10" ht="24" customHeight="1">
      <c r="A89" s="1195">
        <v>1</v>
      </c>
      <c r="B89" s="1159" t="s">
        <v>10019</v>
      </c>
      <c r="C89" s="1160">
        <f>A89*0.002778</f>
        <v>2.7780000000000001E-3</v>
      </c>
      <c r="D89" s="1160">
        <f t="shared" si="45"/>
        <v>0.27779999999999999</v>
      </c>
      <c r="E89" s="1160">
        <f t="shared" si="46"/>
        <v>2.7779999999999998E-4</v>
      </c>
      <c r="F89" s="1192">
        <f t="shared" si="47"/>
        <v>1.0000800000000001</v>
      </c>
      <c r="G89" s="1186">
        <f t="shared" si="48"/>
        <v>1.866816E-4</v>
      </c>
    </row>
    <row r="90" spans="1:10" ht="24" customHeight="1">
      <c r="A90" s="1196">
        <v>1</v>
      </c>
      <c r="B90" s="1197" t="s">
        <v>10020</v>
      </c>
      <c r="C90" s="1175">
        <f>A90*14.88</f>
        <v>14.88</v>
      </c>
      <c r="D90" s="1175">
        <f t="shared" si="45"/>
        <v>1488</v>
      </c>
      <c r="E90" s="1175">
        <f t="shared" si="46"/>
        <v>1.488</v>
      </c>
      <c r="F90" s="1175">
        <f t="shared" si="47"/>
        <v>5356.8</v>
      </c>
      <c r="G90" s="1198">
        <f t="shared" si="48"/>
        <v>0.99993600000000005</v>
      </c>
    </row>
    <row r="91" spans="1:10" ht="24" customHeight="1">
      <c r="A91" s="1193" t="s">
        <v>10021</v>
      </c>
    </row>
    <row r="92" spans="1:10" ht="24" customHeight="1">
      <c r="A92" s="1188"/>
      <c r="B92" s="1155"/>
      <c r="C92" s="1155" t="s">
        <v>10022</v>
      </c>
      <c r="D92" s="1155" t="s">
        <v>10023</v>
      </c>
      <c r="E92" s="1200" t="s">
        <v>10024</v>
      </c>
      <c r="J92" s="3166" t="s">
        <v>12704</v>
      </c>
    </row>
    <row r="93" spans="1:10" ht="24" customHeight="1">
      <c r="A93" s="1158">
        <v>0</v>
      </c>
      <c r="B93" s="1201" t="s">
        <v>10022</v>
      </c>
      <c r="C93" s="1160">
        <f>A93*1</f>
        <v>0</v>
      </c>
      <c r="D93" s="1202">
        <f>C93-273.15</f>
        <v>-273.14999999999998</v>
      </c>
      <c r="E93" s="1161">
        <f t="shared" ref="E93:E95" si="49">D93*9/5+32</f>
        <v>-459.67</v>
      </c>
    </row>
    <row r="94" spans="1:10" ht="24" customHeight="1">
      <c r="A94" s="1158">
        <v>27</v>
      </c>
      <c r="B94" s="1171" t="s">
        <v>10023</v>
      </c>
      <c r="C94" s="1202">
        <f>A94+273.15</f>
        <v>300.14999999999998</v>
      </c>
      <c r="D94" s="1160">
        <f>A94*1</f>
        <v>27</v>
      </c>
      <c r="E94" s="1161">
        <f t="shared" si="49"/>
        <v>80.599999999999994</v>
      </c>
    </row>
    <row r="95" spans="1:10" ht="24" customHeight="1">
      <c r="A95" s="1162">
        <v>27</v>
      </c>
      <c r="B95" s="1203" t="s">
        <v>10024</v>
      </c>
      <c r="C95" s="1204">
        <f>(A95-32)/1.8-273.15</f>
        <v>-275.92777777777798</v>
      </c>
      <c r="D95" s="1205">
        <f>(A95-32)/1.8</f>
        <v>-2.7777777777777799</v>
      </c>
      <c r="E95" s="1165">
        <f t="shared" si="49"/>
        <v>27</v>
      </c>
    </row>
    <row r="96" spans="1:10" ht="24" customHeight="1">
      <c r="A96" s="1206" t="s">
        <v>10025</v>
      </c>
      <c r="B96" s="1206"/>
    </row>
    <row r="97" spans="1:6" ht="24" customHeight="1">
      <c r="A97" s="1207" t="s">
        <v>8068</v>
      </c>
      <c r="B97" s="1208">
        <v>50</v>
      </c>
      <c r="C97" s="1157" t="s">
        <v>10026</v>
      </c>
    </row>
    <row r="98" spans="1:6" ht="24" customHeight="1">
      <c r="A98" s="1209" t="s">
        <v>6370</v>
      </c>
      <c r="B98" s="1210">
        <v>3</v>
      </c>
      <c r="C98" s="1211" t="s">
        <v>10027</v>
      </c>
    </row>
    <row r="99" spans="1:6" ht="24" customHeight="1">
      <c r="A99" s="1209" t="s">
        <v>6569</v>
      </c>
      <c r="B99" s="1160">
        <f>60*B97/B98*2</f>
        <v>2000</v>
      </c>
      <c r="C99" s="1212" t="s">
        <v>2016</v>
      </c>
    </row>
    <row r="100" spans="1:6" ht="24" customHeight="1">
      <c r="A100" s="1209" t="s">
        <v>10028</v>
      </c>
      <c r="B100" s="1160">
        <v>2950</v>
      </c>
      <c r="C100" s="1212" t="s">
        <v>2016</v>
      </c>
    </row>
    <row r="101" spans="1:6" ht="24" customHeight="1">
      <c r="A101" s="1209" t="s">
        <v>10029</v>
      </c>
      <c r="B101" s="1160">
        <v>1430</v>
      </c>
      <c r="C101" s="1212" t="s">
        <v>2016</v>
      </c>
    </row>
    <row r="102" spans="1:6" ht="24" customHeight="1">
      <c r="A102" s="1209" t="s">
        <v>10030</v>
      </c>
      <c r="B102" s="1160">
        <v>860</v>
      </c>
      <c r="C102" s="1212" t="s">
        <v>2016</v>
      </c>
    </row>
    <row r="103" spans="1:6" ht="24" customHeight="1">
      <c r="A103" s="1213" t="s">
        <v>10031</v>
      </c>
      <c r="B103" s="1164">
        <v>650</v>
      </c>
      <c r="C103" s="1214" t="s">
        <v>2016</v>
      </c>
    </row>
    <row r="105" spans="1:6" ht="24" customHeight="1">
      <c r="B105" s="4306" t="s">
        <v>10032</v>
      </c>
      <c r="C105" s="4306"/>
      <c r="D105" s="4306"/>
      <c r="E105" s="4306"/>
      <c r="F105" s="4306"/>
    </row>
    <row r="106" spans="1:6" ht="24" customHeight="1">
      <c r="A106" s="1215" t="s">
        <v>10033</v>
      </c>
      <c r="B106" s="1208">
        <v>0.1</v>
      </c>
      <c r="C106" s="1155" t="s">
        <v>10034</v>
      </c>
      <c r="D106" s="1208">
        <v>0.04</v>
      </c>
      <c r="E106" s="1155" t="s">
        <v>10035</v>
      </c>
      <c r="F106" s="1216">
        <v>1</v>
      </c>
    </row>
    <row r="107" spans="1:6" ht="24" customHeight="1">
      <c r="A107" s="4310" t="s">
        <v>10036</v>
      </c>
      <c r="B107" s="4300" t="s">
        <v>10037</v>
      </c>
      <c r="C107" s="4300"/>
      <c r="D107" s="1217" t="s">
        <v>9991</v>
      </c>
      <c r="E107" s="4301">
        <f>3.1416*B106*(D106+B106/2)</f>
        <v>2.8274400000000002E-2</v>
      </c>
      <c r="F107" s="4302"/>
    </row>
    <row r="108" spans="1:6" ht="24" customHeight="1">
      <c r="A108" s="4310"/>
      <c r="B108" s="4300" t="s">
        <v>10038</v>
      </c>
      <c r="C108" s="4300"/>
      <c r="D108" s="1217" t="s">
        <v>10002</v>
      </c>
      <c r="E108" s="4301">
        <f>3.1416*B106*B106*D106/4</f>
        <v>3.1416000000000001E-4</v>
      </c>
      <c r="F108" s="4302"/>
    </row>
    <row r="109" spans="1:6" ht="24" customHeight="1">
      <c r="A109" s="4310" t="s">
        <v>10039</v>
      </c>
      <c r="B109" s="4300" t="s">
        <v>10037</v>
      </c>
      <c r="C109" s="4300"/>
      <c r="D109" s="1217" t="s">
        <v>9991</v>
      </c>
      <c r="E109" s="4301">
        <f>3.1416*B106/2*SQRT(POWER(B106/2,2)+POWER(D106,2))</f>
        <v>1.0058027552159499E-2</v>
      </c>
      <c r="F109" s="4302"/>
    </row>
    <row r="110" spans="1:6" ht="24" customHeight="1">
      <c r="A110" s="4310"/>
      <c r="B110" s="4300" t="s">
        <v>10038</v>
      </c>
      <c r="C110" s="4300"/>
      <c r="D110" s="1217" t="s">
        <v>10002</v>
      </c>
      <c r="E110" s="4301">
        <f>3.1416*POWER(B106/2,2)*D106/3</f>
        <v>1.0472E-4</v>
      </c>
      <c r="F110" s="4302"/>
    </row>
    <row r="111" spans="1:6" ht="24" customHeight="1">
      <c r="A111" s="4310" t="s">
        <v>10040</v>
      </c>
      <c r="B111" s="4300" t="s">
        <v>10037</v>
      </c>
      <c r="C111" s="4300"/>
      <c r="D111" s="1217" t="s">
        <v>9991</v>
      </c>
      <c r="E111" s="4301">
        <f>3.1416*B106*B106</f>
        <v>3.1415999999999999E-2</v>
      </c>
      <c r="F111" s="4302"/>
    </row>
    <row r="112" spans="1:6" ht="24" customHeight="1">
      <c r="A112" s="4310"/>
      <c r="B112" s="4300" t="s">
        <v>10038</v>
      </c>
      <c r="C112" s="4300"/>
      <c r="D112" s="1217" t="s">
        <v>10002</v>
      </c>
      <c r="E112" s="4301">
        <f>3.1416*POWER(B106,3)/6</f>
        <v>5.2360000000000004E-4</v>
      </c>
      <c r="F112" s="4302"/>
    </row>
    <row r="113" spans="1:10" ht="24" customHeight="1">
      <c r="A113" s="4310" t="s">
        <v>10041</v>
      </c>
      <c r="B113" s="4300" t="s">
        <v>10037</v>
      </c>
      <c r="C113" s="4300"/>
      <c r="D113" s="1217" t="s">
        <v>9991</v>
      </c>
      <c r="E113" s="4301">
        <f>5.1962*F106*F106+6*F106*D106</f>
        <v>5.4362000000000004</v>
      </c>
      <c r="F113" s="4302"/>
    </row>
    <row r="114" spans="1:10" ht="24" customHeight="1">
      <c r="A114" s="4311"/>
      <c r="B114" s="4307" t="s">
        <v>10038</v>
      </c>
      <c r="C114" s="4307"/>
      <c r="D114" s="1218" t="s">
        <v>10002</v>
      </c>
      <c r="E114" s="4308">
        <f>2.5981*F106*F106*D106</f>
        <v>0.103924</v>
      </c>
      <c r="F114" s="4309"/>
      <c r="J114" s="3166" t="s">
        <v>12704</v>
      </c>
    </row>
    <row r="117" spans="1:10" ht="24" customHeight="1">
      <c r="A117" t="s">
        <v>10042</v>
      </c>
      <c r="B117" s="65"/>
      <c r="D117" s="74"/>
    </row>
  </sheetData>
  <mergeCells count="30">
    <mergeCell ref="B113:C113"/>
    <mergeCell ref="E113:F113"/>
    <mergeCell ref="B114:C114"/>
    <mergeCell ref="E114:F114"/>
    <mergeCell ref="A107:A108"/>
    <mergeCell ref="A109:A110"/>
    <mergeCell ref="A111:A112"/>
    <mergeCell ref="A113:A114"/>
    <mergeCell ref="B110:C110"/>
    <mergeCell ref="E110:F110"/>
    <mergeCell ref="B111:C111"/>
    <mergeCell ref="E111:F111"/>
    <mergeCell ref="B112:C112"/>
    <mergeCell ref="E112:F112"/>
    <mergeCell ref="B107:C107"/>
    <mergeCell ref="E107:F107"/>
    <mergeCell ref="B108:C108"/>
    <mergeCell ref="E108:F108"/>
    <mergeCell ref="B109:C109"/>
    <mergeCell ref="E109:F109"/>
    <mergeCell ref="A21:B21"/>
    <mergeCell ref="A27:B27"/>
    <mergeCell ref="A33:B33"/>
    <mergeCell ref="A70:B70"/>
    <mergeCell ref="B105:F105"/>
    <mergeCell ref="A1:J1"/>
    <mergeCell ref="C3:D3"/>
    <mergeCell ref="H3:I3"/>
    <mergeCell ref="A5:B5"/>
    <mergeCell ref="A15:B15"/>
  </mergeCells>
  <phoneticPr fontId="378" type="noConversion"/>
  <hyperlinks>
    <hyperlink ref="J3" location="总目录!A1" display="返回目录"/>
    <hyperlink ref="J26" location="总目录!A1" display="返回目录"/>
    <hyperlink ref="J48" location="总目录!A1" display="返回目录"/>
    <hyperlink ref="J70" location="总目录!A1" display="返回目录"/>
    <hyperlink ref="J92" location="总目录!A1" display="返回目录"/>
    <hyperlink ref="J114" location="总目录!A1" display="返回目录"/>
  </hyperlinks>
  <pageMargins left="0.75" right="0.75" top="1" bottom="1" header="0.5" footer="0.5"/>
  <pageSetup paperSize="9" scale="75" orientation="portrait"/>
  <headerFooter scaleWithDoc="0" alignWithMargins="0"/>
  <rowBreaks count="1" manualBreakCount="1">
    <brk id="57" max="16383" man="1"/>
  </rowBreaks>
  <colBreaks count="1" manualBreakCount="1">
    <brk id="10" max="1048575" man="1"/>
  </colBreaks>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M111"/>
  <sheetViews>
    <sheetView zoomScale="115" zoomScaleNormal="115" workbookViewId="0">
      <selection activeCell="K3" sqref="K3"/>
    </sheetView>
  </sheetViews>
  <sheetFormatPr defaultColWidth="9" defaultRowHeight="13.5"/>
  <cols>
    <col min="1" max="1" width="10.625" style="1086" customWidth="1"/>
    <col min="2" max="2" width="19.75" style="1086" customWidth="1"/>
    <col min="3" max="3" width="8.625" style="1086" customWidth="1"/>
    <col min="4" max="4" width="9" style="1086"/>
    <col min="5" max="8" width="9.125" style="1086" customWidth="1"/>
    <col min="9" max="9" width="15.625" style="1086" customWidth="1"/>
    <col min="10" max="12" width="9.125" style="1086" customWidth="1"/>
    <col min="13" max="247" width="9" style="1086"/>
    <col min="248" max="16384" width="9" style="1087"/>
  </cols>
  <sheetData>
    <row r="1" spans="1:12" ht="30" customHeight="1">
      <c r="A1" s="4312" t="s">
        <v>21</v>
      </c>
      <c r="B1" s="4313"/>
      <c r="C1" s="4313"/>
      <c r="D1" s="4313"/>
      <c r="E1" s="4313"/>
      <c r="F1" s="4313"/>
      <c r="G1" s="4313"/>
      <c r="H1" s="4313"/>
      <c r="I1" s="3168" t="s">
        <v>12704</v>
      </c>
    </row>
    <row r="2" spans="1:12" s="1085" customFormat="1" ht="19.899999999999999" customHeight="1">
      <c r="A2" s="4314" t="s">
        <v>10043</v>
      </c>
      <c r="B2" s="4314"/>
      <c r="C2" s="4314"/>
      <c r="D2" s="4314"/>
      <c r="E2" s="4314"/>
      <c r="F2" s="4314"/>
      <c r="G2" s="4314"/>
      <c r="H2" s="4314"/>
      <c r="I2" s="1086"/>
      <c r="J2" s="1086"/>
      <c r="K2" s="1086"/>
      <c r="L2" s="1086"/>
    </row>
    <row r="3" spans="1:12" s="1085" customFormat="1" ht="19.899999999999999" customHeight="1">
      <c r="A3" s="1086" t="s">
        <v>10044</v>
      </c>
      <c r="B3" s="1086"/>
      <c r="C3" s="1086"/>
      <c r="D3" s="1086"/>
      <c r="E3" s="1086"/>
      <c r="F3" s="1086"/>
      <c r="G3" s="1086"/>
      <c r="H3" s="1086"/>
      <c r="I3" s="1086"/>
      <c r="J3" s="1086"/>
      <c r="K3" s="1086"/>
      <c r="L3" s="1086"/>
    </row>
    <row r="4" spans="1:12" s="1085" customFormat="1" ht="19.899999999999999" customHeight="1">
      <c r="A4" s="1086" t="s">
        <v>10045</v>
      </c>
      <c r="B4" s="1086"/>
      <c r="C4" s="1086"/>
      <c r="D4" s="1086"/>
      <c r="E4" s="1086"/>
      <c r="F4" s="1086"/>
      <c r="G4" s="1086"/>
      <c r="H4" s="1086"/>
      <c r="I4" s="1099" t="s">
        <v>10046</v>
      </c>
      <c r="J4" s="1086"/>
      <c r="K4" s="1086"/>
      <c r="L4" s="1086"/>
    </row>
    <row r="5" spans="1:12" s="1085" customFormat="1" ht="19.899999999999999" customHeight="1">
      <c r="A5" s="1086"/>
      <c r="B5" s="1086"/>
      <c r="C5" s="1086"/>
      <c r="D5" s="1086"/>
      <c r="E5" s="1086"/>
      <c r="F5" s="1086"/>
      <c r="G5" s="1086"/>
      <c r="H5" s="1086"/>
      <c r="I5" s="1100">
        <v>2</v>
      </c>
      <c r="J5" s="1086"/>
      <c r="K5" s="1086"/>
      <c r="L5" s="1086"/>
    </row>
    <row r="6" spans="1:12" s="1085" customFormat="1" ht="19.899999999999999" customHeight="1">
      <c r="A6" s="1086"/>
      <c r="B6" s="1086"/>
      <c r="C6" s="1086"/>
      <c r="D6" s="1086"/>
      <c r="E6" s="1086"/>
      <c r="F6" s="1086"/>
      <c r="G6" s="1086"/>
      <c r="H6" s="1086"/>
      <c r="I6" s="1100">
        <v>4</v>
      </c>
      <c r="J6" s="1086"/>
      <c r="K6" s="1086"/>
      <c r="L6" s="1086"/>
    </row>
    <row r="7" spans="1:12" s="1085" customFormat="1" ht="19.899999999999999" customHeight="1">
      <c r="A7" s="1086" t="s">
        <v>10047</v>
      </c>
      <c r="B7" s="1086" t="s">
        <v>10048</v>
      </c>
      <c r="C7" s="1086"/>
      <c r="D7" s="1086"/>
      <c r="E7" s="1086"/>
      <c r="F7" s="1086"/>
      <c r="G7" s="1086"/>
      <c r="H7" s="1086"/>
      <c r="I7" s="1100">
        <v>6</v>
      </c>
      <c r="J7" s="1086"/>
      <c r="K7" s="1086"/>
      <c r="L7" s="1086"/>
    </row>
    <row r="8" spans="1:12" s="1085" customFormat="1" ht="19.899999999999999" customHeight="1">
      <c r="A8" s="1086"/>
      <c r="B8" s="1086" t="s">
        <v>10049</v>
      </c>
      <c r="C8" s="1086"/>
      <c r="D8" s="1086"/>
      <c r="E8" s="1086"/>
      <c r="F8" s="1086"/>
      <c r="G8" s="1086"/>
      <c r="H8" s="1086"/>
      <c r="I8" s="1100">
        <v>8</v>
      </c>
      <c r="J8" s="1086"/>
      <c r="K8" s="1086"/>
      <c r="L8" s="1086"/>
    </row>
    <row r="9" spans="1:12" s="1085" customFormat="1" ht="19.899999999999999" customHeight="1">
      <c r="A9" s="1086"/>
      <c r="B9" s="1086" t="s">
        <v>10050</v>
      </c>
      <c r="C9" s="1086"/>
      <c r="D9" s="1086"/>
      <c r="E9" s="1086"/>
      <c r="F9" s="1086"/>
      <c r="G9" s="1086"/>
      <c r="H9" s="1086"/>
      <c r="I9" s="1100">
        <v>10</v>
      </c>
      <c r="J9" s="1086"/>
      <c r="K9" s="1086"/>
      <c r="L9" s="1086"/>
    </row>
    <row r="10" spans="1:12" s="1085" customFormat="1" ht="19.899999999999999" customHeight="1">
      <c r="A10" s="1086"/>
      <c r="B10" s="1086" t="s">
        <v>10051</v>
      </c>
      <c r="C10" s="1086"/>
      <c r="D10" s="1086"/>
      <c r="E10" s="1086"/>
      <c r="F10" s="1086"/>
      <c r="G10" s="1086"/>
      <c r="H10" s="1086"/>
      <c r="I10" s="1100">
        <v>13</v>
      </c>
      <c r="J10" s="1086"/>
      <c r="K10" s="1086"/>
      <c r="L10" s="1086"/>
    </row>
    <row r="11" spans="1:12" s="1085" customFormat="1" ht="19.899999999999999" customHeight="1">
      <c r="A11" s="1088" t="s">
        <v>10052</v>
      </c>
      <c r="B11" s="1089" t="s">
        <v>10053</v>
      </c>
      <c r="C11" s="1086"/>
      <c r="D11" s="1086"/>
      <c r="E11" s="1086"/>
      <c r="F11" s="1086"/>
      <c r="G11" s="1086"/>
      <c r="H11" s="1086"/>
      <c r="I11" s="1100">
        <v>16</v>
      </c>
      <c r="J11" s="1086"/>
      <c r="K11" s="1086"/>
      <c r="L11" s="1086"/>
    </row>
    <row r="12" spans="1:12" s="1085" customFormat="1" ht="19.899999999999999" customHeight="1">
      <c r="A12" s="1090" t="s">
        <v>7286</v>
      </c>
      <c r="B12" s="1091" t="s">
        <v>10054</v>
      </c>
      <c r="C12" s="1092">
        <v>1</v>
      </c>
      <c r="D12" s="1086" t="s">
        <v>10055</v>
      </c>
      <c r="E12" s="1093">
        <f>C12*9.8</f>
        <v>9.8000000000000007</v>
      </c>
      <c r="F12" s="1086" t="s">
        <v>6109</v>
      </c>
      <c r="G12" s="1086"/>
      <c r="H12" s="1086"/>
      <c r="I12" s="1100">
        <v>20</v>
      </c>
      <c r="J12" s="1086"/>
      <c r="K12" s="1086"/>
      <c r="L12" s="1086"/>
    </row>
    <row r="13" spans="1:12" s="1085" customFormat="1" ht="19.899999999999999" customHeight="1">
      <c r="A13" s="1090" t="s">
        <v>7288</v>
      </c>
      <c r="B13" s="1091" t="s">
        <v>10056</v>
      </c>
      <c r="C13" s="1092">
        <v>8</v>
      </c>
      <c r="D13" s="1086"/>
      <c r="E13" s="1086"/>
      <c r="F13" s="1086"/>
      <c r="G13" s="1086"/>
      <c r="H13" s="1086"/>
      <c r="I13" s="1100">
        <v>25</v>
      </c>
      <c r="J13" s="1086"/>
      <c r="K13" s="1086"/>
      <c r="L13" s="1086"/>
    </row>
    <row r="14" spans="1:12" s="1085" customFormat="1" ht="19.899999999999999" customHeight="1">
      <c r="A14" s="1090" t="s">
        <v>7290</v>
      </c>
      <c r="B14" s="1091" t="s">
        <v>10057</v>
      </c>
      <c r="C14" s="1092">
        <v>30</v>
      </c>
      <c r="D14" s="1086"/>
      <c r="E14" s="1086"/>
      <c r="F14" s="1086"/>
      <c r="G14" s="1086"/>
      <c r="H14" s="1086"/>
      <c r="I14" s="1100">
        <v>32</v>
      </c>
      <c r="J14" s="1086"/>
      <c r="K14" s="1086"/>
      <c r="L14" s="1086"/>
    </row>
    <row r="15" spans="1:12" s="1085" customFormat="1" ht="19.899999999999999" customHeight="1">
      <c r="A15" s="1090" t="s">
        <v>7292</v>
      </c>
      <c r="B15" s="1091" t="s">
        <v>10058</v>
      </c>
      <c r="C15" s="1094">
        <v>0.06</v>
      </c>
      <c r="D15" s="1086" t="s">
        <v>966</v>
      </c>
      <c r="E15" s="1086" t="s">
        <v>10059</v>
      </c>
      <c r="F15" s="1086"/>
      <c r="G15" s="1086"/>
      <c r="H15" s="1086"/>
      <c r="I15" s="1100">
        <v>40</v>
      </c>
      <c r="J15" s="1086"/>
      <c r="K15" s="1086"/>
      <c r="L15" s="1086"/>
    </row>
    <row r="16" spans="1:12" s="1085" customFormat="1" ht="19.899999999999999" customHeight="1">
      <c r="A16" s="1088" t="s">
        <v>10060</v>
      </c>
      <c r="B16" s="1089" t="s">
        <v>10061</v>
      </c>
      <c r="C16" s="1086"/>
      <c r="D16" s="1086"/>
      <c r="E16" s="1086"/>
      <c r="F16" s="1086"/>
      <c r="G16" s="1086"/>
      <c r="H16" s="1086"/>
      <c r="I16" s="1100">
        <v>50</v>
      </c>
      <c r="J16" s="1086"/>
      <c r="K16" s="1086"/>
      <c r="L16" s="1086"/>
    </row>
    <row r="17" spans="1:12" s="1085" customFormat="1" ht="19.899999999999999" customHeight="1">
      <c r="A17" s="1090" t="s">
        <v>7286</v>
      </c>
      <c r="B17" s="1095" t="s">
        <v>10062</v>
      </c>
      <c r="C17" s="1096">
        <f>ROUND(SQRT(4*E12*C13/PI()/C14/C15),0)</f>
        <v>7</v>
      </c>
      <c r="D17" s="1086" t="s">
        <v>2040</v>
      </c>
      <c r="E17" s="1086"/>
      <c r="F17" s="1086"/>
      <c r="G17" s="1086"/>
      <c r="H17" s="1086"/>
      <c r="I17" s="1100">
        <v>63</v>
      </c>
      <c r="J17" s="1086"/>
      <c r="K17" s="1086"/>
      <c r="L17" s="1086"/>
    </row>
    <row r="18" spans="1:12" s="1085" customFormat="1" ht="19.899999999999999" customHeight="1">
      <c r="A18" s="1090" t="s">
        <v>7288</v>
      </c>
      <c r="B18" s="1091" t="s">
        <v>10063</v>
      </c>
      <c r="C18" s="1096">
        <f>VLOOKUP(C17,I5:I20,1,TRUE)</f>
        <v>6</v>
      </c>
      <c r="D18" s="1086" t="s">
        <v>2040</v>
      </c>
      <c r="E18" s="1086"/>
      <c r="F18" s="1086"/>
      <c r="G18" s="1086"/>
      <c r="H18" s="1086"/>
      <c r="I18" s="1100">
        <v>80</v>
      </c>
      <c r="J18" s="1086"/>
      <c r="K18" s="1086"/>
      <c r="L18" s="1086"/>
    </row>
    <row r="19" spans="1:12" s="1085" customFormat="1" ht="19.899999999999999" customHeight="1">
      <c r="A19" s="1088" t="s">
        <v>10064</v>
      </c>
      <c r="B19" s="1089" t="s">
        <v>10065</v>
      </c>
      <c r="C19" s="1086"/>
      <c r="D19" s="1086"/>
      <c r="E19" s="1086"/>
      <c r="F19" s="1086"/>
      <c r="G19" s="1086"/>
      <c r="H19" s="1086"/>
      <c r="I19" s="1100">
        <v>100</v>
      </c>
      <c r="J19" s="1086"/>
      <c r="K19" s="1086"/>
      <c r="L19" s="1086"/>
    </row>
    <row r="20" spans="1:12" s="1085" customFormat="1" ht="19.899999999999999" customHeight="1">
      <c r="A20" s="1086"/>
      <c r="B20" s="1091" t="s">
        <v>6689</v>
      </c>
      <c r="C20" s="1097">
        <f>ROUND(4*E12*C13/PI()/C18/C18/C14,3)</f>
        <v>9.1999999999999998E-2</v>
      </c>
      <c r="D20" s="1086" t="s">
        <v>966</v>
      </c>
      <c r="E20" s="1086"/>
      <c r="F20" s="1086"/>
      <c r="G20" s="1086"/>
      <c r="H20" s="1086"/>
      <c r="I20" s="1100">
        <v>125</v>
      </c>
      <c r="J20" s="1086"/>
      <c r="K20" s="1086"/>
      <c r="L20" s="1086"/>
    </row>
    <row r="21" spans="1:12" s="1085" customFormat="1" ht="19.899999999999999" customHeight="1">
      <c r="A21" s="1086"/>
      <c r="B21" s="1086"/>
      <c r="C21" s="1086"/>
      <c r="D21" s="1086"/>
      <c r="E21" s="1086"/>
      <c r="F21" s="1086"/>
      <c r="G21" s="1086"/>
      <c r="H21" s="1086"/>
      <c r="I21" s="1086"/>
      <c r="J21" s="1086"/>
      <c r="K21" s="1086"/>
      <c r="L21" s="1086"/>
    </row>
    <row r="22" spans="1:12" s="1085" customFormat="1" ht="19.899999999999999" customHeight="1">
      <c r="A22" s="4314" t="s">
        <v>10066</v>
      </c>
      <c r="B22" s="4314"/>
      <c r="C22" s="4314"/>
      <c r="D22" s="4314"/>
      <c r="E22" s="4314"/>
      <c r="F22" s="4314"/>
      <c r="G22" s="4314"/>
      <c r="H22" s="4314"/>
      <c r="I22" s="1086"/>
      <c r="J22" s="1086"/>
      <c r="K22" s="1086"/>
      <c r="L22" s="1086"/>
    </row>
    <row r="23" spans="1:12" s="1085" customFormat="1" ht="19.899999999999999" customHeight="1">
      <c r="A23" s="1088" t="s">
        <v>10052</v>
      </c>
      <c r="B23" s="1086" t="s">
        <v>10067</v>
      </c>
      <c r="C23" s="1086"/>
      <c r="D23" s="1086"/>
      <c r="E23" s="1086"/>
      <c r="F23" s="1086"/>
      <c r="G23" s="1086"/>
      <c r="H23" s="1086"/>
      <c r="I23" s="1086"/>
      <c r="J23" s="1086"/>
      <c r="K23" s="1086"/>
      <c r="L23" s="1086"/>
    </row>
    <row r="24" spans="1:12" s="1085" customFormat="1" ht="19.899999999999999" customHeight="1">
      <c r="A24" s="1086"/>
      <c r="B24" s="1086" t="s">
        <v>10068</v>
      </c>
      <c r="C24" s="1086"/>
      <c r="D24" s="1086"/>
      <c r="E24" s="1086"/>
      <c r="F24" s="1086"/>
      <c r="G24" s="1086"/>
      <c r="H24" s="1086"/>
      <c r="I24" s="1086"/>
      <c r="J24" s="1086"/>
      <c r="K24" s="1086"/>
      <c r="L24" s="1086"/>
    </row>
    <row r="25" spans="1:12" s="1085" customFormat="1" ht="19.899999999999999" customHeight="1">
      <c r="A25" s="1086" t="s">
        <v>10069</v>
      </c>
      <c r="B25" s="1086"/>
      <c r="C25" s="1086"/>
      <c r="D25" s="1086"/>
      <c r="E25" s="1086"/>
      <c r="F25" s="1086"/>
      <c r="G25" s="1086"/>
      <c r="H25" s="1086"/>
      <c r="I25" s="1086"/>
      <c r="J25" s="1086"/>
      <c r="K25" s="1086"/>
      <c r="L25" s="1086"/>
    </row>
    <row r="26" spans="1:12" s="1085" customFormat="1" ht="19.899999999999999" customHeight="1">
      <c r="A26" s="1086"/>
      <c r="B26" s="1086" t="s">
        <v>10070</v>
      </c>
      <c r="C26" s="1086"/>
      <c r="D26" s="1086"/>
      <c r="E26" s="1086"/>
      <c r="F26" s="1086"/>
      <c r="G26" s="1086"/>
      <c r="H26" s="1086"/>
      <c r="I26" s="1086"/>
      <c r="J26" s="1086"/>
      <c r="K26" s="1086"/>
      <c r="L26" s="1086"/>
    </row>
    <row r="27" spans="1:12" s="1085" customFormat="1" ht="19.899999999999999" customHeight="1">
      <c r="A27" s="1086"/>
      <c r="B27" s="1086"/>
      <c r="C27" s="1086"/>
      <c r="D27" s="1086"/>
      <c r="E27" s="1086"/>
      <c r="F27" s="1086"/>
      <c r="G27" s="1086"/>
      <c r="H27" s="1086"/>
      <c r="I27" s="1086"/>
      <c r="J27" s="1086"/>
      <c r="K27" s="1086"/>
      <c r="L27" s="1086"/>
    </row>
    <row r="28" spans="1:12" s="1085" customFormat="1" ht="19.899999999999999" customHeight="1">
      <c r="A28" s="1086"/>
      <c r="B28" s="1086"/>
      <c r="C28" s="1086"/>
      <c r="D28" s="1086"/>
      <c r="E28" s="1086"/>
      <c r="F28" s="1086"/>
      <c r="G28" s="1086"/>
      <c r="H28" s="1086"/>
      <c r="I28" s="1086"/>
      <c r="J28" s="1086"/>
      <c r="K28" s="1086"/>
      <c r="L28" s="1086"/>
    </row>
    <row r="29" spans="1:12" s="1085" customFormat="1" ht="19.899999999999999" customHeight="1">
      <c r="A29" s="1086"/>
      <c r="B29" s="1086"/>
      <c r="C29" s="1086"/>
      <c r="D29" s="1086"/>
      <c r="E29" s="1086"/>
      <c r="F29" s="1086"/>
      <c r="G29" s="1086"/>
      <c r="H29" s="1086"/>
      <c r="I29" s="1086"/>
      <c r="J29" s="1086"/>
      <c r="K29" s="1086"/>
      <c r="L29" s="1086"/>
    </row>
    <row r="30" spans="1:12" s="1085" customFormat="1" ht="19.899999999999999" customHeight="1">
      <c r="A30" s="1086"/>
      <c r="B30" s="1086"/>
      <c r="C30" s="1086"/>
      <c r="D30" s="1086"/>
      <c r="E30" s="1086"/>
      <c r="F30" s="1086"/>
      <c r="G30" s="1086"/>
      <c r="H30" s="1086"/>
      <c r="I30" s="1086"/>
      <c r="J30" s="1086"/>
      <c r="K30" s="1086"/>
      <c r="L30" s="1086"/>
    </row>
    <row r="31" spans="1:12" s="1085" customFormat="1" ht="19.899999999999999" customHeight="1">
      <c r="A31" s="1086"/>
      <c r="B31" s="1086"/>
      <c r="C31" s="1086"/>
      <c r="D31" s="1086"/>
      <c r="E31" s="1086"/>
      <c r="F31" s="1086"/>
      <c r="G31" s="1086"/>
      <c r="H31" s="1086"/>
      <c r="I31" s="1086"/>
      <c r="J31" s="1086"/>
      <c r="K31" s="1086"/>
      <c r="L31" s="1086"/>
    </row>
    <row r="32" spans="1:12" s="1085" customFormat="1" ht="19.899999999999999" customHeight="1">
      <c r="A32" s="1086"/>
      <c r="B32" s="1086"/>
      <c r="C32" s="1086"/>
      <c r="D32" s="1086"/>
      <c r="E32" s="1086"/>
      <c r="F32" s="1086"/>
      <c r="G32" s="1086"/>
      <c r="H32" s="1086"/>
      <c r="I32" s="1086"/>
      <c r="J32" s="1086"/>
      <c r="K32" s="1086"/>
      <c r="L32" s="1086"/>
    </row>
    <row r="33" spans="1:12" s="1085" customFormat="1" ht="19.899999999999999" customHeight="1">
      <c r="A33" s="1086"/>
      <c r="B33" s="1086"/>
      <c r="C33" s="1086"/>
      <c r="D33" s="1086"/>
      <c r="E33" s="1086"/>
      <c r="F33" s="1086"/>
      <c r="G33" s="1086"/>
      <c r="H33" s="1086"/>
      <c r="I33" s="1086"/>
      <c r="J33" s="1086"/>
      <c r="K33" s="1086"/>
      <c r="L33" s="1086"/>
    </row>
    <row r="34" spans="1:12" s="1085" customFormat="1" ht="19.899999999999999" customHeight="1">
      <c r="A34" s="1086"/>
      <c r="B34" s="1086"/>
      <c r="C34" s="1086"/>
      <c r="D34" s="1086"/>
      <c r="E34" s="1086"/>
      <c r="F34" s="1086"/>
      <c r="G34" s="1086"/>
      <c r="H34" s="1086"/>
      <c r="I34" s="1086"/>
      <c r="J34" s="1086"/>
      <c r="K34" s="1086"/>
      <c r="L34" s="1086"/>
    </row>
    <row r="35" spans="1:12" s="1085" customFormat="1" ht="19.899999999999999" customHeight="1">
      <c r="A35" s="1086"/>
      <c r="B35" s="1086"/>
      <c r="C35" s="1086"/>
      <c r="D35" s="1086"/>
      <c r="E35" s="1086"/>
      <c r="F35" s="1086"/>
      <c r="G35" s="1086"/>
      <c r="H35" s="1086"/>
      <c r="I35" s="1086"/>
      <c r="J35" s="1086"/>
      <c r="K35" s="1086"/>
      <c r="L35" s="1086"/>
    </row>
    <row r="36" spans="1:12" s="1085" customFormat="1" ht="19.899999999999999" customHeight="1">
      <c r="A36" s="1086"/>
      <c r="B36" s="1086"/>
      <c r="C36" s="1086"/>
      <c r="D36" s="1086"/>
      <c r="E36" s="1086"/>
      <c r="F36" s="1086"/>
      <c r="G36" s="1086"/>
      <c r="H36" s="1086"/>
      <c r="I36" s="1086"/>
      <c r="J36" s="1086"/>
      <c r="K36" s="1086"/>
      <c r="L36" s="1086"/>
    </row>
    <row r="37" spans="1:12" s="1085" customFormat="1" ht="19.899999999999999" customHeight="1">
      <c r="A37" s="1086"/>
      <c r="B37" s="1086"/>
      <c r="C37" s="1086"/>
      <c r="D37" s="1086"/>
      <c r="E37" s="1086"/>
      <c r="F37" s="1086"/>
      <c r="G37" s="1086"/>
      <c r="H37" s="1086"/>
      <c r="I37" s="1086"/>
      <c r="J37" s="1086"/>
      <c r="K37" s="1086"/>
      <c r="L37" s="1086"/>
    </row>
    <row r="38" spans="1:12" s="1085" customFormat="1" ht="19.899999999999999" customHeight="1">
      <c r="A38" s="1086"/>
      <c r="B38" s="1086"/>
      <c r="C38" s="1086"/>
      <c r="D38" s="1086"/>
      <c r="E38" s="1086"/>
      <c r="F38" s="1086"/>
      <c r="G38" s="1086"/>
      <c r="H38" s="1086"/>
      <c r="I38" s="1086"/>
      <c r="J38" s="1086"/>
      <c r="K38" s="1086"/>
      <c r="L38" s="1086"/>
    </row>
    <row r="39" spans="1:12" s="1085" customFormat="1" ht="19.899999999999999" customHeight="1">
      <c r="A39" s="1086"/>
      <c r="B39" s="1086"/>
      <c r="C39" s="1086"/>
      <c r="D39" s="1086"/>
      <c r="E39" s="1086"/>
      <c r="F39" s="1086"/>
      <c r="G39" s="1086"/>
      <c r="H39" s="1086"/>
      <c r="I39" s="1086"/>
      <c r="J39" s="1086"/>
      <c r="K39" s="1086"/>
      <c r="L39" s="1086"/>
    </row>
    <row r="40" spans="1:12" s="1085" customFormat="1" ht="19.899999999999999" customHeight="1">
      <c r="A40" s="1086"/>
      <c r="B40" s="1086"/>
      <c r="C40" s="1086"/>
      <c r="D40" s="1086"/>
      <c r="E40" s="1086"/>
      <c r="F40" s="1086"/>
      <c r="G40" s="1086"/>
      <c r="H40" s="1086"/>
      <c r="I40" s="1086"/>
      <c r="J40" s="1086"/>
      <c r="K40" s="1086"/>
      <c r="L40" s="1086"/>
    </row>
    <row r="41" spans="1:12" s="1085" customFormat="1" ht="19.899999999999999" customHeight="1">
      <c r="A41" s="1086"/>
      <c r="B41" s="1086"/>
      <c r="C41" s="1086"/>
      <c r="D41" s="1086"/>
      <c r="E41" s="1086"/>
      <c r="F41" s="1086"/>
      <c r="G41" s="1086"/>
      <c r="H41" s="1086"/>
      <c r="I41" s="1086"/>
      <c r="J41" s="1086"/>
      <c r="K41" s="1086"/>
      <c r="L41" s="1086"/>
    </row>
    <row r="42" spans="1:12" s="1085" customFormat="1" ht="19.899999999999999" customHeight="1">
      <c r="A42" s="1090" t="s">
        <v>7286</v>
      </c>
      <c r="B42" s="1086" t="s">
        <v>10071</v>
      </c>
      <c r="C42" s="1086"/>
      <c r="D42" s="1086"/>
      <c r="E42" s="1086"/>
      <c r="F42" s="1086"/>
      <c r="G42" s="1086"/>
      <c r="H42" s="1086"/>
      <c r="I42" s="1086"/>
      <c r="J42" s="1086"/>
      <c r="K42" s="1086"/>
      <c r="L42" s="1086"/>
    </row>
    <row r="43" spans="1:12" s="1085" customFormat="1" ht="19.899999999999999" customHeight="1">
      <c r="A43" s="1086"/>
      <c r="B43" s="1091" t="s">
        <v>10072</v>
      </c>
      <c r="C43" s="1092">
        <v>88</v>
      </c>
      <c r="D43" s="1086" t="s">
        <v>10073</v>
      </c>
      <c r="E43" s="1097">
        <f>C43/1000</f>
        <v>8.7999999999999995E-2</v>
      </c>
      <c r="F43" s="1086" t="s">
        <v>966</v>
      </c>
      <c r="G43" s="1086"/>
      <c r="H43" s="1086"/>
      <c r="I43" s="1086"/>
      <c r="J43" s="1086"/>
      <c r="K43" s="1086"/>
      <c r="L43" s="1086"/>
    </row>
    <row r="44" spans="1:12" s="1085" customFormat="1" ht="19.899999999999999" customHeight="1">
      <c r="A44" s="1086"/>
      <c r="B44" s="1091" t="s">
        <v>10074</v>
      </c>
      <c r="C44" s="1096">
        <f>ROUND(C20/E43,2)</f>
        <v>1.05</v>
      </c>
      <c r="D44" s="1086" t="s">
        <v>10075</v>
      </c>
      <c r="E44" s="1091"/>
      <c r="F44" s="1086"/>
      <c r="G44" s="1086"/>
      <c r="H44" s="1086"/>
      <c r="I44" s="1086"/>
      <c r="J44" s="1086"/>
      <c r="K44" s="1086"/>
      <c r="L44" s="1086"/>
    </row>
    <row r="45" spans="1:12" s="1085" customFormat="1" ht="19.899999999999999" customHeight="1">
      <c r="A45" s="1090" t="s">
        <v>7288</v>
      </c>
      <c r="B45" s="1086" t="s">
        <v>10076</v>
      </c>
      <c r="C45" s="1090"/>
      <c r="D45" s="1086"/>
      <c r="E45" s="1086"/>
      <c r="F45" s="1086"/>
      <c r="G45" s="1086"/>
      <c r="H45" s="1086"/>
      <c r="I45" s="1086"/>
      <c r="J45" s="1086"/>
      <c r="K45" s="1086"/>
      <c r="L45" s="1086"/>
    </row>
    <row r="46" spans="1:12" s="1085" customFormat="1" ht="19.899999999999999" customHeight="1">
      <c r="A46" s="1086"/>
      <c r="B46" s="1091" t="s">
        <v>6097</v>
      </c>
      <c r="C46" s="1092">
        <v>1.41</v>
      </c>
      <c r="D46" s="1086" t="s">
        <v>10077</v>
      </c>
      <c r="E46" s="1086" t="s">
        <v>10078</v>
      </c>
      <c r="F46" s="1086"/>
      <c r="G46" s="1086"/>
      <c r="H46" s="1086"/>
      <c r="I46" s="1086"/>
      <c r="J46" s="1086"/>
      <c r="K46" s="1086"/>
      <c r="L46" s="1086"/>
    </row>
    <row r="47" spans="1:12" s="1085" customFormat="1" ht="19.899999999999999" customHeight="1">
      <c r="A47" s="1088" t="s">
        <v>10060</v>
      </c>
      <c r="B47" s="4315" t="s">
        <v>10079</v>
      </c>
      <c r="C47" s="4315"/>
      <c r="D47" s="4315"/>
      <c r="E47" s="4315"/>
      <c r="F47" s="4315"/>
      <c r="G47" s="4315"/>
      <c r="H47" s="4315"/>
      <c r="I47" s="1086"/>
      <c r="J47" s="1086"/>
      <c r="K47" s="1086"/>
      <c r="L47" s="1086"/>
    </row>
    <row r="48" spans="1:12" s="1085" customFormat="1" ht="19.899999999999999" customHeight="1">
      <c r="A48" s="1086"/>
      <c r="B48" s="1086" t="s">
        <v>10080</v>
      </c>
      <c r="C48" s="1086"/>
      <c r="D48" s="1086"/>
      <c r="E48" s="1086"/>
      <c r="F48" s="1086"/>
      <c r="G48" s="1086"/>
      <c r="H48" s="1086"/>
      <c r="I48" s="1086"/>
      <c r="J48" s="1086"/>
      <c r="K48" s="1086"/>
      <c r="L48" s="1086"/>
    </row>
    <row r="49" spans="1:12" s="1085" customFormat="1" ht="19.899999999999999" customHeight="1">
      <c r="A49" s="1086" t="s">
        <v>10081</v>
      </c>
      <c r="B49" s="1086"/>
      <c r="C49" s="1086"/>
      <c r="D49" s="1086"/>
      <c r="E49" s="1086"/>
      <c r="F49" s="1086"/>
      <c r="G49" s="1086"/>
      <c r="H49" s="1086"/>
      <c r="I49" s="1086"/>
      <c r="J49" s="1086"/>
      <c r="K49" s="1086"/>
      <c r="L49" s="1086"/>
    </row>
    <row r="50" spans="1:12" s="1085" customFormat="1" ht="19.899999999999999" customHeight="1">
      <c r="A50" s="1086"/>
      <c r="B50" s="1086" t="s">
        <v>10082</v>
      </c>
      <c r="C50" s="1086" t="s">
        <v>10083</v>
      </c>
      <c r="D50" s="1086"/>
      <c r="E50" s="1086"/>
      <c r="F50" s="1086"/>
      <c r="G50" s="1086"/>
      <c r="H50" s="1086"/>
      <c r="I50" s="1086"/>
      <c r="J50" s="1086"/>
      <c r="K50" s="1086"/>
      <c r="L50" s="1086"/>
    </row>
    <row r="51" spans="1:12" s="1085" customFormat="1" ht="19.899999999999999" customHeight="1">
      <c r="A51" s="1086" t="s">
        <v>10047</v>
      </c>
      <c r="B51" s="1086" t="s">
        <v>10084</v>
      </c>
      <c r="C51" s="1086"/>
      <c r="D51" s="1086"/>
      <c r="E51" s="1086"/>
      <c r="F51" s="1086"/>
      <c r="G51" s="1086"/>
      <c r="H51" s="1086"/>
      <c r="I51" s="1086"/>
      <c r="J51" s="1086"/>
      <c r="K51" s="1086"/>
      <c r="L51" s="1086"/>
    </row>
    <row r="52" spans="1:12" s="1085" customFormat="1" ht="19.899999999999999" customHeight="1">
      <c r="A52" s="1086"/>
      <c r="B52" s="1086" t="s">
        <v>10085</v>
      </c>
      <c r="C52" s="1086"/>
      <c r="D52" s="1086"/>
      <c r="E52" s="1086"/>
      <c r="F52" s="1086"/>
      <c r="G52" s="1086"/>
      <c r="H52" s="1086"/>
      <c r="I52" s="1086"/>
      <c r="J52" s="1086"/>
      <c r="K52" s="1086"/>
      <c r="L52" s="1086"/>
    </row>
    <row r="53" spans="1:12" s="1085" customFormat="1" ht="19.899999999999999" customHeight="1">
      <c r="A53" s="1086"/>
      <c r="B53" s="1086"/>
      <c r="C53" s="1086"/>
      <c r="D53" s="1086"/>
      <c r="E53" s="1086"/>
      <c r="F53" s="1086"/>
      <c r="G53" s="1086"/>
      <c r="H53" s="1086"/>
      <c r="I53" s="1086"/>
      <c r="J53" s="1086"/>
      <c r="K53" s="1086"/>
      <c r="L53" s="1086"/>
    </row>
    <row r="54" spans="1:12" s="1085" customFormat="1" ht="19.899999999999999" customHeight="1">
      <c r="A54" s="1086"/>
      <c r="B54" s="1086"/>
      <c r="C54" s="1086"/>
      <c r="D54" s="4316" t="s">
        <v>10086</v>
      </c>
      <c r="E54" s="4316"/>
      <c r="F54" s="4316"/>
      <c r="G54" s="4316"/>
      <c r="H54" s="4316"/>
      <c r="I54" s="4316"/>
      <c r="J54" s="4316"/>
      <c r="K54" s="4316"/>
      <c r="L54" s="4316"/>
    </row>
    <row r="55" spans="1:12" s="1085" customFormat="1" ht="19.899999999999999" customHeight="1">
      <c r="A55" s="1086"/>
      <c r="B55" s="1086" t="s">
        <v>10087</v>
      </c>
      <c r="C55" s="1086"/>
      <c r="D55" s="1099" t="s">
        <v>10088</v>
      </c>
      <c r="E55" s="1098">
        <v>4</v>
      </c>
      <c r="F55" s="1098">
        <v>4</v>
      </c>
      <c r="G55" s="1098">
        <v>6</v>
      </c>
      <c r="H55" s="1098">
        <v>8</v>
      </c>
      <c r="I55" s="1098">
        <v>10</v>
      </c>
      <c r="J55" s="1098">
        <v>10</v>
      </c>
      <c r="K55" s="1098">
        <v>12</v>
      </c>
      <c r="L55" s="1098">
        <v>12</v>
      </c>
    </row>
    <row r="56" spans="1:12" ht="19.899999999999999" customHeight="1">
      <c r="B56" s="1086" t="s">
        <v>10089</v>
      </c>
      <c r="D56" s="1099" t="s">
        <v>10090</v>
      </c>
      <c r="E56" s="1098">
        <v>2</v>
      </c>
      <c r="F56" s="1098">
        <v>2.5</v>
      </c>
      <c r="G56" s="1098">
        <v>4</v>
      </c>
      <c r="H56" s="1098">
        <v>6</v>
      </c>
      <c r="I56" s="1098">
        <v>7.5</v>
      </c>
      <c r="J56" s="1098">
        <v>8</v>
      </c>
      <c r="K56" s="1098">
        <v>9</v>
      </c>
      <c r="L56" s="1098">
        <v>10</v>
      </c>
    </row>
    <row r="57" spans="1:12" ht="19.899999999999999" customHeight="1"/>
    <row r="58" spans="1:12" ht="19.899999999999999" customHeight="1">
      <c r="B58" s="1091" t="s">
        <v>10091</v>
      </c>
      <c r="C58" s="1092">
        <v>10</v>
      </c>
      <c r="D58" s="1086" t="s">
        <v>2040</v>
      </c>
    </row>
    <row r="59" spans="1:12" ht="19.899999999999999" customHeight="1">
      <c r="B59" s="1091" t="s">
        <v>10092</v>
      </c>
      <c r="C59" s="1092">
        <v>30</v>
      </c>
      <c r="D59" s="1086" t="s">
        <v>6088</v>
      </c>
    </row>
    <row r="60" spans="1:12" ht="19.899999999999999" customHeight="1">
      <c r="B60" s="1091" t="s">
        <v>10093</v>
      </c>
      <c r="C60" s="1094">
        <v>0.1</v>
      </c>
      <c r="D60" s="1086" t="s">
        <v>6492</v>
      </c>
    </row>
    <row r="61" spans="1:12" ht="19.899999999999999" customHeight="1">
      <c r="B61" s="1091" t="s">
        <v>10094</v>
      </c>
      <c r="C61" s="1096">
        <f>C46*60*C60/1</f>
        <v>8.4600000000000009</v>
      </c>
      <c r="D61" s="1086" t="s">
        <v>2024</v>
      </c>
    </row>
    <row r="62" spans="1:12" ht="19.899999999999999" customHeight="1">
      <c r="A62" s="1088" t="s">
        <v>10064</v>
      </c>
      <c r="B62" s="4315" t="s">
        <v>10095</v>
      </c>
      <c r="C62" s="4315"/>
      <c r="D62" s="4315"/>
      <c r="E62" s="4315"/>
      <c r="F62" s="4315"/>
      <c r="G62" s="4315"/>
      <c r="H62" s="4315"/>
    </row>
    <row r="63" spans="1:12" ht="19.899999999999999" customHeight="1">
      <c r="B63" s="1091" t="s">
        <v>10096</v>
      </c>
      <c r="C63" s="1097">
        <f>2*C61</f>
        <v>16.920000000000002</v>
      </c>
      <c r="D63" s="1086" t="s">
        <v>2024</v>
      </c>
    </row>
    <row r="64" spans="1:12" ht="19.899999999999999" customHeight="1">
      <c r="A64" s="4317" t="s">
        <v>10097</v>
      </c>
      <c r="B64" s="4317"/>
      <c r="C64" s="4318" t="s">
        <v>10098</v>
      </c>
      <c r="D64" s="4318"/>
      <c r="E64" s="1097">
        <f>C43</f>
        <v>88</v>
      </c>
      <c r="F64" s="1086" t="s">
        <v>10099</v>
      </c>
    </row>
    <row r="65" spans="1:8" ht="19.899999999999999" customHeight="1">
      <c r="A65" s="1101"/>
      <c r="C65" s="4318" t="s">
        <v>10100</v>
      </c>
      <c r="D65" s="4318"/>
      <c r="E65" s="1097">
        <f>C61</f>
        <v>8.4600000000000009</v>
      </c>
      <c r="F65" s="1086" t="s">
        <v>2024</v>
      </c>
    </row>
    <row r="66" spans="1:8" ht="19.899999999999999" customHeight="1">
      <c r="A66" s="1088" t="s">
        <v>10101</v>
      </c>
      <c r="B66" s="4315" t="s">
        <v>10102</v>
      </c>
      <c r="C66" s="4315"/>
      <c r="D66" s="4315"/>
      <c r="E66" s="4315"/>
      <c r="F66" s="4315"/>
      <c r="G66" s="4315"/>
      <c r="H66" s="4315"/>
    </row>
    <row r="67" spans="1:8" ht="19.899999999999999" customHeight="1">
      <c r="A67" s="1102" t="s">
        <v>10103</v>
      </c>
      <c r="C67" s="1103">
        <v>29</v>
      </c>
      <c r="D67" s="1104" t="s">
        <v>2024</v>
      </c>
    </row>
    <row r="68" spans="1:8" ht="19.899999999999999" customHeight="1">
      <c r="A68" s="1086" t="s">
        <v>10104</v>
      </c>
      <c r="B68" s="1086" t="s">
        <v>10105</v>
      </c>
      <c r="C68" s="1105">
        <f>C46*60*C60/C67</f>
        <v>0.29172413793103402</v>
      </c>
      <c r="D68" s="1104" t="s">
        <v>6085</v>
      </c>
    </row>
    <row r="69" spans="1:8" ht="19.899999999999999" customHeight="1">
      <c r="A69" s="1088" t="s">
        <v>10106</v>
      </c>
      <c r="B69" s="4315" t="s">
        <v>10107</v>
      </c>
      <c r="C69" s="4315"/>
      <c r="D69" s="4315"/>
      <c r="E69" s="4315"/>
      <c r="F69" s="4315"/>
      <c r="G69" s="4315"/>
      <c r="H69" s="4315"/>
    </row>
    <row r="70" spans="1:8" ht="19.899999999999999" customHeight="1">
      <c r="A70" s="1106"/>
      <c r="B70" s="1086" t="s">
        <v>10108</v>
      </c>
      <c r="C70" s="1104"/>
      <c r="D70" s="1107">
        <v>8</v>
      </c>
      <c r="E70" s="1086" t="s">
        <v>10109</v>
      </c>
    </row>
    <row r="71" spans="1:8" ht="19.899999999999999" customHeight="1">
      <c r="A71" s="1106"/>
      <c r="B71" s="1086" t="s">
        <v>10110</v>
      </c>
      <c r="C71" s="1104"/>
      <c r="D71" s="1105">
        <f>11.1*6.7/2</f>
        <v>37.185000000000002</v>
      </c>
      <c r="E71" s="1086" t="s">
        <v>2024</v>
      </c>
    </row>
    <row r="72" spans="1:8" ht="19.899999999999999" customHeight="1">
      <c r="B72" s="1086" t="s">
        <v>10111</v>
      </c>
      <c r="C72" s="1108"/>
      <c r="D72" s="1086" t="s">
        <v>10112</v>
      </c>
    </row>
    <row r="73" spans="1:8" ht="19.899999999999999" customHeight="1">
      <c r="A73" s="1109" t="s">
        <v>10113</v>
      </c>
    </row>
    <row r="74" spans="1:8" ht="19.899999999999999" customHeight="1">
      <c r="B74" s="1086" t="s">
        <v>10114</v>
      </c>
    </row>
    <row r="75" spans="1:8" ht="19.899999999999999" customHeight="1">
      <c r="B75" s="1086" t="s">
        <v>10115</v>
      </c>
    </row>
    <row r="76" spans="1:8" ht="19.899999999999999" customHeight="1">
      <c r="B76" s="1086" t="s">
        <v>10116</v>
      </c>
    </row>
    <row r="77" spans="1:8" ht="19.899999999999999" customHeight="1"/>
    <row r="78" spans="1:8" ht="19.899999999999999" customHeight="1"/>
    <row r="79" spans="1:8" ht="19.899999999999999" customHeight="1"/>
    <row r="80" spans="1:8" ht="19.899999999999999" customHeight="1"/>
    <row r="81" ht="19.899999999999999" customHeight="1"/>
    <row r="82" ht="19.899999999999999" customHeight="1"/>
    <row r="83" ht="19.899999999999999" customHeight="1"/>
    <row r="84" ht="19.899999999999999" customHeight="1"/>
    <row r="85" ht="19.899999999999999" customHeight="1"/>
    <row r="86" ht="19.899999999999999" customHeight="1"/>
    <row r="87" ht="19.899999999999999" customHeight="1"/>
    <row r="88" ht="19.899999999999999" customHeight="1"/>
    <row r="89" ht="19.899999999999999" customHeight="1"/>
    <row r="90" ht="19.899999999999999" customHeight="1"/>
    <row r="91" ht="19.899999999999999" customHeight="1"/>
    <row r="92" ht="19.899999999999999" customHeight="1"/>
    <row r="93" ht="19.899999999999999" customHeight="1"/>
    <row r="94" ht="19.899999999999999" customHeight="1"/>
    <row r="95" ht="19.899999999999999" customHeight="1"/>
    <row r="96" ht="19.899999999999999" customHeight="1"/>
    <row r="97" ht="19.899999999999999" customHeight="1"/>
    <row r="98" ht="19.899999999999999" customHeight="1"/>
    <row r="99" ht="19.899999999999999" customHeight="1"/>
    <row r="100" ht="19.899999999999999" customHeight="1"/>
    <row r="101" ht="19.899999999999999" customHeight="1"/>
    <row r="102" ht="19.899999999999999" customHeight="1"/>
    <row r="103" ht="19.899999999999999" customHeight="1"/>
    <row r="104" ht="19.899999999999999" customHeight="1"/>
    <row r="105" ht="19.899999999999999" customHeight="1"/>
    <row r="106" ht="19.899999999999999" customHeight="1"/>
    <row r="107" ht="19.899999999999999" customHeight="1"/>
    <row r="108" ht="19.899999999999999" customHeight="1"/>
    <row r="109" ht="19.899999999999999" customHeight="1"/>
    <row r="110" ht="19.899999999999999" customHeight="1"/>
    <row r="111" ht="19.899999999999999" customHeight="1"/>
  </sheetData>
  <sheetProtection password="C633" sheet="1" objects="1"/>
  <mergeCells count="11">
    <mergeCell ref="B69:H69"/>
    <mergeCell ref="B62:H62"/>
    <mergeCell ref="A64:B64"/>
    <mergeCell ref="C64:D64"/>
    <mergeCell ref="C65:D65"/>
    <mergeCell ref="B66:H66"/>
    <mergeCell ref="A1:H1"/>
    <mergeCell ref="A2:H2"/>
    <mergeCell ref="A22:H22"/>
    <mergeCell ref="B47:H47"/>
    <mergeCell ref="D54:L54"/>
  </mergeCells>
  <phoneticPr fontId="378" type="noConversion"/>
  <conditionalFormatting sqref="C72:C73">
    <cfRule type="expression" dxfId="0" priority="1" stopIfTrue="1">
      <formula>D71&gt;C63</formula>
    </cfRule>
  </conditionalFormatting>
  <dataValidations count="2">
    <dataValidation type="list" allowBlank="1" showInputMessage="1" showErrorMessage="1" sqref="C13">
      <formula1>"4,8"</formula1>
    </dataValidation>
    <dataValidation type="list" allowBlank="1" showInputMessage="1" showErrorMessage="1" sqref="C58">
      <formula1>$E$56:$L$56</formula1>
    </dataValidation>
  </dataValidations>
  <hyperlinks>
    <hyperlink ref="I1" location="总目录!A1" display="返回目录"/>
  </hyperlinks>
  <pageMargins left="0.75" right="0.75" top="1" bottom="1" header="0.50902777777777797" footer="0.50902777777777797"/>
  <pageSetup paperSize="9" orientation="portrait"/>
  <drawing r:id="rId1"/>
  <legacyDrawing r:id="rId2"/>
  <oleObjects>
    <mc:AlternateContent xmlns:mc="http://schemas.openxmlformats.org/markup-compatibility/2006">
      <mc:Choice Requires="x14">
        <oleObject progId="Equation.3" shapeId="1222657" r:id="rId3">
          <objectPr defaultSize="0" autoPict="0" altText="" r:id="rId4">
            <anchor moveWithCells="1">
              <from>
                <xdr:col>1</xdr:col>
                <xdr:colOff>19050</xdr:colOff>
                <xdr:row>4</xdr:row>
                <xdr:rowOff>28575</xdr:rowOff>
              </from>
              <to>
                <xdr:col>1</xdr:col>
                <xdr:colOff>971550</xdr:colOff>
                <xdr:row>5</xdr:row>
                <xdr:rowOff>238125</xdr:rowOff>
              </to>
            </anchor>
          </objectPr>
        </oleObject>
      </mc:Choice>
      <mc:Fallback>
        <oleObject progId="Equation.3" shapeId="1222657" r:id="rId3"/>
      </mc:Fallback>
    </mc:AlternateContent>
    <mc:AlternateContent xmlns:mc="http://schemas.openxmlformats.org/markup-compatibility/2006">
      <mc:Choice Requires="x14">
        <oleObject progId="Equation.3" shapeId="1222658" r:id="rId5">
          <objectPr defaultSize="0" autoPict="0" altText="" r:id="rId6">
            <anchor moveWithCells="1">
              <from>
                <xdr:col>3</xdr:col>
                <xdr:colOff>638175</xdr:colOff>
                <xdr:row>18</xdr:row>
                <xdr:rowOff>228600</xdr:rowOff>
              </from>
              <to>
                <xdr:col>4</xdr:col>
                <xdr:colOff>600075</xdr:colOff>
                <xdr:row>20</xdr:row>
                <xdr:rowOff>104775</xdr:rowOff>
              </to>
            </anchor>
          </objectPr>
        </oleObject>
      </mc:Choice>
      <mc:Fallback>
        <oleObject progId="Equation.3" shapeId="1222658" r:id="rId5"/>
      </mc:Fallback>
    </mc:AlternateContent>
    <mc:AlternateContent xmlns:mc="http://schemas.openxmlformats.org/markup-compatibility/2006">
      <mc:Choice Requires="x14">
        <oleObject progId="Equation.3" shapeId="1222659" r:id="rId7">
          <objectPr defaultSize="0" autoPict="0" altText="" r:id="rId8">
            <anchor moveWithCells="1">
              <from>
                <xdr:col>1</xdr:col>
                <xdr:colOff>47625</xdr:colOff>
                <xdr:row>52</xdr:row>
                <xdr:rowOff>28575</xdr:rowOff>
              </from>
              <to>
                <xdr:col>1</xdr:col>
                <xdr:colOff>895350</xdr:colOff>
                <xdr:row>53</xdr:row>
                <xdr:rowOff>171450</xdr:rowOff>
              </to>
            </anchor>
          </objectPr>
        </oleObject>
      </mc:Choice>
      <mc:Fallback>
        <oleObject progId="Equation.3" shapeId="1222659" r:id="rId7"/>
      </mc:Fallback>
    </mc:AlternateContent>
    <mc:AlternateContent xmlns:mc="http://schemas.openxmlformats.org/markup-compatibility/2006">
      <mc:Choice Requires="x14">
        <oleObject progId="Equation.KSEE3" shapeId="1222660" r:id="rId9">
          <objectPr defaultSize="0" autoPict="0" altText="" r:id="rId10">
            <anchor moveWithCells="1">
              <from>
                <xdr:col>4</xdr:col>
                <xdr:colOff>533400</xdr:colOff>
                <xdr:row>70</xdr:row>
                <xdr:rowOff>28575</xdr:rowOff>
              </from>
              <to>
                <xdr:col>6</xdr:col>
                <xdr:colOff>66675</xdr:colOff>
                <xdr:row>71</xdr:row>
                <xdr:rowOff>9525</xdr:rowOff>
              </to>
            </anchor>
          </objectPr>
        </oleObject>
      </mc:Choice>
      <mc:Fallback>
        <oleObject progId="Equation.KSEE3" shapeId="1222660" r:id="rId9"/>
      </mc:Fallback>
    </mc:AlternateContent>
  </oleObjec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6"/>
  <sheetViews>
    <sheetView workbookViewId="0">
      <selection activeCell="K3" sqref="K3"/>
    </sheetView>
  </sheetViews>
  <sheetFormatPr defaultColWidth="9" defaultRowHeight="13.5"/>
  <cols>
    <col min="1" max="1" width="9" style="1067"/>
    <col min="2" max="2" width="12.625" style="1068" customWidth="1"/>
    <col min="3" max="3" width="9" style="1069"/>
    <col min="4" max="4" width="12.625" style="1067"/>
    <col min="5" max="16384" width="9" style="1067"/>
  </cols>
  <sheetData>
    <row r="1" spans="2:13" ht="27">
      <c r="B1" s="4319" t="s">
        <v>27</v>
      </c>
      <c r="C1" s="4319"/>
      <c r="D1" s="4319"/>
      <c r="E1" s="4319"/>
      <c r="F1" s="4319"/>
      <c r="G1" s="4319"/>
      <c r="H1" s="4319"/>
      <c r="I1" s="4319"/>
      <c r="J1" s="4319"/>
      <c r="K1" s="4319"/>
      <c r="L1" s="4319"/>
      <c r="M1" s="4319"/>
    </row>
    <row r="2" spans="2:13" ht="20.100000000000001" customHeight="1">
      <c r="B2" s="1070"/>
      <c r="C2" s="1070"/>
      <c r="D2" s="1070"/>
      <c r="E2" s="1070"/>
      <c r="F2" s="1070"/>
      <c r="G2" s="1070"/>
      <c r="H2" s="1070"/>
      <c r="I2" s="1070"/>
      <c r="J2" s="1070"/>
      <c r="K2" s="1070"/>
      <c r="L2" s="1070"/>
      <c r="M2" s="1070"/>
    </row>
    <row r="3" spans="2:13" ht="20.100000000000001" customHeight="1">
      <c r="B3" s="1071"/>
      <c r="C3" s="1072"/>
      <c r="D3" s="1072"/>
      <c r="E3" s="1072"/>
      <c r="F3" s="1072"/>
      <c r="G3" s="1072"/>
      <c r="H3" s="1072"/>
      <c r="I3" s="1072"/>
      <c r="J3" s="1072"/>
      <c r="K3" s="1072"/>
      <c r="L3" s="1072"/>
      <c r="M3" s="1083"/>
    </row>
    <row r="4" spans="2:13" ht="20.100000000000001" customHeight="1">
      <c r="B4" s="4320" t="s">
        <v>10117</v>
      </c>
      <c r="C4" s="4321"/>
      <c r="D4" s="4321"/>
      <c r="E4" s="4321"/>
      <c r="F4" s="4321"/>
      <c r="G4" s="4321"/>
      <c r="H4" s="4322"/>
      <c r="I4" s="1082"/>
      <c r="J4" s="1082"/>
      <c r="K4" s="1082"/>
      <c r="L4" s="1082"/>
      <c r="M4" s="1084"/>
    </row>
    <row r="5" spans="2:13" ht="20.100000000000001" customHeight="1">
      <c r="B5" s="1073" t="s">
        <v>10118</v>
      </c>
      <c r="C5" s="1074" t="s">
        <v>10119</v>
      </c>
      <c r="D5" s="1075">
        <v>63</v>
      </c>
      <c r="E5" s="1076" t="s">
        <v>2040</v>
      </c>
      <c r="F5" s="1077" t="s">
        <v>5934</v>
      </c>
      <c r="G5" s="1078">
        <f>D5/10</f>
        <v>6.3</v>
      </c>
      <c r="H5" s="1076" t="s">
        <v>9278</v>
      </c>
      <c r="I5" s="1082"/>
      <c r="J5" s="1082"/>
      <c r="K5" s="1082"/>
      <c r="L5" s="1082"/>
      <c r="M5" s="1084"/>
    </row>
    <row r="6" spans="2:13" ht="20.100000000000001" customHeight="1">
      <c r="B6" s="1073" t="s">
        <v>10120</v>
      </c>
      <c r="C6" s="1074" t="s">
        <v>10121</v>
      </c>
      <c r="D6" s="1075">
        <v>420</v>
      </c>
      <c r="E6" s="1076" t="s">
        <v>10122</v>
      </c>
      <c r="F6" s="4323"/>
      <c r="G6" s="4324"/>
      <c r="H6" s="4325"/>
      <c r="I6" s="1082"/>
      <c r="J6" s="1082"/>
      <c r="K6" s="1082"/>
      <c r="L6" s="1082"/>
      <c r="M6" s="1084"/>
    </row>
    <row r="7" spans="2:13" ht="20.100000000000001" customHeight="1">
      <c r="B7" s="1073" t="s">
        <v>10123</v>
      </c>
      <c r="C7" s="1074" t="s">
        <v>10124</v>
      </c>
      <c r="D7" s="1075">
        <v>0.5</v>
      </c>
      <c r="E7" s="1076" t="s">
        <v>966</v>
      </c>
      <c r="F7" s="4323"/>
      <c r="G7" s="4324"/>
      <c r="H7" s="4325"/>
      <c r="I7" s="1082"/>
      <c r="J7" s="1082"/>
      <c r="K7" s="1082"/>
      <c r="L7" s="1082"/>
      <c r="M7" s="1084"/>
    </row>
    <row r="8" spans="2:13" ht="20.100000000000001" customHeight="1">
      <c r="B8" s="1073" t="s">
        <v>10125</v>
      </c>
      <c r="C8" s="1074" t="s">
        <v>10126</v>
      </c>
      <c r="D8" s="1079">
        <f>0.0462*G5*G5*D6*(D7+0.102)</f>
        <v>463.62714552</v>
      </c>
      <c r="E8" s="1076" t="s">
        <v>2024</v>
      </c>
      <c r="F8" s="4323"/>
      <c r="G8" s="4324"/>
      <c r="H8" s="4325"/>
      <c r="I8" s="1082"/>
      <c r="J8" s="1082"/>
      <c r="K8" s="1082"/>
      <c r="L8" s="1082"/>
      <c r="M8" s="1084"/>
    </row>
    <row r="9" spans="2:13" ht="20.100000000000001" customHeight="1">
      <c r="B9" s="1073" t="s">
        <v>10127</v>
      </c>
      <c r="C9" s="1074" t="s">
        <v>10128</v>
      </c>
      <c r="D9" s="1079">
        <f>D8/984</f>
        <v>0.47116579829268301</v>
      </c>
      <c r="E9" s="1076" t="s">
        <v>2024</v>
      </c>
      <c r="F9" s="4323" t="s">
        <v>10129</v>
      </c>
      <c r="G9" s="4324"/>
      <c r="H9" s="4325"/>
      <c r="I9" s="1082"/>
      <c r="J9" s="1082"/>
      <c r="K9" s="1082"/>
      <c r="L9" s="1082"/>
      <c r="M9" s="1084"/>
    </row>
    <row r="10" spans="2:13" ht="20.100000000000001" customHeight="1">
      <c r="B10" s="1073" t="s">
        <v>10130</v>
      </c>
      <c r="C10" s="1074" t="s">
        <v>10131</v>
      </c>
      <c r="D10" s="1079">
        <f>D9*18</f>
        <v>8.48098436926829</v>
      </c>
      <c r="E10" s="1076" t="s">
        <v>10109</v>
      </c>
      <c r="F10" s="4323"/>
      <c r="G10" s="4324"/>
      <c r="H10" s="4325"/>
      <c r="I10" s="1082"/>
      <c r="J10" s="1082"/>
      <c r="K10" s="1082"/>
      <c r="L10" s="1082"/>
      <c r="M10" s="1084"/>
    </row>
    <row r="11" spans="2:13" ht="20.100000000000001" customHeight="1">
      <c r="B11" s="4330" t="s">
        <v>10132</v>
      </c>
      <c r="C11" s="4331"/>
      <c r="D11" s="4331"/>
      <c r="E11" s="4331"/>
      <c r="F11" s="4331"/>
      <c r="G11" s="4331"/>
      <c r="H11" s="4331"/>
      <c r="I11" s="4331"/>
      <c r="J11" s="4331"/>
      <c r="K11" s="4331"/>
      <c r="L11" s="4331"/>
      <c r="M11" s="4332"/>
    </row>
    <row r="12" spans="2:13" ht="20.100000000000001" customHeight="1">
      <c r="B12" s="4333"/>
      <c r="C12" s="4334"/>
      <c r="D12" s="4334"/>
      <c r="E12" s="4334"/>
      <c r="F12" s="4334"/>
      <c r="G12" s="4334"/>
      <c r="H12" s="4334"/>
      <c r="I12" s="4334"/>
      <c r="J12" s="4334"/>
      <c r="K12" s="4334"/>
      <c r="L12" s="4334"/>
      <c r="M12" s="4335"/>
    </row>
    <row r="13" spans="2:13" ht="20.100000000000001" customHeight="1"/>
    <row r="14" spans="2:13" ht="20.100000000000001" customHeight="1">
      <c r="B14" s="4326" t="s">
        <v>10133</v>
      </c>
      <c r="C14" s="4327"/>
      <c r="D14" s="4327"/>
      <c r="E14" s="4327"/>
      <c r="F14" s="4327"/>
      <c r="G14" s="4327"/>
      <c r="H14" s="4327"/>
      <c r="I14" s="4327"/>
      <c r="J14" s="4327"/>
      <c r="K14" s="4328"/>
      <c r="M14" s="3168" t="s">
        <v>12704</v>
      </c>
    </row>
    <row r="15" spans="2:13" ht="20.100000000000001" customHeight="1">
      <c r="B15" s="1073" t="s">
        <v>10118</v>
      </c>
      <c r="C15" s="1074" t="s">
        <v>10119</v>
      </c>
      <c r="D15" s="1075">
        <v>100</v>
      </c>
      <c r="E15" s="1076" t="s">
        <v>2040</v>
      </c>
      <c r="F15" s="1077" t="s">
        <v>5934</v>
      </c>
      <c r="G15" s="1079">
        <f t="shared" ref="G15:G19" si="0">D15/10</f>
        <v>10</v>
      </c>
      <c r="H15" s="1076" t="s">
        <v>9278</v>
      </c>
      <c r="I15" s="4323"/>
      <c r="J15" s="4324"/>
      <c r="K15" s="4329"/>
    </row>
    <row r="16" spans="2:13" ht="20.100000000000001" customHeight="1">
      <c r="B16" s="1073" t="s">
        <v>10134</v>
      </c>
      <c r="C16" s="1074" t="s">
        <v>10135</v>
      </c>
      <c r="D16" s="1075">
        <v>60</v>
      </c>
      <c r="E16" s="1076" t="s">
        <v>10136</v>
      </c>
      <c r="F16" s="4323" t="s">
        <v>10137</v>
      </c>
      <c r="G16" s="4324"/>
      <c r="H16" s="4324"/>
      <c r="I16" s="4324"/>
      <c r="J16" s="4324"/>
      <c r="K16" s="4329"/>
      <c r="L16" s="1082"/>
      <c r="M16" s="1082"/>
    </row>
    <row r="17" spans="2:11" ht="20.100000000000001" customHeight="1">
      <c r="B17" s="1073" t="s">
        <v>10138</v>
      </c>
      <c r="C17" s="1074" t="s">
        <v>6073</v>
      </c>
      <c r="D17" s="1075">
        <v>100</v>
      </c>
      <c r="E17" s="1076" t="s">
        <v>2040</v>
      </c>
      <c r="F17" s="1077" t="s">
        <v>5934</v>
      </c>
      <c r="G17" s="1079">
        <f t="shared" si="0"/>
        <v>10</v>
      </c>
      <c r="H17" s="1076" t="s">
        <v>9278</v>
      </c>
      <c r="I17" s="4323"/>
      <c r="J17" s="4324"/>
      <c r="K17" s="4329"/>
    </row>
    <row r="18" spans="2:11" ht="20.100000000000001" customHeight="1">
      <c r="B18" s="1073" t="s">
        <v>10139</v>
      </c>
      <c r="C18" s="1074" t="s">
        <v>10140</v>
      </c>
      <c r="D18" s="1075">
        <v>10</v>
      </c>
      <c r="E18" s="1076" t="s">
        <v>2040</v>
      </c>
      <c r="F18" s="1077" t="s">
        <v>5934</v>
      </c>
      <c r="G18" s="1079">
        <f t="shared" si="0"/>
        <v>1</v>
      </c>
      <c r="H18" s="1076" t="s">
        <v>9278</v>
      </c>
      <c r="I18" s="4323" t="s">
        <v>10141</v>
      </c>
      <c r="J18" s="4324"/>
      <c r="K18" s="4329"/>
    </row>
    <row r="19" spans="2:11" ht="20.100000000000001" customHeight="1">
      <c r="B19" s="1073" t="s">
        <v>10142</v>
      </c>
      <c r="C19" s="1074" t="s">
        <v>10143</v>
      </c>
      <c r="D19" s="1075">
        <v>60</v>
      </c>
      <c r="E19" s="1076" t="s">
        <v>2040</v>
      </c>
      <c r="F19" s="1077" t="s">
        <v>5934</v>
      </c>
      <c r="G19" s="1079">
        <f t="shared" si="0"/>
        <v>6</v>
      </c>
      <c r="H19" s="1076" t="s">
        <v>9278</v>
      </c>
      <c r="I19" s="4323"/>
      <c r="J19" s="4324"/>
      <c r="K19" s="4329"/>
    </row>
    <row r="20" spans="2:11" ht="20.100000000000001" customHeight="1">
      <c r="B20" s="1073" t="s">
        <v>10123</v>
      </c>
      <c r="C20" s="1074" t="s">
        <v>10124</v>
      </c>
      <c r="D20" s="1075">
        <v>0.6</v>
      </c>
      <c r="E20" s="1076" t="s">
        <v>966</v>
      </c>
      <c r="F20" s="4342"/>
      <c r="G20" s="4342"/>
      <c r="H20" s="4342"/>
      <c r="I20" s="4342"/>
      <c r="J20" s="4342"/>
      <c r="K20" s="4343"/>
    </row>
    <row r="21" spans="2:11" ht="20.100000000000001" customHeight="1">
      <c r="B21" s="1073" t="s">
        <v>10144</v>
      </c>
      <c r="C21" s="1074" t="s">
        <v>10145</v>
      </c>
      <c r="D21" s="1079">
        <f>0.0157*(POWER(G15,2)*G17+POWER(G18,2)*G19)*D16*(D20+0.102)</f>
        <v>665.25170400000002</v>
      </c>
      <c r="E21" s="4344" t="s">
        <v>10146</v>
      </c>
      <c r="F21" s="4345"/>
      <c r="G21" s="4346"/>
      <c r="H21" s="4323"/>
      <c r="I21" s="4324"/>
      <c r="J21" s="4324"/>
      <c r="K21" s="4329"/>
    </row>
    <row r="22" spans="2:11" ht="20.100000000000001" customHeight="1">
      <c r="B22" s="1080"/>
      <c r="C22" s="1081"/>
      <c r="D22" s="1082"/>
      <c r="E22" s="1082"/>
      <c r="F22" s="1082"/>
      <c r="G22" s="1082"/>
      <c r="H22" s="1082"/>
      <c r="I22" s="1082"/>
      <c r="J22" s="1082"/>
      <c r="K22" s="1084"/>
    </row>
    <row r="23" spans="2:11" ht="20.100000000000001" customHeight="1">
      <c r="B23" s="1080"/>
      <c r="C23" s="1081"/>
      <c r="D23" s="1082"/>
      <c r="E23" s="1082"/>
      <c r="F23" s="1082"/>
      <c r="G23" s="1082"/>
      <c r="H23" s="1082"/>
      <c r="I23" s="1082"/>
      <c r="J23" s="1082"/>
      <c r="K23" s="1084"/>
    </row>
    <row r="24" spans="2:11" ht="20.100000000000001" customHeight="1">
      <c r="B24" s="1080"/>
      <c r="C24" s="1081"/>
      <c r="D24" s="1082"/>
      <c r="E24" s="1082"/>
      <c r="F24" s="1082"/>
      <c r="G24" s="1082"/>
      <c r="H24" s="1082"/>
      <c r="I24" s="1082"/>
      <c r="J24" s="1082"/>
      <c r="K24" s="1084"/>
    </row>
    <row r="25" spans="2:11" ht="20.100000000000001" customHeight="1">
      <c r="B25" s="4336" t="s">
        <v>10147</v>
      </c>
      <c r="C25" s="4337"/>
      <c r="D25" s="4337"/>
      <c r="E25" s="4337"/>
      <c r="F25" s="4337"/>
      <c r="G25" s="4337"/>
      <c r="H25" s="4337"/>
      <c r="I25" s="4337"/>
      <c r="J25" s="4337"/>
      <c r="K25" s="4338"/>
    </row>
    <row r="26" spans="2:11" ht="20.100000000000001" customHeight="1">
      <c r="B26" s="4339"/>
      <c r="C26" s="4340"/>
      <c r="D26" s="4340"/>
      <c r="E26" s="4340"/>
      <c r="F26" s="4340"/>
      <c r="G26" s="4340"/>
      <c r="H26" s="4340"/>
      <c r="I26" s="4340"/>
      <c r="J26" s="4340"/>
      <c r="K26" s="4341"/>
    </row>
  </sheetData>
  <sheetProtection password="C633" sheet="1"/>
  <mergeCells count="18">
    <mergeCell ref="B25:K26"/>
    <mergeCell ref="I17:K17"/>
    <mergeCell ref="I18:K18"/>
    <mergeCell ref="I19:K19"/>
    <mergeCell ref="F20:K20"/>
    <mergeCell ref="E21:G21"/>
    <mergeCell ref="H21:K21"/>
    <mergeCell ref="F9:H9"/>
    <mergeCell ref="F10:H10"/>
    <mergeCell ref="B14:K14"/>
    <mergeCell ref="I15:K15"/>
    <mergeCell ref="F16:K16"/>
    <mergeCell ref="B11:M12"/>
    <mergeCell ref="B1:M1"/>
    <mergeCell ref="B4:H4"/>
    <mergeCell ref="F6:H6"/>
    <mergeCell ref="F7:H7"/>
    <mergeCell ref="F8:H8"/>
  </mergeCells>
  <phoneticPr fontId="378" type="noConversion"/>
  <hyperlinks>
    <hyperlink ref="M14" location="总目录!A1" display="返回目录"/>
  </hyperlinks>
  <pageMargins left="0.69930555555555596" right="0.69930555555555596" top="0.75" bottom="0.75" header="0.3" footer="0.3"/>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9"/>
  <sheetViews>
    <sheetView zoomScale="85" zoomScaleNormal="85" workbookViewId="0">
      <selection activeCell="K3" sqref="K3"/>
    </sheetView>
  </sheetViews>
  <sheetFormatPr defaultColWidth="9" defaultRowHeight="14.25"/>
  <cols>
    <col min="1" max="1" width="4.25" style="480" customWidth="1"/>
    <col min="2" max="2" width="10.625" style="480" customWidth="1"/>
    <col min="3" max="3" width="4.625" style="480" customWidth="1"/>
    <col min="4" max="4" width="6.375" style="480" customWidth="1"/>
    <col min="5" max="5" width="6.125" style="480" customWidth="1"/>
    <col min="6" max="6" width="6" style="480" customWidth="1"/>
    <col min="7" max="7" width="6.375" style="480" customWidth="1"/>
    <col min="8" max="8" width="6.5" style="480" customWidth="1"/>
    <col min="9" max="10" width="11" style="480" customWidth="1"/>
    <col min="11" max="11" width="6.375" style="480" customWidth="1"/>
    <col min="12" max="12" width="6.875" style="480" customWidth="1"/>
    <col min="13" max="13" width="1.5" style="480" customWidth="1"/>
    <col min="14" max="14" width="10.375" style="480" customWidth="1"/>
    <col min="15" max="15" width="7" style="480" customWidth="1"/>
    <col min="16" max="16" width="7.125" style="480" customWidth="1"/>
    <col min="17" max="17" width="9.5" style="480" customWidth="1"/>
    <col min="18" max="16384" width="9" style="480"/>
  </cols>
  <sheetData>
    <row r="1" spans="1:19" ht="22.5">
      <c r="A1" s="4347" t="s">
        <v>10148</v>
      </c>
      <c r="B1" s="4347"/>
      <c r="C1" s="4347"/>
      <c r="D1" s="4347"/>
      <c r="E1" s="4347"/>
      <c r="F1" s="4347"/>
      <c r="G1" s="4347"/>
      <c r="H1" s="4347"/>
      <c r="I1" s="4347"/>
      <c r="J1" s="4347"/>
      <c r="K1" s="4347"/>
      <c r="L1" s="4347"/>
      <c r="N1" s="4348" t="s">
        <v>10149</v>
      </c>
      <c r="O1" s="4348"/>
      <c r="P1" s="4348"/>
      <c r="Q1" s="4348"/>
    </row>
    <row r="2" spans="1:19" ht="30.75" customHeight="1">
      <c r="A2" s="760" t="s">
        <v>10150</v>
      </c>
      <c r="B2" s="760" t="s">
        <v>8749</v>
      </c>
      <c r="C2" s="760" t="s">
        <v>10151</v>
      </c>
      <c r="D2" s="760" t="s">
        <v>10152</v>
      </c>
      <c r="E2" s="760" t="s">
        <v>9142</v>
      </c>
      <c r="F2" s="760" t="s">
        <v>10153</v>
      </c>
      <c r="G2" s="760" t="s">
        <v>8231</v>
      </c>
      <c r="H2" s="760" t="s">
        <v>8068</v>
      </c>
      <c r="I2" s="760" t="s">
        <v>10154</v>
      </c>
      <c r="J2" s="760" t="s">
        <v>10155</v>
      </c>
      <c r="K2" s="760" t="s">
        <v>10156</v>
      </c>
      <c r="L2" s="483" t="s">
        <v>10157</v>
      </c>
      <c r="N2" s="1065" t="s">
        <v>10158</v>
      </c>
      <c r="O2" s="4349" t="s">
        <v>10159</v>
      </c>
      <c r="P2" s="4349"/>
      <c r="Q2" s="4349"/>
      <c r="S2" s="3164" t="s">
        <v>12724</v>
      </c>
    </row>
    <row r="3" spans="1:19" ht="18.75">
      <c r="A3" s="4349" t="s">
        <v>6407</v>
      </c>
      <c r="B3" s="760" t="s">
        <v>10160</v>
      </c>
      <c r="C3" s="760">
        <v>34</v>
      </c>
      <c r="D3" s="4350">
        <v>8</v>
      </c>
      <c r="E3" s="4350">
        <v>2.7</v>
      </c>
      <c r="F3" s="4350">
        <v>6.3</v>
      </c>
      <c r="G3" s="4350" t="s">
        <v>2088</v>
      </c>
      <c r="H3" s="4350">
        <v>9.5</v>
      </c>
      <c r="I3" s="4349" t="s">
        <v>10161</v>
      </c>
      <c r="J3" s="4349" t="s">
        <v>10162</v>
      </c>
      <c r="K3" s="4349" t="s">
        <v>10163</v>
      </c>
      <c r="L3" s="4349">
        <v>5.5</v>
      </c>
      <c r="N3" s="760" t="s">
        <v>10164</v>
      </c>
      <c r="O3" s="760" t="s">
        <v>5928</v>
      </c>
      <c r="P3" s="760" t="s">
        <v>5928</v>
      </c>
      <c r="Q3" s="760" t="s">
        <v>5928</v>
      </c>
    </row>
    <row r="4" spans="1:19" ht="18.75">
      <c r="A4" s="4349"/>
      <c r="B4" s="760" t="s">
        <v>10165</v>
      </c>
      <c r="C4" s="760">
        <v>36</v>
      </c>
      <c r="D4" s="4350"/>
      <c r="E4" s="4350"/>
      <c r="F4" s="4350"/>
      <c r="G4" s="4350"/>
      <c r="H4" s="4350"/>
      <c r="I4" s="4349"/>
      <c r="J4" s="4349"/>
      <c r="K4" s="4349"/>
      <c r="L4" s="4349"/>
      <c r="N4" s="760" t="s">
        <v>10166</v>
      </c>
      <c r="O4" s="760" t="s">
        <v>7453</v>
      </c>
      <c r="P4" s="760" t="s">
        <v>7453</v>
      </c>
      <c r="Q4" s="760" t="s">
        <v>10167</v>
      </c>
    </row>
    <row r="5" spans="1:19" ht="18.75">
      <c r="A5" s="4349"/>
      <c r="B5" s="760" t="s">
        <v>10168</v>
      </c>
      <c r="C5" s="760">
        <v>38</v>
      </c>
      <c r="D5" s="4350"/>
      <c r="E5" s="4350"/>
      <c r="F5" s="4350"/>
      <c r="G5" s="4350"/>
      <c r="H5" s="4350"/>
      <c r="I5" s="4349"/>
      <c r="J5" s="4349"/>
      <c r="K5" s="4349"/>
      <c r="L5" s="4349"/>
      <c r="N5" s="760" t="s">
        <v>10169</v>
      </c>
      <c r="O5" s="760" t="s">
        <v>10170</v>
      </c>
      <c r="P5" s="760" t="s">
        <v>7453</v>
      </c>
      <c r="Q5" s="760" t="s">
        <v>7453</v>
      </c>
    </row>
    <row r="6" spans="1:19" ht="18.75">
      <c r="A6" s="4349" t="s">
        <v>5928</v>
      </c>
      <c r="B6" s="760" t="s">
        <v>10171</v>
      </c>
      <c r="C6" s="760">
        <v>34</v>
      </c>
      <c r="D6" s="4350">
        <v>9.1999999999999993</v>
      </c>
      <c r="E6" s="4350">
        <v>4.5</v>
      </c>
      <c r="F6" s="4350">
        <v>8</v>
      </c>
      <c r="G6" s="4350">
        <v>15</v>
      </c>
      <c r="H6" s="4350">
        <v>10</v>
      </c>
      <c r="I6" s="4349" t="s">
        <v>10161</v>
      </c>
      <c r="J6" s="4349" t="s">
        <v>10162</v>
      </c>
      <c r="K6" s="4349" t="s">
        <v>10163</v>
      </c>
      <c r="L6" s="4349">
        <v>9</v>
      </c>
      <c r="N6" s="760" t="s">
        <v>10172</v>
      </c>
      <c r="O6" s="760" t="s">
        <v>5930</v>
      </c>
      <c r="P6" s="760" t="s">
        <v>10170</v>
      </c>
      <c r="Q6" s="760" t="s">
        <v>10170</v>
      </c>
    </row>
    <row r="7" spans="1:19" ht="18.75">
      <c r="A7" s="4349"/>
      <c r="B7" s="760" t="s">
        <v>10173</v>
      </c>
      <c r="C7" s="760">
        <v>36</v>
      </c>
      <c r="D7" s="4350"/>
      <c r="E7" s="4350"/>
      <c r="F7" s="4350"/>
      <c r="G7" s="4350"/>
      <c r="H7" s="4350"/>
      <c r="I7" s="4349"/>
      <c r="J7" s="4349"/>
      <c r="K7" s="4349"/>
      <c r="L7" s="4349"/>
      <c r="N7" s="760" t="s">
        <v>10174</v>
      </c>
      <c r="O7" s="760" t="s">
        <v>10175</v>
      </c>
      <c r="P7" s="760" t="s">
        <v>5930</v>
      </c>
      <c r="Q7" s="760" t="s">
        <v>5930</v>
      </c>
    </row>
    <row r="8" spans="1:19" ht="18.75">
      <c r="A8" s="4349"/>
      <c r="B8" s="760" t="s">
        <v>10176</v>
      </c>
      <c r="C8" s="760">
        <v>38</v>
      </c>
      <c r="D8" s="4350"/>
      <c r="E8" s="4350"/>
      <c r="F8" s="4350"/>
      <c r="G8" s="4350"/>
      <c r="H8" s="4350"/>
      <c r="I8" s="4349"/>
      <c r="J8" s="4349"/>
      <c r="K8" s="4349"/>
      <c r="L8" s="4349"/>
      <c r="N8" s="760" t="s">
        <v>10177</v>
      </c>
      <c r="O8" s="760" t="s">
        <v>4554</v>
      </c>
      <c r="P8" s="760" t="s">
        <v>10175</v>
      </c>
      <c r="Q8" s="760" t="s">
        <v>10175</v>
      </c>
    </row>
    <row r="9" spans="1:19" ht="18.75">
      <c r="A9" s="4349" t="s">
        <v>7453</v>
      </c>
      <c r="B9" s="760" t="s">
        <v>10178</v>
      </c>
      <c r="C9" s="760">
        <v>34</v>
      </c>
      <c r="D9" s="4350">
        <v>12.5</v>
      </c>
      <c r="E9" s="4350">
        <v>5.5</v>
      </c>
      <c r="F9" s="4350">
        <v>9.5</v>
      </c>
      <c r="G9" s="4350">
        <v>19</v>
      </c>
      <c r="H9" s="4350">
        <v>12.5</v>
      </c>
      <c r="I9" s="4349" t="s">
        <v>10161</v>
      </c>
      <c r="J9" s="4349" t="s">
        <v>10162</v>
      </c>
      <c r="K9" s="4349" t="s">
        <v>10163</v>
      </c>
      <c r="L9" s="4349">
        <v>11</v>
      </c>
      <c r="N9" s="760" t="s">
        <v>10179</v>
      </c>
      <c r="O9" s="760" t="s">
        <v>5931</v>
      </c>
      <c r="P9" s="760" t="s">
        <v>4554</v>
      </c>
      <c r="Q9" s="760" t="s">
        <v>4554</v>
      </c>
    </row>
    <row r="10" spans="1:19" ht="18.75">
      <c r="A10" s="4349"/>
      <c r="B10" s="760" t="s">
        <v>10180</v>
      </c>
      <c r="C10" s="760">
        <v>36</v>
      </c>
      <c r="D10" s="4350"/>
      <c r="E10" s="4350"/>
      <c r="F10" s="4350"/>
      <c r="G10" s="4350"/>
      <c r="H10" s="4350"/>
      <c r="I10" s="4349"/>
      <c r="J10" s="4349"/>
      <c r="K10" s="4349"/>
      <c r="L10" s="4349"/>
      <c r="N10" s="899" t="s">
        <v>10181</v>
      </c>
      <c r="O10" s="760" t="s">
        <v>5931</v>
      </c>
      <c r="P10" s="760" t="s">
        <v>5931</v>
      </c>
      <c r="Q10" s="760" t="s">
        <v>5931</v>
      </c>
    </row>
    <row r="11" spans="1:19" ht="18.75">
      <c r="A11" s="4349"/>
      <c r="B11" s="760" t="s">
        <v>10182</v>
      </c>
      <c r="C11" s="760">
        <v>38</v>
      </c>
      <c r="D11" s="4350"/>
      <c r="E11" s="4350"/>
      <c r="F11" s="4350"/>
      <c r="G11" s="4350"/>
      <c r="H11" s="4350"/>
      <c r="I11" s="4349"/>
      <c r="J11" s="4349"/>
      <c r="K11" s="4349"/>
      <c r="L11" s="4349"/>
      <c r="N11" s="1066"/>
      <c r="O11" s="757"/>
      <c r="P11" s="757"/>
      <c r="Q11" s="757"/>
    </row>
    <row r="12" spans="1:19" ht="18.75">
      <c r="A12" s="4349" t="s">
        <v>5930</v>
      </c>
      <c r="B12" s="760" t="s">
        <v>10183</v>
      </c>
      <c r="C12" s="760">
        <v>34</v>
      </c>
      <c r="D12" s="4350">
        <v>16.899999999999999</v>
      </c>
      <c r="E12" s="4350">
        <v>7</v>
      </c>
      <c r="F12" s="4350">
        <v>12</v>
      </c>
      <c r="G12" s="4350">
        <v>25.5</v>
      </c>
      <c r="H12" s="4350">
        <v>17</v>
      </c>
      <c r="I12" s="4349" t="s">
        <v>10161</v>
      </c>
      <c r="J12" s="4349" t="s">
        <v>10184</v>
      </c>
      <c r="K12" s="4349" t="s">
        <v>1620</v>
      </c>
      <c r="L12" s="4349">
        <v>14</v>
      </c>
      <c r="N12" s="760"/>
      <c r="O12" s="757"/>
      <c r="P12" s="757"/>
      <c r="Q12" s="757"/>
    </row>
    <row r="13" spans="1:19" ht="18.75">
      <c r="A13" s="4349"/>
      <c r="B13" s="760" t="s">
        <v>10185</v>
      </c>
      <c r="C13" s="760">
        <v>36</v>
      </c>
      <c r="D13" s="4350"/>
      <c r="E13" s="4350"/>
      <c r="F13" s="4350"/>
      <c r="G13" s="4350"/>
      <c r="H13" s="4350"/>
      <c r="I13" s="4349"/>
      <c r="J13" s="4349"/>
      <c r="K13" s="4349"/>
      <c r="L13" s="4349"/>
      <c r="N13" s="757"/>
      <c r="O13" s="757"/>
      <c r="P13" s="757"/>
      <c r="Q13" s="757"/>
    </row>
    <row r="14" spans="1:19" ht="18.75">
      <c r="A14" s="4349"/>
      <c r="B14" s="760" t="s">
        <v>10186</v>
      </c>
      <c r="C14" s="760">
        <v>38</v>
      </c>
      <c r="D14" s="4350"/>
      <c r="E14" s="4350"/>
      <c r="F14" s="4350"/>
      <c r="G14" s="4350"/>
      <c r="H14" s="4350"/>
      <c r="I14" s="4349"/>
      <c r="J14" s="4349"/>
      <c r="K14" s="4349"/>
      <c r="L14" s="4349"/>
      <c r="N14" s="757"/>
      <c r="O14" s="757"/>
      <c r="P14" s="757"/>
      <c r="Q14" s="757"/>
    </row>
    <row r="15" spans="1:19" ht="18.75">
      <c r="A15" s="4349" t="s">
        <v>4554</v>
      </c>
      <c r="B15" s="760" t="s">
        <v>10187</v>
      </c>
      <c r="C15" s="760">
        <v>36</v>
      </c>
      <c r="D15" s="4350">
        <v>24.6</v>
      </c>
      <c r="E15" s="4350">
        <v>9.5</v>
      </c>
      <c r="F15" s="4350">
        <v>15.5</v>
      </c>
      <c r="G15" s="4350">
        <v>37</v>
      </c>
      <c r="H15" s="4350">
        <v>24</v>
      </c>
      <c r="I15" s="4349" t="s">
        <v>10161</v>
      </c>
      <c r="J15" s="4349" t="s">
        <v>10188</v>
      </c>
      <c r="K15" s="4349" t="s">
        <v>10189</v>
      </c>
      <c r="L15" s="4349">
        <v>19</v>
      </c>
      <c r="N15" s="757"/>
      <c r="O15" s="757"/>
      <c r="P15" s="757"/>
      <c r="Q15" s="757"/>
    </row>
    <row r="16" spans="1:19" ht="18.75">
      <c r="A16" s="4349"/>
      <c r="B16" s="760" t="s">
        <v>10190</v>
      </c>
      <c r="C16" s="760">
        <v>38</v>
      </c>
      <c r="D16" s="4350"/>
      <c r="E16" s="4350"/>
      <c r="F16" s="4350"/>
      <c r="G16" s="4350"/>
      <c r="H16" s="4350"/>
      <c r="I16" s="4349"/>
      <c r="J16" s="4349"/>
      <c r="K16" s="4349"/>
      <c r="L16" s="4349"/>
      <c r="N16" s="757"/>
      <c r="O16" s="757"/>
      <c r="P16" s="757"/>
      <c r="Q16" s="757"/>
    </row>
    <row r="17" spans="1:17" ht="18.75">
      <c r="A17" s="4349" t="s">
        <v>5931</v>
      </c>
      <c r="B17" s="760" t="s">
        <v>10191</v>
      </c>
      <c r="C17" s="760">
        <v>36</v>
      </c>
      <c r="D17" s="4350">
        <v>28.7</v>
      </c>
      <c r="E17" s="4350">
        <v>12.7</v>
      </c>
      <c r="F17" s="4350">
        <v>19.3</v>
      </c>
      <c r="G17" s="4350">
        <v>44.5</v>
      </c>
      <c r="H17" s="4350">
        <v>29</v>
      </c>
      <c r="I17" s="4349" t="s">
        <v>10161</v>
      </c>
      <c r="J17" s="4349" t="s">
        <v>10188</v>
      </c>
      <c r="K17" s="4349" t="s">
        <v>10192</v>
      </c>
      <c r="L17" s="4349">
        <v>25.5</v>
      </c>
      <c r="N17" s="757"/>
      <c r="O17" s="757"/>
      <c r="P17" s="757"/>
      <c r="Q17" s="757"/>
    </row>
    <row r="18" spans="1:17" ht="18.75">
      <c r="A18" s="4349"/>
      <c r="B18" s="760" t="s">
        <v>10193</v>
      </c>
      <c r="C18" s="760">
        <v>38</v>
      </c>
      <c r="D18" s="4350"/>
      <c r="E18" s="4350"/>
      <c r="F18" s="4350"/>
      <c r="G18" s="4350"/>
      <c r="H18" s="4350"/>
      <c r="I18" s="4349"/>
      <c r="J18" s="4349"/>
      <c r="K18" s="4349"/>
      <c r="L18" s="4349"/>
      <c r="N18" s="757"/>
      <c r="O18" s="757"/>
      <c r="P18" s="757"/>
      <c r="Q18" s="757"/>
    </row>
    <row r="19" spans="1:17">
      <c r="N19" s="766"/>
      <c r="O19" s="766"/>
      <c r="P19" s="766"/>
      <c r="Q19" s="766"/>
    </row>
  </sheetData>
  <mergeCells count="63">
    <mergeCell ref="K9:K11"/>
    <mergeCell ref="K12:K14"/>
    <mergeCell ref="K15:K16"/>
    <mergeCell ref="K17:K18"/>
    <mergeCell ref="L3:L5"/>
    <mergeCell ref="L6:L8"/>
    <mergeCell ref="L9:L11"/>
    <mergeCell ref="L12:L14"/>
    <mergeCell ref="L15:L16"/>
    <mergeCell ref="L17:L18"/>
    <mergeCell ref="I9:I11"/>
    <mergeCell ref="I12:I14"/>
    <mergeCell ref="I15:I16"/>
    <mergeCell ref="I17:I18"/>
    <mergeCell ref="J3:J5"/>
    <mergeCell ref="J6:J8"/>
    <mergeCell ref="J9:J11"/>
    <mergeCell ref="J12:J14"/>
    <mergeCell ref="J15:J16"/>
    <mergeCell ref="J17:J18"/>
    <mergeCell ref="G9:G11"/>
    <mergeCell ref="G12:G14"/>
    <mergeCell ref="G15:G16"/>
    <mergeCell ref="G17:G18"/>
    <mergeCell ref="H3:H5"/>
    <mergeCell ref="H6:H8"/>
    <mergeCell ref="H9:H11"/>
    <mergeCell ref="H12:H14"/>
    <mergeCell ref="H15:H16"/>
    <mergeCell ref="H17:H18"/>
    <mergeCell ref="E9:E11"/>
    <mergeCell ref="E12:E14"/>
    <mergeCell ref="E15:E16"/>
    <mergeCell ref="E17:E18"/>
    <mergeCell ref="F3:F5"/>
    <mergeCell ref="F6:F8"/>
    <mergeCell ref="F9:F11"/>
    <mergeCell ref="F12:F14"/>
    <mergeCell ref="F15:F16"/>
    <mergeCell ref="F17:F18"/>
    <mergeCell ref="A9:A11"/>
    <mergeCell ref="A12:A14"/>
    <mergeCell ref="A15:A16"/>
    <mergeCell ref="A17:A18"/>
    <mergeCell ref="D3:D5"/>
    <mergeCell ref="D6:D8"/>
    <mergeCell ref="D9:D11"/>
    <mergeCell ref="D12:D14"/>
    <mergeCell ref="D15:D16"/>
    <mergeCell ref="D17:D18"/>
    <mergeCell ref="A1:L1"/>
    <mergeCell ref="N1:Q1"/>
    <mergeCell ref="O2:Q2"/>
    <mergeCell ref="A3:A5"/>
    <mergeCell ref="A6:A8"/>
    <mergeCell ref="E3:E5"/>
    <mergeCell ref="E6:E8"/>
    <mergeCell ref="G3:G5"/>
    <mergeCell ref="G6:G8"/>
    <mergeCell ref="I3:I5"/>
    <mergeCell ref="I6:I8"/>
    <mergeCell ref="K3:K5"/>
    <mergeCell ref="K6:K8"/>
  </mergeCells>
  <phoneticPr fontId="378" type="noConversion"/>
  <hyperlinks>
    <hyperlink ref="S2" location="总目录!A1" display="返回目录"/>
  </hyperlinks>
  <printOptions horizontalCentered="1"/>
  <pageMargins left="0.34930555555555598" right="0.34930555555555598" top="0.38888888888888901" bottom="0.38888888888888901" header="0.50902777777777797" footer="0.50902777777777797"/>
  <pageSetup paperSize="9" orientation="landscape" horizontalDpi="300" verticalDpi="300"/>
  <headerFooter scaleWithDoc="0" alignWithMargins="0"/>
  <drawing r:id="rId1"/>
  <legacyDrawing r:id="rId2"/>
  <oleObjects>
    <mc:AlternateContent xmlns:mc="http://schemas.openxmlformats.org/markup-compatibility/2006">
      <mc:Choice Requires="x14">
        <oleObject progId="AutoCAD.Drawing.14" shapeId="1224705" r:id="rId3">
          <objectPr defaultSize="0" altText="" r:id="rId4">
            <anchor moveWithCells="1">
              <from>
                <xdr:col>12</xdr:col>
                <xdr:colOff>95250</xdr:colOff>
                <xdr:row>10</xdr:row>
                <xdr:rowOff>57150</xdr:rowOff>
              </from>
              <to>
                <xdr:col>17</xdr:col>
                <xdr:colOff>666750</xdr:colOff>
                <xdr:row>23</xdr:row>
                <xdr:rowOff>57150</xdr:rowOff>
              </to>
            </anchor>
          </objectPr>
        </oleObject>
      </mc:Choice>
      <mc:Fallback>
        <oleObject progId="AutoCAD.Drawing.14" shapeId="1224705" r:id="rId3"/>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
  <sheetViews>
    <sheetView zoomScale="85" zoomScaleNormal="85" workbookViewId="0">
      <selection activeCell="K3" sqref="K3"/>
    </sheetView>
  </sheetViews>
  <sheetFormatPr defaultColWidth="9" defaultRowHeight="16.5"/>
  <sheetData>
    <row r="1" spans="1:12" ht="28.9" customHeight="1">
      <c r="A1" s="4354" t="s">
        <v>10194</v>
      </c>
      <c r="B1" s="4354"/>
      <c r="C1" s="4354"/>
      <c r="D1" s="4354"/>
      <c r="E1" s="4354"/>
      <c r="F1" s="4354"/>
      <c r="G1" s="4354"/>
      <c r="H1" s="4354"/>
      <c r="I1" s="4354"/>
      <c r="J1" s="4354"/>
      <c r="K1" s="4354"/>
    </row>
    <row r="2" spans="1:12" ht="16.5" customHeight="1">
      <c r="A2" s="4364" t="s">
        <v>10195</v>
      </c>
      <c r="B2" s="4364" t="s">
        <v>2055</v>
      </c>
      <c r="C2" s="4364" t="s">
        <v>10196</v>
      </c>
      <c r="D2" s="4364" t="s">
        <v>10197</v>
      </c>
      <c r="E2" s="4355" t="s">
        <v>10198</v>
      </c>
      <c r="F2" s="4356"/>
      <c r="G2" s="4356"/>
      <c r="H2" s="4356"/>
      <c r="I2" s="4356"/>
      <c r="J2" s="4356"/>
      <c r="K2" s="4357"/>
    </row>
    <row r="3" spans="1:12">
      <c r="A3" s="4365"/>
      <c r="B3" s="4365"/>
      <c r="C3" s="4365"/>
      <c r="D3" s="4365"/>
      <c r="E3" s="1062">
        <v>0.2</v>
      </c>
      <c r="F3" s="1062">
        <v>0.3</v>
      </c>
      <c r="G3" s="1062">
        <v>0.4</v>
      </c>
      <c r="H3" s="1062">
        <v>0.5</v>
      </c>
      <c r="I3" s="1062">
        <v>0.63</v>
      </c>
      <c r="J3" s="1062">
        <v>0.7</v>
      </c>
      <c r="K3" s="1062">
        <v>0.8</v>
      </c>
    </row>
    <row r="4" spans="1:12">
      <c r="A4" s="4362">
        <v>16</v>
      </c>
      <c r="B4" s="4362">
        <v>6</v>
      </c>
      <c r="C4" s="1063" t="s">
        <v>10199</v>
      </c>
      <c r="D4" s="1063">
        <v>2.0099999999999998</v>
      </c>
      <c r="E4" s="1063">
        <v>40.200000000000003</v>
      </c>
      <c r="F4" s="1063">
        <v>60.3</v>
      </c>
      <c r="G4" s="1063">
        <v>80.400000000000006</v>
      </c>
      <c r="H4" s="1063">
        <v>100.5</v>
      </c>
      <c r="I4" s="1063">
        <v>126.6</v>
      </c>
      <c r="J4" s="1063">
        <v>140.69999999999999</v>
      </c>
      <c r="K4" s="1063">
        <v>160.80000000000001</v>
      </c>
    </row>
    <row r="5" spans="1:12">
      <c r="A5" s="4363"/>
      <c r="B5" s="4363"/>
      <c r="C5" s="1064" t="s">
        <v>10200</v>
      </c>
      <c r="D5" s="1064">
        <v>1.72</v>
      </c>
      <c r="E5" s="1064">
        <v>34.6</v>
      </c>
      <c r="F5" s="1064">
        <v>51.9</v>
      </c>
      <c r="G5" s="1064">
        <v>69.2</v>
      </c>
      <c r="H5" s="1064">
        <v>86.5</v>
      </c>
      <c r="I5" s="1064">
        <v>109</v>
      </c>
      <c r="J5" s="1064">
        <v>121.1</v>
      </c>
      <c r="K5" s="1064">
        <v>138.4</v>
      </c>
    </row>
    <row r="6" spans="1:12">
      <c r="A6" s="4362">
        <v>20</v>
      </c>
      <c r="B6" s="4362">
        <v>8</v>
      </c>
      <c r="C6" s="1063" t="s">
        <v>10199</v>
      </c>
      <c r="D6" s="1063">
        <v>3.14</v>
      </c>
      <c r="E6" s="1063">
        <v>62.8</v>
      </c>
      <c r="F6" s="1063">
        <v>94.2</v>
      </c>
      <c r="G6" s="1063">
        <v>125.6</v>
      </c>
      <c r="H6" s="1063">
        <v>157.1</v>
      </c>
      <c r="I6" s="1063">
        <v>188</v>
      </c>
      <c r="J6" s="1063">
        <v>220</v>
      </c>
      <c r="K6" s="1063">
        <v>251</v>
      </c>
    </row>
    <row r="7" spans="1:12">
      <c r="A7" s="4363"/>
      <c r="B7" s="4363"/>
      <c r="C7" s="1064" t="s">
        <v>10200</v>
      </c>
      <c r="D7" s="1064">
        <v>2.64</v>
      </c>
      <c r="E7" s="1064">
        <v>52.8</v>
      </c>
      <c r="F7" s="1064">
        <v>79.2</v>
      </c>
      <c r="G7" s="1064">
        <v>105.6</v>
      </c>
      <c r="H7" s="1064">
        <v>163</v>
      </c>
      <c r="I7" s="1064">
        <v>158.4</v>
      </c>
      <c r="J7" s="1064">
        <v>184.8</v>
      </c>
      <c r="K7" s="1064">
        <v>211.2</v>
      </c>
      <c r="L7" s="3162" t="s">
        <v>12704</v>
      </c>
    </row>
    <row r="8" spans="1:12">
      <c r="A8" s="4362">
        <v>25</v>
      </c>
      <c r="B8" s="4362">
        <v>10</v>
      </c>
      <c r="C8" s="1063" t="s">
        <v>10199</v>
      </c>
      <c r="D8" s="1063">
        <v>4.91</v>
      </c>
      <c r="E8" s="1063">
        <v>98.2</v>
      </c>
      <c r="F8" s="1063">
        <v>147</v>
      </c>
      <c r="G8" s="1063">
        <v>196.3</v>
      </c>
      <c r="H8" s="1063">
        <v>245</v>
      </c>
      <c r="I8" s="1063">
        <v>301</v>
      </c>
      <c r="J8" s="1063">
        <v>343</v>
      </c>
      <c r="K8" s="1063">
        <v>392</v>
      </c>
    </row>
    <row r="9" spans="1:12">
      <c r="A9" s="4363"/>
      <c r="B9" s="4363"/>
      <c r="C9" s="1064" t="s">
        <v>10200</v>
      </c>
      <c r="D9" s="1064">
        <v>4.12</v>
      </c>
      <c r="E9" s="1064">
        <v>82.4</v>
      </c>
      <c r="F9" s="1064">
        <v>124</v>
      </c>
      <c r="G9" s="1064">
        <v>164.8</v>
      </c>
      <c r="H9" s="1064">
        <v>206</v>
      </c>
      <c r="I9" s="1064">
        <v>260</v>
      </c>
      <c r="J9" s="1064">
        <v>288.39999999999998</v>
      </c>
      <c r="K9" s="1064">
        <v>330</v>
      </c>
    </row>
    <row r="10" spans="1:12">
      <c r="A10" s="4362">
        <v>32</v>
      </c>
      <c r="B10" s="4362">
        <v>12</v>
      </c>
      <c r="C10" s="1063" t="s">
        <v>10199</v>
      </c>
      <c r="D10" s="1063">
        <v>8.0299999999999994</v>
      </c>
      <c r="E10" s="1063">
        <v>160</v>
      </c>
      <c r="F10" s="1063">
        <v>240</v>
      </c>
      <c r="G10" s="1063">
        <v>321.2</v>
      </c>
      <c r="H10" s="1063">
        <v>401</v>
      </c>
      <c r="I10" s="1063">
        <v>504</v>
      </c>
      <c r="J10" s="1063">
        <v>561.9</v>
      </c>
      <c r="K10" s="1063">
        <v>640</v>
      </c>
    </row>
    <row r="11" spans="1:12">
      <c r="A11" s="4363"/>
      <c r="B11" s="4363"/>
      <c r="C11" s="1064" t="s">
        <v>10200</v>
      </c>
      <c r="D11" s="1064">
        <v>6.91</v>
      </c>
      <c r="E11" s="1064">
        <v>132</v>
      </c>
      <c r="F11" s="1064">
        <v>198</v>
      </c>
      <c r="G11" s="1064">
        <v>264.60000000000002</v>
      </c>
      <c r="H11" s="1064">
        <v>345.5</v>
      </c>
      <c r="I11" s="1064">
        <v>416</v>
      </c>
      <c r="J11" s="1064">
        <v>483.7</v>
      </c>
      <c r="K11" s="1064">
        <v>528</v>
      </c>
    </row>
    <row r="12" spans="1:12">
      <c r="A12" s="4362">
        <v>40</v>
      </c>
      <c r="B12" s="4362">
        <v>16</v>
      </c>
      <c r="C12" s="1063" t="s">
        <v>10199</v>
      </c>
      <c r="D12" s="1063">
        <v>12.57</v>
      </c>
      <c r="E12" s="1063">
        <v>251</v>
      </c>
      <c r="F12" s="1063">
        <v>377</v>
      </c>
      <c r="G12" s="1063">
        <v>503</v>
      </c>
      <c r="H12" s="1063">
        <v>628</v>
      </c>
      <c r="I12" s="1063">
        <v>791</v>
      </c>
      <c r="J12" s="1063">
        <v>880</v>
      </c>
      <c r="K12" s="1063">
        <v>1010</v>
      </c>
    </row>
    <row r="13" spans="1:12">
      <c r="A13" s="4363"/>
      <c r="B13" s="4363"/>
      <c r="C13" s="1064" t="s">
        <v>10200</v>
      </c>
      <c r="D13" s="1064">
        <v>10.56</v>
      </c>
      <c r="E13" s="1064">
        <v>211</v>
      </c>
      <c r="F13" s="1064">
        <v>317</v>
      </c>
      <c r="G13" s="1064">
        <v>422</v>
      </c>
      <c r="H13" s="1064">
        <v>528</v>
      </c>
      <c r="I13" s="1064">
        <v>663</v>
      </c>
      <c r="J13" s="1064">
        <v>739</v>
      </c>
      <c r="K13" s="1064">
        <v>844</v>
      </c>
    </row>
    <row r="14" spans="1:12">
      <c r="A14" s="4362">
        <v>50</v>
      </c>
      <c r="B14" s="4362">
        <v>20</v>
      </c>
      <c r="C14" s="1063" t="s">
        <v>10199</v>
      </c>
      <c r="D14" s="1063">
        <v>19.36</v>
      </c>
      <c r="E14" s="1063">
        <v>393</v>
      </c>
      <c r="F14" s="1063">
        <v>589</v>
      </c>
      <c r="G14" s="1063">
        <v>785</v>
      </c>
      <c r="H14" s="1063">
        <v>982</v>
      </c>
      <c r="I14" s="1063">
        <v>1237</v>
      </c>
      <c r="J14" s="1063">
        <v>1374</v>
      </c>
      <c r="K14" s="1063">
        <v>1571</v>
      </c>
    </row>
    <row r="15" spans="1:12">
      <c r="A15" s="4363"/>
      <c r="B15" s="4363"/>
      <c r="C15" s="1064" t="s">
        <v>10200</v>
      </c>
      <c r="D15" s="1064">
        <v>16.489999999999998</v>
      </c>
      <c r="E15" s="1064">
        <v>330</v>
      </c>
      <c r="F15" s="1064">
        <v>495</v>
      </c>
      <c r="G15" s="1064">
        <v>660</v>
      </c>
      <c r="H15" s="1064">
        <v>825</v>
      </c>
      <c r="I15" s="1064">
        <v>1039</v>
      </c>
      <c r="J15" s="1064">
        <v>1155</v>
      </c>
      <c r="K15" s="1064">
        <v>1319</v>
      </c>
    </row>
    <row r="16" spans="1:12">
      <c r="A16" s="4362">
        <v>63</v>
      </c>
      <c r="B16" s="4362">
        <v>20</v>
      </c>
      <c r="C16" s="1063" t="s">
        <v>10199</v>
      </c>
      <c r="D16" s="1063">
        <v>31.2</v>
      </c>
      <c r="E16" s="1063">
        <v>623</v>
      </c>
      <c r="F16" s="1063">
        <v>935</v>
      </c>
      <c r="G16" s="1063">
        <v>1247</v>
      </c>
      <c r="H16" s="1063">
        <v>1559</v>
      </c>
      <c r="I16" s="1063">
        <v>1963</v>
      </c>
      <c r="J16" s="1063">
        <v>2180</v>
      </c>
      <c r="K16" s="1063">
        <v>2490</v>
      </c>
    </row>
    <row r="17" spans="1:12">
      <c r="A17" s="4363"/>
      <c r="B17" s="4363"/>
      <c r="C17" s="1064" t="s">
        <v>10200</v>
      </c>
      <c r="D17" s="1064">
        <v>28</v>
      </c>
      <c r="E17" s="1064">
        <v>561</v>
      </c>
      <c r="F17" s="1064">
        <v>841</v>
      </c>
      <c r="G17" s="1064">
        <v>1121</v>
      </c>
      <c r="H17" s="1064">
        <v>1402</v>
      </c>
      <c r="I17" s="1064">
        <v>1765</v>
      </c>
      <c r="J17" s="1064">
        <v>1962</v>
      </c>
      <c r="K17" s="1064">
        <v>2240</v>
      </c>
    </row>
    <row r="18" spans="1:12">
      <c r="A18" s="4362">
        <v>80</v>
      </c>
      <c r="B18" s="4362">
        <v>25</v>
      </c>
      <c r="C18" s="1063" t="s">
        <v>10199</v>
      </c>
      <c r="D18" s="1063">
        <v>50.3</v>
      </c>
      <c r="E18" s="1063">
        <v>1005</v>
      </c>
      <c r="F18" s="1063">
        <v>1508</v>
      </c>
      <c r="G18" s="1063">
        <v>2010</v>
      </c>
      <c r="H18" s="1063">
        <v>2510</v>
      </c>
      <c r="I18" s="1063">
        <v>3163</v>
      </c>
      <c r="J18" s="1063">
        <v>3520</v>
      </c>
      <c r="K18" s="1063">
        <v>4020</v>
      </c>
    </row>
    <row r="19" spans="1:12">
      <c r="A19" s="4363"/>
      <c r="B19" s="4363"/>
      <c r="C19" s="1064" t="s">
        <v>10200</v>
      </c>
      <c r="D19" s="1064">
        <v>45.4</v>
      </c>
      <c r="E19" s="1064">
        <v>907</v>
      </c>
      <c r="F19" s="1064">
        <v>1361</v>
      </c>
      <c r="G19" s="1064">
        <v>1814</v>
      </c>
      <c r="H19" s="1064">
        <v>2270</v>
      </c>
      <c r="I19" s="1064">
        <v>2857</v>
      </c>
      <c r="J19" s="1064">
        <v>3170</v>
      </c>
      <c r="K19" s="1064">
        <v>3630</v>
      </c>
    </row>
    <row r="20" spans="1:12">
      <c r="A20" s="4362">
        <v>100</v>
      </c>
      <c r="B20" s="4362">
        <v>25</v>
      </c>
      <c r="C20" s="1063" t="s">
        <v>10199</v>
      </c>
      <c r="D20" s="1063">
        <v>78.5</v>
      </c>
      <c r="E20" s="1063">
        <v>1571</v>
      </c>
      <c r="F20" s="1063">
        <v>2360</v>
      </c>
      <c r="G20" s="1063">
        <v>3140</v>
      </c>
      <c r="H20" s="1063">
        <v>3930</v>
      </c>
      <c r="I20" s="1063">
        <v>4948</v>
      </c>
      <c r="J20" s="1063">
        <v>5500</v>
      </c>
      <c r="K20" s="1063">
        <v>6280</v>
      </c>
    </row>
    <row r="21" spans="1:12">
      <c r="A21" s="4363"/>
      <c r="B21" s="4363"/>
      <c r="C21" s="1064" t="s">
        <v>10200</v>
      </c>
      <c r="D21" s="1064">
        <v>73.599999999999994</v>
      </c>
      <c r="E21" s="1064">
        <v>1472</v>
      </c>
      <c r="F21" s="1064">
        <v>2210</v>
      </c>
      <c r="G21" s="1064">
        <v>2924</v>
      </c>
      <c r="H21" s="1064">
        <v>3680</v>
      </c>
      <c r="I21" s="1064">
        <v>4640</v>
      </c>
      <c r="J21" s="1064">
        <v>5150</v>
      </c>
      <c r="K21" s="1064">
        <v>5880</v>
      </c>
    </row>
    <row r="22" spans="1:12">
      <c r="A22" s="4362">
        <v>125</v>
      </c>
      <c r="B22" s="4362">
        <v>32</v>
      </c>
      <c r="C22" s="1063" t="s">
        <v>10199</v>
      </c>
      <c r="D22" s="1063">
        <v>122.7</v>
      </c>
      <c r="E22" s="1063">
        <v>2450</v>
      </c>
      <c r="F22" s="1063">
        <v>3680</v>
      </c>
      <c r="G22" s="1063">
        <v>4910</v>
      </c>
      <c r="H22" s="1063">
        <v>6135</v>
      </c>
      <c r="I22" s="1063">
        <v>7731</v>
      </c>
      <c r="J22" s="1063">
        <v>8590</v>
      </c>
      <c r="K22" s="1063">
        <v>9820</v>
      </c>
    </row>
    <row r="23" spans="1:12">
      <c r="A23" s="4363"/>
      <c r="B23" s="4363"/>
      <c r="C23" s="1064" t="s">
        <v>10200</v>
      </c>
      <c r="D23" s="1064">
        <v>114.6</v>
      </c>
      <c r="E23" s="1064">
        <v>2290</v>
      </c>
      <c r="F23" s="1064">
        <v>3440</v>
      </c>
      <c r="G23" s="1064">
        <v>4580</v>
      </c>
      <c r="H23" s="1064">
        <v>5730</v>
      </c>
      <c r="I23" s="1064">
        <v>7224</v>
      </c>
      <c r="J23" s="1064">
        <v>8020</v>
      </c>
      <c r="K23" s="1064">
        <v>9170</v>
      </c>
    </row>
    <row r="24" spans="1:12">
      <c r="A24" s="4362">
        <v>160</v>
      </c>
      <c r="B24" s="4362">
        <v>45</v>
      </c>
      <c r="C24" s="1063" t="s">
        <v>10199</v>
      </c>
      <c r="D24" s="1063">
        <v>201</v>
      </c>
      <c r="E24" s="1063">
        <v>4020</v>
      </c>
      <c r="F24" s="1063">
        <v>6031</v>
      </c>
      <c r="G24" s="1063">
        <v>8042</v>
      </c>
      <c r="H24" s="1063">
        <v>10053</v>
      </c>
      <c r="I24" s="1063">
        <v>12666</v>
      </c>
      <c r="J24" s="1063">
        <v>14074</v>
      </c>
      <c r="K24" s="1063">
        <v>16085</v>
      </c>
    </row>
    <row r="25" spans="1:12">
      <c r="A25" s="4363"/>
      <c r="B25" s="4363"/>
      <c r="C25" s="1064" t="s">
        <v>10200</v>
      </c>
      <c r="D25" s="1064">
        <v>185.1</v>
      </c>
      <c r="E25" s="1064">
        <v>3703</v>
      </c>
      <c r="F25" s="1064">
        <v>5554</v>
      </c>
      <c r="G25" s="1064">
        <v>7460</v>
      </c>
      <c r="H25" s="1064">
        <v>9257</v>
      </c>
      <c r="I25" s="1064">
        <v>11664</v>
      </c>
      <c r="J25" s="1064">
        <v>12961</v>
      </c>
      <c r="K25" s="1064">
        <v>14893</v>
      </c>
    </row>
    <row r="26" spans="1:12">
      <c r="A26" s="4362">
        <v>200</v>
      </c>
      <c r="B26" s="4362">
        <v>45</v>
      </c>
      <c r="C26" s="1063" t="s">
        <v>10199</v>
      </c>
      <c r="D26" s="1063">
        <v>314.10000000000002</v>
      </c>
      <c r="E26" s="1063">
        <v>6282</v>
      </c>
      <c r="F26" s="1063">
        <v>9423</v>
      </c>
      <c r="G26" s="1063">
        <v>12560</v>
      </c>
      <c r="H26" s="1063">
        <v>15710</v>
      </c>
      <c r="I26" s="1063">
        <v>19790</v>
      </c>
      <c r="J26" s="1063">
        <v>21991</v>
      </c>
      <c r="K26" s="1063">
        <v>25123</v>
      </c>
    </row>
    <row r="27" spans="1:12">
      <c r="A27" s="4363"/>
      <c r="B27" s="4363"/>
      <c r="C27" s="1064" t="s">
        <v>10200</v>
      </c>
      <c r="D27" s="1064">
        <v>298.2</v>
      </c>
      <c r="E27" s="1064">
        <v>5965</v>
      </c>
      <c r="F27" s="1064">
        <v>8947</v>
      </c>
      <c r="G27" s="1064">
        <v>11930</v>
      </c>
      <c r="H27" s="1064">
        <v>14910</v>
      </c>
      <c r="I27" s="1064">
        <v>18790</v>
      </c>
      <c r="J27" s="1064">
        <v>20877</v>
      </c>
      <c r="K27" s="1064">
        <v>23861</v>
      </c>
      <c r="L27" s="3162" t="s">
        <v>12704</v>
      </c>
    </row>
    <row r="28" spans="1:12">
      <c r="A28" s="4362">
        <v>250</v>
      </c>
      <c r="B28" s="4362">
        <v>50</v>
      </c>
      <c r="C28" s="1063" t="s">
        <v>10199</v>
      </c>
      <c r="D28" s="1063">
        <v>490.8</v>
      </c>
      <c r="E28" s="1063">
        <v>9817</v>
      </c>
      <c r="F28" s="1063">
        <v>14726</v>
      </c>
      <c r="G28" s="1063">
        <v>19634</v>
      </c>
      <c r="H28" s="1063">
        <v>24543</v>
      </c>
      <c r="I28" s="1063">
        <v>30924</v>
      </c>
      <c r="J28" s="1063">
        <v>34361</v>
      </c>
      <c r="K28" s="1063">
        <v>39270</v>
      </c>
    </row>
    <row r="29" spans="1:12">
      <c r="A29" s="4363"/>
      <c r="B29" s="4363"/>
      <c r="C29" s="1064" t="s">
        <v>10200</v>
      </c>
      <c r="D29" s="1064">
        <v>471.2</v>
      </c>
      <c r="E29" s="1064">
        <v>9424</v>
      </c>
      <c r="F29" s="1064">
        <v>14137</v>
      </c>
      <c r="G29" s="1064">
        <v>18849</v>
      </c>
      <c r="H29" s="1064">
        <v>23561</v>
      </c>
      <c r="I29" s="1064">
        <v>29688</v>
      </c>
      <c r="J29" s="1064">
        <v>32986</v>
      </c>
      <c r="K29" s="1064">
        <v>37700</v>
      </c>
    </row>
    <row r="30" spans="1:12">
      <c r="A30" s="4362">
        <v>320</v>
      </c>
      <c r="B30" s="4362">
        <v>63</v>
      </c>
      <c r="C30" s="1063" t="s">
        <v>10199</v>
      </c>
      <c r="D30" s="1063">
        <v>803.8</v>
      </c>
      <c r="E30" s="1063" t="s">
        <v>10201</v>
      </c>
      <c r="F30" s="1063">
        <v>24110</v>
      </c>
      <c r="G30" s="1063">
        <v>32150</v>
      </c>
      <c r="H30" s="1063">
        <v>40190</v>
      </c>
      <c r="I30" s="1063">
        <v>50640</v>
      </c>
      <c r="J30" s="1063">
        <v>56260</v>
      </c>
      <c r="K30" s="1063">
        <v>64300</v>
      </c>
    </row>
    <row r="31" spans="1:12">
      <c r="A31" s="4363"/>
      <c r="B31" s="4363"/>
      <c r="C31" s="1064" t="s">
        <v>10200</v>
      </c>
      <c r="D31" s="1064">
        <v>772.6</v>
      </c>
      <c r="E31" s="1064">
        <v>15450</v>
      </c>
      <c r="F31" s="1064">
        <v>23180</v>
      </c>
      <c r="G31" s="1064">
        <v>30900</v>
      </c>
      <c r="H31" s="1064">
        <v>3863</v>
      </c>
      <c r="I31" s="1064">
        <v>48670</v>
      </c>
      <c r="J31" s="1064">
        <v>54080</v>
      </c>
      <c r="K31" s="1064">
        <v>61800</v>
      </c>
    </row>
    <row r="32" spans="1:12">
      <c r="A32" s="4358"/>
      <c r="B32" s="4358"/>
      <c r="C32" s="4358"/>
      <c r="D32" s="4358"/>
      <c r="E32" s="4358"/>
      <c r="F32" s="4358"/>
      <c r="G32" s="4358"/>
      <c r="H32" s="4358"/>
      <c r="I32" s="4358"/>
      <c r="J32" s="4358"/>
      <c r="K32" s="4358"/>
    </row>
    <row r="33" spans="1:11" ht="14.25" customHeight="1">
      <c r="A33" s="4359" t="s">
        <v>10202</v>
      </c>
      <c r="B33" s="4360"/>
      <c r="C33" s="4360"/>
      <c r="D33" s="4360"/>
      <c r="E33" s="4360"/>
      <c r="F33" s="4360"/>
      <c r="G33" s="4360"/>
      <c r="H33" s="4360"/>
      <c r="I33" s="4360"/>
      <c r="J33" s="4360"/>
      <c r="K33" s="4361"/>
    </row>
    <row r="34" spans="1:11" ht="14.25" customHeight="1">
      <c r="A34" s="4351" t="s">
        <v>10203</v>
      </c>
      <c r="B34" s="4352"/>
      <c r="C34" s="4352"/>
      <c r="D34" s="4352"/>
      <c r="E34" s="4352"/>
      <c r="F34" s="4352"/>
      <c r="G34" s="4352"/>
      <c r="H34" s="4352"/>
      <c r="I34" s="4352"/>
      <c r="J34" s="4352"/>
      <c r="K34" s="4353"/>
    </row>
    <row r="35" spans="1:11" ht="14.25" customHeight="1">
      <c r="A35" s="4351" t="s">
        <v>10204</v>
      </c>
      <c r="B35" s="4352"/>
      <c r="C35" s="4352"/>
      <c r="D35" s="4352"/>
      <c r="E35" s="4352"/>
      <c r="F35" s="4352"/>
      <c r="G35" s="4352"/>
      <c r="H35" s="4352"/>
      <c r="I35" s="4352"/>
      <c r="J35" s="4352"/>
      <c r="K35" s="4353"/>
    </row>
    <row r="36" spans="1:11" ht="14.25" customHeight="1">
      <c r="A36" s="4351" t="s">
        <v>10205</v>
      </c>
      <c r="B36" s="4352"/>
      <c r="C36" s="4352"/>
      <c r="D36" s="4352"/>
      <c r="E36" s="4352"/>
      <c r="F36" s="4352"/>
      <c r="G36" s="4352"/>
      <c r="H36" s="4352"/>
      <c r="I36" s="4352"/>
      <c r="J36" s="4352"/>
      <c r="K36" s="4353"/>
    </row>
    <row r="37" spans="1:11" ht="14.25" customHeight="1">
      <c r="A37" s="4351" t="s">
        <v>10206</v>
      </c>
      <c r="B37" s="4352"/>
      <c r="C37" s="4352"/>
      <c r="D37" s="4352"/>
      <c r="E37" s="4352"/>
      <c r="F37" s="4352"/>
      <c r="G37" s="4352"/>
      <c r="H37" s="4352"/>
      <c r="I37" s="4352"/>
      <c r="J37" s="4352"/>
      <c r="K37" s="4353"/>
    </row>
    <row r="38" spans="1:11" ht="14.25" customHeight="1">
      <c r="A38" s="4351" t="s">
        <v>10207</v>
      </c>
      <c r="B38" s="4352"/>
      <c r="C38" s="4352"/>
      <c r="D38" s="4352"/>
      <c r="E38" s="4352"/>
      <c r="F38" s="4352"/>
      <c r="G38" s="4352"/>
      <c r="H38" s="4352"/>
      <c r="I38" s="4352"/>
      <c r="J38" s="4352"/>
      <c r="K38" s="4353"/>
    </row>
    <row r="39" spans="1:11" ht="14.25" customHeight="1">
      <c r="A39" s="4351" t="s">
        <v>10208</v>
      </c>
      <c r="B39" s="4352"/>
      <c r="C39" s="4352"/>
      <c r="D39" s="4352"/>
      <c r="E39" s="4352"/>
      <c r="F39" s="4352"/>
      <c r="G39" s="4352"/>
      <c r="H39" s="4352"/>
      <c r="I39" s="4352"/>
      <c r="J39" s="4352"/>
      <c r="K39" s="4353"/>
    </row>
    <row r="40" spans="1:11" ht="14.25" customHeight="1">
      <c r="A40" s="4351" t="s">
        <v>10209</v>
      </c>
      <c r="B40" s="4352"/>
      <c r="C40" s="4352"/>
      <c r="D40" s="4352"/>
      <c r="E40" s="4352"/>
      <c r="F40" s="4352"/>
      <c r="G40" s="4352"/>
      <c r="H40" s="4352"/>
      <c r="I40" s="4352"/>
      <c r="J40" s="4352"/>
      <c r="K40" s="4353"/>
    </row>
    <row r="41" spans="1:11" ht="14.25" customHeight="1">
      <c r="A41" s="4366" t="s">
        <v>10210</v>
      </c>
      <c r="B41" s="4367"/>
      <c r="C41" s="4367"/>
      <c r="D41" s="4367"/>
      <c r="E41" s="4367"/>
      <c r="F41" s="4367"/>
      <c r="G41" s="4367"/>
      <c r="H41" s="4367"/>
      <c r="I41" s="4367"/>
      <c r="J41" s="4367"/>
      <c r="K41" s="4368"/>
    </row>
  </sheetData>
  <mergeCells count="44">
    <mergeCell ref="B22:B23"/>
    <mergeCell ref="B24:B25"/>
    <mergeCell ref="B26:B27"/>
    <mergeCell ref="B18:B19"/>
    <mergeCell ref="B20:B21"/>
    <mergeCell ref="A40:K40"/>
    <mergeCell ref="A41:K41"/>
    <mergeCell ref="A2:A3"/>
    <mergeCell ref="A4:A5"/>
    <mergeCell ref="A6:A7"/>
    <mergeCell ref="A8:A9"/>
    <mergeCell ref="A10:A11"/>
    <mergeCell ref="A12:A13"/>
    <mergeCell ref="A14:A15"/>
    <mergeCell ref="A16:A17"/>
    <mergeCell ref="A18:A19"/>
    <mergeCell ref="A20:A21"/>
    <mergeCell ref="A22:A23"/>
    <mergeCell ref="A24:A25"/>
    <mergeCell ref="C2:C3"/>
    <mergeCell ref="D2:D3"/>
    <mergeCell ref="A26:A27"/>
    <mergeCell ref="A28:A29"/>
    <mergeCell ref="A35:K35"/>
    <mergeCell ref="A36:K36"/>
    <mergeCell ref="A37:K37"/>
    <mergeCell ref="B28:B29"/>
    <mergeCell ref="B30:B31"/>
    <mergeCell ref="A38:K38"/>
    <mergeCell ref="A39:K39"/>
    <mergeCell ref="A1:K1"/>
    <mergeCell ref="E2:K2"/>
    <mergeCell ref="A32:K32"/>
    <mergeCell ref="A33:K33"/>
    <mergeCell ref="A34:K34"/>
    <mergeCell ref="A30:A31"/>
    <mergeCell ref="B2:B3"/>
    <mergeCell ref="B4:B5"/>
    <mergeCell ref="B6:B7"/>
    <mergeCell ref="B8:B9"/>
    <mergeCell ref="B10:B11"/>
    <mergeCell ref="B12:B13"/>
    <mergeCell ref="B14:B15"/>
    <mergeCell ref="B16:B17"/>
  </mergeCells>
  <phoneticPr fontId="378" type="noConversion"/>
  <hyperlinks>
    <hyperlink ref="L7" location="总目录!A1" display="返回目录"/>
    <hyperlink ref="L27" location="总目录!A1" display="返回目录"/>
  </hyperlinks>
  <pageMargins left="0.75" right="0.75" top="1" bottom="1" header="0.5" footer="0.5"/>
  <pageSetup paperSize="9" orientation="portrait" horizontalDpi="200" verticalDpi="300"/>
  <headerFooter scaleWithDoc="0"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E16" sqref="E16"/>
    </sheetView>
  </sheetViews>
  <sheetFormatPr defaultColWidth="9" defaultRowHeight="16.5"/>
  <cols>
    <col min="1" max="1" width="4.125" style="67" customWidth="1"/>
    <col min="2" max="2" width="32.375" customWidth="1"/>
    <col min="3" max="3" width="7.5" customWidth="1"/>
    <col min="4" max="4" width="6" customWidth="1"/>
    <col min="5" max="5" width="28.625" customWidth="1"/>
    <col min="6" max="8" width="4.5" customWidth="1"/>
  </cols>
  <sheetData>
    <row r="1" spans="1:5" ht="29.25" customHeight="1">
      <c r="A1" s="4369" t="s">
        <v>3</v>
      </c>
      <c r="B1" s="4370"/>
      <c r="C1" s="4370"/>
      <c r="D1" s="4370"/>
      <c r="E1" s="4370"/>
    </row>
    <row r="2" spans="1:5" ht="34.5" customHeight="1">
      <c r="A2" s="4371" t="s">
        <v>10211</v>
      </c>
      <c r="B2" s="4372"/>
      <c r="C2" s="4372"/>
      <c r="D2" s="4372"/>
      <c r="E2" s="4373"/>
    </row>
    <row r="3" spans="1:5" ht="20.25" customHeight="1">
      <c r="A3" s="1024" t="s">
        <v>10212</v>
      </c>
      <c r="B3" s="953" t="s">
        <v>6672</v>
      </c>
      <c r="C3" s="1025" t="s">
        <v>5916</v>
      </c>
      <c r="D3" s="1025" t="s">
        <v>6394</v>
      </c>
      <c r="E3" s="1026" t="s">
        <v>6730</v>
      </c>
    </row>
    <row r="4" spans="1:5" ht="27.75" customHeight="1">
      <c r="A4" s="1024">
        <v>1</v>
      </c>
      <c r="B4" s="1027" t="s">
        <v>10213</v>
      </c>
      <c r="C4" s="1028">
        <v>98</v>
      </c>
      <c r="D4" s="950" t="s">
        <v>6109</v>
      </c>
      <c r="E4" s="1029"/>
    </row>
    <row r="5" spans="1:5" ht="27.75" customHeight="1">
      <c r="A5" s="1024">
        <v>5</v>
      </c>
      <c r="B5" s="1027" t="s">
        <v>10214</v>
      </c>
      <c r="C5" s="1028">
        <v>0.63</v>
      </c>
      <c r="D5" s="950" t="s">
        <v>9493</v>
      </c>
      <c r="E5" s="1029"/>
    </row>
    <row r="6" spans="1:5" ht="35.25" customHeight="1">
      <c r="A6" s="1024">
        <v>2</v>
      </c>
      <c r="B6" s="1027" t="s">
        <v>10215</v>
      </c>
      <c r="C6" s="1028">
        <v>1</v>
      </c>
      <c r="D6" s="950"/>
      <c r="E6" s="1030" t="s">
        <v>10216</v>
      </c>
    </row>
    <row r="7" spans="1:5" ht="35.25" customHeight="1">
      <c r="A7" s="1031">
        <v>3</v>
      </c>
      <c r="B7" s="1032" t="s">
        <v>10217</v>
      </c>
      <c r="C7" s="1033">
        <v>2</v>
      </c>
      <c r="D7" s="1034"/>
      <c r="E7" s="1035" t="s">
        <v>10218</v>
      </c>
    </row>
    <row r="8" spans="1:5" ht="27.75" customHeight="1">
      <c r="A8" s="1036" t="s">
        <v>10219</v>
      </c>
      <c r="B8" s="1037"/>
      <c r="C8" s="1037"/>
      <c r="D8" s="1037"/>
      <c r="E8" s="1038"/>
    </row>
    <row r="9" spans="1:5" ht="21" customHeight="1">
      <c r="A9" s="1039">
        <v>4</v>
      </c>
      <c r="B9" s="1040" t="s">
        <v>10220</v>
      </c>
      <c r="C9" s="1041">
        <f>IF(C6=1,0.65,0.3)</f>
        <v>0.65</v>
      </c>
      <c r="D9" s="1042"/>
      <c r="E9" s="1043" t="s">
        <v>10221</v>
      </c>
    </row>
    <row r="10" spans="1:5" ht="26.25" customHeight="1">
      <c r="A10" s="1039">
        <v>5</v>
      </c>
      <c r="B10" s="1040" t="s">
        <v>10220</v>
      </c>
      <c r="C10" s="1041">
        <f>IF(C7=1,0.8,0.5)</f>
        <v>0.5</v>
      </c>
      <c r="D10" s="1042"/>
      <c r="E10" s="1043" t="s">
        <v>10222</v>
      </c>
    </row>
    <row r="11" spans="1:5" ht="33.75" customHeight="1">
      <c r="A11" s="1044">
        <v>6</v>
      </c>
      <c r="B11" s="1045" t="s">
        <v>10220</v>
      </c>
      <c r="C11" s="1046">
        <f>IF(C9&gt;C10,C10,C9)</f>
        <v>0.5</v>
      </c>
      <c r="D11" s="1047"/>
      <c r="E11" s="1048" t="s">
        <v>10223</v>
      </c>
    </row>
    <row r="12" spans="1:5" ht="21" customHeight="1">
      <c r="A12" s="1036" t="s">
        <v>10224</v>
      </c>
      <c r="B12" s="1049"/>
      <c r="C12" s="1050"/>
      <c r="D12" s="1051"/>
      <c r="E12" s="1052"/>
    </row>
    <row r="13" spans="1:5" ht="27.75" customHeight="1">
      <c r="A13" s="1039">
        <v>7</v>
      </c>
      <c r="B13" s="1040" t="s">
        <v>10225</v>
      </c>
      <c r="C13" s="1053">
        <f>C4/C9</f>
        <v>150.769230769231</v>
      </c>
      <c r="D13" s="1042" t="s">
        <v>6109</v>
      </c>
      <c r="E13" s="1054"/>
    </row>
    <row r="14" spans="1:5" ht="27.75" customHeight="1">
      <c r="A14" s="1024">
        <v>8</v>
      </c>
      <c r="B14" s="1027" t="s">
        <v>10226</v>
      </c>
      <c r="C14" s="1055">
        <f>SQRT(4*C13/PI()/C5)</f>
        <v>17.455855739399901</v>
      </c>
      <c r="D14" s="950" t="s">
        <v>2040</v>
      </c>
      <c r="E14" s="1029" t="s">
        <v>10227</v>
      </c>
    </row>
    <row r="15" spans="1:5" ht="27.75" customHeight="1">
      <c r="A15" s="1056">
        <v>9</v>
      </c>
      <c r="B15" s="1057" t="s">
        <v>10228</v>
      </c>
      <c r="C15" s="1058">
        <v>100</v>
      </c>
      <c r="D15" s="1059" t="s">
        <v>2040</v>
      </c>
      <c r="E15" s="1060" t="s">
        <v>10229</v>
      </c>
    </row>
    <row r="16" spans="1:5" ht="27.75" customHeight="1">
      <c r="B16" s="1061"/>
      <c r="E16" s="3162" t="s">
        <v>12704</v>
      </c>
    </row>
    <row r="17" spans="3:3">
      <c r="C17" t="s">
        <v>10195</v>
      </c>
    </row>
    <row r="18" spans="3:3">
      <c r="C18">
        <v>16</v>
      </c>
    </row>
    <row r="19" spans="3:3">
      <c r="C19">
        <v>20</v>
      </c>
    </row>
    <row r="20" spans="3:3">
      <c r="C20">
        <v>25</v>
      </c>
    </row>
    <row r="21" spans="3:3">
      <c r="C21">
        <v>32</v>
      </c>
    </row>
    <row r="22" spans="3:3">
      <c r="C22">
        <v>40</v>
      </c>
    </row>
    <row r="23" spans="3:3">
      <c r="C23">
        <v>50</v>
      </c>
    </row>
    <row r="24" spans="3:3">
      <c r="C24">
        <v>63</v>
      </c>
    </row>
    <row r="25" spans="3:3">
      <c r="C25">
        <v>80</v>
      </c>
    </row>
    <row r="26" spans="3:3">
      <c r="C26">
        <v>100</v>
      </c>
    </row>
    <row r="27" spans="3:3">
      <c r="C27">
        <v>125</v>
      </c>
    </row>
    <row r="28" spans="3:3">
      <c r="C28">
        <v>160</v>
      </c>
    </row>
    <row r="29" spans="3:3">
      <c r="C29">
        <v>200</v>
      </c>
    </row>
    <row r="30" spans="3:3">
      <c r="C30">
        <v>250</v>
      </c>
    </row>
    <row r="31" spans="3:3">
      <c r="C31">
        <v>320</v>
      </c>
    </row>
  </sheetData>
  <mergeCells count="2">
    <mergeCell ref="A1:E1"/>
    <mergeCell ref="A2:E2"/>
  </mergeCells>
  <phoneticPr fontId="378" type="noConversion"/>
  <dataValidations count="1">
    <dataValidation type="list" allowBlank="1" showInputMessage="1" showErrorMessage="1" sqref="C15">
      <formula1>$C$18:$C$31</formula1>
    </dataValidation>
  </dataValidations>
  <hyperlinks>
    <hyperlink ref="E16" location="总目录!A1" display="返回目录"/>
  </hyperlinks>
  <pageMargins left="0.88888888888888895" right="0.50902777777777797" top="1" bottom="1" header="0.5" footer="0.5"/>
  <pageSetup paperSize="9" orientation="portrait"/>
  <headerFooter scaleWithDoc="0"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2"/>
  <sheetViews>
    <sheetView zoomScale="85" zoomScaleNormal="85" workbookViewId="0">
      <selection activeCell="K3" sqref="K3"/>
    </sheetView>
  </sheetViews>
  <sheetFormatPr defaultColWidth="9" defaultRowHeight="16.5"/>
  <cols>
    <col min="1" max="1" width="9" style="95"/>
    <col min="2" max="2" width="30.5" style="95"/>
    <col min="3" max="3" width="16.5" style="95" customWidth="1"/>
    <col min="4" max="4" width="17" style="95" customWidth="1"/>
    <col min="5" max="5" width="8.875" style="95" customWidth="1"/>
    <col min="6" max="6" width="4.75" style="95" customWidth="1"/>
    <col min="7" max="7" width="4.375" style="95" customWidth="1"/>
    <col min="8" max="8" width="4.75" style="95" customWidth="1"/>
    <col min="9" max="9" width="10.75" style="95" customWidth="1"/>
    <col min="10" max="10" width="5.375" style="95" customWidth="1"/>
    <col min="11" max="11" width="4.375" style="95" customWidth="1"/>
    <col min="12" max="15" width="4.75" style="95" customWidth="1"/>
    <col min="16" max="16" width="10.625" style="95"/>
    <col min="17" max="17" width="9.5" style="95"/>
    <col min="18" max="16384" width="9" style="95"/>
  </cols>
  <sheetData>
    <row r="1" spans="1:16">
      <c r="N1" s="3361" t="s">
        <v>12723</v>
      </c>
      <c r="O1" s="3361"/>
      <c r="P1" s="3361"/>
    </row>
    <row r="2" spans="1:16" ht="18.75" customHeight="1">
      <c r="A2" s="970" t="s">
        <v>10230</v>
      </c>
      <c r="N2" s="3361"/>
      <c r="O2" s="3361"/>
      <c r="P2" s="3361"/>
    </row>
    <row r="3" spans="1:16">
      <c r="A3" s="971"/>
      <c r="B3" s="972" t="s">
        <v>10231</v>
      </c>
      <c r="C3" s="972"/>
      <c r="D3" s="973">
        <v>20</v>
      </c>
      <c r="E3" s="971"/>
      <c r="F3" s="971"/>
      <c r="G3" s="971"/>
      <c r="H3" s="971"/>
      <c r="I3" s="971"/>
      <c r="J3" s="971"/>
      <c r="K3" s="971"/>
      <c r="L3" s="971"/>
      <c r="M3" s="971"/>
      <c r="N3" s="971"/>
      <c r="O3" s="971"/>
      <c r="P3" s="971"/>
    </row>
    <row r="4" spans="1:16">
      <c r="A4" s="971"/>
      <c r="B4" s="972" t="s">
        <v>10232</v>
      </c>
      <c r="C4" s="972"/>
      <c r="D4" s="973">
        <v>5</v>
      </c>
      <c r="E4" s="971"/>
      <c r="F4" s="971"/>
      <c r="G4" s="971"/>
      <c r="H4" s="971"/>
      <c r="I4" s="971"/>
      <c r="J4" s="971"/>
      <c r="K4" s="971"/>
      <c r="L4" s="971"/>
      <c r="M4" s="971"/>
      <c r="N4" s="971"/>
      <c r="O4" s="971"/>
      <c r="P4" s="971"/>
    </row>
    <row r="5" spans="1:16">
      <c r="A5" s="971"/>
      <c r="B5" s="972" t="s">
        <v>10233</v>
      </c>
      <c r="C5" s="972"/>
      <c r="D5" s="973">
        <v>15</v>
      </c>
      <c r="E5" s="971"/>
      <c r="F5" s="971"/>
      <c r="G5" s="971"/>
      <c r="H5" s="971"/>
      <c r="I5" s="971"/>
      <c r="J5" s="971"/>
      <c r="K5" s="971"/>
      <c r="L5" s="971"/>
      <c r="M5" s="971"/>
      <c r="N5" s="971"/>
      <c r="O5" s="971"/>
      <c r="P5" s="971"/>
    </row>
    <row r="6" spans="1:16">
      <c r="A6" s="971"/>
      <c r="B6" s="972" t="s">
        <v>10234</v>
      </c>
      <c r="C6" s="972"/>
      <c r="D6" s="973">
        <v>3</v>
      </c>
      <c r="E6" s="971"/>
      <c r="F6" s="971"/>
      <c r="G6" s="971"/>
      <c r="H6" s="971"/>
      <c r="I6" s="971"/>
      <c r="J6" s="971"/>
      <c r="K6" s="971"/>
      <c r="L6" s="971"/>
      <c r="M6" s="971"/>
      <c r="N6" s="971"/>
      <c r="O6" s="971"/>
      <c r="P6" s="971"/>
    </row>
    <row r="7" spans="1:16">
      <c r="A7" s="971"/>
      <c r="B7" s="972" t="s">
        <v>10235</v>
      </c>
      <c r="C7" s="972"/>
      <c r="D7" s="973">
        <v>0.1</v>
      </c>
      <c r="E7" s="971"/>
      <c r="F7" s="971"/>
      <c r="G7" s="971"/>
      <c r="H7" s="971"/>
      <c r="I7" s="971"/>
      <c r="J7" s="971"/>
      <c r="K7" s="971"/>
      <c r="L7" s="971"/>
      <c r="M7" s="971"/>
      <c r="N7" s="971"/>
      <c r="O7" s="971"/>
      <c r="P7" s="971"/>
    </row>
    <row r="8" spans="1:16">
      <c r="A8" s="971"/>
      <c r="B8" s="972" t="s">
        <v>10236</v>
      </c>
      <c r="C8" s="972"/>
      <c r="D8" s="973">
        <v>1</v>
      </c>
      <c r="E8" s="971"/>
      <c r="F8" s="971"/>
      <c r="G8" s="971"/>
      <c r="H8" s="971"/>
      <c r="I8" s="971"/>
      <c r="J8" s="971"/>
      <c r="K8" s="971"/>
      <c r="L8" s="971"/>
      <c r="M8" s="971"/>
      <c r="N8" s="971"/>
      <c r="O8" s="971"/>
      <c r="P8" s="971"/>
    </row>
    <row r="9" spans="1:16">
      <c r="A9" s="971"/>
      <c r="B9" s="971"/>
      <c r="C9" s="971"/>
      <c r="D9" s="974"/>
      <c r="E9" s="971"/>
      <c r="F9" s="971"/>
      <c r="G9" s="971"/>
      <c r="H9" s="971"/>
      <c r="I9" s="971"/>
      <c r="J9" s="971"/>
      <c r="K9" s="971"/>
      <c r="L9" s="971"/>
      <c r="M9" s="971"/>
      <c r="N9" s="971"/>
      <c r="O9" s="971"/>
      <c r="P9" s="971"/>
    </row>
    <row r="10" spans="1:16">
      <c r="A10" s="971"/>
      <c r="B10" s="971"/>
      <c r="C10" s="971"/>
      <c r="D10" s="974"/>
      <c r="E10" s="971"/>
      <c r="F10" s="971"/>
      <c r="G10" s="971"/>
      <c r="H10" s="971"/>
      <c r="I10" s="971"/>
      <c r="J10" s="971"/>
      <c r="K10" s="971"/>
      <c r="L10" s="971"/>
      <c r="M10" s="971"/>
      <c r="N10" s="971"/>
      <c r="O10" s="971"/>
      <c r="P10" s="971"/>
    </row>
    <row r="11" spans="1:16">
      <c r="D11" s="975"/>
    </row>
    <row r="12" spans="1:16">
      <c r="A12" s="970" t="s">
        <v>10237</v>
      </c>
      <c r="D12" s="975"/>
    </row>
    <row r="13" spans="1:16">
      <c r="A13" s="976"/>
      <c r="B13" s="977"/>
      <c r="C13" s="977"/>
      <c r="D13" s="978"/>
      <c r="E13" s="977" t="s">
        <v>10238</v>
      </c>
      <c r="F13" s="977"/>
      <c r="G13" s="977"/>
      <c r="H13" s="977"/>
      <c r="I13" s="977"/>
      <c r="J13" s="977"/>
      <c r="K13" s="977"/>
      <c r="L13" s="977"/>
      <c r="M13" s="977"/>
      <c r="N13" s="977"/>
      <c r="O13" s="1007"/>
    </row>
    <row r="14" spans="1:16">
      <c r="A14" s="979"/>
      <c r="B14" s="980" t="s">
        <v>10239</v>
      </c>
      <c r="C14" s="980"/>
      <c r="D14" s="981"/>
      <c r="E14" s="982"/>
      <c r="F14" s="982">
        <v>300</v>
      </c>
      <c r="G14" s="982"/>
      <c r="H14" s="982"/>
      <c r="I14" s="982"/>
      <c r="J14" s="982"/>
      <c r="K14" s="982"/>
      <c r="L14" s="982"/>
      <c r="M14" s="982"/>
      <c r="N14" s="982"/>
      <c r="O14" s="1008"/>
    </row>
    <row r="15" spans="1:16">
      <c r="A15" s="979"/>
      <c r="B15" s="980" t="s">
        <v>10240</v>
      </c>
      <c r="C15" s="980"/>
      <c r="D15" s="981"/>
      <c r="E15" s="982"/>
      <c r="F15" s="982"/>
      <c r="G15" s="982"/>
      <c r="H15" s="982"/>
      <c r="I15" s="982"/>
      <c r="J15" s="982"/>
      <c r="K15" s="982"/>
      <c r="L15" s="982"/>
      <c r="M15" s="982"/>
      <c r="N15" s="982"/>
      <c r="O15" s="1008"/>
    </row>
    <row r="16" spans="1:16">
      <c r="A16" s="979"/>
      <c r="B16" s="980" t="s">
        <v>10241</v>
      </c>
      <c r="C16" s="980"/>
      <c r="D16" s="973">
        <v>100</v>
      </c>
      <c r="E16" s="982"/>
      <c r="F16" s="982"/>
      <c r="G16" s="982"/>
      <c r="H16" s="982"/>
      <c r="I16" s="982"/>
      <c r="J16" s="982"/>
      <c r="K16" s="982"/>
      <c r="L16" s="982"/>
      <c r="M16" s="982"/>
      <c r="N16" s="982"/>
      <c r="O16" s="1008"/>
    </row>
    <row r="17" spans="1:16">
      <c r="A17" s="979"/>
      <c r="B17" s="980" t="s">
        <v>10242</v>
      </c>
      <c r="C17" s="980"/>
      <c r="D17" s="973">
        <v>1.4</v>
      </c>
      <c r="E17" s="982"/>
      <c r="F17" s="982"/>
      <c r="G17" s="982"/>
      <c r="H17" s="982"/>
      <c r="I17" s="982"/>
      <c r="J17" s="982"/>
      <c r="K17" s="982"/>
      <c r="L17" s="982"/>
      <c r="M17" s="982"/>
      <c r="N17" s="982"/>
      <c r="O17" s="1008"/>
    </row>
    <row r="18" spans="1:16">
      <c r="A18" s="979"/>
      <c r="B18" s="980" t="s">
        <v>10243</v>
      </c>
      <c r="C18" s="980"/>
      <c r="D18" s="973">
        <v>0.3</v>
      </c>
      <c r="E18" s="982"/>
      <c r="F18" s="982">
        <v>0</v>
      </c>
      <c r="G18" s="982"/>
      <c r="H18" s="982"/>
      <c r="I18" s="982"/>
      <c r="J18" s="982"/>
      <c r="K18" s="982"/>
      <c r="L18" s="982"/>
      <c r="M18" s="982"/>
      <c r="N18" s="982"/>
      <c r="O18" s="1008"/>
    </row>
    <row r="19" spans="1:16">
      <c r="A19" s="979"/>
      <c r="B19" s="980" t="s">
        <v>10244</v>
      </c>
      <c r="C19" s="980"/>
      <c r="D19" s="973">
        <v>0.01</v>
      </c>
      <c r="E19" s="982"/>
      <c r="F19" s="982"/>
      <c r="G19" s="982"/>
      <c r="H19" s="983">
        <v>0.3</v>
      </c>
      <c r="I19" s="1009">
        <v>1</v>
      </c>
      <c r="J19" s="983">
        <v>0.2</v>
      </c>
      <c r="K19" s="983">
        <v>0.2</v>
      </c>
      <c r="L19" s="982"/>
      <c r="M19" s="982"/>
      <c r="N19" s="1008" t="s">
        <v>10245</v>
      </c>
      <c r="O19" s="1008"/>
    </row>
    <row r="20" spans="1:16">
      <c r="A20" s="979"/>
      <c r="B20" s="982"/>
      <c r="C20" s="982"/>
      <c r="D20" s="982"/>
      <c r="E20" s="982"/>
      <c r="F20" s="982"/>
      <c r="G20" s="982"/>
      <c r="H20" s="982"/>
      <c r="I20" s="982"/>
      <c r="J20" s="982"/>
      <c r="K20" s="982"/>
      <c r="L20" s="982"/>
      <c r="M20" s="982"/>
      <c r="N20" s="982"/>
      <c r="O20" s="1008"/>
    </row>
    <row r="21" spans="1:16">
      <c r="A21" s="984"/>
      <c r="B21" s="985"/>
      <c r="C21" s="985"/>
      <c r="D21" s="985"/>
      <c r="E21" s="985"/>
      <c r="F21" s="985"/>
      <c r="G21" s="985"/>
      <c r="H21" s="985"/>
      <c r="I21" s="985"/>
      <c r="J21" s="985"/>
      <c r="K21" s="985"/>
      <c r="L21" s="985"/>
      <c r="M21" s="985"/>
      <c r="N21" s="985"/>
      <c r="O21" s="1010"/>
    </row>
    <row r="23" spans="1:16">
      <c r="A23" s="970" t="s">
        <v>10246</v>
      </c>
    </row>
    <row r="24" spans="1:16" ht="42" customHeight="1">
      <c r="A24" s="986"/>
      <c r="B24" s="987" t="s">
        <v>10247</v>
      </c>
      <c r="C24" s="987"/>
      <c r="D24" s="988">
        <f>D6*D5*D5/8*0.000001</f>
        <v>8.4375000000000004E-5</v>
      </c>
      <c r="E24" s="987" t="s">
        <v>10248</v>
      </c>
      <c r="F24" s="987"/>
      <c r="G24" s="987"/>
      <c r="H24" s="987"/>
      <c r="I24" s="987"/>
      <c r="J24" s="987"/>
      <c r="K24" s="987"/>
      <c r="L24" s="987"/>
      <c r="M24" s="987"/>
      <c r="N24" s="987"/>
      <c r="O24" s="987"/>
      <c r="P24" s="1011"/>
    </row>
    <row r="25" spans="1:16" ht="42" customHeight="1">
      <c r="A25" s="989"/>
      <c r="B25" s="131" t="s">
        <v>10249</v>
      </c>
      <c r="C25" s="131"/>
      <c r="D25" s="990">
        <f>D3*(D4/(2*3.14))*(D4/(2*3.14))*0.000001+D24</f>
        <v>9.7052999107468895E-5</v>
      </c>
      <c r="E25" s="131" t="s">
        <v>10248</v>
      </c>
      <c r="F25" s="991"/>
      <c r="G25" s="131"/>
      <c r="H25" s="131"/>
      <c r="I25" s="131"/>
      <c r="J25" s="131"/>
      <c r="K25" s="131"/>
      <c r="L25" s="131"/>
      <c r="M25" s="131"/>
      <c r="N25" s="131"/>
      <c r="O25" s="131"/>
      <c r="P25" s="1012"/>
    </row>
    <row r="26" spans="1:16" ht="42" customHeight="1">
      <c r="A26" s="992"/>
      <c r="B26" s="993" t="s">
        <v>10250</v>
      </c>
      <c r="C26" s="993" t="s">
        <v>10251</v>
      </c>
      <c r="D26" s="994">
        <f>D25</f>
        <v>9.7052999107468895E-5</v>
      </c>
      <c r="E26" s="993" t="s">
        <v>10248</v>
      </c>
      <c r="F26" s="995"/>
      <c r="G26" s="993"/>
      <c r="H26" s="993"/>
      <c r="I26" s="993"/>
      <c r="J26" s="993"/>
      <c r="K26" s="993"/>
      <c r="L26" s="993"/>
      <c r="M26" s="993"/>
      <c r="N26" s="993"/>
      <c r="O26" s="993"/>
      <c r="P26" s="1013"/>
    </row>
    <row r="27" spans="1:16">
      <c r="M27" s="1014"/>
      <c r="N27" s="1014"/>
      <c r="O27" s="1014"/>
    </row>
    <row r="28" spans="1:16">
      <c r="A28" s="970" t="s">
        <v>10252</v>
      </c>
    </row>
    <row r="29" spans="1:16" ht="34.5" customHeight="1">
      <c r="A29" s="986"/>
      <c r="B29" s="987" t="s">
        <v>10253</v>
      </c>
      <c r="C29" s="987"/>
      <c r="D29" s="988">
        <f>D7*D3*9.8*10/(2*3.14)*0.001</f>
        <v>3.1210191082802499E-2</v>
      </c>
      <c r="E29" s="987" t="s">
        <v>6360</v>
      </c>
      <c r="F29" s="987"/>
      <c r="G29" s="987"/>
      <c r="H29" s="987"/>
      <c r="I29" s="987"/>
      <c r="J29" s="987"/>
      <c r="K29" s="987"/>
      <c r="L29" s="987"/>
      <c r="M29" s="987"/>
      <c r="N29" s="987"/>
      <c r="O29" s="987"/>
      <c r="P29" s="1011"/>
    </row>
    <row r="30" spans="1:16" ht="34.5" customHeight="1">
      <c r="A30" s="992"/>
      <c r="B30" s="993" t="s">
        <v>10254</v>
      </c>
      <c r="C30" s="993"/>
      <c r="D30" s="994">
        <f>D29</f>
        <v>3.1210191082802499E-2</v>
      </c>
      <c r="E30" s="993" t="s">
        <v>6360</v>
      </c>
      <c r="F30" s="993"/>
      <c r="G30" s="993"/>
      <c r="H30" s="993"/>
      <c r="I30" s="993"/>
      <c r="J30" s="993"/>
      <c r="K30" s="993"/>
      <c r="L30" s="993"/>
      <c r="M30" s="993"/>
      <c r="N30" s="993"/>
      <c r="O30" s="993"/>
      <c r="P30" s="1013"/>
    </row>
    <row r="32" spans="1:16">
      <c r="A32" s="970" t="s">
        <v>10255</v>
      </c>
    </row>
    <row r="33" spans="1:17">
      <c r="A33" s="996"/>
      <c r="B33" s="997" t="s">
        <v>10256</v>
      </c>
      <c r="C33" s="997" t="s">
        <v>10257</v>
      </c>
      <c r="D33" s="998">
        <v>60</v>
      </c>
      <c r="E33" s="997" t="s">
        <v>1997</v>
      </c>
      <c r="F33" s="997"/>
      <c r="G33" s="997"/>
      <c r="H33" s="997"/>
      <c r="I33" s="997"/>
      <c r="J33" s="997"/>
      <c r="K33" s="997"/>
      <c r="L33" s="997"/>
      <c r="M33" s="997"/>
      <c r="N33" s="997"/>
      <c r="O33" s="997"/>
      <c r="P33" s="1015"/>
    </row>
    <row r="35" spans="1:17">
      <c r="A35" s="970" t="s">
        <v>10258</v>
      </c>
    </row>
    <row r="36" spans="1:17" ht="33">
      <c r="A36" s="986"/>
      <c r="B36" s="999" t="s">
        <v>10259</v>
      </c>
      <c r="C36" s="999" t="s">
        <v>10260</v>
      </c>
      <c r="D36" s="988">
        <f>D26/30</f>
        <v>3.2350999702489602E-6</v>
      </c>
      <c r="E36" s="987" t="s">
        <v>10261</v>
      </c>
      <c r="F36" s="4374"/>
      <c r="G36" s="4374"/>
      <c r="H36" s="1000" t="s">
        <v>10262</v>
      </c>
      <c r="I36" s="1000"/>
      <c r="J36" s="1000"/>
      <c r="K36" s="1000"/>
      <c r="L36" s="987"/>
      <c r="M36" s="4375">
        <v>1.2300000000000001E-5</v>
      </c>
      <c r="N36" s="4375"/>
      <c r="O36" s="987"/>
      <c r="P36" s="1011"/>
      <c r="Q36" s="131"/>
    </row>
    <row r="37" spans="1:17" ht="49.5">
      <c r="A37" s="992"/>
      <c r="B37" s="1001" t="s">
        <v>10263</v>
      </c>
      <c r="C37" s="1001" t="s">
        <v>10264</v>
      </c>
      <c r="D37" s="1002">
        <f>0.637*0.8</f>
        <v>0.50960000000000005</v>
      </c>
      <c r="E37" s="1003" t="s">
        <v>10265</v>
      </c>
      <c r="F37" s="4376">
        <f>D30</f>
        <v>3.1210191082802499E-2</v>
      </c>
      <c r="G37" s="4376"/>
      <c r="H37" s="1004" t="s">
        <v>10266</v>
      </c>
      <c r="I37" s="1004"/>
      <c r="J37" s="1004"/>
      <c r="K37" s="1004"/>
      <c r="L37" s="993"/>
      <c r="M37" s="4377">
        <v>0.63700000000000001</v>
      </c>
      <c r="N37" s="4377"/>
      <c r="O37" s="1016" t="s">
        <v>10267</v>
      </c>
      <c r="P37" s="1013"/>
    </row>
    <row r="39" spans="1:17">
      <c r="B39" s="95" t="s">
        <v>10268</v>
      </c>
    </row>
    <row r="41" spans="1:17">
      <c r="A41" s="970" t="s">
        <v>10269</v>
      </c>
    </row>
    <row r="43" spans="1:17" ht="39" customHeight="1">
      <c r="A43" s="996"/>
      <c r="B43" s="997" t="s">
        <v>10270</v>
      </c>
      <c r="C43" s="997"/>
      <c r="D43" s="1005">
        <f>(2*3.14*D33/(60*D18))*(M36+D26/D8)</f>
        <v>2.2891227813163499E-3</v>
      </c>
      <c r="E43" s="997" t="s">
        <v>6360</v>
      </c>
      <c r="F43" s="997"/>
      <c r="G43" s="997"/>
      <c r="H43" s="997"/>
      <c r="I43" s="997"/>
      <c r="J43" s="997"/>
      <c r="K43" s="997"/>
      <c r="L43" s="997"/>
      <c r="M43" s="997"/>
      <c r="N43" s="997"/>
      <c r="O43" s="997"/>
      <c r="P43" s="1015"/>
    </row>
    <row r="45" spans="1:17">
      <c r="A45" s="970" t="s">
        <v>10271</v>
      </c>
    </row>
    <row r="46" spans="1:17">
      <c r="A46" s="986"/>
      <c r="B46" s="987" t="s">
        <v>10272</v>
      </c>
      <c r="C46" s="987" t="s">
        <v>10273</v>
      </c>
      <c r="D46" s="1006">
        <f>D43+D30</f>
        <v>3.3499313864118897E-2</v>
      </c>
      <c r="E46" s="997" t="s">
        <v>6360</v>
      </c>
      <c r="F46" s="987"/>
      <c r="G46" s="987"/>
      <c r="H46" s="987"/>
      <c r="I46" s="987"/>
      <c r="J46" s="987"/>
      <c r="K46" s="987"/>
      <c r="L46" s="987"/>
      <c r="M46" s="987"/>
      <c r="N46" s="987"/>
      <c r="O46" s="987"/>
      <c r="P46" s="1011"/>
    </row>
    <row r="47" spans="1:17">
      <c r="A47" s="989"/>
      <c r="B47" s="131"/>
      <c r="C47" s="131" t="s">
        <v>10274</v>
      </c>
      <c r="D47" s="1006">
        <f>D30</f>
        <v>3.1210191082802499E-2</v>
      </c>
      <c r="E47" s="997" t="s">
        <v>6360</v>
      </c>
      <c r="F47" s="131"/>
      <c r="G47" s="131"/>
      <c r="H47" s="131"/>
      <c r="I47" s="131"/>
      <c r="J47" s="131"/>
      <c r="K47" s="131"/>
      <c r="L47" s="131"/>
      <c r="M47" s="131"/>
      <c r="N47" s="131"/>
      <c r="O47" s="131"/>
      <c r="P47" s="1012"/>
    </row>
    <row r="48" spans="1:17">
      <c r="A48" s="989"/>
      <c r="B48" s="131"/>
      <c r="C48" s="131" t="s">
        <v>10275</v>
      </c>
      <c r="D48" s="1006">
        <f>D30-D43</f>
        <v>2.8921068301486198E-2</v>
      </c>
      <c r="E48" s="997" t="s">
        <v>6360</v>
      </c>
      <c r="F48" s="131"/>
      <c r="G48" s="131"/>
      <c r="H48" s="131"/>
      <c r="I48" s="131"/>
      <c r="J48" s="131"/>
      <c r="K48" s="131"/>
      <c r="L48" s="131"/>
      <c r="M48" s="131"/>
      <c r="N48" s="131"/>
      <c r="O48" s="131"/>
      <c r="P48" s="1012"/>
    </row>
    <row r="49" spans="1:16">
      <c r="A49" s="989"/>
      <c r="B49" s="131"/>
      <c r="C49" s="131"/>
      <c r="D49" s="131"/>
      <c r="E49" s="131"/>
      <c r="F49" s="131"/>
      <c r="G49" s="131"/>
      <c r="H49" s="131"/>
      <c r="I49" s="131"/>
      <c r="J49" s="131"/>
      <c r="K49" s="131"/>
      <c r="L49" s="131"/>
      <c r="M49" s="131"/>
      <c r="N49" s="131"/>
      <c r="O49" s="131"/>
      <c r="P49" s="1012"/>
    </row>
    <row r="50" spans="1:16">
      <c r="A50" s="989"/>
      <c r="B50" s="131" t="s">
        <v>10276</v>
      </c>
      <c r="C50" s="131"/>
      <c r="D50" s="131"/>
      <c r="E50" s="131"/>
      <c r="F50" s="131"/>
      <c r="G50" s="131"/>
      <c r="H50" s="131"/>
      <c r="I50" s="131"/>
      <c r="J50" s="131"/>
      <c r="K50" s="131"/>
      <c r="L50" s="131"/>
      <c r="M50" s="131"/>
      <c r="N50" s="131"/>
      <c r="O50" s="131"/>
      <c r="P50" s="1012"/>
    </row>
    <row r="51" spans="1:16">
      <c r="A51" s="989"/>
      <c r="B51" s="131"/>
      <c r="C51" s="131"/>
      <c r="D51" s="131"/>
      <c r="E51" s="131"/>
      <c r="F51" s="131"/>
      <c r="G51" s="131"/>
      <c r="H51" s="131"/>
      <c r="I51" s="131"/>
      <c r="J51" s="131"/>
      <c r="K51" s="131"/>
      <c r="L51" s="131"/>
      <c r="M51" s="131"/>
      <c r="N51" s="131"/>
      <c r="O51" s="131"/>
      <c r="P51" s="1012"/>
    </row>
    <row r="52" spans="1:16">
      <c r="A52" s="989"/>
      <c r="B52" s="131"/>
      <c r="C52" s="131"/>
      <c r="D52" s="131"/>
      <c r="E52" s="131"/>
      <c r="F52" s="131"/>
      <c r="G52" s="131"/>
      <c r="H52" s="131"/>
      <c r="I52" s="131"/>
      <c r="J52" s="131"/>
      <c r="K52" s="131"/>
      <c r="L52" s="131"/>
      <c r="M52" s="131"/>
      <c r="N52" s="131"/>
      <c r="O52" s="131"/>
      <c r="P52" s="1012"/>
    </row>
    <row r="53" spans="1:16">
      <c r="A53" s="989"/>
      <c r="B53" s="131"/>
      <c r="C53" s="131"/>
      <c r="D53" s="1005">
        <f>SQRT((D46*D46*H19)+(D47*D47*I19)+(D48*D48*J19)/(H19+I19+J19+K19))</f>
        <v>3.7538520920589999E-2</v>
      </c>
      <c r="E53" s="997" t="s">
        <v>6360</v>
      </c>
      <c r="F53" s="131"/>
      <c r="G53" s="131"/>
      <c r="H53" s="131"/>
      <c r="I53" s="131"/>
      <c r="J53" s="131"/>
      <c r="K53" s="131"/>
      <c r="L53" s="131"/>
      <c r="M53" s="131"/>
      <c r="N53" s="131"/>
      <c r="O53" s="131"/>
      <c r="P53" s="1012"/>
    </row>
    <row r="54" spans="1:16">
      <c r="A54" s="989"/>
      <c r="B54" s="131"/>
      <c r="C54" s="131"/>
      <c r="D54" s="131"/>
      <c r="E54" s="131"/>
      <c r="F54" s="131"/>
      <c r="G54" s="131"/>
      <c r="H54" s="131"/>
      <c r="I54" s="131"/>
      <c r="J54" s="131"/>
      <c r="K54" s="131"/>
      <c r="L54" s="131"/>
      <c r="M54" s="131"/>
      <c r="N54" s="131"/>
      <c r="O54" s="131"/>
      <c r="P54" s="1012"/>
    </row>
    <row r="55" spans="1:16">
      <c r="A55" s="989"/>
      <c r="B55" s="131"/>
      <c r="C55" s="131"/>
      <c r="D55" s="131"/>
      <c r="E55" s="131"/>
      <c r="F55" s="131"/>
      <c r="G55" s="131"/>
      <c r="H55" s="131"/>
      <c r="I55" s="131"/>
      <c r="J55" s="131"/>
      <c r="K55" s="131"/>
      <c r="L55" s="131"/>
      <c r="M55" s="131"/>
      <c r="N55" s="131"/>
      <c r="O55" s="131"/>
      <c r="P55" s="1012"/>
    </row>
    <row r="56" spans="1:16">
      <c r="A56" s="989"/>
      <c r="B56" s="131"/>
      <c r="C56" s="131"/>
      <c r="D56" s="131"/>
      <c r="E56" s="131"/>
      <c r="F56" s="131"/>
      <c r="G56" s="131"/>
      <c r="H56" s="131"/>
      <c r="I56" s="131"/>
      <c r="J56" s="131"/>
      <c r="K56" s="131"/>
      <c r="L56" s="131"/>
      <c r="M56" s="131"/>
      <c r="N56" s="131"/>
      <c r="O56" s="131"/>
      <c r="P56" s="1012"/>
    </row>
    <row r="57" spans="1:16">
      <c r="A57" s="989"/>
      <c r="B57" s="131"/>
      <c r="C57" s="131"/>
      <c r="D57" s="131"/>
      <c r="E57" s="131"/>
      <c r="F57" s="131"/>
      <c r="G57" s="131"/>
      <c r="H57" s="131"/>
      <c r="I57" s="131"/>
      <c r="J57" s="131"/>
      <c r="K57" s="131"/>
      <c r="L57" s="131"/>
      <c r="M57" s="131"/>
      <c r="N57" s="131"/>
      <c r="O57" s="131"/>
      <c r="P57" s="1012"/>
    </row>
    <row r="58" spans="1:16">
      <c r="A58" s="989"/>
      <c r="B58" s="131"/>
      <c r="C58" s="131"/>
      <c r="D58" s="131"/>
      <c r="E58" s="131"/>
      <c r="F58" s="131"/>
      <c r="G58" s="131"/>
      <c r="H58" s="131"/>
      <c r="I58" s="131"/>
      <c r="J58" s="131"/>
      <c r="K58" s="131"/>
      <c r="L58" s="131"/>
      <c r="M58" s="131"/>
      <c r="N58" s="131"/>
      <c r="O58" s="131"/>
      <c r="P58" s="1012"/>
    </row>
    <row r="59" spans="1:16">
      <c r="A59" s="989"/>
      <c r="B59" s="131"/>
      <c r="C59" s="131"/>
      <c r="D59" s="131"/>
      <c r="E59" s="131"/>
      <c r="F59" s="131"/>
      <c r="G59" s="131"/>
      <c r="H59" s="131"/>
      <c r="I59" s="131"/>
      <c r="J59" s="131"/>
      <c r="K59" s="131"/>
      <c r="L59" s="131"/>
      <c r="M59" s="131"/>
      <c r="N59" s="131"/>
      <c r="O59" s="131"/>
      <c r="P59" s="1012"/>
    </row>
    <row r="60" spans="1:16">
      <c r="A60" s="989"/>
      <c r="B60" s="131"/>
      <c r="C60" s="131"/>
      <c r="D60" s="131"/>
      <c r="E60" s="131"/>
      <c r="F60" s="131"/>
      <c r="G60" s="131"/>
      <c r="H60" s="131"/>
      <c r="I60" s="131"/>
      <c r="J60" s="131"/>
      <c r="K60" s="131"/>
      <c r="L60" s="131"/>
      <c r="M60" s="131"/>
      <c r="N60" s="131"/>
      <c r="O60" s="131"/>
      <c r="P60" s="1012"/>
    </row>
    <row r="61" spans="1:16">
      <c r="A61" s="989"/>
      <c r="B61" s="131"/>
      <c r="C61" s="131"/>
      <c r="D61" s="131"/>
      <c r="E61" s="131"/>
      <c r="F61" s="131"/>
      <c r="G61" s="131"/>
      <c r="H61" s="131"/>
      <c r="I61" s="131"/>
      <c r="J61" s="131"/>
      <c r="K61" s="131"/>
      <c r="L61" s="131"/>
      <c r="M61" s="131"/>
      <c r="N61" s="131"/>
      <c r="O61" s="131"/>
      <c r="P61" s="1012"/>
    </row>
    <row r="62" spans="1:16">
      <c r="A62" s="989"/>
      <c r="B62" s="131"/>
      <c r="C62" s="131"/>
      <c r="D62" s="131"/>
      <c r="E62" s="131"/>
      <c r="F62" s="131"/>
      <c r="G62" s="131"/>
      <c r="H62" s="131"/>
      <c r="I62" s="131"/>
      <c r="J62" s="131"/>
      <c r="K62" s="131"/>
      <c r="L62" s="131"/>
      <c r="M62" s="131"/>
      <c r="N62" s="131"/>
      <c r="O62" s="131"/>
      <c r="P62" s="1012"/>
    </row>
    <row r="63" spans="1:16">
      <c r="A63" s="989"/>
      <c r="B63" s="131"/>
      <c r="C63" s="131"/>
      <c r="D63" s="131"/>
      <c r="E63" s="131"/>
      <c r="F63" s="131"/>
      <c r="G63" s="131"/>
      <c r="H63" s="131"/>
      <c r="I63" s="131"/>
      <c r="J63" s="131"/>
      <c r="K63" s="131"/>
      <c r="L63" s="131"/>
      <c r="M63" s="131"/>
      <c r="N63" s="131"/>
      <c r="O63" s="131"/>
      <c r="P63" s="1012"/>
    </row>
    <row r="64" spans="1:16">
      <c r="A64" s="989"/>
      <c r="B64" s="131"/>
      <c r="C64" s="131"/>
      <c r="D64" s="131"/>
      <c r="E64" s="131"/>
      <c r="F64" s="131"/>
      <c r="G64" s="131"/>
      <c r="H64" s="131"/>
      <c r="I64" s="131"/>
      <c r="J64" s="131"/>
      <c r="K64" s="131"/>
      <c r="L64" s="131"/>
      <c r="M64" s="131"/>
      <c r="N64" s="131"/>
      <c r="O64" s="131"/>
      <c r="P64" s="1012"/>
    </row>
    <row r="65" spans="1:19">
      <c r="A65" s="989"/>
      <c r="B65" s="131"/>
      <c r="C65" s="131"/>
      <c r="D65" s="131"/>
      <c r="E65" s="131"/>
      <c r="F65" s="131"/>
      <c r="G65" s="131"/>
      <c r="H65" s="131"/>
      <c r="I65" s="131"/>
      <c r="J65" s="131"/>
      <c r="K65" s="131"/>
      <c r="L65" s="131"/>
      <c r="M65" s="131"/>
      <c r="N65" s="131"/>
      <c r="O65" s="131"/>
      <c r="P65" s="1012"/>
    </row>
    <row r="66" spans="1:19">
      <c r="A66" s="989"/>
      <c r="B66" s="1017"/>
      <c r="C66" s="131"/>
      <c r="D66" s="131"/>
      <c r="E66" s="131"/>
      <c r="F66" s="131"/>
      <c r="G66" s="131"/>
      <c r="H66" s="131"/>
      <c r="I66" s="131"/>
      <c r="J66" s="131"/>
      <c r="K66" s="131"/>
      <c r="L66" s="131"/>
      <c r="M66" s="131"/>
      <c r="N66" s="131"/>
      <c r="O66" s="131"/>
      <c r="P66" s="1012"/>
    </row>
    <row r="67" spans="1:19">
      <c r="A67" s="989"/>
      <c r="B67" s="131"/>
      <c r="C67" s="131"/>
      <c r="D67" s="131"/>
      <c r="E67" s="131"/>
      <c r="F67" s="131"/>
      <c r="G67" s="131"/>
      <c r="H67" s="131"/>
      <c r="I67" s="131"/>
      <c r="J67" s="131"/>
      <c r="K67" s="131"/>
      <c r="L67" s="131"/>
      <c r="M67" s="131"/>
      <c r="N67" s="131"/>
      <c r="O67" s="131"/>
      <c r="P67" s="1012"/>
    </row>
    <row r="68" spans="1:19">
      <c r="A68" s="989"/>
      <c r="B68" s="131"/>
      <c r="C68" s="131"/>
      <c r="D68" s="131"/>
      <c r="E68" s="131"/>
      <c r="F68" s="131"/>
      <c r="G68" s="131"/>
      <c r="H68" s="131"/>
      <c r="I68" s="131"/>
      <c r="J68" s="131"/>
      <c r="K68" s="131"/>
      <c r="L68" s="131"/>
      <c r="M68" s="131"/>
      <c r="N68" s="131"/>
      <c r="O68" s="131"/>
      <c r="P68" s="1012"/>
    </row>
    <row r="69" spans="1:19">
      <c r="A69" s="989"/>
      <c r="B69" s="131"/>
      <c r="C69" s="131"/>
      <c r="D69" s="131"/>
      <c r="E69" s="131"/>
      <c r="F69" s="131"/>
      <c r="G69" s="131"/>
      <c r="H69" s="131"/>
      <c r="I69" s="131"/>
      <c r="J69" s="131"/>
      <c r="K69" s="131"/>
      <c r="L69" s="131"/>
      <c r="M69" s="131"/>
      <c r="N69" s="131"/>
      <c r="O69" s="131"/>
      <c r="P69" s="1012"/>
    </row>
    <row r="70" spans="1:19">
      <c r="A70" s="989"/>
      <c r="B70" s="131"/>
      <c r="C70" s="131"/>
      <c r="D70" s="131"/>
      <c r="E70" s="131"/>
      <c r="F70" s="131"/>
      <c r="G70" s="131"/>
      <c r="H70" s="131"/>
      <c r="I70" s="131"/>
      <c r="J70" s="131"/>
      <c r="K70" s="131"/>
      <c r="L70" s="131"/>
      <c r="M70" s="131"/>
      <c r="N70" s="131"/>
      <c r="O70" s="131"/>
      <c r="P70" s="1012"/>
    </row>
    <row r="71" spans="1:19">
      <c r="A71" s="989"/>
      <c r="B71" s="131"/>
      <c r="C71" s="131"/>
      <c r="D71" s="131"/>
      <c r="E71" s="131"/>
      <c r="F71" s="131"/>
      <c r="G71" s="131"/>
      <c r="H71" s="131"/>
      <c r="I71" s="131"/>
      <c r="J71" s="131"/>
      <c r="K71" s="131"/>
      <c r="L71" s="131"/>
      <c r="M71" s="131"/>
      <c r="N71" s="131"/>
      <c r="O71" s="131"/>
      <c r="P71" s="1012"/>
    </row>
    <row r="72" spans="1:19">
      <c r="A72" s="989"/>
      <c r="B72" s="131"/>
      <c r="C72" s="131"/>
      <c r="D72" s="131"/>
      <c r="E72" s="131"/>
      <c r="F72" s="131"/>
      <c r="G72" s="131"/>
      <c r="H72" s="131"/>
      <c r="I72" s="131"/>
      <c r="J72" s="131"/>
      <c r="K72" s="131"/>
      <c r="L72" s="131"/>
      <c r="M72" s="131"/>
      <c r="N72" s="131"/>
      <c r="O72" s="131"/>
      <c r="P72" s="1012"/>
    </row>
    <row r="73" spans="1:19">
      <c r="A73" s="989"/>
      <c r="B73" s="131"/>
      <c r="C73" s="131"/>
      <c r="D73" s="131"/>
      <c r="E73" s="131"/>
      <c r="F73" s="131"/>
      <c r="G73" s="131"/>
      <c r="H73" s="131"/>
      <c r="I73" s="131"/>
      <c r="J73" s="131"/>
      <c r="K73" s="131"/>
      <c r="L73" s="131"/>
      <c r="M73" s="131"/>
      <c r="N73" s="131"/>
      <c r="O73" s="131"/>
      <c r="P73" s="1012"/>
    </row>
    <row r="74" spans="1:19">
      <c r="A74" s="989"/>
      <c r="B74" s="131"/>
      <c r="C74" s="131"/>
      <c r="D74" s="131"/>
      <c r="E74" s="131"/>
      <c r="F74" s="131"/>
      <c r="G74" s="131"/>
      <c r="H74" s="131"/>
      <c r="I74" s="131"/>
      <c r="J74" s="131"/>
      <c r="K74" s="131"/>
      <c r="L74" s="131"/>
      <c r="M74" s="131"/>
      <c r="N74" s="131"/>
      <c r="O74" s="131"/>
      <c r="P74" s="1012"/>
    </row>
    <row r="75" spans="1:19">
      <c r="A75" s="992"/>
      <c r="B75" s="993"/>
      <c r="C75" s="993"/>
      <c r="D75" s="993"/>
      <c r="E75" s="993"/>
      <c r="F75" s="993"/>
      <c r="G75" s="993"/>
      <c r="H75" s="993"/>
      <c r="I75" s="993"/>
      <c r="J75" s="993"/>
      <c r="K75" s="993"/>
      <c r="L75" s="993"/>
      <c r="M75" s="993"/>
      <c r="N75" s="993"/>
      <c r="O75" s="993"/>
      <c r="P75" s="1013"/>
    </row>
    <row r="77" spans="1:19">
      <c r="A77" s="970" t="s">
        <v>10277</v>
      </c>
    </row>
    <row r="78" spans="1:19">
      <c r="A78" s="986"/>
      <c r="B78" s="987" t="s">
        <v>10278</v>
      </c>
      <c r="C78" s="1018">
        <f>D26</f>
        <v>9.7052999107468895E-5</v>
      </c>
      <c r="D78" s="987" t="s">
        <v>10248</v>
      </c>
      <c r="E78" s="987" t="s">
        <v>10279</v>
      </c>
      <c r="F78" s="987"/>
      <c r="G78" s="987"/>
      <c r="H78" s="987"/>
      <c r="I78" s="1023">
        <f>M36</f>
        <v>1.2300000000000001E-5</v>
      </c>
      <c r="J78" s="987" t="s">
        <v>10280</v>
      </c>
      <c r="K78" s="987"/>
      <c r="L78" s="987"/>
      <c r="M78" s="987"/>
      <c r="N78" s="987"/>
      <c r="O78" s="987"/>
      <c r="P78" s="987"/>
      <c r="Q78" s="987"/>
      <c r="R78" s="987"/>
      <c r="S78" s="1011" t="s">
        <v>10281</v>
      </c>
    </row>
    <row r="79" spans="1:19">
      <c r="A79" s="989"/>
      <c r="B79" s="131" t="s">
        <v>10282</v>
      </c>
      <c r="C79" s="1019">
        <f>D53</f>
        <v>3.7538520920589999E-2</v>
      </c>
      <c r="D79" s="131" t="s">
        <v>6360</v>
      </c>
      <c r="E79" s="131" t="s">
        <v>10283</v>
      </c>
      <c r="F79" s="131"/>
      <c r="G79" s="131"/>
      <c r="H79" s="131"/>
      <c r="I79" s="131">
        <f>0.637*0.8</f>
        <v>0.50960000000000005</v>
      </c>
      <c r="J79" s="131" t="s">
        <v>2001</v>
      </c>
      <c r="K79" s="131"/>
      <c r="L79" s="131"/>
      <c r="M79" s="131"/>
      <c r="N79" s="131"/>
      <c r="O79" s="131"/>
      <c r="P79" s="131"/>
      <c r="Q79" s="131"/>
      <c r="R79" s="131"/>
      <c r="S79" s="1012" t="s">
        <v>10281</v>
      </c>
    </row>
    <row r="80" spans="1:19">
      <c r="A80" s="989"/>
      <c r="B80" s="131" t="s">
        <v>10284</v>
      </c>
      <c r="C80" s="1020">
        <f>D46</f>
        <v>3.3499313864118897E-2</v>
      </c>
      <c r="D80" s="131" t="s">
        <v>6360</v>
      </c>
      <c r="E80" s="131" t="s">
        <v>10285</v>
      </c>
      <c r="F80" s="131"/>
      <c r="G80" s="131"/>
      <c r="H80" s="131"/>
      <c r="I80" s="131">
        <f>1.91*0.8</f>
        <v>1.528</v>
      </c>
      <c r="J80" s="131" t="s">
        <v>2001</v>
      </c>
      <c r="K80" s="131"/>
      <c r="L80" s="131"/>
      <c r="M80" s="131"/>
      <c r="N80" s="131"/>
      <c r="O80" s="131"/>
      <c r="P80" s="131"/>
      <c r="Q80" s="131"/>
      <c r="R80" s="131"/>
      <c r="S80" s="1012" t="s">
        <v>10281</v>
      </c>
    </row>
    <row r="81" spans="1:19">
      <c r="A81" s="989"/>
      <c r="B81" s="131" t="s">
        <v>10286</v>
      </c>
      <c r="C81" s="1021">
        <f>D33</f>
        <v>60</v>
      </c>
      <c r="D81" s="131" t="s">
        <v>1997</v>
      </c>
      <c r="E81" s="131" t="s">
        <v>10287</v>
      </c>
      <c r="F81" s="131"/>
      <c r="G81" s="131"/>
      <c r="H81" s="131"/>
      <c r="I81" s="131">
        <v>3000</v>
      </c>
      <c r="J81" s="131" t="s">
        <v>1997</v>
      </c>
      <c r="K81" s="131"/>
      <c r="L81" s="131"/>
      <c r="M81" s="131"/>
      <c r="N81" s="131"/>
      <c r="O81" s="131"/>
      <c r="P81" s="131"/>
      <c r="Q81" s="131"/>
      <c r="R81" s="131"/>
      <c r="S81" s="1012" t="s">
        <v>10281</v>
      </c>
    </row>
    <row r="82" spans="1:19">
      <c r="A82" s="992"/>
      <c r="B82" s="993" t="s">
        <v>10288</v>
      </c>
      <c r="C82" s="1022">
        <f>D4*D8/D19*1</f>
        <v>500</v>
      </c>
      <c r="D82" s="993" t="s">
        <v>10289</v>
      </c>
      <c r="E82" s="993" t="s">
        <v>10290</v>
      </c>
      <c r="F82" s="993"/>
      <c r="G82" s="993"/>
      <c r="H82" s="993"/>
      <c r="I82" s="993"/>
      <c r="J82" s="993"/>
      <c r="K82" s="993"/>
      <c r="L82" s="993"/>
      <c r="M82" s="993"/>
      <c r="N82" s="993"/>
      <c r="O82" s="993"/>
      <c r="P82" s="993"/>
      <c r="Q82" s="993"/>
      <c r="R82" s="993"/>
      <c r="S82" s="1013" t="s">
        <v>10281</v>
      </c>
    </row>
  </sheetData>
  <mergeCells count="5">
    <mergeCell ref="F36:G36"/>
    <mergeCell ref="M36:N36"/>
    <mergeCell ref="F37:G37"/>
    <mergeCell ref="M37:N37"/>
    <mergeCell ref="N1:P2"/>
  </mergeCells>
  <phoneticPr fontId="378" type="noConversion"/>
  <hyperlinks>
    <hyperlink ref="N1:P2" location="总目录!A1" display="返回目录"/>
  </hyperlinks>
  <pageMargins left="0.75" right="0.75" top="1" bottom="1" header="0.5" footer="0.5"/>
  <headerFooter scaleWithDoc="0" alignWithMargins="0"/>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zoomScale="145" zoomScaleNormal="145" workbookViewId="0">
      <selection activeCell="J12" sqref="J12"/>
    </sheetView>
  </sheetViews>
  <sheetFormatPr defaultColWidth="9" defaultRowHeight="16.5"/>
  <cols>
    <col min="1" max="1" width="13.875" style="204" customWidth="1"/>
    <col min="2" max="2" width="7.75" style="204" customWidth="1"/>
    <col min="3" max="3" width="6.625" style="204" customWidth="1"/>
    <col min="4" max="4" width="8.125" style="204" customWidth="1"/>
    <col min="5" max="5" width="9.125" style="204" customWidth="1"/>
    <col min="6" max="6" width="12.75" style="204" customWidth="1"/>
    <col min="7" max="7" width="14.75" style="204" customWidth="1"/>
    <col min="8" max="8" width="9.625" style="204"/>
    <col min="9" max="9" width="11.5" style="204"/>
    <col min="10" max="10" width="9" style="204"/>
    <col min="11" max="11" width="6.5" style="204" customWidth="1"/>
    <col min="12" max="12" width="11.625" style="204" customWidth="1"/>
    <col min="13" max="16384" width="9" style="204"/>
  </cols>
  <sheetData>
    <row r="1" spans="1:12">
      <c r="B1" s="4378" t="s">
        <v>10291</v>
      </c>
      <c r="C1" s="4379"/>
      <c r="D1" s="4379"/>
      <c r="E1" s="4379"/>
      <c r="F1" s="4379"/>
      <c r="G1" s="4379"/>
      <c r="H1" s="4379"/>
      <c r="I1" s="4379"/>
      <c r="K1" s="204" t="s">
        <v>9294</v>
      </c>
      <c r="L1" s="204">
        <v>7.85</v>
      </c>
    </row>
    <row r="2" spans="1:12">
      <c r="B2" s="4379"/>
      <c r="C2" s="4379"/>
      <c r="D2" s="4379"/>
      <c r="E2" s="4379"/>
      <c r="F2" s="4379"/>
      <c r="G2" s="4379"/>
      <c r="H2" s="4379"/>
      <c r="I2" s="4379"/>
      <c r="K2" s="204" t="s">
        <v>10292</v>
      </c>
      <c r="L2" s="204">
        <v>7.85</v>
      </c>
    </row>
    <row r="3" spans="1:12">
      <c r="A3" s="204" t="s">
        <v>10293</v>
      </c>
      <c r="B3" s="965" t="s">
        <v>10294</v>
      </c>
      <c r="C3" s="965" t="s">
        <v>10295</v>
      </c>
      <c r="D3" s="965" t="s">
        <v>10296</v>
      </c>
      <c r="E3" s="966" t="s">
        <v>10297</v>
      </c>
      <c r="F3" s="965" t="s">
        <v>10298</v>
      </c>
      <c r="G3" s="965" t="s">
        <v>10299</v>
      </c>
      <c r="H3" s="965" t="s">
        <v>2067</v>
      </c>
      <c r="I3" s="965" t="s">
        <v>10300</v>
      </c>
      <c r="K3" s="204" t="s">
        <v>10301</v>
      </c>
      <c r="L3" s="204">
        <v>7.85</v>
      </c>
    </row>
    <row r="4" spans="1:12" ht="19.5">
      <c r="A4" s="967" t="s">
        <v>10302</v>
      </c>
      <c r="B4" s="968">
        <v>307</v>
      </c>
      <c r="C4" s="968">
        <v>503</v>
      </c>
      <c r="D4" s="968">
        <v>200</v>
      </c>
      <c r="E4" s="968">
        <f>VLOOKUP(A4,K:L,2,0)</f>
        <v>0</v>
      </c>
      <c r="F4" s="968">
        <v>0.92</v>
      </c>
      <c r="G4" s="968">
        <v>1</v>
      </c>
      <c r="H4" s="196">
        <f>(B4*C4*D4*F4*G4)/1000000</f>
        <v>28.413464000000001</v>
      </c>
      <c r="I4" s="196">
        <f>H4*E4</f>
        <v>0</v>
      </c>
      <c r="K4" s="204" t="s">
        <v>10303</v>
      </c>
      <c r="L4" s="204">
        <v>7.85</v>
      </c>
    </row>
    <row r="5" spans="1:12">
      <c r="A5" s="479"/>
      <c r="B5" s="969"/>
      <c r="C5" s="969"/>
      <c r="D5" s="969"/>
      <c r="E5" s="969"/>
      <c r="F5" s="969"/>
      <c r="G5" s="969"/>
      <c r="H5" s="969"/>
      <c r="I5" s="969"/>
      <c r="J5" s="479"/>
      <c r="K5" s="204" t="s">
        <v>10304</v>
      </c>
      <c r="L5" s="204">
        <v>7.82</v>
      </c>
    </row>
    <row r="6" spans="1:12">
      <c r="A6" s="479"/>
      <c r="B6" s="969"/>
      <c r="C6" s="969"/>
      <c r="D6" s="969"/>
      <c r="E6" s="969"/>
      <c r="F6" s="969"/>
      <c r="G6" s="969"/>
      <c r="H6" s="969"/>
      <c r="I6" s="969"/>
      <c r="J6" s="479"/>
      <c r="K6" s="204" t="s">
        <v>10305</v>
      </c>
    </row>
    <row r="7" spans="1:12">
      <c r="A7" s="4380" t="s">
        <v>10306</v>
      </c>
      <c r="B7" s="4380"/>
      <c r="C7" s="4380"/>
      <c r="D7" s="4380"/>
      <c r="E7" s="4380"/>
      <c r="F7" s="4380"/>
      <c r="G7" s="4380"/>
      <c r="H7" s="4380"/>
      <c r="I7" s="4380"/>
      <c r="J7" s="479"/>
      <c r="K7" s="204" t="s">
        <v>10307</v>
      </c>
    </row>
    <row r="8" spans="1:12">
      <c r="A8" s="4380"/>
      <c r="B8" s="4380"/>
      <c r="C8" s="4380"/>
      <c r="D8" s="4380"/>
      <c r="E8" s="4380"/>
      <c r="F8" s="4380"/>
      <c r="G8" s="4380"/>
      <c r="H8" s="4380"/>
      <c r="I8" s="4380"/>
      <c r="J8" s="479"/>
      <c r="K8" s="204" t="s">
        <v>10302</v>
      </c>
    </row>
    <row r="9" spans="1:12">
      <c r="A9" s="4380"/>
      <c r="B9" s="4380"/>
      <c r="C9" s="4380"/>
      <c r="D9" s="4380"/>
      <c r="E9" s="4380"/>
      <c r="F9" s="4380"/>
      <c r="G9" s="4380"/>
      <c r="H9" s="4380"/>
      <c r="I9" s="4380"/>
      <c r="J9" s="479"/>
      <c r="K9" s="95"/>
    </row>
    <row r="10" spans="1:12">
      <c r="A10" s="4380"/>
      <c r="B10" s="4380"/>
      <c r="C10" s="4380"/>
      <c r="D10" s="4380"/>
      <c r="E10" s="4380"/>
      <c r="F10" s="4380"/>
      <c r="G10" s="4380"/>
      <c r="H10" s="4380"/>
      <c r="I10" s="4380"/>
      <c r="J10" s="479"/>
    </row>
    <row r="11" spans="1:12">
      <c r="A11" s="4380"/>
      <c r="B11" s="4380"/>
      <c r="C11" s="4380"/>
      <c r="D11" s="4380"/>
      <c r="E11" s="4380"/>
      <c r="F11" s="4380"/>
      <c r="G11" s="4380"/>
      <c r="H11" s="4380"/>
      <c r="I11" s="4380"/>
      <c r="J11" s="479"/>
    </row>
    <row r="12" spans="1:12">
      <c r="A12" s="4380"/>
      <c r="B12" s="4380"/>
      <c r="C12" s="4380"/>
      <c r="D12" s="4380"/>
      <c r="E12" s="4380"/>
      <c r="F12" s="4380"/>
      <c r="G12" s="4380"/>
      <c r="H12" s="4380"/>
      <c r="I12" s="4380"/>
      <c r="J12" s="3160" t="s">
        <v>12716</v>
      </c>
    </row>
  </sheetData>
  <mergeCells count="2">
    <mergeCell ref="B1:I2"/>
    <mergeCell ref="A7:I12"/>
  </mergeCells>
  <phoneticPr fontId="378" type="noConversion"/>
  <dataValidations count="1">
    <dataValidation type="list" allowBlank="1" showInputMessage="1" showErrorMessage="1" sqref="A4">
      <formula1>"A3,45#,光板,光扁,镀铬棒,铝管,纤维板,电木,铝排"</formula1>
    </dataValidation>
  </dataValidations>
  <hyperlinks>
    <hyperlink ref="J12" location="总目录!A1" display="总目录!A1"/>
  </hyperlinks>
  <pageMargins left="0.75" right="0.75" top="1" bottom="1" header="0.50902777777777797" footer="0.50902777777777797"/>
  <pageSetup paperSize="9" orientation="portrait"/>
  <headerFooter scaleWithDoc="0"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showZeros="0" workbookViewId="0">
      <selection activeCell="F20" sqref="F20"/>
    </sheetView>
  </sheetViews>
  <sheetFormatPr defaultColWidth="9" defaultRowHeight="16.5"/>
  <cols>
    <col min="1" max="1" width="3.5" style="67"/>
    <col min="2" max="2" width="29.25"/>
    <col min="3" max="3" width="6.5"/>
    <col min="4" max="4" width="17.25" customWidth="1"/>
    <col min="5" max="5" width="3" customWidth="1"/>
    <col min="6" max="6" width="27.25" customWidth="1"/>
    <col min="7" max="7" width="13.125"/>
    <col min="8" max="8" width="11.125"/>
    <col min="9" max="10" width="6.125"/>
    <col min="12" max="12" width="14.75"/>
  </cols>
  <sheetData>
    <row r="1" spans="1:14" ht="24.95" customHeight="1">
      <c r="A1" s="4386" t="s">
        <v>10308</v>
      </c>
      <c r="B1" s="4387"/>
      <c r="C1" s="4387"/>
      <c r="D1" s="4388"/>
      <c r="E1" s="948"/>
      <c r="F1" s="4392" t="s">
        <v>10309</v>
      </c>
      <c r="G1" s="4393"/>
      <c r="H1" s="4393"/>
      <c r="I1" s="4393"/>
      <c r="J1" s="4393"/>
    </row>
    <row r="2" spans="1:14" ht="15" customHeight="1">
      <c r="A2" s="4389"/>
      <c r="B2" s="4390"/>
      <c r="C2" s="4390"/>
      <c r="D2" s="4391"/>
      <c r="F2" s="4382" t="s">
        <v>1904</v>
      </c>
      <c r="G2" s="4384" t="s">
        <v>10310</v>
      </c>
      <c r="H2" s="4384" t="s">
        <v>10311</v>
      </c>
      <c r="I2" s="4394" t="s">
        <v>10312</v>
      </c>
      <c r="J2" s="4395"/>
    </row>
    <row r="3" spans="1:14" ht="20.100000000000001" customHeight="1">
      <c r="A3" s="949">
        <v>1</v>
      </c>
      <c r="B3" s="950" t="s">
        <v>10313</v>
      </c>
      <c r="C3" s="951" t="s">
        <v>10314</v>
      </c>
      <c r="D3" s="952">
        <v>30</v>
      </c>
      <c r="F3" s="4383"/>
      <c r="G3" s="4385"/>
      <c r="H3" s="4385"/>
      <c r="I3" s="822" t="s">
        <v>10315</v>
      </c>
      <c r="J3" s="940" t="s">
        <v>10316</v>
      </c>
    </row>
    <row r="4" spans="1:14" ht="20.100000000000001" customHeight="1">
      <c r="A4" s="949">
        <v>2</v>
      </c>
      <c r="B4" s="950" t="s">
        <v>10317</v>
      </c>
      <c r="C4" s="951" t="s">
        <v>10318</v>
      </c>
      <c r="D4" s="952">
        <v>2</v>
      </c>
      <c r="F4" s="941" t="s">
        <v>10319</v>
      </c>
      <c r="G4" s="942" t="s">
        <v>10320</v>
      </c>
      <c r="H4" s="942" t="s">
        <v>10321</v>
      </c>
      <c r="I4" s="822">
        <v>11</v>
      </c>
      <c r="J4" s="940">
        <v>-8.5</v>
      </c>
    </row>
    <row r="5" spans="1:14" ht="20.100000000000001" customHeight="1">
      <c r="A5" s="949">
        <v>3</v>
      </c>
      <c r="B5" s="950" t="s">
        <v>10322</v>
      </c>
      <c r="C5" s="950" t="s">
        <v>10323</v>
      </c>
      <c r="D5" s="952">
        <v>3</v>
      </c>
      <c r="F5" s="941" t="s">
        <v>10324</v>
      </c>
      <c r="G5" s="942" t="s">
        <v>10325</v>
      </c>
      <c r="H5" s="942" t="s">
        <v>10326</v>
      </c>
      <c r="I5" s="822">
        <v>11</v>
      </c>
      <c r="J5" s="940">
        <v>-9</v>
      </c>
    </row>
    <row r="6" spans="1:14" ht="20.100000000000001" customHeight="1">
      <c r="A6" s="949">
        <v>4</v>
      </c>
      <c r="B6" s="950" t="s">
        <v>10327</v>
      </c>
      <c r="C6" s="951" t="s">
        <v>10328</v>
      </c>
      <c r="D6" s="952">
        <v>4</v>
      </c>
      <c r="F6" s="941" t="s">
        <v>10329</v>
      </c>
      <c r="G6" s="942" t="s">
        <v>10330</v>
      </c>
      <c r="H6" s="942" t="s">
        <v>10331</v>
      </c>
      <c r="I6" s="822">
        <v>10</v>
      </c>
      <c r="J6" s="940">
        <v>-8</v>
      </c>
    </row>
    <row r="7" spans="1:14" ht="20.100000000000001" customHeight="1">
      <c r="A7" s="949">
        <v>5</v>
      </c>
      <c r="B7" s="950" t="s">
        <v>10332</v>
      </c>
      <c r="C7" s="951" t="s">
        <v>10333</v>
      </c>
      <c r="D7" s="952">
        <v>5</v>
      </c>
      <c r="F7" s="941" t="s">
        <v>6184</v>
      </c>
      <c r="G7" s="942" t="s">
        <v>10334</v>
      </c>
      <c r="H7" s="942">
        <v>0.25</v>
      </c>
      <c r="I7" s="822">
        <v>10</v>
      </c>
      <c r="J7" s="940">
        <v>-8</v>
      </c>
    </row>
    <row r="8" spans="1:14" ht="20.100000000000001" customHeight="1">
      <c r="A8" s="949">
        <v>6</v>
      </c>
      <c r="B8" s="950" t="s">
        <v>10335</v>
      </c>
      <c r="C8" s="951" t="s">
        <v>10336</v>
      </c>
      <c r="D8" s="952">
        <v>6</v>
      </c>
      <c r="F8" s="941" t="s">
        <v>10337</v>
      </c>
      <c r="G8" s="942" t="s">
        <v>10338</v>
      </c>
      <c r="H8" s="822" t="s">
        <v>10339</v>
      </c>
      <c r="I8" s="822">
        <v>10</v>
      </c>
      <c r="J8" s="940">
        <v>-8</v>
      </c>
    </row>
    <row r="9" spans="1:14" ht="20.100000000000001" customHeight="1">
      <c r="A9" s="949">
        <v>7</v>
      </c>
      <c r="B9" s="950" t="s">
        <v>10340</v>
      </c>
      <c r="C9" s="951" t="s">
        <v>10341</v>
      </c>
      <c r="D9" s="952">
        <v>7</v>
      </c>
      <c r="F9" s="943" t="s">
        <v>10342</v>
      </c>
      <c r="G9" s="944">
        <v>85</v>
      </c>
      <c r="H9" s="945">
        <v>0.35</v>
      </c>
      <c r="I9" s="944">
        <v>17</v>
      </c>
      <c r="J9" s="946">
        <v>-15</v>
      </c>
    </row>
    <row r="10" spans="1:14" ht="20.100000000000001" customHeight="1">
      <c r="A10" s="949">
        <v>8</v>
      </c>
      <c r="B10" s="950" t="s">
        <v>10311</v>
      </c>
      <c r="C10" s="951" t="s">
        <v>8083</v>
      </c>
      <c r="D10" s="952">
        <v>8</v>
      </c>
      <c r="F10" s="4392" t="s">
        <v>1461</v>
      </c>
      <c r="G10" s="4393"/>
      <c r="H10" s="4393"/>
    </row>
    <row r="11" spans="1:14" ht="20.100000000000001" customHeight="1">
      <c r="A11" s="949">
        <v>9</v>
      </c>
      <c r="B11" s="953" t="s">
        <v>1461</v>
      </c>
      <c r="C11" s="953" t="s">
        <v>9625</v>
      </c>
      <c r="D11" s="952">
        <v>9</v>
      </c>
      <c r="F11" s="954" t="s">
        <v>1904</v>
      </c>
      <c r="G11" s="822" t="s">
        <v>10343</v>
      </c>
      <c r="H11" s="940" t="s">
        <v>10344</v>
      </c>
    </row>
    <row r="12" spans="1:14" ht="20.100000000000001" customHeight="1">
      <c r="A12" s="949">
        <v>10</v>
      </c>
      <c r="B12" s="955" t="s">
        <v>10345</v>
      </c>
      <c r="C12" s="956" t="s">
        <v>10346</v>
      </c>
      <c r="D12" s="957">
        <f>(D8*D8+D3*D3)/(D8*D8-D3*D3)+D10</f>
        <v>6.9166666666666696</v>
      </c>
      <c r="F12" s="941" t="s">
        <v>10347</v>
      </c>
      <c r="G12" s="942" t="s">
        <v>10348</v>
      </c>
      <c r="H12" s="958" t="s">
        <v>10349</v>
      </c>
    </row>
    <row r="13" spans="1:14" ht="20.100000000000001" customHeight="1">
      <c r="A13" s="949">
        <v>11</v>
      </c>
      <c r="B13" s="955" t="s">
        <v>10350</v>
      </c>
      <c r="C13" s="956" t="s">
        <v>10351</v>
      </c>
      <c r="D13" s="957">
        <f>(D3*D3+D9*D9)/(D3*D3-D9*D9)-D10</f>
        <v>-6.8848413631022298</v>
      </c>
      <c r="F13" s="941" t="s">
        <v>10352</v>
      </c>
      <c r="G13" s="822">
        <v>0.11</v>
      </c>
      <c r="H13" s="940">
        <v>7.0000000000000007E-2</v>
      </c>
    </row>
    <row r="14" spans="1:14" ht="20.100000000000001" customHeight="1">
      <c r="A14" s="949">
        <v>12</v>
      </c>
      <c r="B14" s="955" t="s">
        <v>10353</v>
      </c>
      <c r="C14" s="956" t="s">
        <v>10354</v>
      </c>
      <c r="D14" s="957">
        <f>D5/(D3*(D12/D6+D13/D7))</f>
        <v>0.28393088012456003</v>
      </c>
      <c r="F14" s="941" t="s">
        <v>10355</v>
      </c>
      <c r="G14" s="822">
        <v>0.1</v>
      </c>
      <c r="H14" s="940">
        <v>0.08</v>
      </c>
      <c r="I14" s="947"/>
      <c r="J14" s="947"/>
    </row>
    <row r="15" spans="1:14" ht="20.100000000000001" customHeight="1">
      <c r="A15" s="949">
        <v>13</v>
      </c>
      <c r="B15" s="955"/>
      <c r="C15" s="956"/>
      <c r="D15" s="959"/>
      <c r="F15" s="941" t="s">
        <v>10356</v>
      </c>
      <c r="G15" s="822">
        <v>0.11</v>
      </c>
      <c r="H15" s="940">
        <v>7.0000000000000007E-2</v>
      </c>
    </row>
    <row r="16" spans="1:14" s="947" customFormat="1" ht="27.75">
      <c r="A16" s="960">
        <v>14</v>
      </c>
      <c r="B16" s="961" t="s">
        <v>10357</v>
      </c>
      <c r="C16" s="962" t="s">
        <v>6370</v>
      </c>
      <c r="D16" s="963">
        <f>D14*3.14159*D3*D4*D11/9.8</f>
        <v>49.1507125911101</v>
      </c>
      <c r="F16" s="941" t="s">
        <v>10358</v>
      </c>
      <c r="G16" s="942" t="s">
        <v>10359</v>
      </c>
      <c r="H16" s="958" t="s">
        <v>10360</v>
      </c>
      <c r="I16"/>
      <c r="J16"/>
      <c r="L16"/>
      <c r="M16"/>
      <c r="N16"/>
    </row>
    <row r="17" spans="2:8">
      <c r="B17" s="4396" t="s">
        <v>10361</v>
      </c>
      <c r="C17" s="4396"/>
      <c r="D17" s="4396"/>
      <c r="F17" s="941" t="s">
        <v>10362</v>
      </c>
      <c r="G17" s="942" t="s">
        <v>10363</v>
      </c>
      <c r="H17" s="958" t="s">
        <v>10364</v>
      </c>
    </row>
    <row r="18" spans="2:8">
      <c r="B18" s="4381" t="s">
        <v>10365</v>
      </c>
      <c r="C18" s="4381"/>
      <c r="D18" s="4381"/>
      <c r="F18" s="943" t="s">
        <v>10366</v>
      </c>
      <c r="G18" s="945" t="s">
        <v>10367</v>
      </c>
      <c r="H18" s="964" t="s">
        <v>10364</v>
      </c>
    </row>
    <row r="19" spans="2:8">
      <c r="B19" s="4381" t="s">
        <v>10368</v>
      </c>
      <c r="C19" s="4381"/>
      <c r="D19" s="4381"/>
    </row>
    <row r="20" spans="2:8" ht="24.95" customHeight="1">
      <c r="F20" s="3177" t="s">
        <v>12716</v>
      </c>
    </row>
    <row r="21" spans="2:8" ht="24.95" customHeight="1"/>
    <row r="22" spans="2:8" ht="24.95" customHeight="1"/>
    <row r="23" spans="2:8" ht="24.95" customHeight="1">
      <c r="F23">
        <v>0</v>
      </c>
    </row>
    <row r="24" spans="2:8" ht="24.95" customHeight="1"/>
    <row r="25" spans="2:8" ht="24.95" customHeight="1"/>
    <row r="26" spans="2:8" ht="24.95" customHeight="1"/>
  </sheetData>
  <mergeCells count="10">
    <mergeCell ref="B19:D19"/>
    <mergeCell ref="F2:F3"/>
    <mergeCell ref="G2:G3"/>
    <mergeCell ref="H2:H3"/>
    <mergeCell ref="A1:D2"/>
    <mergeCell ref="F1:J1"/>
    <mergeCell ref="I2:J2"/>
    <mergeCell ref="F10:H10"/>
    <mergeCell ref="B17:D17"/>
    <mergeCell ref="B18:D18"/>
  </mergeCells>
  <phoneticPr fontId="378" type="noConversion"/>
  <hyperlinks>
    <hyperlink ref="F20" location="总目录!A1" display="总目录!A1"/>
  </hyperlinks>
  <pageMargins left="0.75" right="0.75" top="1" bottom="1" header="0.5" footer="0.5"/>
  <pageSetup paperSize="9" orientation="portrait"/>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C10" sqref="C10"/>
    </sheetView>
  </sheetViews>
  <sheetFormatPr defaultColWidth="9" defaultRowHeight="16.5"/>
  <cols>
    <col min="1" max="1" width="29.375"/>
    <col min="2" max="2" width="12.125"/>
    <col min="3" max="3" width="10.5"/>
    <col min="4" max="5" width="5.5"/>
  </cols>
  <sheetData>
    <row r="1" spans="1:5" ht="25.5">
      <c r="A1" s="4392" t="s">
        <v>10309</v>
      </c>
      <c r="B1" s="4393"/>
      <c r="C1" s="4393"/>
      <c r="D1" s="4393"/>
      <c r="E1" s="4393"/>
    </row>
    <row r="2" spans="1:5" ht="35.25" customHeight="1">
      <c r="A2" s="4382" t="s">
        <v>1904</v>
      </c>
      <c r="B2" s="4384" t="s">
        <v>10310</v>
      </c>
      <c r="C2" s="4384" t="s">
        <v>10311</v>
      </c>
      <c r="D2" s="4397" t="s">
        <v>10312</v>
      </c>
      <c r="E2" s="4398"/>
    </row>
    <row r="3" spans="1:5" ht="35.25" customHeight="1">
      <c r="A3" s="4383"/>
      <c r="B3" s="4385"/>
      <c r="C3" s="4385"/>
      <c r="D3" s="822" t="s">
        <v>10315</v>
      </c>
      <c r="E3" s="940" t="s">
        <v>10316</v>
      </c>
    </row>
    <row r="4" spans="1:5">
      <c r="A4" s="941" t="s">
        <v>10319</v>
      </c>
      <c r="B4" s="942" t="s">
        <v>10320</v>
      </c>
      <c r="C4" s="942" t="s">
        <v>10321</v>
      </c>
      <c r="D4" s="822">
        <v>11</v>
      </c>
      <c r="E4" s="940">
        <v>-8.5</v>
      </c>
    </row>
    <row r="5" spans="1:5">
      <c r="A5" s="941" t="s">
        <v>10324</v>
      </c>
      <c r="B5" s="942" t="s">
        <v>10325</v>
      </c>
      <c r="C5" s="942" t="s">
        <v>10326</v>
      </c>
      <c r="D5" s="822">
        <v>11</v>
      </c>
      <c r="E5" s="940">
        <v>-9</v>
      </c>
    </row>
    <row r="6" spans="1:5">
      <c r="A6" s="941" t="s">
        <v>10329</v>
      </c>
      <c r="B6" s="942" t="s">
        <v>10330</v>
      </c>
      <c r="C6" s="942" t="s">
        <v>10331</v>
      </c>
      <c r="D6" s="822">
        <v>10</v>
      </c>
      <c r="E6" s="940">
        <v>-8</v>
      </c>
    </row>
    <row r="7" spans="1:5">
      <c r="A7" s="941" t="s">
        <v>6184</v>
      </c>
      <c r="B7" s="942" t="s">
        <v>10334</v>
      </c>
      <c r="C7" s="942">
        <v>0.25</v>
      </c>
      <c r="D7" s="822">
        <v>10</v>
      </c>
      <c r="E7" s="940">
        <v>-8</v>
      </c>
    </row>
    <row r="8" spans="1:5">
      <c r="A8" s="941" t="s">
        <v>10337</v>
      </c>
      <c r="B8" s="942" t="s">
        <v>10338</v>
      </c>
      <c r="C8" s="822" t="s">
        <v>10339</v>
      </c>
      <c r="D8" s="822">
        <v>10</v>
      </c>
      <c r="E8" s="940">
        <v>-8</v>
      </c>
    </row>
    <row r="9" spans="1:5">
      <c r="A9" s="943" t="s">
        <v>10342</v>
      </c>
      <c r="B9" s="944">
        <v>85</v>
      </c>
      <c r="C9" s="945">
        <v>0.35</v>
      </c>
      <c r="D9" s="944">
        <v>17</v>
      </c>
      <c r="E9" s="946">
        <v>-15</v>
      </c>
    </row>
    <row r="10" spans="1:5" ht="22.5">
      <c r="C10" s="3177" t="s">
        <v>12716</v>
      </c>
    </row>
  </sheetData>
  <mergeCells count="5">
    <mergeCell ref="A1:E1"/>
    <mergeCell ref="D2:E2"/>
    <mergeCell ref="A2:A3"/>
    <mergeCell ref="B2:B3"/>
    <mergeCell ref="C2:C3"/>
  </mergeCells>
  <phoneticPr fontId="378" type="noConversion"/>
  <hyperlinks>
    <hyperlink ref="C10" location="总目录!A1" display="总目录!A1"/>
  </hyperlinks>
  <pageMargins left="0.75" right="0.75" top="1" bottom="1" header="0.5" footer="0.5"/>
  <headerFooter alignWithMargins="0"/>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0"/>
  <sheetViews>
    <sheetView view="pageBreakPreview" zoomScaleNormal="100" zoomScaleSheetLayoutView="100" workbookViewId="0">
      <selection activeCell="K3" sqref="K3"/>
    </sheetView>
  </sheetViews>
  <sheetFormatPr defaultColWidth="9" defaultRowHeight="16.5"/>
  <cols>
    <col min="1" max="2" width="20.625" customWidth="1"/>
    <col min="3" max="3" width="30.625" customWidth="1"/>
    <col min="4" max="4" width="24.625" customWidth="1"/>
    <col min="5" max="5" width="20.625" customWidth="1"/>
  </cols>
  <sheetData>
    <row r="1" spans="1:5" ht="30" customHeight="1">
      <c r="A1" s="4038" t="s">
        <v>25</v>
      </c>
      <c r="B1" s="4038"/>
      <c r="C1" s="4038"/>
      <c r="D1" s="4038"/>
      <c r="E1" s="4038"/>
    </row>
    <row r="2" spans="1:5" ht="30" customHeight="1">
      <c r="A2" s="4399" t="s">
        <v>10369</v>
      </c>
      <c r="B2" s="4399"/>
      <c r="C2" s="4399"/>
      <c r="D2" s="4399"/>
      <c r="E2" s="4399"/>
    </row>
    <row r="3" spans="1:5" ht="30" customHeight="1">
      <c r="A3" s="937" t="s">
        <v>10370</v>
      </c>
      <c r="B3" s="937" t="s">
        <v>10371</v>
      </c>
      <c r="C3" s="937" t="s">
        <v>10372</v>
      </c>
      <c r="D3" s="937" t="s">
        <v>10373</v>
      </c>
      <c r="E3" s="937" t="s">
        <v>6730</v>
      </c>
    </row>
    <row r="4" spans="1:5" ht="30" customHeight="1">
      <c r="A4" s="938">
        <v>0.1</v>
      </c>
      <c r="B4" s="938">
        <v>1000</v>
      </c>
      <c r="C4" s="938">
        <v>0.85</v>
      </c>
      <c r="D4" s="937">
        <f>B4*A4/(1000*C4)</f>
        <v>0.11764705882352899</v>
      </c>
      <c r="E4" s="67"/>
    </row>
    <row r="5" spans="1:5" ht="30" customHeight="1">
      <c r="A5" s="4399" t="s">
        <v>10374</v>
      </c>
      <c r="B5" s="4399"/>
      <c r="C5" s="4399"/>
      <c r="D5" s="4399"/>
      <c r="E5" s="4399"/>
    </row>
    <row r="6" spans="1:5" ht="30" customHeight="1">
      <c r="A6" s="937" t="s">
        <v>10375</v>
      </c>
      <c r="B6" s="937" t="s">
        <v>10376</v>
      </c>
      <c r="C6" s="937" t="s">
        <v>10372</v>
      </c>
      <c r="D6" s="937" t="s">
        <v>10373</v>
      </c>
      <c r="E6" s="67"/>
    </row>
    <row r="7" spans="1:5" ht="30" customHeight="1">
      <c r="A7" s="938">
        <v>160</v>
      </c>
      <c r="B7" s="938">
        <v>15</v>
      </c>
      <c r="C7" s="938">
        <v>0.85</v>
      </c>
      <c r="D7" s="937">
        <f>A7*B7/(9550*C7)</f>
        <v>0.295657530027718</v>
      </c>
      <c r="E7" s="67"/>
    </row>
    <row r="8" spans="1:5" ht="30" customHeight="1">
      <c r="A8" s="4396" t="s">
        <v>10377</v>
      </c>
      <c r="B8" s="4396"/>
      <c r="C8" s="4396"/>
      <c r="D8" s="4396"/>
      <c r="E8" s="4396"/>
    </row>
    <row r="9" spans="1:5" ht="30" customHeight="1">
      <c r="A9" s="939" t="s">
        <v>10378</v>
      </c>
      <c r="B9" s="939" t="s">
        <v>10379</v>
      </c>
      <c r="C9" s="939" t="s">
        <v>10380</v>
      </c>
      <c r="D9" s="937" t="s">
        <v>10381</v>
      </c>
      <c r="E9" s="937" t="s">
        <v>10382</v>
      </c>
    </row>
    <row r="10" spans="1:5" ht="30" customHeight="1">
      <c r="A10" s="938">
        <v>1.5</v>
      </c>
      <c r="B10" s="938">
        <v>25</v>
      </c>
      <c r="C10" s="938">
        <v>1</v>
      </c>
      <c r="D10" s="67">
        <f>A10/B10*9550*C10</f>
        <v>573</v>
      </c>
      <c r="E10" s="67">
        <f>D10/10</f>
        <v>57.3</v>
      </c>
    </row>
  </sheetData>
  <mergeCells count="4">
    <mergeCell ref="A1:E1"/>
    <mergeCell ref="A2:E2"/>
    <mergeCell ref="A5:E5"/>
    <mergeCell ref="A8:E8"/>
  </mergeCells>
  <phoneticPr fontId="378" type="noConversion"/>
  <pageMargins left="0.75" right="0.75" top="1" bottom="1" header="0.5" footer="0.5"/>
  <pageSetup paperSize="9" orientation="landscape" r:id="rId1"/>
  <headerFooter scaleWithDoc="0" alignWithMargins="0"/>
  <legacy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A19" workbookViewId="0">
      <selection activeCell="K3" sqref="K3"/>
    </sheetView>
  </sheetViews>
  <sheetFormatPr defaultColWidth="9" defaultRowHeight="14.25"/>
  <cols>
    <col min="1" max="1" width="20.625" style="480" customWidth="1"/>
    <col min="2" max="2" width="18.625" style="480" customWidth="1"/>
    <col min="3" max="5" width="13.625" style="921" customWidth="1"/>
    <col min="6" max="16384" width="9" style="480"/>
  </cols>
  <sheetData>
    <row r="1" spans="1:7" ht="36.950000000000003" customHeight="1">
      <c r="A1" s="4400" t="s">
        <v>5</v>
      </c>
      <c r="B1" s="4400"/>
      <c r="C1" s="4400"/>
      <c r="D1" s="4400"/>
      <c r="E1" s="4400"/>
    </row>
    <row r="2" spans="1:7" ht="18.75">
      <c r="A2" s="4401" t="s">
        <v>10383</v>
      </c>
      <c r="B2" s="4401"/>
      <c r="C2" s="4401"/>
      <c r="D2" s="4401"/>
      <c r="E2" s="4401"/>
      <c r="G2" s="3162" t="s">
        <v>12704</v>
      </c>
    </row>
    <row r="3" spans="1:7" ht="18.75">
      <c r="A3" s="922" t="s">
        <v>6645</v>
      </c>
      <c r="B3" s="922" t="s">
        <v>1445</v>
      </c>
      <c r="C3" s="923" t="s">
        <v>10384</v>
      </c>
      <c r="D3" s="923" t="s">
        <v>10385</v>
      </c>
      <c r="E3" s="923" t="s">
        <v>10386</v>
      </c>
    </row>
    <row r="4" spans="1:7" ht="18.75">
      <c r="A4" s="918" t="s">
        <v>10387</v>
      </c>
      <c r="B4" s="924" t="s">
        <v>6334</v>
      </c>
      <c r="C4" s="925">
        <v>81</v>
      </c>
      <c r="D4" s="925">
        <v>21</v>
      </c>
      <c r="E4" s="925">
        <v>19</v>
      </c>
    </row>
    <row r="5" spans="1:7" ht="18.75">
      <c r="A5" s="926" t="s">
        <v>10388</v>
      </c>
      <c r="B5" s="924" t="s">
        <v>6336</v>
      </c>
      <c r="C5" s="925">
        <v>81</v>
      </c>
      <c r="D5" s="925">
        <v>21</v>
      </c>
      <c r="E5" s="925">
        <v>98</v>
      </c>
    </row>
    <row r="6" spans="1:7" ht="18.75">
      <c r="A6" s="926" t="s">
        <v>10389</v>
      </c>
      <c r="B6" s="927" t="s">
        <v>6088</v>
      </c>
      <c r="C6" s="925">
        <v>3</v>
      </c>
      <c r="D6" s="928"/>
      <c r="E6" s="928"/>
    </row>
    <row r="7" spans="1:7" ht="18.75">
      <c r="A7" s="929"/>
      <c r="B7" s="927" t="s">
        <v>10390</v>
      </c>
      <c r="C7" s="928">
        <v>3</v>
      </c>
      <c r="D7" s="925">
        <v>1.5</v>
      </c>
      <c r="E7" s="925">
        <v>10</v>
      </c>
    </row>
    <row r="8" spans="1:7" ht="18.75">
      <c r="A8" s="930"/>
      <c r="B8" s="931" t="s">
        <v>10391</v>
      </c>
      <c r="D8" s="932">
        <f>D10/((D4+D5)/2)</f>
        <v>28.84</v>
      </c>
      <c r="E8" s="932">
        <f>E7/COS(E9*3.1415/180)</f>
        <v>10.3527403859229</v>
      </c>
    </row>
    <row r="9" spans="1:7" ht="18.75">
      <c r="A9" s="930" t="s">
        <v>6594</v>
      </c>
      <c r="B9" s="924" t="s">
        <v>9611</v>
      </c>
      <c r="C9" s="928"/>
      <c r="D9" s="932" t="e">
        <f>ACOS(D8)</f>
        <v>#NUM!</v>
      </c>
      <c r="E9" s="925">
        <v>15</v>
      </c>
    </row>
    <row r="10" spans="1:7" ht="18.75">
      <c r="A10" s="918" t="s">
        <v>10392</v>
      </c>
      <c r="B10" s="924" t="s">
        <v>5928</v>
      </c>
      <c r="C10" s="933">
        <f>((C4*C6)+(C5*C6))/2</f>
        <v>243</v>
      </c>
      <c r="D10" s="925">
        <v>605.64</v>
      </c>
      <c r="E10" s="925">
        <v>605.64</v>
      </c>
    </row>
    <row r="11" spans="1:7" ht="18.75">
      <c r="A11" s="918" t="s">
        <v>10393</v>
      </c>
      <c r="B11" s="934" t="s">
        <v>10394</v>
      </c>
      <c r="C11" s="932">
        <f>C6*(C4+C5)/2</f>
        <v>243</v>
      </c>
      <c r="D11" s="932">
        <f>(D8*(D4+D5))/2</f>
        <v>605.64</v>
      </c>
      <c r="E11" s="932">
        <f>(E8*(E4+E5))/2</f>
        <v>605.63531257648697</v>
      </c>
    </row>
    <row r="12" spans="1:7" ht="18.75">
      <c r="A12" s="918" t="s">
        <v>10395</v>
      </c>
      <c r="B12" s="934" t="s">
        <v>6135</v>
      </c>
      <c r="C12" s="932">
        <f>(C10-C11)/C6</f>
        <v>0</v>
      </c>
      <c r="D12" s="932">
        <f>(D10-D11)/D8</f>
        <v>0</v>
      </c>
      <c r="E12" s="932">
        <f>(E10-E11)/E8</f>
        <v>4.5277127967505599E-4</v>
      </c>
    </row>
    <row r="13" spans="1:7" ht="18.75">
      <c r="A13" s="918" t="s">
        <v>10396</v>
      </c>
      <c r="B13" s="924" t="s">
        <v>6356</v>
      </c>
      <c r="C13" s="925">
        <v>20</v>
      </c>
      <c r="D13" s="925">
        <v>20</v>
      </c>
      <c r="E13" s="925">
        <v>20</v>
      </c>
    </row>
    <row r="14" spans="1:7" ht="18.75">
      <c r="A14" s="918" t="s">
        <v>10397</v>
      </c>
      <c r="B14" s="934" t="s">
        <v>10398</v>
      </c>
      <c r="C14" s="932">
        <f>ACOS((C11/C10)*COS(C13*3.1415/180))*180/3.1415</f>
        <v>20</v>
      </c>
      <c r="D14" s="932">
        <f>ACOS((D11/D10)*COS(D13*3.1415/180))*180/3.1415</f>
        <v>20</v>
      </c>
      <c r="E14" s="932">
        <f>ACOS((E11/E10)*COS(E13*3.1415/180))*180/3.1415</f>
        <v>20.001218401544701</v>
      </c>
    </row>
    <row r="15" spans="1:7" ht="18.75">
      <c r="A15" s="918" t="s">
        <v>10399</v>
      </c>
      <c r="B15" s="934" t="s">
        <v>10400</v>
      </c>
      <c r="C15" s="932">
        <f>(C4+C5)*(0.0166056-0.014904)/(2*TAN(C13*3.1415/180))</f>
        <v>0.37869584402156597</v>
      </c>
      <c r="D15" s="932"/>
      <c r="E15" s="932"/>
    </row>
    <row r="16" spans="1:7" ht="18.75">
      <c r="A16" s="918" t="s">
        <v>10401</v>
      </c>
      <c r="B16" s="934" t="s">
        <v>10402</v>
      </c>
      <c r="C16" s="935"/>
      <c r="D16" s="932"/>
      <c r="E16" s="932"/>
    </row>
    <row r="17" spans="1:7" ht="18.75">
      <c r="A17" s="926" t="s">
        <v>10401</v>
      </c>
      <c r="B17" s="934" t="s">
        <v>10403</v>
      </c>
      <c r="C17" s="935"/>
      <c r="D17" s="932"/>
      <c r="E17" s="932"/>
    </row>
    <row r="18" spans="1:7" ht="18.75">
      <c r="A18" s="926" t="s">
        <v>10404</v>
      </c>
      <c r="B18" s="931" t="s">
        <v>10405</v>
      </c>
      <c r="C18" s="932">
        <f>C15-C12</f>
        <v>0.37869584402156597</v>
      </c>
      <c r="D18" s="932"/>
      <c r="E18" s="932"/>
    </row>
    <row r="19" spans="1:7" ht="18.75">
      <c r="A19" s="930"/>
      <c r="B19" s="931" t="s">
        <v>10406</v>
      </c>
      <c r="C19" s="936"/>
      <c r="D19" s="932"/>
      <c r="E19" s="932"/>
    </row>
    <row r="20" spans="1:7" ht="18.75">
      <c r="A20" s="930" t="s">
        <v>10407</v>
      </c>
      <c r="B20" s="934" t="s">
        <v>10408</v>
      </c>
      <c r="C20" s="932">
        <f>C6*C4</f>
        <v>243</v>
      </c>
      <c r="D20" s="932">
        <f>D8*D4</f>
        <v>605.64</v>
      </c>
      <c r="E20" s="932">
        <f>E8*E4</f>
        <v>196.702067332534</v>
      </c>
    </row>
    <row r="21" spans="1:7" ht="18.75">
      <c r="A21" s="918" t="s">
        <v>10409</v>
      </c>
      <c r="B21" s="934" t="s">
        <v>10410</v>
      </c>
      <c r="C21" s="932">
        <f>C6*C5</f>
        <v>243</v>
      </c>
      <c r="D21" s="932">
        <f>D8*D5</f>
        <v>605.64</v>
      </c>
      <c r="E21" s="932">
        <f>E8*E5</f>
        <v>1014.56855782044</v>
      </c>
    </row>
    <row r="22" spans="1:7" ht="18.75">
      <c r="A22" s="918" t="s">
        <v>10411</v>
      </c>
      <c r="B22" s="934" t="s">
        <v>10412</v>
      </c>
      <c r="C22" s="932"/>
      <c r="D22" s="932"/>
      <c r="E22" s="932"/>
    </row>
    <row r="23" spans="1:7" ht="18.75">
      <c r="A23" s="918" t="s">
        <v>10413</v>
      </c>
      <c r="B23" s="934" t="s">
        <v>10414</v>
      </c>
      <c r="C23" s="936"/>
      <c r="D23" s="932"/>
      <c r="E23" s="932"/>
    </row>
    <row r="24" spans="1:7" ht="18.75">
      <c r="A24" s="918" t="s">
        <v>10415</v>
      </c>
      <c r="B24" s="934" t="s">
        <v>8104</v>
      </c>
      <c r="C24" s="936"/>
      <c r="D24" s="932"/>
      <c r="E24" s="932"/>
    </row>
    <row r="25" spans="1:7" ht="18.75">
      <c r="A25" s="918" t="s">
        <v>6660</v>
      </c>
      <c r="B25" s="934" t="s">
        <v>10416</v>
      </c>
      <c r="C25" s="936">
        <f>C20+2*C22</f>
        <v>243</v>
      </c>
      <c r="D25" s="932"/>
      <c r="E25" s="932"/>
    </row>
    <row r="26" spans="1:7" ht="18.75">
      <c r="A26" s="918" t="s">
        <v>6660</v>
      </c>
      <c r="B26" s="934" t="s">
        <v>10417</v>
      </c>
      <c r="C26" s="936">
        <f>C21+2*C22</f>
        <v>243</v>
      </c>
      <c r="D26" s="932"/>
      <c r="E26" s="932"/>
    </row>
    <row r="27" spans="1:7" ht="18.75">
      <c r="A27" s="918" t="s">
        <v>6665</v>
      </c>
      <c r="B27" s="934" t="s">
        <v>10418</v>
      </c>
      <c r="C27" s="936"/>
      <c r="D27" s="932"/>
      <c r="E27" s="932"/>
      <c r="G27" s="3162" t="s">
        <v>12704</v>
      </c>
    </row>
  </sheetData>
  <mergeCells count="2">
    <mergeCell ref="A1:E1"/>
    <mergeCell ref="A2:E2"/>
  </mergeCells>
  <phoneticPr fontId="378" type="noConversion"/>
  <hyperlinks>
    <hyperlink ref="G2" location="总目录!A1" display="返回目录"/>
    <hyperlink ref="G27" location="总目录!A1" display="返回目录"/>
  </hyperlinks>
  <printOptions horizontalCentered="1"/>
  <pageMargins left="0.34930555555555598" right="0.34930555555555598" top="0.78888888888888897" bottom="0.78888888888888897" header="0.50902777777777797" footer="0.50902777777777797"/>
  <pageSetup paperSize="9" orientation="portrait"/>
  <headerFooter scaleWithDoc="0" alignWithMargins="0"/>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
  <sheetViews>
    <sheetView workbookViewId="0">
      <pane ySplit="3" topLeftCell="A7" activePane="bottomLeft" state="frozen"/>
      <selection activeCell="K3" sqref="K3"/>
      <selection pane="bottomLeft" activeCell="K3" sqref="K3"/>
    </sheetView>
  </sheetViews>
  <sheetFormatPr defaultColWidth="9" defaultRowHeight="16.5"/>
  <cols>
    <col min="1" max="1" width="9" style="892"/>
    <col min="2" max="2" width="13.125" style="892" customWidth="1"/>
    <col min="3" max="3" width="5.125" style="892" customWidth="1"/>
    <col min="4" max="4" width="6.75" style="892" customWidth="1"/>
    <col min="5" max="5" width="5" style="892" customWidth="1"/>
    <col min="6" max="6" width="19" style="892" customWidth="1"/>
    <col min="7" max="7" width="9" style="909"/>
    <col min="8" max="8" width="19" style="892" customWidth="1"/>
    <col min="9" max="9" width="9" style="909"/>
    <col min="10" max="16384" width="9" style="892"/>
  </cols>
  <sheetData>
    <row r="1" spans="1:10" ht="22.5">
      <c r="B1" s="4402" t="s">
        <v>10419</v>
      </c>
      <c r="C1" s="4402"/>
      <c r="D1" s="4402"/>
      <c r="E1" s="4402"/>
      <c r="F1" s="4402"/>
      <c r="G1" s="4402"/>
      <c r="H1" s="4402"/>
    </row>
    <row r="2" spans="1:10">
      <c r="B2" s="4419" t="s">
        <v>6672</v>
      </c>
      <c r="C2" s="4420"/>
      <c r="D2" s="4421"/>
      <c r="E2" s="3398" t="s">
        <v>1445</v>
      </c>
      <c r="F2" s="3398" t="s">
        <v>10420</v>
      </c>
      <c r="G2" s="3398"/>
      <c r="H2" s="3398"/>
      <c r="I2" s="3398"/>
      <c r="J2" s="3162" t="s">
        <v>12704</v>
      </c>
    </row>
    <row r="3" spans="1:10">
      <c r="B3" s="4422"/>
      <c r="C3" s="4423"/>
      <c r="D3" s="4424"/>
      <c r="E3" s="3398"/>
      <c r="F3" s="894" t="s">
        <v>1632</v>
      </c>
      <c r="G3" s="910" t="s">
        <v>1633</v>
      </c>
      <c r="H3" s="894"/>
      <c r="I3" s="910"/>
    </row>
    <row r="4" spans="1:10">
      <c r="A4" s="4415" t="s">
        <v>6473</v>
      </c>
      <c r="B4" s="4403" t="s">
        <v>6092</v>
      </c>
      <c r="C4" s="4404"/>
      <c r="D4" s="4405"/>
      <c r="E4" s="894" t="s">
        <v>10421</v>
      </c>
      <c r="F4" s="911"/>
      <c r="G4" s="912">
        <v>24</v>
      </c>
      <c r="H4" s="911"/>
      <c r="I4" s="914"/>
    </row>
    <row r="5" spans="1:10">
      <c r="A5" s="4415"/>
      <c r="B5" s="4403" t="s">
        <v>10389</v>
      </c>
      <c r="C5" s="4404"/>
      <c r="D5" s="4405"/>
      <c r="E5" s="894" t="s">
        <v>6407</v>
      </c>
      <c r="F5" s="911"/>
      <c r="G5" s="912">
        <v>1.5</v>
      </c>
      <c r="H5" s="911"/>
      <c r="I5" s="914"/>
    </row>
    <row r="6" spans="1:10">
      <c r="A6" s="4415"/>
      <c r="B6" s="4403" t="s">
        <v>10422</v>
      </c>
      <c r="C6" s="4404"/>
      <c r="D6" s="4405"/>
      <c r="E6" s="894" t="s">
        <v>10423</v>
      </c>
      <c r="F6" s="911" t="s">
        <v>10424</v>
      </c>
      <c r="G6" s="912">
        <v>1</v>
      </c>
      <c r="H6" s="911"/>
      <c r="I6" s="914"/>
    </row>
    <row r="7" spans="1:10">
      <c r="A7" s="4415"/>
      <c r="B7" s="4403" t="s">
        <v>10425</v>
      </c>
      <c r="C7" s="4404"/>
      <c r="D7" s="4405"/>
      <c r="E7" s="894" t="s">
        <v>10426</v>
      </c>
      <c r="F7" s="911" t="s">
        <v>10427</v>
      </c>
      <c r="G7" s="912">
        <v>0.25</v>
      </c>
      <c r="H7" s="911"/>
      <c r="I7" s="914"/>
    </row>
    <row r="8" spans="1:10">
      <c r="A8" s="4415"/>
      <c r="B8" s="4403" t="s">
        <v>10428</v>
      </c>
      <c r="C8" s="4404"/>
      <c r="D8" s="4405"/>
      <c r="E8" s="484" t="s">
        <v>6356</v>
      </c>
      <c r="F8" s="911" t="s">
        <v>10429</v>
      </c>
      <c r="G8" s="912">
        <v>20</v>
      </c>
      <c r="H8" s="911"/>
      <c r="I8" s="914"/>
    </row>
    <row r="9" spans="1:10">
      <c r="A9" s="4415"/>
      <c r="B9" s="4406" t="s">
        <v>10430</v>
      </c>
      <c r="C9" s="4407"/>
      <c r="D9" s="4408"/>
      <c r="E9" s="894" t="s">
        <v>707</v>
      </c>
      <c r="F9" s="911"/>
      <c r="G9" s="910">
        <v>0</v>
      </c>
      <c r="H9" s="911"/>
      <c r="I9" s="920"/>
    </row>
    <row r="10" spans="1:10">
      <c r="A10" s="4415"/>
      <c r="B10" s="3466" t="s">
        <v>10431</v>
      </c>
      <c r="C10" s="3467"/>
      <c r="D10" s="3468"/>
      <c r="E10" s="894" t="s">
        <v>6326</v>
      </c>
      <c r="F10" s="913" t="s">
        <v>10432</v>
      </c>
      <c r="G10" s="910">
        <f>3.1415*G12*G11/60</f>
        <v>94.245000000000005</v>
      </c>
      <c r="H10" s="911"/>
      <c r="I10" s="920"/>
    </row>
    <row r="11" spans="1:10">
      <c r="A11" s="4415"/>
      <c r="B11" s="4409" t="s">
        <v>10433</v>
      </c>
      <c r="C11" s="4410"/>
      <c r="D11" s="4411"/>
      <c r="E11" s="894" t="s">
        <v>10434</v>
      </c>
      <c r="F11" s="913"/>
      <c r="G11" s="914">
        <v>50</v>
      </c>
      <c r="H11" s="911"/>
      <c r="I11" s="914"/>
    </row>
    <row r="12" spans="1:10">
      <c r="A12" s="4415"/>
      <c r="B12" s="4412" t="s">
        <v>10435</v>
      </c>
      <c r="C12" s="4413"/>
      <c r="D12" s="4414"/>
      <c r="E12" s="915" t="s">
        <v>6565</v>
      </c>
      <c r="F12" s="916" t="s">
        <v>10436</v>
      </c>
      <c r="G12" s="917">
        <f>G5*G4</f>
        <v>36</v>
      </c>
      <c r="H12" s="911"/>
      <c r="I12" s="920"/>
    </row>
    <row r="13" spans="1:10">
      <c r="A13" s="4415"/>
      <c r="B13" s="4419" t="s">
        <v>10437</v>
      </c>
      <c r="C13" s="4420"/>
      <c r="D13" s="4421"/>
      <c r="E13" s="4417" t="s">
        <v>10438</v>
      </c>
      <c r="F13" s="911" t="s">
        <v>10439</v>
      </c>
      <c r="G13" s="910">
        <f>(G6+G9)*G5</f>
        <v>1.5</v>
      </c>
      <c r="H13" s="911"/>
      <c r="I13" s="920"/>
    </row>
    <row r="14" spans="1:10">
      <c r="A14" s="4415"/>
      <c r="B14" s="4422"/>
      <c r="C14" s="4423"/>
      <c r="D14" s="4424"/>
      <c r="E14" s="4418"/>
      <c r="F14" s="911" t="s">
        <v>10440</v>
      </c>
      <c r="G14" s="910">
        <f>G6*G5</f>
        <v>1.5</v>
      </c>
      <c r="H14" s="911"/>
      <c r="I14" s="910"/>
    </row>
    <row r="15" spans="1:10">
      <c r="A15" s="4415"/>
      <c r="B15" s="4419" t="s">
        <v>10441</v>
      </c>
      <c r="C15" s="4420"/>
      <c r="D15" s="4421"/>
      <c r="E15" s="4417" t="s">
        <v>10442</v>
      </c>
      <c r="F15" s="911" t="s">
        <v>10443</v>
      </c>
      <c r="G15" s="910">
        <f>(G6+G7-G9)*G5</f>
        <v>1.875</v>
      </c>
      <c r="H15" s="911"/>
      <c r="I15" s="910"/>
    </row>
    <row r="16" spans="1:10">
      <c r="A16" s="4415"/>
      <c r="B16" s="4422"/>
      <c r="C16" s="4423"/>
      <c r="D16" s="4424"/>
      <c r="E16" s="4418"/>
      <c r="F16" s="911" t="s">
        <v>10444</v>
      </c>
      <c r="G16" s="910">
        <f>(G6+G7)*G5</f>
        <v>1.875</v>
      </c>
      <c r="H16" s="911"/>
      <c r="I16" s="910"/>
    </row>
    <row r="17" spans="1:10">
      <c r="A17" s="4415"/>
      <c r="B17" s="4419" t="s">
        <v>9902</v>
      </c>
      <c r="C17" s="4420"/>
      <c r="D17" s="4421"/>
      <c r="E17" s="4417" t="s">
        <v>8104</v>
      </c>
      <c r="F17" s="911" t="s">
        <v>10445</v>
      </c>
      <c r="G17" s="910">
        <f>G13+G15</f>
        <v>3.375</v>
      </c>
      <c r="H17" s="911"/>
      <c r="I17" s="910"/>
    </row>
    <row r="18" spans="1:10">
      <c r="A18" s="4415"/>
      <c r="B18" s="4422"/>
      <c r="C18" s="4423"/>
      <c r="D18" s="4424"/>
      <c r="E18" s="4418"/>
      <c r="F18" s="911" t="s">
        <v>10446</v>
      </c>
      <c r="G18" s="910">
        <f>G14+G16</f>
        <v>3.375</v>
      </c>
      <c r="H18" s="911"/>
      <c r="I18" s="910"/>
    </row>
    <row r="19" spans="1:10">
      <c r="A19" s="4415"/>
      <c r="B19" s="4412" t="s">
        <v>10447</v>
      </c>
      <c r="C19" s="4413"/>
      <c r="D19" s="4414"/>
      <c r="E19" s="915" t="s">
        <v>10448</v>
      </c>
      <c r="F19" s="916" t="s">
        <v>10449</v>
      </c>
      <c r="G19" s="917">
        <f>G12+2*G13</f>
        <v>39</v>
      </c>
      <c r="H19" s="894"/>
      <c r="I19" s="910"/>
    </row>
    <row r="20" spans="1:10">
      <c r="A20" s="4415"/>
      <c r="B20" s="4406" t="s">
        <v>10450</v>
      </c>
      <c r="C20" s="4407"/>
      <c r="D20" s="4408"/>
      <c r="E20" s="894" t="s">
        <v>10451</v>
      </c>
      <c r="F20" s="911" t="s">
        <v>10452</v>
      </c>
      <c r="G20" s="910">
        <f>G12-2*G15</f>
        <v>32.25</v>
      </c>
      <c r="H20" s="894"/>
      <c r="I20" s="910"/>
    </row>
    <row r="21" spans="1:10">
      <c r="A21" s="4415"/>
      <c r="B21" s="4406" t="s">
        <v>10453</v>
      </c>
      <c r="C21" s="4407"/>
      <c r="D21" s="4408"/>
      <c r="E21" s="894" t="s">
        <v>6370</v>
      </c>
      <c r="F21" s="911" t="s">
        <v>10454</v>
      </c>
      <c r="G21" s="910">
        <f>3.1415*G5</f>
        <v>4.71225</v>
      </c>
      <c r="H21" s="894"/>
      <c r="I21" s="910"/>
    </row>
    <row r="22" spans="1:10" ht="28.5" customHeight="1">
      <c r="A22" s="4415"/>
      <c r="B22" s="3466" t="s">
        <v>10455</v>
      </c>
      <c r="C22" s="3467"/>
      <c r="D22" s="3468"/>
      <c r="E22" s="894" t="s">
        <v>6556</v>
      </c>
      <c r="F22" s="911" t="s">
        <v>10456</v>
      </c>
      <c r="G22" s="910">
        <f>G12/2+G9*G5</f>
        <v>18</v>
      </c>
      <c r="H22" s="894"/>
      <c r="I22" s="910"/>
    </row>
    <row r="23" spans="1:10">
      <c r="A23" s="4415"/>
      <c r="B23" s="4406" t="s">
        <v>10457</v>
      </c>
      <c r="C23" s="4407"/>
      <c r="D23" s="4408"/>
      <c r="E23" s="894" t="s">
        <v>10458</v>
      </c>
      <c r="F23" s="911" t="s">
        <v>10459</v>
      </c>
      <c r="G23" s="910">
        <f>G12*COS(G8)</f>
        <v>14.6909542252821</v>
      </c>
      <c r="H23" s="894"/>
      <c r="I23" s="910"/>
    </row>
    <row r="24" spans="1:10" ht="18.75">
      <c r="B24" s="4406" t="s">
        <v>10460</v>
      </c>
      <c r="C24" s="4407"/>
      <c r="D24" s="4408"/>
      <c r="E24" s="760" t="s">
        <v>10461</v>
      </c>
      <c r="F24" s="918" t="s">
        <v>10462</v>
      </c>
      <c r="G24" s="910">
        <f>DEGREES(ACOS(G23/G19))</f>
        <v>67.871126130091099</v>
      </c>
      <c r="H24" s="894"/>
      <c r="I24" s="910"/>
    </row>
    <row r="25" spans="1:10" ht="30" customHeight="1">
      <c r="B25" s="3397" t="s">
        <v>10463</v>
      </c>
      <c r="C25" s="4416" t="s">
        <v>9019</v>
      </c>
      <c r="D25" s="911" t="s">
        <v>10464</v>
      </c>
      <c r="E25" s="894"/>
      <c r="F25" s="911"/>
      <c r="G25" s="910"/>
      <c r="H25" s="894"/>
      <c r="I25" s="910"/>
    </row>
    <row r="26" spans="1:10" ht="23.25" customHeight="1">
      <c r="B26" s="3397"/>
      <c r="C26" s="4416"/>
      <c r="D26" s="3397" t="s">
        <v>10465</v>
      </c>
      <c r="E26" s="894"/>
      <c r="F26" s="911"/>
      <c r="G26" s="910"/>
      <c r="H26" s="894"/>
      <c r="I26" s="910"/>
    </row>
    <row r="27" spans="1:10" ht="22.5" customHeight="1">
      <c r="B27" s="3397"/>
      <c r="C27" s="4416"/>
      <c r="D27" s="3397"/>
      <c r="E27" s="894"/>
      <c r="F27" s="911"/>
      <c r="G27" s="910"/>
      <c r="H27" s="894"/>
      <c r="I27" s="910"/>
    </row>
    <row r="28" spans="1:10">
      <c r="B28" s="3397"/>
      <c r="C28" s="3398" t="s">
        <v>9021</v>
      </c>
      <c r="D28" s="3398"/>
      <c r="E28" s="894"/>
      <c r="F28" s="911"/>
      <c r="G28" s="910"/>
      <c r="H28" s="894"/>
      <c r="I28" s="910"/>
    </row>
    <row r="29" spans="1:10">
      <c r="B29" s="3397"/>
      <c r="C29" s="3398" t="s">
        <v>9023</v>
      </c>
      <c r="D29" s="3398"/>
      <c r="E29" s="894"/>
      <c r="F29" s="894"/>
      <c r="G29" s="910"/>
      <c r="H29" s="894"/>
      <c r="I29" s="910"/>
      <c r="J29" s="3162" t="s">
        <v>12704</v>
      </c>
    </row>
    <row r="30" spans="1:10">
      <c r="B30" s="919"/>
      <c r="C30" s="919"/>
      <c r="D30" s="919"/>
    </row>
    <row r="31" spans="1:10">
      <c r="B31" s="919"/>
      <c r="C31" s="919"/>
      <c r="D31" s="919"/>
    </row>
    <row r="32" spans="1:10">
      <c r="B32" s="919"/>
      <c r="C32" s="919"/>
      <c r="D32" s="919"/>
    </row>
    <row r="33" spans="2:4">
      <c r="B33" s="919"/>
      <c r="C33" s="919"/>
      <c r="D33" s="919"/>
    </row>
    <row r="34" spans="2:4">
      <c r="B34" s="919"/>
      <c r="C34" s="919"/>
      <c r="D34" s="919"/>
    </row>
    <row r="35" spans="2:4">
      <c r="B35" s="919"/>
      <c r="C35" s="919"/>
      <c r="D35" s="919"/>
    </row>
    <row r="36" spans="2:4">
      <c r="B36" s="919"/>
      <c r="C36" s="919"/>
      <c r="D36" s="919"/>
    </row>
    <row r="37" spans="2:4">
      <c r="B37" s="919"/>
      <c r="C37" s="919"/>
      <c r="D37" s="919"/>
    </row>
    <row r="38" spans="2:4">
      <c r="B38" s="919"/>
      <c r="C38" s="919"/>
      <c r="D38" s="919"/>
    </row>
    <row r="39" spans="2:4">
      <c r="B39" s="919"/>
      <c r="C39" s="919"/>
      <c r="D39" s="919"/>
    </row>
    <row r="40" spans="2:4">
      <c r="B40" s="919"/>
      <c r="C40" s="919"/>
      <c r="D40" s="919"/>
    </row>
    <row r="41" spans="2:4">
      <c r="B41" s="919"/>
      <c r="C41" s="919"/>
      <c r="D41" s="919"/>
    </row>
    <row r="42" spans="2:4">
      <c r="B42" s="919"/>
      <c r="C42" s="919"/>
      <c r="D42" s="919"/>
    </row>
    <row r="43" spans="2:4">
      <c r="B43" s="919"/>
      <c r="C43" s="919"/>
      <c r="D43" s="919"/>
    </row>
    <row r="44" spans="2:4">
      <c r="B44" s="919"/>
      <c r="C44" s="919"/>
      <c r="D44" s="919"/>
    </row>
    <row r="45" spans="2:4">
      <c r="B45" s="919"/>
      <c r="C45" s="919"/>
      <c r="D45" s="919"/>
    </row>
    <row r="46" spans="2:4">
      <c r="B46" s="919"/>
      <c r="C46" s="919"/>
      <c r="D46" s="919"/>
    </row>
    <row r="47" spans="2:4">
      <c r="B47" s="919"/>
      <c r="C47" s="919"/>
      <c r="D47" s="919"/>
    </row>
    <row r="48" spans="2:4">
      <c r="B48" s="919"/>
      <c r="C48" s="919"/>
      <c r="D48" s="919"/>
    </row>
    <row r="49" spans="2:4">
      <c r="B49" s="919"/>
      <c r="C49" s="919"/>
      <c r="D49" s="919"/>
    </row>
    <row r="50" spans="2:4">
      <c r="B50" s="919"/>
      <c r="C50" s="919"/>
      <c r="D50" s="919"/>
    </row>
    <row r="51" spans="2:4">
      <c r="B51" s="919"/>
      <c r="C51" s="919"/>
      <c r="D51" s="919"/>
    </row>
    <row r="52" spans="2:4">
      <c r="B52" s="919"/>
      <c r="C52" s="919"/>
      <c r="D52" s="919"/>
    </row>
    <row r="53" spans="2:4">
      <c r="B53" s="919"/>
      <c r="C53" s="919"/>
      <c r="D53" s="919"/>
    </row>
    <row r="54" spans="2:4">
      <c r="B54" s="919"/>
      <c r="C54" s="919"/>
      <c r="D54" s="919"/>
    </row>
    <row r="55" spans="2:4">
      <c r="B55" s="919"/>
      <c r="C55" s="919"/>
      <c r="D55" s="919"/>
    </row>
    <row r="56" spans="2:4">
      <c r="B56" s="919"/>
      <c r="C56" s="919"/>
      <c r="D56" s="919"/>
    </row>
    <row r="57" spans="2:4">
      <c r="B57" s="919"/>
      <c r="C57" s="919"/>
      <c r="D57" s="919"/>
    </row>
    <row r="58" spans="2:4">
      <c r="B58" s="919"/>
      <c r="C58" s="919"/>
      <c r="D58" s="919"/>
    </row>
    <row r="59" spans="2:4">
      <c r="B59" s="919"/>
      <c r="C59" s="919"/>
      <c r="D59" s="919"/>
    </row>
    <row r="60" spans="2:4">
      <c r="B60" s="919"/>
      <c r="C60" s="919"/>
      <c r="D60" s="919"/>
    </row>
    <row r="61" spans="2:4">
      <c r="B61" s="919"/>
      <c r="C61" s="919"/>
      <c r="D61" s="919"/>
    </row>
    <row r="62" spans="2:4">
      <c r="B62" s="919"/>
      <c r="C62" s="919"/>
      <c r="D62" s="919"/>
    </row>
    <row r="63" spans="2:4">
      <c r="B63" s="919"/>
      <c r="C63" s="919"/>
      <c r="D63" s="919"/>
    </row>
    <row r="64" spans="2:4">
      <c r="B64" s="919"/>
      <c r="C64" s="919"/>
      <c r="D64" s="919"/>
    </row>
    <row r="65" spans="2:4">
      <c r="B65" s="919"/>
      <c r="C65" s="919"/>
      <c r="D65" s="919"/>
    </row>
    <row r="66" spans="2:4">
      <c r="B66" s="919"/>
      <c r="C66" s="919"/>
      <c r="D66" s="919"/>
    </row>
    <row r="67" spans="2:4">
      <c r="B67" s="919"/>
      <c r="C67" s="919"/>
      <c r="D67" s="919"/>
    </row>
    <row r="68" spans="2:4">
      <c r="B68" s="919"/>
      <c r="C68" s="919"/>
      <c r="D68" s="919"/>
    </row>
    <row r="69" spans="2:4">
      <c r="B69" s="919"/>
      <c r="C69" s="919"/>
      <c r="D69" s="919"/>
    </row>
    <row r="70" spans="2:4">
      <c r="B70" s="919"/>
      <c r="C70" s="919"/>
      <c r="D70" s="919"/>
    </row>
    <row r="71" spans="2:4">
      <c r="B71" s="919"/>
      <c r="C71" s="919"/>
      <c r="D71" s="919"/>
    </row>
    <row r="72" spans="2:4">
      <c r="B72" s="919"/>
      <c r="C72" s="919"/>
      <c r="D72" s="919"/>
    </row>
    <row r="73" spans="2:4">
      <c r="B73" s="919"/>
      <c r="C73" s="919"/>
      <c r="D73" s="919"/>
    </row>
    <row r="74" spans="2:4">
      <c r="B74" s="919"/>
      <c r="C74" s="919"/>
      <c r="D74" s="919"/>
    </row>
    <row r="75" spans="2:4">
      <c r="B75" s="919"/>
      <c r="C75" s="919"/>
      <c r="D75" s="919"/>
    </row>
    <row r="76" spans="2:4">
      <c r="B76" s="919"/>
      <c r="C76" s="919"/>
      <c r="D76" s="919"/>
    </row>
    <row r="77" spans="2:4">
      <c r="B77" s="919"/>
      <c r="C77" s="919"/>
      <c r="D77" s="919"/>
    </row>
    <row r="78" spans="2:4">
      <c r="B78" s="919"/>
      <c r="C78" s="919"/>
      <c r="D78" s="919"/>
    </row>
    <row r="79" spans="2:4">
      <c r="B79" s="919"/>
      <c r="C79" s="919"/>
      <c r="D79" s="919"/>
    </row>
    <row r="80" spans="2:4">
      <c r="B80" s="919"/>
      <c r="C80" s="919"/>
      <c r="D80" s="919"/>
    </row>
    <row r="81" spans="2:4">
      <c r="B81" s="919"/>
      <c r="C81" s="919"/>
      <c r="D81" s="919"/>
    </row>
    <row r="82" spans="2:4">
      <c r="B82" s="919"/>
      <c r="C82" s="919"/>
      <c r="D82" s="919"/>
    </row>
    <row r="83" spans="2:4">
      <c r="B83" s="919"/>
      <c r="C83" s="919"/>
      <c r="D83" s="919"/>
    </row>
    <row r="84" spans="2:4">
      <c r="B84" s="919"/>
      <c r="C84" s="919"/>
      <c r="D84" s="919"/>
    </row>
    <row r="85" spans="2:4">
      <c r="B85" s="919"/>
      <c r="C85" s="919"/>
      <c r="D85" s="919"/>
    </row>
    <row r="86" spans="2:4">
      <c r="B86" s="919"/>
      <c r="C86" s="919"/>
      <c r="D86" s="919"/>
    </row>
    <row r="87" spans="2:4">
      <c r="B87" s="919"/>
      <c r="C87" s="919"/>
      <c r="D87" s="919"/>
    </row>
    <row r="88" spans="2:4">
      <c r="B88" s="919"/>
      <c r="C88" s="919"/>
      <c r="D88" s="919"/>
    </row>
    <row r="89" spans="2:4">
      <c r="B89" s="919"/>
      <c r="C89" s="919"/>
      <c r="D89" s="919"/>
    </row>
    <row r="90" spans="2:4">
      <c r="B90" s="919"/>
      <c r="C90" s="919"/>
      <c r="D90" s="919"/>
    </row>
    <row r="91" spans="2:4">
      <c r="B91" s="919"/>
      <c r="C91" s="919"/>
      <c r="D91" s="919"/>
    </row>
    <row r="92" spans="2:4">
      <c r="B92" s="919"/>
      <c r="C92" s="919"/>
      <c r="D92" s="919"/>
    </row>
    <row r="93" spans="2:4">
      <c r="B93" s="919"/>
      <c r="C93" s="919"/>
      <c r="D93" s="919"/>
    </row>
    <row r="94" spans="2:4">
      <c r="B94" s="919"/>
      <c r="C94" s="919"/>
      <c r="D94" s="919"/>
    </row>
    <row r="95" spans="2:4">
      <c r="B95" s="919"/>
      <c r="C95" s="919"/>
      <c r="D95" s="919"/>
    </row>
  </sheetData>
  <mergeCells count="32">
    <mergeCell ref="A4:A23"/>
    <mergeCell ref="B25:B29"/>
    <mergeCell ref="C25:C27"/>
    <mergeCell ref="D26:D27"/>
    <mergeCell ref="E2:E3"/>
    <mergeCell ref="E13:E14"/>
    <mergeCell ref="E15:E16"/>
    <mergeCell ref="E17:E18"/>
    <mergeCell ref="B2:D3"/>
    <mergeCell ref="B13:D14"/>
    <mergeCell ref="B15:D16"/>
    <mergeCell ref="B17:D18"/>
    <mergeCell ref="B22:D22"/>
    <mergeCell ref="B23:D23"/>
    <mergeCell ref="B24:D24"/>
    <mergeCell ref="C28:D28"/>
    <mergeCell ref="C29:D29"/>
    <mergeCell ref="B11:D11"/>
    <mergeCell ref="B12:D12"/>
    <mergeCell ref="B19:D19"/>
    <mergeCell ref="B20:D20"/>
    <mergeCell ref="B21:D21"/>
    <mergeCell ref="B6:D6"/>
    <mergeCell ref="B7:D7"/>
    <mergeCell ref="B8:D8"/>
    <mergeCell ref="B9:D9"/>
    <mergeCell ref="B10:D10"/>
    <mergeCell ref="B1:H1"/>
    <mergeCell ref="F2:G2"/>
    <mergeCell ref="H2:I2"/>
    <mergeCell ref="B4:D4"/>
    <mergeCell ref="B5:D5"/>
  </mergeCells>
  <phoneticPr fontId="378" type="noConversion"/>
  <hyperlinks>
    <hyperlink ref="J2" location="总目录!A1" display="返回目录"/>
    <hyperlink ref="J29" location="总目录!A1" display="返回目录"/>
  </hyperlinks>
  <printOptions horizontalCentered="1"/>
  <pageMargins left="0.34930555555555598" right="0.34930555555555598" top="0.97916666666666696" bottom="0.97916666666666696" header="0.50902777777777797" footer="0.50902777777777797"/>
  <pageSetup paperSize="9" orientation="portrait"/>
  <headerFooter scaleWithDoc="0" alignWithMargins="0"/>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3"/>
  <sheetViews>
    <sheetView topLeftCell="A67" workbookViewId="0">
      <selection activeCell="K3" sqref="K3"/>
    </sheetView>
  </sheetViews>
  <sheetFormatPr defaultColWidth="9" defaultRowHeight="14.25"/>
  <cols>
    <col min="1" max="1" width="11.125" style="480" customWidth="1"/>
    <col min="2" max="2" width="16.5" style="480" customWidth="1"/>
    <col min="3" max="4" width="10.5" style="480"/>
    <col min="5" max="5" width="11.125" style="480"/>
    <col min="6" max="6" width="11.375" style="480"/>
    <col min="7" max="7" width="9.125" style="480" customWidth="1"/>
    <col min="8" max="8" width="7" style="480" customWidth="1"/>
    <col min="9" max="16384" width="9" style="480"/>
  </cols>
  <sheetData>
    <row r="1" spans="1:9" ht="22.5">
      <c r="A1" s="4425" t="s">
        <v>16</v>
      </c>
      <c r="B1" s="4425"/>
      <c r="C1" s="4425"/>
      <c r="D1" s="4425"/>
      <c r="E1" s="4425"/>
      <c r="F1" s="4425"/>
      <c r="G1" s="4425"/>
      <c r="H1" s="4425"/>
      <c r="I1" s="3162" t="s">
        <v>12704</v>
      </c>
    </row>
    <row r="3" spans="1:9">
      <c r="A3" s="4426" t="s">
        <v>10466</v>
      </c>
      <c r="B3" s="4426" t="s">
        <v>10467</v>
      </c>
      <c r="C3" s="4426" t="s">
        <v>10468</v>
      </c>
      <c r="D3" s="4426"/>
      <c r="E3" s="4426" t="s">
        <v>104</v>
      </c>
      <c r="F3" s="4426"/>
      <c r="G3" s="4426" t="s">
        <v>10469</v>
      </c>
      <c r="H3" s="4426"/>
    </row>
    <row r="4" spans="1:9">
      <c r="A4" s="4430"/>
      <c r="B4" s="4430"/>
      <c r="C4" s="648" t="s">
        <v>10470</v>
      </c>
      <c r="D4" s="648" t="s">
        <v>10471</v>
      </c>
      <c r="E4" s="648" t="s">
        <v>10472</v>
      </c>
      <c r="F4" s="648" t="s">
        <v>10473</v>
      </c>
      <c r="G4" s="648" t="s">
        <v>10474</v>
      </c>
      <c r="H4" s="648" t="s">
        <v>10475</v>
      </c>
    </row>
    <row r="5" spans="1:9">
      <c r="A5" s="4427" t="s">
        <v>10476</v>
      </c>
      <c r="B5" s="4428"/>
      <c r="C5" s="4428"/>
      <c r="D5" s="4428"/>
      <c r="E5" s="4428"/>
      <c r="F5" s="4428"/>
      <c r="G5" s="4428"/>
      <c r="H5" s="4429"/>
    </row>
    <row r="6" spans="1:9">
      <c r="A6" s="4430">
        <v>45</v>
      </c>
      <c r="B6" s="4430" t="s">
        <v>10477</v>
      </c>
      <c r="C6" s="649" t="s">
        <v>10478</v>
      </c>
      <c r="D6" s="649" t="s">
        <v>10479</v>
      </c>
      <c r="E6" s="649">
        <v>588</v>
      </c>
      <c r="F6" s="649">
        <v>294</v>
      </c>
      <c r="G6" s="650" t="s">
        <v>10480</v>
      </c>
      <c r="H6" s="4430"/>
    </row>
    <row r="7" spans="1:9">
      <c r="A7" s="4434"/>
      <c r="B7" s="4434"/>
      <c r="C7" s="650" t="s">
        <v>10481</v>
      </c>
      <c r="D7" s="650" t="s">
        <v>10482</v>
      </c>
      <c r="E7" s="650">
        <v>569</v>
      </c>
      <c r="F7" s="650">
        <v>284</v>
      </c>
      <c r="G7" s="650" t="s">
        <v>10483</v>
      </c>
      <c r="H7" s="4434"/>
    </row>
    <row r="8" spans="1:9">
      <c r="A8" s="4434"/>
      <c r="B8" s="4434"/>
      <c r="C8" s="650" t="s">
        <v>10484</v>
      </c>
      <c r="D8" s="650" t="s">
        <v>10485</v>
      </c>
      <c r="E8" s="650">
        <v>549</v>
      </c>
      <c r="F8" s="650">
        <v>275</v>
      </c>
      <c r="G8" s="650" t="s">
        <v>10483</v>
      </c>
      <c r="H8" s="4434"/>
    </row>
    <row r="9" spans="1:9">
      <c r="A9" s="4434"/>
      <c r="B9" s="4435"/>
      <c r="C9" s="650" t="s">
        <v>10486</v>
      </c>
      <c r="D9" s="650" t="s">
        <v>10487</v>
      </c>
      <c r="E9" s="650">
        <v>530</v>
      </c>
      <c r="F9" s="650">
        <v>265</v>
      </c>
      <c r="G9" s="650" t="s">
        <v>10488</v>
      </c>
      <c r="H9" s="4434"/>
    </row>
    <row r="10" spans="1:9">
      <c r="A10" s="4434"/>
      <c r="B10" s="4430" t="s">
        <v>10489</v>
      </c>
      <c r="C10" s="649" t="s">
        <v>10478</v>
      </c>
      <c r="D10" s="649" t="s">
        <v>10479</v>
      </c>
      <c r="E10" s="650">
        <v>647</v>
      </c>
      <c r="F10" s="650">
        <v>373</v>
      </c>
      <c r="G10" s="650" t="s">
        <v>10490</v>
      </c>
      <c r="H10" s="4434"/>
    </row>
    <row r="11" spans="1:9">
      <c r="A11" s="4434"/>
      <c r="B11" s="4434"/>
      <c r="C11" s="650" t="s">
        <v>10481</v>
      </c>
      <c r="D11" s="650" t="s">
        <v>10482</v>
      </c>
      <c r="E11" s="650">
        <v>628</v>
      </c>
      <c r="F11" s="650">
        <v>343</v>
      </c>
      <c r="G11" s="650" t="s">
        <v>10491</v>
      </c>
      <c r="H11" s="4434"/>
    </row>
    <row r="12" spans="1:9">
      <c r="A12" s="4434"/>
      <c r="B12" s="4435"/>
      <c r="C12" s="650" t="s">
        <v>10484</v>
      </c>
      <c r="D12" s="650" t="s">
        <v>10485</v>
      </c>
      <c r="E12" s="650">
        <v>608</v>
      </c>
      <c r="F12" s="650">
        <v>314</v>
      </c>
      <c r="G12" s="650" t="s">
        <v>10492</v>
      </c>
      <c r="H12" s="4435"/>
    </row>
    <row r="13" spans="1:9">
      <c r="A13" s="4435"/>
      <c r="B13" s="484" t="s">
        <v>10493</v>
      </c>
      <c r="C13" s="4431"/>
      <c r="D13" s="4432"/>
      <c r="E13" s="4432"/>
      <c r="F13" s="4432"/>
      <c r="G13" s="4433"/>
      <c r="H13" s="650" t="s">
        <v>10494</v>
      </c>
    </row>
    <row r="14" spans="1:9">
      <c r="A14" s="4430" t="s">
        <v>413</v>
      </c>
      <c r="B14" s="4430" t="s">
        <v>10489</v>
      </c>
      <c r="C14" s="649" t="s">
        <v>10478</v>
      </c>
      <c r="D14" s="649" t="s">
        <v>10479</v>
      </c>
      <c r="E14" s="650">
        <v>785</v>
      </c>
      <c r="F14" s="650">
        <v>510</v>
      </c>
      <c r="G14" s="650" t="s">
        <v>10490</v>
      </c>
      <c r="H14" s="4430"/>
    </row>
    <row r="15" spans="1:9">
      <c r="A15" s="4434"/>
      <c r="B15" s="4434"/>
      <c r="C15" s="650" t="s">
        <v>10481</v>
      </c>
      <c r="D15" s="650" t="s">
        <v>10482</v>
      </c>
      <c r="E15" s="650">
        <v>735</v>
      </c>
      <c r="F15" s="650">
        <v>441</v>
      </c>
      <c r="G15" s="650" t="s">
        <v>10495</v>
      </c>
      <c r="H15" s="4434"/>
    </row>
    <row r="16" spans="1:9">
      <c r="A16" s="4434"/>
      <c r="B16" s="4434"/>
      <c r="C16" s="650" t="s">
        <v>10496</v>
      </c>
      <c r="D16" s="650" t="s">
        <v>10497</v>
      </c>
      <c r="E16" s="650">
        <v>686</v>
      </c>
      <c r="F16" s="650">
        <v>392</v>
      </c>
      <c r="G16" s="650" t="s">
        <v>10491</v>
      </c>
      <c r="H16" s="4434"/>
    </row>
    <row r="17" spans="1:9">
      <c r="A17" s="4434"/>
      <c r="B17" s="4435"/>
      <c r="C17" s="650" t="s">
        <v>10498</v>
      </c>
      <c r="D17" s="650" t="s">
        <v>10499</v>
      </c>
      <c r="E17" s="650">
        <v>637</v>
      </c>
      <c r="F17" s="650">
        <v>373</v>
      </c>
      <c r="G17" s="650" t="s">
        <v>10500</v>
      </c>
      <c r="H17" s="4435"/>
    </row>
    <row r="18" spans="1:9">
      <c r="A18" s="4435"/>
      <c r="B18" s="484" t="s">
        <v>10493</v>
      </c>
      <c r="C18" s="4431"/>
      <c r="D18" s="4432"/>
      <c r="E18" s="4432"/>
      <c r="F18" s="4432"/>
      <c r="G18" s="4433"/>
      <c r="H18" s="650" t="s">
        <v>10501</v>
      </c>
    </row>
    <row r="19" spans="1:9">
      <c r="A19" s="4430" t="s">
        <v>417</v>
      </c>
      <c r="B19" s="4430" t="s">
        <v>10489</v>
      </c>
      <c r="C19" s="649" t="s">
        <v>10478</v>
      </c>
      <c r="D19" s="649" t="s">
        <v>10479</v>
      </c>
      <c r="E19" s="650">
        <v>785</v>
      </c>
      <c r="F19" s="650">
        <v>510</v>
      </c>
      <c r="G19" s="650" t="s">
        <v>10490</v>
      </c>
      <c r="H19" s="4430"/>
    </row>
    <row r="20" spans="1:9">
      <c r="A20" s="4434"/>
      <c r="B20" s="4434"/>
      <c r="C20" s="650" t="s">
        <v>10502</v>
      </c>
      <c r="D20" s="650" t="s">
        <v>10503</v>
      </c>
      <c r="E20" s="650">
        <v>735</v>
      </c>
      <c r="F20" s="650">
        <v>461</v>
      </c>
      <c r="G20" s="650" t="s">
        <v>10495</v>
      </c>
      <c r="H20" s="4434"/>
    </row>
    <row r="21" spans="1:9">
      <c r="A21" s="4434"/>
      <c r="B21" s="4434"/>
      <c r="C21" s="650" t="s">
        <v>10504</v>
      </c>
      <c r="D21" s="650" t="s">
        <v>10505</v>
      </c>
      <c r="E21" s="650">
        <v>686</v>
      </c>
      <c r="F21" s="650">
        <v>441</v>
      </c>
      <c r="G21" s="650" t="s">
        <v>10491</v>
      </c>
      <c r="H21" s="4434"/>
    </row>
    <row r="22" spans="1:9">
      <c r="A22" s="4434"/>
      <c r="B22" s="4435"/>
      <c r="C22" s="650" t="s">
        <v>10484</v>
      </c>
      <c r="D22" s="650" t="s">
        <v>10485</v>
      </c>
      <c r="E22" s="650">
        <v>637</v>
      </c>
      <c r="F22" s="650">
        <v>373</v>
      </c>
      <c r="G22" s="650" t="s">
        <v>10500</v>
      </c>
      <c r="H22" s="4435"/>
    </row>
    <row r="23" spans="1:9">
      <c r="A23" s="4435"/>
      <c r="B23" s="484" t="s">
        <v>10493</v>
      </c>
      <c r="C23" s="4431"/>
      <c r="D23" s="4432"/>
      <c r="E23" s="4432"/>
      <c r="F23" s="4432"/>
      <c r="G23" s="4433"/>
      <c r="H23" s="650" t="s">
        <v>10501</v>
      </c>
    </row>
    <row r="24" spans="1:9">
      <c r="A24" s="4430" t="s">
        <v>10506</v>
      </c>
      <c r="B24" s="4430" t="s">
        <v>10489</v>
      </c>
      <c r="C24" s="649" t="s">
        <v>10478</v>
      </c>
      <c r="D24" s="649" t="s">
        <v>10479</v>
      </c>
      <c r="E24" s="650">
        <v>834</v>
      </c>
      <c r="F24" s="650">
        <v>539</v>
      </c>
      <c r="G24" s="650" t="s">
        <v>10490</v>
      </c>
      <c r="H24" s="4430"/>
    </row>
    <row r="25" spans="1:9">
      <c r="A25" s="4434"/>
      <c r="B25" s="4434"/>
      <c r="C25" s="650" t="s">
        <v>10502</v>
      </c>
      <c r="D25" s="650" t="s">
        <v>10503</v>
      </c>
      <c r="E25" s="650">
        <v>735</v>
      </c>
      <c r="F25" s="650">
        <v>490</v>
      </c>
      <c r="G25" s="650" t="s">
        <v>10495</v>
      </c>
      <c r="H25" s="4434"/>
      <c r="I25" s="3162" t="s">
        <v>12704</v>
      </c>
    </row>
    <row r="26" spans="1:9">
      <c r="A26" s="4434"/>
      <c r="B26" s="4435"/>
      <c r="C26" s="650" t="s">
        <v>10504</v>
      </c>
      <c r="D26" s="650" t="s">
        <v>10505</v>
      </c>
      <c r="E26" s="650">
        <v>686</v>
      </c>
      <c r="F26" s="650">
        <v>441</v>
      </c>
      <c r="G26" s="650" t="s">
        <v>10507</v>
      </c>
      <c r="H26" s="4435"/>
    </row>
    <row r="27" spans="1:9">
      <c r="A27" s="4435"/>
      <c r="B27" s="484" t="s">
        <v>10493</v>
      </c>
      <c r="C27" s="4431"/>
      <c r="D27" s="4432"/>
      <c r="E27" s="4432"/>
      <c r="F27" s="4432"/>
      <c r="G27" s="4433"/>
      <c r="H27" s="650" t="s">
        <v>10508</v>
      </c>
    </row>
    <row r="28" spans="1:9">
      <c r="A28" s="4430" t="s">
        <v>423</v>
      </c>
      <c r="B28" s="4430" t="s">
        <v>10489</v>
      </c>
      <c r="C28" s="649" t="s">
        <v>10509</v>
      </c>
      <c r="D28" s="649" t="s">
        <v>10478</v>
      </c>
      <c r="E28" s="650">
        <v>735</v>
      </c>
      <c r="F28" s="650">
        <v>490</v>
      </c>
      <c r="G28" s="650" t="s">
        <v>10510</v>
      </c>
      <c r="H28" s="4430"/>
    </row>
    <row r="29" spans="1:9">
      <c r="A29" s="4434"/>
      <c r="B29" s="4435"/>
      <c r="C29" s="650" t="s">
        <v>10504</v>
      </c>
      <c r="D29" s="650" t="s">
        <v>10505</v>
      </c>
      <c r="E29" s="650">
        <v>686</v>
      </c>
      <c r="F29" s="650">
        <v>441</v>
      </c>
      <c r="G29" s="650" t="s">
        <v>10510</v>
      </c>
      <c r="H29" s="4435"/>
    </row>
    <row r="30" spans="1:9">
      <c r="A30" s="4435"/>
      <c r="B30" s="484" t="s">
        <v>10493</v>
      </c>
      <c r="C30" s="4431"/>
      <c r="D30" s="4432"/>
      <c r="E30" s="4432"/>
      <c r="F30" s="4432"/>
      <c r="G30" s="4433"/>
      <c r="H30" s="650" t="s">
        <v>10501</v>
      </c>
    </row>
    <row r="31" spans="1:9">
      <c r="A31" s="4430" t="s">
        <v>10511</v>
      </c>
      <c r="B31" s="4430" t="s">
        <v>10489</v>
      </c>
      <c r="C31" s="649" t="s">
        <v>10478</v>
      </c>
      <c r="D31" s="649" t="s">
        <v>10479</v>
      </c>
      <c r="E31" s="650">
        <v>735</v>
      </c>
      <c r="F31" s="650">
        <v>588</v>
      </c>
      <c r="G31" s="650" t="s">
        <v>10490</v>
      </c>
      <c r="H31" s="4430"/>
    </row>
    <row r="32" spans="1:9">
      <c r="A32" s="4434"/>
      <c r="B32" s="4434"/>
      <c r="C32" s="650" t="s">
        <v>10481</v>
      </c>
      <c r="D32" s="650" t="s">
        <v>10482</v>
      </c>
      <c r="E32" s="650">
        <v>686</v>
      </c>
      <c r="F32" s="650">
        <v>539</v>
      </c>
      <c r="G32" s="650" t="s">
        <v>10495</v>
      </c>
      <c r="H32" s="4434"/>
    </row>
    <row r="33" spans="1:8">
      <c r="A33" s="4434"/>
      <c r="B33" s="4434"/>
      <c r="C33" s="650" t="s">
        <v>10484</v>
      </c>
      <c r="D33" s="650" t="s">
        <v>10485</v>
      </c>
      <c r="E33" s="650">
        <v>637</v>
      </c>
      <c r="F33" s="650">
        <v>490</v>
      </c>
      <c r="G33" s="650" t="s">
        <v>10512</v>
      </c>
      <c r="H33" s="4434"/>
    </row>
    <row r="34" spans="1:8">
      <c r="A34" s="4434"/>
      <c r="B34" s="4435"/>
      <c r="C34" s="650" t="s">
        <v>10486</v>
      </c>
      <c r="D34" s="650" t="s">
        <v>10487</v>
      </c>
      <c r="E34" s="650">
        <v>588</v>
      </c>
      <c r="F34" s="650">
        <v>392</v>
      </c>
      <c r="G34" s="650" t="s">
        <v>10513</v>
      </c>
      <c r="H34" s="4435"/>
    </row>
    <row r="35" spans="1:8">
      <c r="A35" s="4435"/>
      <c r="B35" s="484" t="s">
        <v>10493</v>
      </c>
      <c r="C35" s="4431"/>
      <c r="D35" s="4432"/>
      <c r="E35" s="4432"/>
      <c r="F35" s="4432"/>
      <c r="G35" s="4433"/>
      <c r="H35" s="650" t="s">
        <v>10501</v>
      </c>
    </row>
    <row r="36" spans="1:8">
      <c r="A36" s="4430" t="s">
        <v>10514</v>
      </c>
      <c r="B36" s="4430" t="s">
        <v>10515</v>
      </c>
      <c r="C36" s="649" t="s">
        <v>10509</v>
      </c>
      <c r="D36" s="649" t="s">
        <v>10478</v>
      </c>
      <c r="E36" s="650">
        <v>863</v>
      </c>
      <c r="F36" s="650">
        <v>686</v>
      </c>
      <c r="G36" s="650" t="s">
        <v>10516</v>
      </c>
      <c r="H36" s="4430"/>
    </row>
    <row r="37" spans="1:8">
      <c r="A37" s="4434"/>
      <c r="B37" s="4434"/>
      <c r="C37" s="650" t="s">
        <v>10517</v>
      </c>
      <c r="D37" s="650" t="s">
        <v>10502</v>
      </c>
      <c r="E37" s="650">
        <v>814</v>
      </c>
      <c r="F37" s="650">
        <v>637</v>
      </c>
      <c r="G37" s="650" t="s">
        <v>10510</v>
      </c>
      <c r="H37" s="4434"/>
    </row>
    <row r="38" spans="1:8">
      <c r="A38" s="4434"/>
      <c r="B38" s="4435"/>
      <c r="C38" s="650" t="s">
        <v>10518</v>
      </c>
      <c r="D38" s="650" t="s">
        <v>10504</v>
      </c>
      <c r="E38" s="650">
        <v>765</v>
      </c>
      <c r="F38" s="650">
        <v>588</v>
      </c>
      <c r="G38" s="650" t="s">
        <v>10519</v>
      </c>
      <c r="H38" s="4435"/>
    </row>
    <row r="39" spans="1:8">
      <c r="A39" s="4435"/>
      <c r="B39" s="484" t="s">
        <v>10493</v>
      </c>
      <c r="C39" s="4431"/>
      <c r="D39" s="4432"/>
      <c r="E39" s="4432"/>
      <c r="F39" s="4432"/>
      <c r="G39" s="4433"/>
      <c r="H39" s="650" t="s">
        <v>10520</v>
      </c>
    </row>
    <row r="40" spans="1:8">
      <c r="A40" s="4430" t="s">
        <v>454</v>
      </c>
      <c r="B40" s="4430" t="s">
        <v>10489</v>
      </c>
      <c r="C40" s="649" t="s">
        <v>10478</v>
      </c>
      <c r="D40" s="649" t="s">
        <v>10479</v>
      </c>
      <c r="E40" s="650">
        <v>735</v>
      </c>
      <c r="F40" s="650">
        <v>539</v>
      </c>
      <c r="G40" s="650" t="s">
        <v>10510</v>
      </c>
      <c r="H40" s="4430"/>
    </row>
    <row r="41" spans="1:8">
      <c r="A41" s="4434"/>
      <c r="B41" s="4434"/>
      <c r="C41" s="650" t="s">
        <v>10521</v>
      </c>
      <c r="D41" s="650" t="s">
        <v>10522</v>
      </c>
      <c r="E41" s="650">
        <v>686</v>
      </c>
      <c r="F41" s="650">
        <v>490</v>
      </c>
      <c r="G41" s="650" t="s">
        <v>10510</v>
      </c>
      <c r="H41" s="4434"/>
    </row>
    <row r="42" spans="1:8">
      <c r="A42" s="4434"/>
      <c r="B42" s="4434"/>
      <c r="C42" s="650" t="s">
        <v>10523</v>
      </c>
      <c r="D42" s="650" t="s">
        <v>10524</v>
      </c>
      <c r="E42" s="650">
        <v>637</v>
      </c>
      <c r="F42" s="650">
        <v>441</v>
      </c>
      <c r="G42" s="650" t="s">
        <v>10525</v>
      </c>
      <c r="H42" s="4434"/>
    </row>
    <row r="43" spans="1:8">
      <c r="A43" s="4434"/>
      <c r="B43" s="4435"/>
      <c r="C43" s="650" t="s">
        <v>10526</v>
      </c>
      <c r="D43" s="650" t="s">
        <v>10527</v>
      </c>
      <c r="E43" s="650">
        <v>588</v>
      </c>
      <c r="F43" s="650">
        <v>343</v>
      </c>
      <c r="G43" s="650" t="s">
        <v>10491</v>
      </c>
      <c r="H43" s="4435"/>
    </row>
    <row r="44" spans="1:8">
      <c r="A44" s="4435"/>
      <c r="B44" s="484" t="s">
        <v>10493</v>
      </c>
      <c r="C44" s="4431"/>
      <c r="D44" s="4432"/>
      <c r="E44" s="4432"/>
      <c r="F44" s="4432"/>
      <c r="G44" s="4433"/>
      <c r="H44" s="650" t="s">
        <v>10528</v>
      </c>
    </row>
    <row r="45" spans="1:8">
      <c r="A45" s="4430" t="s">
        <v>507</v>
      </c>
      <c r="B45" s="4430" t="s">
        <v>10489</v>
      </c>
      <c r="C45" s="649" t="s">
        <v>10478</v>
      </c>
      <c r="D45" s="649" t="s">
        <v>10479</v>
      </c>
      <c r="E45" s="650">
        <v>735</v>
      </c>
      <c r="F45" s="650">
        <v>539</v>
      </c>
      <c r="G45" s="650" t="s">
        <v>10529</v>
      </c>
      <c r="H45" s="4430"/>
    </row>
    <row r="46" spans="1:8">
      <c r="A46" s="4434"/>
      <c r="B46" s="4434"/>
      <c r="C46" s="650" t="s">
        <v>10521</v>
      </c>
      <c r="D46" s="650" t="s">
        <v>10522</v>
      </c>
      <c r="E46" s="650">
        <v>686</v>
      </c>
      <c r="F46" s="650">
        <v>490</v>
      </c>
      <c r="G46" s="650" t="s">
        <v>10529</v>
      </c>
      <c r="H46" s="4434"/>
    </row>
    <row r="47" spans="1:8">
      <c r="A47" s="4434"/>
      <c r="B47" s="4434"/>
      <c r="C47" s="650" t="s">
        <v>10523</v>
      </c>
      <c r="D47" s="650" t="s">
        <v>10524</v>
      </c>
      <c r="E47" s="650">
        <v>637</v>
      </c>
      <c r="F47" s="650">
        <v>441</v>
      </c>
      <c r="G47" s="650" t="s">
        <v>10529</v>
      </c>
      <c r="H47" s="4434"/>
    </row>
    <row r="48" spans="1:8">
      <c r="A48" s="4434"/>
      <c r="B48" s="4435"/>
      <c r="C48" s="650" t="s">
        <v>10526</v>
      </c>
      <c r="D48" s="650" t="s">
        <v>10527</v>
      </c>
      <c r="E48" s="650">
        <v>588</v>
      </c>
      <c r="F48" s="650">
        <v>392</v>
      </c>
      <c r="G48" s="650" t="s">
        <v>10529</v>
      </c>
      <c r="H48" s="4435"/>
    </row>
    <row r="49" spans="1:9">
      <c r="A49" s="4435"/>
      <c r="B49" s="484" t="s">
        <v>10493</v>
      </c>
      <c r="C49" s="4431"/>
      <c r="D49" s="4432"/>
      <c r="E49" s="4432"/>
      <c r="F49" s="4432"/>
      <c r="G49" s="4433"/>
      <c r="H49" s="650" t="s">
        <v>10530</v>
      </c>
      <c r="I49" s="3162" t="s">
        <v>12704</v>
      </c>
    </row>
    <row r="50" spans="1:9">
      <c r="A50" s="651"/>
      <c r="B50" s="651"/>
      <c r="C50" s="651"/>
      <c r="D50" s="651"/>
      <c r="E50" s="651"/>
      <c r="F50" s="651"/>
      <c r="G50" s="651"/>
      <c r="H50" s="652"/>
      <c r="I50" s="652"/>
    </row>
    <row r="51" spans="1:9">
      <c r="A51" s="651"/>
      <c r="B51" s="651"/>
      <c r="C51" s="651"/>
      <c r="D51" s="651"/>
      <c r="E51" s="651"/>
      <c r="F51" s="651"/>
      <c r="G51" s="651"/>
      <c r="H51" s="652"/>
      <c r="I51" s="652"/>
    </row>
    <row r="52" spans="1:9">
      <c r="A52" s="4426" t="s">
        <v>10466</v>
      </c>
      <c r="B52" s="4426" t="s">
        <v>10467</v>
      </c>
      <c r="C52" s="4426" t="s">
        <v>10468</v>
      </c>
      <c r="D52" s="4426"/>
      <c r="E52" s="4426" t="s">
        <v>104</v>
      </c>
      <c r="F52" s="4426"/>
      <c r="G52" s="4426" t="s">
        <v>10469</v>
      </c>
      <c r="H52" s="4426"/>
    </row>
    <row r="53" spans="1:9">
      <c r="A53" s="4426"/>
      <c r="B53" s="4426"/>
      <c r="C53" s="484" t="s">
        <v>10470</v>
      </c>
      <c r="D53" s="484" t="s">
        <v>10471</v>
      </c>
      <c r="E53" s="484" t="s">
        <v>10472</v>
      </c>
      <c r="F53" s="484" t="s">
        <v>10473</v>
      </c>
      <c r="G53" s="484" t="s">
        <v>10474</v>
      </c>
      <c r="H53" s="484" t="s">
        <v>10475</v>
      </c>
    </row>
    <row r="54" spans="1:9">
      <c r="A54" s="4427" t="s">
        <v>10531</v>
      </c>
      <c r="B54" s="4428"/>
      <c r="C54" s="4428"/>
      <c r="D54" s="4428"/>
      <c r="E54" s="4428"/>
      <c r="F54" s="4428"/>
      <c r="G54" s="4428"/>
      <c r="H54" s="4429"/>
    </row>
    <row r="55" spans="1:9">
      <c r="A55" s="4430" t="s">
        <v>434</v>
      </c>
      <c r="B55" s="484" t="s">
        <v>10532</v>
      </c>
      <c r="C55" s="649" t="s">
        <v>10533</v>
      </c>
      <c r="D55" s="650"/>
      <c r="E55" s="650">
        <v>637</v>
      </c>
      <c r="F55" s="650">
        <v>392</v>
      </c>
      <c r="G55" s="650"/>
      <c r="H55" s="650" t="s">
        <v>10534</v>
      </c>
    </row>
    <row r="56" spans="1:9">
      <c r="A56" s="4435"/>
      <c r="B56" s="484" t="s">
        <v>10535</v>
      </c>
      <c r="C56" s="4431"/>
      <c r="D56" s="4432"/>
      <c r="E56" s="4432"/>
      <c r="F56" s="4432"/>
      <c r="G56" s="4433"/>
      <c r="H56" s="650" t="s">
        <v>10536</v>
      </c>
    </row>
    <row r="57" spans="1:9">
      <c r="A57" s="4430" t="s">
        <v>10537</v>
      </c>
      <c r="B57" s="484" t="s">
        <v>10532</v>
      </c>
      <c r="C57" s="650">
        <v>15</v>
      </c>
      <c r="D57" s="650"/>
      <c r="E57" s="650">
        <v>1079</v>
      </c>
      <c r="F57" s="650">
        <v>834</v>
      </c>
      <c r="G57" s="650"/>
      <c r="H57" s="650" t="s">
        <v>10534</v>
      </c>
    </row>
    <row r="58" spans="1:9">
      <c r="A58" s="4435"/>
      <c r="B58" s="484" t="s">
        <v>10535</v>
      </c>
      <c r="C58" s="4431"/>
      <c r="D58" s="4432"/>
      <c r="E58" s="4432"/>
      <c r="F58" s="4432"/>
      <c r="G58" s="4433"/>
      <c r="H58" s="650" t="s">
        <v>10538</v>
      </c>
    </row>
    <row r="59" spans="1:9">
      <c r="A59" s="650" t="s">
        <v>10539</v>
      </c>
      <c r="B59" s="484" t="s">
        <v>10532</v>
      </c>
      <c r="C59" s="650">
        <v>15</v>
      </c>
      <c r="D59" s="650"/>
      <c r="E59" s="650">
        <v>1177</v>
      </c>
      <c r="F59" s="650">
        <v>883</v>
      </c>
      <c r="G59" s="650"/>
      <c r="H59" s="650" t="s">
        <v>10534</v>
      </c>
    </row>
    <row r="60" spans="1:9">
      <c r="A60" s="653" t="s">
        <v>10540</v>
      </c>
      <c r="B60" s="484" t="s">
        <v>10541</v>
      </c>
      <c r="C60" s="650">
        <v>30</v>
      </c>
      <c r="D60" s="650"/>
      <c r="E60" s="650">
        <v>981</v>
      </c>
      <c r="F60" s="650">
        <v>834</v>
      </c>
      <c r="G60" s="650">
        <v>229</v>
      </c>
      <c r="H60" s="650" t="s">
        <v>10542</v>
      </c>
    </row>
    <row r="61" spans="1:9">
      <c r="A61" s="650" t="s">
        <v>10543</v>
      </c>
      <c r="B61" s="484" t="s">
        <v>10532</v>
      </c>
      <c r="C61" s="650">
        <v>15</v>
      </c>
      <c r="D61" s="650"/>
      <c r="E61" s="650">
        <v>1079</v>
      </c>
      <c r="F61" s="650">
        <v>883</v>
      </c>
      <c r="G61" s="650"/>
      <c r="H61" s="650" t="s">
        <v>10534</v>
      </c>
    </row>
    <row r="62" spans="1:9">
      <c r="A62" s="4428" t="s">
        <v>10544</v>
      </c>
      <c r="B62" s="4428"/>
      <c r="C62" s="4428"/>
      <c r="D62" s="4428"/>
      <c r="E62" s="4428"/>
      <c r="F62" s="4428"/>
      <c r="G62" s="4428"/>
      <c r="H62" s="4429"/>
    </row>
    <row r="63" spans="1:9">
      <c r="A63" s="650" t="s">
        <v>10545</v>
      </c>
      <c r="B63" s="484" t="s">
        <v>10546</v>
      </c>
      <c r="C63" s="650"/>
      <c r="D63" s="650"/>
      <c r="E63" s="650">
        <v>570</v>
      </c>
      <c r="F63" s="650">
        <v>310</v>
      </c>
      <c r="G63" s="650" t="s">
        <v>10547</v>
      </c>
      <c r="H63" s="650"/>
    </row>
    <row r="64" spans="1:9">
      <c r="A64" s="650" t="s">
        <v>10548</v>
      </c>
      <c r="B64" s="484" t="s">
        <v>10546</v>
      </c>
      <c r="C64" s="650"/>
      <c r="D64" s="650"/>
      <c r="E64" s="650">
        <v>640</v>
      </c>
      <c r="F64" s="650">
        <v>340</v>
      </c>
      <c r="G64" s="650" t="s">
        <v>10549</v>
      </c>
      <c r="H64" s="650"/>
    </row>
    <row r="65" spans="1:9">
      <c r="A65" s="4426" t="s">
        <v>10550</v>
      </c>
      <c r="B65" s="484" t="s">
        <v>10551</v>
      </c>
      <c r="C65" s="650"/>
      <c r="D65" s="650"/>
      <c r="E65" s="650">
        <v>588</v>
      </c>
      <c r="F65" s="650">
        <v>392</v>
      </c>
      <c r="G65" s="650" t="s">
        <v>10552</v>
      </c>
      <c r="H65" s="650"/>
    </row>
    <row r="66" spans="1:9">
      <c r="A66" s="4426"/>
      <c r="B66" s="484" t="s">
        <v>10489</v>
      </c>
      <c r="C66" s="650"/>
      <c r="D66" s="650"/>
      <c r="E66" s="650">
        <v>834</v>
      </c>
      <c r="F66" s="650">
        <v>686</v>
      </c>
      <c r="G66" s="650" t="s">
        <v>10516</v>
      </c>
      <c r="H66" s="650"/>
    </row>
    <row r="67" spans="1:9">
      <c r="A67" s="4426" t="s">
        <v>10553</v>
      </c>
      <c r="B67" s="484" t="s">
        <v>10551</v>
      </c>
      <c r="C67" s="650"/>
      <c r="D67" s="650"/>
      <c r="E67" s="650">
        <v>569</v>
      </c>
      <c r="F67" s="650">
        <v>343</v>
      </c>
      <c r="G67" s="650" t="s">
        <v>10554</v>
      </c>
      <c r="H67" s="650"/>
    </row>
    <row r="68" spans="1:9">
      <c r="A68" s="4426"/>
      <c r="B68" s="484" t="s">
        <v>10489</v>
      </c>
      <c r="C68" s="650"/>
      <c r="D68" s="650"/>
      <c r="E68" s="650">
        <v>637</v>
      </c>
      <c r="F68" s="650">
        <v>412</v>
      </c>
      <c r="G68" s="650" t="s">
        <v>10555</v>
      </c>
      <c r="H68" s="650"/>
    </row>
    <row r="69" spans="1:9">
      <c r="A69" s="4426" t="s">
        <v>10556</v>
      </c>
      <c r="B69" s="484" t="s">
        <v>10551</v>
      </c>
      <c r="C69" s="650"/>
      <c r="D69" s="650"/>
      <c r="E69" s="650">
        <v>588</v>
      </c>
      <c r="F69" s="650">
        <v>373</v>
      </c>
      <c r="G69" s="650" t="s">
        <v>10554</v>
      </c>
      <c r="H69" s="650"/>
    </row>
    <row r="70" spans="1:9">
      <c r="A70" s="4426"/>
      <c r="B70" s="484" t="s">
        <v>10489</v>
      </c>
      <c r="C70" s="650"/>
      <c r="D70" s="650"/>
      <c r="E70" s="650">
        <v>637</v>
      </c>
      <c r="F70" s="650">
        <v>441</v>
      </c>
      <c r="G70" s="650" t="s">
        <v>10555</v>
      </c>
      <c r="H70" s="650"/>
    </row>
    <row r="71" spans="1:9">
      <c r="A71" s="484" t="s">
        <v>10557</v>
      </c>
      <c r="B71" s="484" t="s">
        <v>10551</v>
      </c>
      <c r="C71" s="650"/>
      <c r="D71" s="650"/>
      <c r="E71" s="650">
        <v>686</v>
      </c>
      <c r="F71" s="650">
        <v>441</v>
      </c>
      <c r="G71" s="650" t="s">
        <v>10491</v>
      </c>
      <c r="H71" s="650"/>
      <c r="I71" s="3162" t="s">
        <v>12704</v>
      </c>
    </row>
    <row r="72" spans="1:9">
      <c r="A72" s="4426" t="s">
        <v>10558</v>
      </c>
      <c r="B72" s="484" t="s">
        <v>10551</v>
      </c>
      <c r="C72" s="650"/>
      <c r="D72" s="650"/>
      <c r="E72" s="650">
        <v>628</v>
      </c>
      <c r="F72" s="650">
        <v>343</v>
      </c>
      <c r="G72" s="650" t="s">
        <v>10559</v>
      </c>
      <c r="H72" s="650"/>
    </row>
    <row r="73" spans="1:9">
      <c r="A73" s="4426"/>
      <c r="B73" s="484" t="s">
        <v>10489</v>
      </c>
      <c r="C73" s="650"/>
      <c r="D73" s="650"/>
      <c r="E73" s="650">
        <v>686</v>
      </c>
      <c r="F73" s="650">
        <v>471</v>
      </c>
      <c r="G73" s="650" t="s">
        <v>10560</v>
      </c>
      <c r="H73" s="650"/>
    </row>
    <row r="74" spans="1:9">
      <c r="A74" s="4426" t="s">
        <v>10561</v>
      </c>
      <c r="B74" s="484" t="s">
        <v>10551</v>
      </c>
      <c r="C74" s="650"/>
      <c r="D74" s="650"/>
      <c r="E74" s="650">
        <v>588</v>
      </c>
      <c r="F74" s="650">
        <v>392</v>
      </c>
      <c r="G74" s="650" t="s">
        <v>10562</v>
      </c>
      <c r="H74" s="650"/>
    </row>
    <row r="75" spans="1:9">
      <c r="A75" s="4426"/>
      <c r="B75" s="484" t="s">
        <v>10489</v>
      </c>
      <c r="C75" s="650"/>
      <c r="D75" s="650"/>
      <c r="E75" s="650">
        <v>686</v>
      </c>
      <c r="F75" s="650">
        <v>539</v>
      </c>
      <c r="G75" s="650" t="s">
        <v>10562</v>
      </c>
      <c r="H75" s="650"/>
    </row>
    <row r="76" spans="1:9">
      <c r="A76" s="4426" t="s">
        <v>10563</v>
      </c>
      <c r="B76" s="484" t="s">
        <v>10551</v>
      </c>
      <c r="C76" s="650"/>
      <c r="D76" s="650"/>
      <c r="E76" s="650">
        <v>686</v>
      </c>
      <c r="F76" s="650">
        <v>343</v>
      </c>
      <c r="G76" s="650" t="s">
        <v>10554</v>
      </c>
      <c r="H76" s="650"/>
    </row>
    <row r="77" spans="1:9">
      <c r="A77" s="4426"/>
      <c r="B77" s="484" t="s">
        <v>10489</v>
      </c>
      <c r="C77" s="650"/>
      <c r="D77" s="650"/>
      <c r="E77" s="650">
        <v>785</v>
      </c>
      <c r="F77" s="650">
        <v>588</v>
      </c>
      <c r="G77" s="650" t="s">
        <v>10564</v>
      </c>
      <c r="H77" s="650"/>
    </row>
    <row r="78" spans="1:9">
      <c r="A78" s="4436" t="s">
        <v>10565</v>
      </c>
      <c r="B78" s="4436"/>
      <c r="C78" s="4436"/>
      <c r="D78" s="4436"/>
      <c r="E78" s="4436"/>
      <c r="F78" s="4436"/>
      <c r="G78" s="4436"/>
      <c r="H78" s="4436"/>
    </row>
    <row r="79" spans="1:9">
      <c r="A79" s="4426" t="s">
        <v>10566</v>
      </c>
      <c r="B79" s="4426"/>
      <c r="C79" s="4426"/>
      <c r="D79" s="650" t="s">
        <v>10567</v>
      </c>
      <c r="E79" s="650">
        <v>270</v>
      </c>
      <c r="F79" s="650"/>
      <c r="G79" s="650" t="s">
        <v>10568</v>
      </c>
      <c r="H79" s="4426"/>
    </row>
    <row r="80" spans="1:9">
      <c r="A80" s="4426"/>
      <c r="B80" s="4426"/>
      <c r="C80" s="4426"/>
      <c r="D80" s="650" t="s">
        <v>10569</v>
      </c>
      <c r="E80" s="650">
        <v>240</v>
      </c>
      <c r="F80" s="650"/>
      <c r="G80" s="650" t="s">
        <v>10570</v>
      </c>
      <c r="H80" s="4426"/>
    </row>
    <row r="81" spans="1:9">
      <c r="A81" s="4426"/>
      <c r="B81" s="4426"/>
      <c r="C81" s="4426"/>
      <c r="D81" s="650" t="s">
        <v>10571</v>
      </c>
      <c r="E81" s="650">
        <v>220</v>
      </c>
      <c r="F81" s="650"/>
      <c r="G81" s="650" t="s">
        <v>10572</v>
      </c>
      <c r="H81" s="4426"/>
    </row>
    <row r="82" spans="1:9">
      <c r="A82" s="4426"/>
      <c r="B82" s="4426"/>
      <c r="C82" s="4426"/>
      <c r="D82" s="650" t="s">
        <v>10573</v>
      </c>
      <c r="E82" s="650">
        <v>200</v>
      </c>
      <c r="F82" s="650"/>
      <c r="G82" s="650" t="s">
        <v>10574</v>
      </c>
      <c r="H82" s="4426"/>
    </row>
    <row r="83" spans="1:9">
      <c r="A83" s="4426" t="s">
        <v>10575</v>
      </c>
      <c r="B83" s="4426"/>
      <c r="C83" s="4426"/>
      <c r="D83" s="650" t="s">
        <v>10569</v>
      </c>
      <c r="E83" s="650">
        <v>200</v>
      </c>
      <c r="F83" s="650"/>
      <c r="G83" s="650" t="s">
        <v>10576</v>
      </c>
      <c r="H83" s="4426"/>
    </row>
    <row r="84" spans="1:9">
      <c r="A84" s="4426"/>
      <c r="B84" s="4426"/>
      <c r="C84" s="4426"/>
      <c r="D84" s="650" t="s">
        <v>10571</v>
      </c>
      <c r="E84" s="650">
        <v>250</v>
      </c>
      <c r="F84" s="650"/>
      <c r="G84" s="650" t="s">
        <v>10577</v>
      </c>
      <c r="H84" s="4426"/>
    </row>
    <row r="85" spans="1:9">
      <c r="A85" s="4426"/>
      <c r="B85" s="4426"/>
      <c r="C85" s="4426"/>
      <c r="D85" s="650" t="s">
        <v>10573</v>
      </c>
      <c r="E85" s="650">
        <v>230</v>
      </c>
      <c r="F85" s="650"/>
      <c r="G85" s="650" t="s">
        <v>10578</v>
      </c>
      <c r="H85" s="4426"/>
    </row>
    <row r="86" spans="1:9">
      <c r="A86" s="4426" t="s">
        <v>10579</v>
      </c>
      <c r="B86" s="4426"/>
      <c r="C86" s="4426"/>
      <c r="D86" s="650" t="s">
        <v>10569</v>
      </c>
      <c r="E86" s="650">
        <v>340</v>
      </c>
      <c r="F86" s="650"/>
      <c r="G86" s="650" t="s">
        <v>10580</v>
      </c>
      <c r="H86" s="4430"/>
    </row>
    <row r="87" spans="1:9">
      <c r="A87" s="4426"/>
      <c r="B87" s="4426"/>
      <c r="C87" s="4426"/>
      <c r="D87" s="650" t="s">
        <v>10571</v>
      </c>
      <c r="E87" s="650">
        <v>290</v>
      </c>
      <c r="F87" s="650"/>
      <c r="G87" s="650" t="s">
        <v>10576</v>
      </c>
      <c r="H87" s="4434"/>
    </row>
    <row r="88" spans="1:9">
      <c r="A88" s="4426"/>
      <c r="B88" s="4426"/>
      <c r="C88" s="4426"/>
      <c r="D88" s="650" t="s">
        <v>10573</v>
      </c>
      <c r="E88" s="650">
        <v>260</v>
      </c>
      <c r="F88" s="650"/>
      <c r="G88" s="650" t="s">
        <v>10581</v>
      </c>
      <c r="H88" s="4435"/>
    </row>
    <row r="89" spans="1:9">
      <c r="A89" s="484" t="s">
        <v>10582</v>
      </c>
      <c r="B89" s="650"/>
      <c r="C89" s="650"/>
      <c r="D89" s="650"/>
      <c r="E89" s="650">
        <v>500</v>
      </c>
      <c r="F89" s="650">
        <v>320</v>
      </c>
      <c r="G89" s="650" t="s">
        <v>10583</v>
      </c>
      <c r="H89" s="650"/>
    </row>
    <row r="90" spans="1:9">
      <c r="A90" s="484" t="s">
        <v>10584</v>
      </c>
      <c r="B90" s="650"/>
      <c r="C90" s="650"/>
      <c r="D90" s="650"/>
      <c r="E90" s="650">
        <v>600</v>
      </c>
      <c r="F90" s="650">
        <v>370</v>
      </c>
      <c r="G90" s="650" t="s">
        <v>10585</v>
      </c>
      <c r="H90" s="650"/>
    </row>
    <row r="91" spans="1:9">
      <c r="A91" s="484" t="s">
        <v>10586</v>
      </c>
      <c r="B91" s="650"/>
      <c r="C91" s="650"/>
      <c r="D91" s="650"/>
      <c r="E91" s="650">
        <v>700</v>
      </c>
      <c r="F91" s="650">
        <v>420</v>
      </c>
      <c r="G91" s="650" t="s">
        <v>10587</v>
      </c>
      <c r="H91" s="650"/>
    </row>
    <row r="92" spans="1:9">
      <c r="A92" s="484" t="s">
        <v>10588</v>
      </c>
      <c r="B92" s="650"/>
      <c r="C92" s="650"/>
      <c r="D92" s="650"/>
      <c r="E92" s="650">
        <v>800</v>
      </c>
      <c r="F92" s="650">
        <v>480</v>
      </c>
      <c r="G92" s="650" t="s">
        <v>10589</v>
      </c>
      <c r="H92" s="650"/>
      <c r="I92" s="3162" t="s">
        <v>12704</v>
      </c>
    </row>
    <row r="93" spans="1:9">
      <c r="A93" s="484" t="s">
        <v>10590</v>
      </c>
      <c r="B93" s="650"/>
      <c r="C93" s="650"/>
      <c r="D93" s="650"/>
      <c r="E93" s="650">
        <v>900</v>
      </c>
      <c r="F93" s="650">
        <v>600</v>
      </c>
      <c r="G93" s="650" t="s">
        <v>10591</v>
      </c>
      <c r="H93" s="650"/>
    </row>
  </sheetData>
  <mergeCells count="74">
    <mergeCell ref="H83:H85"/>
    <mergeCell ref="H86:H88"/>
    <mergeCell ref="H31:H34"/>
    <mergeCell ref="H36:H38"/>
    <mergeCell ref="H40:H43"/>
    <mergeCell ref="H45:H48"/>
    <mergeCell ref="H79:H82"/>
    <mergeCell ref="A54:H54"/>
    <mergeCell ref="C56:G56"/>
    <mergeCell ref="C58:G58"/>
    <mergeCell ref="A62:H62"/>
    <mergeCell ref="A78:H78"/>
    <mergeCell ref="A55:A56"/>
    <mergeCell ref="A57:A58"/>
    <mergeCell ref="A65:A66"/>
    <mergeCell ref="A67:A68"/>
    <mergeCell ref="H6:H12"/>
    <mergeCell ref="H14:H17"/>
    <mergeCell ref="H19:H22"/>
    <mergeCell ref="H24:H26"/>
    <mergeCell ref="H28:H29"/>
    <mergeCell ref="B83:B85"/>
    <mergeCell ref="B86:B88"/>
    <mergeCell ref="C79:C82"/>
    <mergeCell ref="C83:C85"/>
    <mergeCell ref="C86:C88"/>
    <mergeCell ref="A79:A82"/>
    <mergeCell ref="A83:A85"/>
    <mergeCell ref="A86:A88"/>
    <mergeCell ref="B3:B4"/>
    <mergeCell ref="B6:B9"/>
    <mergeCell ref="B10:B12"/>
    <mergeCell ref="B14:B17"/>
    <mergeCell ref="B19:B22"/>
    <mergeCell ref="B24:B26"/>
    <mergeCell ref="B28:B29"/>
    <mergeCell ref="B31:B34"/>
    <mergeCell ref="B36:B38"/>
    <mergeCell ref="B40:B43"/>
    <mergeCell ref="B45:B48"/>
    <mergeCell ref="B52:B53"/>
    <mergeCell ref="B79:B82"/>
    <mergeCell ref="A6:A13"/>
    <mergeCell ref="A14:A18"/>
    <mergeCell ref="A19:A23"/>
    <mergeCell ref="A24:A27"/>
    <mergeCell ref="A28:A30"/>
    <mergeCell ref="A69:A70"/>
    <mergeCell ref="A72:A73"/>
    <mergeCell ref="A74:A75"/>
    <mergeCell ref="A76:A77"/>
    <mergeCell ref="C35:G35"/>
    <mergeCell ref="C39:G39"/>
    <mergeCell ref="C44:G44"/>
    <mergeCell ref="C49:G49"/>
    <mergeCell ref="C52:D52"/>
    <mergeCell ref="E52:F52"/>
    <mergeCell ref="G52:H52"/>
    <mergeCell ref="A31:A35"/>
    <mergeCell ref="A36:A39"/>
    <mergeCell ref="A40:A44"/>
    <mergeCell ref="A45:A49"/>
    <mergeCell ref="A52:A53"/>
    <mergeCell ref="C13:G13"/>
    <mergeCell ref="C18:G18"/>
    <mergeCell ref="C23:G23"/>
    <mergeCell ref="C27:G27"/>
    <mergeCell ref="C30:G30"/>
    <mergeCell ref="A1:H1"/>
    <mergeCell ref="C3:D3"/>
    <mergeCell ref="E3:F3"/>
    <mergeCell ref="G3:H3"/>
    <mergeCell ref="A5:H5"/>
    <mergeCell ref="A3:A4"/>
  </mergeCells>
  <phoneticPr fontId="378" type="noConversion"/>
  <hyperlinks>
    <hyperlink ref="I1" location="总目录!A1" display="返回目录"/>
    <hyperlink ref="I25" location="总目录!A1" display="返回目录"/>
    <hyperlink ref="I49" location="总目录!A1" display="返回目录"/>
    <hyperlink ref="I71" location="总目录!A1" display="返回目录"/>
    <hyperlink ref="I92" location="总目录!A1" display="返回目录"/>
  </hyperlinks>
  <pageMargins left="0.75" right="0.75" top="1" bottom="1" header="0.5" footer="0.5"/>
  <headerFooter scaleWithDoc="0" alignWithMargins="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topLeftCell="A13" zoomScale="75" zoomScaleNormal="75" workbookViewId="0">
      <selection activeCell="G35" sqref="G35"/>
    </sheetView>
  </sheetViews>
  <sheetFormatPr defaultColWidth="9" defaultRowHeight="18.75"/>
  <cols>
    <col min="1" max="1" width="16.125" style="897" customWidth="1"/>
    <col min="2" max="2" width="31.75" style="897" customWidth="1"/>
    <col min="3" max="3" width="5.875" style="897" customWidth="1"/>
    <col min="4" max="4" width="39.375" style="897" customWidth="1"/>
    <col min="5" max="5" width="11" style="898"/>
    <col min="6" max="6" width="11" style="893"/>
    <col min="7" max="32" width="11" style="897"/>
    <col min="33" max="16384" width="9" style="897"/>
  </cols>
  <sheetData>
    <row r="1" spans="1:7" ht="27">
      <c r="A1" s="4437">
        <v>7</v>
      </c>
      <c r="B1" s="4437"/>
      <c r="C1" s="4437"/>
      <c r="D1" s="4437"/>
      <c r="E1" s="4437"/>
      <c r="F1" s="4437"/>
    </row>
    <row r="3" spans="1:7">
      <c r="A3" s="899" t="s">
        <v>10592</v>
      </c>
      <c r="B3" s="4438" t="s">
        <v>10593</v>
      </c>
      <c r="C3" s="4439"/>
      <c r="D3" s="899" t="s">
        <v>10594</v>
      </c>
      <c r="E3" s="900" t="s">
        <v>1633</v>
      </c>
      <c r="F3" s="899" t="s">
        <v>6730</v>
      </c>
      <c r="G3" s="3166" t="s">
        <v>12704</v>
      </c>
    </row>
    <row r="4" spans="1:7" ht="22.5">
      <c r="A4" s="901" t="s">
        <v>10392</v>
      </c>
      <c r="B4" s="4438" t="s">
        <v>5928</v>
      </c>
      <c r="C4" s="4439"/>
      <c r="D4" s="902" t="s">
        <v>10595</v>
      </c>
      <c r="E4" s="903">
        <v>15</v>
      </c>
      <c r="F4" s="899"/>
    </row>
    <row r="5" spans="1:7" ht="22.5">
      <c r="A5" s="901" t="s">
        <v>10389</v>
      </c>
      <c r="B5" s="4438" t="s">
        <v>10596</v>
      </c>
      <c r="C5" s="4439"/>
      <c r="D5" s="902" t="s">
        <v>10597</v>
      </c>
      <c r="E5" s="903">
        <v>0.8</v>
      </c>
      <c r="F5" s="899"/>
    </row>
    <row r="6" spans="1:7" ht="22.5">
      <c r="A6" s="899" t="s">
        <v>10598</v>
      </c>
      <c r="B6" s="4438" t="s">
        <v>6356</v>
      </c>
      <c r="C6" s="4439"/>
      <c r="D6" s="902" t="s">
        <v>10599</v>
      </c>
      <c r="E6" s="900">
        <v>20</v>
      </c>
      <c r="F6" s="899"/>
    </row>
    <row r="7" spans="1:7" ht="22.5">
      <c r="A7" s="899" t="s">
        <v>10600</v>
      </c>
      <c r="B7" s="4438" t="s">
        <v>9723</v>
      </c>
      <c r="C7" s="4439"/>
      <c r="D7" s="902" t="s">
        <v>10601</v>
      </c>
      <c r="E7" s="904">
        <f>E27/E10</f>
        <v>40</v>
      </c>
      <c r="F7" s="899"/>
    </row>
    <row r="8" spans="1:7" ht="22.5">
      <c r="A8" s="899" t="s">
        <v>10401</v>
      </c>
      <c r="B8" s="4438" t="s">
        <v>10602</v>
      </c>
      <c r="C8" s="4439"/>
      <c r="D8" s="902" t="s">
        <v>10603</v>
      </c>
      <c r="E8" s="904">
        <f>E4/E5-0.5*(E11+E27)</f>
        <v>-6.25</v>
      </c>
      <c r="F8" s="899"/>
    </row>
    <row r="9" spans="1:7" ht="22.5">
      <c r="A9" s="899" t="s">
        <v>10604</v>
      </c>
      <c r="B9" s="4438" t="s">
        <v>5901</v>
      </c>
      <c r="C9" s="4439"/>
      <c r="D9" s="905" t="s">
        <v>10605</v>
      </c>
      <c r="E9" s="900">
        <f>0.25*E5</f>
        <v>0.2</v>
      </c>
      <c r="F9" s="899"/>
    </row>
    <row r="10" spans="1:7" ht="22.5">
      <c r="A10" s="4440" t="s">
        <v>10606</v>
      </c>
      <c r="B10" s="906" t="s">
        <v>10607</v>
      </c>
      <c r="C10" s="902" t="s">
        <v>6334</v>
      </c>
      <c r="D10" s="902" t="s">
        <v>10608</v>
      </c>
      <c r="E10" s="903">
        <v>1</v>
      </c>
      <c r="F10" s="899"/>
    </row>
    <row r="11" spans="1:7" ht="22.5">
      <c r="A11" s="4441"/>
      <c r="B11" s="906" t="s">
        <v>10609</v>
      </c>
      <c r="C11" s="902" t="s">
        <v>6697</v>
      </c>
      <c r="D11" s="902" t="s">
        <v>10610</v>
      </c>
      <c r="E11" s="903">
        <v>10</v>
      </c>
      <c r="F11" s="899"/>
    </row>
    <row r="12" spans="1:7" ht="22.5">
      <c r="A12" s="4441"/>
      <c r="B12" s="902" t="s">
        <v>10411</v>
      </c>
      <c r="C12" s="902" t="s">
        <v>10611</v>
      </c>
      <c r="D12" s="902" t="s">
        <v>10612</v>
      </c>
      <c r="E12" s="904">
        <f>E5</f>
        <v>0.8</v>
      </c>
      <c r="F12" s="899"/>
    </row>
    <row r="13" spans="1:7" ht="22.5">
      <c r="A13" s="4441"/>
      <c r="B13" s="902" t="s">
        <v>10413</v>
      </c>
      <c r="C13" s="902" t="s">
        <v>10414</v>
      </c>
      <c r="D13" s="902" t="s">
        <v>10613</v>
      </c>
      <c r="E13" s="904">
        <f>1.25*E5</f>
        <v>1</v>
      </c>
      <c r="F13" s="899"/>
    </row>
    <row r="14" spans="1:7" ht="22.5">
      <c r="A14" s="4441"/>
      <c r="B14" s="902" t="s">
        <v>6658</v>
      </c>
      <c r="C14" s="902" t="s">
        <v>10614</v>
      </c>
      <c r="D14" s="902" t="s">
        <v>10615</v>
      </c>
      <c r="E14" s="904">
        <f>E11*E5</f>
        <v>8</v>
      </c>
      <c r="F14" s="899"/>
    </row>
    <row r="15" spans="1:7" ht="22.5">
      <c r="A15" s="4441"/>
      <c r="B15" s="902" t="s">
        <v>10616</v>
      </c>
      <c r="C15" s="902" t="s">
        <v>10617</v>
      </c>
      <c r="D15" s="902" t="s">
        <v>10618</v>
      </c>
      <c r="E15" s="904">
        <f>E14+2*E5*E8</f>
        <v>-2</v>
      </c>
      <c r="F15" s="899"/>
    </row>
    <row r="16" spans="1:7" ht="22.5">
      <c r="A16" s="4441"/>
      <c r="B16" s="902" t="s">
        <v>6660</v>
      </c>
      <c r="C16" s="902" t="s">
        <v>10619</v>
      </c>
      <c r="D16" s="902" t="s">
        <v>10620</v>
      </c>
      <c r="E16" s="904">
        <f>E5*(E11+2)</f>
        <v>9.6</v>
      </c>
      <c r="F16" s="899"/>
    </row>
    <row r="17" spans="1:6" ht="22.5">
      <c r="A17" s="4441"/>
      <c r="B17" s="902" t="s">
        <v>6665</v>
      </c>
      <c r="C17" s="902" t="s">
        <v>10621</v>
      </c>
      <c r="D17" s="902" t="s">
        <v>10622</v>
      </c>
      <c r="E17" s="904">
        <f>E5*(E11-2.5)</f>
        <v>6</v>
      </c>
      <c r="F17" s="899"/>
    </row>
    <row r="18" spans="1:6" ht="22.5">
      <c r="A18" s="4441"/>
      <c r="B18" s="902" t="s">
        <v>10623</v>
      </c>
      <c r="C18" s="902" t="s">
        <v>10624</v>
      </c>
      <c r="D18" s="902" t="s">
        <v>10625</v>
      </c>
      <c r="E18" s="904">
        <f>ATAN(E10/E11)</f>
        <v>9.9668652491161996E-2</v>
      </c>
      <c r="F18" s="899"/>
    </row>
    <row r="19" spans="1:6" ht="22.5">
      <c r="A19" s="4441"/>
      <c r="B19" s="902" t="s">
        <v>10626</v>
      </c>
      <c r="C19" s="902" t="s">
        <v>10627</v>
      </c>
      <c r="D19" s="902" t="s">
        <v>10628</v>
      </c>
      <c r="E19" s="904">
        <f>E5*COS(E18)</f>
        <v>0.79602975216799099</v>
      </c>
      <c r="F19" s="899"/>
    </row>
    <row r="20" spans="1:6" ht="22.5">
      <c r="A20" s="4441"/>
      <c r="B20" s="4443" t="s">
        <v>10629</v>
      </c>
      <c r="C20" s="4443" t="s">
        <v>10630</v>
      </c>
      <c r="D20" s="907" t="s">
        <v>10631</v>
      </c>
      <c r="E20" s="904">
        <f>(12+0.1*E27)*E5</f>
        <v>12.8</v>
      </c>
      <c r="F20" s="899" t="s">
        <v>10632</v>
      </c>
    </row>
    <row r="21" spans="1:6" ht="22.5">
      <c r="A21" s="4441"/>
      <c r="B21" s="4444"/>
      <c r="C21" s="4444"/>
      <c r="D21" s="907" t="s">
        <v>10633</v>
      </c>
      <c r="E21" s="904">
        <f>(13+0.1*E27)*E5</f>
        <v>13.6</v>
      </c>
      <c r="F21" s="899" t="s">
        <v>10634</v>
      </c>
    </row>
    <row r="22" spans="1:6" ht="22.5">
      <c r="A22" s="4441"/>
      <c r="B22" s="902" t="s">
        <v>10635</v>
      </c>
      <c r="C22" s="902" t="s">
        <v>6370</v>
      </c>
      <c r="D22" s="902" t="s">
        <v>10636</v>
      </c>
      <c r="E22" s="904">
        <f>3.1415*E5</f>
        <v>2.5131999999999999</v>
      </c>
      <c r="F22" s="899"/>
    </row>
    <row r="23" spans="1:6" ht="22.5">
      <c r="A23" s="4441"/>
      <c r="B23" s="902" t="s">
        <v>10637</v>
      </c>
      <c r="C23" s="902" t="s">
        <v>10638</v>
      </c>
      <c r="D23" s="902" t="s">
        <v>10639</v>
      </c>
      <c r="E23" s="904">
        <f>3.1415*E5*E10</f>
        <v>2.5131999999999999</v>
      </c>
      <c r="F23" s="899"/>
    </row>
    <row r="24" spans="1:6" ht="22.5">
      <c r="A24" s="4441"/>
      <c r="B24" s="902" t="s">
        <v>10640</v>
      </c>
      <c r="C24" s="902" t="s">
        <v>10641</v>
      </c>
      <c r="D24" s="902" t="s">
        <v>10642</v>
      </c>
      <c r="E24" s="904">
        <f>E7</f>
        <v>40</v>
      </c>
      <c r="F24" s="899"/>
    </row>
    <row r="25" spans="1:6" ht="22.5">
      <c r="A25" s="4441"/>
      <c r="B25" s="902" t="s">
        <v>10643</v>
      </c>
      <c r="C25" s="902" t="s">
        <v>10644</v>
      </c>
      <c r="D25" s="902" t="s">
        <v>10645</v>
      </c>
      <c r="E25" s="904">
        <f>E24*COS(E18)</f>
        <v>39.801487608399597</v>
      </c>
      <c r="F25" s="899"/>
    </row>
    <row r="26" spans="1:6" ht="22.5">
      <c r="A26" s="4442"/>
      <c r="B26" s="902" t="s">
        <v>10646</v>
      </c>
      <c r="C26" s="902" t="s">
        <v>10647</v>
      </c>
      <c r="D26" s="902" t="s">
        <v>10648</v>
      </c>
      <c r="E26" s="904">
        <f>E5</f>
        <v>0.8</v>
      </c>
      <c r="F26" s="899"/>
    </row>
    <row r="27" spans="1:6" ht="22.5">
      <c r="A27" s="4440" t="s">
        <v>10649</v>
      </c>
      <c r="B27" s="906" t="s">
        <v>9893</v>
      </c>
      <c r="C27" s="902" t="s">
        <v>10650</v>
      </c>
      <c r="D27" s="902" t="s">
        <v>10651</v>
      </c>
      <c r="E27" s="903">
        <v>40</v>
      </c>
      <c r="F27" s="899"/>
    </row>
    <row r="28" spans="1:6" ht="22.5">
      <c r="A28" s="4441"/>
      <c r="B28" s="902" t="s">
        <v>6658</v>
      </c>
      <c r="C28" s="902" t="s">
        <v>10652</v>
      </c>
      <c r="D28" s="902" t="s">
        <v>10653</v>
      </c>
      <c r="E28" s="904">
        <f>E5*E27</f>
        <v>32</v>
      </c>
      <c r="F28" s="899"/>
    </row>
    <row r="29" spans="1:6" ht="22.5">
      <c r="A29" s="4441"/>
      <c r="B29" s="902" t="s">
        <v>10616</v>
      </c>
      <c r="C29" s="902" t="s">
        <v>10654</v>
      </c>
      <c r="D29" s="902" t="s">
        <v>10655</v>
      </c>
      <c r="E29" s="904">
        <f>E28</f>
        <v>32</v>
      </c>
      <c r="F29" s="899"/>
    </row>
    <row r="30" spans="1:6" ht="22.5">
      <c r="A30" s="4441"/>
      <c r="B30" s="902" t="s">
        <v>6665</v>
      </c>
      <c r="C30" s="902" t="s">
        <v>10656</v>
      </c>
      <c r="D30" s="902" t="s">
        <v>10657</v>
      </c>
      <c r="E30" s="904">
        <f>2*(E4-0.5*E16-0.25*E5)</f>
        <v>20</v>
      </c>
      <c r="F30" s="899"/>
    </row>
    <row r="31" spans="1:6" ht="22.5">
      <c r="A31" s="4441"/>
      <c r="B31" s="902" t="s">
        <v>6660</v>
      </c>
      <c r="C31" s="902" t="s">
        <v>10658</v>
      </c>
      <c r="D31" s="902" t="s">
        <v>10659</v>
      </c>
      <c r="E31" s="904">
        <f>2*(E4-0.5*E14+E5)</f>
        <v>23.6</v>
      </c>
      <c r="F31" s="899"/>
    </row>
    <row r="32" spans="1:6" ht="22.5">
      <c r="A32" s="4441"/>
      <c r="B32" s="902" t="s">
        <v>10660</v>
      </c>
      <c r="C32" s="902" t="s">
        <v>10661</v>
      </c>
      <c r="D32" s="902" t="s">
        <v>10662</v>
      </c>
      <c r="E32" s="904">
        <f>E31+E5</f>
        <v>24.4</v>
      </c>
      <c r="F32" s="899"/>
    </row>
    <row r="33" spans="1:7" ht="22.5">
      <c r="A33" s="4441"/>
      <c r="B33" s="902" t="s">
        <v>10663</v>
      </c>
      <c r="C33" s="902" t="s">
        <v>5900</v>
      </c>
      <c r="D33" s="902" t="s">
        <v>10664</v>
      </c>
      <c r="E33" s="904">
        <f>0.65*E16</f>
        <v>6.24</v>
      </c>
      <c r="F33" s="899"/>
    </row>
    <row r="34" spans="1:7" ht="22.5">
      <c r="A34" s="4441"/>
      <c r="B34" s="902" t="s">
        <v>10665</v>
      </c>
      <c r="C34" s="902" t="s">
        <v>10666</v>
      </c>
      <c r="D34" s="902" t="s">
        <v>10667</v>
      </c>
      <c r="E34" s="904">
        <f>0.5*E14-E5</f>
        <v>3.2</v>
      </c>
      <c r="F34" s="899"/>
    </row>
    <row r="35" spans="1:7" ht="22.5">
      <c r="A35" s="4442"/>
      <c r="B35" s="902" t="s">
        <v>10668</v>
      </c>
      <c r="C35" s="902" t="s">
        <v>10669</v>
      </c>
      <c r="D35" s="902" t="s">
        <v>10670</v>
      </c>
      <c r="E35" s="904">
        <f>0.5*E16+0.25*E5</f>
        <v>5</v>
      </c>
      <c r="F35" s="899"/>
      <c r="G35" s="3166" t="s">
        <v>12704</v>
      </c>
    </row>
    <row r="36" spans="1:7">
      <c r="A36" s="908" t="s">
        <v>10671</v>
      </c>
    </row>
  </sheetData>
  <mergeCells count="12">
    <mergeCell ref="B7:C7"/>
    <mergeCell ref="B8:C8"/>
    <mergeCell ref="B9:C9"/>
    <mergeCell ref="A10:A26"/>
    <mergeCell ref="A27:A35"/>
    <mergeCell ref="B20:B21"/>
    <mergeCell ref="C20:C21"/>
    <mergeCell ref="A1:F1"/>
    <mergeCell ref="B3:C3"/>
    <mergeCell ref="B4:C4"/>
    <mergeCell ref="B5:C5"/>
    <mergeCell ref="B6:C6"/>
  </mergeCells>
  <phoneticPr fontId="378" type="noConversion"/>
  <hyperlinks>
    <hyperlink ref="G3" location="总目录!A1" display="返回目录"/>
    <hyperlink ref="G35" location="总目录!A1" display="返回目录"/>
  </hyperlinks>
  <pageMargins left="0.75" right="0.75" top="1" bottom="1" header="0.5" footer="0.5"/>
  <pageSetup paperSize="9" orientation="portrait" horizontalDpi="300" verticalDpi="300"/>
  <headerFooter scaleWithDoc="0" alignWithMargins="0"/>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
  <sheetViews>
    <sheetView zoomScale="75" zoomScaleNormal="75" workbookViewId="0">
      <pane xSplit="2" ySplit="3" topLeftCell="C19" activePane="bottomRight" state="frozen"/>
      <selection activeCell="K3" sqref="K3"/>
      <selection pane="topRight" activeCell="K3" sqref="K3"/>
      <selection pane="bottomLeft" activeCell="K3" sqref="K3"/>
      <selection pane="bottomRight" activeCell="P48" sqref="P48"/>
    </sheetView>
  </sheetViews>
  <sheetFormatPr defaultColWidth="9" defaultRowHeight="18.75"/>
  <cols>
    <col min="1" max="1" width="9.375" style="893" customWidth="1"/>
    <col min="2" max="2" width="7" style="893" customWidth="1"/>
    <col min="3" max="3" width="5.5" style="893" customWidth="1"/>
    <col min="4" max="9" width="7" style="893" customWidth="1"/>
    <col min="10" max="10" width="8" style="893" customWidth="1"/>
    <col min="11" max="12" width="7" style="893" customWidth="1"/>
    <col min="13" max="13" width="8" style="893" customWidth="1"/>
    <col min="14" max="14" width="7" style="893" customWidth="1"/>
    <col min="15" max="15" width="8" style="893" customWidth="1"/>
    <col min="16" max="32" width="11" style="893"/>
    <col min="33" max="16384" width="9" style="893"/>
  </cols>
  <sheetData>
    <row r="1" spans="1:16" ht="25.5">
      <c r="A1" s="4445" t="s">
        <v>18</v>
      </c>
      <c r="B1" s="4445"/>
      <c r="C1" s="4445"/>
      <c r="D1" s="4445"/>
      <c r="E1" s="4445"/>
      <c r="F1" s="4445"/>
      <c r="G1" s="4445"/>
      <c r="H1" s="4445"/>
      <c r="I1" s="4445"/>
      <c r="J1" s="4445"/>
      <c r="K1" s="4445"/>
      <c r="L1" s="4445"/>
      <c r="M1" s="4445"/>
      <c r="N1" s="4445"/>
      <c r="O1" s="4445"/>
      <c r="P1" s="3166" t="s">
        <v>12704</v>
      </c>
    </row>
    <row r="2" spans="1:16" s="892" customFormat="1" ht="16.5">
      <c r="A2" s="3469" t="s">
        <v>10672</v>
      </c>
      <c r="B2" s="3469" t="s">
        <v>10673</v>
      </c>
      <c r="C2" s="3469" t="s">
        <v>10674</v>
      </c>
      <c r="D2" s="3398" t="s">
        <v>10675</v>
      </c>
      <c r="E2" s="3398"/>
      <c r="F2" s="3398"/>
      <c r="G2" s="3398"/>
      <c r="H2" s="3398"/>
      <c r="I2" s="3398"/>
      <c r="J2" s="3398"/>
      <c r="K2" s="3398"/>
      <c r="L2" s="3398"/>
      <c r="M2" s="3398"/>
      <c r="N2" s="3398"/>
      <c r="O2" s="3398"/>
    </row>
    <row r="3" spans="1:16">
      <c r="A3" s="3469"/>
      <c r="B3" s="3469"/>
      <c r="C3" s="3469"/>
      <c r="D3" s="895">
        <v>80</v>
      </c>
      <c r="E3" s="895">
        <v>100</v>
      </c>
      <c r="F3" s="895">
        <v>125</v>
      </c>
      <c r="G3" s="895">
        <v>160</v>
      </c>
      <c r="H3" s="895">
        <v>200</v>
      </c>
      <c r="I3" s="895">
        <v>250</v>
      </c>
      <c r="J3" s="895">
        <v>280</v>
      </c>
      <c r="K3" s="895">
        <v>320</v>
      </c>
      <c r="L3" s="895">
        <v>360</v>
      </c>
      <c r="M3" s="895">
        <v>400</v>
      </c>
      <c r="N3" s="895">
        <v>450</v>
      </c>
      <c r="O3" s="895">
        <v>500</v>
      </c>
    </row>
    <row r="4" spans="1:16">
      <c r="A4" s="4446">
        <v>4</v>
      </c>
      <c r="B4" s="4449">
        <v>8</v>
      </c>
      <c r="C4" s="896" t="s">
        <v>6336</v>
      </c>
      <c r="D4" s="894">
        <v>30</v>
      </c>
      <c r="E4" s="894">
        <v>31</v>
      </c>
      <c r="F4" s="894">
        <v>32</v>
      </c>
      <c r="G4" s="894">
        <v>30</v>
      </c>
      <c r="H4" s="894">
        <v>31</v>
      </c>
      <c r="I4" s="894">
        <v>32</v>
      </c>
      <c r="J4" s="894">
        <v>31</v>
      </c>
      <c r="K4" s="894">
        <v>32</v>
      </c>
      <c r="L4" s="894">
        <v>32</v>
      </c>
      <c r="M4" s="894">
        <v>32</v>
      </c>
      <c r="N4" s="894"/>
      <c r="O4" s="894"/>
    </row>
    <row r="5" spans="1:16">
      <c r="A5" s="4447"/>
      <c r="B5" s="4450"/>
      <c r="C5" s="896" t="s">
        <v>10676</v>
      </c>
      <c r="D5" s="894">
        <v>4</v>
      </c>
      <c r="E5" s="894">
        <v>5</v>
      </c>
      <c r="F5" s="894">
        <v>6</v>
      </c>
      <c r="G5" s="894">
        <v>8</v>
      </c>
      <c r="H5" s="894">
        <v>10</v>
      </c>
      <c r="I5" s="894">
        <v>12</v>
      </c>
      <c r="J5" s="894">
        <v>14</v>
      </c>
      <c r="K5" s="894">
        <v>16</v>
      </c>
      <c r="L5" s="894">
        <v>18</v>
      </c>
      <c r="M5" s="894">
        <v>20</v>
      </c>
      <c r="N5" s="894"/>
      <c r="O5" s="894"/>
    </row>
    <row r="6" spans="1:16">
      <c r="A6" s="4447"/>
      <c r="B6" s="4450"/>
      <c r="C6" s="896" t="s">
        <v>6697</v>
      </c>
      <c r="D6" s="894">
        <v>10</v>
      </c>
      <c r="E6" s="894">
        <v>9</v>
      </c>
      <c r="F6" s="894">
        <v>9</v>
      </c>
      <c r="G6" s="894">
        <v>9</v>
      </c>
      <c r="H6" s="894">
        <v>9</v>
      </c>
      <c r="I6" s="894">
        <v>9</v>
      </c>
      <c r="J6" s="894">
        <v>9</v>
      </c>
      <c r="K6" s="894">
        <v>8</v>
      </c>
      <c r="L6" s="894">
        <v>8</v>
      </c>
      <c r="M6" s="894">
        <v>8</v>
      </c>
      <c r="N6" s="894">
        <v>8</v>
      </c>
      <c r="O6" s="894"/>
    </row>
    <row r="7" spans="1:16">
      <c r="A7" s="4447"/>
      <c r="B7" s="4450"/>
      <c r="C7" s="896" t="s">
        <v>10602</v>
      </c>
      <c r="D7" s="894">
        <v>0</v>
      </c>
      <c r="E7" s="894">
        <v>0</v>
      </c>
      <c r="F7" s="894">
        <v>0.33300000000000002</v>
      </c>
      <c r="G7" s="894">
        <v>0.5</v>
      </c>
      <c r="H7" s="894">
        <v>0</v>
      </c>
      <c r="I7" s="894">
        <v>0.33300000000000002</v>
      </c>
      <c r="J7" s="894">
        <v>0</v>
      </c>
      <c r="K7" s="894">
        <v>0</v>
      </c>
      <c r="L7" s="894">
        <v>0</v>
      </c>
      <c r="M7" s="894">
        <v>0</v>
      </c>
      <c r="N7" s="894">
        <v>0.45400000000000001</v>
      </c>
      <c r="O7" s="894"/>
    </row>
    <row r="8" spans="1:16">
      <c r="A8" s="4447"/>
      <c r="B8" s="4451"/>
      <c r="C8" s="896" t="s">
        <v>10408</v>
      </c>
      <c r="D8" s="894">
        <v>40</v>
      </c>
      <c r="E8" s="894">
        <v>45</v>
      </c>
      <c r="F8" s="894">
        <v>54</v>
      </c>
      <c r="G8" s="894">
        <v>72</v>
      </c>
      <c r="H8" s="894">
        <v>90</v>
      </c>
      <c r="I8" s="894">
        <v>108</v>
      </c>
      <c r="J8" s="894">
        <v>126</v>
      </c>
      <c r="K8" s="894">
        <v>128</v>
      </c>
      <c r="L8" s="894">
        <v>144</v>
      </c>
      <c r="M8" s="894">
        <v>160</v>
      </c>
      <c r="N8" s="894">
        <v>176</v>
      </c>
      <c r="O8" s="894"/>
    </row>
    <row r="9" spans="1:16">
      <c r="A9" s="4447"/>
      <c r="B9" s="4449">
        <v>10</v>
      </c>
      <c r="C9" s="896" t="s">
        <v>6336</v>
      </c>
      <c r="D9" s="894">
        <v>41</v>
      </c>
      <c r="E9" s="894">
        <v>40</v>
      </c>
      <c r="F9" s="894">
        <v>41</v>
      </c>
      <c r="G9" s="894">
        <v>43</v>
      </c>
      <c r="H9" s="894">
        <v>40</v>
      </c>
      <c r="I9" s="894">
        <v>41</v>
      </c>
      <c r="J9" s="894">
        <v>41</v>
      </c>
      <c r="K9" s="894">
        <v>42</v>
      </c>
      <c r="L9" s="894">
        <v>42</v>
      </c>
      <c r="M9" s="894">
        <v>38</v>
      </c>
      <c r="N9" s="894">
        <v>38</v>
      </c>
      <c r="O9" s="894"/>
    </row>
    <row r="10" spans="1:16">
      <c r="A10" s="4447"/>
      <c r="B10" s="4450"/>
      <c r="C10" s="896" t="s">
        <v>10676</v>
      </c>
      <c r="D10" s="894">
        <v>3</v>
      </c>
      <c r="E10" s="894">
        <v>4</v>
      </c>
      <c r="F10" s="894">
        <v>5</v>
      </c>
      <c r="G10" s="894">
        <v>6</v>
      </c>
      <c r="H10" s="894">
        <v>8</v>
      </c>
      <c r="I10" s="894">
        <v>10</v>
      </c>
      <c r="J10" s="894">
        <v>11</v>
      </c>
      <c r="K10" s="894">
        <v>12</v>
      </c>
      <c r="L10" s="894">
        <v>14</v>
      </c>
      <c r="M10" s="894">
        <v>18</v>
      </c>
      <c r="N10" s="894">
        <v>20</v>
      </c>
      <c r="O10" s="894"/>
    </row>
    <row r="11" spans="1:16">
      <c r="A11" s="4447"/>
      <c r="B11" s="4450"/>
      <c r="C11" s="896" t="s">
        <v>6697</v>
      </c>
      <c r="D11" s="894">
        <v>12</v>
      </c>
      <c r="E11" s="894">
        <v>10</v>
      </c>
      <c r="F11" s="894">
        <v>9</v>
      </c>
      <c r="G11" s="894">
        <v>9</v>
      </c>
      <c r="H11" s="894">
        <v>10</v>
      </c>
      <c r="I11" s="894">
        <v>9</v>
      </c>
      <c r="J11" s="894">
        <v>10</v>
      </c>
      <c r="K11" s="894">
        <v>10</v>
      </c>
      <c r="L11" s="894">
        <v>9</v>
      </c>
      <c r="M11" s="894">
        <v>8</v>
      </c>
      <c r="N11" s="894">
        <v>8</v>
      </c>
      <c r="O11" s="894">
        <v>8</v>
      </c>
    </row>
    <row r="12" spans="1:16">
      <c r="A12" s="4447"/>
      <c r="B12" s="4450"/>
      <c r="C12" s="896" t="s">
        <v>10602</v>
      </c>
      <c r="D12" s="894">
        <v>0.16700000000000001</v>
      </c>
      <c r="E12" s="894">
        <v>0</v>
      </c>
      <c r="F12" s="894">
        <v>0</v>
      </c>
      <c r="G12" s="894">
        <v>0.66700000000000004</v>
      </c>
      <c r="H12" s="894">
        <v>0</v>
      </c>
      <c r="I12" s="894">
        <v>0</v>
      </c>
      <c r="J12" s="894">
        <v>-4.4999999999999998E-2</v>
      </c>
      <c r="K12" s="894">
        <v>0.66600000000000004</v>
      </c>
      <c r="L12" s="894">
        <v>0.214</v>
      </c>
      <c r="M12" s="894">
        <v>-0.77800000000000002</v>
      </c>
      <c r="N12" s="894">
        <v>-0.5</v>
      </c>
      <c r="O12" s="894"/>
    </row>
    <row r="13" spans="1:16">
      <c r="A13" s="4447"/>
      <c r="B13" s="4451"/>
      <c r="C13" s="896" t="s">
        <v>10408</v>
      </c>
      <c r="D13" s="894">
        <v>36</v>
      </c>
      <c r="E13" s="894">
        <v>42</v>
      </c>
      <c r="F13" s="894">
        <v>45</v>
      </c>
      <c r="G13" s="894">
        <v>54</v>
      </c>
      <c r="H13" s="894">
        <v>80</v>
      </c>
      <c r="I13" s="894">
        <v>90</v>
      </c>
      <c r="J13" s="894">
        <v>110</v>
      </c>
      <c r="K13" s="894">
        <v>120</v>
      </c>
      <c r="L13" s="894">
        <v>126</v>
      </c>
      <c r="M13" s="894">
        <v>144</v>
      </c>
      <c r="N13" s="894">
        <v>160</v>
      </c>
      <c r="O13" s="894">
        <v>176</v>
      </c>
    </row>
    <row r="14" spans="1:16">
      <c r="A14" s="4447"/>
      <c r="B14" s="4449">
        <v>12.5</v>
      </c>
      <c r="C14" s="896" t="s">
        <v>6336</v>
      </c>
      <c r="D14" s="894">
        <v>52</v>
      </c>
      <c r="E14" s="894">
        <v>52</v>
      </c>
      <c r="F14" s="894">
        <v>52</v>
      </c>
      <c r="G14" s="894">
        <v>53</v>
      </c>
      <c r="H14" s="894">
        <v>52</v>
      </c>
      <c r="I14" s="894">
        <v>52</v>
      </c>
      <c r="J14" s="894">
        <v>50</v>
      </c>
      <c r="K14" s="894">
        <v>53</v>
      </c>
      <c r="L14" s="894">
        <v>50</v>
      </c>
      <c r="M14" s="894">
        <v>48</v>
      </c>
      <c r="N14" s="894">
        <v>48</v>
      </c>
      <c r="O14" s="894">
        <v>48</v>
      </c>
    </row>
    <row r="15" spans="1:16">
      <c r="A15" s="4447"/>
      <c r="B15" s="4450"/>
      <c r="C15" s="896" t="s">
        <v>10676</v>
      </c>
      <c r="D15" s="894">
        <v>2.5</v>
      </c>
      <c r="E15" s="894">
        <v>3</v>
      </c>
      <c r="F15" s="894">
        <v>4</v>
      </c>
      <c r="G15" s="894">
        <v>5</v>
      </c>
      <c r="H15" s="894">
        <v>6</v>
      </c>
      <c r="I15" s="894">
        <v>8</v>
      </c>
      <c r="J15" s="894">
        <v>9</v>
      </c>
      <c r="K15" s="894">
        <v>10</v>
      </c>
      <c r="L15" s="894">
        <v>12</v>
      </c>
      <c r="M15" s="894">
        <v>14</v>
      </c>
      <c r="N15" s="894">
        <v>16</v>
      </c>
      <c r="O15" s="894"/>
    </row>
    <row r="16" spans="1:16">
      <c r="A16" s="4447"/>
      <c r="B16" s="4450"/>
      <c r="C16" s="896" t="s">
        <v>6697</v>
      </c>
      <c r="D16" s="894">
        <v>12</v>
      </c>
      <c r="E16" s="894">
        <v>12</v>
      </c>
      <c r="F16" s="894">
        <v>10</v>
      </c>
      <c r="G16" s="894">
        <v>9</v>
      </c>
      <c r="H16" s="894">
        <v>12</v>
      </c>
      <c r="I16" s="894">
        <v>10</v>
      </c>
      <c r="J16" s="894">
        <v>12</v>
      </c>
      <c r="K16" s="894">
        <v>10</v>
      </c>
      <c r="L16" s="894">
        <v>10</v>
      </c>
      <c r="M16" s="894">
        <v>9</v>
      </c>
      <c r="N16" s="894">
        <v>8</v>
      </c>
      <c r="O16" s="894"/>
    </row>
    <row r="17" spans="1:15">
      <c r="A17" s="4447"/>
      <c r="B17" s="4450"/>
      <c r="C17" s="896" t="s">
        <v>10602</v>
      </c>
      <c r="D17" s="894">
        <v>0</v>
      </c>
      <c r="E17" s="894">
        <v>1.333</v>
      </c>
      <c r="F17" s="894">
        <v>0.25</v>
      </c>
      <c r="G17" s="894">
        <v>1</v>
      </c>
      <c r="H17" s="894">
        <v>1.333</v>
      </c>
      <c r="I17" s="894">
        <v>0.25</v>
      </c>
      <c r="J17" s="894">
        <v>0.111</v>
      </c>
      <c r="K17" s="894">
        <v>0.5</v>
      </c>
      <c r="L17" s="894">
        <v>0</v>
      </c>
      <c r="M17" s="894">
        <v>7.0999999999999994E-2</v>
      </c>
      <c r="N17" s="894">
        <v>0.125</v>
      </c>
      <c r="O17" s="894"/>
    </row>
    <row r="18" spans="1:15">
      <c r="A18" s="4448"/>
      <c r="B18" s="4451"/>
      <c r="C18" s="896" t="s">
        <v>10408</v>
      </c>
      <c r="D18" s="894">
        <v>30</v>
      </c>
      <c r="E18" s="894">
        <v>36</v>
      </c>
      <c r="F18" s="894">
        <v>40</v>
      </c>
      <c r="G18" s="894">
        <v>45</v>
      </c>
      <c r="H18" s="894">
        <v>72</v>
      </c>
      <c r="I18" s="894">
        <v>80</v>
      </c>
      <c r="J18" s="894">
        <v>108</v>
      </c>
      <c r="K18" s="894">
        <v>100</v>
      </c>
      <c r="L18" s="894">
        <v>120</v>
      </c>
      <c r="M18" s="894">
        <v>126</v>
      </c>
      <c r="N18" s="894">
        <v>128</v>
      </c>
      <c r="O18" s="894"/>
    </row>
    <row r="19" spans="1:15">
      <c r="A19" s="4446">
        <v>2</v>
      </c>
      <c r="B19" s="4449">
        <v>16</v>
      </c>
      <c r="C19" s="896" t="s">
        <v>6336</v>
      </c>
      <c r="D19" s="894">
        <v>30</v>
      </c>
      <c r="E19" s="894">
        <v>31</v>
      </c>
      <c r="F19" s="894">
        <v>32</v>
      </c>
      <c r="G19" s="894">
        <v>30</v>
      </c>
      <c r="H19" s="894">
        <v>31</v>
      </c>
      <c r="I19" s="894">
        <v>32</v>
      </c>
      <c r="J19" s="894">
        <v>31</v>
      </c>
      <c r="K19" s="894">
        <v>32</v>
      </c>
      <c r="L19" s="894">
        <v>32</v>
      </c>
      <c r="M19" s="894">
        <v>32</v>
      </c>
      <c r="N19" s="894">
        <v>32</v>
      </c>
      <c r="O19" s="894">
        <v>32</v>
      </c>
    </row>
    <row r="20" spans="1:15">
      <c r="A20" s="4447"/>
      <c r="B20" s="4450"/>
      <c r="C20" s="896" t="s">
        <v>10676</v>
      </c>
      <c r="D20" s="894">
        <v>4</v>
      </c>
      <c r="E20" s="894">
        <v>5</v>
      </c>
      <c r="F20" s="894">
        <v>6</v>
      </c>
      <c r="G20" s="894">
        <v>8</v>
      </c>
      <c r="H20" s="894">
        <v>10</v>
      </c>
      <c r="I20" s="894">
        <v>12</v>
      </c>
      <c r="J20" s="894">
        <v>14</v>
      </c>
      <c r="K20" s="894">
        <v>16</v>
      </c>
      <c r="L20" s="894">
        <v>18</v>
      </c>
      <c r="M20" s="894">
        <v>20</v>
      </c>
      <c r="N20" s="894">
        <v>22</v>
      </c>
      <c r="O20" s="894">
        <v>25</v>
      </c>
    </row>
    <row r="21" spans="1:15">
      <c r="A21" s="4447"/>
      <c r="B21" s="4450"/>
      <c r="C21" s="896" t="s">
        <v>6697</v>
      </c>
      <c r="D21" s="894">
        <v>10</v>
      </c>
      <c r="E21" s="894">
        <v>9</v>
      </c>
      <c r="F21" s="894">
        <v>9</v>
      </c>
      <c r="G21" s="894">
        <v>9</v>
      </c>
      <c r="H21" s="894">
        <v>9</v>
      </c>
      <c r="I21" s="894">
        <v>9</v>
      </c>
      <c r="J21" s="894">
        <v>9</v>
      </c>
      <c r="K21" s="894">
        <v>8</v>
      </c>
      <c r="L21" s="894">
        <v>8</v>
      </c>
      <c r="M21" s="894">
        <v>8</v>
      </c>
      <c r="N21" s="894">
        <v>8</v>
      </c>
      <c r="O21" s="894">
        <v>8</v>
      </c>
    </row>
    <row r="22" spans="1:15">
      <c r="A22" s="4447"/>
      <c r="B22" s="4450"/>
      <c r="C22" s="896" t="s">
        <v>10602</v>
      </c>
      <c r="D22" s="894">
        <v>0</v>
      </c>
      <c r="E22" s="894">
        <v>0</v>
      </c>
      <c r="F22" s="894">
        <v>0.33300000000000002</v>
      </c>
      <c r="G22" s="894">
        <v>0.5</v>
      </c>
      <c r="H22" s="894">
        <v>0</v>
      </c>
      <c r="I22" s="894">
        <v>0.33300000000000002</v>
      </c>
      <c r="J22" s="894">
        <v>0</v>
      </c>
      <c r="K22" s="894">
        <v>0</v>
      </c>
      <c r="L22" s="894">
        <v>0</v>
      </c>
      <c r="M22" s="894">
        <v>0</v>
      </c>
      <c r="N22" s="894">
        <v>0.45400000000000001</v>
      </c>
      <c r="O22" s="894">
        <v>0</v>
      </c>
    </row>
    <row r="23" spans="1:15">
      <c r="A23" s="4447"/>
      <c r="B23" s="4451"/>
      <c r="C23" s="896" t="s">
        <v>10408</v>
      </c>
      <c r="D23" s="894">
        <v>40</v>
      </c>
      <c r="E23" s="894">
        <v>45</v>
      </c>
      <c r="F23" s="894">
        <v>54</v>
      </c>
      <c r="G23" s="894">
        <v>72</v>
      </c>
      <c r="H23" s="894">
        <v>90</v>
      </c>
      <c r="I23" s="894">
        <v>108</v>
      </c>
      <c r="J23" s="894">
        <v>126</v>
      </c>
      <c r="K23" s="894">
        <v>128</v>
      </c>
      <c r="L23" s="894">
        <v>144</v>
      </c>
      <c r="M23" s="894">
        <v>160</v>
      </c>
      <c r="N23" s="894">
        <v>176</v>
      </c>
      <c r="O23" s="894">
        <v>200</v>
      </c>
    </row>
    <row r="24" spans="1:15">
      <c r="A24" s="4447"/>
      <c r="B24" s="4449">
        <v>20</v>
      </c>
      <c r="C24" s="896" t="s">
        <v>6336</v>
      </c>
      <c r="D24" s="894">
        <v>41</v>
      </c>
      <c r="E24" s="894">
        <v>40</v>
      </c>
      <c r="F24" s="894">
        <v>41</v>
      </c>
      <c r="G24" s="894">
        <v>43</v>
      </c>
      <c r="H24" s="894">
        <v>40</v>
      </c>
      <c r="I24" s="894">
        <v>41</v>
      </c>
      <c r="J24" s="894">
        <v>41</v>
      </c>
      <c r="K24" s="894">
        <v>42</v>
      </c>
      <c r="L24" s="894">
        <v>42</v>
      </c>
      <c r="M24" s="894">
        <v>38</v>
      </c>
      <c r="N24" s="894">
        <v>38</v>
      </c>
      <c r="O24" s="894">
        <v>38</v>
      </c>
    </row>
    <row r="25" spans="1:15">
      <c r="A25" s="4447"/>
      <c r="B25" s="4450"/>
      <c r="C25" s="896" t="s">
        <v>10676</v>
      </c>
      <c r="D25" s="894">
        <v>3</v>
      </c>
      <c r="E25" s="894">
        <v>4</v>
      </c>
      <c r="F25" s="894">
        <v>5</v>
      </c>
      <c r="G25" s="894">
        <v>6</v>
      </c>
      <c r="H25" s="894">
        <v>8</v>
      </c>
      <c r="I25" s="894">
        <v>10</v>
      </c>
      <c r="J25" s="894">
        <v>11</v>
      </c>
      <c r="K25" s="894">
        <v>12</v>
      </c>
      <c r="L25" s="894">
        <v>14</v>
      </c>
      <c r="M25" s="894">
        <v>18</v>
      </c>
      <c r="N25" s="894">
        <v>20</v>
      </c>
      <c r="O25" s="894">
        <v>22</v>
      </c>
    </row>
    <row r="26" spans="1:15">
      <c r="A26" s="4447"/>
      <c r="B26" s="4450"/>
      <c r="C26" s="896" t="s">
        <v>6697</v>
      </c>
      <c r="D26" s="894">
        <v>12</v>
      </c>
      <c r="E26" s="894">
        <v>10</v>
      </c>
      <c r="F26" s="894">
        <v>9</v>
      </c>
      <c r="G26" s="894">
        <v>9</v>
      </c>
      <c r="H26" s="894">
        <v>10</v>
      </c>
      <c r="I26" s="894">
        <v>9</v>
      </c>
      <c r="J26" s="894">
        <v>10</v>
      </c>
      <c r="K26" s="894">
        <v>10</v>
      </c>
      <c r="L26" s="894">
        <v>9</v>
      </c>
      <c r="M26" s="894">
        <v>8</v>
      </c>
      <c r="N26" s="894">
        <v>8</v>
      </c>
      <c r="O26" s="894">
        <v>8</v>
      </c>
    </row>
    <row r="27" spans="1:15">
      <c r="A27" s="4447"/>
      <c r="B27" s="4450"/>
      <c r="C27" s="896" t="s">
        <v>10602</v>
      </c>
      <c r="D27" s="894">
        <v>0.16700000000000001</v>
      </c>
      <c r="E27" s="894">
        <v>0</v>
      </c>
      <c r="F27" s="894">
        <v>0</v>
      </c>
      <c r="G27" s="894">
        <v>0.66700000000000004</v>
      </c>
      <c r="H27" s="894">
        <v>0</v>
      </c>
      <c r="I27" s="894">
        <v>0</v>
      </c>
      <c r="J27" s="894">
        <v>-4.4999999999999998E-2</v>
      </c>
      <c r="K27" s="894">
        <v>0.66600000000000004</v>
      </c>
      <c r="L27" s="894">
        <v>0.214</v>
      </c>
      <c r="M27" s="894">
        <v>-0.77800000000000002</v>
      </c>
      <c r="N27" s="894">
        <v>-0.5</v>
      </c>
      <c r="O27" s="894">
        <v>-0.27300000000000002</v>
      </c>
    </row>
    <row r="28" spans="1:15">
      <c r="A28" s="4447"/>
      <c r="B28" s="4451"/>
      <c r="C28" s="896" t="s">
        <v>10408</v>
      </c>
      <c r="D28" s="894">
        <v>36</v>
      </c>
      <c r="E28" s="894">
        <v>42</v>
      </c>
      <c r="F28" s="894">
        <v>45</v>
      </c>
      <c r="G28" s="894">
        <v>54</v>
      </c>
      <c r="H28" s="894">
        <v>80</v>
      </c>
      <c r="I28" s="894">
        <v>90</v>
      </c>
      <c r="J28" s="894">
        <v>110</v>
      </c>
      <c r="K28" s="894">
        <v>120</v>
      </c>
      <c r="L28" s="894">
        <v>126</v>
      </c>
      <c r="M28" s="894">
        <v>144</v>
      </c>
      <c r="N28" s="894">
        <v>160</v>
      </c>
      <c r="O28" s="894">
        <v>176</v>
      </c>
    </row>
    <row r="29" spans="1:15">
      <c r="A29" s="4447"/>
      <c r="B29" s="4449">
        <v>25</v>
      </c>
      <c r="C29" s="896" t="s">
        <v>6336</v>
      </c>
      <c r="D29" s="894">
        <v>52</v>
      </c>
      <c r="E29" s="894">
        <v>52</v>
      </c>
      <c r="F29" s="894">
        <v>52</v>
      </c>
      <c r="G29" s="894">
        <v>53</v>
      </c>
      <c r="H29" s="894">
        <v>52</v>
      </c>
      <c r="I29" s="894">
        <v>52</v>
      </c>
      <c r="J29" s="894">
        <v>50</v>
      </c>
      <c r="K29" s="894">
        <v>53</v>
      </c>
      <c r="L29" s="894">
        <v>50</v>
      </c>
      <c r="M29" s="894">
        <v>48</v>
      </c>
      <c r="N29" s="894">
        <v>48</v>
      </c>
      <c r="O29" s="894">
        <v>48</v>
      </c>
    </row>
    <row r="30" spans="1:15">
      <c r="A30" s="4447"/>
      <c r="B30" s="4450"/>
      <c r="C30" s="896" t="s">
        <v>10676</v>
      </c>
      <c r="D30" s="894">
        <v>2.5</v>
      </c>
      <c r="E30" s="894">
        <v>3</v>
      </c>
      <c r="F30" s="894">
        <v>4</v>
      </c>
      <c r="G30" s="894">
        <v>5</v>
      </c>
      <c r="H30" s="894">
        <v>6</v>
      </c>
      <c r="I30" s="894">
        <v>8</v>
      </c>
      <c r="J30" s="894">
        <v>9</v>
      </c>
      <c r="K30" s="894">
        <v>10</v>
      </c>
      <c r="L30" s="894">
        <v>12</v>
      </c>
      <c r="M30" s="894">
        <v>14</v>
      </c>
      <c r="N30" s="894">
        <v>16</v>
      </c>
      <c r="O30" s="894">
        <v>18</v>
      </c>
    </row>
    <row r="31" spans="1:15">
      <c r="A31" s="4447"/>
      <c r="B31" s="4450"/>
      <c r="C31" s="896" t="s">
        <v>6697</v>
      </c>
      <c r="D31" s="894">
        <v>12</v>
      </c>
      <c r="E31" s="894">
        <v>12</v>
      </c>
      <c r="F31" s="894">
        <v>10</v>
      </c>
      <c r="G31" s="894">
        <v>9</v>
      </c>
      <c r="H31" s="894">
        <v>12</v>
      </c>
      <c r="I31" s="894">
        <v>10</v>
      </c>
      <c r="J31" s="894">
        <v>12</v>
      </c>
      <c r="K31" s="894">
        <v>10</v>
      </c>
      <c r="L31" s="894">
        <v>10</v>
      </c>
      <c r="M31" s="894">
        <v>9</v>
      </c>
      <c r="N31" s="894">
        <v>8</v>
      </c>
      <c r="O31" s="894">
        <v>8</v>
      </c>
    </row>
    <row r="32" spans="1:15">
      <c r="A32" s="4447"/>
      <c r="B32" s="4450"/>
      <c r="C32" s="896" t="s">
        <v>10602</v>
      </c>
      <c r="D32" s="894">
        <v>0</v>
      </c>
      <c r="E32" s="894">
        <v>1.333</v>
      </c>
      <c r="F32" s="894">
        <v>0.25</v>
      </c>
      <c r="G32" s="894">
        <v>1</v>
      </c>
      <c r="H32" s="894">
        <v>1.333</v>
      </c>
      <c r="I32" s="894">
        <v>0.25</v>
      </c>
      <c r="J32" s="894">
        <v>0.111</v>
      </c>
      <c r="K32" s="894">
        <v>0.5</v>
      </c>
      <c r="L32" s="894">
        <v>0</v>
      </c>
      <c r="M32" s="894">
        <v>7.0999999999999994E-2</v>
      </c>
      <c r="N32" s="894">
        <v>0.125</v>
      </c>
      <c r="O32" s="894">
        <v>-0.222</v>
      </c>
    </row>
    <row r="33" spans="1:16">
      <c r="A33" s="4448"/>
      <c r="B33" s="4451"/>
      <c r="C33" s="896" t="s">
        <v>10408</v>
      </c>
      <c r="D33" s="894">
        <v>30</v>
      </c>
      <c r="E33" s="894">
        <v>36</v>
      </c>
      <c r="F33" s="894">
        <v>40</v>
      </c>
      <c r="G33" s="894">
        <v>45</v>
      </c>
      <c r="H33" s="894">
        <v>72</v>
      </c>
      <c r="I33" s="894">
        <v>80</v>
      </c>
      <c r="J33" s="894">
        <v>108</v>
      </c>
      <c r="K33" s="894">
        <v>100</v>
      </c>
      <c r="L33" s="894">
        <v>120</v>
      </c>
      <c r="M33" s="894">
        <v>126</v>
      </c>
      <c r="N33" s="894">
        <v>128</v>
      </c>
      <c r="O33" s="894">
        <v>144</v>
      </c>
    </row>
    <row r="34" spans="1:16">
      <c r="A34" s="4446">
        <v>1</v>
      </c>
      <c r="B34" s="4452">
        <v>30</v>
      </c>
      <c r="C34" s="896" t="s">
        <v>6336</v>
      </c>
      <c r="D34" s="894">
        <v>30</v>
      </c>
      <c r="E34" s="894">
        <v>31</v>
      </c>
      <c r="F34" s="894">
        <v>32</v>
      </c>
      <c r="G34" s="894">
        <v>30</v>
      </c>
      <c r="H34" s="894">
        <v>31</v>
      </c>
      <c r="I34" s="894">
        <v>32</v>
      </c>
      <c r="J34" s="894">
        <v>31</v>
      </c>
      <c r="K34" s="894">
        <v>32</v>
      </c>
      <c r="L34" s="894">
        <v>32</v>
      </c>
      <c r="M34" s="894">
        <v>32</v>
      </c>
      <c r="N34" s="894">
        <v>32</v>
      </c>
      <c r="O34" s="894">
        <v>32</v>
      </c>
    </row>
    <row r="35" spans="1:16">
      <c r="A35" s="4447"/>
      <c r="B35" s="4452"/>
      <c r="C35" s="896" t="s">
        <v>10676</v>
      </c>
      <c r="D35" s="894">
        <v>4</v>
      </c>
      <c r="E35" s="894">
        <v>5</v>
      </c>
      <c r="F35" s="894">
        <v>6</v>
      </c>
      <c r="G35" s="894">
        <v>8</v>
      </c>
      <c r="H35" s="894">
        <v>10</v>
      </c>
      <c r="I35" s="894">
        <v>12</v>
      </c>
      <c r="J35" s="894">
        <v>14</v>
      </c>
      <c r="K35" s="894">
        <v>16</v>
      </c>
      <c r="L35" s="894">
        <v>18</v>
      </c>
      <c r="M35" s="894">
        <v>20</v>
      </c>
      <c r="N35" s="894">
        <v>22</v>
      </c>
      <c r="O35" s="894">
        <v>25</v>
      </c>
    </row>
    <row r="36" spans="1:16">
      <c r="A36" s="4447"/>
      <c r="B36" s="4452"/>
      <c r="C36" s="896" t="s">
        <v>6697</v>
      </c>
      <c r="D36" s="894">
        <v>10</v>
      </c>
      <c r="E36" s="894">
        <v>9</v>
      </c>
      <c r="F36" s="894">
        <v>9</v>
      </c>
      <c r="G36" s="894">
        <v>9</v>
      </c>
      <c r="H36" s="894">
        <v>9</v>
      </c>
      <c r="I36" s="894">
        <v>9</v>
      </c>
      <c r="J36" s="894">
        <v>9</v>
      </c>
      <c r="K36" s="894">
        <v>8</v>
      </c>
      <c r="L36" s="894">
        <v>8</v>
      </c>
      <c r="M36" s="894">
        <v>8</v>
      </c>
      <c r="N36" s="894">
        <v>8</v>
      </c>
      <c r="O36" s="894">
        <v>8</v>
      </c>
    </row>
    <row r="37" spans="1:16">
      <c r="A37" s="4447"/>
      <c r="B37" s="4452"/>
      <c r="C37" s="896" t="s">
        <v>10602</v>
      </c>
      <c r="D37" s="894">
        <v>0</v>
      </c>
      <c r="E37" s="894">
        <v>0</v>
      </c>
      <c r="F37" s="894">
        <v>0.33300000000000002</v>
      </c>
      <c r="G37" s="894">
        <v>0.5</v>
      </c>
      <c r="H37" s="894">
        <v>0</v>
      </c>
      <c r="I37" s="894">
        <v>0.33300000000000002</v>
      </c>
      <c r="J37" s="894">
        <v>0</v>
      </c>
      <c r="K37" s="894">
        <v>0</v>
      </c>
      <c r="L37" s="894">
        <v>0</v>
      </c>
      <c r="M37" s="894">
        <v>0</v>
      </c>
      <c r="N37" s="894">
        <v>0.45400000000000001</v>
      </c>
      <c r="O37" s="894">
        <v>0</v>
      </c>
    </row>
    <row r="38" spans="1:16">
      <c r="A38" s="4447"/>
      <c r="B38" s="4452"/>
      <c r="C38" s="896" t="s">
        <v>10408</v>
      </c>
      <c r="D38" s="894">
        <v>40</v>
      </c>
      <c r="E38" s="894">
        <v>45</v>
      </c>
      <c r="F38" s="894">
        <v>54</v>
      </c>
      <c r="G38" s="894">
        <v>72</v>
      </c>
      <c r="H38" s="894">
        <v>90</v>
      </c>
      <c r="I38" s="894">
        <v>108</v>
      </c>
      <c r="J38" s="894">
        <v>126</v>
      </c>
      <c r="K38" s="894">
        <v>128</v>
      </c>
      <c r="L38" s="894">
        <v>144</v>
      </c>
      <c r="M38" s="894">
        <v>160</v>
      </c>
      <c r="N38" s="894">
        <v>176</v>
      </c>
      <c r="O38" s="894">
        <v>200</v>
      </c>
    </row>
    <row r="39" spans="1:16">
      <c r="A39" s="4447"/>
      <c r="B39" s="4452">
        <v>40</v>
      </c>
      <c r="C39" s="896" t="s">
        <v>6336</v>
      </c>
      <c r="D39" s="894">
        <v>41</v>
      </c>
      <c r="E39" s="894">
        <v>40</v>
      </c>
      <c r="F39" s="894">
        <v>41</v>
      </c>
      <c r="G39" s="894">
        <v>43</v>
      </c>
      <c r="H39" s="894">
        <v>40</v>
      </c>
      <c r="I39" s="894">
        <v>41</v>
      </c>
      <c r="J39" s="894">
        <v>41</v>
      </c>
      <c r="K39" s="894">
        <v>42</v>
      </c>
      <c r="L39" s="894">
        <v>42</v>
      </c>
      <c r="M39" s="894">
        <v>38</v>
      </c>
      <c r="N39" s="894">
        <v>38</v>
      </c>
      <c r="O39" s="894">
        <v>38</v>
      </c>
    </row>
    <row r="40" spans="1:16">
      <c r="A40" s="4447"/>
      <c r="B40" s="4452"/>
      <c r="C40" s="896" t="s">
        <v>10676</v>
      </c>
      <c r="D40" s="894">
        <v>3</v>
      </c>
      <c r="E40" s="894">
        <v>4</v>
      </c>
      <c r="F40" s="894">
        <v>5</v>
      </c>
      <c r="G40" s="894">
        <v>6</v>
      </c>
      <c r="H40" s="894">
        <v>8</v>
      </c>
      <c r="I40" s="894">
        <v>10</v>
      </c>
      <c r="J40" s="894">
        <v>11</v>
      </c>
      <c r="K40" s="894">
        <v>12</v>
      </c>
      <c r="L40" s="894">
        <v>14</v>
      </c>
      <c r="M40" s="894">
        <v>18</v>
      </c>
      <c r="N40" s="894">
        <v>20</v>
      </c>
      <c r="O40" s="894">
        <v>22</v>
      </c>
    </row>
    <row r="41" spans="1:16">
      <c r="A41" s="4447"/>
      <c r="B41" s="4452"/>
      <c r="C41" s="896" t="s">
        <v>6697</v>
      </c>
      <c r="D41" s="894">
        <v>12</v>
      </c>
      <c r="E41" s="894">
        <v>10</v>
      </c>
      <c r="F41" s="894">
        <v>9</v>
      </c>
      <c r="G41" s="894">
        <v>9</v>
      </c>
      <c r="H41" s="894">
        <v>10</v>
      </c>
      <c r="I41" s="894">
        <v>9</v>
      </c>
      <c r="J41" s="894">
        <v>10</v>
      </c>
      <c r="K41" s="894">
        <v>10</v>
      </c>
      <c r="L41" s="894">
        <v>9</v>
      </c>
      <c r="M41" s="894">
        <v>8</v>
      </c>
      <c r="N41" s="894">
        <v>8</v>
      </c>
      <c r="O41" s="894">
        <v>8</v>
      </c>
    </row>
    <row r="42" spans="1:16">
      <c r="A42" s="4447"/>
      <c r="B42" s="4452"/>
      <c r="C42" s="896" t="s">
        <v>10602</v>
      </c>
      <c r="D42" s="894">
        <v>0.16700000000000001</v>
      </c>
      <c r="E42" s="894">
        <v>0</v>
      </c>
      <c r="F42" s="894">
        <v>0</v>
      </c>
      <c r="G42" s="894">
        <v>0.66700000000000004</v>
      </c>
      <c r="H42" s="894">
        <v>0</v>
      </c>
      <c r="I42" s="894">
        <v>0</v>
      </c>
      <c r="J42" s="894">
        <v>-4.4999999999999998E-2</v>
      </c>
      <c r="K42" s="894">
        <v>0.66600000000000004</v>
      </c>
      <c r="L42" s="894">
        <v>0.214</v>
      </c>
      <c r="M42" s="894">
        <v>-0.77800000000000002</v>
      </c>
      <c r="N42" s="894">
        <v>-0.5</v>
      </c>
      <c r="O42" s="894">
        <v>-0.27300000000000002</v>
      </c>
    </row>
    <row r="43" spans="1:16">
      <c r="A43" s="4447"/>
      <c r="B43" s="4452"/>
      <c r="C43" s="896" t="s">
        <v>10408</v>
      </c>
      <c r="D43" s="894">
        <v>36</v>
      </c>
      <c r="E43" s="894">
        <v>42</v>
      </c>
      <c r="F43" s="894">
        <v>45</v>
      </c>
      <c r="G43" s="894">
        <v>54</v>
      </c>
      <c r="H43" s="894">
        <v>80</v>
      </c>
      <c r="I43" s="894">
        <v>90</v>
      </c>
      <c r="J43" s="894">
        <v>110</v>
      </c>
      <c r="K43" s="894">
        <v>120</v>
      </c>
      <c r="L43" s="894">
        <v>126</v>
      </c>
      <c r="M43" s="894">
        <v>144</v>
      </c>
      <c r="N43" s="894">
        <v>160</v>
      </c>
      <c r="O43" s="894">
        <v>176</v>
      </c>
    </row>
    <row r="44" spans="1:16">
      <c r="A44" s="4447"/>
      <c r="B44" s="4452">
        <v>50</v>
      </c>
      <c r="C44" s="896" t="s">
        <v>6336</v>
      </c>
      <c r="D44" s="894">
        <v>52</v>
      </c>
      <c r="E44" s="894">
        <v>52</v>
      </c>
      <c r="F44" s="894">
        <v>52</v>
      </c>
      <c r="G44" s="894">
        <v>53</v>
      </c>
      <c r="H44" s="894">
        <v>52</v>
      </c>
      <c r="I44" s="894">
        <v>52</v>
      </c>
      <c r="J44" s="894">
        <v>50</v>
      </c>
      <c r="K44" s="894">
        <v>53</v>
      </c>
      <c r="L44" s="894">
        <v>50</v>
      </c>
      <c r="M44" s="894">
        <v>48</v>
      </c>
      <c r="N44" s="894">
        <v>48</v>
      </c>
      <c r="O44" s="894">
        <v>48</v>
      </c>
    </row>
    <row r="45" spans="1:16">
      <c r="A45" s="4447"/>
      <c r="B45" s="4452"/>
      <c r="C45" s="896" t="s">
        <v>10676</v>
      </c>
      <c r="D45" s="894">
        <v>2.5</v>
      </c>
      <c r="E45" s="894">
        <v>3</v>
      </c>
      <c r="F45" s="894">
        <v>4</v>
      </c>
      <c r="G45" s="894">
        <v>5</v>
      </c>
      <c r="H45" s="894">
        <v>6</v>
      </c>
      <c r="I45" s="894">
        <v>8</v>
      </c>
      <c r="J45" s="894">
        <v>9</v>
      </c>
      <c r="K45" s="894">
        <v>10</v>
      </c>
      <c r="L45" s="894">
        <v>12</v>
      </c>
      <c r="M45" s="894">
        <v>14</v>
      </c>
      <c r="N45" s="894">
        <v>16</v>
      </c>
      <c r="O45" s="894">
        <v>18</v>
      </c>
    </row>
    <row r="46" spans="1:16">
      <c r="A46" s="4447"/>
      <c r="B46" s="4452"/>
      <c r="C46" s="896" t="s">
        <v>6697</v>
      </c>
      <c r="D46" s="894">
        <v>12</v>
      </c>
      <c r="E46" s="894">
        <v>12</v>
      </c>
      <c r="F46" s="894">
        <v>10</v>
      </c>
      <c r="G46" s="894">
        <v>9</v>
      </c>
      <c r="H46" s="894">
        <v>12</v>
      </c>
      <c r="I46" s="894">
        <v>10</v>
      </c>
      <c r="J46" s="894">
        <v>12</v>
      </c>
      <c r="K46" s="894">
        <v>10</v>
      </c>
      <c r="L46" s="894">
        <v>10</v>
      </c>
      <c r="M46" s="894">
        <v>9</v>
      </c>
      <c r="N46" s="894">
        <v>8</v>
      </c>
      <c r="O46" s="894">
        <v>8</v>
      </c>
    </row>
    <row r="47" spans="1:16">
      <c r="A47" s="4447"/>
      <c r="B47" s="4452"/>
      <c r="C47" s="896" t="s">
        <v>10602</v>
      </c>
      <c r="D47" s="894">
        <v>0</v>
      </c>
      <c r="E47" s="894">
        <v>1.333</v>
      </c>
      <c r="F47" s="894">
        <v>0.25</v>
      </c>
      <c r="G47" s="894">
        <v>1</v>
      </c>
      <c r="H47" s="894">
        <v>1.333</v>
      </c>
      <c r="I47" s="894">
        <v>0.25</v>
      </c>
      <c r="J47" s="894">
        <v>0.111</v>
      </c>
      <c r="K47" s="894">
        <v>0.5</v>
      </c>
      <c r="L47" s="894">
        <v>0</v>
      </c>
      <c r="M47" s="894">
        <v>7.0999999999999994E-2</v>
      </c>
      <c r="N47" s="894">
        <v>0.125</v>
      </c>
      <c r="O47" s="894">
        <v>-0.222</v>
      </c>
    </row>
    <row r="48" spans="1:16">
      <c r="A48" s="4448"/>
      <c r="B48" s="4452"/>
      <c r="C48" s="896" t="s">
        <v>10408</v>
      </c>
      <c r="D48" s="894">
        <v>30</v>
      </c>
      <c r="E48" s="894">
        <v>36</v>
      </c>
      <c r="F48" s="894">
        <v>40</v>
      </c>
      <c r="G48" s="894">
        <v>45</v>
      </c>
      <c r="H48" s="894">
        <v>72</v>
      </c>
      <c r="I48" s="894">
        <v>80</v>
      </c>
      <c r="J48" s="894">
        <v>108</v>
      </c>
      <c r="K48" s="894">
        <v>100</v>
      </c>
      <c r="L48" s="894">
        <v>120</v>
      </c>
      <c r="M48" s="894">
        <v>126</v>
      </c>
      <c r="N48" s="894">
        <v>128</v>
      </c>
      <c r="O48" s="894">
        <v>144</v>
      </c>
      <c r="P48" s="3166" t="s">
        <v>12704</v>
      </c>
    </row>
  </sheetData>
  <mergeCells count="17">
    <mergeCell ref="A34:A48"/>
    <mergeCell ref="B2:B3"/>
    <mergeCell ref="B4:B8"/>
    <mergeCell ref="B9:B13"/>
    <mergeCell ref="B14:B18"/>
    <mergeCell ref="B19:B23"/>
    <mergeCell ref="B24:B28"/>
    <mergeCell ref="B29:B33"/>
    <mergeCell ref="B34:B38"/>
    <mergeCell ref="B39:B43"/>
    <mergeCell ref="B44:B48"/>
    <mergeCell ref="A1:O1"/>
    <mergeCell ref="D2:O2"/>
    <mergeCell ref="A2:A3"/>
    <mergeCell ref="A4:A18"/>
    <mergeCell ref="A19:A33"/>
    <mergeCell ref="C2:C3"/>
  </mergeCells>
  <phoneticPr fontId="378" type="noConversion"/>
  <hyperlinks>
    <hyperlink ref="P1" location="总目录!A1" display="返回目录"/>
    <hyperlink ref="P48" location="总目录!A1" display="返回目录"/>
  </hyperlinks>
  <printOptions horizontalCentered="1"/>
  <pageMargins left="0.34930555555555598" right="0.34930555555555598" top="0.38888888888888901" bottom="0.38888888888888901" header="0.50902777777777797" footer="0.50902777777777797"/>
  <pageSetup paperSize="9" orientation="portrait"/>
  <headerFooter scaleWithDoc="0" alignWithMargins="0"/>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workbookViewId="0">
      <selection activeCell="K3" sqref="K3"/>
    </sheetView>
  </sheetViews>
  <sheetFormatPr defaultColWidth="9" defaultRowHeight="13.5"/>
  <cols>
    <col min="1" max="1" width="19.375" style="886" customWidth="1"/>
    <col min="2" max="2" width="14.75" style="886" customWidth="1"/>
    <col min="3" max="3" width="12" style="886" customWidth="1"/>
    <col min="4" max="4" width="11.125" style="886" customWidth="1"/>
    <col min="5" max="5" width="16.375" style="886" customWidth="1"/>
    <col min="6" max="16384" width="9" style="886"/>
  </cols>
  <sheetData>
    <row r="1" spans="1:5" ht="52.15" customHeight="1">
      <c r="A1" s="4453" t="s">
        <v>10677</v>
      </c>
      <c r="B1" s="4453"/>
      <c r="C1" s="4453"/>
      <c r="D1" s="4453"/>
      <c r="E1" s="4453"/>
    </row>
    <row r="2" spans="1:5" ht="4.1500000000000004" customHeight="1"/>
    <row r="3" spans="1:5" ht="24" customHeight="1">
      <c r="A3" s="4458" t="s">
        <v>10678</v>
      </c>
      <c r="B3" s="887" t="s">
        <v>10679</v>
      </c>
      <c r="C3" s="887" t="s">
        <v>10680</v>
      </c>
      <c r="D3" s="887" t="s">
        <v>10681</v>
      </c>
      <c r="E3" s="887" t="s">
        <v>10682</v>
      </c>
    </row>
    <row r="4" spans="1:5" ht="28.15" customHeight="1">
      <c r="A4" s="4458"/>
      <c r="B4" s="888" t="s">
        <v>10683</v>
      </c>
      <c r="C4" s="888" t="s">
        <v>10684</v>
      </c>
      <c r="D4" s="888" t="s">
        <v>10685</v>
      </c>
      <c r="E4" s="888" t="s">
        <v>10686</v>
      </c>
    </row>
    <row r="5" spans="1:5" ht="36" customHeight="1">
      <c r="A5" s="4458"/>
      <c r="B5" s="889">
        <v>379</v>
      </c>
      <c r="C5" s="889">
        <v>254</v>
      </c>
      <c r="D5" s="889">
        <v>76.2</v>
      </c>
      <c r="E5" s="890">
        <f>2*B5+PI()/2*(C5+D5)+(D5-C5)*(D5-C5)/(4*B5)</f>
        <v>1297.5297439414501</v>
      </c>
    </row>
    <row r="6" spans="1:5" ht="19.149999999999999" customHeight="1">
      <c r="A6" s="4454" t="s">
        <v>10687</v>
      </c>
      <c r="B6" s="4454"/>
      <c r="C6" s="4454"/>
      <c r="D6" s="4454"/>
      <c r="E6" s="4454"/>
    </row>
    <row r="7" spans="1:5" ht="25.15" customHeight="1">
      <c r="A7" s="4459" t="s">
        <v>10688</v>
      </c>
      <c r="B7" s="4455" t="s">
        <v>10689</v>
      </c>
      <c r="C7" s="4456"/>
      <c r="D7" s="4457"/>
    </row>
    <row r="8" spans="1:5">
      <c r="A8" s="4459"/>
      <c r="B8" s="4462" t="s">
        <v>10690</v>
      </c>
      <c r="C8" s="4463"/>
      <c r="D8" s="4463"/>
    </row>
    <row r="9" spans="1:5">
      <c r="A9" s="4459"/>
      <c r="B9" s="4463"/>
      <c r="C9" s="4463"/>
      <c r="D9" s="4463"/>
    </row>
    <row r="10" spans="1:5">
      <c r="A10" s="4459"/>
      <c r="B10" s="4463"/>
      <c r="C10" s="4463"/>
      <c r="D10" s="4463"/>
    </row>
    <row r="11" spans="1:5">
      <c r="A11" s="4459"/>
      <c r="B11" s="4463"/>
      <c r="C11" s="4463"/>
      <c r="D11" s="4463"/>
    </row>
    <row r="12" spans="1:5">
      <c r="A12" s="4459"/>
      <c r="B12" s="4463"/>
      <c r="C12" s="4463"/>
      <c r="D12" s="4463"/>
    </row>
    <row r="14" spans="1:5" ht="21.95" customHeight="1">
      <c r="A14" s="4460" t="s">
        <v>10691</v>
      </c>
      <c r="B14" s="4464" t="s">
        <v>10692</v>
      </c>
      <c r="C14" s="4464"/>
      <c r="D14" s="4464"/>
      <c r="E14" s="3166" t="s">
        <v>12704</v>
      </c>
    </row>
    <row r="15" spans="1:5">
      <c r="A15" s="4461"/>
      <c r="B15" s="4464"/>
      <c r="C15" s="4464"/>
      <c r="D15" s="4464"/>
    </row>
    <row r="16" spans="1:5" ht="23.1" customHeight="1">
      <c r="A16" s="4461"/>
      <c r="B16" s="4464" t="s">
        <v>10693</v>
      </c>
      <c r="C16" s="4464"/>
      <c r="D16" s="4464"/>
    </row>
    <row r="17" spans="1:4">
      <c r="A17" s="4461"/>
      <c r="B17" s="4465"/>
      <c r="C17" s="4465"/>
      <c r="D17" s="4465"/>
    </row>
    <row r="18" spans="1:4" ht="21.95" customHeight="1">
      <c r="A18" s="4461"/>
      <c r="B18" s="4465" t="s">
        <v>10694</v>
      </c>
      <c r="C18" s="4465"/>
      <c r="D18" s="4465"/>
    </row>
    <row r="19" spans="1:4">
      <c r="A19" s="4461"/>
      <c r="B19" s="4465"/>
      <c r="C19" s="4465"/>
      <c r="D19" s="4465"/>
    </row>
  </sheetData>
  <mergeCells count="10">
    <mergeCell ref="A14:A19"/>
    <mergeCell ref="B8:D12"/>
    <mergeCell ref="B14:D15"/>
    <mergeCell ref="B16:D17"/>
    <mergeCell ref="B18:D19"/>
    <mergeCell ref="A1:E1"/>
    <mergeCell ref="A6:E6"/>
    <mergeCell ref="B7:D7"/>
    <mergeCell ref="A3:A5"/>
    <mergeCell ref="A7:A12"/>
  </mergeCells>
  <phoneticPr fontId="378" type="noConversion"/>
  <hyperlinks>
    <hyperlink ref="B14:D14" location="A型三角带规格!A1" display="【点击链接】A型三角带规格"/>
    <hyperlink ref="B16:D16" location="B型三角带规格!A1" display="【点击链接】B型三角带规格"/>
    <hyperlink ref="B18:D18" location="C型三角带规格!A1" display="【点击链接】C型三角带规格"/>
    <hyperlink ref="B14:D15" location="A型三角带规格!A1" display="【点击链接】A型三角带规格"/>
    <hyperlink ref="E14" location="总目录!A1" display="返回目录"/>
  </hyperlinks>
  <pageMargins left="0.69930555555555596" right="0.69930555555555596" top="0.75" bottom="0.75" header="0.3" footer="0.3"/>
  <pageSetup paperSize="9" orientation="portrait" horizontalDpi="200" verticalDpi="300"/>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1"/>
  <sheetViews>
    <sheetView zoomScale="85" zoomScaleNormal="85" workbookViewId="0">
      <selection activeCell="R2" sqref="R2"/>
    </sheetView>
  </sheetViews>
  <sheetFormatPr defaultColWidth="9" defaultRowHeight="16.5"/>
  <cols>
    <col min="1" max="1" width="13.625" style="828" customWidth="1"/>
    <col min="2" max="4" width="9.125" style="828" customWidth="1"/>
    <col min="5" max="5" width="14.875" style="828" customWidth="1"/>
    <col min="6" max="8" width="9.125" style="828" customWidth="1"/>
    <col min="9" max="9" width="1.375" style="828" customWidth="1"/>
    <col min="10" max="13" width="9" style="828"/>
    <col min="14" max="14" width="15.125" style="828" customWidth="1"/>
    <col min="15" max="16384" width="9" style="828"/>
  </cols>
  <sheetData>
    <row r="1" spans="1:18" ht="45" customHeight="1">
      <c r="A1" s="4466" t="s">
        <v>10695</v>
      </c>
      <c r="B1" s="4466"/>
      <c r="C1" s="4466"/>
      <c r="D1" s="4466"/>
      <c r="E1" s="4466"/>
      <c r="F1" s="4466"/>
      <c r="G1" s="4466"/>
      <c r="H1" s="4466"/>
      <c r="I1" s="4466"/>
      <c r="J1" s="4466"/>
      <c r="K1" s="4466"/>
      <c r="L1" s="4466"/>
      <c r="M1" s="4466"/>
      <c r="N1" s="4466"/>
      <c r="O1" s="4466"/>
      <c r="P1" s="4466"/>
      <c r="Q1" s="4466"/>
    </row>
    <row r="2" spans="1:18" ht="18.75" customHeight="1">
      <c r="A2" s="4467" t="s">
        <v>10696</v>
      </c>
      <c r="B2" s="4468"/>
      <c r="C2" s="4468"/>
      <c r="D2" s="4469"/>
      <c r="E2" s="4470" t="s">
        <v>10697</v>
      </c>
      <c r="F2" s="4471"/>
      <c r="G2" s="4471"/>
      <c r="H2" s="4472"/>
      <c r="J2" s="4473" t="s">
        <v>10698</v>
      </c>
      <c r="K2" s="4473"/>
      <c r="L2" s="4473"/>
      <c r="M2" s="4473"/>
      <c r="N2" s="4474" t="s">
        <v>10699</v>
      </c>
      <c r="O2" s="4474"/>
      <c r="P2" s="4474"/>
      <c r="Q2" s="4474"/>
      <c r="R2" s="3162" t="s">
        <v>12704</v>
      </c>
    </row>
    <row r="3" spans="1:18" ht="16.5" customHeight="1">
      <c r="A3" s="4487" t="s">
        <v>9875</v>
      </c>
      <c r="B3" s="4475" t="s">
        <v>10700</v>
      </c>
      <c r="C3" s="4475" t="s">
        <v>10701</v>
      </c>
      <c r="D3" s="4476"/>
      <c r="E3" s="4480" t="s">
        <v>10702</v>
      </c>
      <c r="F3" s="4477" t="s">
        <v>10700</v>
      </c>
      <c r="G3" s="4477" t="s">
        <v>10701</v>
      </c>
      <c r="H3" s="4478"/>
      <c r="J3" s="4487" t="s">
        <v>9875</v>
      </c>
      <c r="K3" s="4475" t="s">
        <v>10700</v>
      </c>
      <c r="L3" s="4475" t="s">
        <v>10701</v>
      </c>
      <c r="M3" s="4476"/>
      <c r="N3" s="4480" t="s">
        <v>10702</v>
      </c>
      <c r="O3" s="4477" t="s">
        <v>10700</v>
      </c>
      <c r="P3" s="4477" t="s">
        <v>10701</v>
      </c>
      <c r="Q3" s="4478"/>
    </row>
    <row r="4" spans="1:18" ht="15.75" customHeight="1">
      <c r="A4" s="4487"/>
      <c r="B4" s="4475"/>
      <c r="C4" s="853" t="s">
        <v>8199</v>
      </c>
      <c r="D4" s="854" t="s">
        <v>8200</v>
      </c>
      <c r="E4" s="4480"/>
      <c r="F4" s="4477"/>
      <c r="G4" s="855" t="s">
        <v>8199</v>
      </c>
      <c r="H4" s="856" t="s">
        <v>8200</v>
      </c>
      <c r="J4" s="4487"/>
      <c r="K4" s="4475"/>
      <c r="L4" s="853" t="s">
        <v>8199</v>
      </c>
      <c r="M4" s="854" t="s">
        <v>8200</v>
      </c>
      <c r="N4" s="4480"/>
      <c r="O4" s="4477"/>
      <c r="P4" s="855" t="s">
        <v>8199</v>
      </c>
      <c r="Q4" s="856" t="s">
        <v>8200</v>
      </c>
    </row>
    <row r="5" spans="1:18" ht="18.95" customHeight="1">
      <c r="A5" s="857" t="s">
        <v>10703</v>
      </c>
      <c r="B5" s="858">
        <v>0.75</v>
      </c>
      <c r="C5" s="859">
        <v>0.78500000000000003</v>
      </c>
      <c r="D5" s="860">
        <v>0.72899999999999998</v>
      </c>
      <c r="E5" s="857" t="s">
        <v>10704</v>
      </c>
      <c r="F5" s="861">
        <v>1.55</v>
      </c>
      <c r="G5" s="862">
        <v>1.5820000000000001</v>
      </c>
      <c r="H5" s="863">
        <v>1.425</v>
      </c>
      <c r="J5" s="818" t="s">
        <v>10705</v>
      </c>
      <c r="K5" s="819">
        <v>0.8</v>
      </c>
      <c r="L5" s="822">
        <v>0.82099999999999995</v>
      </c>
      <c r="M5" s="817">
        <v>0.78300000000000003</v>
      </c>
      <c r="N5" s="818" t="s">
        <v>10706</v>
      </c>
      <c r="O5" s="819">
        <v>1.25</v>
      </c>
      <c r="P5" s="822">
        <v>1.3049999999999999</v>
      </c>
      <c r="Q5" s="817">
        <v>1.1819999999999999</v>
      </c>
    </row>
    <row r="6" spans="1:18" ht="18.95" customHeight="1">
      <c r="A6" s="857" t="s">
        <v>10707</v>
      </c>
      <c r="B6" s="858">
        <v>0.85</v>
      </c>
      <c r="C6" s="859">
        <v>0.88500000000000001</v>
      </c>
      <c r="D6" s="860">
        <v>0.82899999999999996</v>
      </c>
      <c r="E6" s="857" t="s">
        <v>10708</v>
      </c>
      <c r="F6" s="861">
        <v>1.8</v>
      </c>
      <c r="G6" s="862">
        <v>1.871</v>
      </c>
      <c r="H6" s="863">
        <v>1.6950000000000001</v>
      </c>
      <c r="J6" s="818" t="s">
        <v>10709</v>
      </c>
      <c r="K6" s="819">
        <v>0.9</v>
      </c>
      <c r="L6" s="822">
        <v>0.92100000000000004</v>
      </c>
      <c r="M6" s="817">
        <v>0.88300000000000001</v>
      </c>
      <c r="N6" s="818" t="s">
        <v>10710</v>
      </c>
      <c r="O6" s="819">
        <v>1.55</v>
      </c>
      <c r="P6" s="822">
        <v>1.6120000000000001</v>
      </c>
      <c r="Q6" s="817">
        <v>1.474</v>
      </c>
    </row>
    <row r="7" spans="1:18" ht="18.95" customHeight="1">
      <c r="A7" s="857" t="s">
        <v>10711</v>
      </c>
      <c r="B7" s="858">
        <v>0.95</v>
      </c>
      <c r="C7" s="859">
        <v>0.98499999999999999</v>
      </c>
      <c r="D7" s="860">
        <v>0.98499999999999999</v>
      </c>
      <c r="E7" s="857" t="s">
        <v>10712</v>
      </c>
      <c r="F7" s="861">
        <v>2.1</v>
      </c>
      <c r="G7" s="862">
        <v>2.1459999999999999</v>
      </c>
      <c r="H7" s="863">
        <v>1.9410000000000001</v>
      </c>
      <c r="J7" s="818" t="s">
        <v>10713</v>
      </c>
      <c r="K7" s="819">
        <v>1</v>
      </c>
      <c r="L7" s="822">
        <v>1.0209999999999999</v>
      </c>
      <c r="M7" s="817">
        <v>0.98299999999999998</v>
      </c>
      <c r="N7" s="818" t="s">
        <v>10714</v>
      </c>
      <c r="O7" s="819">
        <v>1.85</v>
      </c>
      <c r="P7" s="822">
        <v>1.9119999999999999</v>
      </c>
      <c r="Q7" s="817">
        <v>1.756</v>
      </c>
    </row>
    <row r="8" spans="1:18" ht="18.95" customHeight="1">
      <c r="A8" s="857" t="s">
        <v>10715</v>
      </c>
      <c r="B8" s="858">
        <v>1.1000000000000001</v>
      </c>
      <c r="C8" s="859">
        <v>1.1419999999999999</v>
      </c>
      <c r="D8" s="860">
        <v>1.075</v>
      </c>
      <c r="E8" s="857" t="s">
        <v>10716</v>
      </c>
      <c r="F8" s="861">
        <v>2.2999999999999998</v>
      </c>
      <c r="G8" s="862">
        <v>2.3849999999999998</v>
      </c>
      <c r="H8" s="863">
        <v>2.157</v>
      </c>
      <c r="J8" s="818" t="s">
        <v>10717</v>
      </c>
      <c r="K8" s="819">
        <v>1.2</v>
      </c>
      <c r="L8" s="822">
        <v>1.2210000000000001</v>
      </c>
      <c r="M8" s="817">
        <v>1.1830000000000001</v>
      </c>
      <c r="N8" s="818" t="s">
        <v>10718</v>
      </c>
      <c r="O8" s="819">
        <v>2.1</v>
      </c>
      <c r="P8" s="822">
        <v>2.1970000000000001</v>
      </c>
      <c r="Q8" s="817">
        <v>2.0249999999999999</v>
      </c>
    </row>
    <row r="9" spans="1:18" ht="18.95" customHeight="1">
      <c r="A9" s="857" t="s">
        <v>10719</v>
      </c>
      <c r="B9" s="858">
        <v>1.25</v>
      </c>
      <c r="C9" s="859">
        <v>1.321</v>
      </c>
      <c r="D9" s="860">
        <v>1.2210000000000001</v>
      </c>
      <c r="E9" s="857" t="s">
        <v>10720</v>
      </c>
      <c r="F9" s="861">
        <v>2.6</v>
      </c>
      <c r="G9" s="862">
        <v>2.6970000000000001</v>
      </c>
      <c r="H9" s="863">
        <v>2.4870000000000001</v>
      </c>
      <c r="J9" s="818" t="s">
        <v>10721</v>
      </c>
      <c r="K9" s="819">
        <v>1.4</v>
      </c>
      <c r="L9" s="822">
        <v>1.421</v>
      </c>
      <c r="M9" s="817">
        <v>1.383</v>
      </c>
      <c r="N9" s="818" t="s">
        <v>10722</v>
      </c>
      <c r="O9" s="819">
        <v>2.4</v>
      </c>
      <c r="P9" s="822">
        <v>2.4580000000000002</v>
      </c>
      <c r="Q9" s="817">
        <v>2.2709999999999999</v>
      </c>
    </row>
    <row r="10" spans="1:18" ht="18.95" customHeight="1">
      <c r="A10" s="857" t="s">
        <v>10723</v>
      </c>
      <c r="B10" s="858">
        <v>1.35</v>
      </c>
      <c r="C10" s="859">
        <v>1.421</v>
      </c>
      <c r="D10" s="860">
        <v>1.321</v>
      </c>
      <c r="E10" s="857" t="s">
        <v>10724</v>
      </c>
      <c r="F10" s="861">
        <v>2.8</v>
      </c>
      <c r="G10" s="862">
        <v>2.895</v>
      </c>
      <c r="H10" s="863">
        <v>2.6419999999999999</v>
      </c>
      <c r="J10" s="818" t="s">
        <v>10725</v>
      </c>
      <c r="K10" s="819">
        <v>1.45</v>
      </c>
      <c r="L10" s="847">
        <v>1.5</v>
      </c>
      <c r="M10" s="848">
        <v>1.46</v>
      </c>
      <c r="N10" s="818" t="s">
        <v>10726</v>
      </c>
      <c r="O10" s="819">
        <v>2.7</v>
      </c>
      <c r="P10" s="847">
        <v>2.74</v>
      </c>
      <c r="Q10" s="817">
        <v>2.5510000000000002</v>
      </c>
    </row>
    <row r="11" spans="1:18" ht="18.95" customHeight="1">
      <c r="A11" s="857" t="s">
        <v>10727</v>
      </c>
      <c r="B11" s="858">
        <v>1.45</v>
      </c>
      <c r="C11" s="859">
        <v>1.5209999999999999</v>
      </c>
      <c r="D11" s="860">
        <v>1.421</v>
      </c>
      <c r="E11" s="857" t="s">
        <v>10728</v>
      </c>
      <c r="F11" s="861">
        <v>3.4</v>
      </c>
      <c r="G11" s="862">
        <v>3.53</v>
      </c>
      <c r="H11" s="863">
        <v>3.302</v>
      </c>
      <c r="J11" s="818" t="s">
        <v>10729</v>
      </c>
      <c r="K11" s="819">
        <v>1.6</v>
      </c>
      <c r="L11" s="847">
        <v>1.621</v>
      </c>
      <c r="M11" s="848">
        <v>1.583</v>
      </c>
      <c r="N11" s="818" t="s">
        <v>10730</v>
      </c>
      <c r="O11" s="819">
        <v>2.9</v>
      </c>
      <c r="P11" s="847">
        <v>3.0219999999999998</v>
      </c>
      <c r="Q11" s="848">
        <v>2.82</v>
      </c>
    </row>
    <row r="12" spans="1:18" ht="18.95" customHeight="1">
      <c r="A12" s="857" t="s">
        <v>10731</v>
      </c>
      <c r="B12" s="858">
        <v>1.6</v>
      </c>
      <c r="C12" s="859">
        <v>1.679</v>
      </c>
      <c r="D12" s="860">
        <v>1.5669999999999999</v>
      </c>
      <c r="E12" s="857" t="s">
        <v>10732</v>
      </c>
      <c r="F12" s="861">
        <v>3.9</v>
      </c>
      <c r="G12" s="862">
        <v>3.9620000000000002</v>
      </c>
      <c r="H12" s="863">
        <v>3.6829999999999998</v>
      </c>
      <c r="J12" s="818" t="s">
        <v>10733</v>
      </c>
      <c r="K12" s="819">
        <v>1.75</v>
      </c>
      <c r="L12" s="847">
        <v>1.7849999999999999</v>
      </c>
      <c r="M12" s="848">
        <v>1.7290000000000001</v>
      </c>
      <c r="N12" s="818" t="s">
        <v>10734</v>
      </c>
      <c r="O12" s="819">
        <v>3.5</v>
      </c>
      <c r="P12" s="847">
        <v>3.6059999999999999</v>
      </c>
      <c r="Q12" s="848">
        <v>3.4039999999999999</v>
      </c>
    </row>
    <row r="13" spans="1:18" ht="18.95" customHeight="1">
      <c r="A13" s="857" t="s">
        <v>10735</v>
      </c>
      <c r="B13" s="858">
        <v>1.75</v>
      </c>
      <c r="C13" s="859">
        <v>1.8380000000000001</v>
      </c>
      <c r="D13" s="860">
        <v>1.7130000000000001</v>
      </c>
      <c r="E13" s="857" t="s">
        <v>10736</v>
      </c>
      <c r="F13" s="861">
        <v>4.5</v>
      </c>
      <c r="G13" s="862">
        <v>4.5970000000000004</v>
      </c>
      <c r="H13" s="863">
        <v>4.3440000000000003</v>
      </c>
      <c r="J13" s="818" t="s">
        <v>10737</v>
      </c>
      <c r="K13" s="819">
        <v>1.95</v>
      </c>
      <c r="L13" s="847">
        <v>1.9850000000000001</v>
      </c>
      <c r="M13" s="848">
        <v>1.929</v>
      </c>
      <c r="N13" s="818" t="s">
        <v>10738</v>
      </c>
      <c r="O13" s="819">
        <v>4.0999999999999996</v>
      </c>
      <c r="P13" s="847">
        <v>4.165</v>
      </c>
      <c r="Q13" s="848">
        <v>3.9630000000000001</v>
      </c>
    </row>
    <row r="14" spans="1:18" ht="18.95" customHeight="1">
      <c r="A14" s="857" t="s">
        <v>10739</v>
      </c>
      <c r="B14" s="858">
        <v>1.9</v>
      </c>
      <c r="C14" s="859">
        <v>1.9790000000000001</v>
      </c>
      <c r="D14" s="860">
        <v>1.867</v>
      </c>
      <c r="E14" s="864" t="s">
        <v>10740</v>
      </c>
      <c r="F14" s="861">
        <v>5.0999999999999996</v>
      </c>
      <c r="G14" s="862">
        <v>5.2569999999999997</v>
      </c>
      <c r="H14" s="863">
        <v>4.9790000000000001</v>
      </c>
      <c r="J14" s="818" t="s">
        <v>10741</v>
      </c>
      <c r="K14" s="819">
        <v>2.0499999999999998</v>
      </c>
      <c r="L14" s="847">
        <v>2.0609999999999999</v>
      </c>
      <c r="M14" s="848">
        <v>2.0009999999999999</v>
      </c>
      <c r="N14" s="840" t="s">
        <v>10742</v>
      </c>
      <c r="O14" s="819">
        <v>4.5999999999999996</v>
      </c>
      <c r="P14" s="847">
        <v>4.7240000000000002</v>
      </c>
      <c r="Q14" s="848">
        <v>4.4960000000000004</v>
      </c>
    </row>
    <row r="15" spans="1:18" ht="18.95" customHeight="1">
      <c r="A15" s="857" t="s">
        <v>10743</v>
      </c>
      <c r="B15" s="858">
        <v>2.1</v>
      </c>
      <c r="C15" s="859">
        <v>2.1379999999999999</v>
      </c>
      <c r="D15" s="860">
        <v>2.0129999999999999</v>
      </c>
      <c r="E15" s="864" t="s">
        <v>10744</v>
      </c>
      <c r="F15" s="861">
        <v>6.6</v>
      </c>
      <c r="G15" s="862">
        <v>6.7309999999999999</v>
      </c>
      <c r="H15" s="863">
        <v>6.4009999999999998</v>
      </c>
      <c r="J15" s="818" t="s">
        <v>10745</v>
      </c>
      <c r="K15" s="819">
        <v>2.2000000000000002</v>
      </c>
      <c r="L15" s="847">
        <v>2.2210000000000001</v>
      </c>
      <c r="M15" s="848">
        <v>2.121</v>
      </c>
      <c r="N15" s="840" t="s">
        <v>10746</v>
      </c>
      <c r="O15" s="819">
        <v>5.5</v>
      </c>
      <c r="P15" s="847">
        <v>5.5880000000000001</v>
      </c>
      <c r="Q15" s="848">
        <v>5.36</v>
      </c>
    </row>
    <row r="16" spans="1:18" ht="18.95" customHeight="1">
      <c r="A16" s="857" t="s">
        <v>10747</v>
      </c>
      <c r="B16" s="858">
        <v>2.2000000000000002</v>
      </c>
      <c r="C16" s="859">
        <v>2.238</v>
      </c>
      <c r="D16" s="860">
        <v>2.113</v>
      </c>
      <c r="E16" s="864" t="s">
        <v>10748</v>
      </c>
      <c r="F16" s="861">
        <v>8</v>
      </c>
      <c r="G16" s="862">
        <v>8.1530000000000005</v>
      </c>
      <c r="H16" s="863">
        <v>7.798</v>
      </c>
      <c r="J16" s="818" t="s">
        <v>10749</v>
      </c>
      <c r="K16" s="819">
        <v>2.2000000000000002</v>
      </c>
      <c r="L16" s="847">
        <v>2.246</v>
      </c>
      <c r="M16" s="848">
        <v>2.1859999999999999</v>
      </c>
      <c r="N16" s="840" t="s">
        <v>10750</v>
      </c>
      <c r="O16" s="819">
        <v>6.9</v>
      </c>
      <c r="P16" s="847">
        <v>7.0350000000000001</v>
      </c>
      <c r="Q16" s="848">
        <v>6.782</v>
      </c>
    </row>
    <row r="17" spans="1:17" ht="18.95" customHeight="1">
      <c r="A17" s="857" t="s">
        <v>10751</v>
      </c>
      <c r="B17" s="858">
        <v>2.5</v>
      </c>
      <c r="C17" s="859">
        <v>2.5990000000000002</v>
      </c>
      <c r="D17" s="860">
        <v>2.4590000000000001</v>
      </c>
      <c r="E17" s="864" t="s">
        <v>10752</v>
      </c>
      <c r="F17" s="861">
        <v>9.4</v>
      </c>
      <c r="G17" s="862">
        <v>9.5500000000000007</v>
      </c>
      <c r="H17" s="863">
        <v>9.1440000000000001</v>
      </c>
      <c r="J17" s="818" t="s">
        <v>10753</v>
      </c>
      <c r="K17" s="819">
        <v>2.7</v>
      </c>
      <c r="L17" s="847">
        <v>2.7210000000000001</v>
      </c>
      <c r="M17" s="848">
        <v>2.621</v>
      </c>
      <c r="N17" s="840" t="s">
        <v>10754</v>
      </c>
      <c r="O17" s="819">
        <v>8.5</v>
      </c>
      <c r="P17" s="847">
        <v>8.6359999999999992</v>
      </c>
      <c r="Q17" s="848">
        <v>8.3819999999999997</v>
      </c>
    </row>
    <row r="18" spans="1:17" ht="18.95" customHeight="1">
      <c r="A18" s="857" t="s">
        <v>10755</v>
      </c>
      <c r="B18" s="858">
        <v>2.4</v>
      </c>
      <c r="C18" s="859">
        <v>2.44</v>
      </c>
      <c r="D18" s="860">
        <v>2.2799999999999998</v>
      </c>
      <c r="E18" s="864" t="s">
        <v>10756</v>
      </c>
      <c r="F18" s="861">
        <v>10.8</v>
      </c>
      <c r="G18" s="862">
        <v>11.023</v>
      </c>
      <c r="H18" s="863">
        <v>10.592000000000001</v>
      </c>
      <c r="J18" s="818" t="s">
        <v>10757</v>
      </c>
      <c r="K18" s="819">
        <v>3.2</v>
      </c>
      <c r="L18" s="847">
        <v>3.2210000000000001</v>
      </c>
      <c r="M18" s="848">
        <v>3.121</v>
      </c>
      <c r="N18" s="840" t="s">
        <v>10758</v>
      </c>
      <c r="O18" s="819">
        <v>9.9</v>
      </c>
      <c r="P18" s="847">
        <v>10.032999999999999</v>
      </c>
      <c r="Q18" s="848">
        <v>9.7289999999999992</v>
      </c>
    </row>
    <row r="19" spans="1:17" ht="18.95" customHeight="1">
      <c r="A19" s="857" t="s">
        <v>10759</v>
      </c>
      <c r="B19" s="858">
        <v>2.9</v>
      </c>
      <c r="C19" s="859">
        <v>3.01</v>
      </c>
      <c r="D19" s="860">
        <v>2.85</v>
      </c>
      <c r="E19" s="864" t="s">
        <v>10760</v>
      </c>
      <c r="F19" s="861">
        <v>12.2</v>
      </c>
      <c r="G19" s="862">
        <v>12.446</v>
      </c>
      <c r="H19" s="863">
        <v>11.989000000000001</v>
      </c>
      <c r="J19" s="818" t="s">
        <v>10761</v>
      </c>
      <c r="K19" s="819">
        <v>3.5</v>
      </c>
      <c r="L19" s="847">
        <v>3.5990000000000002</v>
      </c>
      <c r="M19" s="848">
        <v>3.4590000000000001</v>
      </c>
      <c r="N19" s="840" t="s">
        <v>10762</v>
      </c>
      <c r="O19" s="819">
        <v>11.5</v>
      </c>
      <c r="P19" s="847">
        <v>11.606999999999999</v>
      </c>
      <c r="Q19" s="848">
        <v>11.329000000000001</v>
      </c>
    </row>
    <row r="20" spans="1:17" ht="18.95" customHeight="1">
      <c r="A20" s="857" t="s">
        <v>10763</v>
      </c>
      <c r="B20" s="858">
        <v>3.3</v>
      </c>
      <c r="C20" s="859">
        <v>3.4220000000000002</v>
      </c>
      <c r="D20" s="860">
        <v>3.242</v>
      </c>
      <c r="E20" s="864" t="s">
        <v>10764</v>
      </c>
      <c r="F20" s="861">
        <v>13.6</v>
      </c>
      <c r="G20" s="862">
        <v>12.868</v>
      </c>
      <c r="H20" s="863">
        <v>13.385999999999999</v>
      </c>
      <c r="J20" s="818" t="s">
        <v>10765</v>
      </c>
      <c r="K20" s="819">
        <v>4</v>
      </c>
      <c r="L20" s="847">
        <v>4.0990000000000002</v>
      </c>
      <c r="M20" s="848">
        <v>3.9590000000000001</v>
      </c>
      <c r="N20" s="840" t="s">
        <v>10766</v>
      </c>
      <c r="O20" s="819">
        <v>12.9</v>
      </c>
      <c r="P20" s="847">
        <v>13.081</v>
      </c>
      <c r="Q20" s="848">
        <v>12.750999999999999</v>
      </c>
    </row>
    <row r="21" spans="1:17" ht="18.95" customHeight="1">
      <c r="A21" s="857" t="s">
        <v>10767</v>
      </c>
      <c r="B21" s="858">
        <v>3.25</v>
      </c>
      <c r="C21" s="859">
        <v>3.3260000000000001</v>
      </c>
      <c r="D21" s="860">
        <v>3.1059999999999999</v>
      </c>
      <c r="E21" s="864" t="s">
        <v>10768</v>
      </c>
      <c r="F21" s="861">
        <v>16.5</v>
      </c>
      <c r="G21" s="859">
        <v>18.84</v>
      </c>
      <c r="H21" s="863">
        <v>16.306999999999999</v>
      </c>
      <c r="J21" s="818" t="s">
        <v>10769</v>
      </c>
      <c r="K21" s="819">
        <v>4.5</v>
      </c>
      <c r="L21" s="847">
        <v>4.5990000000000002</v>
      </c>
      <c r="M21" s="848">
        <v>4.4589999999999996</v>
      </c>
      <c r="N21" s="840" t="s">
        <v>10770</v>
      </c>
      <c r="O21" s="819">
        <v>14.5</v>
      </c>
      <c r="P21" s="847">
        <v>14.680999999999999</v>
      </c>
      <c r="Q21" s="848">
        <v>14.351000000000001</v>
      </c>
    </row>
    <row r="22" spans="1:17" ht="18.95" customHeight="1">
      <c r="A22" s="857" t="s">
        <v>10771</v>
      </c>
      <c r="B22" s="858">
        <v>3.8</v>
      </c>
      <c r="C22" s="859">
        <v>3.8780000000000001</v>
      </c>
      <c r="D22" s="860">
        <v>3.6880000000000002</v>
      </c>
      <c r="E22" s="864" t="s">
        <v>10772</v>
      </c>
      <c r="F22" s="861">
        <v>19.5</v>
      </c>
      <c r="G22" s="859">
        <v>19.760999999999999</v>
      </c>
      <c r="H22" s="863">
        <v>19.177</v>
      </c>
      <c r="J22" s="818" t="s">
        <v>10773</v>
      </c>
      <c r="K22" s="819">
        <v>5</v>
      </c>
      <c r="L22" s="847">
        <v>5.0990000000000002</v>
      </c>
      <c r="M22" s="848">
        <v>4.9589999999999996</v>
      </c>
      <c r="N22" s="840" t="s">
        <v>10774</v>
      </c>
      <c r="O22" s="819">
        <v>17.5</v>
      </c>
      <c r="P22" s="847">
        <v>17.678000000000001</v>
      </c>
      <c r="Q22" s="848">
        <v>17.323</v>
      </c>
    </row>
    <row r="23" spans="1:17" ht="18.95" customHeight="1">
      <c r="A23" s="857" t="s">
        <v>10775</v>
      </c>
      <c r="B23" s="858">
        <v>4.2</v>
      </c>
      <c r="C23" s="859">
        <v>4.3339999999999996</v>
      </c>
      <c r="D23" s="860">
        <v>4.1340000000000003</v>
      </c>
      <c r="E23" s="865" t="s">
        <v>6704</v>
      </c>
      <c r="F23" s="861">
        <v>22.2</v>
      </c>
      <c r="G23" s="859">
        <v>22.606000000000002</v>
      </c>
      <c r="H23" s="863">
        <v>21.971</v>
      </c>
      <c r="J23" s="818" t="s">
        <v>10776</v>
      </c>
      <c r="K23" s="819">
        <v>5.3</v>
      </c>
      <c r="L23" s="847">
        <v>5.3780000000000001</v>
      </c>
      <c r="M23" s="848">
        <v>5.1879999999999997</v>
      </c>
      <c r="N23" s="840" t="s">
        <v>10777</v>
      </c>
      <c r="O23" s="819">
        <v>20.5</v>
      </c>
      <c r="P23" s="847">
        <v>20.675000000000001</v>
      </c>
      <c r="Q23" s="848">
        <v>20.27</v>
      </c>
    </row>
    <row r="24" spans="1:17" ht="18.95" customHeight="1">
      <c r="A24" s="857" t="s">
        <v>10778</v>
      </c>
      <c r="B24" s="858">
        <v>4.0999999999999996</v>
      </c>
      <c r="C24" s="859">
        <v>4.17</v>
      </c>
      <c r="D24" s="860">
        <v>3.93</v>
      </c>
      <c r="E24" s="864" t="s">
        <v>10779</v>
      </c>
      <c r="F24" s="861">
        <v>25</v>
      </c>
      <c r="G24" s="859">
        <v>25.349</v>
      </c>
      <c r="H24" s="863">
        <v>24.638000000000002</v>
      </c>
      <c r="J24" s="818" t="s">
        <v>10780</v>
      </c>
      <c r="K24" s="819">
        <v>5.5</v>
      </c>
      <c r="L24" s="847">
        <v>5.55</v>
      </c>
      <c r="M24" s="848">
        <v>5.4</v>
      </c>
      <c r="N24" s="840" t="s">
        <v>10781</v>
      </c>
      <c r="O24" s="819">
        <v>23.2</v>
      </c>
      <c r="P24" s="847">
        <v>23.571000000000002</v>
      </c>
      <c r="Q24" s="848">
        <v>23.114000000000001</v>
      </c>
    </row>
    <row r="25" spans="1:17" ht="18.95" customHeight="1">
      <c r="A25" s="857" t="s">
        <v>10782</v>
      </c>
      <c r="B25" s="858">
        <v>5</v>
      </c>
      <c r="C25" s="859">
        <v>5.1529999999999996</v>
      </c>
      <c r="D25" s="860">
        <v>4.9169999999999998</v>
      </c>
      <c r="E25" s="864" t="s">
        <v>10783</v>
      </c>
      <c r="F25" s="861">
        <v>28.2</v>
      </c>
      <c r="G25" s="859">
        <v>28.524000000000001</v>
      </c>
      <c r="H25" s="863">
        <v>27.812999999999999</v>
      </c>
      <c r="J25" s="818" t="s">
        <v>10784</v>
      </c>
      <c r="K25" s="819">
        <v>6.3</v>
      </c>
      <c r="L25" s="847">
        <v>6.3780000000000001</v>
      </c>
      <c r="M25" s="848">
        <v>6.1879999999999997</v>
      </c>
      <c r="N25" s="840" t="s">
        <v>10785</v>
      </c>
      <c r="O25" s="819">
        <v>26.5</v>
      </c>
      <c r="P25" s="847">
        <v>26.745999999999999</v>
      </c>
      <c r="Q25" s="848">
        <v>26.289000000000001</v>
      </c>
    </row>
    <row r="26" spans="1:17" ht="18.95" customHeight="1">
      <c r="A26" s="857" t="s">
        <v>10786</v>
      </c>
      <c r="B26" s="858">
        <v>6</v>
      </c>
      <c r="C26" s="859">
        <v>6.1529999999999996</v>
      </c>
      <c r="D26" s="860">
        <v>5.9169999999999998</v>
      </c>
      <c r="E26" s="864" t="s">
        <v>10787</v>
      </c>
      <c r="F26" s="861">
        <v>30.8</v>
      </c>
      <c r="G26" s="859">
        <v>31.114999999999998</v>
      </c>
      <c r="H26" s="863">
        <v>30.353000000000002</v>
      </c>
      <c r="J26" s="826" t="s">
        <v>10788</v>
      </c>
      <c r="K26" s="849">
        <v>6.5</v>
      </c>
      <c r="L26" s="850">
        <v>6.55</v>
      </c>
      <c r="M26" s="851">
        <v>6.4</v>
      </c>
      <c r="N26" s="844" t="s">
        <v>10789</v>
      </c>
      <c r="O26" s="849">
        <v>29.5</v>
      </c>
      <c r="P26" s="850">
        <v>29.920999999999999</v>
      </c>
      <c r="Q26" s="851">
        <v>29.463999999999999</v>
      </c>
    </row>
    <row r="27" spans="1:17" ht="18.95" customHeight="1">
      <c r="A27" s="857" t="s">
        <v>10790</v>
      </c>
      <c r="B27" s="858">
        <v>6.8</v>
      </c>
      <c r="C27" s="859">
        <v>6.9119999999999999</v>
      </c>
      <c r="D27" s="860">
        <v>6.6470000000000002</v>
      </c>
      <c r="E27" s="864" t="s">
        <v>10791</v>
      </c>
      <c r="F27" s="861">
        <v>34</v>
      </c>
      <c r="G27" s="859">
        <v>34.29</v>
      </c>
      <c r="H27" s="863">
        <v>33.527999999999999</v>
      </c>
      <c r="J27" s="4479" t="s">
        <v>10695</v>
      </c>
      <c r="K27" s="4479"/>
      <c r="L27" s="4479"/>
      <c r="M27" s="4479"/>
      <c r="N27" s="4479"/>
      <c r="O27" s="4479"/>
      <c r="P27" s="4479"/>
      <c r="Q27" s="4479"/>
    </row>
    <row r="28" spans="1:17" ht="18.95" customHeight="1">
      <c r="A28" s="857" t="s">
        <v>10792</v>
      </c>
      <c r="B28" s="858">
        <v>7.8</v>
      </c>
      <c r="C28" s="859">
        <v>7.9119999999999999</v>
      </c>
      <c r="D28" s="860">
        <v>7.6470000000000002</v>
      </c>
      <c r="E28" s="864" t="s">
        <v>10793</v>
      </c>
      <c r="F28" s="861">
        <v>39.5</v>
      </c>
      <c r="G28" s="859">
        <v>39.826999999999998</v>
      </c>
      <c r="H28" s="863">
        <v>38.963999999999999</v>
      </c>
      <c r="J28" s="4481" t="s">
        <v>10698</v>
      </c>
      <c r="K28" s="4482"/>
      <c r="L28" s="4482"/>
      <c r="M28" s="4483"/>
      <c r="N28" s="4481" t="s">
        <v>10699</v>
      </c>
      <c r="O28" s="4482"/>
      <c r="P28" s="4482"/>
      <c r="Q28" s="4483"/>
    </row>
    <row r="29" spans="1:17" ht="18.95" customHeight="1">
      <c r="A29" s="857" t="s">
        <v>10794</v>
      </c>
      <c r="B29" s="858">
        <v>8.5</v>
      </c>
      <c r="C29" s="859">
        <v>8.6760000000000002</v>
      </c>
      <c r="D29" s="860">
        <v>8.3759999999999994</v>
      </c>
      <c r="E29" s="864" t="s">
        <v>10795</v>
      </c>
      <c r="F29" s="861">
        <v>45.2</v>
      </c>
      <c r="G29" s="859">
        <v>45.593000000000004</v>
      </c>
      <c r="H29" s="863">
        <v>44.679000000000002</v>
      </c>
      <c r="J29" s="4486" t="s">
        <v>9875</v>
      </c>
      <c r="K29" s="4158" t="s">
        <v>10700</v>
      </c>
      <c r="L29" s="4158" t="s">
        <v>10701</v>
      </c>
      <c r="M29" s="4484"/>
      <c r="N29" s="4486" t="s">
        <v>10702</v>
      </c>
      <c r="O29" s="4158" t="s">
        <v>10700</v>
      </c>
      <c r="P29" s="4158" t="s">
        <v>10701</v>
      </c>
      <c r="Q29" s="4485"/>
    </row>
    <row r="30" spans="1:17" ht="18.95" customHeight="1">
      <c r="A30" s="857" t="s">
        <v>10796</v>
      </c>
      <c r="B30" s="858">
        <v>9.5</v>
      </c>
      <c r="C30" s="859">
        <v>9.6760000000000002</v>
      </c>
      <c r="D30" s="860">
        <v>9.3759999999999994</v>
      </c>
      <c r="E30" s="864"/>
      <c r="F30" s="862"/>
      <c r="G30" s="859"/>
      <c r="H30" s="863"/>
      <c r="J30" s="4486"/>
      <c r="K30" s="4158"/>
      <c r="L30" s="830" t="s">
        <v>8199</v>
      </c>
      <c r="M30" s="873" t="s">
        <v>8200</v>
      </c>
      <c r="N30" s="4486"/>
      <c r="O30" s="4158"/>
      <c r="P30" s="830" t="s">
        <v>8199</v>
      </c>
      <c r="Q30" s="831" t="s">
        <v>8200</v>
      </c>
    </row>
    <row r="31" spans="1:17" ht="18.95" customHeight="1">
      <c r="A31" s="857" t="s">
        <v>10797</v>
      </c>
      <c r="B31" s="858">
        <v>10.3</v>
      </c>
      <c r="C31" s="859">
        <v>10.441000000000001</v>
      </c>
      <c r="D31" s="860">
        <v>10.106</v>
      </c>
      <c r="E31" s="864"/>
      <c r="F31" s="862"/>
      <c r="G31" s="859"/>
      <c r="H31" s="863"/>
      <c r="J31" s="818" t="s">
        <v>10798</v>
      </c>
      <c r="K31" s="841">
        <v>7</v>
      </c>
      <c r="L31" s="874">
        <v>7.1529999999999996</v>
      </c>
      <c r="M31" s="873">
        <v>6.9169999999999998</v>
      </c>
      <c r="N31" s="818" t="s">
        <v>10799</v>
      </c>
      <c r="O31" s="841">
        <v>32.799999999999997</v>
      </c>
      <c r="P31" s="830">
        <v>33.095999999999997</v>
      </c>
      <c r="Q31" s="831">
        <v>32.639000000000003</v>
      </c>
    </row>
    <row r="32" spans="1:17" ht="18.95" customHeight="1">
      <c r="A32" s="857" t="s">
        <v>10800</v>
      </c>
      <c r="B32" s="858">
        <v>12</v>
      </c>
      <c r="C32" s="859">
        <v>12.21</v>
      </c>
      <c r="D32" s="860">
        <v>11.835000000000001</v>
      </c>
      <c r="E32" s="864"/>
      <c r="F32" s="862"/>
      <c r="G32" s="859"/>
      <c r="H32" s="863"/>
      <c r="J32" s="818" t="s">
        <v>10801</v>
      </c>
      <c r="K32" s="841">
        <v>7.3</v>
      </c>
      <c r="L32" s="874">
        <v>7.3780000000000001</v>
      </c>
      <c r="M32" s="873">
        <v>7.1879999999999997</v>
      </c>
      <c r="N32" s="818" t="s">
        <v>10802</v>
      </c>
      <c r="O32" s="841">
        <v>36</v>
      </c>
      <c r="P32" s="830">
        <v>36.271000000000001</v>
      </c>
      <c r="Q32" s="831">
        <v>35.814</v>
      </c>
    </row>
    <row r="33" spans="1:18" ht="18.95" customHeight="1">
      <c r="A33" s="857" t="s">
        <v>10803</v>
      </c>
      <c r="B33" s="858">
        <v>14</v>
      </c>
      <c r="C33" s="859">
        <v>14.21</v>
      </c>
      <c r="D33" s="860">
        <v>13.835000000000001</v>
      </c>
      <c r="E33" s="864"/>
      <c r="F33" s="862"/>
      <c r="G33" s="862"/>
      <c r="H33" s="863"/>
      <c r="J33" s="818" t="s">
        <v>10804</v>
      </c>
      <c r="K33" s="841">
        <v>7.5</v>
      </c>
      <c r="L33" s="874">
        <v>7.52</v>
      </c>
      <c r="M33" s="875">
        <v>7.4</v>
      </c>
      <c r="N33" s="829"/>
      <c r="O33" s="830"/>
      <c r="P33" s="830"/>
      <c r="Q33" s="831"/>
      <c r="R33" s="3162" t="s">
        <v>12704</v>
      </c>
    </row>
    <row r="34" spans="1:18" ht="18.95" customHeight="1">
      <c r="A34" s="857" t="s">
        <v>10805</v>
      </c>
      <c r="B34" s="858">
        <v>15.5</v>
      </c>
      <c r="C34" s="859">
        <v>15.744</v>
      </c>
      <c r="D34" s="860">
        <v>15.294</v>
      </c>
      <c r="E34" s="864"/>
      <c r="F34" s="862"/>
      <c r="G34" s="862"/>
      <c r="H34" s="863"/>
      <c r="J34" s="818" t="s">
        <v>10806</v>
      </c>
      <c r="K34" s="841">
        <v>8</v>
      </c>
      <c r="L34" s="874">
        <v>8.1530000000000005</v>
      </c>
      <c r="M34" s="875">
        <v>7.9169999999999998</v>
      </c>
      <c r="N34" s="829"/>
      <c r="O34" s="830"/>
      <c r="P34" s="830"/>
      <c r="Q34" s="831"/>
    </row>
    <row r="35" spans="1:18" ht="18.95" customHeight="1">
      <c r="A35" s="857" t="s">
        <v>10807</v>
      </c>
      <c r="B35" s="858">
        <v>17.5</v>
      </c>
      <c r="C35" s="859">
        <v>17.744</v>
      </c>
      <c r="D35" s="860">
        <v>17.294</v>
      </c>
      <c r="E35" s="864"/>
      <c r="F35" s="862"/>
      <c r="G35" s="862"/>
      <c r="H35" s="863"/>
      <c r="J35" s="818" t="s">
        <v>10808</v>
      </c>
      <c r="K35" s="841">
        <v>8.3000000000000007</v>
      </c>
      <c r="L35" s="874">
        <v>8.3780000000000001</v>
      </c>
      <c r="M35" s="875">
        <v>8.1880000000000006</v>
      </c>
      <c r="N35" s="829"/>
      <c r="O35" s="830"/>
      <c r="P35" s="830"/>
      <c r="Q35" s="831"/>
    </row>
    <row r="36" spans="1:18" ht="18.95" customHeight="1">
      <c r="A36" s="857" t="s">
        <v>10809</v>
      </c>
      <c r="B36" s="858">
        <v>19.5</v>
      </c>
      <c r="C36" s="859">
        <v>19.744</v>
      </c>
      <c r="D36" s="860">
        <v>19.294</v>
      </c>
      <c r="E36" s="864"/>
      <c r="F36" s="862"/>
      <c r="G36" s="862"/>
      <c r="H36" s="863"/>
      <c r="J36" s="818" t="s">
        <v>10810</v>
      </c>
      <c r="K36" s="841">
        <v>8.8000000000000007</v>
      </c>
      <c r="L36" s="874">
        <v>8.9120000000000008</v>
      </c>
      <c r="M36" s="875">
        <v>8.6470000000000002</v>
      </c>
      <c r="N36" s="829"/>
      <c r="O36" s="830"/>
      <c r="P36" s="830"/>
      <c r="Q36" s="831"/>
    </row>
    <row r="37" spans="1:18" ht="18.95" customHeight="1">
      <c r="A37" s="857" t="s">
        <v>10811</v>
      </c>
      <c r="B37" s="858">
        <v>21</v>
      </c>
      <c r="C37" s="859">
        <v>21.251999999999999</v>
      </c>
      <c r="D37" s="860">
        <v>20.751999999999999</v>
      </c>
      <c r="E37" s="864"/>
      <c r="F37" s="862"/>
      <c r="G37" s="862"/>
      <c r="H37" s="863"/>
      <c r="J37" s="818" t="s">
        <v>10812</v>
      </c>
      <c r="K37" s="841">
        <v>9</v>
      </c>
      <c r="L37" s="874">
        <v>9.1530000000000005</v>
      </c>
      <c r="M37" s="875">
        <v>8.9169999999999998</v>
      </c>
      <c r="N37" s="829"/>
      <c r="O37" s="830"/>
      <c r="P37" s="830"/>
      <c r="Q37" s="831"/>
    </row>
    <row r="38" spans="1:18" ht="18.95" customHeight="1">
      <c r="A38" s="857" t="s">
        <v>10813</v>
      </c>
      <c r="B38" s="858">
        <v>24</v>
      </c>
      <c r="C38" s="859">
        <v>24.251999999999999</v>
      </c>
      <c r="D38" s="860">
        <v>23.751999999999999</v>
      </c>
      <c r="E38" s="864"/>
      <c r="F38" s="862"/>
      <c r="G38" s="862"/>
      <c r="H38" s="863"/>
      <c r="J38" s="818" t="s">
        <v>10814</v>
      </c>
      <c r="K38" s="841">
        <v>9.3000000000000007</v>
      </c>
      <c r="L38" s="874">
        <v>9.3780000000000001</v>
      </c>
      <c r="M38" s="875">
        <v>9.1880000000000006</v>
      </c>
      <c r="N38" s="829"/>
      <c r="O38" s="830"/>
      <c r="P38" s="830"/>
      <c r="Q38" s="831"/>
    </row>
    <row r="39" spans="1:18" ht="18.95" customHeight="1">
      <c r="A39" s="866" t="s">
        <v>10815</v>
      </c>
      <c r="B39" s="867">
        <v>26.5</v>
      </c>
      <c r="C39" s="868">
        <v>26.771000000000001</v>
      </c>
      <c r="D39" s="869">
        <v>26.210999999999999</v>
      </c>
      <c r="E39" s="870"/>
      <c r="F39" s="871"/>
      <c r="G39" s="871"/>
      <c r="H39" s="872"/>
      <c r="J39" s="818" t="s">
        <v>10816</v>
      </c>
      <c r="K39" s="841">
        <v>9.5</v>
      </c>
      <c r="L39" s="874">
        <v>9.52</v>
      </c>
      <c r="M39" s="875">
        <v>9.4</v>
      </c>
      <c r="N39" s="829"/>
      <c r="O39" s="830"/>
      <c r="P39" s="830"/>
      <c r="Q39" s="831"/>
    </row>
    <row r="40" spans="1:18">
      <c r="J40" s="818" t="s">
        <v>10817</v>
      </c>
      <c r="K40" s="841">
        <v>10</v>
      </c>
      <c r="L40" s="874">
        <v>10.153</v>
      </c>
      <c r="M40" s="875">
        <v>9.9169999999999998</v>
      </c>
      <c r="N40" s="829"/>
      <c r="O40" s="830"/>
      <c r="P40" s="830"/>
      <c r="Q40" s="831"/>
    </row>
    <row r="41" spans="1:18">
      <c r="J41" s="818" t="s">
        <v>10818</v>
      </c>
      <c r="K41" s="841">
        <v>10.3</v>
      </c>
      <c r="L41" s="874">
        <v>10.378</v>
      </c>
      <c r="M41" s="875">
        <v>10.188000000000001</v>
      </c>
      <c r="N41" s="829"/>
      <c r="O41" s="830"/>
      <c r="P41" s="830"/>
      <c r="Q41" s="831"/>
    </row>
    <row r="42" spans="1:18">
      <c r="J42" s="818" t="s">
        <v>10819</v>
      </c>
      <c r="K42" s="841">
        <v>10.5</v>
      </c>
      <c r="L42" s="874">
        <v>10.676</v>
      </c>
      <c r="M42" s="875">
        <v>10.375999999999999</v>
      </c>
      <c r="N42" s="829"/>
      <c r="O42" s="830"/>
      <c r="P42" s="830"/>
      <c r="Q42" s="831"/>
    </row>
    <row r="43" spans="1:18">
      <c r="J43" s="818" t="s">
        <v>10820</v>
      </c>
      <c r="K43" s="841">
        <v>10.8</v>
      </c>
      <c r="L43" s="874">
        <v>10.912000000000001</v>
      </c>
      <c r="M43" s="875">
        <v>10.647</v>
      </c>
      <c r="N43" s="829"/>
      <c r="O43" s="830"/>
      <c r="P43" s="830"/>
      <c r="Q43" s="831"/>
    </row>
    <row r="44" spans="1:18">
      <c r="J44" s="818" t="s">
        <v>10821</v>
      </c>
      <c r="K44" s="819">
        <v>11</v>
      </c>
      <c r="L44" s="847">
        <v>11.153</v>
      </c>
      <c r="M44" s="876">
        <v>10.917</v>
      </c>
      <c r="N44" s="816"/>
      <c r="O44" s="822"/>
      <c r="P44" s="822"/>
      <c r="Q44" s="817"/>
    </row>
    <row r="45" spans="1:18">
      <c r="J45" s="818" t="s">
        <v>10822</v>
      </c>
      <c r="K45" s="819">
        <v>11.5</v>
      </c>
      <c r="L45" s="847">
        <v>11.52</v>
      </c>
      <c r="M45" s="876">
        <v>11.4</v>
      </c>
      <c r="N45" s="816"/>
      <c r="O45" s="822"/>
      <c r="P45" s="822"/>
      <c r="Q45" s="817"/>
    </row>
    <row r="46" spans="1:18">
      <c r="J46" s="818" t="s">
        <v>10823</v>
      </c>
      <c r="K46" s="819">
        <v>12.5</v>
      </c>
      <c r="L46" s="847">
        <v>12.676</v>
      </c>
      <c r="M46" s="876">
        <v>12.375999999999999</v>
      </c>
      <c r="N46" s="816"/>
      <c r="O46" s="822"/>
      <c r="P46" s="822"/>
      <c r="Q46" s="817"/>
    </row>
    <row r="47" spans="1:18">
      <c r="J47" s="818" t="s">
        <v>10824</v>
      </c>
      <c r="K47" s="819">
        <v>13</v>
      </c>
      <c r="L47" s="847">
        <v>13.153</v>
      </c>
      <c r="M47" s="876">
        <v>12.917</v>
      </c>
      <c r="N47" s="816"/>
      <c r="O47" s="822"/>
      <c r="P47" s="822"/>
      <c r="Q47" s="817"/>
    </row>
    <row r="48" spans="1:18">
      <c r="J48" s="818" t="s">
        <v>10825</v>
      </c>
      <c r="K48" s="819">
        <v>13.5</v>
      </c>
      <c r="L48" s="847">
        <v>13.676</v>
      </c>
      <c r="M48" s="876">
        <v>13.375999999999999</v>
      </c>
      <c r="N48" s="816"/>
      <c r="O48" s="822"/>
      <c r="P48" s="822"/>
      <c r="Q48" s="817"/>
    </row>
    <row r="49" spans="10:17">
      <c r="J49" s="818" t="s">
        <v>10826</v>
      </c>
      <c r="K49" s="819">
        <v>14</v>
      </c>
      <c r="L49" s="847">
        <v>14.153</v>
      </c>
      <c r="M49" s="876">
        <v>13.917</v>
      </c>
      <c r="N49" s="816"/>
      <c r="O49" s="822"/>
      <c r="P49" s="822"/>
      <c r="Q49" s="817"/>
    </row>
    <row r="50" spans="10:17">
      <c r="J50" s="818" t="s">
        <v>10827</v>
      </c>
      <c r="K50" s="819">
        <v>14.5</v>
      </c>
      <c r="L50" s="847">
        <v>14.676</v>
      </c>
      <c r="M50" s="876">
        <v>14.375999999999999</v>
      </c>
      <c r="N50" s="816"/>
      <c r="O50" s="822"/>
      <c r="P50" s="822"/>
      <c r="Q50" s="817"/>
    </row>
    <row r="51" spans="10:17">
      <c r="J51" s="818" t="s">
        <v>10828</v>
      </c>
      <c r="K51" s="819">
        <v>15</v>
      </c>
      <c r="L51" s="847">
        <v>15.153</v>
      </c>
      <c r="M51" s="876">
        <v>14.917</v>
      </c>
      <c r="N51" s="816"/>
      <c r="O51" s="822"/>
      <c r="P51" s="822"/>
      <c r="Q51" s="817"/>
    </row>
    <row r="52" spans="10:17">
      <c r="J52" s="818" t="s">
        <v>10829</v>
      </c>
      <c r="K52" s="819">
        <v>15.5</v>
      </c>
      <c r="L52" s="847">
        <v>15.676</v>
      </c>
      <c r="M52" s="876">
        <v>15.375999999999999</v>
      </c>
      <c r="N52" s="816"/>
      <c r="O52" s="822"/>
      <c r="P52" s="822"/>
      <c r="Q52" s="817"/>
    </row>
    <row r="53" spans="10:17" ht="22.5">
      <c r="J53" s="4479" t="s">
        <v>10695</v>
      </c>
      <c r="K53" s="4479"/>
      <c r="L53" s="4479"/>
      <c r="M53" s="4479"/>
      <c r="N53" s="4479"/>
      <c r="O53" s="4479"/>
      <c r="P53" s="4479"/>
      <c r="Q53" s="4479"/>
    </row>
    <row r="54" spans="10:17" ht="18.75">
      <c r="J54" s="4481" t="s">
        <v>10698</v>
      </c>
      <c r="K54" s="4482"/>
      <c r="L54" s="4482"/>
      <c r="M54" s="4483"/>
      <c r="N54" s="4481" t="s">
        <v>10699</v>
      </c>
      <c r="O54" s="4482"/>
      <c r="P54" s="4482"/>
      <c r="Q54" s="4483"/>
    </row>
    <row r="55" spans="10:17">
      <c r="J55" s="4486" t="s">
        <v>9875</v>
      </c>
      <c r="K55" s="4158" t="s">
        <v>10700</v>
      </c>
      <c r="L55" s="4158" t="s">
        <v>10701</v>
      </c>
      <c r="M55" s="4484"/>
      <c r="N55" s="4486" t="s">
        <v>10702</v>
      </c>
      <c r="O55" s="4158" t="s">
        <v>10700</v>
      </c>
      <c r="P55" s="4158" t="s">
        <v>10701</v>
      </c>
      <c r="Q55" s="4485"/>
    </row>
    <row r="56" spans="10:17">
      <c r="J56" s="4486"/>
      <c r="K56" s="4158"/>
      <c r="L56" s="830" t="s">
        <v>8199</v>
      </c>
      <c r="M56" s="873" t="s">
        <v>8200</v>
      </c>
      <c r="N56" s="4486"/>
      <c r="O56" s="4158"/>
      <c r="P56" s="830" t="s">
        <v>8199</v>
      </c>
      <c r="Q56" s="831" t="s">
        <v>8200</v>
      </c>
    </row>
    <row r="57" spans="10:17">
      <c r="J57" s="818" t="s">
        <v>10830</v>
      </c>
      <c r="K57" s="819">
        <v>16</v>
      </c>
      <c r="L57" s="847">
        <v>16.152999999999999</v>
      </c>
      <c r="M57" s="876">
        <v>15.917</v>
      </c>
      <c r="N57" s="816"/>
      <c r="O57" s="822"/>
      <c r="P57" s="822"/>
      <c r="Q57" s="817"/>
    </row>
    <row r="58" spans="10:17">
      <c r="J58" s="818" t="s">
        <v>10831</v>
      </c>
      <c r="K58" s="819">
        <v>16</v>
      </c>
      <c r="L58" s="847">
        <v>16.21</v>
      </c>
      <c r="M58" s="876">
        <v>15.835000000000001</v>
      </c>
      <c r="N58" s="816"/>
      <c r="O58" s="822"/>
      <c r="P58" s="822"/>
      <c r="Q58" s="817"/>
    </row>
    <row r="59" spans="10:17">
      <c r="J59" s="818" t="s">
        <v>10832</v>
      </c>
      <c r="K59" s="819">
        <v>16.5</v>
      </c>
      <c r="L59" s="847">
        <v>16.675999999999998</v>
      </c>
      <c r="M59" s="876">
        <v>16.376000000000001</v>
      </c>
      <c r="N59" s="816"/>
      <c r="O59" s="822"/>
      <c r="P59" s="822"/>
      <c r="Q59" s="817"/>
    </row>
    <row r="60" spans="10:17">
      <c r="J60" s="818" t="s">
        <v>10833</v>
      </c>
      <c r="K60" s="819">
        <v>17</v>
      </c>
      <c r="L60" s="847">
        <v>17.152999999999999</v>
      </c>
      <c r="M60" s="876">
        <v>16.917000000000002</v>
      </c>
      <c r="N60" s="816"/>
      <c r="O60" s="822"/>
      <c r="P60" s="822"/>
      <c r="Q60" s="817"/>
    </row>
    <row r="61" spans="10:17">
      <c r="J61" s="818" t="s">
        <v>10834</v>
      </c>
      <c r="K61" s="819">
        <v>18</v>
      </c>
      <c r="L61" s="847">
        <v>18.21</v>
      </c>
      <c r="M61" s="876">
        <v>17.835000000000001</v>
      </c>
      <c r="N61" s="816"/>
      <c r="O61" s="822"/>
      <c r="P61" s="822"/>
      <c r="Q61" s="817"/>
    </row>
    <row r="62" spans="10:17">
      <c r="J62" s="818" t="s">
        <v>10835</v>
      </c>
      <c r="K62" s="819">
        <v>18.5</v>
      </c>
      <c r="L62" s="847">
        <v>18.675999999999998</v>
      </c>
      <c r="M62" s="876">
        <v>18.376000000000001</v>
      </c>
      <c r="N62" s="816"/>
      <c r="O62" s="822"/>
      <c r="P62" s="822"/>
      <c r="Q62" s="817"/>
    </row>
    <row r="63" spans="10:17">
      <c r="J63" s="818" t="s">
        <v>10836</v>
      </c>
      <c r="K63" s="819">
        <v>19</v>
      </c>
      <c r="L63" s="847">
        <v>19.152999999999999</v>
      </c>
      <c r="M63" s="876">
        <v>18.917000000000002</v>
      </c>
      <c r="N63" s="816"/>
      <c r="O63" s="822"/>
      <c r="P63" s="822"/>
      <c r="Q63" s="817"/>
    </row>
    <row r="64" spans="10:17">
      <c r="J64" s="818" t="s">
        <v>10837</v>
      </c>
      <c r="K64" s="819">
        <v>20</v>
      </c>
      <c r="L64" s="847">
        <v>20.21</v>
      </c>
      <c r="M64" s="876">
        <v>19.835000000000001</v>
      </c>
      <c r="N64" s="816"/>
      <c r="O64" s="822"/>
      <c r="P64" s="822"/>
      <c r="Q64" s="817"/>
    </row>
    <row r="65" spans="10:18">
      <c r="J65" s="818" t="s">
        <v>10838</v>
      </c>
      <c r="K65" s="819">
        <v>20.5</v>
      </c>
      <c r="L65" s="847">
        <v>20.675999999999998</v>
      </c>
      <c r="M65" s="876">
        <v>20.376000000000001</v>
      </c>
      <c r="N65" s="816"/>
      <c r="O65" s="822"/>
      <c r="P65" s="822"/>
      <c r="Q65" s="817"/>
    </row>
    <row r="66" spans="10:18">
      <c r="J66" s="818" t="s">
        <v>10839</v>
      </c>
      <c r="K66" s="819">
        <v>21</v>
      </c>
      <c r="L66" s="847">
        <v>21.152999999999999</v>
      </c>
      <c r="M66" s="876">
        <v>20.917000000000002</v>
      </c>
      <c r="N66" s="816"/>
      <c r="O66" s="822"/>
      <c r="P66" s="822"/>
      <c r="Q66" s="817"/>
    </row>
    <row r="67" spans="10:18">
      <c r="J67" s="818" t="s">
        <v>10840</v>
      </c>
      <c r="K67" s="819">
        <v>22</v>
      </c>
      <c r="L67" s="847">
        <v>22.21</v>
      </c>
      <c r="M67" s="876">
        <v>21.835000000000001</v>
      </c>
      <c r="N67" s="816"/>
      <c r="O67" s="822"/>
      <c r="P67" s="822"/>
      <c r="Q67" s="817"/>
    </row>
    <row r="68" spans="10:18">
      <c r="J68" s="818" t="s">
        <v>10841</v>
      </c>
      <c r="K68" s="819">
        <v>22.5</v>
      </c>
      <c r="L68" s="847">
        <v>22.675999999999998</v>
      </c>
      <c r="M68" s="876">
        <v>22.376000000000001</v>
      </c>
      <c r="N68" s="816"/>
      <c r="O68" s="822"/>
      <c r="P68" s="822"/>
      <c r="Q68" s="817"/>
      <c r="R68" s="3162" t="s">
        <v>12704</v>
      </c>
    </row>
    <row r="69" spans="10:18">
      <c r="J69" s="818" t="s">
        <v>10842</v>
      </c>
      <c r="K69" s="819">
        <v>23</v>
      </c>
      <c r="L69" s="847">
        <v>23.152999999999999</v>
      </c>
      <c r="M69" s="876">
        <v>22.917000000000002</v>
      </c>
      <c r="N69" s="816"/>
      <c r="O69" s="822"/>
      <c r="P69" s="822"/>
      <c r="Q69" s="817"/>
    </row>
    <row r="70" spans="10:18">
      <c r="J70" s="818" t="s">
        <v>10843</v>
      </c>
      <c r="K70" s="819">
        <v>23</v>
      </c>
      <c r="L70" s="847">
        <v>23.21</v>
      </c>
      <c r="M70" s="876">
        <v>22.835000000000001</v>
      </c>
      <c r="N70" s="816"/>
      <c r="O70" s="822"/>
      <c r="P70" s="822"/>
      <c r="Q70" s="817"/>
    </row>
    <row r="71" spans="10:18">
      <c r="J71" s="818" t="s">
        <v>10844</v>
      </c>
      <c r="K71" s="819">
        <v>23.5</v>
      </c>
      <c r="L71" s="847">
        <v>23.675999999999998</v>
      </c>
      <c r="M71" s="876">
        <v>23.376000000000001</v>
      </c>
      <c r="N71" s="816"/>
      <c r="O71" s="822"/>
      <c r="P71" s="822"/>
      <c r="Q71" s="817"/>
    </row>
    <row r="72" spans="10:18">
      <c r="J72" s="818" t="s">
        <v>10845</v>
      </c>
      <c r="K72" s="819">
        <v>24</v>
      </c>
      <c r="L72" s="847">
        <v>24.152999999999999</v>
      </c>
      <c r="M72" s="876">
        <v>23.917000000000002</v>
      </c>
      <c r="N72" s="816"/>
      <c r="O72" s="822"/>
      <c r="P72" s="822"/>
      <c r="Q72" s="817"/>
    </row>
    <row r="73" spans="10:18">
      <c r="J73" s="818" t="s">
        <v>10846</v>
      </c>
      <c r="K73" s="819">
        <v>24.5</v>
      </c>
      <c r="L73" s="847">
        <v>24.675999999999998</v>
      </c>
      <c r="M73" s="876">
        <v>24.376000000000001</v>
      </c>
      <c r="N73" s="816"/>
      <c r="O73" s="822"/>
      <c r="P73" s="822"/>
      <c r="Q73" s="817"/>
    </row>
    <row r="74" spans="10:18">
      <c r="J74" s="818" t="s">
        <v>10847</v>
      </c>
      <c r="K74" s="819">
        <v>25</v>
      </c>
      <c r="L74" s="847">
        <v>25.21</v>
      </c>
      <c r="M74" s="876">
        <v>24.835000000000001</v>
      </c>
      <c r="N74" s="816"/>
      <c r="O74" s="822"/>
      <c r="P74" s="822"/>
      <c r="Q74" s="817"/>
    </row>
    <row r="75" spans="10:18">
      <c r="J75" s="818" t="s">
        <v>10848</v>
      </c>
      <c r="K75" s="819">
        <v>25.5</v>
      </c>
      <c r="L75" s="847">
        <v>25.675999999999998</v>
      </c>
      <c r="M75" s="876">
        <v>25.376000000000001</v>
      </c>
      <c r="N75" s="816"/>
      <c r="O75" s="822"/>
      <c r="P75" s="822"/>
      <c r="Q75" s="817"/>
    </row>
    <row r="76" spans="10:18">
      <c r="J76" s="818" t="s">
        <v>10849</v>
      </c>
      <c r="K76" s="819">
        <v>26</v>
      </c>
      <c r="L76" s="847">
        <v>26.152999999999999</v>
      </c>
      <c r="M76" s="876">
        <v>25.917000000000002</v>
      </c>
      <c r="N76" s="816"/>
      <c r="O76" s="822"/>
      <c r="P76" s="822"/>
      <c r="Q76" s="817"/>
    </row>
    <row r="77" spans="10:18">
      <c r="J77" s="818" t="s">
        <v>10850</v>
      </c>
      <c r="K77" s="819">
        <v>26</v>
      </c>
      <c r="L77" s="847">
        <v>26.21</v>
      </c>
      <c r="M77" s="876">
        <v>25.835000000000001</v>
      </c>
      <c r="N77" s="816"/>
      <c r="O77" s="822"/>
      <c r="P77" s="822"/>
      <c r="Q77" s="817"/>
    </row>
    <row r="78" spans="10:18">
      <c r="J78" s="818" t="s">
        <v>10851</v>
      </c>
      <c r="K78" s="819">
        <v>26.5</v>
      </c>
      <c r="L78" s="847">
        <v>26.675999999999998</v>
      </c>
      <c r="M78" s="876">
        <v>26.376000000000001</v>
      </c>
      <c r="N78" s="816"/>
      <c r="O78" s="822"/>
      <c r="P78" s="822"/>
      <c r="Q78" s="817"/>
    </row>
    <row r="79" spans="10:18" ht="22.5">
      <c r="J79" s="4479" t="s">
        <v>10695</v>
      </c>
      <c r="K79" s="4479"/>
      <c r="L79" s="4479"/>
      <c r="M79" s="4479"/>
      <c r="N79" s="4479"/>
      <c r="O79" s="4479"/>
      <c r="P79" s="4479"/>
      <c r="Q79" s="4479"/>
    </row>
    <row r="80" spans="10:18" ht="18.75">
      <c r="J80" s="4481" t="s">
        <v>10698</v>
      </c>
      <c r="K80" s="4482"/>
      <c r="L80" s="4482"/>
      <c r="M80" s="4483"/>
      <c r="N80" s="4481" t="s">
        <v>10699</v>
      </c>
      <c r="O80" s="4482"/>
      <c r="P80" s="4482"/>
      <c r="Q80" s="4483"/>
    </row>
    <row r="81" spans="10:18">
      <c r="J81" s="4486" t="s">
        <v>9875</v>
      </c>
      <c r="K81" s="4158" t="s">
        <v>10700</v>
      </c>
      <c r="L81" s="4158" t="s">
        <v>10701</v>
      </c>
      <c r="M81" s="4484"/>
      <c r="N81" s="4486" t="s">
        <v>10702</v>
      </c>
      <c r="O81" s="4158" t="s">
        <v>10700</v>
      </c>
      <c r="P81" s="4158" t="s">
        <v>10701</v>
      </c>
      <c r="Q81" s="4485"/>
    </row>
    <row r="82" spans="10:18">
      <c r="J82" s="4486"/>
      <c r="K82" s="4158"/>
      <c r="L82" s="830" t="s">
        <v>8199</v>
      </c>
      <c r="M82" s="873" t="s">
        <v>8200</v>
      </c>
      <c r="N82" s="4486"/>
      <c r="O82" s="4158"/>
      <c r="P82" s="830" t="s">
        <v>8199</v>
      </c>
      <c r="Q82" s="831" t="s">
        <v>8200</v>
      </c>
    </row>
    <row r="83" spans="10:18">
      <c r="J83" s="818" t="s">
        <v>10852</v>
      </c>
      <c r="K83" s="819">
        <v>27</v>
      </c>
      <c r="L83" s="822">
        <v>27.152999999999999</v>
      </c>
      <c r="M83" s="877">
        <v>26.917000000000002</v>
      </c>
      <c r="N83" s="816"/>
      <c r="O83" s="822"/>
      <c r="P83" s="822"/>
      <c r="Q83" s="817"/>
    </row>
    <row r="84" spans="10:18">
      <c r="J84" s="818" t="s">
        <v>10853</v>
      </c>
      <c r="K84" s="819">
        <v>27</v>
      </c>
      <c r="L84" s="822">
        <v>27.251999999999999</v>
      </c>
      <c r="M84" s="877">
        <v>26.751999999999999</v>
      </c>
      <c r="N84" s="816"/>
      <c r="O84" s="822"/>
      <c r="P84" s="822"/>
      <c r="Q84" s="817"/>
    </row>
    <row r="85" spans="10:18">
      <c r="J85" s="818" t="s">
        <v>10854</v>
      </c>
      <c r="K85" s="819">
        <v>28</v>
      </c>
      <c r="L85" s="847">
        <v>28.21</v>
      </c>
      <c r="M85" s="877">
        <v>27.835000000000001</v>
      </c>
      <c r="N85" s="816"/>
      <c r="O85" s="822"/>
      <c r="P85" s="822"/>
      <c r="Q85" s="817"/>
    </row>
    <row r="86" spans="10:18">
      <c r="J86" s="818" t="s">
        <v>10855</v>
      </c>
      <c r="K86" s="819">
        <v>28.5</v>
      </c>
      <c r="L86" s="847">
        <v>28.675999999999998</v>
      </c>
      <c r="M86" s="877">
        <v>28.376000000000001</v>
      </c>
      <c r="N86" s="816"/>
      <c r="O86" s="822"/>
      <c r="P86" s="822"/>
      <c r="Q86" s="817"/>
    </row>
    <row r="87" spans="10:18">
      <c r="J87" s="818" t="s">
        <v>10856</v>
      </c>
      <c r="K87" s="819">
        <v>29</v>
      </c>
      <c r="L87" s="847">
        <v>29.152999999999999</v>
      </c>
      <c r="M87" s="877">
        <v>28.917000000000002</v>
      </c>
      <c r="N87" s="816"/>
      <c r="O87" s="822"/>
      <c r="P87" s="822"/>
      <c r="Q87" s="817"/>
    </row>
    <row r="88" spans="10:18">
      <c r="J88" s="818" t="s">
        <v>10857</v>
      </c>
      <c r="K88" s="819">
        <v>30</v>
      </c>
      <c r="L88" s="847">
        <v>30.21</v>
      </c>
      <c r="M88" s="877">
        <v>29.835000000000001</v>
      </c>
      <c r="N88" s="816"/>
      <c r="O88" s="822"/>
      <c r="P88" s="822"/>
      <c r="Q88" s="817"/>
    </row>
    <row r="89" spans="10:18">
      <c r="J89" s="818" t="s">
        <v>10858</v>
      </c>
      <c r="K89" s="819">
        <v>30.5</v>
      </c>
      <c r="L89" s="847">
        <v>30.675999999999998</v>
      </c>
      <c r="M89" s="877">
        <v>30.376000000000001</v>
      </c>
      <c r="N89" s="816"/>
      <c r="O89" s="822"/>
      <c r="P89" s="822"/>
      <c r="Q89" s="817"/>
    </row>
    <row r="90" spans="10:18">
      <c r="J90" s="818" t="s">
        <v>10859</v>
      </c>
      <c r="K90" s="819">
        <v>30</v>
      </c>
      <c r="L90" s="847">
        <v>30.251999999999999</v>
      </c>
      <c r="M90" s="877">
        <v>29.751999999999999</v>
      </c>
      <c r="N90" s="816"/>
      <c r="O90" s="822"/>
      <c r="P90" s="822"/>
      <c r="Q90" s="817"/>
    </row>
    <row r="91" spans="10:18">
      <c r="J91" s="818" t="s">
        <v>10860</v>
      </c>
      <c r="K91" s="819">
        <v>31</v>
      </c>
      <c r="L91" s="847">
        <v>31.21</v>
      </c>
      <c r="M91" s="877">
        <v>30.835000000000001</v>
      </c>
      <c r="N91" s="816"/>
      <c r="O91" s="822"/>
      <c r="P91" s="822"/>
      <c r="Q91" s="817"/>
    </row>
    <row r="92" spans="10:18">
      <c r="J92" s="818" t="s">
        <v>10861</v>
      </c>
      <c r="K92" s="819">
        <v>31.5</v>
      </c>
      <c r="L92" s="847">
        <v>31.675999999999998</v>
      </c>
      <c r="M92" s="877">
        <v>31.376000000000001</v>
      </c>
      <c r="N92" s="816"/>
      <c r="O92" s="822"/>
      <c r="P92" s="822"/>
      <c r="Q92" s="817"/>
    </row>
    <row r="93" spans="10:18">
      <c r="J93" s="818" t="s">
        <v>10862</v>
      </c>
      <c r="K93" s="819">
        <v>33.5</v>
      </c>
      <c r="L93" s="847">
        <v>33.676000000000002</v>
      </c>
      <c r="M93" s="877">
        <v>33.375999999999998</v>
      </c>
      <c r="N93" s="816"/>
      <c r="O93" s="822"/>
      <c r="P93" s="822"/>
      <c r="Q93" s="817"/>
    </row>
    <row r="94" spans="10:18">
      <c r="J94" s="818" t="s">
        <v>10863</v>
      </c>
      <c r="K94" s="819">
        <v>33</v>
      </c>
      <c r="L94" s="847">
        <v>33.252000000000002</v>
      </c>
      <c r="M94" s="877">
        <v>32.752000000000002</v>
      </c>
      <c r="N94" s="816"/>
      <c r="O94" s="822"/>
      <c r="P94" s="822"/>
      <c r="Q94" s="817"/>
    </row>
    <row r="95" spans="10:18">
      <c r="J95" s="878" t="s">
        <v>10864</v>
      </c>
      <c r="K95" s="879">
        <v>34</v>
      </c>
      <c r="L95" s="880">
        <v>34.21</v>
      </c>
      <c r="M95" s="881">
        <v>33.835000000000001</v>
      </c>
      <c r="N95" s="882"/>
      <c r="O95" s="883"/>
      <c r="P95" s="883"/>
      <c r="Q95" s="885"/>
    </row>
    <row r="96" spans="10:18">
      <c r="J96" s="826" t="s">
        <v>10865</v>
      </c>
      <c r="K96" s="849">
        <v>34.5</v>
      </c>
      <c r="L96" s="850">
        <v>34.676000000000002</v>
      </c>
      <c r="M96" s="884">
        <v>34.375999999999998</v>
      </c>
      <c r="N96" s="823"/>
      <c r="O96" s="824"/>
      <c r="P96" s="824"/>
      <c r="Q96" s="825"/>
      <c r="R96" s="3162" t="s">
        <v>12704</v>
      </c>
    </row>
    <row r="97" spans="10:17">
      <c r="J97" s="813"/>
      <c r="K97" s="813"/>
      <c r="L97" s="813"/>
      <c r="M97" s="813"/>
      <c r="N97" s="813"/>
      <c r="O97" s="813"/>
      <c r="P97" s="813"/>
      <c r="Q97" s="813"/>
    </row>
    <row r="98" spans="10:17">
      <c r="J98" s="813"/>
      <c r="K98" s="813"/>
      <c r="L98" s="813"/>
      <c r="M98" s="813"/>
      <c r="N98" s="813"/>
      <c r="O98" s="813"/>
      <c r="P98" s="813"/>
      <c r="Q98" s="813"/>
    </row>
    <row r="99" spans="10:17">
      <c r="J99" s="813"/>
      <c r="K99" s="813"/>
      <c r="L99" s="813"/>
      <c r="M99" s="813"/>
      <c r="N99" s="813"/>
      <c r="O99" s="813"/>
      <c r="P99" s="813"/>
      <c r="Q99" s="813"/>
    </row>
    <row r="100" spans="10:17">
      <c r="J100" s="813"/>
      <c r="K100" s="813"/>
      <c r="L100" s="813"/>
      <c r="M100" s="813"/>
      <c r="N100" s="813"/>
      <c r="O100" s="813"/>
      <c r="P100" s="813"/>
      <c r="Q100" s="813"/>
    </row>
    <row r="101" spans="10:17">
      <c r="J101" s="813"/>
      <c r="K101" s="813"/>
      <c r="L101" s="813"/>
      <c r="M101" s="813"/>
      <c r="N101" s="813"/>
      <c r="O101" s="813"/>
      <c r="P101" s="813"/>
      <c r="Q101" s="813"/>
    </row>
    <row r="102" spans="10:17">
      <c r="J102" s="813"/>
      <c r="K102" s="813"/>
      <c r="L102" s="813"/>
      <c r="M102" s="813"/>
      <c r="N102" s="813"/>
      <c r="O102" s="813"/>
      <c r="P102" s="813"/>
      <c r="Q102" s="813"/>
    </row>
    <row r="103" spans="10:17">
      <c r="J103" s="813"/>
      <c r="K103" s="813"/>
      <c r="L103" s="813"/>
      <c r="M103" s="813"/>
      <c r="N103" s="813"/>
      <c r="O103" s="813"/>
      <c r="P103" s="813"/>
      <c r="Q103" s="813"/>
    </row>
    <row r="104" spans="10:17">
      <c r="J104" s="813"/>
      <c r="K104" s="813"/>
      <c r="L104" s="813"/>
      <c r="M104" s="813"/>
      <c r="N104" s="813"/>
      <c r="O104" s="813"/>
      <c r="P104" s="813"/>
      <c r="Q104" s="813"/>
    </row>
    <row r="105" spans="10:17">
      <c r="J105" s="813"/>
      <c r="K105" s="813"/>
      <c r="L105" s="813"/>
      <c r="M105" s="813"/>
      <c r="N105" s="813"/>
      <c r="O105" s="813"/>
      <c r="P105" s="813"/>
      <c r="Q105" s="813"/>
    </row>
    <row r="106" spans="10:17">
      <c r="J106" s="813"/>
      <c r="K106" s="813"/>
      <c r="L106" s="813"/>
      <c r="M106" s="813"/>
      <c r="N106" s="813"/>
      <c r="O106" s="813"/>
      <c r="P106" s="813"/>
      <c r="Q106" s="813"/>
    </row>
    <row r="107" spans="10:17">
      <c r="J107" s="813"/>
      <c r="K107" s="813"/>
      <c r="L107" s="813"/>
      <c r="M107" s="813"/>
      <c r="N107" s="813"/>
      <c r="O107" s="813"/>
      <c r="P107" s="813"/>
      <c r="Q107" s="813"/>
    </row>
    <row r="108" spans="10:17">
      <c r="J108" s="813"/>
      <c r="K108" s="813"/>
      <c r="L108" s="813"/>
      <c r="M108" s="813"/>
      <c r="N108" s="813"/>
      <c r="O108" s="813"/>
      <c r="P108" s="813"/>
      <c r="Q108" s="813"/>
    </row>
    <row r="109" spans="10:17">
      <c r="J109" s="813"/>
      <c r="K109" s="813"/>
      <c r="L109" s="813"/>
      <c r="M109" s="813"/>
      <c r="N109" s="813"/>
      <c r="O109" s="813"/>
      <c r="P109" s="813"/>
      <c r="Q109" s="813"/>
    </row>
    <row r="110" spans="10:17">
      <c r="J110" s="813"/>
      <c r="K110" s="813"/>
      <c r="L110" s="813"/>
      <c r="M110" s="813"/>
      <c r="N110" s="813"/>
      <c r="O110" s="813"/>
      <c r="P110" s="813"/>
      <c r="Q110" s="813"/>
    </row>
    <row r="111" spans="10:17">
      <c r="J111" s="813"/>
      <c r="K111" s="813"/>
      <c r="L111" s="813"/>
      <c r="M111" s="813"/>
      <c r="N111" s="813"/>
      <c r="O111" s="813"/>
      <c r="P111" s="813"/>
      <c r="Q111" s="813"/>
    </row>
  </sheetData>
  <mergeCells count="44">
    <mergeCell ref="N81:N82"/>
    <mergeCell ref="O3:O4"/>
    <mergeCell ref="O29:O30"/>
    <mergeCell ref="O55:O56"/>
    <mergeCell ref="O81:O82"/>
    <mergeCell ref="J80:M80"/>
    <mergeCell ref="N80:Q80"/>
    <mergeCell ref="L81:M81"/>
    <mergeCell ref="P81:Q81"/>
    <mergeCell ref="A3:A4"/>
    <mergeCell ref="B3:B4"/>
    <mergeCell ref="E3:E4"/>
    <mergeCell ref="F3:F4"/>
    <mergeCell ref="J3:J4"/>
    <mergeCell ref="J29:J30"/>
    <mergeCell ref="J55:J56"/>
    <mergeCell ref="J81:J82"/>
    <mergeCell ref="K3:K4"/>
    <mergeCell ref="K29:K30"/>
    <mergeCell ref="K55:K56"/>
    <mergeCell ref="K81:K82"/>
    <mergeCell ref="J54:M54"/>
    <mergeCell ref="N54:Q54"/>
    <mergeCell ref="L55:M55"/>
    <mergeCell ref="P55:Q55"/>
    <mergeCell ref="J79:Q79"/>
    <mergeCell ref="N55:N56"/>
    <mergeCell ref="J28:M28"/>
    <mergeCell ref="N28:Q28"/>
    <mergeCell ref="L29:M29"/>
    <mergeCell ref="P29:Q29"/>
    <mergeCell ref="J53:Q53"/>
    <mergeCell ref="N29:N30"/>
    <mergeCell ref="C3:D3"/>
    <mergeCell ref="G3:H3"/>
    <mergeCell ref="L3:M3"/>
    <mergeCell ref="P3:Q3"/>
    <mergeCell ref="J27:Q27"/>
    <mergeCell ref="N3:N4"/>
    <mergeCell ref="A1:Q1"/>
    <mergeCell ref="A2:D2"/>
    <mergeCell ref="E2:H2"/>
    <mergeCell ref="J2:M2"/>
    <mergeCell ref="N2:Q2"/>
  </mergeCells>
  <phoneticPr fontId="378" type="noConversion"/>
  <hyperlinks>
    <hyperlink ref="R2" location="总目录!A1" display="返回目录"/>
    <hyperlink ref="R33" location="总目录!A1" display="返回目录"/>
    <hyperlink ref="R68" location="总目录!A1" display="返回目录"/>
    <hyperlink ref="R96" location="总目录!A1" display="返回目录"/>
  </hyperlinks>
  <pageMargins left="0.60902777777777795" right="0.68888888888888899" top="0.48888888888888898" bottom="0.38888888888888901" header="0.21875" footer="0.25"/>
  <pageSetup paperSize="9" orientation="portrait"/>
  <headerFooter scaleWithDoc="0" alignWithMargins="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election activeCell="F15" sqref="F15"/>
    </sheetView>
  </sheetViews>
  <sheetFormatPr defaultColWidth="9" defaultRowHeight="16.5"/>
  <cols>
    <col min="1" max="1" width="20.875" style="813" customWidth="1"/>
    <col min="2" max="4" width="18.625" style="813" customWidth="1"/>
    <col min="5" max="5" width="21.5" style="813" customWidth="1"/>
    <col min="6" max="6" width="20.625" style="813" customWidth="1"/>
    <col min="7" max="16384" width="9" style="813"/>
  </cols>
  <sheetData>
    <row r="1" spans="1:6" ht="54.75" customHeight="1">
      <c r="A1" s="4488" t="s">
        <v>10866</v>
      </c>
      <c r="B1" s="4489"/>
      <c r="C1" s="4489"/>
      <c r="D1" s="4490"/>
      <c r="E1" s="4488" t="s">
        <v>10867</v>
      </c>
      <c r="F1" s="4490"/>
    </row>
    <row r="2" spans="1:6" ht="32.25" customHeight="1">
      <c r="A2" s="4493" t="s">
        <v>10868</v>
      </c>
      <c r="B2" s="4491" t="s">
        <v>10700</v>
      </c>
      <c r="C2" s="4491" t="s">
        <v>10701</v>
      </c>
      <c r="D2" s="4492"/>
      <c r="E2" s="4494" t="s">
        <v>9875</v>
      </c>
      <c r="F2" s="4495" t="s">
        <v>6372</v>
      </c>
    </row>
    <row r="3" spans="1:6" ht="24.95" customHeight="1">
      <c r="A3" s="4493"/>
      <c r="B3" s="4491"/>
      <c r="C3" s="814" t="s">
        <v>8199</v>
      </c>
      <c r="D3" s="815" t="s">
        <v>8200</v>
      </c>
      <c r="E3" s="4494"/>
      <c r="F3" s="4495"/>
    </row>
    <row r="4" spans="1:6" ht="26.1" customHeight="1">
      <c r="A4" s="818" t="s">
        <v>10869</v>
      </c>
      <c r="B4" s="819">
        <v>4.7</v>
      </c>
      <c r="C4" s="847">
        <v>4.8259999999999996</v>
      </c>
      <c r="D4" s="848">
        <v>4.6230000000000002</v>
      </c>
      <c r="E4" s="818" t="s">
        <v>10870</v>
      </c>
      <c r="F4" s="821" t="s">
        <v>10871</v>
      </c>
    </row>
    <row r="5" spans="1:6" ht="26.1" customHeight="1">
      <c r="A5" s="818" t="s">
        <v>10872</v>
      </c>
      <c r="B5" s="819">
        <v>5.6</v>
      </c>
      <c r="C5" s="847">
        <v>5.69</v>
      </c>
      <c r="D5" s="848">
        <v>5.4859999999999998</v>
      </c>
      <c r="E5" s="818" t="s">
        <v>10873</v>
      </c>
      <c r="F5" s="817"/>
    </row>
    <row r="6" spans="1:6" ht="26.1" customHeight="1">
      <c r="A6" s="818" t="s">
        <v>10874</v>
      </c>
      <c r="B6" s="819">
        <v>7.1</v>
      </c>
      <c r="C6" s="847">
        <v>7.2640000000000002</v>
      </c>
      <c r="D6" s="848">
        <v>7.0869999999999997</v>
      </c>
      <c r="E6" s="818" t="s">
        <v>10875</v>
      </c>
      <c r="F6" s="821" t="s">
        <v>10876</v>
      </c>
    </row>
    <row r="7" spans="1:6" ht="26.1" customHeight="1">
      <c r="A7" s="818" t="s">
        <v>10877</v>
      </c>
      <c r="B7" s="819">
        <v>8.6999999999999993</v>
      </c>
      <c r="C7" s="847">
        <v>8.8650000000000002</v>
      </c>
      <c r="D7" s="848">
        <v>8.6609999999999996</v>
      </c>
      <c r="E7" s="818" t="s">
        <v>10878</v>
      </c>
      <c r="F7" s="821" t="s">
        <v>10879</v>
      </c>
    </row>
    <row r="8" spans="1:6" ht="26.1" customHeight="1">
      <c r="A8" s="818" t="s">
        <v>10880</v>
      </c>
      <c r="B8" s="819">
        <v>10.199999999999999</v>
      </c>
      <c r="C8" s="847">
        <v>10.337999999999999</v>
      </c>
      <c r="D8" s="848">
        <v>10.135</v>
      </c>
      <c r="E8" s="818" t="s">
        <v>10881</v>
      </c>
      <c r="F8" s="821" t="s">
        <v>10882</v>
      </c>
    </row>
    <row r="9" spans="1:6" ht="26.1" customHeight="1">
      <c r="A9" s="840" t="s">
        <v>10883</v>
      </c>
      <c r="B9" s="819">
        <v>11.8</v>
      </c>
      <c r="C9" s="847">
        <v>11.938000000000001</v>
      </c>
      <c r="D9" s="848">
        <v>11.709</v>
      </c>
      <c r="E9" s="816"/>
      <c r="F9" s="817"/>
    </row>
    <row r="10" spans="1:6" ht="26.1" customHeight="1">
      <c r="A10" s="840" t="s">
        <v>10884</v>
      </c>
      <c r="B10" s="819">
        <v>13.2</v>
      </c>
      <c r="C10" s="847">
        <v>13.385999999999999</v>
      </c>
      <c r="D10" s="848">
        <v>13.132</v>
      </c>
      <c r="E10" s="816"/>
      <c r="F10" s="817"/>
    </row>
    <row r="11" spans="1:6" ht="26.1" customHeight="1">
      <c r="A11" s="840" t="s">
        <v>10885</v>
      </c>
      <c r="B11" s="819">
        <v>14.8</v>
      </c>
      <c r="C11" s="847">
        <v>14.986000000000001</v>
      </c>
      <c r="D11" s="848">
        <v>14.731999999999999</v>
      </c>
      <c r="E11" s="816"/>
      <c r="F11" s="817"/>
    </row>
    <row r="12" spans="1:6" ht="26.1" customHeight="1">
      <c r="A12" s="840" t="s">
        <v>10886</v>
      </c>
      <c r="B12" s="819">
        <v>17.8</v>
      </c>
      <c r="C12" s="847">
        <v>17.957999999999998</v>
      </c>
      <c r="D12" s="848">
        <v>17.678000000000001</v>
      </c>
      <c r="E12" s="816"/>
      <c r="F12" s="817"/>
    </row>
    <row r="13" spans="1:6" ht="26.1" customHeight="1">
      <c r="A13" s="840" t="s">
        <v>10887</v>
      </c>
      <c r="B13" s="819">
        <v>21</v>
      </c>
      <c r="C13" s="847">
        <v>21.132999999999999</v>
      </c>
      <c r="D13" s="848">
        <v>20.853000000000002</v>
      </c>
      <c r="E13" s="816"/>
      <c r="F13" s="817"/>
    </row>
    <row r="14" spans="1:6" ht="26.1" customHeight="1">
      <c r="A14" s="844" t="s">
        <v>10888</v>
      </c>
      <c r="B14" s="849">
        <v>24</v>
      </c>
      <c r="C14" s="850">
        <v>24.308</v>
      </c>
      <c r="D14" s="851">
        <v>24.027999999999999</v>
      </c>
      <c r="E14" s="823"/>
      <c r="F14" s="825"/>
    </row>
    <row r="15" spans="1:6">
      <c r="A15" s="852"/>
      <c r="F15" s="3166" t="s">
        <v>12704</v>
      </c>
    </row>
    <row r="16" spans="1:6">
      <c r="A16" s="852"/>
    </row>
    <row r="17" spans="1:1">
      <c r="A17" s="852"/>
    </row>
    <row r="18" spans="1:1">
      <c r="A18" s="852"/>
    </row>
    <row r="19" spans="1:1">
      <c r="A19" s="852"/>
    </row>
  </sheetData>
  <mergeCells count="7">
    <mergeCell ref="A1:D1"/>
    <mergeCell ref="E1:F1"/>
    <mergeCell ref="C2:D2"/>
    <mergeCell ref="A2:A3"/>
    <mergeCell ref="B2:B3"/>
    <mergeCell ref="E2:E3"/>
    <mergeCell ref="F2:F3"/>
  </mergeCells>
  <phoneticPr fontId="378" type="noConversion"/>
  <hyperlinks>
    <hyperlink ref="F15" location="总目录!A1" display="返回目录"/>
  </hyperlinks>
  <pageMargins left="0.96875" right="0.75" top="1.25" bottom="0.83888888888888902" header="0.5" footer="0.5"/>
  <pageSetup paperSize="9" orientation="landscape"/>
  <headerFooter scaleWithDoc="0" alignWithMargins="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workbookViewId="0">
      <selection activeCell="M16" sqref="M16"/>
    </sheetView>
  </sheetViews>
  <sheetFormatPr defaultColWidth="9.75" defaultRowHeight="16.5"/>
  <cols>
    <col min="1" max="1" width="13.25" style="828" customWidth="1"/>
    <col min="2" max="2" width="9.75" style="828" customWidth="1"/>
    <col min="3" max="3" width="8" style="828" customWidth="1"/>
    <col min="4" max="4" width="8.5" style="828" customWidth="1"/>
    <col min="5" max="5" width="13.875" style="828" customWidth="1"/>
    <col min="6" max="6" width="8.125" style="828" customWidth="1"/>
    <col min="7" max="7" width="8.25" style="828" customWidth="1"/>
    <col min="8" max="9" width="9.75" style="828" customWidth="1"/>
    <col min="10" max="10" width="11.75" style="828" customWidth="1"/>
    <col min="11" max="16384" width="9.75" style="828"/>
  </cols>
  <sheetData>
    <row r="1" spans="1:13" ht="62.25" customHeight="1">
      <c r="A1" s="4496" t="s">
        <v>12055</v>
      </c>
      <c r="B1" s="4496"/>
      <c r="C1" s="4496"/>
      <c r="D1" s="4496"/>
      <c r="E1" s="4496"/>
      <c r="F1" s="4496"/>
      <c r="G1" s="4496"/>
      <c r="H1" s="4496"/>
      <c r="I1" s="4496"/>
      <c r="J1" s="4496"/>
      <c r="K1" s="4496"/>
      <c r="L1" s="4496"/>
      <c r="M1" s="4496"/>
    </row>
    <row r="2" spans="1:13" ht="57" customHeight="1">
      <c r="A2" s="4488" t="s">
        <v>10889</v>
      </c>
      <c r="B2" s="4489"/>
      <c r="C2" s="4489"/>
      <c r="D2" s="4490"/>
      <c r="E2" s="4488" t="s">
        <v>10889</v>
      </c>
      <c r="F2" s="4489"/>
      <c r="G2" s="4489"/>
      <c r="H2" s="4489"/>
      <c r="I2" s="4490"/>
      <c r="J2" s="4488" t="s">
        <v>10890</v>
      </c>
      <c r="K2" s="4489"/>
      <c r="L2" s="4489"/>
      <c r="M2" s="4490"/>
    </row>
    <row r="3" spans="1:13" ht="26.25" customHeight="1">
      <c r="A3" s="4486" t="s">
        <v>9875</v>
      </c>
      <c r="B3" s="4158" t="s">
        <v>10700</v>
      </c>
      <c r="C3" s="4158" t="s">
        <v>6372</v>
      </c>
      <c r="D3" s="4485"/>
      <c r="E3" s="4486" t="s">
        <v>9875</v>
      </c>
      <c r="F3" s="4491" t="s">
        <v>10700</v>
      </c>
      <c r="G3" s="4491"/>
      <c r="H3" s="4499" t="s">
        <v>10891</v>
      </c>
      <c r="I3" s="4500" t="s">
        <v>10892</v>
      </c>
      <c r="J3" s="4486" t="s">
        <v>9875</v>
      </c>
      <c r="K3" s="4158" t="s">
        <v>6372</v>
      </c>
      <c r="L3" s="4158"/>
      <c r="M3" s="4485"/>
    </row>
    <row r="4" spans="1:13" ht="14.25" customHeight="1">
      <c r="A4" s="4486"/>
      <c r="B4" s="4158"/>
      <c r="C4" s="4158" t="s">
        <v>8199</v>
      </c>
      <c r="D4" s="4485" t="s">
        <v>8200</v>
      </c>
      <c r="E4" s="4486"/>
      <c r="F4" s="4497" t="s">
        <v>10893</v>
      </c>
      <c r="G4" s="4497" t="s">
        <v>10894</v>
      </c>
      <c r="H4" s="4499"/>
      <c r="I4" s="4500"/>
      <c r="J4" s="4486"/>
      <c r="K4" s="4491" t="s">
        <v>10895</v>
      </c>
      <c r="L4" s="4491"/>
      <c r="M4" s="4485" t="s">
        <v>10896</v>
      </c>
    </row>
    <row r="5" spans="1:13">
      <c r="A5" s="4486"/>
      <c r="B5" s="4158"/>
      <c r="C5" s="4158"/>
      <c r="D5" s="4485"/>
      <c r="E5" s="4486"/>
      <c r="F5" s="4498"/>
      <c r="G5" s="4498"/>
      <c r="H5" s="4499"/>
      <c r="I5" s="4500"/>
      <c r="J5" s="4486"/>
      <c r="K5" s="195" t="s">
        <v>10897</v>
      </c>
      <c r="L5" s="195" t="s">
        <v>10898</v>
      </c>
      <c r="M5" s="4485"/>
    </row>
    <row r="6" spans="1:13" ht="24.95" customHeight="1">
      <c r="A6" s="832" t="s">
        <v>10899</v>
      </c>
      <c r="B6" s="833">
        <v>6.5</v>
      </c>
      <c r="C6" s="195">
        <v>6.6319999999999997</v>
      </c>
      <c r="D6" s="834">
        <v>6.49</v>
      </c>
      <c r="E6" s="832" t="s">
        <v>10900</v>
      </c>
      <c r="F6" s="833">
        <v>6.1</v>
      </c>
      <c r="G6" s="833">
        <v>6.2</v>
      </c>
      <c r="H6" s="195">
        <v>6.2439999999999998</v>
      </c>
      <c r="I6" s="839">
        <v>6.3840000000000003</v>
      </c>
      <c r="J6" s="840" t="s">
        <v>10901</v>
      </c>
      <c r="K6" s="841">
        <v>6.1</v>
      </c>
      <c r="L6" s="841">
        <v>6.25</v>
      </c>
      <c r="M6" s="842">
        <v>6.35</v>
      </c>
    </row>
    <row r="7" spans="1:13" ht="24.95" customHeight="1">
      <c r="A7" s="832" t="s">
        <v>10902</v>
      </c>
      <c r="B7" s="833">
        <v>8.5</v>
      </c>
      <c r="C7" s="195">
        <v>8.6370000000000005</v>
      </c>
      <c r="D7" s="834">
        <v>8.4949999999999992</v>
      </c>
      <c r="E7" s="832" t="s">
        <v>10903</v>
      </c>
      <c r="F7" s="833">
        <v>8.1</v>
      </c>
      <c r="G7" s="833">
        <v>8.1999999999999993</v>
      </c>
      <c r="H7" s="195">
        <v>8.2490000000000006</v>
      </c>
      <c r="I7" s="839">
        <v>8.3879999999999999</v>
      </c>
      <c r="J7" s="840" t="s">
        <v>10904</v>
      </c>
      <c r="K7" s="841">
        <v>8.33</v>
      </c>
      <c r="L7" s="841">
        <v>8.43</v>
      </c>
      <c r="M7" s="842">
        <v>8.74</v>
      </c>
    </row>
    <row r="8" spans="1:13" ht="24.95" customHeight="1">
      <c r="A8" s="832" t="s">
        <v>10905</v>
      </c>
      <c r="B8" s="833">
        <v>11.4</v>
      </c>
      <c r="C8" s="195">
        <v>11.548999999999999</v>
      </c>
      <c r="D8" s="834">
        <v>11.340999999999999</v>
      </c>
      <c r="E8" s="832" t="s">
        <v>10906</v>
      </c>
      <c r="F8" s="833">
        <v>10.7</v>
      </c>
      <c r="G8" s="833">
        <v>11</v>
      </c>
      <c r="H8" s="195">
        <v>10.962</v>
      </c>
      <c r="I8" s="839">
        <v>11.173999999999999</v>
      </c>
      <c r="J8" s="840" t="s">
        <v>10907</v>
      </c>
      <c r="K8" s="841">
        <v>10.72</v>
      </c>
      <c r="L8" s="841">
        <v>11.13</v>
      </c>
      <c r="M8" s="842">
        <v>11.13</v>
      </c>
    </row>
    <row r="9" spans="1:13" ht="24.95" customHeight="1">
      <c r="A9" s="832" t="s">
        <v>10908</v>
      </c>
      <c r="B9" s="833">
        <v>15</v>
      </c>
      <c r="C9" s="195">
        <v>15.054</v>
      </c>
      <c r="D9" s="834">
        <v>14.846</v>
      </c>
      <c r="E9" s="832" t="s">
        <v>10909</v>
      </c>
      <c r="F9" s="833">
        <v>14.2</v>
      </c>
      <c r="G9" s="833">
        <v>14.5</v>
      </c>
      <c r="H9" s="195">
        <v>14.448</v>
      </c>
      <c r="I9" s="839">
        <v>14.657999999999999</v>
      </c>
      <c r="J9" s="840" t="s">
        <v>10910</v>
      </c>
      <c r="K9" s="841">
        <v>14.27</v>
      </c>
      <c r="L9" s="841">
        <v>14.27</v>
      </c>
      <c r="M9" s="842">
        <v>14.68</v>
      </c>
    </row>
    <row r="10" spans="1:13" ht="24.95" customHeight="1">
      <c r="A10" s="832" t="s">
        <v>10911</v>
      </c>
      <c r="B10" s="833">
        <v>18.5</v>
      </c>
      <c r="C10" s="195">
        <v>18.773</v>
      </c>
      <c r="D10" s="834">
        <v>18.489000000000001</v>
      </c>
      <c r="E10" s="832" t="s">
        <v>10912</v>
      </c>
      <c r="F10" s="833">
        <v>17.600000000000001</v>
      </c>
      <c r="G10" s="833">
        <v>18</v>
      </c>
      <c r="H10" s="195">
        <v>17.978999999999999</v>
      </c>
      <c r="I10" s="839">
        <v>18.263000000000002</v>
      </c>
      <c r="J10" s="840" t="s">
        <v>10913</v>
      </c>
      <c r="K10" s="841">
        <v>17.48</v>
      </c>
      <c r="L10" s="841">
        <v>17.86</v>
      </c>
      <c r="M10" s="842">
        <v>18.260000000000002</v>
      </c>
    </row>
    <row r="11" spans="1:13" ht="24.95" customHeight="1">
      <c r="A11" s="832" t="s">
        <v>10914</v>
      </c>
      <c r="B11" s="833">
        <v>24</v>
      </c>
      <c r="C11" s="195">
        <v>24.259</v>
      </c>
      <c r="D11" s="834">
        <v>23.975000000000001</v>
      </c>
      <c r="E11" s="832" t="s">
        <v>10915</v>
      </c>
      <c r="F11" s="833">
        <v>23</v>
      </c>
      <c r="G11" s="833">
        <v>23.5</v>
      </c>
      <c r="H11" s="195">
        <v>23.378</v>
      </c>
      <c r="I11" s="839">
        <v>23.663</v>
      </c>
      <c r="J11" s="840" t="s">
        <v>10916</v>
      </c>
      <c r="K11" s="841">
        <v>22.63</v>
      </c>
      <c r="L11" s="841">
        <v>23.01</v>
      </c>
      <c r="M11" s="842">
        <v>23.42</v>
      </c>
    </row>
    <row r="12" spans="1:13" ht="24.95" customHeight="1">
      <c r="A12" s="832" t="s">
        <v>10917</v>
      </c>
      <c r="B12" s="833">
        <v>30.2</v>
      </c>
      <c r="C12" s="195">
        <v>30.471</v>
      </c>
      <c r="D12" s="834">
        <v>30.111000000000001</v>
      </c>
      <c r="E12" s="832" t="s">
        <v>10918</v>
      </c>
      <c r="F12" s="833">
        <v>29</v>
      </c>
      <c r="G12" s="833">
        <v>29.5</v>
      </c>
      <c r="H12" s="195">
        <v>29.459</v>
      </c>
      <c r="I12" s="839">
        <v>29.821999999999999</v>
      </c>
      <c r="J12" s="840" t="s">
        <v>10919</v>
      </c>
      <c r="K12" s="841">
        <v>28.58</v>
      </c>
      <c r="L12" s="841">
        <v>28.98</v>
      </c>
      <c r="M12" s="842">
        <v>29.36</v>
      </c>
    </row>
    <row r="13" spans="1:13" ht="24.95" customHeight="1">
      <c r="A13" s="832" t="s">
        <v>10920</v>
      </c>
      <c r="B13" s="833">
        <v>38.799999999999997</v>
      </c>
      <c r="C13" s="195">
        <v>39.131999999999998</v>
      </c>
      <c r="D13" s="834">
        <v>38.771999999999998</v>
      </c>
      <c r="E13" s="832" t="s">
        <v>10921</v>
      </c>
      <c r="F13" s="833">
        <v>37.5</v>
      </c>
      <c r="G13" s="833">
        <v>38</v>
      </c>
      <c r="H13" s="195">
        <v>37.975999999999999</v>
      </c>
      <c r="I13" s="839">
        <v>38.338999999999999</v>
      </c>
      <c r="J13" s="840" t="s">
        <v>10922</v>
      </c>
      <c r="K13" s="841">
        <v>37.31</v>
      </c>
      <c r="L13" s="841">
        <v>37.69</v>
      </c>
      <c r="M13" s="842">
        <v>38.1</v>
      </c>
    </row>
    <row r="14" spans="1:13" ht="24.95" customHeight="1">
      <c r="A14" s="832" t="s">
        <v>10923</v>
      </c>
      <c r="B14" s="833">
        <v>44.8</v>
      </c>
      <c r="C14" s="195">
        <v>45.024999999999999</v>
      </c>
      <c r="D14" s="834">
        <v>44.664999999999999</v>
      </c>
      <c r="E14" s="832" t="s">
        <v>10924</v>
      </c>
      <c r="F14" s="833">
        <v>43.4</v>
      </c>
      <c r="G14" s="833">
        <v>44</v>
      </c>
      <c r="H14" s="195">
        <v>43.869</v>
      </c>
      <c r="I14" s="839">
        <v>44.231999999999999</v>
      </c>
      <c r="J14" s="840" t="s">
        <v>10925</v>
      </c>
      <c r="K14" s="841">
        <v>43.66</v>
      </c>
      <c r="L14" s="841">
        <v>44.04</v>
      </c>
      <c r="M14" s="842">
        <v>44.45</v>
      </c>
    </row>
    <row r="15" spans="1:13" ht="24.95" customHeight="1">
      <c r="A15" s="835" t="s">
        <v>10926</v>
      </c>
      <c r="B15" s="836">
        <v>56.5</v>
      </c>
      <c r="C15" s="837">
        <v>56.835999999999999</v>
      </c>
      <c r="D15" s="838">
        <v>56.475999999999999</v>
      </c>
      <c r="E15" s="835" t="s">
        <v>10927</v>
      </c>
      <c r="F15" s="836">
        <v>54.9</v>
      </c>
      <c r="G15" s="836">
        <v>55.5</v>
      </c>
      <c r="H15" s="837">
        <v>55.411999999999999</v>
      </c>
      <c r="I15" s="843">
        <v>55.844000000000001</v>
      </c>
      <c r="J15" s="844" t="s">
        <v>10928</v>
      </c>
      <c r="K15" s="845">
        <v>55.58</v>
      </c>
      <c r="L15" s="845">
        <v>55.96</v>
      </c>
      <c r="M15" s="846">
        <v>56.36</v>
      </c>
    </row>
    <row r="16" spans="1:13" ht="21" customHeight="1">
      <c r="M16" s="3166" t="s">
        <v>12704</v>
      </c>
    </row>
    <row r="17" ht="21" customHeight="1"/>
    <row r="18" ht="21" customHeight="1"/>
    <row r="19" ht="21" customHeight="1"/>
    <row r="20" ht="21" customHeight="1"/>
    <row r="21" ht="21" customHeight="1"/>
    <row r="22" ht="21" customHeight="1"/>
    <row r="23" ht="21" customHeight="1"/>
  </sheetData>
  <mergeCells count="19">
    <mergeCell ref="M4:M5"/>
    <mergeCell ref="K4:L4"/>
    <mergeCell ref="A3:A5"/>
    <mergeCell ref="B3:B5"/>
    <mergeCell ref="C4:C5"/>
    <mergeCell ref="D4:D5"/>
    <mergeCell ref="E3:E5"/>
    <mergeCell ref="F4:F5"/>
    <mergeCell ref="G4:G5"/>
    <mergeCell ref="H3:H5"/>
    <mergeCell ref="I3:I5"/>
    <mergeCell ref="J3:J5"/>
    <mergeCell ref="A1:M1"/>
    <mergeCell ref="A2:D2"/>
    <mergeCell ref="E2:I2"/>
    <mergeCell ref="J2:M2"/>
    <mergeCell ref="C3:D3"/>
    <mergeCell ref="F3:G3"/>
    <mergeCell ref="K3:M3"/>
  </mergeCells>
  <phoneticPr fontId="378" type="noConversion"/>
  <hyperlinks>
    <hyperlink ref="M16" location="总目录!A1" display="返回目录"/>
  </hyperlinks>
  <pageMargins left="0.42916666666666697" right="0.33888888888888902" top="1.23888888888889" bottom="0.13888888888888901" header="0.5" footer="0.2"/>
  <pageSetup paperSize="9" orientation="landscape"/>
  <headerFooter scaleWithDoc="0" alignWithMargins="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election activeCell="K3" sqref="K3"/>
    </sheetView>
  </sheetViews>
  <sheetFormatPr defaultColWidth="9" defaultRowHeight="16.5"/>
  <cols>
    <col min="1" max="1" width="21" style="813" customWidth="1"/>
    <col min="2" max="3" width="16.625" style="813" customWidth="1"/>
    <col min="4" max="4" width="17.625" style="813" customWidth="1"/>
    <col min="5" max="7" width="16.625" style="813" customWidth="1"/>
    <col min="8" max="16384" width="9" style="813"/>
  </cols>
  <sheetData>
    <row r="1" spans="1:7" ht="54" customHeight="1">
      <c r="A1" s="4501" t="s">
        <v>10695</v>
      </c>
      <c r="B1" s="4501"/>
      <c r="C1" s="4501"/>
      <c r="D1" s="4501"/>
      <c r="E1" s="4501"/>
      <c r="F1" s="4501"/>
      <c r="G1" s="4501"/>
    </row>
    <row r="2" spans="1:7" ht="32.25" customHeight="1">
      <c r="A2" s="4502" t="s">
        <v>38</v>
      </c>
      <c r="B2" s="4503"/>
      <c r="C2" s="4504"/>
      <c r="D2" s="4502" t="s">
        <v>10929</v>
      </c>
      <c r="E2" s="4504"/>
      <c r="F2" s="4502" t="s">
        <v>10930</v>
      </c>
      <c r="G2" s="4504"/>
    </row>
    <row r="3" spans="1:7" ht="18.75">
      <c r="A3" s="4493" t="s">
        <v>10868</v>
      </c>
      <c r="B3" s="4491" t="s">
        <v>6372</v>
      </c>
      <c r="C3" s="4492"/>
      <c r="D3" s="4494" t="s">
        <v>9875</v>
      </c>
      <c r="E3" s="4495" t="s">
        <v>10931</v>
      </c>
      <c r="F3" s="4494" t="s">
        <v>9875</v>
      </c>
      <c r="G3" s="4495" t="s">
        <v>10931</v>
      </c>
    </row>
    <row r="4" spans="1:7" ht="18.75">
      <c r="A4" s="4493"/>
      <c r="B4" s="814" t="s">
        <v>6373</v>
      </c>
      <c r="C4" s="815" t="s">
        <v>6374</v>
      </c>
      <c r="D4" s="4494"/>
      <c r="E4" s="4495"/>
      <c r="F4" s="4494"/>
      <c r="G4" s="4495"/>
    </row>
    <row r="5" spans="1:7" ht="21.6" customHeight="1">
      <c r="A5" s="818" t="s">
        <v>10932</v>
      </c>
      <c r="B5" s="819">
        <v>2.65</v>
      </c>
      <c r="C5" s="820">
        <v>2.6</v>
      </c>
      <c r="D5" s="818" t="s">
        <v>10933</v>
      </c>
      <c r="E5" s="821" t="s">
        <v>10934</v>
      </c>
      <c r="F5" s="818" t="s">
        <v>10935</v>
      </c>
      <c r="G5" s="821" t="s">
        <v>10936</v>
      </c>
    </row>
    <row r="6" spans="1:7" ht="21.6" customHeight="1">
      <c r="A6" s="818" t="s">
        <v>10937</v>
      </c>
      <c r="B6" s="819">
        <v>3.25</v>
      </c>
      <c r="C6" s="820">
        <v>3.2</v>
      </c>
      <c r="D6" s="818" t="s">
        <v>10755</v>
      </c>
      <c r="E6" s="821" t="s">
        <v>10938</v>
      </c>
      <c r="F6" s="818" t="s">
        <v>10939</v>
      </c>
      <c r="G6" s="821" t="s">
        <v>10940</v>
      </c>
    </row>
    <row r="7" spans="1:7" ht="21.6" customHeight="1">
      <c r="A7" s="818" t="s">
        <v>10941</v>
      </c>
      <c r="B7" s="819">
        <v>3.75</v>
      </c>
      <c r="C7" s="820">
        <v>3.7</v>
      </c>
      <c r="D7" s="818" t="s">
        <v>10759</v>
      </c>
      <c r="E7" s="821" t="s">
        <v>10942</v>
      </c>
      <c r="F7" s="818" t="s">
        <v>10943</v>
      </c>
      <c r="G7" s="821" t="s">
        <v>10944</v>
      </c>
    </row>
    <row r="8" spans="1:7" ht="21.6" customHeight="1">
      <c r="A8" s="818" t="s">
        <v>10945</v>
      </c>
      <c r="B8" s="819">
        <v>5.0999999999999996</v>
      </c>
      <c r="C8" s="820">
        <v>5</v>
      </c>
      <c r="D8" s="818" t="s">
        <v>10763</v>
      </c>
      <c r="E8" s="821" t="s">
        <v>10946</v>
      </c>
      <c r="F8" s="818" t="s">
        <v>10947</v>
      </c>
      <c r="G8" s="821" t="s">
        <v>10948</v>
      </c>
    </row>
    <row r="9" spans="1:7" ht="21.6" customHeight="1">
      <c r="A9" s="818" t="s">
        <v>10949</v>
      </c>
      <c r="B9" s="819">
        <v>6.6</v>
      </c>
      <c r="C9" s="820">
        <v>6.5</v>
      </c>
      <c r="D9" s="818" t="s">
        <v>10767</v>
      </c>
      <c r="E9" s="821" t="s">
        <v>10950</v>
      </c>
      <c r="F9" s="818" t="s">
        <v>10951</v>
      </c>
      <c r="G9" s="821" t="s">
        <v>10952</v>
      </c>
    </row>
    <row r="10" spans="1:7" ht="21.6" customHeight="1">
      <c r="A10" s="818" t="s">
        <v>10953</v>
      </c>
      <c r="B10" s="819">
        <v>8</v>
      </c>
      <c r="C10" s="820">
        <v>7.9</v>
      </c>
      <c r="D10" s="818" t="s">
        <v>10771</v>
      </c>
      <c r="E10" s="821" t="s">
        <v>10954</v>
      </c>
      <c r="F10" s="818" t="s">
        <v>10955</v>
      </c>
      <c r="G10" s="821" t="s">
        <v>10956</v>
      </c>
    </row>
    <row r="11" spans="1:7" ht="21.6" customHeight="1">
      <c r="A11" s="818" t="s">
        <v>10957</v>
      </c>
      <c r="B11" s="819">
        <v>9.4</v>
      </c>
      <c r="C11" s="820">
        <v>9.3000000000000007</v>
      </c>
      <c r="D11" s="818" t="s">
        <v>10775</v>
      </c>
      <c r="E11" s="821" t="s">
        <v>10958</v>
      </c>
      <c r="F11" s="818" t="s">
        <v>10959</v>
      </c>
      <c r="G11" s="821" t="s">
        <v>10960</v>
      </c>
    </row>
    <row r="12" spans="1:7" ht="21.6" customHeight="1">
      <c r="A12" s="818" t="s">
        <v>10961</v>
      </c>
      <c r="B12" s="819">
        <v>10.7</v>
      </c>
      <c r="C12" s="820">
        <v>10.5</v>
      </c>
      <c r="D12" s="818" t="s">
        <v>10778</v>
      </c>
      <c r="E12" s="821" t="s">
        <v>10962</v>
      </c>
      <c r="F12" s="818" t="s">
        <v>10963</v>
      </c>
      <c r="G12" s="821" t="s">
        <v>10964</v>
      </c>
    </row>
    <row r="13" spans="1:7" ht="21.6" customHeight="1">
      <c r="A13" s="818" t="s">
        <v>10965</v>
      </c>
      <c r="B13" s="819">
        <v>12.3</v>
      </c>
      <c r="C13" s="820">
        <v>12</v>
      </c>
      <c r="D13" s="818" t="s">
        <v>10782</v>
      </c>
      <c r="E13" s="821" t="s">
        <v>10966</v>
      </c>
      <c r="F13" s="818" t="s">
        <v>10967</v>
      </c>
      <c r="G13" s="821" t="s">
        <v>10968</v>
      </c>
    </row>
    <row r="14" spans="1:7" ht="21.6" customHeight="1">
      <c r="A14" s="818" t="s">
        <v>10969</v>
      </c>
      <c r="B14" s="819">
        <v>13.7</v>
      </c>
      <c r="C14" s="820">
        <v>13.5</v>
      </c>
      <c r="D14" s="818" t="s">
        <v>10786</v>
      </c>
      <c r="E14" s="821" t="s">
        <v>10970</v>
      </c>
      <c r="F14" s="818" t="s">
        <v>10971</v>
      </c>
      <c r="G14" s="821" t="s">
        <v>10972</v>
      </c>
    </row>
    <row r="15" spans="1:7" ht="21.6" customHeight="1">
      <c r="A15" s="818" t="s">
        <v>10973</v>
      </c>
      <c r="B15" s="819">
        <v>16.7</v>
      </c>
      <c r="C15" s="820">
        <v>16.5</v>
      </c>
      <c r="D15" s="818" t="s">
        <v>10798</v>
      </c>
      <c r="E15" s="821" t="s">
        <v>10974</v>
      </c>
      <c r="F15" s="818" t="s">
        <v>10975</v>
      </c>
      <c r="G15" s="821" t="s">
        <v>10976</v>
      </c>
    </row>
    <row r="16" spans="1:7" ht="21.6" customHeight="1">
      <c r="A16" s="818" t="s">
        <v>10977</v>
      </c>
      <c r="B16" s="819">
        <v>19.5</v>
      </c>
      <c r="C16" s="820">
        <v>19.3</v>
      </c>
      <c r="D16" s="818" t="s">
        <v>10790</v>
      </c>
      <c r="E16" s="821" t="s">
        <v>10978</v>
      </c>
      <c r="F16" s="818" t="s">
        <v>10979</v>
      </c>
      <c r="G16" s="821" t="s">
        <v>10980</v>
      </c>
    </row>
    <row r="17" spans="1:7" ht="21.6" customHeight="1">
      <c r="A17" s="818" t="s">
        <v>10981</v>
      </c>
      <c r="B17" s="819">
        <v>22.4</v>
      </c>
      <c r="C17" s="820">
        <v>22</v>
      </c>
      <c r="D17" s="816"/>
      <c r="E17" s="817"/>
      <c r="F17" s="818" t="s">
        <v>10982</v>
      </c>
      <c r="G17" s="821" t="s">
        <v>10983</v>
      </c>
    </row>
    <row r="18" spans="1:7" ht="21.6" customHeight="1">
      <c r="A18" s="818" t="s">
        <v>10984</v>
      </c>
      <c r="B18" s="819">
        <v>25</v>
      </c>
      <c r="C18" s="820">
        <v>24.8</v>
      </c>
      <c r="D18" s="816"/>
      <c r="E18" s="817"/>
      <c r="F18" s="818" t="s">
        <v>10985</v>
      </c>
      <c r="G18" s="821" t="s">
        <v>10986</v>
      </c>
    </row>
    <row r="19" spans="1:7" ht="21.6" customHeight="1">
      <c r="A19" s="818" t="s">
        <v>10987</v>
      </c>
      <c r="B19" s="819">
        <v>28.3</v>
      </c>
      <c r="C19" s="820">
        <v>28</v>
      </c>
      <c r="D19" s="816"/>
      <c r="E19" s="817"/>
      <c r="F19" s="818" t="s">
        <v>10988</v>
      </c>
      <c r="G19" s="821" t="s">
        <v>10989</v>
      </c>
    </row>
    <row r="20" spans="1:7" ht="21.6" customHeight="1">
      <c r="A20" s="816"/>
      <c r="B20" s="822"/>
      <c r="C20" s="817"/>
      <c r="D20" s="816"/>
      <c r="E20" s="817"/>
      <c r="F20" s="818" t="s">
        <v>10990</v>
      </c>
      <c r="G20" s="821" t="s">
        <v>10991</v>
      </c>
    </row>
    <row r="21" spans="1:7" ht="21.6" customHeight="1">
      <c r="A21" s="823"/>
      <c r="B21" s="824"/>
      <c r="C21" s="825"/>
      <c r="D21" s="823"/>
      <c r="E21" s="825"/>
      <c r="F21" s="826" t="s">
        <v>10992</v>
      </c>
      <c r="G21" s="827" t="s">
        <v>10993</v>
      </c>
    </row>
    <row r="22" spans="1:7" ht="21.6" customHeight="1"/>
    <row r="23" spans="1:7" ht="21.6" customHeight="1"/>
    <row r="24" spans="1:7" ht="21.6" customHeight="1"/>
    <row r="25" spans="1:7" ht="21.6" customHeight="1"/>
    <row r="26" spans="1:7" ht="21.6" customHeight="1"/>
    <row r="27" spans="1:7" ht="21.6" customHeight="1"/>
    <row r="28" spans="1:7" ht="21.6" customHeight="1"/>
    <row r="29" spans="1:7" ht="21.6" customHeight="1"/>
    <row r="30" spans="1:7" ht="21.6" customHeight="1"/>
  </sheetData>
  <mergeCells count="10">
    <mergeCell ref="A1:G1"/>
    <mergeCell ref="A2:C2"/>
    <mergeCell ref="D2:E2"/>
    <mergeCell ref="F2:G2"/>
    <mergeCell ref="B3:C3"/>
    <mergeCell ref="A3:A4"/>
    <mergeCell ref="D3:D4"/>
    <mergeCell ref="E3:E4"/>
    <mergeCell ref="F3:F4"/>
    <mergeCell ref="G3:G4"/>
  </mergeCells>
  <phoneticPr fontId="378" type="noConversion"/>
  <pageMargins left="0.75" right="0.75" top="0.69930555555555596" bottom="0.41875000000000001" header="0.5" footer="0.30902777777777801"/>
  <pageSetup paperSize="9" orientation="landscape"/>
  <headerFooter scaleWithDoc="0" alignWithMargins="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115" zoomScaleNormal="115" workbookViewId="0">
      <selection activeCell="L18" sqref="L18"/>
    </sheetView>
  </sheetViews>
  <sheetFormatPr defaultColWidth="9" defaultRowHeight="14.25"/>
  <cols>
    <col min="1" max="1" width="9" style="480"/>
    <col min="2" max="2" width="5.875" style="480" customWidth="1"/>
    <col min="3" max="6" width="9" style="480"/>
    <col min="7" max="7" width="11" style="480" customWidth="1"/>
    <col min="8" max="8" width="7.375" style="480" customWidth="1"/>
    <col min="9" max="9" width="10" style="480" customWidth="1"/>
    <col min="10" max="10" width="10.75" style="480" customWidth="1"/>
    <col min="11" max="11" width="9" style="480"/>
    <col min="12" max="12" width="17.375" style="480"/>
    <col min="13" max="13" width="9" style="480"/>
    <col min="14" max="14" width="7.25" style="480" customWidth="1"/>
    <col min="15" max="16384" width="9" style="480"/>
  </cols>
  <sheetData>
    <row r="1" spans="1:14" ht="22.5">
      <c r="A1" s="4505" t="s">
        <v>10994</v>
      </c>
      <c r="B1" s="4506"/>
      <c r="C1" s="4506"/>
      <c r="D1" s="4506"/>
      <c r="E1" s="4506"/>
      <c r="F1" s="4506"/>
      <c r="G1" s="4506"/>
      <c r="H1" s="4506"/>
      <c r="I1" s="4506"/>
      <c r="J1" s="4506"/>
      <c r="K1" s="4506"/>
      <c r="L1" s="4506"/>
      <c r="M1" s="4507"/>
    </row>
    <row r="2" spans="1:14">
      <c r="A2" s="767"/>
      <c r="B2" s="652"/>
      <c r="C2" s="652"/>
      <c r="D2" s="652"/>
      <c r="E2" s="652"/>
      <c r="F2" s="652"/>
      <c r="G2" s="652"/>
      <c r="H2" s="652"/>
      <c r="I2" s="652"/>
      <c r="J2" s="652"/>
      <c r="K2" s="652"/>
      <c r="L2" s="652"/>
      <c r="M2" s="802"/>
    </row>
    <row r="3" spans="1:14" ht="24.75">
      <c r="A3" s="4508" t="s">
        <v>10995</v>
      </c>
      <c r="B3" s="768" t="s">
        <v>6109</v>
      </c>
      <c r="C3" s="4510" t="s">
        <v>10996</v>
      </c>
      <c r="D3" s="769"/>
      <c r="E3" s="770"/>
      <c r="F3" s="771"/>
      <c r="G3" s="772"/>
      <c r="H3" s="773"/>
      <c r="I3" s="4512" t="s">
        <v>10997</v>
      </c>
      <c r="J3" s="768" t="s">
        <v>10998</v>
      </c>
      <c r="K3" s="4514" t="s">
        <v>10999</v>
      </c>
      <c r="L3" s="771"/>
      <c r="M3" s="803"/>
      <c r="N3" s="652"/>
    </row>
    <row r="4" spans="1:14" ht="20.25">
      <c r="A4" s="4509"/>
      <c r="B4" s="774" t="s">
        <v>11000</v>
      </c>
      <c r="C4" s="4511"/>
      <c r="D4" s="775"/>
      <c r="E4" s="776"/>
      <c r="F4" s="652"/>
      <c r="G4" s="777"/>
      <c r="H4" s="778"/>
      <c r="I4" s="4513"/>
      <c r="J4" s="774" t="s">
        <v>6035</v>
      </c>
      <c r="K4" s="4515"/>
      <c r="L4" s="652"/>
      <c r="M4" s="802"/>
      <c r="N4" s="652"/>
    </row>
    <row r="5" spans="1:14" ht="20.25">
      <c r="A5" s="779" t="s">
        <v>11001</v>
      </c>
      <c r="B5" s="780"/>
      <c r="C5" s="781"/>
      <c r="D5" s="781"/>
      <c r="E5" s="782"/>
      <c r="F5" s="652"/>
      <c r="G5" s="783"/>
      <c r="H5" s="784"/>
      <c r="I5" s="652"/>
      <c r="J5" s="652"/>
      <c r="K5" s="652"/>
      <c r="L5" s="652"/>
      <c r="M5" s="802"/>
      <c r="N5" s="652"/>
    </row>
    <row r="6" spans="1:14" ht="24.75">
      <c r="A6" s="785" t="s">
        <v>11002</v>
      </c>
      <c r="B6" s="786"/>
      <c r="C6" s="786"/>
      <c r="D6" s="786"/>
      <c r="E6" s="782"/>
      <c r="F6" s="652"/>
      <c r="G6" s="783"/>
      <c r="H6" s="784"/>
      <c r="I6" s="804" t="s">
        <v>11003</v>
      </c>
      <c r="J6" s="775" t="s">
        <v>11004</v>
      </c>
      <c r="K6" s="776"/>
      <c r="L6" s="776" t="s">
        <v>11005</v>
      </c>
      <c r="M6" s="802"/>
      <c r="N6" s="652"/>
    </row>
    <row r="7" spans="1:14" ht="21.75">
      <c r="A7" s="785" t="s">
        <v>11006</v>
      </c>
      <c r="B7" s="786"/>
      <c r="C7" s="786"/>
      <c r="D7" s="786"/>
      <c r="E7" s="782"/>
      <c r="F7" s="782"/>
      <c r="G7" s="787"/>
      <c r="H7" s="788" t="s">
        <v>11007</v>
      </c>
      <c r="I7" s="782"/>
      <c r="J7" s="782"/>
      <c r="K7" s="782"/>
      <c r="L7" s="782"/>
      <c r="M7" s="802"/>
      <c r="N7" s="652"/>
    </row>
    <row r="8" spans="1:14" ht="21.75">
      <c r="A8" s="779" t="s">
        <v>11008</v>
      </c>
      <c r="B8" s="786"/>
      <c r="C8" s="786"/>
      <c r="D8" s="786"/>
      <c r="E8" s="782"/>
      <c r="F8" s="782"/>
      <c r="G8" s="787"/>
      <c r="H8" s="789" t="s">
        <v>11009</v>
      </c>
      <c r="I8" s="782"/>
      <c r="J8" s="782"/>
      <c r="K8" s="787"/>
      <c r="L8" s="782"/>
      <c r="M8" s="802"/>
      <c r="N8" s="652"/>
    </row>
    <row r="9" spans="1:14" ht="21.75">
      <c r="A9" s="790" t="s">
        <v>11010</v>
      </c>
      <c r="B9" s="791"/>
      <c r="C9" s="791"/>
      <c r="D9" s="791"/>
      <c r="E9" s="791"/>
      <c r="F9" s="791"/>
      <c r="G9" s="792"/>
      <c r="H9" s="793" t="s">
        <v>11011</v>
      </c>
      <c r="I9" s="791"/>
      <c r="J9" s="791"/>
      <c r="K9" s="791"/>
      <c r="L9" s="791"/>
      <c r="M9" s="805"/>
    </row>
    <row r="10" spans="1:14" ht="20.25">
      <c r="A10" s="794"/>
      <c r="B10" s="782"/>
      <c r="C10" s="782"/>
      <c r="D10" s="782"/>
      <c r="E10" s="782"/>
      <c r="F10" s="782"/>
      <c r="G10" s="782"/>
      <c r="H10" s="652"/>
      <c r="I10" s="782"/>
      <c r="J10" s="782"/>
      <c r="K10" s="782"/>
      <c r="L10" s="782"/>
      <c r="M10" s="802"/>
    </row>
    <row r="11" spans="1:14" ht="20.25">
      <c r="A11" s="794"/>
      <c r="B11" s="782"/>
      <c r="C11" s="782"/>
      <c r="D11" s="782"/>
      <c r="E11" s="782"/>
      <c r="F11" s="782"/>
      <c r="G11" s="782"/>
      <c r="H11" s="782"/>
      <c r="I11" s="782"/>
      <c r="J11" s="782"/>
      <c r="K11" s="782"/>
      <c r="L11" s="782"/>
      <c r="M11" s="802"/>
    </row>
    <row r="12" spans="1:14" ht="20.25">
      <c r="A12" s="794"/>
      <c r="B12" s="782"/>
      <c r="C12" s="782"/>
      <c r="D12" s="782"/>
      <c r="E12" s="782"/>
      <c r="F12" s="782"/>
      <c r="G12" s="782"/>
      <c r="H12" s="782"/>
      <c r="I12" s="782"/>
      <c r="J12" s="782"/>
      <c r="K12" s="782"/>
      <c r="L12" s="782"/>
      <c r="M12" s="802"/>
    </row>
    <row r="13" spans="1:14" ht="20.25">
      <c r="A13" s="795" t="s">
        <v>11012</v>
      </c>
      <c r="B13" s="652"/>
      <c r="C13" s="652"/>
      <c r="D13" s="652"/>
      <c r="E13" s="652"/>
      <c r="F13" s="652"/>
      <c r="G13" s="652"/>
      <c r="H13" s="652"/>
      <c r="I13" s="652"/>
      <c r="J13" s="652"/>
      <c r="K13" s="786"/>
      <c r="L13" s="782"/>
      <c r="M13" s="802"/>
    </row>
    <row r="14" spans="1:14" ht="21.75">
      <c r="A14" s="758" t="s">
        <v>10674</v>
      </c>
      <c r="B14" s="760" t="s">
        <v>6109</v>
      </c>
      <c r="C14" s="760" t="s">
        <v>5928</v>
      </c>
      <c r="D14" s="760" t="s">
        <v>11013</v>
      </c>
      <c r="E14" s="760" t="s">
        <v>11014</v>
      </c>
      <c r="F14" s="760" t="s">
        <v>11015</v>
      </c>
      <c r="G14" s="760" t="s">
        <v>6492</v>
      </c>
      <c r="H14" s="760" t="s">
        <v>6035</v>
      </c>
      <c r="I14" s="760" t="s">
        <v>11016</v>
      </c>
      <c r="J14" s="806" t="s">
        <v>10624</v>
      </c>
      <c r="K14" s="807" t="s">
        <v>11017</v>
      </c>
      <c r="L14" s="806" t="s">
        <v>11018</v>
      </c>
      <c r="M14" s="808" t="s">
        <v>11019</v>
      </c>
    </row>
    <row r="15" spans="1:14" ht="18.75">
      <c r="A15" s="758" t="s">
        <v>6394</v>
      </c>
      <c r="B15" s="760" t="s">
        <v>6536</v>
      </c>
      <c r="C15" s="760" t="s">
        <v>11020</v>
      </c>
      <c r="D15" s="760" t="s">
        <v>11021</v>
      </c>
      <c r="E15" s="760" t="s">
        <v>11022</v>
      </c>
      <c r="F15" s="760" t="s">
        <v>11021</v>
      </c>
      <c r="G15" s="760" t="s">
        <v>9278</v>
      </c>
      <c r="H15" s="760" t="s">
        <v>9278</v>
      </c>
      <c r="I15" s="760" t="s">
        <v>9278</v>
      </c>
      <c r="J15" s="760" t="s">
        <v>11021</v>
      </c>
      <c r="K15" s="760" t="s">
        <v>11021</v>
      </c>
      <c r="L15" s="760" t="s">
        <v>11023</v>
      </c>
      <c r="M15" s="809" t="s">
        <v>11023</v>
      </c>
    </row>
    <row r="16" spans="1:14" ht="20.25">
      <c r="A16" s="758" t="s">
        <v>9730</v>
      </c>
      <c r="B16" s="796">
        <v>8000</v>
      </c>
      <c r="C16" s="796">
        <v>80.040000000000006</v>
      </c>
      <c r="D16" s="796">
        <v>0.98099999999999998</v>
      </c>
      <c r="E16" s="797">
        <v>9530</v>
      </c>
      <c r="F16" s="796">
        <v>2</v>
      </c>
      <c r="G16" s="796">
        <v>850</v>
      </c>
      <c r="H16" s="798">
        <f>(E16/C16)^(1/2)</f>
        <v>10.91171238928</v>
      </c>
      <c r="I16" s="798">
        <f>F16*G16</f>
        <v>1700</v>
      </c>
      <c r="J16" s="806">
        <f>(F16*G16)/H16</f>
        <v>155.79589521348899</v>
      </c>
      <c r="K16" s="810"/>
      <c r="L16" s="806">
        <f>B16/(C16*D16)</f>
        <v>101.885856256377</v>
      </c>
      <c r="M16" s="811"/>
    </row>
    <row r="17" spans="1:13" ht="20.25">
      <c r="A17" s="785"/>
      <c r="B17" s="786"/>
      <c r="C17" s="786"/>
      <c r="D17" s="786"/>
      <c r="E17" s="786"/>
      <c r="F17" s="786"/>
      <c r="G17" s="786"/>
      <c r="H17" s="786"/>
      <c r="I17" s="786"/>
      <c r="J17" s="786"/>
      <c r="K17" s="786"/>
      <c r="L17" s="782"/>
      <c r="M17" s="802"/>
    </row>
    <row r="18" spans="1:13" ht="22.5">
      <c r="A18" s="799"/>
      <c r="B18" s="800"/>
      <c r="C18" s="800"/>
      <c r="D18" s="800"/>
      <c r="E18" s="800"/>
      <c r="F18" s="800"/>
      <c r="G18" s="800"/>
      <c r="H18" s="800"/>
      <c r="I18" s="800"/>
      <c r="J18" s="800"/>
      <c r="K18" s="800"/>
      <c r="L18" s="3177" t="s">
        <v>12716</v>
      </c>
      <c r="M18" s="812"/>
    </row>
    <row r="19" spans="1:13" ht="20.25">
      <c r="A19" s="753"/>
      <c r="B19" s="753"/>
      <c r="C19" s="753"/>
      <c r="D19" s="753"/>
      <c r="E19" s="753"/>
      <c r="F19" s="753"/>
      <c r="G19" s="753"/>
      <c r="H19" s="753"/>
      <c r="I19" s="753"/>
      <c r="J19" s="753"/>
      <c r="K19" s="753"/>
      <c r="L19" s="801"/>
    </row>
    <row r="20" spans="1:13" ht="20.25">
      <c r="A20" s="801"/>
      <c r="B20" s="801"/>
      <c r="C20" s="801"/>
      <c r="D20" s="801"/>
      <c r="E20" s="801"/>
      <c r="F20" s="801"/>
      <c r="G20" s="801"/>
      <c r="H20" s="801"/>
      <c r="I20" s="801"/>
      <c r="J20" s="801"/>
      <c r="K20" s="801"/>
      <c r="L20" s="801"/>
    </row>
    <row r="21" spans="1:13" ht="20.25">
      <c r="A21" s="801"/>
      <c r="B21" s="801"/>
      <c r="C21" s="801"/>
      <c r="D21" s="801"/>
      <c r="E21" s="801"/>
      <c r="F21" s="801"/>
      <c r="G21" s="801"/>
      <c r="H21" s="801"/>
      <c r="I21" s="801"/>
      <c r="J21" s="801"/>
      <c r="K21" s="801"/>
      <c r="L21" s="801"/>
    </row>
    <row r="22" spans="1:13" ht="20.25">
      <c r="A22" s="801"/>
      <c r="B22" s="801"/>
      <c r="C22" s="801"/>
      <c r="D22" s="801"/>
      <c r="E22" s="801"/>
      <c r="F22" s="801"/>
      <c r="G22" s="801"/>
      <c r="H22" s="801"/>
      <c r="I22" s="801"/>
      <c r="J22" s="801"/>
      <c r="K22" s="801"/>
      <c r="L22" s="801"/>
    </row>
    <row r="23" spans="1:13" ht="20.25">
      <c r="A23" s="801"/>
      <c r="B23" s="801"/>
      <c r="C23" s="801"/>
      <c r="D23" s="801"/>
      <c r="E23" s="801"/>
      <c r="F23" s="801"/>
      <c r="G23" s="801"/>
      <c r="H23" s="801"/>
      <c r="I23" s="801"/>
      <c r="J23" s="801"/>
      <c r="K23" s="801"/>
      <c r="L23" s="801"/>
    </row>
    <row r="24" spans="1:13" ht="20.25">
      <c r="A24" s="801"/>
      <c r="B24" s="801"/>
      <c r="C24" s="801"/>
      <c r="D24" s="801"/>
      <c r="E24" s="801"/>
      <c r="F24" s="801"/>
      <c r="G24" s="801"/>
      <c r="H24" s="801"/>
      <c r="I24" s="801"/>
      <c r="J24" s="801"/>
      <c r="K24" s="801"/>
      <c r="L24" s="801"/>
    </row>
    <row r="25" spans="1:13" ht="20.25">
      <c r="A25" s="801"/>
      <c r="B25" s="801"/>
      <c r="C25" s="801"/>
      <c r="D25" s="801"/>
      <c r="E25" s="801"/>
      <c r="F25" s="801"/>
      <c r="G25" s="801"/>
      <c r="H25" s="801"/>
      <c r="I25" s="801"/>
      <c r="J25" s="801"/>
      <c r="K25" s="801"/>
      <c r="L25" s="801"/>
    </row>
    <row r="26" spans="1:13" ht="20.25">
      <c r="A26" s="801"/>
      <c r="B26" s="801"/>
      <c r="C26" s="801"/>
      <c r="D26" s="801"/>
      <c r="E26" s="801"/>
      <c r="F26" s="801"/>
      <c r="G26" s="801"/>
      <c r="H26" s="801"/>
      <c r="I26" s="801"/>
      <c r="J26" s="801"/>
      <c r="K26" s="801"/>
      <c r="L26" s="801"/>
    </row>
    <row r="27" spans="1:13" ht="20.25">
      <c r="A27" s="801"/>
      <c r="B27" s="801"/>
      <c r="C27" s="801"/>
      <c r="D27" s="801"/>
      <c r="E27" s="801"/>
      <c r="F27" s="801"/>
      <c r="G27" s="801"/>
      <c r="H27" s="801"/>
      <c r="I27" s="801"/>
      <c r="J27" s="801"/>
      <c r="K27" s="801"/>
      <c r="L27" s="801"/>
    </row>
  </sheetData>
  <mergeCells count="5">
    <mergeCell ref="A1:M1"/>
    <mergeCell ref="A3:A4"/>
    <mergeCell ref="C3:C4"/>
    <mergeCell ref="I3:I4"/>
    <mergeCell ref="K3:K4"/>
  </mergeCells>
  <phoneticPr fontId="378" type="noConversion"/>
  <hyperlinks>
    <hyperlink ref="L18" location="总目录!A1" display="总目录!A1"/>
  </hyperlinks>
  <printOptions horizontalCentered="1"/>
  <pageMargins left="0.55000000000000004" right="0.55000000000000004" top="0.78888888888888897" bottom="0.78888888888888897" header="0.50902777777777797" footer="0.50902777777777797"/>
  <pageSetup paperSize="9" orientation="landscape"/>
  <headerFooter scaleWithDoc="0" alignWithMargins="0"/>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workbookViewId="0">
      <selection activeCell="G2" sqref="G2"/>
    </sheetView>
  </sheetViews>
  <sheetFormatPr defaultColWidth="9" defaultRowHeight="14.25"/>
  <cols>
    <col min="1" max="16384" width="9" style="480"/>
  </cols>
  <sheetData>
    <row r="1" spans="1:13" ht="31.5">
      <c r="A1" s="4347" t="s">
        <v>11024</v>
      </c>
      <c r="B1" s="4347"/>
      <c r="C1" s="4347"/>
      <c r="D1" s="4347"/>
      <c r="E1" s="4347"/>
      <c r="F1" s="4347"/>
      <c r="G1" s="4347"/>
    </row>
    <row r="2" spans="1:13" ht="22.5">
      <c r="A2" s="754"/>
      <c r="G2" s="3177" t="s">
        <v>12716</v>
      </c>
    </row>
    <row r="3" spans="1:13" s="753" customFormat="1" ht="18.75">
      <c r="A3" s="4518" t="s">
        <v>10624</v>
      </c>
      <c r="B3" s="4516" t="s">
        <v>1904</v>
      </c>
      <c r="C3" s="4516"/>
      <c r="D3" s="4520"/>
      <c r="E3" s="4523" t="s">
        <v>10624</v>
      </c>
      <c r="F3" s="4516" t="s">
        <v>1904</v>
      </c>
      <c r="G3" s="4517"/>
    </row>
    <row r="4" spans="1:13" s="753" customFormat="1" ht="18.75">
      <c r="A4" s="4519"/>
      <c r="B4" s="755" t="s">
        <v>2054</v>
      </c>
      <c r="C4" s="755" t="s">
        <v>11025</v>
      </c>
      <c r="D4" s="4521"/>
      <c r="E4" s="4524"/>
      <c r="F4" s="755" t="s">
        <v>2054</v>
      </c>
      <c r="G4" s="756" t="s">
        <v>11025</v>
      </c>
      <c r="H4" s="757"/>
      <c r="I4" s="757"/>
      <c r="J4" s="757"/>
      <c r="K4" s="757"/>
      <c r="L4" s="757"/>
      <c r="M4" s="757"/>
    </row>
    <row r="5" spans="1:13" s="753" customFormat="1" ht="18.75">
      <c r="A5" s="758">
        <v>0</v>
      </c>
      <c r="B5" s="759">
        <v>1</v>
      </c>
      <c r="C5" s="759">
        <v>1</v>
      </c>
      <c r="D5" s="4521"/>
      <c r="E5" s="760">
        <v>130</v>
      </c>
      <c r="F5" s="759">
        <v>1</v>
      </c>
      <c r="G5" s="761">
        <v>1</v>
      </c>
      <c r="H5" s="762"/>
      <c r="I5" s="757"/>
      <c r="J5" s="757"/>
      <c r="K5" s="757"/>
      <c r="L5" s="757"/>
      <c r="M5" s="757"/>
    </row>
    <row r="6" spans="1:13" s="753" customFormat="1" ht="18.75">
      <c r="A6" s="758">
        <v>10</v>
      </c>
      <c r="B6" s="759">
        <v>0.995</v>
      </c>
      <c r="C6" s="759">
        <v>0.99299999999999999</v>
      </c>
      <c r="D6" s="4521"/>
      <c r="E6" s="760">
        <v>140</v>
      </c>
      <c r="F6" s="759">
        <v>0.995</v>
      </c>
      <c r="G6" s="761">
        <v>0.99299999999999999</v>
      </c>
      <c r="H6" s="762"/>
      <c r="I6" s="757"/>
      <c r="J6" s="757"/>
      <c r="K6" s="757"/>
      <c r="L6" s="757"/>
      <c r="M6" s="757"/>
    </row>
    <row r="7" spans="1:13" s="753" customFormat="1" ht="18.75">
      <c r="A7" s="758">
        <v>20</v>
      </c>
      <c r="B7" s="759">
        <v>0.98099999999999998</v>
      </c>
      <c r="C7" s="759">
        <v>0.97299999999999998</v>
      </c>
      <c r="D7" s="4521"/>
      <c r="E7" s="760">
        <v>150</v>
      </c>
      <c r="F7" s="759">
        <v>0.98099999999999998</v>
      </c>
      <c r="G7" s="761">
        <v>0.97299999999999998</v>
      </c>
      <c r="H7" s="762"/>
      <c r="I7" s="757"/>
      <c r="J7" s="757"/>
      <c r="K7" s="757"/>
      <c r="L7" s="757"/>
      <c r="M7" s="757"/>
    </row>
    <row r="8" spans="1:13" s="753" customFormat="1" ht="18.75">
      <c r="A8" s="758">
        <v>30</v>
      </c>
      <c r="B8" s="759">
        <v>0.95799999999999996</v>
      </c>
      <c r="C8" s="759">
        <v>0.94</v>
      </c>
      <c r="D8" s="4521"/>
      <c r="E8" s="760">
        <v>160</v>
      </c>
      <c r="F8" s="759">
        <v>0.95799999999999996</v>
      </c>
      <c r="G8" s="761">
        <v>0.94</v>
      </c>
      <c r="H8" s="762"/>
      <c r="I8" s="757"/>
      <c r="J8" s="757"/>
      <c r="K8" s="757"/>
      <c r="L8" s="757"/>
      <c r="M8" s="757"/>
    </row>
    <row r="9" spans="1:13" s="753" customFormat="1" ht="18.75">
      <c r="A9" s="758">
        <v>40</v>
      </c>
      <c r="B9" s="759">
        <v>0.92700000000000005</v>
      </c>
      <c r="C9" s="759">
        <v>0.89500000000000002</v>
      </c>
      <c r="D9" s="4521"/>
      <c r="E9" s="760">
        <v>170</v>
      </c>
      <c r="F9" s="759">
        <v>0.92700000000000005</v>
      </c>
      <c r="G9" s="761">
        <v>0.89500000000000002</v>
      </c>
      <c r="H9" s="762"/>
      <c r="I9" s="757"/>
      <c r="J9" s="757"/>
      <c r="K9" s="757"/>
      <c r="L9" s="757"/>
      <c r="M9" s="757"/>
    </row>
    <row r="10" spans="1:13" s="753" customFormat="1" ht="18.75">
      <c r="A10" s="758">
        <v>50</v>
      </c>
      <c r="B10" s="759">
        <v>0.88800000000000001</v>
      </c>
      <c r="C10" s="759">
        <v>0.84</v>
      </c>
      <c r="D10" s="4521"/>
      <c r="E10" s="760">
        <v>180</v>
      </c>
      <c r="F10" s="759">
        <v>0.88800000000000001</v>
      </c>
      <c r="G10" s="761">
        <v>0.84</v>
      </c>
      <c r="H10" s="762"/>
      <c r="I10" s="757"/>
      <c r="J10" s="757"/>
      <c r="K10" s="757"/>
      <c r="L10" s="757"/>
      <c r="M10" s="757"/>
    </row>
    <row r="11" spans="1:13" s="753" customFormat="1" ht="18.75">
      <c r="A11" s="758">
        <v>60</v>
      </c>
      <c r="B11" s="759">
        <v>0.84199999999999997</v>
      </c>
      <c r="C11" s="759">
        <v>0.77600000000000002</v>
      </c>
      <c r="D11" s="4521"/>
      <c r="E11" s="760">
        <v>190</v>
      </c>
      <c r="F11" s="759">
        <v>0.84199999999999997</v>
      </c>
      <c r="G11" s="761">
        <v>0.77600000000000002</v>
      </c>
      <c r="H11" s="762"/>
      <c r="I11" s="757"/>
      <c r="J11" s="757"/>
      <c r="K11" s="757"/>
      <c r="L11" s="757"/>
      <c r="M11" s="757"/>
    </row>
    <row r="12" spans="1:13" s="753" customFormat="1" ht="18.75">
      <c r="A12" s="758">
        <v>70</v>
      </c>
      <c r="B12" s="759">
        <v>0.78900000000000003</v>
      </c>
      <c r="C12" s="759">
        <v>0.70499999999999996</v>
      </c>
      <c r="D12" s="4521"/>
      <c r="E12" s="760">
        <v>200</v>
      </c>
      <c r="F12" s="759">
        <v>0.78900000000000003</v>
      </c>
      <c r="G12" s="761">
        <v>0.70499999999999996</v>
      </c>
      <c r="H12" s="762"/>
      <c r="I12" s="757"/>
      <c r="J12" s="757"/>
      <c r="K12" s="757"/>
      <c r="L12" s="757"/>
      <c r="M12" s="757"/>
    </row>
    <row r="13" spans="1:13" s="753" customFormat="1" ht="18.75">
      <c r="A13" s="758">
        <v>80</v>
      </c>
      <c r="B13" s="759">
        <v>0.73099999999999998</v>
      </c>
      <c r="C13" s="759">
        <v>0.627</v>
      </c>
      <c r="D13" s="4521"/>
      <c r="E13" s="760">
        <v>210</v>
      </c>
      <c r="F13" s="759">
        <v>0.73099999999999998</v>
      </c>
      <c r="G13" s="761">
        <v>0.627</v>
      </c>
      <c r="H13" s="762"/>
      <c r="I13" s="757"/>
      <c r="J13" s="757"/>
      <c r="K13" s="757"/>
      <c r="L13" s="757"/>
      <c r="M13" s="757"/>
    </row>
    <row r="14" spans="1:13" s="753" customFormat="1" ht="18.75">
      <c r="A14" s="758">
        <v>90</v>
      </c>
      <c r="B14" s="759">
        <v>0.66900000000000004</v>
      </c>
      <c r="C14" s="759">
        <v>0.54600000000000004</v>
      </c>
      <c r="D14" s="4521"/>
      <c r="E14" s="760">
        <v>220</v>
      </c>
      <c r="F14" s="759">
        <v>0.66900000000000004</v>
      </c>
      <c r="G14" s="761">
        <v>0.54600000000000004</v>
      </c>
      <c r="H14" s="762"/>
      <c r="I14" s="757"/>
      <c r="J14" s="757"/>
      <c r="K14" s="757"/>
      <c r="L14" s="757"/>
      <c r="M14" s="757"/>
    </row>
    <row r="15" spans="1:13" s="753" customFormat="1" ht="18.75">
      <c r="A15" s="758">
        <v>100</v>
      </c>
      <c r="B15" s="759">
        <v>0.60399999999999998</v>
      </c>
      <c r="C15" s="759">
        <v>0.46200000000000002</v>
      </c>
      <c r="D15" s="4521"/>
      <c r="E15" s="760">
        <v>230</v>
      </c>
      <c r="F15" s="759">
        <v>0.60399999999999998</v>
      </c>
      <c r="G15" s="761">
        <v>0.46200000000000002</v>
      </c>
      <c r="H15" s="762"/>
      <c r="I15" s="757"/>
      <c r="J15" s="757"/>
      <c r="K15" s="757"/>
      <c r="L15" s="757"/>
      <c r="M15" s="757"/>
    </row>
    <row r="16" spans="1:13" s="753" customFormat="1" ht="18.75">
      <c r="A16" s="758">
        <v>110</v>
      </c>
      <c r="B16" s="759">
        <v>0.53600000000000003</v>
      </c>
      <c r="C16" s="759">
        <v>0.38400000000000001</v>
      </c>
      <c r="D16" s="4521"/>
      <c r="E16" s="760">
        <v>240</v>
      </c>
      <c r="F16" s="759">
        <v>0.53600000000000003</v>
      </c>
      <c r="G16" s="761">
        <v>0.38400000000000001</v>
      </c>
      <c r="H16" s="762"/>
      <c r="I16" s="757"/>
      <c r="J16" s="757"/>
      <c r="K16" s="757"/>
      <c r="L16" s="757"/>
      <c r="M16" s="757"/>
    </row>
    <row r="17" spans="1:13" s="753" customFormat="1" ht="18.75">
      <c r="A17" s="763">
        <v>120</v>
      </c>
      <c r="B17" s="764">
        <v>0.46600000000000003</v>
      </c>
      <c r="C17" s="764">
        <v>0.32500000000000001</v>
      </c>
      <c r="D17" s="4522"/>
      <c r="E17" s="764">
        <v>250</v>
      </c>
      <c r="F17" s="764">
        <v>0.46600000000000003</v>
      </c>
      <c r="G17" s="765">
        <v>0.32500000000000001</v>
      </c>
      <c r="H17" s="757"/>
      <c r="I17" s="757"/>
      <c r="J17" s="757"/>
      <c r="K17" s="757"/>
      <c r="L17" s="757"/>
      <c r="M17" s="757"/>
    </row>
    <row r="18" spans="1:13" s="753" customFormat="1" ht="18.75">
      <c r="A18" s="757"/>
      <c r="B18" s="757"/>
      <c r="C18" s="757"/>
      <c r="D18" s="757"/>
      <c r="E18" s="757"/>
      <c r="F18" s="757"/>
      <c r="G18" s="757"/>
      <c r="H18" s="757"/>
      <c r="I18" s="757"/>
      <c r="J18" s="757"/>
      <c r="K18" s="757"/>
      <c r="L18" s="757"/>
      <c r="M18" s="757"/>
    </row>
    <row r="19" spans="1:13" s="753" customFormat="1" ht="18.75">
      <c r="A19" s="757"/>
      <c r="B19" s="757"/>
      <c r="C19" s="757"/>
      <c r="D19" s="757"/>
      <c r="E19" s="757"/>
      <c r="F19" s="757"/>
      <c r="G19" s="757"/>
      <c r="H19" s="757"/>
      <c r="I19" s="757"/>
      <c r="J19" s="757"/>
      <c r="K19" s="757"/>
      <c r="L19" s="757"/>
      <c r="M19" s="757"/>
    </row>
    <row r="20" spans="1:13">
      <c r="A20" s="766"/>
      <c r="B20" s="766"/>
      <c r="C20" s="766"/>
      <c r="D20" s="766"/>
      <c r="E20" s="766"/>
      <c r="F20" s="766"/>
      <c r="G20" s="766"/>
      <c r="H20" s="766"/>
      <c r="I20" s="766"/>
      <c r="J20" s="766"/>
      <c r="K20" s="766"/>
      <c r="L20" s="766"/>
      <c r="M20" s="766"/>
    </row>
    <row r="21" spans="1:13">
      <c r="A21" s="766"/>
      <c r="B21" s="766"/>
      <c r="C21" s="766"/>
      <c r="D21" s="766"/>
      <c r="E21" s="766"/>
      <c r="F21" s="766"/>
      <c r="G21" s="766"/>
      <c r="H21" s="766"/>
      <c r="I21" s="766"/>
      <c r="J21" s="766"/>
      <c r="K21" s="766"/>
      <c r="L21" s="766"/>
      <c r="M21" s="766"/>
    </row>
    <row r="22" spans="1:13">
      <c r="A22" s="766"/>
      <c r="B22" s="766"/>
      <c r="C22" s="766"/>
      <c r="D22" s="766"/>
      <c r="E22" s="766"/>
      <c r="F22" s="766"/>
      <c r="G22" s="766"/>
      <c r="H22" s="766"/>
      <c r="I22" s="766"/>
      <c r="J22" s="766"/>
      <c r="K22" s="766"/>
      <c r="L22" s="766"/>
      <c r="M22" s="766"/>
    </row>
    <row r="23" spans="1:13">
      <c r="A23" s="766"/>
      <c r="B23" s="766"/>
      <c r="C23" s="766"/>
      <c r="D23" s="766"/>
      <c r="E23" s="766"/>
      <c r="F23" s="766"/>
      <c r="G23" s="766"/>
      <c r="H23" s="766"/>
      <c r="I23" s="766"/>
      <c r="J23" s="766"/>
      <c r="K23" s="766"/>
      <c r="L23" s="766"/>
      <c r="M23" s="766"/>
    </row>
  </sheetData>
  <mergeCells count="6">
    <mergeCell ref="A1:G1"/>
    <mergeCell ref="B3:C3"/>
    <mergeCell ref="F3:G3"/>
    <mergeCell ref="A3:A4"/>
    <mergeCell ref="D3:D17"/>
    <mergeCell ref="E3:E4"/>
  </mergeCells>
  <phoneticPr fontId="378" type="noConversion"/>
  <hyperlinks>
    <hyperlink ref="G2" location="总目录!A1" display="总目录!A1"/>
  </hyperlinks>
  <printOptions horizontalCentered="1"/>
  <pageMargins left="0.75" right="0.75" top="0.97916666666666696" bottom="0.97916666666666696" header="0.50902777777777797" footer="0.50902777777777797"/>
  <pageSetup paperSize="9" orientation="portrait"/>
  <headerFooter scaleWithDoc="0" alignWithMargins="0"/>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1"/>
  <sheetViews>
    <sheetView workbookViewId="0">
      <selection activeCell="K11" sqref="K11"/>
    </sheetView>
  </sheetViews>
  <sheetFormatPr defaultColWidth="9" defaultRowHeight="16.5"/>
  <cols>
    <col min="1" max="1" width="19.5" style="222" customWidth="1"/>
    <col min="2" max="2" width="6.25" style="222" customWidth="1"/>
    <col min="3" max="3" width="12.625" style="222" customWidth="1"/>
    <col min="4" max="4" width="6.25" style="222" customWidth="1"/>
    <col min="5" max="5" width="12.625" style="222" customWidth="1"/>
    <col min="6" max="6" width="6.75" style="222" customWidth="1"/>
    <col min="7" max="7" width="12.625" style="222" customWidth="1"/>
    <col min="8" max="8" width="6.25" style="222" customWidth="1"/>
    <col min="9" max="13" width="9.625" style="222" customWidth="1"/>
    <col min="14" max="15" width="8.75" style="222" customWidth="1"/>
  </cols>
  <sheetData>
    <row r="1" spans="1:11" ht="23.25" customHeight="1">
      <c r="A1" s="655"/>
      <c r="B1" s="656" t="s">
        <v>8832</v>
      </c>
      <c r="C1" s="657"/>
      <c r="D1" s="224"/>
      <c r="E1" s="224"/>
      <c r="F1" s="224"/>
      <c r="G1" s="224"/>
      <c r="H1" s="234" t="s">
        <v>8833</v>
      </c>
      <c r="I1" s="363"/>
      <c r="J1" s="364"/>
    </row>
    <row r="2" spans="1:11" ht="14.25" customHeight="1">
      <c r="A2" s="227" t="s">
        <v>11026</v>
      </c>
      <c r="B2" s="224"/>
      <c r="C2" s="224"/>
      <c r="D2" s="224"/>
      <c r="E2" s="224"/>
      <c r="F2" s="224"/>
      <c r="G2" s="224"/>
      <c r="H2" s="224"/>
    </row>
    <row r="3" spans="1:11" ht="14.25" customHeight="1">
      <c r="A3" s="227" t="s">
        <v>8835</v>
      </c>
      <c r="B3" s="224"/>
      <c r="C3" s="224"/>
      <c r="D3" s="224"/>
      <c r="E3" s="224"/>
      <c r="F3" s="224"/>
      <c r="G3" s="224"/>
      <c r="H3" s="224"/>
    </row>
    <row r="4" spans="1:11" ht="14.25" customHeight="1">
      <c r="A4" s="227" t="s">
        <v>8836</v>
      </c>
      <c r="B4" s="224"/>
      <c r="C4" s="224"/>
      <c r="D4" s="224"/>
      <c r="E4" s="224"/>
      <c r="F4" s="224"/>
      <c r="G4" s="224"/>
      <c r="H4" s="224"/>
    </row>
    <row r="5" spans="1:11" ht="14.25" customHeight="1">
      <c r="A5" s="226" t="s">
        <v>8837</v>
      </c>
      <c r="B5" s="224"/>
      <c r="C5" s="224"/>
      <c r="D5" s="224"/>
      <c r="E5" s="224"/>
      <c r="F5" s="224"/>
      <c r="G5" s="224"/>
      <c r="H5" s="224"/>
    </row>
    <row r="6" spans="1:11" ht="14.25" customHeight="1">
      <c r="A6" s="226" t="s">
        <v>8838</v>
      </c>
      <c r="B6" s="224"/>
      <c r="C6" s="224"/>
      <c r="D6" s="224"/>
      <c r="E6" s="224"/>
      <c r="F6" s="224"/>
      <c r="G6" s="224"/>
      <c r="H6" s="224"/>
    </row>
    <row r="7" spans="1:11" ht="14.25" customHeight="1">
      <c r="A7" s="658"/>
      <c r="B7" s="659"/>
      <c r="C7" s="659"/>
      <c r="D7" s="659"/>
      <c r="E7" s="659"/>
      <c r="F7" s="660"/>
      <c r="G7" s="661" t="s">
        <v>8839</v>
      </c>
      <c r="H7" s="659"/>
      <c r="I7" s="270"/>
      <c r="J7" s="270"/>
      <c r="K7" s="270"/>
    </row>
    <row r="8" spans="1:11" ht="14.25" customHeight="1">
      <c r="A8" s="230" t="s">
        <v>8840</v>
      </c>
      <c r="B8" s="224"/>
      <c r="C8" s="224"/>
      <c r="D8" s="224"/>
      <c r="E8" s="224"/>
      <c r="F8" s="231"/>
      <c r="G8" s="224"/>
      <c r="H8" s="224"/>
      <c r="I8" s="270"/>
      <c r="J8" s="270"/>
      <c r="K8" s="270"/>
    </row>
    <row r="9" spans="1:11" ht="15.75" customHeight="1">
      <c r="A9" s="662" t="s">
        <v>8841</v>
      </c>
      <c r="B9" s="659"/>
      <c r="C9" s="663"/>
      <c r="D9" s="659"/>
      <c r="E9" s="659"/>
      <c r="F9" s="661"/>
      <c r="G9" s="660"/>
      <c r="H9" s="659"/>
      <c r="I9" s="270"/>
      <c r="J9" s="270"/>
      <c r="K9" s="270"/>
    </row>
    <row r="10" spans="1:11">
      <c r="A10" s="234" t="s">
        <v>8842</v>
      </c>
      <c r="B10" s="235"/>
      <c r="C10" s="251"/>
      <c r="D10" s="237"/>
      <c r="E10" s="234" t="s">
        <v>8843</v>
      </c>
      <c r="F10" s="238"/>
      <c r="G10" s="251">
        <v>10026</v>
      </c>
      <c r="H10" s="239"/>
      <c r="I10" s="270"/>
      <c r="J10" s="270"/>
      <c r="K10" s="270"/>
    </row>
    <row r="11" spans="1:11" ht="15.75" customHeight="1">
      <c r="A11" s="234" t="s">
        <v>8844</v>
      </c>
      <c r="B11" s="240" t="s">
        <v>7286</v>
      </c>
      <c r="C11" s="241">
        <v>30201</v>
      </c>
      <c r="D11" s="237"/>
      <c r="E11" s="242"/>
      <c r="F11" s="243" t="s">
        <v>7288</v>
      </c>
      <c r="G11" s="241">
        <v>30202</v>
      </c>
      <c r="H11" s="239"/>
      <c r="I11" s="270"/>
      <c r="J11" s="270"/>
      <c r="K11" s="270"/>
    </row>
    <row r="12" spans="1:11" ht="15.75" customHeight="1">
      <c r="A12" s="244" t="s">
        <v>8845</v>
      </c>
      <c r="B12" s="245"/>
      <c r="C12" s="664"/>
      <c r="D12" s="247"/>
      <c r="E12" s="244" t="s">
        <v>8846</v>
      </c>
      <c r="F12" s="248"/>
      <c r="G12" s="246"/>
      <c r="H12" s="247"/>
      <c r="I12" s="703"/>
      <c r="J12" s="368"/>
      <c r="K12" s="270"/>
    </row>
    <row r="13" spans="1:11" ht="15.75" customHeight="1">
      <c r="A13" s="261" t="s">
        <v>8847</v>
      </c>
      <c r="B13" s="250" t="str">
        <f>IF(C13="L","左旋",IF(C13="R","右旋","直齿"))</f>
        <v>右旋</v>
      </c>
      <c r="C13" s="257" t="s">
        <v>6035</v>
      </c>
      <c r="D13" s="258" t="str">
        <f>IF(OR(C13="",C13="L",C13="R"),"","错误！")</f>
        <v/>
      </c>
      <c r="E13" s="253" t="s">
        <v>8848</v>
      </c>
      <c r="F13" s="254"/>
      <c r="G13" s="268"/>
      <c r="H13" s="239"/>
      <c r="I13" s="270"/>
      <c r="J13" s="368"/>
      <c r="K13" s="270"/>
    </row>
    <row r="14" spans="1:11" ht="15.75" customHeight="1">
      <c r="A14" s="261" t="s">
        <v>8849</v>
      </c>
      <c r="B14" s="250" t="str">
        <f>IF(C14="L","左旋",IF(C14="R","右旋","直齿"))</f>
        <v>左旋</v>
      </c>
      <c r="C14" s="255" t="str">
        <f>IF(C13="L","R",IF(C13="R","L",""))</f>
        <v>L</v>
      </c>
      <c r="D14" s="258"/>
      <c r="E14" s="253"/>
      <c r="F14" s="254"/>
      <c r="G14" s="268"/>
      <c r="H14" s="239"/>
      <c r="I14" s="270"/>
      <c r="J14" s="368"/>
      <c r="K14" s="270"/>
    </row>
    <row r="15" spans="1:11" ht="15" customHeight="1">
      <c r="A15" s="261" t="s">
        <v>8850</v>
      </c>
      <c r="B15" s="262" t="s">
        <v>8851</v>
      </c>
      <c r="C15" s="236">
        <v>20</v>
      </c>
      <c r="D15" s="340"/>
      <c r="E15" s="253"/>
      <c r="F15" s="254"/>
      <c r="G15" s="268"/>
      <c r="H15" s="239"/>
      <c r="I15" s="270"/>
      <c r="J15" s="368"/>
      <c r="K15" s="270"/>
    </row>
    <row r="16" spans="1:11" ht="15" customHeight="1">
      <c r="A16" s="261" t="s">
        <v>8852</v>
      </c>
      <c r="B16" s="262" t="s">
        <v>8853</v>
      </c>
      <c r="C16" s="251">
        <v>1.5</v>
      </c>
      <c r="D16" s="281" t="s">
        <v>8854</v>
      </c>
      <c r="E16" s="253" t="str">
        <f>IF(C16&gt;10,"超出本程序设置范畴！","")</f>
        <v/>
      </c>
      <c r="F16" s="254"/>
      <c r="G16" s="403">
        <f t="shared" ref="G16:G22" si="0">C16</f>
        <v>1.5</v>
      </c>
      <c r="H16" s="239"/>
      <c r="I16" s="270"/>
      <c r="J16" s="368"/>
      <c r="K16" s="270"/>
    </row>
    <row r="17" spans="1:12">
      <c r="A17" s="261" t="s">
        <v>8855</v>
      </c>
      <c r="B17" s="261" t="s">
        <v>8856</v>
      </c>
      <c r="C17" s="241"/>
      <c r="D17" s="288" t="str">
        <f>IF(C17="","注：如不输入，则默认 αn = 20 度","度")</f>
        <v>注：如不输入，则默认 αn = 20 度</v>
      </c>
      <c r="E17" s="253"/>
      <c r="F17" s="254"/>
      <c r="G17" s="268"/>
      <c r="H17" s="239"/>
      <c r="I17" s="270"/>
      <c r="J17" s="368"/>
      <c r="K17" s="270"/>
    </row>
    <row r="18" spans="1:12">
      <c r="A18" s="279" t="s">
        <v>8857</v>
      </c>
      <c r="B18" s="261" t="s">
        <v>8858</v>
      </c>
      <c r="C18" s="241">
        <v>19.528300000000002</v>
      </c>
      <c r="D18" s="264" t="str">
        <f>IF(AND(C18=0,OR(C13="R",C13="L")),"错误！",IF(AND(C13="",C18&lt;&gt;0),"错误,βf 应等于零!","度"))</f>
        <v>度</v>
      </c>
      <c r="E18" s="253"/>
      <c r="F18" s="282"/>
      <c r="G18" s="282"/>
      <c r="H18" s="281"/>
      <c r="I18" s="270"/>
      <c r="J18" s="368"/>
      <c r="K18" s="270"/>
    </row>
    <row r="19" spans="1:12">
      <c r="A19" s="279" t="s">
        <v>8859</v>
      </c>
      <c r="B19" s="262" t="s">
        <v>5900</v>
      </c>
      <c r="C19" s="241">
        <v>22</v>
      </c>
      <c r="D19" s="281" t="s">
        <v>8854</v>
      </c>
      <c r="E19" s="253"/>
      <c r="F19" s="254"/>
      <c r="G19" s="403">
        <f t="shared" si="0"/>
        <v>22</v>
      </c>
      <c r="H19" s="239"/>
      <c r="I19" s="270"/>
      <c r="J19" s="368"/>
      <c r="K19" s="270"/>
    </row>
    <row r="20" spans="1:12">
      <c r="A20" s="279" t="s">
        <v>8860</v>
      </c>
      <c r="B20" s="262" t="s">
        <v>8861</v>
      </c>
      <c r="C20" s="241"/>
      <c r="D20" s="665" t="s">
        <v>8862</v>
      </c>
      <c r="E20" s="253"/>
      <c r="F20" s="254"/>
      <c r="G20" s="403"/>
      <c r="H20" s="239"/>
      <c r="I20" s="270"/>
      <c r="J20" s="368"/>
      <c r="K20" s="270"/>
    </row>
    <row r="21" spans="1:12" hidden="1">
      <c r="A21" s="279"/>
      <c r="B21" s="262"/>
      <c r="C21" s="666">
        <f>IF(C20="",1,C20)</f>
        <v>1</v>
      </c>
      <c r="D21" s="665"/>
      <c r="E21" s="263"/>
      <c r="F21" s="254"/>
      <c r="G21" s="337">
        <f t="shared" si="0"/>
        <v>1</v>
      </c>
      <c r="H21" s="239"/>
      <c r="I21" s="270"/>
      <c r="J21" s="375"/>
      <c r="K21" s="270"/>
    </row>
    <row r="22" spans="1:12">
      <c r="A22" s="279" t="s">
        <v>8863</v>
      </c>
      <c r="B22" s="262" t="s">
        <v>8864</v>
      </c>
      <c r="C22" s="241"/>
      <c r="D22" s="665"/>
      <c r="E22" s="263"/>
      <c r="F22" s="254"/>
      <c r="G22" s="337">
        <f t="shared" si="0"/>
        <v>0</v>
      </c>
      <c r="H22" s="239"/>
      <c r="I22" s="270"/>
      <c r="J22" s="270"/>
      <c r="K22" s="270"/>
    </row>
    <row r="23" spans="1:12">
      <c r="A23" s="279" t="s">
        <v>8865</v>
      </c>
      <c r="B23" s="262" t="s">
        <v>8866</v>
      </c>
      <c r="C23" s="667"/>
      <c r="D23" s="665" t="s">
        <v>8867</v>
      </c>
      <c r="E23" s="263"/>
      <c r="F23" s="254"/>
      <c r="G23" s="259"/>
      <c r="H23" s="239"/>
      <c r="I23" s="270"/>
      <c r="J23" s="270"/>
      <c r="K23" s="270"/>
    </row>
    <row r="24" spans="1:12" hidden="1">
      <c r="A24" s="279"/>
      <c r="B24" s="262"/>
      <c r="C24" s="668">
        <f>IF(C23="",0.25,C23)</f>
        <v>0.25</v>
      </c>
      <c r="D24" s="288"/>
      <c r="E24" s="263"/>
      <c r="F24" s="254"/>
      <c r="G24" s="337">
        <f>C24</f>
        <v>0.25</v>
      </c>
      <c r="H24" s="239"/>
      <c r="I24" s="270"/>
      <c r="J24" s="270"/>
      <c r="K24" s="270"/>
    </row>
    <row r="25" spans="1:12">
      <c r="A25" s="249" t="s">
        <v>8868</v>
      </c>
      <c r="B25" s="262" t="s">
        <v>8869</v>
      </c>
      <c r="C25" s="241">
        <v>0</v>
      </c>
      <c r="D25" s="669"/>
      <c r="E25" s="670" t="str">
        <f>IF(C25="","",IF(C25&lt;C122,"根切！x1不能小于",""))</f>
        <v/>
      </c>
      <c r="F25" s="258" t="str">
        <f>IF(E25="","",C122)</f>
        <v/>
      </c>
      <c r="G25" s="225"/>
      <c r="H25" s="261"/>
    </row>
    <row r="26" spans="1:12">
      <c r="A26" s="249" t="str">
        <f>IF(C25&lt;&gt;"","","法向变位系数")</f>
        <v/>
      </c>
      <c r="B26" s="293" t="str">
        <f>IF(C25&lt;&gt;"","","xn1")</f>
        <v/>
      </c>
      <c r="C26" s="667"/>
      <c r="D26" s="264" t="str">
        <f>IF(C26="","",IF(AND(C25&lt;&gt;"",C26&lt;&gt;""),"取消！",IF(C26&lt;C122/COS(C66),"    根切！xn1不能小于","")))</f>
        <v/>
      </c>
      <c r="E26" s="671"/>
      <c r="F26" s="258" t="str">
        <f>IF(OR(D26="",C25&lt;&gt;""),"",C122/COS(C66))</f>
        <v/>
      </c>
      <c r="G26" s="375"/>
      <c r="H26" s="267"/>
    </row>
    <row r="27" spans="1:12" s="52" customFormat="1">
      <c r="A27" s="288" t="s">
        <v>8870</v>
      </c>
      <c r="B27" s="268"/>
      <c r="C27" s="405"/>
      <c r="D27" s="264"/>
      <c r="E27" s="672"/>
      <c r="F27" s="264"/>
      <c r="G27" s="281"/>
      <c r="H27" s="259"/>
      <c r="I27" s="704"/>
      <c r="J27" s="704"/>
      <c r="K27" s="704"/>
      <c r="L27" s="704"/>
    </row>
    <row r="28" spans="1:12">
      <c r="A28" s="249" t="str">
        <f>IF(AND(C28="",C29&lt;&gt;""),"","安   装   距")</f>
        <v/>
      </c>
      <c r="B28" s="268" t="str">
        <f>IF(AND(C28="",C29&lt;&gt;""),"","a")</f>
        <v/>
      </c>
      <c r="C28" s="283"/>
      <c r="D28" s="281" t="str">
        <f>IF(AND(C28="",C29&lt;&gt;""),"","毫米")</f>
        <v/>
      </c>
      <c r="E28" s="253" t="str">
        <f>IF(AND(C28="",C29&lt;&gt;""),"","说明：安装距即齿轮轴线至齿条基准面的距离")</f>
        <v/>
      </c>
      <c r="F28" s="673"/>
      <c r="G28" s="282"/>
      <c r="H28" s="264"/>
      <c r="I28" s="253"/>
    </row>
    <row r="29" spans="1:12">
      <c r="A29" s="674" t="str">
        <f>IF(C28&lt;&gt;"","","齿条分度线至基准面距离")</f>
        <v>齿条分度线至基准面距离</v>
      </c>
      <c r="B29" s="268"/>
      <c r="C29" s="675">
        <v>23.5</v>
      </c>
      <c r="D29" s="264" t="str">
        <f>IF(C29="","",IF(AND(C28&lt;&gt;"",C29&lt;&gt;""),"取消！","毫米"))</f>
        <v>毫米</v>
      </c>
      <c r="E29" s="253"/>
      <c r="F29" s="673"/>
      <c r="G29" s="282"/>
      <c r="H29" s="264"/>
      <c r="I29" s="253"/>
    </row>
    <row r="30" spans="1:12">
      <c r="A30" s="322" t="str">
        <f>IF(AND(C28="",C29=""),"",IF(C28&lt;&gt;"","齿条节线至基准面距离","安    装    距"))</f>
        <v>安    装    距</v>
      </c>
      <c r="B30" s="268" t="str">
        <f>IF(A30="安    装    距","a","")</f>
        <v>a</v>
      </c>
      <c r="C30" s="321">
        <f>IF(AND(C28="",C29=""),"",IF(C28&lt;&gt;"",ROUND(C28-C72/2,3),ROUND(C29+C81*C16+C72/2,3)))</f>
        <v>39.415999999999997</v>
      </c>
      <c r="D30" s="298" t="str">
        <f>IF(A30="","","毫米")</f>
        <v>毫米</v>
      </c>
      <c r="E30" s="253" t="str">
        <f>IF(A30="","",IF(B30="a","说明：安装距即齿轮轴线至齿条基准面的距离","说明：齿条节线是与齿轮分度圆相切的线"))</f>
        <v>说明：安装距即齿轮轴线至齿条基准面的距离</v>
      </c>
      <c r="F30" s="673"/>
      <c r="G30" s="282"/>
      <c r="H30" s="264"/>
      <c r="I30" s="253"/>
    </row>
    <row r="31" spans="1:12">
      <c r="A31" s="402" t="str">
        <f>IF(AND(C28="",C29=""),"",IF(AND(C28="",C29&lt;&gt;""),"齿条节线至基准面距离","齿条分度线至基准面距离"))</f>
        <v>齿条节线至基准面距离</v>
      </c>
      <c r="B31" s="268"/>
      <c r="C31" s="321">
        <f>IF(AND(C28="",C29=""),"",IF(AND(C28="",C29&lt;&gt;""),ROUND(C30-C72/2,3),ROUND(C30-C81*C16,3)))</f>
        <v>23.5</v>
      </c>
      <c r="D31" s="298" t="str">
        <f>IF(A31="","","毫米")</f>
        <v>毫米</v>
      </c>
      <c r="E31" s="253" t="str">
        <f>IF(AND(C28="",C29&lt;&gt;""),"说明：齿条节线是与齿轮分度圆相切的线","")</f>
        <v>说明：齿条节线是与齿轮分度圆相切的线</v>
      </c>
      <c r="F31" s="673"/>
      <c r="G31" s="282"/>
      <c r="H31" s="264"/>
      <c r="I31" s="253"/>
    </row>
    <row r="32" spans="1:12">
      <c r="A32" s="371" t="s">
        <v>8871</v>
      </c>
      <c r="B32" s="303" t="s">
        <v>8872</v>
      </c>
      <c r="C32" s="283">
        <v>1000</v>
      </c>
      <c r="D32" s="305" t="s">
        <v>8854</v>
      </c>
      <c r="E32" s="676"/>
      <c r="F32" s="677"/>
      <c r="G32" s="245"/>
      <c r="H32" s="326"/>
    </row>
    <row r="33" spans="1:12">
      <c r="A33" s="242" t="s">
        <v>8873</v>
      </c>
      <c r="B33" s="290"/>
      <c r="C33" s="283">
        <v>8</v>
      </c>
      <c r="D33" s="264" t="str">
        <f>IF(OR(C33=0,C33=3,C33=4,C33=5,C33=6,C33=7,C33=8),"","错误！")</f>
        <v/>
      </c>
      <c r="E33" s="671"/>
      <c r="F33" s="258"/>
      <c r="G33" s="291">
        <f t="shared" ref="G33:G35" si="1">C33</f>
        <v>8</v>
      </c>
      <c r="H33" s="261"/>
    </row>
    <row r="34" spans="1:12">
      <c r="A34" s="242" t="s">
        <v>8874</v>
      </c>
      <c r="B34" s="290"/>
      <c r="C34" s="241">
        <v>7</v>
      </c>
      <c r="D34" s="264" t="str">
        <f>IF(AND(C33&lt;&gt;"",C34=0),"输入！",IF(OR(C34=0,C34=3,C34=4,C34=5,C34=6,C34=7,C34=8),"","错误！"))</f>
        <v/>
      </c>
      <c r="E34" s="671"/>
      <c r="F34" s="258"/>
      <c r="G34" s="291">
        <f t="shared" si="1"/>
        <v>7</v>
      </c>
      <c r="H34" s="261"/>
    </row>
    <row r="35" spans="1:12">
      <c r="A35" s="356" t="s">
        <v>8875</v>
      </c>
      <c r="B35" s="678"/>
      <c r="C35" s="283">
        <v>7</v>
      </c>
      <c r="D35" s="326" t="str">
        <f>IF(AND(C33&lt;&gt;"",C35=0),"输入！",IF(OR(C35=0,C35=3,C35=4,C35=5,C35=6,C35=7,C35=8),"","错误！"))</f>
        <v/>
      </c>
      <c r="E35" s="679"/>
      <c r="F35" s="680"/>
      <c r="G35" s="681">
        <f t="shared" si="1"/>
        <v>7</v>
      </c>
      <c r="H35" s="302"/>
    </row>
    <row r="36" spans="1:12" s="52" customFormat="1">
      <c r="A36" s="288" t="s">
        <v>8876</v>
      </c>
      <c r="B36" s="682"/>
      <c r="C36" s="405"/>
      <c r="D36" s="264"/>
      <c r="E36" s="672"/>
      <c r="F36" s="264"/>
      <c r="G36" s="337"/>
      <c r="H36" s="259"/>
      <c r="I36" s="704"/>
      <c r="J36" s="704"/>
      <c r="K36" s="704"/>
      <c r="L36" s="704"/>
    </row>
    <row r="37" spans="1:12">
      <c r="A37" s="352" t="s">
        <v>8877</v>
      </c>
      <c r="B37" s="268"/>
      <c r="C37" s="236"/>
      <c r="D37" s="264" t="str">
        <f>IF(AND(C37&lt;&gt;"",OR(C33="",C34="",C35="",C45&lt;&gt;"")),"取消！",IF(OR(C37="",C37="C",C37="D",C37="E",C37="F",C37="G",C37="H",C37="J",C37="K",C37="L",C37="M",C37="N",C37="P",C37="R",C37="S"),"","错误！"))</f>
        <v/>
      </c>
      <c r="E37" s="288" t="s">
        <v>8878</v>
      </c>
      <c r="F37" s="262"/>
      <c r="G37" s="240"/>
      <c r="H37" s="288"/>
      <c r="I37" s="261"/>
      <c r="J37" s="705"/>
      <c r="K37" s="225"/>
      <c r="L37" s="261"/>
    </row>
    <row r="38" spans="1:12">
      <c r="A38" s="352" t="s">
        <v>8879</v>
      </c>
      <c r="B38" s="268"/>
      <c r="C38" s="236"/>
      <c r="D38" s="264" t="str">
        <f>IF(AND(C38&lt;&gt;"",OR(C33="",C34="",C35="",C46&lt;&gt;"",)),"取消！",IF(OR(C38="",C38="C",C38="D",C38="E",C38="F",C38="G",C38="H",C38="J",C38="K",C38="L",C38="M",C38="N",C38="P",C38="R",C38="S"),"","错误！"))</f>
        <v/>
      </c>
      <c r="E38" s="683" t="s">
        <v>8880</v>
      </c>
      <c r="F38" s="262"/>
      <c r="G38" s="240"/>
      <c r="H38" s="288"/>
      <c r="I38" s="261"/>
      <c r="J38" s="705"/>
      <c r="K38" s="225"/>
      <c r="L38" s="261"/>
    </row>
    <row r="39" spans="1:12">
      <c r="A39" s="352" t="s">
        <v>8881</v>
      </c>
      <c r="B39" s="268"/>
      <c r="C39" s="251"/>
      <c r="D39" s="264" t="str">
        <f>IF(AND(C39&lt;&gt;"",OR(C33="",C34="",C35="",C47&lt;&gt;"")),"取消！",IF(OR(C39="",C39="C",C39="D",C39="E",C39="F",C39="G",C39="H",C39="J",C39="K",C39="L",C39="M",C39="N",C39="P",C39="R",C39="S"),"","错误！"))</f>
        <v/>
      </c>
      <c r="E39" s="288"/>
      <c r="F39" s="262"/>
      <c r="G39" s="240"/>
      <c r="H39" s="288"/>
      <c r="I39" s="261"/>
      <c r="J39" s="705"/>
      <c r="K39" s="225"/>
      <c r="L39" s="261"/>
    </row>
    <row r="40" spans="1:12">
      <c r="A40" s="356" t="s">
        <v>8882</v>
      </c>
      <c r="B40" s="303"/>
      <c r="C40" s="251"/>
      <c r="D40" s="326" t="str">
        <f>IF(AND(C40&lt;&gt;"",OR(C33="",C34="",C35="",C48&lt;&gt;"")),"取消！",IF(OR(C40="",C40="C",C40="D",C40="E",C40="F",C40="G",C40="H",C40="J",C40="K",C40="L",C40="M",C40="N",C40="P",C40="R",C40="S"),"","错误！"))</f>
        <v/>
      </c>
      <c r="E40" s="684"/>
      <c r="F40" s="262"/>
      <c r="G40" s="240"/>
      <c r="H40" s="288"/>
      <c r="I40" s="261"/>
      <c r="J40" s="705"/>
      <c r="K40" s="225"/>
      <c r="L40" s="261"/>
    </row>
    <row r="41" spans="1:12">
      <c r="A41" s="249" t="s">
        <v>8883</v>
      </c>
      <c r="B41" s="268" t="s">
        <v>8884</v>
      </c>
      <c r="C41" s="321" t="str">
        <f>IF(OR(C37="",C38="",C39="",C40="",C33="",C34="",C35=""),"",C203/1000)</f>
        <v/>
      </c>
      <c r="D41" s="281" t="s">
        <v>8854</v>
      </c>
      <c r="E41" s="282"/>
      <c r="F41" s="268"/>
      <c r="G41" s="240"/>
      <c r="H41" s="281"/>
      <c r="I41" s="267"/>
      <c r="J41" s="249"/>
      <c r="K41" s="225"/>
      <c r="L41" s="261"/>
    </row>
    <row r="42" spans="1:12">
      <c r="A42" s="371" t="s">
        <v>8885</v>
      </c>
      <c r="B42" s="303" t="s">
        <v>8886</v>
      </c>
      <c r="C42" s="685" t="str">
        <f>IF(OR(C37="",C38="",C39="",C40="",C33="",C34="",C35=""),"",C204/1000)</f>
        <v/>
      </c>
      <c r="D42" s="305" t="s">
        <v>8854</v>
      </c>
      <c r="E42" s="360" t="s">
        <v>8887</v>
      </c>
      <c r="F42" s="307"/>
      <c r="G42" s="308"/>
      <c r="H42" s="305"/>
      <c r="I42" s="267"/>
      <c r="J42" s="249"/>
      <c r="K42" s="225"/>
      <c r="L42" s="261"/>
    </row>
    <row r="43" spans="1:12" s="52" customFormat="1">
      <c r="A43" s="288" t="s">
        <v>8888</v>
      </c>
      <c r="B43" s="268"/>
      <c r="C43" s="282"/>
      <c r="D43" s="281"/>
      <c r="E43" s="288"/>
      <c r="F43" s="298"/>
      <c r="G43" s="259"/>
      <c r="H43" s="281"/>
      <c r="I43" s="259"/>
      <c r="J43" s="282"/>
      <c r="K43" s="454"/>
      <c r="L43" s="272"/>
    </row>
    <row r="44" spans="1:12" s="52" customFormat="1">
      <c r="A44" s="288" t="s">
        <v>8889</v>
      </c>
      <c r="B44" s="282"/>
      <c r="C44" s="282"/>
      <c r="D44" s="281"/>
      <c r="E44" s="288"/>
      <c r="F44" s="298"/>
      <c r="G44" s="259"/>
      <c r="H44" s="281"/>
      <c r="I44" s="259"/>
      <c r="J44" s="282"/>
      <c r="K44" s="454"/>
      <c r="L44" s="272"/>
    </row>
    <row r="45" spans="1:12" s="52" customFormat="1">
      <c r="A45" s="322" t="s">
        <v>8890</v>
      </c>
      <c r="B45" s="282" t="s">
        <v>8891</v>
      </c>
      <c r="C45" s="283">
        <v>-0.1</v>
      </c>
      <c r="D45" s="281" t="s">
        <v>8854</v>
      </c>
      <c r="E45" s="288"/>
      <c r="F45" s="298"/>
      <c r="G45" s="259"/>
      <c r="H45" s="281"/>
      <c r="I45" s="259"/>
      <c r="J45" s="282"/>
      <c r="K45" s="454"/>
      <c r="L45" s="272"/>
    </row>
    <row r="46" spans="1:12" s="52" customFormat="1">
      <c r="A46" s="322" t="s">
        <v>8892</v>
      </c>
      <c r="B46" s="282" t="s">
        <v>8893</v>
      </c>
      <c r="C46" s="241">
        <v>-0.2</v>
      </c>
      <c r="D46" s="281" t="s">
        <v>8854</v>
      </c>
      <c r="E46" s="288"/>
      <c r="F46" s="298"/>
      <c r="G46" s="259"/>
      <c r="H46" s="281"/>
      <c r="I46" s="259"/>
      <c r="J46" s="282"/>
      <c r="K46" s="454"/>
      <c r="L46" s="272"/>
    </row>
    <row r="47" spans="1:12" s="52" customFormat="1">
      <c r="A47" s="322" t="s">
        <v>8894</v>
      </c>
      <c r="B47" s="282" t="s">
        <v>8895</v>
      </c>
      <c r="C47" s="241">
        <v>-0.15</v>
      </c>
      <c r="D47" s="281" t="s">
        <v>8854</v>
      </c>
      <c r="E47" s="288"/>
      <c r="F47" s="298"/>
      <c r="G47" s="259"/>
      <c r="H47" s="281"/>
      <c r="I47" s="259"/>
      <c r="J47" s="282"/>
      <c r="K47" s="454"/>
      <c r="L47" s="272"/>
    </row>
    <row r="48" spans="1:12" s="52" customFormat="1" ht="16.149999999999999" customHeight="1">
      <c r="A48" s="324" t="s">
        <v>8896</v>
      </c>
      <c r="B48" s="245" t="s">
        <v>8897</v>
      </c>
      <c r="C48" s="283">
        <v>-0.25</v>
      </c>
      <c r="D48" s="305" t="s">
        <v>8854</v>
      </c>
      <c r="E48" s="288"/>
      <c r="F48" s="298"/>
      <c r="G48" s="259"/>
      <c r="H48" s="281"/>
      <c r="I48" s="259"/>
      <c r="J48" s="282"/>
      <c r="K48" s="454"/>
      <c r="L48" s="272"/>
    </row>
    <row r="49" spans="1:12" s="52" customFormat="1" ht="16.149999999999999" customHeight="1">
      <c r="A49" s="249" t="s">
        <v>8883</v>
      </c>
      <c r="B49" s="268" t="s">
        <v>8884</v>
      </c>
      <c r="C49" s="321">
        <f>IF(OR(C45="",C46="",C47="",C48=""),"",ABS(C45+C47))</f>
        <v>0.25</v>
      </c>
      <c r="D49" s="281" t="s">
        <v>8854</v>
      </c>
      <c r="E49" s="288"/>
      <c r="F49" s="298"/>
      <c r="G49" s="259"/>
      <c r="H49" s="281"/>
      <c r="I49" s="259"/>
      <c r="J49" s="282"/>
      <c r="K49" s="454"/>
      <c r="L49" s="272"/>
    </row>
    <row r="50" spans="1:12" s="52" customFormat="1" ht="16.149999999999999" customHeight="1">
      <c r="A50" s="371" t="s">
        <v>8885</v>
      </c>
      <c r="B50" s="303" t="s">
        <v>8886</v>
      </c>
      <c r="C50" s="685">
        <f>IF(OR(C45="",C46="",C47="",C48=""),"",ABS(C46+C48))</f>
        <v>0.45</v>
      </c>
      <c r="D50" s="305" t="s">
        <v>8854</v>
      </c>
      <c r="E50" s="360"/>
      <c r="F50" s="307"/>
      <c r="G50" s="308"/>
      <c r="H50" s="305"/>
      <c r="I50" s="259"/>
      <c r="J50" s="282"/>
      <c r="K50" s="454"/>
      <c r="L50" s="272"/>
    </row>
    <row r="51" spans="1:12">
      <c r="A51" s="686" t="s">
        <v>8898</v>
      </c>
      <c r="B51" s="268"/>
      <c r="C51" s="300" t="s">
        <v>8899</v>
      </c>
      <c r="D51" s="313"/>
      <c r="E51" s="687"/>
      <c r="F51" s="319"/>
      <c r="G51" s="300" t="s">
        <v>8900</v>
      </c>
      <c r="H51" s="281"/>
      <c r="I51" s="267"/>
      <c r="J51" s="249"/>
      <c r="K51" s="225"/>
      <c r="L51" s="261"/>
    </row>
    <row r="52" spans="1:12">
      <c r="A52" s="454" t="s">
        <v>8901</v>
      </c>
      <c r="B52" s="688"/>
      <c r="C52" s="318" t="s">
        <v>8902</v>
      </c>
      <c r="D52" s="313"/>
      <c r="E52" s="689"/>
      <c r="F52" s="319"/>
      <c r="G52" s="687"/>
      <c r="H52" s="275"/>
      <c r="I52" s="267"/>
      <c r="J52" s="249"/>
      <c r="K52" s="225"/>
      <c r="L52" s="261"/>
    </row>
    <row r="53" spans="1:12">
      <c r="A53" s="352" t="s">
        <v>8903</v>
      </c>
      <c r="B53" s="249" t="s">
        <v>8904</v>
      </c>
      <c r="C53" s="690">
        <f>ROUND(C103,2)</f>
        <v>2.63</v>
      </c>
      <c r="D53" s="281" t="s">
        <v>8854</v>
      </c>
      <c r="E53" s="269"/>
      <c r="F53" s="249" t="s">
        <v>8905</v>
      </c>
      <c r="G53" s="690">
        <f>ROUND(G103,2)</f>
        <v>2.5099999999999998</v>
      </c>
      <c r="H53" s="281" t="s">
        <v>8854</v>
      </c>
      <c r="I53" s="267"/>
      <c r="J53" s="249"/>
      <c r="K53" s="225"/>
      <c r="L53" s="261"/>
    </row>
    <row r="54" spans="1:12">
      <c r="A54" s="352" t="s">
        <v>8906</v>
      </c>
      <c r="B54" s="371" t="s">
        <v>8907</v>
      </c>
      <c r="C54" s="283">
        <v>8</v>
      </c>
      <c r="D54" s="281" t="s">
        <v>8854</v>
      </c>
      <c r="E54" s="269"/>
      <c r="F54" s="249" t="s">
        <v>8908</v>
      </c>
      <c r="G54" s="675">
        <v>8</v>
      </c>
      <c r="H54" s="281" t="s">
        <v>8854</v>
      </c>
      <c r="I54" s="267"/>
      <c r="J54" s="249"/>
      <c r="K54" s="225"/>
      <c r="L54" s="261"/>
    </row>
    <row r="55" spans="1:12">
      <c r="A55" s="404"/>
      <c r="B55" s="691" t="str">
        <f>IF(C54=0,"",IF(ROUND(C58,4)&lt;&gt;ROUND(C57,4),"单变量求解计算：",""))</f>
        <v>单变量求解计算：</v>
      </c>
      <c r="C55" s="344"/>
      <c r="D55" s="281"/>
      <c r="E55" s="269"/>
      <c r="F55" s="264"/>
      <c r="G55" s="405"/>
      <c r="H55" s="281"/>
      <c r="I55" s="267"/>
      <c r="J55" s="249"/>
      <c r="K55" s="225"/>
      <c r="L55" s="261"/>
    </row>
    <row r="56" spans="1:12">
      <c r="A56" s="404"/>
      <c r="B56" s="692" t="str">
        <f>IF(C54=0,"",IF(ROUND(C58,4)&lt;&gt;ROUND(C57,4),"可变格",""))</f>
        <v>可变格</v>
      </c>
      <c r="C56" s="347">
        <v>0.52819922458463897</v>
      </c>
      <c r="D56" s="281"/>
      <c r="E56" s="269"/>
      <c r="F56" s="309"/>
      <c r="G56" s="337"/>
      <c r="H56" s="281"/>
      <c r="I56" s="267"/>
      <c r="J56" s="249"/>
      <c r="K56" s="225"/>
      <c r="L56" s="261"/>
    </row>
    <row r="57" spans="1:12">
      <c r="A57" s="404"/>
      <c r="B57" s="693" t="str">
        <f>IF(C54=0,"",IF(ROUND(C58,4)&lt;&gt;ROUND(C57,4),"目标格",""))</f>
        <v>目标格</v>
      </c>
      <c r="C57" s="349">
        <f>TAN(C56)-C56-C105</f>
        <v>-0.16758410047970401</v>
      </c>
      <c r="D57" s="281"/>
      <c r="E57" s="269"/>
      <c r="F57" s="309"/>
      <c r="G57" s="337"/>
      <c r="H57" s="281"/>
      <c r="I57" s="267"/>
      <c r="J57" s="249"/>
      <c r="K57" s="225"/>
      <c r="L57" s="261"/>
    </row>
    <row r="58" spans="1:12">
      <c r="A58" s="407"/>
      <c r="B58" s="694" t="str">
        <f>IF(C54=0,"",IF(ROUND(C58,4)&lt;&gt;ROUND(C57,4),"目标值",""))</f>
        <v>目标值</v>
      </c>
      <c r="C58" s="351">
        <f>IF(C54=0,"",0)</f>
        <v>0</v>
      </c>
      <c r="D58" s="305"/>
      <c r="E58" s="327"/>
      <c r="F58" s="443"/>
      <c r="G58" s="695"/>
      <c r="H58" s="305"/>
      <c r="I58" s="267"/>
      <c r="J58" s="249"/>
      <c r="K58" s="225"/>
      <c r="L58" s="261"/>
    </row>
    <row r="59" spans="1:12">
      <c r="A59" s="696" t="s">
        <v>8909</v>
      </c>
      <c r="B59" s="293"/>
      <c r="C59" s="300" t="s">
        <v>8899</v>
      </c>
      <c r="D59" s="313"/>
      <c r="E59" s="687"/>
      <c r="F59" s="319"/>
      <c r="G59" s="300" t="s">
        <v>8900</v>
      </c>
      <c r="H59" s="281"/>
      <c r="I59" s="267"/>
      <c r="J59" s="249"/>
      <c r="K59" s="225"/>
      <c r="L59" s="261"/>
    </row>
    <row r="60" spans="1:12">
      <c r="A60" s="282" t="s">
        <v>8910</v>
      </c>
      <c r="B60" s="688"/>
      <c r="C60" s="697" t="str">
        <f>D120</f>
        <v>齿顶未变尖</v>
      </c>
      <c r="D60" s="669" t="s">
        <v>8911</v>
      </c>
      <c r="E60" s="288">
        <f>ROUND(0.4*C16,2)</f>
        <v>0.6</v>
      </c>
      <c r="F60" s="698"/>
      <c r="G60" s="697" t="str">
        <f>H120</f>
        <v>齿顶未变尖</v>
      </c>
      <c r="H60" s="669" t="s">
        <v>8912</v>
      </c>
      <c r="I60" s="288">
        <f>ROUND(0.4*G16,2)</f>
        <v>0.6</v>
      </c>
      <c r="J60" s="249"/>
      <c r="K60" s="225"/>
      <c r="L60" s="261"/>
    </row>
    <row r="61" spans="1:12">
      <c r="A61" s="371" t="s">
        <v>8913</v>
      </c>
      <c r="B61" s="699" t="s">
        <v>8914</v>
      </c>
      <c r="C61" s="685">
        <f>C119</f>
        <v>3.2309999999999999</v>
      </c>
      <c r="D61" s="700" t="s">
        <v>8915</v>
      </c>
      <c r="E61" s="245">
        <f>C117</f>
        <v>1.67</v>
      </c>
      <c r="F61" s="701" t="s">
        <v>8916</v>
      </c>
      <c r="G61" s="245">
        <f>C118</f>
        <v>1.5609999999999999</v>
      </c>
      <c r="H61" s="702"/>
      <c r="I61" s="288"/>
      <c r="J61" s="249"/>
      <c r="K61" s="225"/>
      <c r="L61" s="261"/>
    </row>
    <row r="62" spans="1:12" hidden="1">
      <c r="A62" s="361" t="s">
        <v>8917</v>
      </c>
      <c r="B62" s="262"/>
      <c r="C62" s="300" t="s">
        <v>8899</v>
      </c>
      <c r="D62" s="313"/>
      <c r="E62" s="687"/>
      <c r="F62" s="319"/>
      <c r="G62" s="300" t="s">
        <v>8900</v>
      </c>
      <c r="H62" s="281"/>
      <c r="I62" s="264"/>
      <c r="J62" s="249"/>
      <c r="K62" s="225"/>
      <c r="L62" s="261"/>
    </row>
    <row r="63" spans="1:12" hidden="1">
      <c r="A63" s="261" t="s">
        <v>8855</v>
      </c>
      <c r="B63" s="261" t="s">
        <v>8856</v>
      </c>
      <c r="C63" s="273">
        <f>IF(C17="",RADIANS(20),RADIANS(C17))</f>
        <v>0.34906585039886601</v>
      </c>
      <c r="D63" s="225" t="s">
        <v>8918</v>
      </c>
      <c r="E63" s="282">
        <f>TAN(C63)-C63</f>
        <v>1.4904383867336401E-2</v>
      </c>
      <c r="F63" s="225" t="s">
        <v>8919</v>
      </c>
      <c r="G63" s="269"/>
      <c r="H63" s="282"/>
      <c r="I63" s="281"/>
      <c r="J63" s="259"/>
      <c r="K63" s="380"/>
      <c r="L63" s="261"/>
    </row>
    <row r="64" spans="1:12" hidden="1">
      <c r="A64" s="261"/>
      <c r="B64" s="261"/>
      <c r="C64" s="273">
        <f>IF(C17="",20,C17)</f>
        <v>20</v>
      </c>
      <c r="D64" s="281" t="s">
        <v>8920</v>
      </c>
      <c r="E64" s="259">
        <f>ROUND(INT(C64)+INT((C64-INT(C64))*60)/100+((C64-INT(C64))*60-INT((C64-INT(C64))*60))*60/10000,4)</f>
        <v>20</v>
      </c>
      <c r="F64" s="281" t="s">
        <v>8921</v>
      </c>
      <c r="G64" s="269"/>
      <c r="H64" s="282"/>
      <c r="I64" s="281"/>
      <c r="J64" s="259"/>
      <c r="K64" s="380"/>
      <c r="L64" s="261"/>
    </row>
    <row r="65" spans="1:12" hidden="1">
      <c r="A65" s="279" t="s">
        <v>8922</v>
      </c>
      <c r="B65" s="261" t="s">
        <v>8923</v>
      </c>
      <c r="C65" s="273">
        <f>ATAN(TAN(C63)/COS(C66))</f>
        <v>0.36854041096353302</v>
      </c>
      <c r="D65" s="225" t="s">
        <v>8918</v>
      </c>
      <c r="E65" s="282">
        <f>TAN(C65)-C65</f>
        <v>1.7644533127487101E-2</v>
      </c>
      <c r="F65" s="225" t="s">
        <v>8924</v>
      </c>
      <c r="G65" s="273"/>
      <c r="H65" s="225"/>
      <c r="I65" s="282"/>
      <c r="J65" s="225"/>
      <c r="K65" s="225"/>
      <c r="L65" s="261"/>
    </row>
    <row r="66" spans="1:12" hidden="1">
      <c r="A66" s="284" t="s">
        <v>8925</v>
      </c>
      <c r="B66" s="261" t="s">
        <v>8858</v>
      </c>
      <c r="C66" s="273">
        <f>RADIANS(C18)</f>
        <v>0.34083313231720902</v>
      </c>
      <c r="D66" s="225" t="s">
        <v>8918</v>
      </c>
      <c r="E66" s="282"/>
      <c r="F66" s="261"/>
      <c r="G66" s="273"/>
      <c r="H66" s="380"/>
      <c r="I66" s="264"/>
      <c r="J66" s="249"/>
      <c r="K66" s="225"/>
      <c r="L66" s="261"/>
    </row>
    <row r="67" spans="1:12" hidden="1">
      <c r="A67" s="284"/>
      <c r="B67" s="261"/>
      <c r="C67" s="273">
        <f>C18</f>
        <v>19.528300000000002</v>
      </c>
      <c r="D67" s="281" t="s">
        <v>8920</v>
      </c>
      <c r="E67" s="272">
        <f>ROUND(INT(C67)+INT((C67-INT(C67))*60)/100+((C67-INT(C67))*60-INT((C67-INT(C67))*60))*60/10000,4)</f>
        <v>19.3142</v>
      </c>
      <c r="F67" s="281" t="s">
        <v>8921</v>
      </c>
      <c r="G67" s="273"/>
      <c r="H67" s="281"/>
      <c r="I67" s="272"/>
      <c r="J67" s="281"/>
      <c r="K67" s="225"/>
      <c r="L67" s="261"/>
    </row>
    <row r="68" spans="1:12" hidden="1">
      <c r="A68" s="279" t="s">
        <v>8926</v>
      </c>
      <c r="B68" s="261" t="s">
        <v>8927</v>
      </c>
      <c r="C68" s="273">
        <f>ATAN(C73*TAN(C66)/C72)</f>
        <v>0.34083313231720902</v>
      </c>
      <c r="D68" s="225" t="s">
        <v>8918</v>
      </c>
      <c r="E68" s="264"/>
      <c r="F68" s="264"/>
      <c r="G68" s="269"/>
      <c r="H68" s="281"/>
      <c r="I68" s="264"/>
      <c r="J68" s="249"/>
      <c r="K68" s="225"/>
      <c r="L68" s="261"/>
    </row>
    <row r="69" spans="1:12" hidden="1">
      <c r="A69" s="279" t="s">
        <v>8928</v>
      </c>
      <c r="B69" s="261" t="s">
        <v>8929</v>
      </c>
      <c r="C69" s="273">
        <f>ATAN(C74*TAN(C66)/C72)</f>
        <v>0.319522560562571</v>
      </c>
      <c r="D69" s="225" t="s">
        <v>8918</v>
      </c>
      <c r="E69" s="264"/>
      <c r="F69" s="264"/>
      <c r="G69" s="273"/>
      <c r="H69" s="281"/>
      <c r="I69" s="264"/>
      <c r="J69" s="249"/>
      <c r="K69" s="225"/>
      <c r="L69" s="261"/>
    </row>
    <row r="70" spans="1:12" hidden="1">
      <c r="A70" s="279" t="s">
        <v>8930</v>
      </c>
      <c r="B70" s="261" t="s">
        <v>8931</v>
      </c>
      <c r="C70" s="273">
        <f>ATAN(C86*TAN(C66)/C72)</f>
        <v>0.37020739694170102</v>
      </c>
      <c r="D70" s="225" t="s">
        <v>8918</v>
      </c>
      <c r="E70" s="264"/>
      <c r="F70" s="264"/>
      <c r="G70" s="269"/>
      <c r="H70" s="281"/>
      <c r="I70" s="264"/>
      <c r="J70" s="249"/>
      <c r="K70" s="225"/>
      <c r="L70" s="261"/>
    </row>
    <row r="71" spans="1:12" hidden="1">
      <c r="A71" s="279" t="s">
        <v>8932</v>
      </c>
      <c r="B71" s="262" t="s">
        <v>8933</v>
      </c>
      <c r="C71" s="273">
        <f>C16/COS(C66)</f>
        <v>1.5915516204351401</v>
      </c>
      <c r="D71" s="281" t="s">
        <v>8854</v>
      </c>
      <c r="E71" s="264"/>
      <c r="F71" s="264"/>
      <c r="G71" s="316">
        <f>C71</f>
        <v>1.5915516204351401</v>
      </c>
      <c r="H71" s="281"/>
      <c r="I71" s="714"/>
      <c r="J71" s="249"/>
      <c r="K71" s="225"/>
      <c r="L71" s="261"/>
    </row>
    <row r="72" spans="1:12" hidden="1">
      <c r="A72" s="261" t="s">
        <v>8934</v>
      </c>
      <c r="B72" s="273" t="s">
        <v>8935</v>
      </c>
      <c r="C72" s="272">
        <f>C15*C71</f>
        <v>31.8310324087028</v>
      </c>
      <c r="D72" s="281" t="s">
        <v>8854</v>
      </c>
      <c r="E72" s="375"/>
      <c r="F72" s="262"/>
      <c r="G72" s="272"/>
      <c r="H72" s="281"/>
      <c r="I72" s="714"/>
      <c r="J72" s="249"/>
      <c r="K72" s="375"/>
      <c r="L72" s="261"/>
    </row>
    <row r="73" spans="1:12" hidden="1">
      <c r="A73" s="261" t="s">
        <v>8936</v>
      </c>
      <c r="B73" s="273" t="s">
        <v>8937</v>
      </c>
      <c r="C73" s="272">
        <f>C72</f>
        <v>31.8310324087028</v>
      </c>
      <c r="D73" s="281" t="s">
        <v>8854</v>
      </c>
      <c r="E73" s="272"/>
      <c r="F73" s="355" t="s">
        <v>8938</v>
      </c>
      <c r="G73" s="272">
        <f>IF(C28&lt;&gt;"",C31,C29)</f>
        <v>23.5</v>
      </c>
      <c r="H73" s="281" t="s">
        <v>8854</v>
      </c>
      <c r="I73" s="706"/>
      <c r="J73" s="249"/>
      <c r="K73" s="375"/>
      <c r="L73" s="261"/>
    </row>
    <row r="74" spans="1:12" hidden="1">
      <c r="A74" s="261" t="s">
        <v>8939</v>
      </c>
      <c r="B74" s="273" t="s">
        <v>8940</v>
      </c>
      <c r="C74" s="272">
        <f>C72*COS(C65)</f>
        <v>29.693711070331201</v>
      </c>
      <c r="D74" s="281" t="s">
        <v>8854</v>
      </c>
      <c r="E74" s="272"/>
      <c r="F74" s="423" t="s">
        <v>8941</v>
      </c>
      <c r="G74" s="272">
        <f>IF(C28&lt;&gt;"",C30,C31)</f>
        <v>23.5</v>
      </c>
      <c r="H74" s="281" t="s">
        <v>8854</v>
      </c>
      <c r="I74" s="706"/>
      <c r="J74" s="249"/>
      <c r="K74" s="375"/>
      <c r="L74" s="261"/>
    </row>
    <row r="75" spans="1:12" hidden="1">
      <c r="A75" s="261" t="s">
        <v>8942</v>
      </c>
      <c r="B75" s="261" t="s">
        <v>8943</v>
      </c>
      <c r="C75" s="272">
        <f>C65</f>
        <v>0.36854041096353302</v>
      </c>
      <c r="D75" s="225" t="s">
        <v>8918</v>
      </c>
      <c r="E75" s="272">
        <f>DEGREES(C75)</f>
        <v>21.115810128227402</v>
      </c>
      <c r="F75" s="281" t="s">
        <v>8920</v>
      </c>
      <c r="G75" s="272">
        <f>ROUND(INT(E75)+INT((E75-INT(E75))*60)/100+((E75-INT(E75))*60-INT((E75-INT(E75))*60))*60/10000,4)</f>
        <v>21.0657</v>
      </c>
      <c r="H75" s="281" t="s">
        <v>8921</v>
      </c>
      <c r="I75" s="706"/>
      <c r="J75" s="249"/>
      <c r="K75" s="375"/>
      <c r="L75" s="261"/>
    </row>
    <row r="76" spans="1:12" hidden="1">
      <c r="A76" s="261" t="s">
        <v>8944</v>
      </c>
      <c r="B76" s="261" t="s">
        <v>8945</v>
      </c>
      <c r="C76" s="272">
        <f>ATAN(TAN(C75)*COS(C66))</f>
        <v>0.34906585039886601</v>
      </c>
      <c r="D76" s="225" t="s">
        <v>8918</v>
      </c>
      <c r="E76" s="272">
        <f>DEGREES(C76)</f>
        <v>20</v>
      </c>
      <c r="F76" s="281" t="s">
        <v>8920</v>
      </c>
      <c r="G76" s="272">
        <f>ROUND(INT(E76)+INT((E76-INT(E76))*60)/100+((E76-INT(E76))*60-INT((E76-INT(E76))*60))*60/10000,4)</f>
        <v>20</v>
      </c>
      <c r="H76" s="281" t="s">
        <v>8921</v>
      </c>
      <c r="I76" s="706"/>
      <c r="J76" s="249"/>
      <c r="K76" s="375"/>
      <c r="L76" s="261"/>
    </row>
    <row r="77" spans="1:12" hidden="1">
      <c r="A77" s="262" t="s">
        <v>8946</v>
      </c>
      <c r="B77" s="273" t="s">
        <v>8947</v>
      </c>
      <c r="C77" s="272">
        <f>PI()*C16</f>
        <v>4.7123889803846897</v>
      </c>
      <c r="D77" s="281" t="s">
        <v>8854</v>
      </c>
      <c r="E77" s="272"/>
      <c r="F77" s="261"/>
      <c r="G77" s="272"/>
      <c r="H77" s="261"/>
      <c r="I77" s="706"/>
      <c r="J77" s="715"/>
      <c r="K77" s="375"/>
      <c r="L77" s="261"/>
    </row>
    <row r="78" spans="1:12" hidden="1">
      <c r="A78" s="262" t="s">
        <v>8948</v>
      </c>
      <c r="B78" s="273" t="s">
        <v>8949</v>
      </c>
      <c r="C78" s="272">
        <f>PI()*C71</f>
        <v>5.0000068785679597</v>
      </c>
      <c r="D78" s="281" t="s">
        <v>8854</v>
      </c>
      <c r="E78" s="272"/>
      <c r="F78" s="261"/>
      <c r="G78" s="272"/>
      <c r="H78" s="261"/>
      <c r="I78" s="706"/>
      <c r="J78" s="715"/>
      <c r="K78" s="375"/>
      <c r="L78" s="261"/>
    </row>
    <row r="79" spans="1:12" hidden="1">
      <c r="A79" s="262" t="s">
        <v>8950</v>
      </c>
      <c r="B79" s="273" t="s">
        <v>8951</v>
      </c>
      <c r="C79" s="272">
        <f>C74*PI()/C15</f>
        <v>4.6642772278185296</v>
      </c>
      <c r="D79" s="281" t="s">
        <v>8854</v>
      </c>
      <c r="E79" s="286">
        <f>C78*COS(C65)</f>
        <v>4.6642772278185296</v>
      </c>
      <c r="F79" s="317" t="s">
        <v>8854</v>
      </c>
      <c r="G79" s="272"/>
      <c r="H79" s="261"/>
      <c r="I79" s="706"/>
      <c r="J79" s="715"/>
      <c r="K79" s="375"/>
      <c r="L79" s="261"/>
    </row>
    <row r="80" spans="1:12" hidden="1">
      <c r="A80" s="279" t="s">
        <v>8868</v>
      </c>
      <c r="B80" s="273" t="s">
        <v>8952</v>
      </c>
      <c r="C80" s="272">
        <f>IF(C25="",C26*COS(C66),C25)</f>
        <v>0</v>
      </c>
      <c r="D80" s="281"/>
      <c r="E80" s="272"/>
      <c r="F80" s="273"/>
      <c r="G80" s="272"/>
      <c r="H80" s="261"/>
      <c r="I80" s="706"/>
      <c r="J80" s="715"/>
      <c r="K80" s="716"/>
      <c r="L80" s="261"/>
    </row>
    <row r="81" spans="1:12" hidden="1">
      <c r="A81" s="279" t="s">
        <v>8953</v>
      </c>
      <c r="B81" s="273" t="s">
        <v>8954</v>
      </c>
      <c r="C81" s="272">
        <f>IF(C26="",ROUND(C80/COS(C66),5),C26)</f>
        <v>0</v>
      </c>
      <c r="D81" s="281"/>
      <c r="E81" s="272"/>
      <c r="F81" s="273"/>
      <c r="G81" s="272"/>
      <c r="H81" s="261"/>
      <c r="I81" s="706"/>
      <c r="J81" s="715"/>
      <c r="K81" s="716"/>
      <c r="L81" s="261"/>
    </row>
    <row r="82" spans="1:12" hidden="1">
      <c r="A82" s="249" t="s">
        <v>8955</v>
      </c>
      <c r="B82" s="268" t="s">
        <v>5899</v>
      </c>
      <c r="C82" s="272">
        <f>IF(C28&lt;&gt;"",C28,C30)</f>
        <v>39.415999999999997</v>
      </c>
      <c r="D82" s="281" t="s">
        <v>8854</v>
      </c>
      <c r="E82" s="375" t="s">
        <v>8956</v>
      </c>
      <c r="F82" s="273"/>
      <c r="G82" s="706"/>
      <c r="H82" s="261"/>
      <c r="I82" s="706"/>
      <c r="J82" s="715"/>
      <c r="K82" s="716"/>
      <c r="L82" s="261"/>
    </row>
    <row r="83" spans="1:12" hidden="1">
      <c r="A83" s="261" t="s">
        <v>8957</v>
      </c>
      <c r="B83" s="262" t="s">
        <v>8958</v>
      </c>
      <c r="C83" s="261">
        <f>C16*(C21+C81)</f>
        <v>1.5</v>
      </c>
      <c r="D83" s="281" t="s">
        <v>8854</v>
      </c>
      <c r="E83" s="272"/>
      <c r="F83" s="262" t="s">
        <v>8959</v>
      </c>
      <c r="G83" s="261">
        <f>C16*C21</f>
        <v>1.5</v>
      </c>
      <c r="H83" s="281" t="s">
        <v>8854</v>
      </c>
      <c r="I83" s="706"/>
      <c r="J83" s="715"/>
      <c r="K83" s="716"/>
      <c r="L83" s="261"/>
    </row>
    <row r="84" spans="1:12" hidden="1">
      <c r="A84" s="261" t="s">
        <v>8960</v>
      </c>
      <c r="B84" s="262" t="s">
        <v>8961</v>
      </c>
      <c r="C84" s="262">
        <f>C16*(C21+C24-C81)</f>
        <v>1.875</v>
      </c>
      <c r="D84" s="281" t="s">
        <v>8854</v>
      </c>
      <c r="E84" s="272"/>
      <c r="F84" s="262" t="s">
        <v>8962</v>
      </c>
      <c r="G84" s="261">
        <f>C16*(C21+C24)</f>
        <v>1.875</v>
      </c>
      <c r="H84" s="281" t="s">
        <v>8854</v>
      </c>
      <c r="I84" s="706"/>
      <c r="J84" s="715"/>
      <c r="K84" s="716"/>
      <c r="L84" s="261"/>
    </row>
    <row r="85" spans="1:12" hidden="1">
      <c r="A85" s="261" t="s">
        <v>8963</v>
      </c>
      <c r="B85" s="262" t="s">
        <v>8104</v>
      </c>
      <c r="C85" s="261">
        <f>C83+C84</f>
        <v>3.375</v>
      </c>
      <c r="D85" s="281" t="s">
        <v>8854</v>
      </c>
      <c r="E85" s="272"/>
      <c r="F85" s="262"/>
      <c r="G85" s="291">
        <f>G83+G84</f>
        <v>3.375</v>
      </c>
      <c r="H85" s="281"/>
      <c r="I85" s="706"/>
      <c r="J85" s="715"/>
      <c r="K85" s="716"/>
      <c r="L85" s="261"/>
    </row>
    <row r="86" spans="1:12" hidden="1">
      <c r="A86" s="261" t="s">
        <v>8964</v>
      </c>
      <c r="B86" s="273" t="s">
        <v>8965</v>
      </c>
      <c r="C86" s="261">
        <f>C72+2*C83</f>
        <v>34.831032408702796</v>
      </c>
      <c r="D86" s="281" t="s">
        <v>8854</v>
      </c>
      <c r="E86" s="272"/>
      <c r="F86" s="355" t="s">
        <v>8966</v>
      </c>
      <c r="G86" s="261">
        <f>G73+G83</f>
        <v>25</v>
      </c>
      <c r="H86" s="281" t="s">
        <v>8854</v>
      </c>
      <c r="I86" s="408"/>
      <c r="J86" s="715"/>
      <c r="K86" s="716"/>
      <c r="L86" s="261"/>
    </row>
    <row r="87" spans="1:12" hidden="1">
      <c r="A87" s="242" t="s">
        <v>8967</v>
      </c>
      <c r="B87" s="273" t="s">
        <v>8968</v>
      </c>
      <c r="C87" s="261">
        <f>C86-2*C22*C16</f>
        <v>34.831032408702796</v>
      </c>
      <c r="D87" s="281" t="s">
        <v>8854</v>
      </c>
      <c r="E87" s="272"/>
      <c r="F87" s="273"/>
      <c r="G87" s="261"/>
      <c r="H87" s="281"/>
      <c r="I87" s="408"/>
      <c r="J87" s="715"/>
      <c r="K87" s="716"/>
      <c r="L87" s="261"/>
    </row>
    <row r="88" spans="1:12" hidden="1">
      <c r="A88" s="261" t="s">
        <v>8969</v>
      </c>
      <c r="B88" s="273" t="s">
        <v>8970</v>
      </c>
      <c r="C88" s="261">
        <f>C72-2*C84</f>
        <v>28.0810324087028</v>
      </c>
      <c r="D88" s="281" t="s">
        <v>8854</v>
      </c>
      <c r="E88" s="272"/>
      <c r="F88" s="355" t="s">
        <v>8971</v>
      </c>
      <c r="G88" s="261">
        <f>G73-G84</f>
        <v>21.625</v>
      </c>
      <c r="H88" s="281" t="s">
        <v>8854</v>
      </c>
      <c r="I88" s="408"/>
      <c r="J88" s="715"/>
      <c r="K88" s="716"/>
      <c r="L88" s="261"/>
    </row>
    <row r="89" spans="1:12" hidden="1">
      <c r="A89" s="279" t="s">
        <v>8972</v>
      </c>
      <c r="B89" s="262" t="s">
        <v>8973</v>
      </c>
      <c r="C89" s="261">
        <f>C71*(PI()/2+2*C80*TAN(C65))</f>
        <v>2.5000034392839798</v>
      </c>
      <c r="D89" s="281" t="s">
        <v>8854</v>
      </c>
      <c r="E89" s="272"/>
      <c r="F89" s="262" t="s">
        <v>8974</v>
      </c>
      <c r="G89" s="261">
        <f>G71*PI()-C89</f>
        <v>2.5000034392839798</v>
      </c>
      <c r="H89" s="281" t="s">
        <v>8854</v>
      </c>
      <c r="I89" s="408"/>
      <c r="J89" s="715"/>
      <c r="K89" s="716"/>
      <c r="L89" s="261"/>
    </row>
    <row r="90" spans="1:12" hidden="1">
      <c r="A90" s="279" t="s">
        <v>8975</v>
      </c>
      <c r="B90" s="262" t="s">
        <v>8976</v>
      </c>
      <c r="C90" s="261">
        <f>ROUND(0.5*(SQRT(C87^2-C74^2)-SQRT(C72^2-C74^2))+(C20-C81)*C16/SIN(C65),3)</f>
        <v>3.37</v>
      </c>
      <c r="D90" s="281"/>
      <c r="E90" s="272"/>
      <c r="F90" s="262"/>
      <c r="G90" s="261"/>
      <c r="H90" s="281"/>
      <c r="I90" s="408"/>
      <c r="J90" s="715"/>
      <c r="K90" s="716"/>
      <c r="L90" s="261"/>
    </row>
    <row r="91" spans="1:12" hidden="1">
      <c r="A91" s="242" t="s">
        <v>8977</v>
      </c>
      <c r="B91" s="261" t="s">
        <v>8978</v>
      </c>
      <c r="C91" s="261">
        <f>ACOS(C74/C87)</f>
        <v>0.55003285616772901</v>
      </c>
      <c r="D91" s="337">
        <f>TAN(C91)-C91</f>
        <v>6.3117564766648898E-2</v>
      </c>
      <c r="E91" s="272"/>
      <c r="F91" s="261"/>
      <c r="G91" s="261"/>
      <c r="H91" s="337"/>
      <c r="I91" s="374"/>
      <c r="J91" s="715"/>
      <c r="K91" s="716"/>
      <c r="L91" s="261"/>
    </row>
    <row r="92" spans="1:12" hidden="1">
      <c r="A92" s="279" t="s">
        <v>8979</v>
      </c>
      <c r="B92" s="262" t="s">
        <v>8980</v>
      </c>
      <c r="C92" s="272">
        <f>C89*C86/C72-C86*(D91-E65)</f>
        <v>1.15175024955761</v>
      </c>
      <c r="D92" s="281" t="s">
        <v>8854</v>
      </c>
      <c r="E92" s="707"/>
      <c r="F92" s="262" t="s">
        <v>8981</v>
      </c>
      <c r="G92" s="272">
        <f>G89-2*G83*TAN(C65)</f>
        <v>1.3414486070109199</v>
      </c>
      <c r="H92" s="281" t="s">
        <v>8854</v>
      </c>
      <c r="I92" s="717"/>
      <c r="J92" s="715"/>
      <c r="K92" s="716"/>
      <c r="L92" s="261"/>
    </row>
    <row r="93" spans="1:12" hidden="1">
      <c r="A93" s="261" t="s">
        <v>8982</v>
      </c>
      <c r="B93" s="262" t="s">
        <v>8983</v>
      </c>
      <c r="C93" s="272">
        <f>C16*(COS(C63)*(PI()*(C94-0.5)+D94*E63)+2*C81*SIN(C63))</f>
        <v>11.5679060051642</v>
      </c>
      <c r="D93" s="281" t="s">
        <v>8854</v>
      </c>
      <c r="E93" s="240">
        <f>C15/COS(C66)^3</f>
        <v>23.890124103707699</v>
      </c>
      <c r="F93" s="262"/>
      <c r="G93" s="272"/>
      <c r="H93" s="281"/>
      <c r="I93" s="374"/>
      <c r="J93" s="715"/>
      <c r="K93" s="718"/>
      <c r="L93" s="261"/>
    </row>
    <row r="94" spans="1:12" ht="15.75" hidden="1" customHeight="1">
      <c r="A94" s="261" t="s">
        <v>8984</v>
      </c>
      <c r="B94" s="262" t="s">
        <v>8985</v>
      </c>
      <c r="C94" s="272">
        <f>ROUND(D94/PI()*ACOS(D94*COS(C63)/(D94+2*C81))+0.5,0)</f>
        <v>3</v>
      </c>
      <c r="D94" s="337">
        <f>C15*E65/E63</f>
        <v>23.676970862453199</v>
      </c>
      <c r="E94" s="240"/>
      <c r="F94" s="262"/>
      <c r="G94" s="272"/>
      <c r="H94" s="337"/>
      <c r="I94" s="374"/>
      <c r="J94" s="715"/>
      <c r="K94" s="718"/>
      <c r="L94" s="261"/>
    </row>
    <row r="95" spans="1:12" ht="15.75" hidden="1" customHeight="1">
      <c r="A95" s="262" t="s">
        <v>8986</v>
      </c>
      <c r="B95" s="262"/>
      <c r="C95" s="272" t="str">
        <f>IF(C19&gt;C93*SIN(C69)+5*COS(C69),"可以测量","不能测量！")</f>
        <v>可以测量</v>
      </c>
      <c r="D95" s="337"/>
      <c r="E95" s="240"/>
      <c r="F95" s="262"/>
      <c r="G95" s="272"/>
      <c r="H95" s="337"/>
      <c r="I95" s="374"/>
      <c r="J95" s="715"/>
      <c r="K95" s="718"/>
      <c r="L95" s="261"/>
    </row>
    <row r="96" spans="1:12" ht="15.75" hidden="1" customHeight="1">
      <c r="A96" s="261" t="s">
        <v>8982</v>
      </c>
      <c r="B96" s="262" t="s">
        <v>8987</v>
      </c>
      <c r="C96" s="272">
        <f>C16*(COS(C63)*(PI()*(C97-0.5)+D94*E63)+2*C81*SIN(C63))</f>
        <v>15.9961031563045</v>
      </c>
      <c r="D96" s="281" t="s">
        <v>8854</v>
      </c>
      <c r="E96" s="240"/>
      <c r="F96" s="262"/>
      <c r="G96" s="272"/>
      <c r="H96" s="337"/>
      <c r="I96" s="374"/>
      <c r="J96" s="715"/>
      <c r="K96" s="718"/>
      <c r="L96" s="261"/>
    </row>
    <row r="97" spans="1:12" ht="15.75" hidden="1" customHeight="1">
      <c r="A97" s="261" t="s">
        <v>8984</v>
      </c>
      <c r="B97" s="262" t="s">
        <v>8988</v>
      </c>
      <c r="C97" s="272">
        <f>C94+1</f>
        <v>4</v>
      </c>
      <c r="D97" s="337"/>
      <c r="E97" s="240"/>
      <c r="F97" s="262"/>
      <c r="G97" s="272"/>
      <c r="H97" s="337"/>
      <c r="I97" s="374"/>
      <c r="J97" s="715"/>
      <c r="K97" s="718"/>
      <c r="L97" s="261"/>
    </row>
    <row r="98" spans="1:12" ht="15.75" hidden="1" customHeight="1">
      <c r="A98" s="262" t="s">
        <v>8989</v>
      </c>
      <c r="B98" s="262"/>
      <c r="C98" s="272" t="str">
        <f>IF(C19&gt;C96*SIN(C69)+5*COS(C69),"可以测量","不能测量！")</f>
        <v>可以测量</v>
      </c>
      <c r="D98" s="337"/>
      <c r="E98" s="240"/>
      <c r="F98" s="262"/>
      <c r="G98" s="272"/>
      <c r="H98" s="337"/>
      <c r="I98" s="374"/>
      <c r="J98" s="715"/>
      <c r="K98" s="718"/>
      <c r="L98" s="261"/>
    </row>
    <row r="99" spans="1:12" hidden="1">
      <c r="A99" s="249" t="s">
        <v>8990</v>
      </c>
      <c r="B99" s="293" t="s">
        <v>8991</v>
      </c>
      <c r="C99" s="259">
        <f>C16*COS(C63)^2*(PI()/2+2*C81*TAN(C63))</f>
        <v>2.0805720931558702</v>
      </c>
      <c r="D99" s="281" t="s">
        <v>8854</v>
      </c>
      <c r="E99" s="708"/>
      <c r="F99" s="293"/>
      <c r="G99" s="259"/>
      <c r="H99" s="281"/>
      <c r="I99" s="708"/>
      <c r="J99" s="719"/>
      <c r="K99" s="720"/>
      <c r="L99" s="261"/>
    </row>
    <row r="100" spans="1:12" hidden="1">
      <c r="A100" s="249" t="s">
        <v>8992</v>
      </c>
      <c r="B100" s="293" t="s">
        <v>8993</v>
      </c>
      <c r="C100" s="259">
        <f>C83-C99/2*TAN(C63)</f>
        <v>1.1213668439231701</v>
      </c>
      <c r="D100" s="281" t="s">
        <v>8854</v>
      </c>
      <c r="E100" s="337"/>
      <c r="F100" s="293"/>
      <c r="G100" s="259"/>
      <c r="H100" s="281"/>
      <c r="I100" s="337"/>
      <c r="J100" s="721"/>
      <c r="K100" s="720"/>
      <c r="L100" s="337"/>
    </row>
    <row r="101" spans="1:12" hidden="1">
      <c r="A101" s="249" t="s">
        <v>8994</v>
      </c>
      <c r="B101" s="293" t="s">
        <v>8995</v>
      </c>
      <c r="C101" s="259">
        <f>C16*E93*SIN(PI()/(2*E93)+2*C81*TAN(C63)/E93)</f>
        <v>2.3544971497819098</v>
      </c>
      <c r="D101" s="281" t="s">
        <v>8854</v>
      </c>
      <c r="E101" s="337"/>
      <c r="F101" s="293" t="s">
        <v>8996</v>
      </c>
      <c r="G101" s="282">
        <f>PI()/2*C16+2*G81*C16*TAN(C63)</f>
        <v>2.35619449019234</v>
      </c>
      <c r="H101" s="281" t="s">
        <v>8854</v>
      </c>
      <c r="I101" s="337"/>
      <c r="J101" s="721"/>
      <c r="K101" s="720"/>
      <c r="L101" s="337"/>
    </row>
    <row r="102" spans="1:12" hidden="1">
      <c r="A102" s="249" t="s">
        <v>8997</v>
      </c>
      <c r="B102" s="293" t="s">
        <v>8998</v>
      </c>
      <c r="C102" s="259">
        <f>C83+0.5*C16*E93*(1-COS(PI()/(2*E93)+2*C81*TAN(C63)/E93))</f>
        <v>1.5387165053041101</v>
      </c>
      <c r="D102" s="281" t="s">
        <v>8854</v>
      </c>
      <c r="E102" s="337"/>
      <c r="F102" s="293" t="s">
        <v>8999</v>
      </c>
      <c r="G102" s="259">
        <f>G83</f>
        <v>1.5</v>
      </c>
      <c r="H102" s="281" t="s">
        <v>8854</v>
      </c>
      <c r="I102" s="337"/>
      <c r="J102" s="721"/>
      <c r="K102" s="720"/>
      <c r="L102" s="337"/>
    </row>
    <row r="103" spans="1:12" hidden="1">
      <c r="A103" s="249"/>
      <c r="B103" s="293" t="s">
        <v>9000</v>
      </c>
      <c r="C103" s="259">
        <f>C112*SIN(C115)/COS(C113+C115)*COS(C69)</f>
        <v>2.6294696255827499</v>
      </c>
      <c r="D103" s="281"/>
      <c r="E103" s="337"/>
      <c r="F103" s="293" t="s">
        <v>9001</v>
      </c>
      <c r="G103" s="259">
        <f>(PI()*C16-G101)/COS(C63)</f>
        <v>2.50740980409291</v>
      </c>
      <c r="H103" s="281"/>
      <c r="I103" s="337"/>
      <c r="J103" s="721"/>
      <c r="K103" s="720"/>
      <c r="L103" s="337"/>
    </row>
    <row r="104" spans="1:12" hidden="1">
      <c r="A104" s="322" t="s">
        <v>9002</v>
      </c>
      <c r="B104" s="293" t="s">
        <v>9003</v>
      </c>
      <c r="C104" s="259">
        <f>C54</f>
        <v>8</v>
      </c>
      <c r="D104" s="281" t="s">
        <v>8854</v>
      </c>
      <c r="E104" s="337"/>
      <c r="F104" s="293" t="s">
        <v>9004</v>
      </c>
      <c r="G104" s="259">
        <f>G54</f>
        <v>8</v>
      </c>
      <c r="H104" s="281" t="s">
        <v>8854</v>
      </c>
      <c r="I104" s="337"/>
      <c r="J104" s="721"/>
      <c r="K104" s="720"/>
      <c r="L104" s="291"/>
    </row>
    <row r="105" spans="1:12" hidden="1">
      <c r="A105" s="322"/>
      <c r="B105" s="709" t="s">
        <v>9005</v>
      </c>
      <c r="C105" s="259">
        <f>E65+C104/(C16*C15*COS(C63))+2*C81*TAN(C63)/C15-PI()/(2*C15)</f>
        <v>0.22288545611465199</v>
      </c>
      <c r="D105" s="281"/>
      <c r="E105" s="337"/>
      <c r="F105" s="709"/>
      <c r="G105" s="259"/>
      <c r="H105" s="281"/>
      <c r="I105" s="337"/>
      <c r="J105" s="721"/>
      <c r="K105" s="720"/>
      <c r="L105" s="291"/>
    </row>
    <row r="106" spans="1:12" hidden="1">
      <c r="A106" s="322"/>
      <c r="B106" s="710" t="s">
        <v>9006</v>
      </c>
      <c r="C106" s="268">
        <f>C56</f>
        <v>0.52819922458463897</v>
      </c>
      <c r="D106" s="225" t="s">
        <v>8918</v>
      </c>
      <c r="E106" s="337"/>
      <c r="F106" s="710"/>
      <c r="G106" s="268"/>
      <c r="H106" s="225"/>
      <c r="I106" s="337"/>
      <c r="J106" s="721"/>
      <c r="K106" s="720"/>
      <c r="L106" s="291"/>
    </row>
    <row r="107" spans="1:12" hidden="1">
      <c r="A107" s="322"/>
      <c r="B107" s="293" t="s">
        <v>9007</v>
      </c>
      <c r="C107" s="259">
        <f>C72/2*COS(C65)/COS(C106)</f>
        <v>17.189510369576599</v>
      </c>
      <c r="D107" s="281"/>
      <c r="E107" s="337"/>
      <c r="F107" s="293"/>
      <c r="G107" s="259"/>
      <c r="H107" s="281"/>
      <c r="I107" s="337"/>
      <c r="J107" s="721"/>
      <c r="K107" s="720"/>
      <c r="L107" s="291"/>
    </row>
    <row r="108" spans="1:12" hidden="1">
      <c r="A108" s="322"/>
      <c r="B108" s="293"/>
      <c r="C108" s="259">
        <f>2*C107*COS(PI()/(2*C15))+C104</f>
        <v>42.2730416916324</v>
      </c>
      <c r="D108" s="281"/>
      <c r="E108" s="282">
        <f>2*C107+C104</f>
        <v>42.379020739153098</v>
      </c>
      <c r="F108" s="293"/>
      <c r="G108" s="259"/>
      <c r="H108" s="281"/>
      <c r="I108" s="282"/>
      <c r="J108" s="721"/>
      <c r="K108" s="720"/>
      <c r="L108" s="291"/>
    </row>
    <row r="109" spans="1:12" hidden="1">
      <c r="A109" s="322" t="s">
        <v>9008</v>
      </c>
      <c r="B109" s="293" t="s">
        <v>9009</v>
      </c>
      <c r="C109" s="259">
        <f>IF(ODD(C15)-C15=0,C108,E108)</f>
        <v>42.379020739153098</v>
      </c>
      <c r="D109" s="281" t="s">
        <v>8854</v>
      </c>
      <c r="E109" s="337"/>
      <c r="F109" s="355" t="s">
        <v>9010</v>
      </c>
      <c r="G109" s="259">
        <f>G54/2+G54/2*SIN(C63)+(G54*COS(C63)-(PI()*C16-G101))/(2*TAN(C63))+G73</f>
        <v>35.958422021828902</v>
      </c>
      <c r="H109" s="281" t="s">
        <v>8854</v>
      </c>
      <c r="I109" s="319"/>
      <c r="J109" s="721"/>
      <c r="K109" s="720"/>
      <c r="L109" s="337"/>
    </row>
    <row r="110" spans="1:12" hidden="1">
      <c r="A110" s="249"/>
      <c r="B110" s="259" t="s">
        <v>9011</v>
      </c>
      <c r="C110" s="282">
        <f>ATAN(TAN(C56)-C104/C74*COS(C69))</f>
        <v>0.31668979210710702</v>
      </c>
      <c r="D110" s="293"/>
      <c r="E110" s="259"/>
      <c r="F110" s="259"/>
      <c r="G110" s="259"/>
      <c r="H110" s="281"/>
      <c r="I110" s="319"/>
      <c r="J110" s="721"/>
      <c r="K110" s="720"/>
      <c r="L110" s="272"/>
    </row>
    <row r="111" spans="1:12" hidden="1">
      <c r="A111" s="249" t="s">
        <v>9012</v>
      </c>
      <c r="B111" s="268" t="s">
        <v>9013</v>
      </c>
      <c r="C111" s="282">
        <f>C74/COS(C110)</f>
        <v>31.2476078535603</v>
      </c>
      <c r="D111" s="281" t="s">
        <v>8854</v>
      </c>
      <c r="E111" s="355"/>
      <c r="F111" s="355" t="s">
        <v>9014</v>
      </c>
      <c r="G111" s="259">
        <f>(G54*COS(C63)-(PI()*C16-G101))/(2*TAN(C63))+G73</f>
        <v>30.5903414485262</v>
      </c>
      <c r="H111" s="281" t="s">
        <v>8854</v>
      </c>
      <c r="I111" s="714"/>
      <c r="J111" s="721"/>
      <c r="K111" s="720"/>
      <c r="L111" s="272"/>
    </row>
    <row r="112" spans="1:12" hidden="1">
      <c r="A112" s="249"/>
      <c r="B112" s="268" t="s">
        <v>9015</v>
      </c>
      <c r="C112" s="282">
        <f>C72+2*C81*C16</f>
        <v>31.8310324087028</v>
      </c>
      <c r="D112" s="293"/>
      <c r="E112" s="259"/>
      <c r="F112" s="293"/>
      <c r="G112" s="259"/>
      <c r="H112" s="281"/>
      <c r="I112" s="722"/>
      <c r="J112" s="721"/>
      <c r="K112" s="720"/>
      <c r="L112" s="272"/>
    </row>
    <row r="113" spans="1:12" hidden="1">
      <c r="A113" s="249"/>
      <c r="B113" s="261" t="s">
        <v>9016</v>
      </c>
      <c r="C113" s="259">
        <f>ACOS(C74/C112)</f>
        <v>0.36854041096353402</v>
      </c>
      <c r="D113" s="320">
        <f>TAN(C113)-C113</f>
        <v>1.7644533127487198E-2</v>
      </c>
      <c r="E113" s="259"/>
      <c r="F113" s="261"/>
      <c r="G113" s="259"/>
      <c r="H113" s="320"/>
      <c r="I113" s="722"/>
      <c r="J113" s="721"/>
      <c r="K113" s="720"/>
      <c r="L113" s="272"/>
    </row>
    <row r="114" spans="1:12" hidden="1">
      <c r="A114" s="352"/>
      <c r="B114" s="293" t="s">
        <v>9017</v>
      </c>
      <c r="C114" s="259">
        <f>C89*C112/C72-C112*(D113-E65)</f>
        <v>2.5000034392839798</v>
      </c>
      <c r="D114" s="259"/>
      <c r="E114" s="337"/>
      <c r="F114" s="268"/>
      <c r="G114" s="259"/>
      <c r="H114" s="259"/>
      <c r="I114" s="722"/>
      <c r="J114" s="721"/>
      <c r="K114" s="720"/>
      <c r="L114" s="272"/>
    </row>
    <row r="115" spans="1:12" hidden="1">
      <c r="A115" s="711"/>
      <c r="B115" s="302" t="s">
        <v>9018</v>
      </c>
      <c r="C115" s="308">
        <f>(PI()*C112/C15-C114)/C112</f>
        <v>7.8539816339744897E-2</v>
      </c>
      <c r="D115" s="308"/>
      <c r="E115" s="712"/>
      <c r="F115" s="302"/>
      <c r="G115" s="308"/>
      <c r="H115" s="308"/>
      <c r="I115" s="723"/>
      <c r="J115" s="721"/>
      <c r="K115" s="720"/>
      <c r="L115" s="261"/>
    </row>
    <row r="116" spans="1:12" hidden="1">
      <c r="A116" s="713" t="s">
        <v>8909</v>
      </c>
      <c r="B116" s="262"/>
      <c r="C116" s="259"/>
      <c r="D116" s="259"/>
      <c r="E116" s="259"/>
      <c r="F116" s="262"/>
      <c r="G116" s="259"/>
      <c r="H116" s="259"/>
      <c r="I116" s="723"/>
      <c r="J116" s="721"/>
      <c r="K116" s="720"/>
      <c r="L116" s="261"/>
    </row>
    <row r="117" spans="1:12" hidden="1">
      <c r="A117" s="282" t="s">
        <v>9019</v>
      </c>
      <c r="B117" s="261" t="s">
        <v>9020</v>
      </c>
      <c r="C117" s="259">
        <f>ROUND(1/(2*PI())*(C15*(TAN(C91)-TAN(C65))+2*C21/(SIN(C65)*COS(C65))),3)</f>
        <v>1.67</v>
      </c>
      <c r="D117" s="259"/>
      <c r="E117" s="259"/>
      <c r="F117" s="261"/>
      <c r="G117" s="259"/>
      <c r="H117" s="259"/>
      <c r="I117" s="723"/>
      <c r="J117" s="721"/>
      <c r="K117" s="720"/>
      <c r="L117" s="261"/>
    </row>
    <row r="118" spans="1:12" hidden="1">
      <c r="A118" s="282" t="s">
        <v>9021</v>
      </c>
      <c r="B118" s="261" t="s">
        <v>9022</v>
      </c>
      <c r="C118" s="259">
        <f>ROUND(C19*SIN(C66)/(PI()*C16),3)</f>
        <v>1.5609999999999999</v>
      </c>
      <c r="D118" s="259"/>
      <c r="E118" s="259"/>
      <c r="F118" s="261"/>
      <c r="G118" s="259"/>
      <c r="H118" s="259"/>
      <c r="I118" s="723"/>
      <c r="J118" s="721"/>
      <c r="K118" s="720"/>
      <c r="L118" s="261"/>
    </row>
    <row r="119" spans="1:12" hidden="1">
      <c r="A119" s="245" t="s">
        <v>9023</v>
      </c>
      <c r="B119" s="302" t="s">
        <v>9024</v>
      </c>
      <c r="C119" s="308">
        <f>ROUND(C117+C118,3)</f>
        <v>3.2309999999999999</v>
      </c>
      <c r="D119" s="445"/>
      <c r="E119" s="308"/>
      <c r="F119" s="302"/>
      <c r="G119" s="308"/>
      <c r="H119" s="308"/>
      <c r="I119" s="723"/>
      <c r="J119" s="721"/>
      <c r="K119" s="720"/>
      <c r="L119" s="261"/>
    </row>
    <row r="120" spans="1:12" hidden="1">
      <c r="A120" s="282" t="s">
        <v>9025</v>
      </c>
      <c r="B120" s="267"/>
      <c r="C120" s="259">
        <f>ROUND(C92*COS(C70)/C16,2)</f>
        <v>0.72</v>
      </c>
      <c r="D120" s="264" t="str">
        <f>IF(C120&lt;0.4,"齿顶变尖 ！","齿顶未变尖")</f>
        <v>齿顶未变尖</v>
      </c>
      <c r="E120" s="259"/>
      <c r="F120" s="267"/>
      <c r="G120" s="259">
        <f>ROUND(G92*COS(C70)/C16,2)</f>
        <v>0.83</v>
      </c>
      <c r="H120" s="264" t="str">
        <f>IF(G120&lt;0.4,"齿顶变尖 ！","齿顶未变尖")</f>
        <v>齿顶未变尖</v>
      </c>
      <c r="I120" s="723"/>
      <c r="J120" s="721"/>
      <c r="K120" s="720"/>
      <c r="L120" s="261"/>
    </row>
    <row r="121" spans="1:12" hidden="1">
      <c r="A121" s="309" t="s">
        <v>9026</v>
      </c>
      <c r="B121" s="352" t="s">
        <v>9027</v>
      </c>
      <c r="C121" s="259">
        <f>INT(2*C21/SIN(C65)^2)</f>
        <v>15</v>
      </c>
      <c r="D121" s="275"/>
      <c r="E121" s="259"/>
      <c r="F121" s="267"/>
      <c r="G121" s="259"/>
      <c r="H121" s="275"/>
      <c r="I121" s="723"/>
      <c r="J121" s="721"/>
      <c r="K121" s="720"/>
      <c r="L121" s="261"/>
    </row>
    <row r="122" spans="1:12" hidden="1">
      <c r="A122" s="443" t="s">
        <v>9028</v>
      </c>
      <c r="B122" s="356" t="s">
        <v>9029</v>
      </c>
      <c r="C122" s="308">
        <f>ROUND(C21*(C121-C15)/C121,3)</f>
        <v>-0.33300000000000002</v>
      </c>
      <c r="D122" s="326" t="str">
        <f>IF(C25&gt;=C122,"不根切","根切 ！")</f>
        <v>不根切</v>
      </c>
      <c r="E122" s="308"/>
      <c r="F122" s="356"/>
      <c r="G122" s="308"/>
      <c r="H122" s="326"/>
      <c r="I122" s="723"/>
      <c r="J122" s="721"/>
      <c r="K122" s="720"/>
      <c r="L122" s="261"/>
    </row>
    <row r="123" spans="1:12" hidden="1">
      <c r="A123" s="713" t="s">
        <v>9030</v>
      </c>
      <c r="B123" s="268"/>
      <c r="C123" s="259"/>
      <c r="D123" s="320"/>
      <c r="E123" s="259"/>
      <c r="F123" s="293"/>
      <c r="G123" s="259"/>
      <c r="H123" s="320"/>
      <c r="I123" s="724"/>
      <c r="J123" s="721"/>
      <c r="K123" s="720"/>
      <c r="L123" s="261"/>
    </row>
    <row r="124" spans="1:12" hidden="1">
      <c r="A124" s="309" t="s">
        <v>9031</v>
      </c>
      <c r="B124" s="262" t="s">
        <v>9032</v>
      </c>
      <c r="C124" s="259">
        <f>ROUND(0.5*SQRT(C72^2-C74^2)+(C20-C81)*C16/SIN(C65),3)</f>
        <v>5.734</v>
      </c>
      <c r="D124" s="281" t="s">
        <v>8854</v>
      </c>
      <c r="E124" s="259"/>
      <c r="F124" s="262"/>
      <c r="G124" s="259"/>
      <c r="H124" s="281"/>
      <c r="I124" s="723"/>
      <c r="J124" s="721"/>
      <c r="K124" s="720"/>
      <c r="L124" s="261"/>
    </row>
    <row r="125" spans="1:12" hidden="1">
      <c r="A125" s="309" t="s">
        <v>9033</v>
      </c>
      <c r="B125" s="262" t="s">
        <v>9034</v>
      </c>
      <c r="C125" s="259">
        <f>SQRT((C87/2)^2-(C74/2)^2)</f>
        <v>9.1033557209386995</v>
      </c>
      <c r="D125" s="281" t="s">
        <v>8854</v>
      </c>
      <c r="E125" s="259"/>
      <c r="F125" s="262"/>
      <c r="G125" s="259"/>
      <c r="H125" s="281"/>
      <c r="I125" s="723"/>
      <c r="J125" s="721"/>
      <c r="K125" s="720"/>
      <c r="L125" s="261"/>
    </row>
    <row r="126" spans="1:12" hidden="1">
      <c r="A126" s="249" t="s">
        <v>9035</v>
      </c>
      <c r="B126" s="261" t="s">
        <v>9036</v>
      </c>
      <c r="C126" s="259">
        <f>DEGREES(C124/(C74/2))</f>
        <v>22.128187275067301</v>
      </c>
      <c r="D126" s="281" t="s">
        <v>8920</v>
      </c>
      <c r="E126" s="259">
        <f t="shared" ref="E126:E129" si="2">ROUND(INT(C126)+INT((C126-INT(C126))*60)/100+((C126-INT(C126))*60-INT((C126-INT(C126))*60))*60/10000,4)</f>
        <v>22.074100000000001</v>
      </c>
      <c r="F126" s="281" t="s">
        <v>8921</v>
      </c>
      <c r="G126" s="259"/>
      <c r="H126" s="281"/>
      <c r="I126" s="259"/>
      <c r="J126" s="380"/>
      <c r="K126" s="720"/>
      <c r="L126" s="261"/>
    </row>
    <row r="127" spans="1:12" hidden="1">
      <c r="A127" s="249" t="s">
        <v>9037</v>
      </c>
      <c r="B127" s="261" t="s">
        <v>9038</v>
      </c>
      <c r="C127" s="259">
        <f>DEGREES(C125/(C74/2))</f>
        <v>35.130931326209698</v>
      </c>
      <c r="D127" s="281" t="s">
        <v>8920</v>
      </c>
      <c r="E127" s="259">
        <f t="shared" si="2"/>
        <v>35.075099999999999</v>
      </c>
      <c r="F127" s="281" t="s">
        <v>8921</v>
      </c>
      <c r="G127" s="259"/>
      <c r="H127" s="281"/>
      <c r="I127" s="259"/>
      <c r="J127" s="380"/>
      <c r="K127" s="720"/>
      <c r="L127" s="261"/>
    </row>
    <row r="128" spans="1:12" s="654" customFormat="1" hidden="1">
      <c r="A128" s="249" t="s">
        <v>9039</v>
      </c>
      <c r="B128" s="261" t="s">
        <v>9040</v>
      </c>
      <c r="C128" s="259">
        <f>C126+1/3*(C127-C126)</f>
        <v>26.462435292114801</v>
      </c>
      <c r="D128" s="281" t="s">
        <v>8920</v>
      </c>
      <c r="E128" s="259">
        <f t="shared" si="2"/>
        <v>26.2745</v>
      </c>
      <c r="F128" s="281" t="s">
        <v>8921</v>
      </c>
      <c r="G128" s="259"/>
      <c r="H128" s="281"/>
      <c r="I128" s="259"/>
      <c r="J128" s="380"/>
      <c r="K128" s="720"/>
      <c r="L128" s="261"/>
    </row>
    <row r="129" spans="1:12" hidden="1">
      <c r="A129" s="371"/>
      <c r="B129" s="302" t="s">
        <v>9041</v>
      </c>
      <c r="C129" s="308">
        <f>C126+2/3*(C127-C126)</f>
        <v>30.796683309162201</v>
      </c>
      <c r="D129" s="305" t="s">
        <v>8920</v>
      </c>
      <c r="E129" s="308">
        <f t="shared" si="2"/>
        <v>30.474799999999998</v>
      </c>
      <c r="F129" s="305" t="s">
        <v>8921</v>
      </c>
      <c r="G129" s="308"/>
      <c r="H129" s="305"/>
      <c r="I129" s="259"/>
      <c r="J129" s="380"/>
      <c r="K129" s="720"/>
      <c r="L129" s="267"/>
    </row>
    <row r="130" spans="1:12" ht="15.75" hidden="1" customHeight="1">
      <c r="A130" s="713" t="s">
        <v>9042</v>
      </c>
      <c r="B130" s="261"/>
      <c r="C130" s="259"/>
      <c r="D130" s="259"/>
      <c r="E130" s="259"/>
      <c r="F130" s="261"/>
      <c r="G130" s="259"/>
      <c r="H130" s="720"/>
      <c r="I130" s="723"/>
      <c r="J130" s="727"/>
      <c r="K130" s="309"/>
      <c r="L130" s="261"/>
    </row>
    <row r="131" spans="1:12" hidden="1">
      <c r="A131" s="249" t="s">
        <v>9043</v>
      </c>
      <c r="B131" s="268"/>
      <c r="C131" s="282">
        <f>PI()*C72/2</f>
        <v>50.000068785679602</v>
      </c>
      <c r="D131" s="320"/>
      <c r="E131" s="249" t="s">
        <v>9044</v>
      </c>
      <c r="F131" s="268" t="s">
        <v>6492</v>
      </c>
      <c r="G131" s="259">
        <f>C32</f>
        <v>1000</v>
      </c>
      <c r="H131" s="259"/>
      <c r="I131" s="723"/>
      <c r="J131" s="727"/>
      <c r="K131" s="309"/>
      <c r="L131" s="261"/>
    </row>
    <row r="132" spans="1:12" hidden="1">
      <c r="A132" s="249" t="s">
        <v>9045</v>
      </c>
      <c r="B132" s="268" t="s">
        <v>9046</v>
      </c>
      <c r="C132" s="282">
        <f>IF(AND(C131&gt;20,C131&lt;=32,C33=3),5,IF(AND(C131&gt;32,C131&lt;=50,C33=3),5.5,IF(AND(C131&gt;50,C131&lt;=80,C33=3),6,IF(AND(C131&gt;80,C131&lt;=160,C33=3),8,IF(AND(C131&gt;160,C131&lt;=315,C33=3),11,IF(AND(C131&gt;315,C131&lt;=630,C33=3),16,IF(AND(C131&gt;630,C131&lt;=1000,C33=3),20,C133)))))))</f>
        <v>50</v>
      </c>
      <c r="D132" s="320"/>
      <c r="E132" s="269"/>
      <c r="F132" s="293" t="s">
        <v>9047</v>
      </c>
      <c r="G132" s="282">
        <f>IF(AND(G131&lt;=32,C33=3),6,IF(AND(G131&gt;32,G131&lt;=50,C33=3),6.5,IF(AND(G131&gt;50,G131&lt;=80,C33=3),7,IF(AND(G131&gt;80,G131&lt;=160,C33=3),10,IF(AND(G131&gt;160,G131&lt;=315,C33=3),13,IF(AND(G131&gt;315,G131&lt;=630,C33=3),18,IF(AND(G131&gt;630,G131&lt;=1000,C33=3),24,G133)))))))</f>
        <v>190</v>
      </c>
      <c r="H132" s="259"/>
      <c r="I132" s="723"/>
      <c r="J132" s="727"/>
      <c r="K132" s="309"/>
      <c r="L132" s="261"/>
    </row>
    <row r="133" spans="1:12" hidden="1">
      <c r="A133" s="249"/>
      <c r="B133" s="268"/>
      <c r="C133" s="337">
        <f>IF(AND(C131&gt;20,C131&lt;=32,C33=4),8,IF(AND(C131&gt;32,C131&lt;=50,C33=4),9,IF(AND(C131&gt;50,C131&lt;=80,C33=4),10,IF(AND(C131&gt;80,C131&lt;=160,C33=4),12,IF(AND(C131&gt;160,C131&lt;=315,C33=4),18,IF(AND(C131&gt;315,C131&lt;=630,C33=4),25,IF(AND(C131&gt;630,C131&lt;=1000,C33=4),32,C134)))))))</f>
        <v>50</v>
      </c>
      <c r="D133" s="320"/>
      <c r="E133" s="269"/>
      <c r="F133" s="293"/>
      <c r="G133" s="337">
        <f>IF(AND(G131&lt;=32,C33=4),10,IF(AND(G131&gt;32,G131&lt;=50,C33=4),11,IF(AND(G131&gt;50,G131&lt;=80,C33=4),12,IF(AND(G131&gt;80,G131&lt;=160,C33=4),15,IF(AND(G131&gt;160,G131&lt;=315,C33=4),20,IF(AND(G131&gt;315,G131&lt;=630,C33=4),30,IF(AND(G131&gt;630,G131&lt;=1000,C33=4),40,G134)))))))</f>
        <v>190</v>
      </c>
      <c r="H133" s="259"/>
      <c r="I133" s="723"/>
      <c r="J133" s="727"/>
      <c r="K133" s="309"/>
      <c r="L133" s="261"/>
    </row>
    <row r="134" spans="1:12" hidden="1">
      <c r="A134" s="381"/>
      <c r="B134" s="268"/>
      <c r="C134" s="337">
        <f>IF(AND(C131&gt;20,C131&lt;=32,C33=5),12,IF(AND(C131&gt;32,C131&lt;=50,C33=5),14,IF(AND(C131&gt;50,C131&lt;=80,C33=5),16,IF(AND(C131&gt;80,C131&lt;=160,C33=5),20,IF(AND(C131&gt;160,C131&lt;=315,C33=5),28,IF(AND(C131&gt;315,C131&lt;=630,C33=5),40,IF(AND(C131&gt;630,C131&lt;=1000,C33=5),50,C135)))))))</f>
        <v>50</v>
      </c>
      <c r="D134" s="320"/>
      <c r="E134" s="269"/>
      <c r="F134" s="293"/>
      <c r="G134" s="337">
        <f>IF(AND(G131&lt;=32,C33=5),15,IF(AND(G131&gt;32,G131&lt;=50,C33=5),17,IF(AND(G131&gt;50,G131&lt;=80,C33=5),20,IF(AND(G131&gt;80,G131&lt;=160,C33=5),24,IF(AND(G131&gt;160,G131&lt;=315,C33=5),35,IF(AND(G131&gt;315,G131&lt;=630,C33=5),50,IF(AND(G131&gt;630,G131&lt;=1000,C33=5),60,G135)))))))</f>
        <v>190</v>
      </c>
      <c r="H134" s="259"/>
      <c r="I134" s="723"/>
      <c r="J134" s="727"/>
      <c r="K134" s="309"/>
      <c r="L134" s="261"/>
    </row>
    <row r="135" spans="1:12" hidden="1">
      <c r="A135" s="381"/>
      <c r="B135" s="282"/>
      <c r="C135" s="337">
        <f>IF(AND(C131&gt;20,C131&lt;=32,C33=6),20,IF(AND(C131&gt;32,C131&lt;=50,C33=6),22,IF(AND(C131&gt;50,C131&lt;=80,C33=6),25,IF(AND(C131&gt;80,C131&lt;=160,C33=6),32,IF(AND(C131&gt;160,C131&lt;=315,C33=6),45,IF(AND(C131&gt;315,C131&lt;=630,C33=6),63,IF(AND(C131&gt;630,C131&lt;=1000,C33=6),80,C136)))))))</f>
        <v>50</v>
      </c>
      <c r="D135" s="320"/>
      <c r="E135" s="269"/>
      <c r="F135" s="267"/>
      <c r="G135" s="337">
        <f>IF(AND(G131&lt;=32,C33=6),24,IF(AND(G131&gt;32,G131&lt;=50,C33=6),27,IF(AND(G131&gt;50,G131&lt;=80,C33=6),30,IF(AND(G131&gt;80,G131&lt;=160,C33=6),40,IF(AND(G131&gt;160,G131&lt;=315,C33=6),55,IF(AND(G131&gt;315,G131&lt;=630,C33=6),75,IF(AND(G131&gt;630,G131&lt;=1000,C33=6),95,G136)))))))</f>
        <v>190</v>
      </c>
      <c r="H135" s="259"/>
      <c r="I135" s="723"/>
      <c r="J135" s="727"/>
      <c r="K135" s="309"/>
      <c r="L135" s="261"/>
    </row>
    <row r="136" spans="1:12" hidden="1">
      <c r="A136" s="381"/>
      <c r="B136" s="282"/>
      <c r="C136" s="337">
        <f>IF(AND(C131&gt;20,C131&lt;=32,C33=7),28,IF(AND(C131&gt;32,C131&lt;=50,C33=7),32,IF(AND(C131&gt;50,C131&lt;=80,C33=7),36,IF(AND(C131&gt;80,C131&lt;=160,C33=7),45,IF(AND(C131&gt;160,C131&lt;=315,C33=7),63,IF(AND(C131&gt;315,C131&lt;=630,C33=7),90,IF(AND(C131&gt;630,C131&lt;=1000,C33=7),112,C137)))))))</f>
        <v>50</v>
      </c>
      <c r="D136" s="320"/>
      <c r="E136" s="269"/>
      <c r="F136" s="267"/>
      <c r="G136" s="337">
        <f>IF(AND(G131&lt;=32,C33=7),35,IF(AND(G131&gt;32,G131&lt;=50,C33=7),40,IF(AND(G131&gt;50,G131&lt;=80,C33=7),45,IF(AND(G131&gt;80,G131&lt;=160,C33=7),55,IF(AND(G131&gt;160,G131&lt;=315,C33=7),75,IF(AND(G131&gt;315,G131&lt;=630,C33=7),110,IF(AND(G131&gt;630,G131&lt;=1000,C33=7),135,G137)))))))</f>
        <v>190</v>
      </c>
      <c r="H136" s="259"/>
      <c r="I136" s="723"/>
      <c r="J136" s="727"/>
      <c r="K136" s="309"/>
      <c r="L136" s="261"/>
    </row>
    <row r="137" spans="1:12" hidden="1">
      <c r="A137" s="249"/>
      <c r="B137" s="282"/>
      <c r="C137" s="337">
        <f>IF(AND(C131&gt;20,C131&lt;=32,C33=8),40,IF(AND(C131&gt;32,C131&lt;=50,C33=8),45,IF(AND(C131&gt;50,C131&lt;=80,C33=8),50,IF(AND(C131&gt;80,C131&lt;=160,C33=8),63,IF(AND(C131&gt;160,C131&lt;=315,C33=8),90,IF(AND(C131&gt;315,C131&lt;=630,C33=8),125,IF(AND(C131&gt;630,C131&lt;=1000,C33=8),160,"*")))))))</f>
        <v>50</v>
      </c>
      <c r="D137" s="320"/>
      <c r="E137" s="269"/>
      <c r="F137" s="267"/>
      <c r="G137" s="337">
        <f>IF(AND(G131&lt;=32,C33=8),50,IF(AND(G131&gt;32,G131&lt;=50,C33=8),56,IF(AND(G131&gt;50,G131&lt;=80,C33=8),63,IF(AND(G131&gt;80,G131&lt;=160,C33=8),75,IF(AND(G131&gt;160,G131&lt;=315,C33=8),105,IF(AND(G131&gt;315,G131&lt;=630,C33=8),150,IF(AND(G131&gt;630,G131&lt;=1000,C33=8),190,"*")))))))</f>
        <v>190</v>
      </c>
      <c r="H137" s="259"/>
      <c r="I137" s="723"/>
      <c r="J137" s="727"/>
      <c r="K137" s="309"/>
      <c r="L137" s="261"/>
    </row>
    <row r="138" spans="1:12" hidden="1">
      <c r="A138" s="322" t="s">
        <v>9048</v>
      </c>
      <c r="B138" s="268" t="s">
        <v>9049</v>
      </c>
      <c r="C138" s="282">
        <f>IF(AND(C72&lt;=125,C16&gt;=1,C16&lt;=3.5,C33=3),6,IF(AND(C72&lt;=125,C16&gt;3.5,C16&lt;=6.3,C33=3),7,IF(AND(C72&lt;=125,C16&gt;6.3,C16&lt;=10,C33=3),8,IF(AND(C72&gt;125,C72&lt;=400,C16&gt;=1,C16&lt;=3.5,C33=3),9,IF(AND(C72&gt;125,C72&lt;=400,C16&gt;3.5,C16&lt;=6.3,C33=3),10,IF(AND(C72&gt;125,C72&lt;=400,C16&gt;6.3,C16&lt;=10,C33=3),11,C139))))))</f>
        <v>45</v>
      </c>
      <c r="D138" s="320"/>
      <c r="E138" s="322" t="s">
        <v>9050</v>
      </c>
      <c r="F138" s="268" t="s">
        <v>9051</v>
      </c>
      <c r="G138" s="282">
        <f>IF(AND(G16&gt;=1,G16&lt;=3.5,G33=3),6,IF(AND(G16&gt;3.5,G16&lt;=6.3,G33=3),8,IF(AND(G16&gt;6.3,G16&lt;=10,G33=3),9,G140)))</f>
        <v>45</v>
      </c>
      <c r="H138" s="259"/>
      <c r="I138" s="723"/>
      <c r="J138" s="727"/>
      <c r="K138" s="309"/>
      <c r="L138" s="261"/>
    </row>
    <row r="139" spans="1:12" hidden="1">
      <c r="A139" s="249"/>
      <c r="B139" s="282"/>
      <c r="C139" s="337">
        <f>IF(AND(C72&gt;400,C72&lt;=800,C16&gt;=1,C16&lt;=3.5,C33=3),11,IF(AND(C72&gt;400,C72&lt;=800,C16&gt;3.5,C16&lt;=6.3,C33=3),13,IF(AND(C72&gt;400,C72&lt;=800,C16&gt;6.3,C16&lt;=10,C33=3),14,IF(AND(C72&gt;800,C72&lt;=1600,C16&gt;=1,C16&lt;=3.5,C33=3),13,IF(AND(C72&gt;800,C72&lt;=1600,C16&gt;3.5,C16&lt;=6.3,C33=3),14,IF(AND(C72&gt;800,C72&lt;=1600,C16&gt;6.3,C16&lt;=10,C33=3),16,C140))))))</f>
        <v>45</v>
      </c>
      <c r="D139" s="320"/>
      <c r="E139" s="269"/>
      <c r="F139" s="267"/>
      <c r="G139" s="337"/>
      <c r="H139" s="259"/>
      <c r="I139" s="723"/>
      <c r="J139" s="727"/>
      <c r="K139" s="309"/>
      <c r="L139" s="261"/>
    </row>
    <row r="140" spans="1:12" hidden="1">
      <c r="A140" s="249"/>
      <c r="B140" s="282"/>
      <c r="C140" s="337">
        <f>IF(AND(C72&lt;=125,C16&gt;=1,C16&lt;=3.5,C33=4),10,IF(AND(C72&lt;=125,C16&gt;3.5,C16&lt;=6.3,C33=4),11,IF(AND(C72&lt;=125,C16&gt;6.3,C16&lt;=10,C33=4),13,IF(AND(C72&gt;125,C72&lt;=400,C16&gt;=1,C16&lt;=3.5,C33=4),15,IF(AND(C72&gt;125,C72&lt;=400,C16&gt;3.5,C16&lt;=6.3,C33=4),16,IF(AND(C72&gt;125,C72&lt;=400,C16&gt;6.3,C16&lt;=10,C33=4),18,C141))))))</f>
        <v>45</v>
      </c>
      <c r="D140" s="320"/>
      <c r="E140" s="269"/>
      <c r="F140" s="267"/>
      <c r="G140" s="337">
        <f>IF(AND(G16&gt;=1,G16&lt;=3.5,G33=4),7,IF(AND(G16&gt;3.5,G16&lt;=6.3,G33=4),13,IF(AND(G16&gt;6.3,G16&lt;=10,G33=4),15,G142)))</f>
        <v>45</v>
      </c>
      <c r="H140" s="259"/>
      <c r="I140" s="723"/>
      <c r="J140" s="727"/>
      <c r="K140" s="309"/>
      <c r="L140" s="261"/>
    </row>
    <row r="141" spans="1:12" hidden="1">
      <c r="A141" s="249"/>
      <c r="B141" s="282"/>
      <c r="C141" s="337">
        <f>IF(AND(C72&gt;400,C72&lt;=800,C16&gt;=1,C16&lt;=3.5,C33=4),18,IF(AND(C72&gt;400,C72&lt;=800,C16&gt;3.5,C16&lt;=6.3,C33=4),20,IF(AND(C72&gt;400,C72&lt;=800,C16&gt;6.3,C16&lt;=10,C33=4),22,IF(AND(C72&gt;800,C72&lt;=1600,C16&gt;=1,C16&lt;=3.5,C33=4),20,IF(AND(C72&gt;800,C72&lt;=1600,C16&gt;3.5,C16&lt;=6.3,C33=4),22,IF(AND(C72&gt;800,C72&lt;=1600,C16&gt;6.3,C16&lt;=10,C33=4),25,C142))))))</f>
        <v>45</v>
      </c>
      <c r="D141" s="320"/>
      <c r="E141" s="269"/>
      <c r="F141" s="267"/>
      <c r="G141" s="337"/>
      <c r="H141" s="259"/>
      <c r="I141" s="723"/>
      <c r="J141" s="727"/>
      <c r="K141" s="309"/>
      <c r="L141" s="261"/>
    </row>
    <row r="142" spans="1:12" hidden="1">
      <c r="A142" s="249"/>
      <c r="B142" s="282"/>
      <c r="C142" s="337">
        <f>IF(AND(C72&lt;=125,C16&gt;=1,C16&lt;=3.5,C33=5),16,IF(AND(C72&lt;=125,C16&gt;3.5,C16&lt;=6.3,C33=5),18,IF(AND(C72&lt;=125,C16&gt;6.3,C16&lt;=10,C33=5),20,IF(AND(C72&gt;125,C72&lt;=400,C16&gt;=1,C16&lt;=3.5,C33=5),22,IF(AND(C72&gt;125,C72&lt;=400,C16&gt;3.5,C16&lt;=6.3,C33=5),25,IF(AND(C72&gt;125,C72&lt;=400,C16&gt;6.3,C16&lt;=10,C33=5),28,C143))))))</f>
        <v>45</v>
      </c>
      <c r="D142" s="320"/>
      <c r="E142" s="269"/>
      <c r="F142" s="267"/>
      <c r="G142" s="337">
        <f>IF(AND(G16&gt;=1,G16&lt;=3.5,G33=5),14,IF(AND(G16&gt;3.5,G16&lt;=6.3,G33=5),21,IF(AND(G16&gt;6.3,G16&lt;=10,G33=5),24,G144)))</f>
        <v>45</v>
      </c>
      <c r="H142" s="259"/>
      <c r="I142" s="723"/>
      <c r="J142" s="727"/>
      <c r="K142" s="309"/>
      <c r="L142" s="261"/>
    </row>
    <row r="143" spans="1:12" hidden="1">
      <c r="A143" s="249"/>
      <c r="B143" s="282"/>
      <c r="C143" s="337">
        <f>IF(AND(C72&gt;400,C72&lt;=800,C16&gt;=1,C16&lt;=3.5,C33=5),28,IF(AND(C72&gt;400,C72&lt;=800,C16&gt;3.5,C16&lt;=6.3,C33=5),32,IF(AND(C72&gt;400,C72&lt;=800,C16&gt;6.3,C16&lt;=10,C33=5),36,IF(AND(C72&gt;800,C72&lt;=1600,C16&gt;=1,C16&lt;=3.5,C33=5),32,IF(AND(C72&gt;800,C72&lt;=1600,C16&gt;3.5,C16&lt;=6.3,C33=5),36,IF(AND(C72&gt;800,C72&lt;=1600,C16&gt;6.5,C16&lt;=10,C33=5),40,C144))))))</f>
        <v>45</v>
      </c>
      <c r="D143" s="320"/>
      <c r="E143" s="269"/>
      <c r="F143" s="267"/>
      <c r="G143" s="337"/>
      <c r="H143" s="259"/>
      <c r="I143" s="723"/>
      <c r="J143" s="727"/>
      <c r="K143" s="309"/>
      <c r="L143" s="261"/>
    </row>
    <row r="144" spans="1:12" hidden="1">
      <c r="A144" s="249"/>
      <c r="B144" s="282"/>
      <c r="C144" s="337">
        <f>IF(AND(C72&lt;=125,C16&gt;=1,C16&lt;=3.5,C33=6),25,IF(AND(C72&lt;=125,C16&gt;3.5,C16&lt;=6.3,C33=6),28,IF(AND(C72&lt;=125,C16&gt;6.3,C16&lt;=10,C33=6),32,IF(AND(C72&gt;125,C72&lt;=400,C16&gt;=1,C16&lt;=3.5,C33=6),36,IF(AND(C72&gt;125,C72&lt;=400,C16&gt;3.5,C16&lt;=6.3,C33=6),40,IF(AND(C72&gt;125,C72&lt;=400,C16&gt;6.3,C16&lt;=10,C33=6),45,C145))))))</f>
        <v>45</v>
      </c>
      <c r="D144" s="320"/>
      <c r="E144" s="269"/>
      <c r="F144" s="267"/>
      <c r="G144" s="337">
        <f>IF(AND(G16&gt;=1,G16&lt;=3.5,G33=6),24,IF(AND(G16&gt;3.5,G16&lt;=6.3,G33=6),34,IF(AND(G16&gt;6.3,G16&lt;=10,G33=6),38,G146)))</f>
        <v>45</v>
      </c>
      <c r="H144" s="259"/>
      <c r="I144" s="723"/>
      <c r="J144" s="727"/>
      <c r="K144" s="309"/>
      <c r="L144" s="261"/>
    </row>
    <row r="145" spans="1:12" hidden="1">
      <c r="A145" s="249"/>
      <c r="B145" s="282"/>
      <c r="C145" s="337">
        <f>IF(AND(C72&gt;400,C72&lt;=800,C16&gt;=1,C16&lt;=3.5,C33=6),45,IF(AND(C72&gt;400,C72&lt;=800,C16&gt;3.5,C16&lt;=6.3,C33=6),50,IF(AND(C72&gt;400,C72&lt;=800,C16&gt;6.3,C16&lt;=10,C33=6),56,IF(AND(C72&gt;800,C72&lt;=1600,C16&gt;=1,C16&lt;=3.5,C33=6),50,IF(AND(C72&gt;800,C72&lt;=1600,C16&gt;3.5,C16&lt;=6.3,C33=6),56,IF(AND(C72&gt;800,C72&lt;=1600,C16&gt;6.3,C16&lt;=10,C33=6),63,C146))))))</f>
        <v>45</v>
      </c>
      <c r="D145" s="320"/>
      <c r="E145" s="269"/>
      <c r="F145" s="267"/>
      <c r="G145" s="337"/>
      <c r="H145" s="259"/>
      <c r="I145" s="723"/>
      <c r="J145" s="727"/>
      <c r="K145" s="309"/>
      <c r="L145" s="261"/>
    </row>
    <row r="146" spans="1:12" hidden="1">
      <c r="A146" s="249"/>
      <c r="B146" s="282"/>
      <c r="C146" s="337">
        <f>IF(AND(C72&lt;=125,C16&gt;=1,C16&lt;=3.5,C33=7),36,IF(AND(C72&lt;=125,C16&gt;3.5,C16&lt;=6.3,C33=7),40,IF(AND(C72&lt;=125,C16&gt;6.3,C16&lt;=10,C33=7),45,IF(AND(C72&gt;125,C72&lt;=400,C16&gt;=1,C16&lt;=3.5,C33=7),50,IF(AND(C72&gt;125,C72&lt;=400,C16&gt;3.5,C16&lt;=6.3,C33=7),56,IF(AND(C72&gt;125,C72&lt;=400,C16&gt;6.3,C16&lt;=10,C33=7),63,C147))))))</f>
        <v>45</v>
      </c>
      <c r="D146" s="320"/>
      <c r="E146" s="269"/>
      <c r="F146" s="267"/>
      <c r="G146" s="337">
        <f>IF(AND(G16&gt;=1,G16&lt;=3.5,G33=7),32,IF(AND(G16&gt;3.5,G16&lt;=6.3,G33=7),45,IF(AND(G16&gt;6.3,G16&lt;=10,G33=7),55,G148)))</f>
        <v>45</v>
      </c>
      <c r="H146" s="259"/>
      <c r="I146" s="723"/>
      <c r="J146" s="727"/>
      <c r="K146" s="309"/>
      <c r="L146" s="261"/>
    </row>
    <row r="147" spans="1:12" hidden="1">
      <c r="A147" s="249"/>
      <c r="B147" s="282"/>
      <c r="C147" s="337">
        <f>IF(AND(C72&gt;400,C72&lt;=800,C16&gt;=1,C16&lt;=3.5,C33=7),63,IF(AND(C72&gt;400,C72&lt;=800,C16&gt;3.5,C16&lt;=6.3,C33=7),71,IF(AND(C72&gt;400,C72&lt;=800,C16&gt;6.3,C16&lt;=10,C33=7),80,IF(AND(C72&gt;800,C72&lt;=1600,C16&gt;=1,C16&lt;=3.5,C33=7),71,IF(AND(C72&gt;800,C72&lt;=1600,C16&gt;3.5,C16&lt;=6.3,C33=7),80,IF(AND(C72&gt;800,C72&lt;=1600,C16&gt;6.3,C16&lt;=10,C33=7),90,C148))))))</f>
        <v>45</v>
      </c>
      <c r="D147" s="320"/>
      <c r="E147" s="269"/>
      <c r="F147" s="267"/>
      <c r="G147" s="337"/>
      <c r="H147" s="259"/>
      <c r="I147" s="723"/>
      <c r="J147" s="727"/>
      <c r="K147" s="309"/>
      <c r="L147" s="261"/>
    </row>
    <row r="148" spans="1:12" hidden="1">
      <c r="A148" s="249"/>
      <c r="B148" s="282"/>
      <c r="C148" s="337">
        <f>IF(AND(C72&lt;=125,C16&gt;=1,C16&lt;=3.5,C33=8),45,IF(AND(C72&lt;=125,C16&gt;3.5,C16&lt;=6.3,C33=8),50,IF(AND(C72&lt;=125,C16&gt;6.3,C16&lt;=10,C33=8),56,IF(AND(C72&gt;125,C72&lt;=400,C16&gt;=1,C16&lt;=3.5,C33=8),63,IF(AND(C72&gt;125,C72&lt;=400,C16&gt;3.5,C16&lt;=6.3,C33=8),71,IF(AND(C72&gt;125,C72&lt;=400,C16&gt;6.3,C16&lt;=10,C33=8),80,C149))))))</f>
        <v>45</v>
      </c>
      <c r="D148" s="320"/>
      <c r="E148" s="269"/>
      <c r="F148" s="267"/>
      <c r="G148" s="337">
        <f>IF(AND(G16&gt;=1,G16&lt;=3.5,G33=8),45,IF(AND(G16&gt;3.5,G16&lt;=6.3,G33=8),65,IF(AND(G16&gt;6.3,G16&lt;=10,G33=8),75,"*")))</f>
        <v>45</v>
      </c>
      <c r="H148" s="259"/>
      <c r="I148" s="723"/>
      <c r="J148" s="727"/>
      <c r="K148" s="309"/>
      <c r="L148" s="261"/>
    </row>
    <row r="149" spans="1:12" hidden="1">
      <c r="A149" s="249"/>
      <c r="B149" s="282"/>
      <c r="C149" s="337" t="str">
        <f>IF(AND(C72&gt;400,C72&lt;=800,C16&gt;=1,C16&lt;=3.5,C33=8),80,IF(AND(C72&gt;400,C72&lt;=800,C16&gt;3.5,C16&lt;=6.3,C33=8),90,IF(AND(C72&gt;400,C72&lt;=800,C16&gt;6.3,C16&lt;=10,C33=8),100,IF(AND(C72&gt;800,C72&lt;=1600,C16&gt;=1,C16&lt;=3.5,C33=8),90,IF(AND(C72&gt;800,C72&lt;=1600,C16&gt;3.5,C16&lt;=6.3,C33=8),100,IF(AND(C72&gt;800,C72&lt;=1600,C16&gt;6.3,C16&lt;=10,C33=8),112,"*"))))))</f>
        <v>*</v>
      </c>
      <c r="D149" s="320"/>
      <c r="E149" s="269"/>
      <c r="F149" s="267"/>
      <c r="G149" s="337"/>
      <c r="H149" s="259"/>
      <c r="I149" s="723"/>
      <c r="J149" s="727"/>
      <c r="K149" s="309"/>
      <c r="L149" s="261"/>
    </row>
    <row r="150" spans="1:12" hidden="1">
      <c r="A150" s="352" t="s">
        <v>9052</v>
      </c>
      <c r="B150" s="268" t="s">
        <v>9053</v>
      </c>
      <c r="C150" s="282">
        <f>IF(AND(C72&lt;=125,C33=3),5,IF(AND(C72&lt;=125,C33=4),8,IF(AND(C72&lt;=125,C33=5),12,IF(AND(C72&lt;=125,C33=6),20,IF(AND(C72&lt;=125,C33=7),28,IF(AND(C72&lt;=125,C33=8),40,C151))))))</f>
        <v>40</v>
      </c>
      <c r="D150" s="320"/>
      <c r="E150" s="269"/>
      <c r="F150" s="293"/>
      <c r="G150" s="282"/>
      <c r="H150" s="259"/>
      <c r="I150" s="723"/>
      <c r="J150" s="727"/>
      <c r="K150" s="309"/>
      <c r="L150" s="261"/>
    </row>
    <row r="151" spans="1:12" hidden="1">
      <c r="A151" s="249"/>
      <c r="B151" s="282"/>
      <c r="C151" s="337" t="str">
        <f>IF(AND(C72&gt;125,C72&lt;=400,C33=3),6.5,IF(AND(C72&gt;125,C72&lt;=400,C33=4),10,IF(AND(C72&gt;125,C72&lt;=400,C33=5),16,IF(AND(C72&gt;125,C72&lt;=400,C33=6),25,IF(AND(C72&gt;125,C72&lt;=400,C33=7),36,IF(AND(C72&gt;125,C72&lt;=400,C33=8),50,C152))))))</f>
        <v>*</v>
      </c>
      <c r="D151" s="320"/>
      <c r="E151" s="269"/>
      <c r="F151" s="267"/>
      <c r="G151" s="337"/>
      <c r="H151" s="259"/>
      <c r="I151" s="723"/>
      <c r="J151" s="727"/>
      <c r="K151" s="309"/>
      <c r="L151" s="261"/>
    </row>
    <row r="152" spans="1:12" hidden="1">
      <c r="A152" s="249"/>
      <c r="B152" s="282"/>
      <c r="C152" s="337" t="str">
        <f>IF(AND(C72&gt;400,C72&lt;=800,C33=3),8,IF(AND(C72&gt;400,C72&lt;=800,C33=4),12,IF(AND(C72&gt;400,C72&lt;=800,C33=5),20,IF(AND(C72&gt;400,C72&lt;=800,C33=6),32,IF(AND(C72&gt;400,C72&lt;=800,C33=7),45,IF(AND(C72&gt;400,C72&lt;=800,C33=8),63,C153))))))</f>
        <v>*</v>
      </c>
      <c r="D152" s="320"/>
      <c r="E152" s="269"/>
      <c r="F152" s="267"/>
      <c r="G152" s="337"/>
      <c r="H152" s="259"/>
      <c r="I152" s="723"/>
      <c r="J152" s="727"/>
      <c r="K152" s="309"/>
      <c r="L152" s="261"/>
    </row>
    <row r="153" spans="1:12" hidden="1">
      <c r="A153" s="249"/>
      <c r="B153" s="282"/>
      <c r="C153" s="337" t="str">
        <f>IF(AND(C72&gt;800,C72&lt;=1600,C33=3),10,IF(AND(C72&gt;800,C72&lt;=1600,C33=4),16,IF(AND(C72&gt;800,C72&lt;=1600,C33=5),25,IF(AND(C72&gt;800,C72&lt;=1600,C33=6),40,IF(AND(C72&gt;800,C72&lt;=1600,C33=7),56,IF(AND(C72&gt;800,C72&lt;=1600,C33=8),80,"*"))))))</f>
        <v>*</v>
      </c>
      <c r="D153" s="320"/>
      <c r="E153" s="269"/>
      <c r="F153" s="267"/>
      <c r="G153" s="337"/>
      <c r="H153" s="259"/>
      <c r="I153" s="723"/>
      <c r="J153" s="727"/>
      <c r="K153" s="309"/>
      <c r="L153" s="261"/>
    </row>
    <row r="154" spans="1:12" hidden="1">
      <c r="A154" s="249" t="s">
        <v>9054</v>
      </c>
      <c r="B154" s="293" t="s">
        <v>9055</v>
      </c>
      <c r="C154" s="282">
        <f>IF(AND(C72&lt;=125,C16&gt;=1,C16&lt;=3.5,C34=3),2.5,IF(AND(C72&lt;=125,C16&gt;3.5,C16&lt;=6.3,C34=3),3.2,IF(AND(C72&lt;=125,C16&gt;6.3,C16&lt;=10,C34=3),3.6,IF(AND(C72&gt;125,C72&lt;=400,C16&gt;=1,C16&lt;=3.5,C34=3),2.8,IF(AND(C72&gt;125,C72&lt;=400,C16&gt;3.5,C16&lt;=6.3,C34=3),3.6,IF(AND(C72&gt;125,C72&lt;=400,C16&gt;6.3,C16&lt;=10,C34=3),4,C155))))))</f>
        <v>14</v>
      </c>
      <c r="D154" s="320"/>
      <c r="E154" s="282"/>
      <c r="F154" s="293" t="s">
        <v>9056</v>
      </c>
      <c r="G154" s="282">
        <f>IF(AND(G16&gt;=1,G16&lt;=3.5,G33=3),2.5,IF(AND(G16&gt;3.5,G16&lt;=6.3,G33=3),3.6,IF(AND(G16&gt;6.3,G16&lt;=10,G33=3),4,G156)))</f>
        <v>20</v>
      </c>
      <c r="H154" s="259"/>
      <c r="I154" s="723"/>
      <c r="J154" s="727"/>
      <c r="K154" s="309"/>
      <c r="L154" s="261"/>
    </row>
    <row r="155" spans="1:12" hidden="1">
      <c r="A155" s="249"/>
      <c r="B155" s="293"/>
      <c r="C155" s="337">
        <f>IF(AND(C72&gt;400,C72&lt;=800,C16&gt;=1,C16&lt;=3.5,C34=3),3.2,IF(AND(C72&gt;400,C72&lt;=800,C16&gt;3.5,C16&lt;=6.3,C34=3),3.6,IF(AND(C72&gt;400,C72&lt;=800,C16&gt;6.3,C16&lt;=10,C34=3),4.5,IF(AND(C72&gt;800,C72&lt;=1600,C16&gt;=1,C16&lt;=3.5,C34=3),3.6,IF(AND(C72&gt;800,C72&lt;=1600,C16&gt;3.5,C16&lt;=6.3,C34=3),4,IF(AND(C72&gt;800,C72&lt;=1600,C16&gt;6.3,C16&lt;=10,C34=3),4.5,C156))))))</f>
        <v>14</v>
      </c>
      <c r="D155" s="725"/>
      <c r="E155" s="337"/>
      <c r="F155" s="726"/>
      <c r="G155" s="337"/>
      <c r="H155" s="259"/>
      <c r="I155" s="723"/>
      <c r="J155" s="727"/>
      <c r="K155" s="309"/>
      <c r="L155" s="261"/>
    </row>
    <row r="156" spans="1:12" hidden="1">
      <c r="A156" s="249"/>
      <c r="B156" s="293"/>
      <c r="C156" s="337">
        <f>IF(AND(C72&lt;=125,C16&gt;=1,C16&lt;=3.5,C34=4),4,IF(AND(C72&lt;=125,C16&gt;3.5,C16&lt;=6.3,C34=4),5,IF(AND(C72&lt;=125,C16&gt;6.3,C16&lt;=10,C34=4),5.5,IF(AND(C72&gt;125,C72&lt;=400,C16&gt;=1,C16&lt;=3.5,C34=4),4.5,IF(AND(C72&gt;125,C72&lt;=400,C16&gt;3.5,C16&lt;=6.3,C34=4),5.5,IF(AND(C72&gt;125,C72&lt;=400,C16&gt;6.3,C16&lt;=10,C34=4),6,C157))))))</f>
        <v>14</v>
      </c>
      <c r="D156" s="725"/>
      <c r="E156" s="337"/>
      <c r="F156" s="726"/>
      <c r="G156" s="337">
        <f>IF(AND(G16&gt;=1,G16&lt;=3.5,G33=4),4,IF(AND(G16&gt;3.5,G16&lt;=6.3,G33=4),5.5,IF(AND(G16&gt;6.3,G16&lt;=10,G33=4),6,G158)))</f>
        <v>20</v>
      </c>
      <c r="H156" s="259"/>
      <c r="I156" s="723"/>
      <c r="J156" s="727"/>
      <c r="K156" s="309"/>
      <c r="L156" s="261"/>
    </row>
    <row r="157" spans="1:12" hidden="1">
      <c r="A157" s="249"/>
      <c r="B157" s="293"/>
      <c r="C157" s="337">
        <f>IF(AND(C72&gt;400,C72&lt;=800,C16&gt;=1,C16&lt;=3.5,C34=4),5,IF(AND(C72&gt;400,C72&lt;=800,C16&gt;3.5,C16&lt;=6.3,C34=4),5.5,IF(AND(C72&gt;400,C72&lt;=800,C16&gt;6.3,C16&lt;=10,C34=4),7,IF(AND(C72&gt;800,C72&lt;=1600,C16&gt;=1,C16&lt;=3.5,C34=4),5.5,IF(AND(C72&gt;800,C72&lt;=1600,C16&gt;3.5,C16&lt;=6.3,C34=4),6,IF(AND(C72&gt;800,C72&lt;=1600,C16&gt;6.3,C16&lt;=10,C34=4),7,C158))))))</f>
        <v>14</v>
      </c>
      <c r="D157" s="725"/>
      <c r="E157" s="337"/>
      <c r="F157" s="726"/>
      <c r="G157" s="337"/>
      <c r="H157" s="259"/>
      <c r="I157" s="723"/>
      <c r="J157" s="727"/>
      <c r="K157" s="309"/>
      <c r="L157" s="261"/>
    </row>
    <row r="158" spans="1:12" hidden="1">
      <c r="A158" s="249"/>
      <c r="B158" s="282"/>
      <c r="C158" s="337">
        <f>IF(AND(C72&lt;=125,C16&gt;=1,C16&lt;=3.5,C34=5),6,IF(AND(C72&lt;=125,C16&gt;3.5,C16&lt;=6.3,C34=5),8,IF(AND(C72&lt;=125,C16&gt;6.3,C16&lt;=10,C34=5),9,IF(AND(C72&gt;125,C72&lt;=400,C16&gt;=1,C16&lt;=3.5,C34=5),7,IF(AND(C72&gt;125,C72&lt;=400,C16&gt;3.5,C16&lt;=6.3,C34=5),9,IF(AND(C72&gt;125,C72&lt;=400,C16&gt;6.3,C16&lt;=10,C34=5),10,C159))))))</f>
        <v>14</v>
      </c>
      <c r="D158" s="320"/>
      <c r="E158" s="269"/>
      <c r="F158" s="267"/>
      <c r="G158" s="337">
        <f>IF(AND(G16&gt;=1,G16&lt;=3.5,G33=5),6,IF(AND(G16&gt;3.5,G16&lt;=6.3,G33=5),9,IF(AND(G16&gt;6.3,G16&lt;=10,G33=5),10,G160)))</f>
        <v>20</v>
      </c>
      <c r="H158" s="259"/>
      <c r="I158" s="723"/>
      <c r="J158" s="727"/>
      <c r="K158" s="309"/>
      <c r="L158" s="261"/>
    </row>
    <row r="159" spans="1:12" hidden="1">
      <c r="A159" s="249"/>
      <c r="B159" s="293"/>
      <c r="C159" s="337">
        <f>IF(AND(C72&gt;400,C72&lt;=800,C16&gt;=1,C16&lt;=3.5,C34=5),8,IF(AND(C72&gt;400,C72&lt;=800,C16&gt;3.5,C16&lt;=6.3,C34=5),9,IF(AND(C72&gt;400,C72&lt;=800,C16&gt;6.3,C16&lt;=10,C34=5),11,IF(AND(C72&gt;800,C72&lt;=1600,C16&gt;=1,C16&lt;=3.5,C34=5),9,IF(AND(C72&gt;800,C72&lt;=1600,C16&gt;3.5,C16&lt;=6.3,C34=5),10,IF(AND(C72&gt;800,C72&lt;=1600,C16&gt;6.3,C16&lt;=10,C34=5),11,C160))))))</f>
        <v>14</v>
      </c>
      <c r="D159" s="320"/>
      <c r="E159" s="269"/>
      <c r="F159" s="293"/>
      <c r="G159" s="337"/>
      <c r="H159" s="259"/>
      <c r="I159" s="723"/>
      <c r="J159" s="727"/>
      <c r="K159" s="309"/>
      <c r="L159" s="261"/>
    </row>
    <row r="160" spans="1:12" hidden="1">
      <c r="A160" s="249"/>
      <c r="B160" s="293"/>
      <c r="C160" s="337">
        <f>IF(AND(C72&lt;=125,C16&gt;=1,C16&lt;=3.5,C34=6),10,IF(AND(C72&lt;=125,C16&gt;3.5,C16&lt;=6.3,C34=6),13,IF(AND(C72&lt;=125,C16&gt;6.3,C16&lt;=10,C34=6),14,IF(AND(C72&gt;125,C72&lt;=400,C16&gt;=1,C16&lt;=3.5,C34=6),11,IF(AND(C72&gt;125,C72&lt;=400,C16&gt;3.5,C16&lt;=6.3,C34=6),14,IF(AND(C72&gt;125,C72&lt;=400,C16&gt;6.3,C16&lt;=10,C34=6),16,C161))))))</f>
        <v>14</v>
      </c>
      <c r="D160" s="320"/>
      <c r="E160" s="269"/>
      <c r="F160" s="293"/>
      <c r="G160" s="337">
        <f>IF(AND(G16&gt;=1,G16&lt;=3.5,G33=6),10,IF(AND(G16&gt;3.5,G16&lt;=6.3,G33=6),14,IF(AND(G16&gt;6.3,G16&lt;=10,G33=6),16,G162)))</f>
        <v>20</v>
      </c>
      <c r="H160" s="259"/>
      <c r="I160" s="723"/>
      <c r="J160" s="727"/>
      <c r="K160" s="309"/>
      <c r="L160" s="261"/>
    </row>
    <row r="161" spans="1:12" hidden="1">
      <c r="A161" s="249"/>
      <c r="B161" s="293"/>
      <c r="C161" s="337">
        <f>IF(AND(C72&gt;400,C72&lt;=800,C16&gt;=1,C16&lt;=3.5,C34=6),13,IF(AND(C72&gt;400,C72&lt;=800,C16&gt;3.5,C16&lt;=6.3,C34=6),14,IF(AND(C72&gt;400,C72&lt;=800,C16&gt;6.3,C16&lt;=10,C34=6),18,IF(AND(C72&gt;800,C72&lt;=1600,C16&gt;=1,C16&lt;=3.5,C34=6),14,IF(AND(C72&gt;800,C72&lt;=1600,C16&gt;3.5,C16&lt;=6.3,C34=6),16,IF(AND(C72&gt;800,C72&lt;=1600,C16&gt;6.3,C16&lt;=10,C34=6),18,C162))))))</f>
        <v>14</v>
      </c>
      <c r="D161" s="320"/>
      <c r="E161" s="269"/>
      <c r="F161" s="293"/>
      <c r="G161" s="337"/>
      <c r="H161" s="259"/>
      <c r="I161" s="723"/>
      <c r="J161" s="727"/>
      <c r="K161" s="309"/>
      <c r="L161" s="261"/>
    </row>
    <row r="162" spans="1:12" hidden="1">
      <c r="A162" s="249"/>
      <c r="B162" s="293"/>
      <c r="C162" s="337">
        <f>IF(AND(C72&lt;=125,C16&gt;=1,C16&lt;=3.5,C34=7),14,IF(AND(C72&lt;=125,C16&gt;3.5,C16&lt;=6.3,C34=7),18,IF(AND(C72&lt;=125,C16&gt;6.3,C16&lt;=10,C34=7),20,IF(AND(C72&gt;125,C72&lt;=400,C16&gt;=1,C16&lt;=3.5,C34=7),16,IF(AND(C72&gt;125,C72&lt;=400,C16&gt;3.5,C16&lt;=6.3,C34=7),20,IF(AND(C72&gt;125,C72&lt;=400,C16&gt;6.3,C16&lt;=10,C34=7),22,C163))))))</f>
        <v>14</v>
      </c>
      <c r="D162" s="320"/>
      <c r="E162" s="269"/>
      <c r="F162" s="293"/>
      <c r="G162" s="337">
        <f>IF(AND(G16&gt;=1,G16&lt;=3.5,G33=7),14,IF(AND(G16&gt;3.5,G16&lt;=6.3,G33=7),20,IF(AND(G16&gt;6.3,G16&lt;=10,G33=7),22,G164)))</f>
        <v>20</v>
      </c>
      <c r="H162" s="259"/>
      <c r="I162" s="723"/>
      <c r="J162" s="727"/>
      <c r="K162" s="309"/>
      <c r="L162" s="261"/>
    </row>
    <row r="163" spans="1:12" hidden="1">
      <c r="A163" s="249"/>
      <c r="B163" s="293"/>
      <c r="C163" s="337" t="str">
        <f>IF(AND(C72&gt;400,C72&lt;=800,C16&gt;=1,C16&lt;=3.5,C34=7),18,IF(AND(C72&gt;400,C72&lt;=800,C16&gt;3.5,C16&lt;=6.3,C34=7),20,IF(AND(C72&gt;400,C72&lt;=800,C16&gt;6.3,C16&lt;=10,C34=7),25,IF(AND(C72&gt;800,C72&lt;=1600,C16&gt;=1,C16&lt;=3.5,C34=7),20,IF(AND(C72&gt;800,C72&lt;=1600,C16&gt;3.5,C16&lt;=6.3,C34=7),22,IF(AND(C72&gt;800,C72&lt;=1600,C16&gt;6.3,C16&lt;=10,C34=7),25,C164))))))</f>
        <v>*</v>
      </c>
      <c r="D163" s="320"/>
      <c r="E163" s="269"/>
      <c r="F163" s="293"/>
      <c r="G163" s="337"/>
      <c r="H163" s="259"/>
      <c r="I163" s="723"/>
      <c r="J163" s="727"/>
      <c r="K163" s="309"/>
      <c r="L163" s="261"/>
    </row>
    <row r="164" spans="1:12" hidden="1">
      <c r="A164" s="249"/>
      <c r="B164" s="293"/>
      <c r="C164" s="337" t="str">
        <f>IF(AND(C72&lt;=125,C16&gt;=1,C16&lt;=3.5,C34=8),20,IF(AND(C72&lt;=125,C16&gt;3.5,C16&lt;=6.3,C34=8),25,IF(AND(C72&lt;=125,C16&gt;6.3,C16&lt;=10,C34=8),28,IF(AND(C72&gt;125,C72&lt;=400,C16&gt;=1,C16&lt;=3.5,C34=8),22,IF(AND(C72&gt;125,C72&lt;=400,C16&gt;3.5,C16&lt;=6.3,C34=8),28,IF(AND(C72&gt;125,C72&lt;=400,C16&gt;6.3,C16&lt;=10,C34=8),32,C165))))))</f>
        <v>*</v>
      </c>
      <c r="D164" s="320"/>
      <c r="E164" s="269"/>
      <c r="F164" s="293"/>
      <c r="G164" s="337">
        <f>IF(AND(G16&gt;=1,G16&lt;=3.5,G33=8),20,IF(AND(G16&gt;3.5,G16&lt;=6.3,G33=8),28,IF(AND(G16&gt;6.3,G16&lt;=10,G33=8),32,"*")))</f>
        <v>20</v>
      </c>
      <c r="H164" s="259"/>
      <c r="I164" s="723"/>
      <c r="J164" s="727"/>
      <c r="K164" s="309"/>
      <c r="L164" s="261"/>
    </row>
    <row r="165" spans="1:12" hidden="1">
      <c r="A165" s="249"/>
      <c r="B165" s="293"/>
      <c r="C165" s="337" t="str">
        <f>IF(AND(C72&gt;400,C72&lt;=800,C16&gt;=1,C16&lt;=3.5,C34=8),25,IF(AND(C72&gt;400,C72&lt;=800,C16&gt;3.5,C16&lt;=6.3,C34=8),28,IF(AND(C72&gt;400,C72&lt;=800,C16&gt;6.3,C16&lt;=10,C34=8),36,IF(AND(C72&gt;800,C72&lt;=1600,C16&gt;=1,C16&lt;=3.5,C34=8),28,IF(AND(C72&gt;800,C72&lt;=1600,C16&gt;3.5,C16&lt;=6.3,C34=8),32,IF(AND(C72&gt;800,C72&lt;=1600,C16&gt;6.3,C16&lt;=10,C34=8),36,"*"))))))</f>
        <v>*</v>
      </c>
      <c r="D165" s="320"/>
      <c r="E165" s="269"/>
      <c r="F165" s="293"/>
      <c r="G165" s="337"/>
      <c r="H165" s="259"/>
      <c r="I165" s="723"/>
      <c r="J165" s="727"/>
      <c r="K165" s="309"/>
      <c r="L165" s="261"/>
    </row>
    <row r="166" spans="1:12" hidden="1">
      <c r="A166" s="249" t="s">
        <v>9057</v>
      </c>
      <c r="B166" s="293" t="s">
        <v>9058</v>
      </c>
      <c r="C166" s="282">
        <f>IF(AND(C72&lt;=125,C16&gt;=1,C16&lt;=3.5,C34=3),2.4,IF(AND(C72&lt;=125,C16&gt;3.5,C16&lt;=6.3,C34=3),3,IF(AND(C72&lt;=125,C16&gt;6.3,C16&lt;=10,C34=3),3.2,IF(AND(C72&gt;125,C72&lt;=400,C16&gt;=1,C16&lt;=3.5,C34=3),2.4,IF(AND(C72&gt;125,C72&lt;=400,C16&gt;3.5,C16&lt;=6.3,C34=3),3.2,IF(AND(C72&gt;125,C72&lt;=400,C16&gt;6.3,C16&lt;=10,C34=3),3.6,C167))))))</f>
        <v>13</v>
      </c>
      <c r="D166" s="282"/>
      <c r="E166" s="269"/>
      <c r="F166" s="293"/>
      <c r="G166" s="282"/>
      <c r="H166" s="259"/>
      <c r="I166" s="723"/>
      <c r="J166" s="727"/>
      <c r="K166" s="309"/>
      <c r="L166" s="261"/>
    </row>
    <row r="167" spans="1:12" hidden="1">
      <c r="A167" s="249"/>
      <c r="B167" s="293"/>
      <c r="C167" s="337">
        <f>IF(AND(C72&gt;400,C72&lt;=800,C16&gt;=1,C16&lt;=3.5,C34=3),3,IF(AND(C72&gt;400,C72&lt;=800,C16&gt;3.5,C16&lt;=6.3,C34=3),3.2,IF(AND(C72&gt;400,C72&lt;=800,C16&gt;6.3,C16&lt;=10,C34=3),4.2,IF(AND(C72&gt;800,C72&lt;=1600,C16&gt;=1,C16&lt;=3.5,C34=3),3.2,IF(AND(C72&gt;800,C72&lt;=1600,C16&gt;3.5,C16&lt;=6.3,C34=3),3.6,IF(AND(C72&gt;800,C72&lt;=1600,C16&gt;6.3,C16&lt;=10,C34=3),4.2,C168))))))</f>
        <v>13</v>
      </c>
      <c r="D167" s="282"/>
      <c r="E167" s="269"/>
      <c r="F167" s="293"/>
      <c r="G167" s="337"/>
      <c r="H167" s="259"/>
      <c r="I167" s="723"/>
      <c r="J167" s="727"/>
      <c r="K167" s="309"/>
      <c r="L167" s="261"/>
    </row>
    <row r="168" spans="1:12" hidden="1">
      <c r="A168" s="249"/>
      <c r="B168" s="293"/>
      <c r="C168" s="337">
        <f>IF(AND(C72&lt;=125,C16&gt;=1,C16&lt;=3.5,C34=4),3.6,IF(AND(C72&lt;=125,C16&gt;3.5,C16&lt;=6.3,C34=4),4.5,IF(AND(C72&lt;=125,C16&gt;6.3,C16&lt;=10,C34=4),5,IF(AND(C72&gt;125,C72&lt;=400,C16&gt;=1,C16&lt;=3.5,C34=4),4.2,IF(AND(C72&gt;125,C72&lt;=400,C16&gt;3.5,C16&lt;=6.3,C34=4),5,IF(AND(C72&gt;125,C72&lt;=400,C16&gt;6.3,C16&lt;=10,C34=4),5.5,C169))))))</f>
        <v>13</v>
      </c>
      <c r="D168" s="320"/>
      <c r="E168" s="269"/>
      <c r="F168" s="293"/>
      <c r="G168" s="337"/>
      <c r="H168" s="259"/>
      <c r="I168" s="723"/>
      <c r="J168" s="727"/>
      <c r="K168" s="309"/>
      <c r="L168" s="261"/>
    </row>
    <row r="169" spans="1:12" hidden="1">
      <c r="A169" s="293" t="s">
        <v>272</v>
      </c>
      <c r="B169" s="293"/>
      <c r="C169" s="337">
        <f>IF(AND(C72&gt;400,C72&lt;=800,C16&gt;=1,C16&lt;=3.5,C34=4),4.5,IF(AND(C72&gt;400,C72&lt;=800,C16&gt;3.5,C16&lt;=6.3,C34=4),5,IF(AND(C72&gt;400,C72&lt;=800,C16&gt;6.3,C16&lt;=10,C34=4),6.5,IF(AND(C72&gt;800,C72&lt;=1600,C16&gt;=1,C16&lt;=3.5,C34=4),5,IF(AND(C72&gt;800,C72&lt;=1600,C16&gt;3.5,C16&lt;=6.3,C34=4),5.5,IF(AND(C72&gt;800,C72&lt;=1600,C16&gt;6.3,C16&lt;=10,C34=4),6.5,C170))))))</f>
        <v>13</v>
      </c>
      <c r="D169" s="320"/>
      <c r="E169" s="269"/>
      <c r="F169" s="293"/>
      <c r="G169" s="337"/>
      <c r="H169" s="259"/>
      <c r="I169" s="723"/>
      <c r="J169" s="727"/>
      <c r="K169" s="309"/>
      <c r="L169" s="261"/>
    </row>
    <row r="170" spans="1:12" hidden="1">
      <c r="A170" s="249"/>
      <c r="B170" s="293"/>
      <c r="C170" s="337">
        <f>IF(AND(C72&lt;=125,C16&gt;=1,C16&lt;=3.5,C34=5),5,IF(AND(C72&lt;=125,C16&gt;3.5,C16&lt;=6.3,C34=5),7,IF(AND(C72&lt;=125,C16&gt;6.3,C16&lt;=10,C34=5),8,IF(AND(C72&gt;125,C72&lt;=400,C16&gt;=1,C16&lt;=3.5,C34=5),6,IF(AND(C72&gt;125,C72&lt;=400,C16&gt;3.5,C16&lt;=6.3,C34=5),8,IF(AND(C72&gt;125,C72&lt;=400,C16&gt;6.3,C16&lt;=10,C34=5),9,C171))))))</f>
        <v>13</v>
      </c>
      <c r="D170" s="320"/>
      <c r="E170" s="269"/>
      <c r="F170" s="293"/>
      <c r="G170" s="337"/>
      <c r="H170" s="259"/>
      <c r="I170" s="723"/>
      <c r="J170" s="727"/>
      <c r="K170" s="309"/>
      <c r="L170" s="261"/>
    </row>
    <row r="171" spans="1:12" hidden="1">
      <c r="A171" s="249"/>
      <c r="B171" s="293"/>
      <c r="C171" s="337">
        <f>IF(AND(C72&gt;400,C72&lt;=800,C16&gt;=1,C16&lt;=3.5,C34=5),7,IF(AND(C72&gt;400,C72&lt;=800,C16&gt;3.5,C16&lt;=6.3,C34=5),8,IF(AND(C72&gt;400,C72&lt;=800,C16&gt;6.3,C16&lt;=10,C34=5),10,IF(AND(C72&gt;800,C72&lt;=1600,C16&gt;=1,C16&lt;=3.5,C34=5),8,IF(AND(C72&gt;800,C72&lt;=1600,C16&gt;3.5,C16&lt;=6.3,C34=5),9,IF(AND(C72&gt;800,C72&lt;=1600,C16&gt;6.3,C16&lt;=10,C34=5),10,C172))))))</f>
        <v>13</v>
      </c>
      <c r="D171" s="320"/>
      <c r="E171" s="269"/>
      <c r="F171" s="293"/>
      <c r="G171" s="337"/>
      <c r="H171" s="259"/>
      <c r="I171" s="723"/>
      <c r="J171" s="727"/>
      <c r="K171" s="309"/>
      <c r="L171" s="261"/>
    </row>
    <row r="172" spans="1:12" hidden="1">
      <c r="A172" s="381"/>
      <c r="B172" s="724"/>
      <c r="C172" s="337">
        <f>IF(AND(C72&lt;=125,C16&gt;=1,C16&lt;=3.5,C34=6),9,IF(AND(C72&lt;=125,C16&gt;3.5,C16&lt;=6.3,C34=6),11,IF(AND(C72&lt;=125,C16&gt;6.3,C16&lt;=10,C34=6),13,IF(AND(C72&gt;125,C72&lt;=400,C16&gt;=1,C16&lt;=3.5,C34=6),10,IF(AND(C72&gt;125,C72&lt;=400,C16&gt;3.5,C16&lt;=6.3,C34=6),13,IF(AND(C72&gt;125,C72&lt;=400,C16&gt;6.3,C16&lt;=10,C34=6),14,C173))))))</f>
        <v>13</v>
      </c>
      <c r="D172" s="320"/>
      <c r="E172" s="269"/>
      <c r="F172" s="293"/>
      <c r="G172" s="337"/>
      <c r="H172" s="259"/>
      <c r="I172" s="723"/>
      <c r="J172" s="727"/>
      <c r="K172" s="309"/>
      <c r="L172" s="261"/>
    </row>
    <row r="173" spans="1:12" hidden="1">
      <c r="A173" s="381"/>
      <c r="B173" s="724"/>
      <c r="C173" s="337">
        <f>IF(AND(C72&gt;400,C72&lt;=800,C16&gt;=1,C16&lt;=3.5,C34=6),11,IF(AND(C72&gt;400,C72&lt;=800,C16&gt;3.5,C16&lt;=6.3,C34=6),13,IF(AND(C72&gt;400,C72&lt;=800,C16&gt;6.3,C16&lt;=10,C34=6),16,IF(AND(C72&gt;800,C72&lt;=1600,C16&gt;=1,C16&lt;=3.5,C34=6),13,IF(AND(C72&gt;800,C72&lt;=1600,C16&gt;3.5,C16&lt;=6.3,C34=6),14,IF(AND(C72&gt;800,C72&lt;=1600,C16&gt;6.3,C16&lt;=10,C34=6),16,C174))))))</f>
        <v>13</v>
      </c>
      <c r="D173" s="320"/>
      <c r="E173" s="269"/>
      <c r="F173" s="293"/>
      <c r="G173" s="337"/>
      <c r="H173" s="259"/>
      <c r="I173" s="723"/>
      <c r="J173" s="727"/>
      <c r="K173" s="309"/>
      <c r="L173" s="261"/>
    </row>
    <row r="174" spans="1:12" hidden="1">
      <c r="A174" s="381"/>
      <c r="B174" s="724"/>
      <c r="C174" s="337">
        <f>IF(AND(C72&lt;=125,C16&gt;=1,C16&lt;=3.5,C34=7),13,IF(AND(C72&lt;=125,C16&gt;3.5,C16&lt;=6.3,C34=7),16,IF(AND(C72&lt;=125,C16&gt;6.3,C16&lt;=10,C34=7),18,IF(AND(C72&gt;125,C72&lt;=400,C16&gt;=1,C16&lt;=3.5,C34=7),14,IF(AND(C72&gt;125,C72&lt;=400,C16&gt;3.5,C16&lt;=6.3,C34=7),18,IF(AND(C72&gt;125,C72&lt;=400,C16&gt;6.3,C16&lt;=10,C34=7),20,C175))))))</f>
        <v>13</v>
      </c>
      <c r="D174" s="320"/>
      <c r="E174" s="269"/>
      <c r="F174" s="293"/>
      <c r="G174" s="337"/>
      <c r="H174" s="259"/>
      <c r="I174" s="723"/>
      <c r="J174" s="727"/>
      <c r="K174" s="309"/>
      <c r="L174" s="261"/>
    </row>
    <row r="175" spans="1:12" hidden="1">
      <c r="A175" s="381"/>
      <c r="B175" s="724"/>
      <c r="C175" s="337" t="str">
        <f>IF(AND(C72&gt;400,C72&lt;=800,C16&gt;=1,C16&lt;=3.5,C34=7),16,IF(AND(C72&gt;400,C72&lt;=800,C16&gt;3.5,C16&lt;=6.3,C34=7),18,IF(AND(C72&gt;400,C72&lt;=800,C16&gt;6.3,C16&lt;=10,C34=7),22,IF(AND(C72&gt;800,C72&lt;=1600,C16&gt;=1,C16&lt;=3.5,C34=7),18,IF(AND(C72&gt;800,C72&lt;=1600,C16&gt;3.5,C16&lt;=6.3,C34=7),20,IF(AND(C72&gt;800,C72&lt;=1600,C16&gt;6.3,C16&lt;=10,C34=7),22,C176))))))</f>
        <v>*</v>
      </c>
      <c r="D175" s="320"/>
      <c r="E175" s="269"/>
      <c r="F175" s="293"/>
      <c r="G175" s="337"/>
      <c r="H175" s="259"/>
      <c r="I175" s="723"/>
      <c r="J175" s="727"/>
      <c r="K175" s="309"/>
      <c r="L175" s="261"/>
    </row>
    <row r="176" spans="1:12" hidden="1">
      <c r="A176" s="381"/>
      <c r="B176" s="724"/>
      <c r="C176" s="337" t="str">
        <f>IF(AND(C72&lt;=125,C16&gt;=1,C16&lt;=3.5,C34=8),18,IF(AND(C72&lt;=125,C16&gt;3.5,C16&lt;=6.3,C34=8),22,IF(AND(C72&lt;=125,C16&gt;6.3,C16&lt;=10,C34=8),25,IF(AND(C72&gt;125,C72&lt;=400,C16&gt;=1,C16&lt;=3.5,C34=8),20,IF(AND(C72&gt;125,C72&lt;=400,C16&gt;3.5,C16&lt;=6.3,C34=8),25,IF(AND(C72&gt;125,C72&lt;=400,C16&gt;6.3,C16&lt;=10,C34=8),30,C177))))))</f>
        <v>*</v>
      </c>
      <c r="D176" s="320"/>
      <c r="E176" s="269"/>
      <c r="F176" s="293"/>
      <c r="G176" s="337"/>
      <c r="H176" s="259"/>
      <c r="I176" s="723"/>
      <c r="J176" s="727"/>
      <c r="K176" s="309"/>
      <c r="L176" s="261"/>
    </row>
    <row r="177" spans="1:12" hidden="1">
      <c r="A177" s="381"/>
      <c r="B177" s="724"/>
      <c r="C177" s="337" t="str">
        <f>IF(AND(C72&gt;400,C72&lt;=800,C16&gt;=1,C16&lt;=3.5,C34=8),22,IF(AND(C72&gt;400,C72&lt;=800,C16&gt;3.5,C16&lt;=6.3,C34=8),25,IF(AND(C72&gt;400,C72&lt;=800,C16&gt;6.3,C16&lt;=10,C34=8),32,IF(AND(C72&gt;800,C72&lt;=1600,C16&gt;=1,C16&lt;=3.5,C34=8),25,IF(AND(C72&gt;800,C72&lt;=1600,C16&gt;3.5,C16&lt;=6.3,C34=8),30,IF(AND(C72&gt;800,C72&lt;=1600,C16&gt;6.3,C16&lt;=10,C34=8),32,"*"))))))</f>
        <v>*</v>
      </c>
      <c r="D177" s="320"/>
      <c r="E177" s="269"/>
      <c r="F177" s="293"/>
      <c r="G177" s="337"/>
      <c r="H177" s="259"/>
      <c r="I177" s="723"/>
      <c r="J177" s="727"/>
      <c r="K177" s="309"/>
      <c r="L177" s="261"/>
    </row>
    <row r="178" spans="1:12" hidden="1">
      <c r="A178" s="249" t="s">
        <v>9059</v>
      </c>
      <c r="B178" s="268" t="s">
        <v>9060</v>
      </c>
      <c r="C178" s="282">
        <f>IF(AND(C72&lt;=125,C16&gt;=1,C16&lt;=3.5,C34=3),3.6,IF(AND(C72&lt;=125,C16&gt;3.5,C16&lt;=6.3,C34=3),4,IF(AND(C72&lt;=125,C16&gt;6.3,C16&lt;=10,C34=3),4.5,IF(AND(C72&gt;125,C72&lt;=400,C16&gt;=1,C16&lt;=3.5,C34=3),4,IF(AND(C72&gt;125,C72&lt;=400,C16&gt;3.5,C16&lt;=6.3,C34=3),4.5,IF(AND(C72&gt;125,C72&lt;=400,C16&gt;6.3,C16&lt;=10,C34=3),5,C179))))))</f>
        <v>11</v>
      </c>
      <c r="D178" s="320"/>
      <c r="E178" s="269"/>
      <c r="F178" s="268" t="s">
        <v>9061</v>
      </c>
      <c r="G178" s="282">
        <f>IF(AND(G16&gt;=1,G16&lt;=3.5,G33=3),3,IF(AND(G16&gt;3.5,G16&lt;=6.3,G33=3),4.5,IF(AND(G16&gt;6.3,G16&lt;=10,G33=3),5,G180)))</f>
        <v>25</v>
      </c>
      <c r="H178" s="259"/>
      <c r="I178" s="723"/>
      <c r="J178" s="727"/>
      <c r="K178" s="309"/>
      <c r="L178" s="261"/>
    </row>
    <row r="179" spans="1:12" hidden="1">
      <c r="A179" s="381"/>
      <c r="B179" s="320"/>
      <c r="C179" s="337">
        <f>IF(AND(C72&gt;400,C72&lt;=800,C16&gt;=1,C16&lt;=3.5,C34=3),4.5,IF(AND(C72&gt;400,C72&lt;=800,C16&gt;3.5,C16&lt;=6.3,C34=3),5,IF(AND(C72&gt;400,C72&lt;=800,C16&gt;6.3,C16&lt;=10,C34=3),5.5,IF(AND(C72&gt;800,C72&lt;=1600,C16&gt;=1,C16&lt;=3.5,C34=3),5.5,IF(AND(C72&gt;800,C72&lt;=1600,C16&gt;3.5,C16&lt;=6.3,C34=3),6,IF(AND(C72&gt;800,C72&lt;=1600,C16&gt;6.3,C16&lt;=10,C34=3),6.5,C180))))))</f>
        <v>11</v>
      </c>
      <c r="D179" s="320"/>
      <c r="E179" s="269"/>
      <c r="F179" s="319"/>
      <c r="G179" s="337"/>
      <c r="H179" s="259"/>
      <c r="I179" s="723"/>
      <c r="J179" s="727"/>
      <c r="K179" s="309"/>
      <c r="L179" s="261"/>
    </row>
    <row r="180" spans="1:12" hidden="1">
      <c r="A180" s="381"/>
      <c r="B180" s="320"/>
      <c r="C180" s="337">
        <f>IF(AND(C72&lt;=125,C16&gt;=1,C16&lt;=3.5,C34=4),4.8,IF(AND(C72&lt;=125,C16&gt;3.5,C16&lt;=6.3,C34=4),5.3,IF(AND(C72&lt;=125,C16&gt;6.3,C16&lt;=10,C34=4),6,IF(AND(C72&gt;125,C72&lt;=400,C16&gt;=1,C16&lt;=3.5,C34=4),5.3,IF(AND(C72&gt;125,C72&lt;=400,C16&gt;3.5,C16&lt;=6.3,C34=4),6,IF(AND(C72&gt;125,C72&lt;=400,C16&gt;6.3,C16&lt;=10,C34=4),6.5,C181))))))</f>
        <v>11</v>
      </c>
      <c r="D180" s="320"/>
      <c r="E180" s="269"/>
      <c r="F180" s="319"/>
      <c r="G180" s="337">
        <f>IF(AND(G16&gt;=1,G16&lt;=3.5,G33=4),5,IF(AND(G16&gt;3.5,G16&lt;=6.3,G33=4),7,IF(AND(G16&gt;6.3,G16&lt;=10,G33=4),8,G182)))</f>
        <v>25</v>
      </c>
      <c r="H180" s="259"/>
      <c r="I180" s="723"/>
      <c r="J180" s="727"/>
      <c r="K180" s="309"/>
      <c r="L180" s="261"/>
    </row>
    <row r="181" spans="1:12" hidden="1">
      <c r="A181" s="320"/>
      <c r="B181" s="320"/>
      <c r="C181" s="337">
        <f>IF(AND(C72&gt;400,C72&lt;=800,C16&gt;=1,C16&lt;=3.5,C34=4),6.5,IF(AND(C72&gt;400,C72&lt;=800,C16&gt;3.5,C16&lt;=6.3,C34=4),7,IF(AND(C72&gt;400,C72&lt;=800,C16&gt;6.3,C16&lt;=10,C34=4),7.5,IF(AND(C72&gt;800,C72&lt;=1600,C16&gt;=1,C16&lt;=3.5,C34=4),8,IF(AND(C72&gt;800,C72&lt;=1600,C16&gt;3.5,C16&lt;=6.3,C34=4),9,IF(AND(C72&gt;800,C72&lt;=1600,C16&gt;6.3,C16&lt;=10,C34=4),9.5,C182))))))</f>
        <v>11</v>
      </c>
      <c r="D181" s="320"/>
      <c r="E181" s="269"/>
      <c r="F181" s="319"/>
      <c r="G181" s="337"/>
      <c r="H181" s="259"/>
      <c r="I181" s="723"/>
      <c r="J181" s="727"/>
      <c r="K181" s="309"/>
      <c r="L181" s="261"/>
    </row>
    <row r="182" spans="1:12" hidden="1">
      <c r="A182" s="320"/>
      <c r="B182" s="320"/>
      <c r="C182" s="337">
        <f>IF(AND(C72&lt;=125,C16&gt;=1,C16&lt;=3.5,C34=5),6,IF(AND(C72&lt;=125,C16&gt;3.5,C16&lt;=6.3,C34=5),7,IF(AND(C72&lt;=125,C16&gt;6.3,C16&lt;=10,C34=5),8,IF(AND(C72&gt;125,C72&lt;=400,C16&gt;=1,C16&lt;=3.5,C34=5),7,IF(AND(C72&gt;125,C72&lt;=400,C16&gt;3.5,C16&lt;=6.3,C34=5),8,IF(AND(C72&gt;125,C72&lt;=400,C16&gt;6.3,C16&lt;=10,C34=5),9,C183))))))</f>
        <v>11</v>
      </c>
      <c r="D182" s="320"/>
      <c r="E182" s="269"/>
      <c r="F182" s="319"/>
      <c r="G182" s="337">
        <f>IF(AND(G16&gt;=1,G16&lt;=3.5,G33=5),7.5,IF(AND(G16&gt;3.5,G16&lt;=6.3,G33=5),10,IF(AND(G16&gt;6.3,G16&lt;=10,G33=5),12,G184)))</f>
        <v>25</v>
      </c>
      <c r="H182" s="259"/>
      <c r="I182" s="723"/>
      <c r="J182" s="727"/>
      <c r="K182" s="309"/>
      <c r="L182" s="261"/>
    </row>
    <row r="183" spans="1:12" hidden="1">
      <c r="A183" s="320"/>
      <c r="B183" s="320"/>
      <c r="C183" s="337">
        <f>IF(AND(C72&gt;400,C72&lt;=800,C16&gt;=1,C16&lt;=3.5,C34=5),9,IF(AND(C72&gt;400,C72&lt;=800,C16&gt;3.5,C16&lt;=6.3,C34=5),10,IF(AND(C72&gt;400,C72&lt;=800,C16&gt;6.3,C16&lt;=11,C34=5),11,IF(AND(C72&gt;800,C72&lt;=1600,C16&gt;=1,C16&lt;=3.5,C34=5),11,IF(AND(C72&gt;800,C72&lt;=1600,C16&gt;3.5,C16&lt;=6.3,C34=5),13,IF(AND(C72&gt;800,C72&lt;=1600,C16&gt;6.3,C16&lt;=10,C34=5),14,C184))))))</f>
        <v>11</v>
      </c>
      <c r="D183" s="320"/>
      <c r="E183" s="269"/>
      <c r="F183" s="319"/>
      <c r="G183" s="337"/>
      <c r="H183" s="259"/>
      <c r="I183" s="723"/>
      <c r="J183" s="727"/>
      <c r="K183" s="309"/>
      <c r="L183" s="261"/>
    </row>
    <row r="184" spans="1:12" hidden="1">
      <c r="A184" s="320"/>
      <c r="B184" s="320"/>
      <c r="C184" s="337">
        <f>IF(AND(C72&lt;=125,C16&gt;=1,C16&lt;=3.5,C34=6),8,IF(AND(C72&lt;=125,C16&gt;3.5,C16&lt;=6.3,C34=6),10,IF(AND(C72&lt;=125,C16&gt;6.3,C16&lt;=10,C34=6),12,IF(AND(C72&gt;125,C72&lt;=400,C16&gt;=1,C16&lt;=3.5,C34=6),9,IF(AND(C72&gt;125,C72&lt;=400,C16&gt;3.5,C16&lt;=6.3,C34=6),10,IF(AND(C72&gt;125,C72&lt;=400,C16&gt;6.3,C16&lt;=10,C34=6),13,C185))))))</f>
        <v>11</v>
      </c>
      <c r="D184" s="320"/>
      <c r="E184" s="269"/>
      <c r="F184" s="319"/>
      <c r="G184" s="337">
        <f>IF(AND(G16&gt;=1,G16&lt;=3.5,G33=6),12,IF(AND(G16&gt;3.5,G16&lt;=6.3,G33=6),17,IF(AND(G16&gt;6.3,G16&lt;=10,G33=6),20,G186)))</f>
        <v>25</v>
      </c>
      <c r="H184" s="259"/>
      <c r="I184" s="723"/>
      <c r="J184" s="727"/>
      <c r="K184" s="309"/>
      <c r="L184" s="261"/>
    </row>
    <row r="185" spans="1:12" hidden="1">
      <c r="A185" s="320"/>
      <c r="B185" s="320"/>
      <c r="C185" s="337">
        <f>IF(AND(C72&gt;400,C72&lt;=800,C16&gt;=1,C16&lt;=3.5,C34=6),12,IF(AND(C72&gt;400,C72&lt;=800,C16&gt;3.5,C16&lt;=6.3,C34=6),14,IF(AND(C72&gt;400,C72&lt;=800,C16&gt;6.3,C16&lt;=10,C34=6),16,IF(AND(C72&gt;800,C72&lt;=1600,C16&gt;=1,C16&lt;=3.5,C34=6),17,IF(AND(C72&gt;800,C72&lt;=1600,C16&gt;3.5,C16&lt;=6.3,C34=6),18,IF(AND(C72&gt;800,C72&lt;=1600,C16&gt;6.3,C16&lt;=10,C34=6),20,C186))))))</f>
        <v>11</v>
      </c>
      <c r="D185" s="320"/>
      <c r="E185" s="269"/>
      <c r="F185" s="319"/>
      <c r="G185" s="337"/>
      <c r="H185" s="259"/>
      <c r="I185" s="723"/>
      <c r="J185" s="727"/>
      <c r="K185" s="309"/>
      <c r="L185" s="261"/>
    </row>
    <row r="186" spans="1:12" hidden="1">
      <c r="A186" s="320"/>
      <c r="B186" s="320"/>
      <c r="C186" s="337">
        <f>IF(AND(C72&lt;=125,C16&gt;=1,C16&lt;=3.5,C34=7),11,IF(AND(C72&lt;=125,C16&gt;3.5,C16&lt;=6.3,C34=7),14,IF(AND(C72&lt;=125,C16&gt;6.3,C16&lt;=10,C34=7),17,IF(AND(C72&gt;125,C72&lt;=400,C16&gt;=1,C16&lt;=3.5,C34=7),13,IF(AND(C72&gt;125,C72&lt;=400,C16&gt;3.5,C16&lt;=6.3,C34=7),16,IF(AND(C72&gt;125,C72&lt;=400,C16&gt;6.3,C16&lt;=10,C34=7),19,C187))))))</f>
        <v>11</v>
      </c>
      <c r="D186" s="320"/>
      <c r="E186" s="269"/>
      <c r="F186" s="319"/>
      <c r="G186" s="337">
        <f>IF(AND(G16&gt;=1,G16&lt;=3.5,G33=7),18,IF(AND(G16&gt;3.5,G16&lt;=6.3,G33=7),24,IF(AND(G16&gt;6.3,G16&lt;=10,G33=7),28,G188)))</f>
        <v>25</v>
      </c>
      <c r="H186" s="259"/>
      <c r="I186" s="723"/>
      <c r="J186" s="727"/>
      <c r="K186" s="309"/>
      <c r="L186" s="261"/>
    </row>
    <row r="187" spans="1:12" hidden="1">
      <c r="A187" s="320"/>
      <c r="B187" s="320"/>
      <c r="C187" s="337" t="str">
        <f>IF(AND(C72&gt;400,C72&lt;=800,C16&gt;=1,C16&lt;=3.5,C34=7),17,IF(AND(C72&gt;400,C72&lt;=800,C16&gt;3.5,C16&lt;=6.3,C34=7),20,IF(AND(C72&gt;400,C72&lt;=800,C16&gt;6.3,C16&lt;=10,C34=7),24,IF(AND(C72&gt;800,C72&lt;=1600,C16&gt;=1,C16&lt;=3.5,C34=7),24,IF(AND(C72&gt;800,C72&lt;=1600,C16&gt;3.5,C16&lt;=6.3,C34=7),28,IF(AND(C72&gt;800,C72&lt;=1600,C16&gt;6.3,C16&lt;=10,C34=7),30,C188))))))</f>
        <v>*</v>
      </c>
      <c r="D187" s="320"/>
      <c r="E187" s="269"/>
      <c r="F187" s="319"/>
      <c r="G187" s="337"/>
      <c r="H187" s="259"/>
      <c r="I187" s="723"/>
      <c r="J187" s="727"/>
      <c r="K187" s="309"/>
      <c r="L187" s="261"/>
    </row>
    <row r="188" spans="1:12" hidden="1">
      <c r="A188" s="320"/>
      <c r="B188" s="320"/>
      <c r="C188" s="337" t="str">
        <f>IF(AND(C72&lt;=125,C16&gt;=1,C16&lt;=3.5,C34=8),14,IF(AND(C72&lt;=125,C16&gt;3.5,C16&lt;=6.3,C34=8),20,IF(AND(C72&lt;=125,C16&gt;6.3,C16&lt;=10,C34=8),22,IF(AND(C72&gt;125,C72&lt;=400,C16&gt;=1,C16&lt;=3.5,C34=8),18,IF(AND(C72&gt;125,C72&lt;=400,C16&gt;3.5,C16&lt;=6.3,C34=8),22,IF(AND(C72&gt;125,C72&lt;=400,C16&gt;6.3,C16&lt;=10,C34=8),28,C189))))))</f>
        <v>*</v>
      </c>
      <c r="D188" s="320"/>
      <c r="E188" s="269"/>
      <c r="F188" s="319"/>
      <c r="G188" s="337">
        <f>IF(AND(G16&gt;=1,G16&lt;=3.5,G33=8),25,IF(AND(G16&gt;3.5,G16&lt;=6.3,G33=8),34,IF(AND(G16&gt;6.3,G16&lt;=10,G33=8),40,"*")))</f>
        <v>25</v>
      </c>
      <c r="H188" s="259"/>
      <c r="I188" s="723"/>
      <c r="J188" s="727"/>
      <c r="K188" s="309"/>
      <c r="L188" s="261"/>
    </row>
    <row r="189" spans="1:12" hidden="1">
      <c r="A189" s="320"/>
      <c r="B189" s="320"/>
      <c r="C189" s="337" t="str">
        <f>IF(AND(C72&gt;400,C72&lt;=800,C16&gt;=1,C16&lt;=3.5,C34=8),25,IF(AND(C72&gt;400,C72&lt;=800,C16&gt;3.5,C16&lt;=6.3,C34=8),28,IF(AND(C72&gt;400,C72&lt;=800,C16&gt;6.3,C16&lt;=10,C34=8),36,IF(AND(C72&gt;800,C72&lt;=1600,C16&gt;=1,C16&lt;=3.5,C34=8),36,IF(AND(C72&gt;800,C72&lt;=1600,C16&gt;3.5,C16&lt;=6.3,C34=8),40,IF(AND(C72&gt;800,C72&lt;=1600,C16&gt;6.3,C16&lt;=10,C34=8),45,"*"))))))</f>
        <v>*</v>
      </c>
      <c r="D189" s="320"/>
      <c r="E189" s="269"/>
      <c r="F189" s="319"/>
      <c r="G189" s="337"/>
      <c r="H189" s="259"/>
      <c r="I189" s="723"/>
      <c r="J189" s="727"/>
      <c r="K189" s="309"/>
      <c r="L189" s="261"/>
    </row>
    <row r="190" spans="1:12" hidden="1">
      <c r="A190" s="249" t="s">
        <v>9062</v>
      </c>
      <c r="B190" s="279" t="s">
        <v>9063</v>
      </c>
      <c r="C190" s="282">
        <f>IF(AND(C19&lt;=40,C35=3),4.5,IF(AND(C19&gt;40,C19&lt;=100,C35=3),6,IF(AND(C19&gt;100,C19&lt;=160,C35=3),8,IF(AND(C19&gt;160,C19&lt;=250,C35=3),10,C191))))</f>
        <v>11</v>
      </c>
      <c r="D190" s="320"/>
      <c r="E190" s="269"/>
      <c r="F190" s="279"/>
      <c r="G190" s="337"/>
      <c r="H190" s="259"/>
      <c r="I190" s="723"/>
      <c r="J190" s="727"/>
      <c r="K190" s="309"/>
      <c r="L190" s="261"/>
    </row>
    <row r="191" spans="1:12" hidden="1">
      <c r="A191" s="320"/>
      <c r="B191" s="320"/>
      <c r="C191" s="337">
        <f>IF(AND(C19&lt;=40,C35=4),5.5,IF(AND(C19&gt;40,C19&lt;=100,C35=4),8,IF(AND(C19&gt;100,C19&lt;=160,C35=4),10,IF(AND(C19&gt;160,C19&lt;=250,C35=4),12,C192))))</f>
        <v>11</v>
      </c>
      <c r="D191" s="320"/>
      <c r="E191" s="269"/>
      <c r="F191" s="319"/>
      <c r="G191" s="337"/>
      <c r="H191" s="259"/>
      <c r="I191" s="723"/>
      <c r="J191" s="727"/>
      <c r="K191" s="309"/>
      <c r="L191" s="261"/>
    </row>
    <row r="192" spans="1:12" hidden="1">
      <c r="A192" s="320"/>
      <c r="B192" s="320"/>
      <c r="C192" s="337">
        <f>IF(AND(C19&lt;=40,C35=5),7,IF(AND(C19&gt;40,C19&lt;=100,C35=5),10,IF(AND(C19&gt;100,C19&lt;=160,C35=5),12,IF(AND(C19&gt;160,C19&lt;=250,C35=5),16,C193))))</f>
        <v>11</v>
      </c>
      <c r="D192" s="320"/>
      <c r="E192" s="269"/>
      <c r="F192" s="319"/>
      <c r="G192" s="337"/>
      <c r="H192" s="259"/>
      <c r="I192" s="723"/>
      <c r="J192" s="727"/>
      <c r="K192" s="309"/>
      <c r="L192" s="261"/>
    </row>
    <row r="193" spans="1:12" hidden="1">
      <c r="A193" s="320"/>
      <c r="B193" s="320"/>
      <c r="C193" s="337">
        <f>IF(AND(C19&lt;=40,C35=6),9,IF(AND(C19&gt;40,C19&lt;=100,C35=6),12,IF(AND(C19&gt;100,C19&lt;=160,C35=6),16,IF(AND(C19&gt;160,C19&lt;=250,C35=6),19,C194))))</f>
        <v>11</v>
      </c>
      <c r="D193" s="320"/>
      <c r="E193" s="269"/>
      <c r="F193" s="319"/>
      <c r="G193" s="337"/>
      <c r="H193" s="259"/>
      <c r="I193" s="723"/>
      <c r="J193" s="727"/>
      <c r="K193" s="309"/>
      <c r="L193" s="261"/>
    </row>
    <row r="194" spans="1:12" hidden="1">
      <c r="A194" s="320"/>
      <c r="B194" s="320"/>
      <c r="C194" s="337">
        <f>IF(AND(C19&lt;=40,C35=7),11,IF(AND(C19&gt;40,C19&lt;=100,C35=7),16,IF(AND(C19&gt;100,C19&lt;=160,C35=7),20,IF(AND(C19&gt;160,C19&lt;=250,C35=7),24,C195))))</f>
        <v>11</v>
      </c>
      <c r="D194" s="320"/>
      <c r="E194" s="269"/>
      <c r="F194" s="319"/>
      <c r="G194" s="337"/>
      <c r="H194" s="259"/>
      <c r="I194" s="723"/>
      <c r="J194" s="727"/>
      <c r="K194" s="309"/>
      <c r="L194" s="261"/>
    </row>
    <row r="195" spans="1:12" hidden="1">
      <c r="A195" s="320"/>
      <c r="B195" s="320"/>
      <c r="C195" s="337" t="str">
        <f>IF(AND(C19&lt;=40,C35=8),18,IF(AND(C19&gt;40,C19&lt;=100,C35=8),25,IF(AND(C19&gt;100,C19&lt;=160,C35=8),32,IF(AND(C19&gt;160,C19&lt;=250,C35=8),38,"*"))))</f>
        <v>*</v>
      </c>
      <c r="D195" s="320"/>
      <c r="E195" s="269"/>
      <c r="F195" s="319"/>
      <c r="G195" s="337"/>
      <c r="H195" s="259"/>
      <c r="I195" s="723"/>
      <c r="J195" s="727"/>
      <c r="K195" s="309"/>
      <c r="L195" s="261"/>
    </row>
    <row r="196" spans="1:12" hidden="1">
      <c r="A196" s="282" t="s">
        <v>9064</v>
      </c>
      <c r="B196" s="281" t="s">
        <v>9065</v>
      </c>
      <c r="C196" s="282">
        <f>IF(C35=3,65,IF(C35=4,60,IF(C35=5,55,IF(C35=6,50,IF(C35=7,45,IF(C35=8,30,"*"))))))</f>
        <v>45</v>
      </c>
      <c r="D196" s="337"/>
      <c r="E196" s="269"/>
      <c r="F196" s="319"/>
      <c r="G196" s="337"/>
      <c r="H196" s="259"/>
      <c r="I196" s="723"/>
      <c r="J196" s="727"/>
      <c r="K196" s="309"/>
      <c r="L196" s="261"/>
    </row>
    <row r="197" spans="1:12" hidden="1">
      <c r="A197" s="282"/>
      <c r="B197" s="281" t="s">
        <v>9066</v>
      </c>
      <c r="C197" s="282">
        <f>IF(C35=3,95,IF(C35=4,90,IF(C35=5,80,IF(C35=6,70,IF(C35=7,60,IF(C35=8,40,"*"))))))</f>
        <v>60</v>
      </c>
      <c r="D197" s="320"/>
      <c r="E197" s="269"/>
      <c r="F197" s="319"/>
      <c r="G197" s="337"/>
      <c r="H197" s="259"/>
      <c r="I197" s="723"/>
      <c r="J197" s="727"/>
      <c r="K197" s="309"/>
      <c r="L197" s="261"/>
    </row>
    <row r="198" spans="1:12" hidden="1">
      <c r="A198" s="259" t="s">
        <v>9067</v>
      </c>
      <c r="B198" s="268" t="s">
        <v>9068</v>
      </c>
      <c r="C198" s="282">
        <f>ROUND(C132+C178,0)</f>
        <v>61</v>
      </c>
      <c r="D198" s="320"/>
      <c r="E198" s="269"/>
      <c r="F198" s="268" t="s">
        <v>9069</v>
      </c>
      <c r="G198" s="282">
        <f>ROUND(G132+G178,0)</f>
        <v>215</v>
      </c>
      <c r="H198" s="259"/>
      <c r="I198" s="723"/>
      <c r="J198" s="720"/>
      <c r="K198" s="259"/>
      <c r="L198" s="261"/>
    </row>
    <row r="199" spans="1:12" hidden="1">
      <c r="A199" s="432" t="s">
        <v>9070</v>
      </c>
      <c r="B199" s="268" t="s">
        <v>9071</v>
      </c>
      <c r="C199" s="282">
        <f>ROUND(0.6*(C154+C178),0)</f>
        <v>15</v>
      </c>
      <c r="D199" s="320"/>
      <c r="E199" s="269"/>
      <c r="F199" s="268" t="s">
        <v>9072</v>
      </c>
      <c r="G199" s="282">
        <f>IF(AND(G16&gt;=1,G16&lt;=3.5,G33=3),5.5,IF(AND(G16&gt;3.5,G16&lt;=6.3,G33=3),8,IF(AND(G16&gt;6.3,G16&lt;=10,G33=3),9,H199)))</f>
        <v>45</v>
      </c>
      <c r="H199" s="337">
        <f>IF(AND(G16&gt;=1,G16&lt;=3.5,G33=4),9,IF(AND(G16&gt;3.5,G16&lt;=6.3,G33=4),12,IF(AND(G16&gt;6.3,G16&lt;=10,G33=4),14,I199)))</f>
        <v>45</v>
      </c>
      <c r="I199" s="726">
        <f>IF(AND(G16&gt;=1,G16&lt;=3.5,G33=5),14,IF(AND(G16&gt;3.5,G16&lt;=6.3,G33=5),19,IF(AND(G16&gt;6.3,G16&lt;=10,G33=5),22,J199)))</f>
        <v>45</v>
      </c>
      <c r="J199" s="337">
        <f>IF(AND(G16&gt;=1,G16&lt;=3.5,G33=6),22,IF(AND(G16&gt;3.5,G16&lt;=6.3,G33=6),30,IF(AND(G16&gt;6.3,G16&lt;=10,G33=6),36,K199)))</f>
        <v>45</v>
      </c>
      <c r="K199" s="337">
        <f>IF(AND(G16&gt;=1,G16&lt;=3.5,G33=7),32,IF(AND(G16&gt;3.5,G16&lt;=6.3,G33=7),45,IF(AND(G16&gt;6.3,G16&lt;=10,G33=7),50,L199)))</f>
        <v>45</v>
      </c>
      <c r="L199" s="291">
        <f>IF(AND(G16&gt;=1,G16&lt;=3.5,G33=8),45,IF(AND(G16&gt;3.5,G16&lt;=6.3,G33=8),63,IF(AND(G16&gt;6.3,G16&lt;=10,G33=8),70,"*")))</f>
        <v>45</v>
      </c>
    </row>
    <row r="200" spans="1:12" hidden="1">
      <c r="A200" s="259" t="s">
        <v>9073</v>
      </c>
      <c r="B200" s="268" t="s">
        <v>9074</v>
      </c>
      <c r="C200" s="282">
        <f>IF(C45&lt;&gt;"",C45,D203/1000)</f>
        <v>-0.1</v>
      </c>
      <c r="D200" s="320"/>
      <c r="E200" s="269"/>
      <c r="F200" s="268" t="s">
        <v>9075</v>
      </c>
      <c r="G200" s="282">
        <f>IF(C47&lt;&gt;"",C47,D205/1000)</f>
        <v>-0.15</v>
      </c>
      <c r="H200" s="259"/>
      <c r="I200" s="293"/>
      <c r="J200" s="720"/>
      <c r="K200" s="259"/>
      <c r="L200" s="261"/>
    </row>
    <row r="201" spans="1:12" hidden="1">
      <c r="A201" s="259" t="s">
        <v>9076</v>
      </c>
      <c r="B201" s="268" t="s">
        <v>9077</v>
      </c>
      <c r="C201" s="282">
        <f>IF(C46&lt;&gt;"",C46,D204/1000)</f>
        <v>-0.2</v>
      </c>
      <c r="D201" s="320"/>
      <c r="E201" s="269"/>
      <c r="F201" s="268" t="s">
        <v>9078</v>
      </c>
      <c r="G201" s="282">
        <f>IF(C48&lt;&gt;"",C48,D206/1000)</f>
        <v>-0.25</v>
      </c>
      <c r="H201" s="259"/>
      <c r="I201" s="293"/>
      <c r="J201" s="720"/>
      <c r="K201" s="259"/>
      <c r="L201" s="261"/>
    </row>
    <row r="202" spans="1:12" hidden="1">
      <c r="A202" s="279" t="s">
        <v>9079</v>
      </c>
      <c r="B202" s="268" t="s">
        <v>9080</v>
      </c>
      <c r="C202" s="282">
        <f>ABS(C200-C201)</f>
        <v>0.1</v>
      </c>
      <c r="D202" s="320"/>
      <c r="E202" s="269"/>
      <c r="F202" s="268" t="s">
        <v>9081</v>
      </c>
      <c r="G202" s="282">
        <f>ABS(G200-G201)</f>
        <v>0.1</v>
      </c>
      <c r="H202" s="259"/>
      <c r="I202" s="293"/>
      <c r="J202" s="720"/>
      <c r="K202" s="259"/>
      <c r="L202" s="261"/>
    </row>
    <row r="203" spans="1:12" hidden="1">
      <c r="A203" s="264"/>
      <c r="B203" s="268" t="s">
        <v>8884</v>
      </c>
      <c r="C203" s="282" t="e">
        <f>ABS(D203+D205)</f>
        <v>#VALUE!</v>
      </c>
      <c r="D203" s="337" t="str">
        <f>IF(F203="C",C154,IF(F203="D",0,IF(F203="E",-2*C154,IF(F203="F",-4*C154,IF(F203="G",-6*C154,IF(F203="H",-8*C154,IF(F203="J",-10*C154,E203)))))))</f>
        <v>*</v>
      </c>
      <c r="E203" s="337" t="str">
        <f>IF(F203="K",-12*C154,IF(F203="L",-16*C154,IF(F203="M",-20*C154,IF(F203="N",-25*C154,IF(F203="P",-32*C154,IF(F203="R",-40*C154,IF(F203="S",-50*C154,"*")))))))</f>
        <v>*</v>
      </c>
      <c r="F203" s="403">
        <f t="shared" ref="F203:F206" si="3">C37</f>
        <v>0</v>
      </c>
      <c r="G203" s="264"/>
      <c r="H203" s="259"/>
      <c r="I203" s="293"/>
      <c r="J203" s="720"/>
      <c r="K203" s="259"/>
      <c r="L203" s="261"/>
    </row>
    <row r="204" spans="1:12" hidden="1">
      <c r="A204" s="264"/>
      <c r="B204" s="268" t="s">
        <v>8886</v>
      </c>
      <c r="C204" s="282" t="e">
        <f>ABS(D204+D206)</f>
        <v>#VALUE!</v>
      </c>
      <c r="D204" s="337" t="str">
        <f>IF(F204="C",C154,IF(F204="D",0,IF(F204="E",-2*C154,IF(F204="F",-4*C154,IF(F204="G",-6*C154,IF(F204="H",-8*C154,IF(F204="J",-10*C154,E204)))))))</f>
        <v>*</v>
      </c>
      <c r="E204" s="337" t="str">
        <f>IF(F204="K",-12*C154,IF(F204="L",-16*C154,IF(F204="M",-20*C154,IF(F204="N",-25*C154,IF(F204="P",-32*C154,IF(F204="R",-40*C154,IF(F204="S",-50*C154,"*")))))))</f>
        <v>*</v>
      </c>
      <c r="F204" s="403">
        <f t="shared" si="3"/>
        <v>0</v>
      </c>
      <c r="G204" s="264"/>
      <c r="H204" s="259"/>
      <c r="I204" s="293"/>
      <c r="J204" s="720"/>
      <c r="K204" s="259"/>
      <c r="L204" s="261"/>
    </row>
    <row r="205" spans="1:12" hidden="1">
      <c r="A205" s="264"/>
      <c r="B205" s="268"/>
      <c r="C205" s="282"/>
      <c r="D205" s="337" t="str">
        <f>IF(F205="C",G154,IF(F205="D",0,IF(F205="E",-2*G154,IF(F205="F",-4*G154,IF(F205="G",-6*G154,IF(F205="H",-8*G154,IF(F205="J",-10*G154,E205)))))))</f>
        <v>*</v>
      </c>
      <c r="E205" s="337" t="str">
        <f>IF(F205="K",-12*G154,IF(F205="L",-16*G154,IF(F205="M",-20*G154,IF(F205="N",-25*G154,IF(F205="P",-32*G154,IF(F205="R",-40*G154,IF(F205="S",-50*G154,"*")))))))</f>
        <v>*</v>
      </c>
      <c r="F205" s="403">
        <f t="shared" si="3"/>
        <v>0</v>
      </c>
      <c r="G205" s="264"/>
      <c r="H205" s="259"/>
      <c r="I205" s="293"/>
      <c r="J205" s="720"/>
      <c r="K205" s="259"/>
      <c r="L205" s="261"/>
    </row>
    <row r="206" spans="1:12" hidden="1">
      <c r="A206" s="728"/>
      <c r="B206" s="268"/>
      <c r="C206" s="282"/>
      <c r="D206" s="337" t="str">
        <f>IF(F206="C",G154,IF(F206="D",0,IF(F206="E",-2*G154,IF(F206="F",-4*G154,IF(F206="G",-6*G154,IF(F206="H",-8*G154,IF(F206="J",-10*G154,E206)))))))</f>
        <v>*</v>
      </c>
      <c r="E206" s="337" t="str">
        <f>IF(F206="K",-12*G154,IF(F206="L",-16*G154,IF(F206="M",-20*G154,IF(F206="N",-25*G154,IF(F206="P",-32*G154,IF(F206="R",-40*G154,IF(F206="S",-50*G154,"*")))))))</f>
        <v>*</v>
      </c>
      <c r="F206" s="403">
        <f t="shared" si="3"/>
        <v>0</v>
      </c>
      <c r="G206" s="264"/>
      <c r="H206" s="259"/>
      <c r="I206" s="293"/>
      <c r="J206" s="720"/>
      <c r="K206" s="259"/>
      <c r="L206" s="261"/>
    </row>
    <row r="207" spans="1:12" hidden="1">
      <c r="A207" s="375" t="s">
        <v>9082</v>
      </c>
      <c r="B207" s="268"/>
      <c r="C207" s="282"/>
      <c r="D207" s="337"/>
      <c r="E207" s="337"/>
      <c r="F207" s="403"/>
      <c r="G207" s="264"/>
      <c r="H207" s="259"/>
      <c r="I207" s="293"/>
      <c r="J207" s="720"/>
      <c r="K207" s="259"/>
      <c r="L207" s="261"/>
    </row>
    <row r="208" spans="1:12" hidden="1">
      <c r="A208" s="342"/>
      <c r="B208" s="268" t="s">
        <v>9083</v>
      </c>
      <c r="C208" s="282">
        <f>ROUND(C200*COS(C63)-0.72*C138/1000*SIN(C63),3)</f>
        <v>-0.105</v>
      </c>
      <c r="D208" s="337"/>
      <c r="E208" s="337"/>
      <c r="F208" s="403"/>
      <c r="G208" s="282"/>
      <c r="H208" s="259"/>
      <c r="I208" s="293"/>
      <c r="J208" s="720"/>
      <c r="K208" s="259"/>
      <c r="L208" s="261"/>
    </row>
    <row r="209" spans="1:12" hidden="1">
      <c r="A209" s="352"/>
      <c r="B209" s="268" t="s">
        <v>9084</v>
      </c>
      <c r="C209" s="282">
        <f>ROUND(C201*COS(C63)+0.72*C138/1000*SIN(C63),3)</f>
        <v>-0.17699999999999999</v>
      </c>
      <c r="D209" s="337"/>
      <c r="E209" s="337"/>
      <c r="F209" s="403"/>
      <c r="G209" s="282"/>
      <c r="H209" s="259"/>
      <c r="I209" s="293"/>
      <c r="J209" s="720"/>
      <c r="K209" s="259"/>
      <c r="L209" s="261"/>
    </row>
    <row r="210" spans="1:12" hidden="1">
      <c r="A210" s="352"/>
      <c r="B210" s="268" t="s">
        <v>9085</v>
      </c>
      <c r="C210" s="282">
        <f>C208-C209</f>
        <v>7.1999999999999995E-2</v>
      </c>
      <c r="D210" s="337"/>
      <c r="E210" s="337"/>
      <c r="F210" s="403"/>
      <c r="G210" s="282"/>
      <c r="H210" s="259"/>
      <c r="I210" s="293"/>
      <c r="J210" s="720"/>
      <c r="K210" s="259"/>
      <c r="L210" s="261"/>
    </row>
    <row r="211" spans="1:12" hidden="1">
      <c r="A211" s="375" t="s">
        <v>9086</v>
      </c>
      <c r="B211" s="268"/>
      <c r="C211" s="282"/>
      <c r="D211" s="337"/>
      <c r="E211" s="337"/>
      <c r="F211" s="403"/>
      <c r="G211" s="282"/>
      <c r="H211" s="259"/>
      <c r="I211" s="293"/>
      <c r="J211" s="720"/>
      <c r="K211" s="259"/>
      <c r="L211" s="261"/>
    </row>
    <row r="212" spans="1:12" hidden="1">
      <c r="A212" s="342"/>
      <c r="B212" s="268" t="s">
        <v>9087</v>
      </c>
      <c r="C212" s="282">
        <f>IF(ODD((C15)-C15)=0,D212,E212)</f>
        <v>-0.219</v>
      </c>
      <c r="D212" s="337">
        <f>ROUND(C208/(SIN(C106)*COS(C69)),3)</f>
        <v>-0.219</v>
      </c>
      <c r="E212" s="337">
        <f>ROUND(C208/(SIN(C106)*COS(C69))*COS(PI()/(2*C15)),3)</f>
        <v>-0.219</v>
      </c>
      <c r="F212" s="403"/>
      <c r="G212" s="282">
        <f>ROUND(G54/2+G54/2*SIN(C63)+(G54*COS(C63)-(PI()*C16-(G101+G200)))/(2*TAN(C63))+G73-G109,3)</f>
        <v>-0.20599999999999999</v>
      </c>
      <c r="H212" s="337"/>
      <c r="I212" s="340"/>
      <c r="J212" s="740"/>
      <c r="K212" s="259"/>
      <c r="L212" s="261"/>
    </row>
    <row r="213" spans="1:12" hidden="1">
      <c r="A213" s="352"/>
      <c r="B213" s="268" t="s">
        <v>9088</v>
      </c>
      <c r="C213" s="282">
        <f>IF(ODD((C15)-C15)=0,D213,E213)</f>
        <v>-0.36899999999999999</v>
      </c>
      <c r="D213" s="337">
        <f>ROUND(C209/(SIN(C106)*COS(C69)),3)</f>
        <v>-0.37</v>
      </c>
      <c r="E213" s="337">
        <f>ROUND(C209/(SIN(C106)*COS(C69))*COS(PI()/(2*C15)),3)</f>
        <v>-0.36899999999999999</v>
      </c>
      <c r="F213" s="403"/>
      <c r="G213" s="282">
        <f>ROUND(G54/2+G54/2*SIN(C63)+(G54*COS(C63)-(PI()*C16-(G101+G201)))/(2*TAN(C63))+G73-G109,3)</f>
        <v>-0.34300000000000003</v>
      </c>
      <c r="H213" s="337"/>
      <c r="I213" s="340"/>
      <c r="J213" s="720"/>
      <c r="K213" s="259"/>
      <c r="L213" s="261"/>
    </row>
    <row r="214" spans="1:12" hidden="1">
      <c r="A214" s="352"/>
      <c r="B214" s="268" t="s">
        <v>9089</v>
      </c>
      <c r="C214" s="282">
        <f>C212-C213</f>
        <v>0.15</v>
      </c>
      <c r="D214" s="337"/>
      <c r="E214" s="337"/>
      <c r="F214" s="403"/>
      <c r="G214" s="282"/>
      <c r="H214" s="259"/>
      <c r="I214" s="293"/>
      <c r="J214" s="720"/>
      <c r="K214" s="259"/>
      <c r="L214" s="261"/>
    </row>
    <row r="215" spans="1:12" hidden="1">
      <c r="A215" s="729" t="s">
        <v>9090</v>
      </c>
      <c r="B215" s="268" t="s">
        <v>9091</v>
      </c>
      <c r="C215" s="282">
        <f>C190</f>
        <v>11</v>
      </c>
      <c r="D215" s="337"/>
      <c r="E215" s="337"/>
      <c r="F215" s="268"/>
      <c r="G215" s="264"/>
      <c r="H215" s="259"/>
      <c r="I215" s="293"/>
      <c r="J215" s="720"/>
      <c r="K215" s="259"/>
      <c r="L215" s="261"/>
    </row>
    <row r="216" spans="1:12" hidden="1">
      <c r="A216" s="730" t="s">
        <v>9092</v>
      </c>
      <c r="B216" s="268" t="s">
        <v>9093</v>
      </c>
      <c r="C216" s="282">
        <f>C190/2</f>
        <v>5.5</v>
      </c>
      <c r="D216" s="337"/>
      <c r="E216" s="337"/>
      <c r="F216" s="268"/>
      <c r="G216" s="264"/>
      <c r="H216" s="259"/>
      <c r="I216" s="293"/>
      <c r="J216" s="720"/>
      <c r="K216" s="259"/>
      <c r="L216" s="261"/>
    </row>
    <row r="217" spans="1:12" hidden="1">
      <c r="A217" s="249" t="s">
        <v>9094</v>
      </c>
      <c r="B217" s="293" t="s">
        <v>9095</v>
      </c>
      <c r="C217" s="282">
        <f>IF(AND(C82&gt;18,C82&lt;=30,C34&lt;=4),6.5,IF(AND(C82&gt;18,C82&lt;=30,C34&lt;=6),10.5,IF(AND(C82&gt;18,C82&lt;=30,C34&lt;=8),16.5,IF(AND(C82&gt;30,C82&lt;=50,C34&lt;=4),8,IF(AND(C82&gt;30,C82&lt;=50,C34&lt;=6),12.5,IF(AND(C82&gt;30,C82&lt;=50,C34&lt;=8),19.5,D217))))))</f>
        <v>19.5</v>
      </c>
      <c r="D217" s="337" t="str">
        <f>IF(AND(C82&gt;50,C82&lt;=80,C34&lt;=4),9.5,IF(AND(C82&gt;50,C82&lt;=80,C34&lt;=6),15,IF(AND(C82&gt;50,C82&lt;=80,C34&lt;=8),23,IF(AND(C82&gt;80,C82&lt;=120,C34&lt;=4),11,IF(AND(C82&gt;80,C82&lt;=120,C34&lt;=6),17.5,IF(AND(C82&gt;80,C82&lt;=120,C34&lt;=8),27,E217))))))</f>
        <v>*</v>
      </c>
      <c r="E217" s="337" t="str">
        <f>IF(AND(C82&gt;120,C82&lt;=180,C34&lt;=4),12.5,IF(AND(C82&gt;120,C82&lt;=180,C34&lt;=6),20,IF(AND(C82&gt;120,C82&lt;=180,C34&lt;=8),31.5,IF(AND(C82&gt;180,C82&lt;=250,C34&lt;=4),14.5,IF(AND(C82&gt;180,C82&lt;=250,C34&lt;=6),23,IF(AND(C82&gt;180,C82&lt;=250,C34&lt;=8),36,F217))))))</f>
        <v>*</v>
      </c>
      <c r="F217" s="337" t="str">
        <f>IF(AND(C82&gt;250,C82&lt;=315,C34&lt;=4),16,IF(AND(C82&gt;250,C82&lt;=315,C34&lt;=6),26,IF(AND(C82&gt;250,C82&lt;=315,C34&lt;=8),40.5,IF(AND(C82&gt;315,C82&lt;=400,C34&lt;=4),18,IF(AND(C82&gt;315,C82&lt;=400,C34&lt;=6),28.5,IF(AND(C82&gt;315,C82&lt;=400,C34&lt;=8),44.5,"*"))))))</f>
        <v>*</v>
      </c>
      <c r="G217" s="337"/>
      <c r="H217" s="337"/>
      <c r="I217" s="293"/>
      <c r="J217" s="720"/>
      <c r="K217" s="259"/>
      <c r="L217" s="261"/>
    </row>
    <row r="218" spans="1:12" hidden="1">
      <c r="A218" s="731" t="s">
        <v>9096</v>
      </c>
      <c r="B218" s="268"/>
      <c r="C218" s="282">
        <f>IF(AND(C33&lt;=C34,C33&lt;=C35),C33,IF(C34&lt;=C35,C34,C35))</f>
        <v>7</v>
      </c>
      <c r="D218" s="337"/>
      <c r="E218" s="337"/>
      <c r="F218" s="403"/>
      <c r="G218" s="337">
        <f>C218</f>
        <v>7</v>
      </c>
      <c r="H218" s="337"/>
      <c r="I218" s="293"/>
      <c r="J218" s="720"/>
      <c r="K218" s="259"/>
      <c r="L218" s="261"/>
    </row>
    <row r="219" spans="1:12" hidden="1">
      <c r="A219" s="320" t="s">
        <v>9097</v>
      </c>
      <c r="B219" s="268"/>
      <c r="C219" s="282"/>
      <c r="D219" s="337"/>
      <c r="E219" s="337"/>
      <c r="F219" s="268"/>
      <c r="G219" s="264"/>
      <c r="H219" s="259"/>
      <c r="I219" s="293"/>
      <c r="J219" s="720"/>
      <c r="K219" s="259"/>
      <c r="L219" s="261"/>
    </row>
    <row r="220" spans="1:12" hidden="1">
      <c r="A220" s="282" t="s">
        <v>9098</v>
      </c>
      <c r="B220" s="292"/>
      <c r="C220" s="282" t="str">
        <f>IF(C218=3,"IT4",IF(C218=4,"IT4",IF(C218=5,"IT5",IF(C218=6,"IT6",IF(C218=7,"IT7",IF(C218=8,"IT7",))))))</f>
        <v>IT7</v>
      </c>
      <c r="D220" s="337"/>
      <c r="E220" s="337"/>
      <c r="F220" s="268"/>
      <c r="G220" s="264"/>
      <c r="H220" s="259"/>
      <c r="I220" s="293"/>
      <c r="J220" s="720"/>
      <c r="K220" s="259"/>
      <c r="L220" s="261"/>
    </row>
    <row r="221" spans="1:12" hidden="1">
      <c r="A221" s="282" t="s">
        <v>9099</v>
      </c>
      <c r="B221" s="433"/>
      <c r="C221" s="282" t="str">
        <f>IF(C218=3,"IT4",IF(C218=4,"IT4",IF(C218=5,"IT5",IF(C218=6,"IT5",IF(C218=7,"IT6",IF(C218=8,"IT7"))))))</f>
        <v>IT6</v>
      </c>
      <c r="D221" s="337"/>
      <c r="E221" s="337"/>
      <c r="F221" s="268"/>
      <c r="G221" s="264"/>
      <c r="H221" s="259"/>
      <c r="I221" s="293"/>
      <c r="J221" s="720"/>
      <c r="K221" s="259"/>
      <c r="L221" s="261"/>
    </row>
    <row r="222" spans="1:12" hidden="1">
      <c r="A222" s="282" t="s">
        <v>9100</v>
      </c>
      <c r="B222" s="433"/>
      <c r="C222" s="282" t="str">
        <f>IF(C218&lt;=5,"IT7",IF(C218&gt;5,"IT8"))</f>
        <v>IT8</v>
      </c>
      <c r="D222" s="337"/>
      <c r="E222" s="433" t="s">
        <v>9101</v>
      </c>
      <c r="F222" s="268">
        <f>0.1*C16</f>
        <v>0.15</v>
      </c>
      <c r="G222" s="264"/>
      <c r="H222" s="259"/>
      <c r="I222" s="293"/>
      <c r="J222" s="720"/>
      <c r="K222" s="259"/>
      <c r="L222" s="261"/>
    </row>
    <row r="223" spans="1:12" hidden="1">
      <c r="A223" s="730" t="s">
        <v>9102</v>
      </c>
      <c r="B223" s="268"/>
      <c r="C223" s="282">
        <f>IF(AND(C72&lt;=125,OR(C218=3,C218=4)),7,IF(AND(C72&lt;=125,OR(C218=5,C218=6)),11,IF(AND(C72&lt;=125,OR(C218=7,C218=8)),18,IF(AND(C72&gt;125,C72&lt;=400,OR(C218=3,C218=4)),9,IF(AND(C72&gt;125,C72&lt;=400,OR(C218=5,C218=6)),14,IF(AND(C72&gt;125,C72&lt;=400,OR(C218=7,C218=8)),22,D223))))))</f>
        <v>18</v>
      </c>
      <c r="D223" s="337" t="str">
        <f>IF(AND(C72&gt;400,C72&lt;=800,OR(C218=3,C218=4)),12,IF(AND(C72&gt;400,C72&lt;=800,OR(C218=5,C218=6)),20,IF(AND(C72&gt;400,C72&lt;=800,OR(C218=7,C218=8)),32,IF(AND(C72&gt;800,C72&lt;=1600,OR(C218=3,C218=4)),18,IF(AND(C72&gt;800,C72&lt;=1600,OR(C218=5,C218=6)),28,IF(AND(C72&gt;800,C72&lt;=1600,OR(C218=7,C218=8)),45,"*"))))))</f>
        <v>*</v>
      </c>
      <c r="E223" s="337"/>
      <c r="F223" s="268"/>
      <c r="G223" s="282">
        <f>IF(AND(G72&lt;=125,OR(G218=3,G218=4)),7,IF(AND(G72&lt;=125,OR(G218=5,G218=6)),11,IF(AND(G72&lt;=125,OR(G218=7,G218=8)),18,IF(AND(G72&gt;125,G72&lt;=400,OR(G218=3,G218=4)),9,IF(AND(G72&gt;125,G72&lt;=400,OR(G218=5,G218=6)),14,IF(AND(G72&gt;125,G72&lt;=400,OR(G218=7,G218=8)),22,H223))))))</f>
        <v>18</v>
      </c>
      <c r="H223" s="337" t="str">
        <f>IF(AND(G72&gt;400,G72&lt;=800,OR(G218=3,G218=4)),12,IF(AND(G72&gt;400,G72&lt;=800,OR(G218=5,G218=6)),20,IF(AND(G72&gt;400,G72&lt;=800,OR(G218=7,G218=8)),32,IF(AND(G72&gt;800,G72&lt;=1600,OR(G218=3,G218=4)),18,IF(AND(G72&gt;800,G72&lt;=1600,OR(G218=5,G218=6)),28,IF(AND(G72&gt;800,G72&lt;=1600,OR(G218=7,G218=8)),45,"*"))))))</f>
        <v>*</v>
      </c>
      <c r="I223" s="293"/>
      <c r="J223" s="720"/>
      <c r="K223" s="259"/>
      <c r="L223" s="261"/>
    </row>
    <row r="224" spans="1:12" hidden="1">
      <c r="A224" s="352"/>
      <c r="B224" s="320"/>
      <c r="C224" s="282"/>
      <c r="D224" s="320"/>
      <c r="E224" s="282"/>
      <c r="F224" s="400"/>
      <c r="G224" s="282"/>
      <c r="H224" s="259"/>
      <c r="I224" s="293"/>
      <c r="J224" s="720"/>
      <c r="K224" s="259"/>
      <c r="L224" s="261"/>
    </row>
    <row r="225" spans="1:12">
      <c r="A225" s="409"/>
      <c r="B225" s="410"/>
      <c r="C225" s="411"/>
      <c r="D225" s="412"/>
      <c r="E225" s="411"/>
      <c r="F225" s="413"/>
      <c r="G225" s="411"/>
      <c r="H225" s="413"/>
      <c r="I225" s="282"/>
      <c r="J225" s="337"/>
      <c r="K225" s="259"/>
      <c r="L225" s="261"/>
    </row>
    <row r="226" spans="1:12">
      <c r="A226" s="414" t="s">
        <v>9103</v>
      </c>
      <c r="B226" s="415"/>
      <c r="C226" s="416"/>
      <c r="D226" s="417"/>
      <c r="E226" s="417"/>
      <c r="F226" s="417"/>
      <c r="G226" s="416"/>
      <c r="H226" s="418"/>
      <c r="I226" s="282"/>
      <c r="J226" s="337"/>
      <c r="K226" s="337"/>
      <c r="L226" s="261"/>
    </row>
    <row r="227" spans="1:12" ht="22.15" customHeight="1">
      <c r="A227" s="732"/>
      <c r="B227" s="656" t="s">
        <v>9104</v>
      </c>
      <c r="C227" s="733"/>
      <c r="D227" s="261"/>
      <c r="E227" s="261"/>
      <c r="F227" s="261"/>
      <c r="G227" s="234" t="str">
        <f>H1</f>
        <v>编号：</v>
      </c>
      <c r="H227" s="419" t="str">
        <f>IF(I1=0,"",I1)</f>
        <v/>
      </c>
      <c r="I227" s="259"/>
      <c r="J227" s="259"/>
      <c r="K227" s="259"/>
      <c r="L227" s="261"/>
    </row>
    <row r="228" spans="1:12">
      <c r="A228" s="423" t="s">
        <v>8842</v>
      </c>
      <c r="B228" s="235"/>
      <c r="C228" s="331" t="str">
        <f t="shared" ref="C228:C230" si="4">IF(C10=0,"",C10)</f>
        <v/>
      </c>
      <c r="D228" s="235"/>
      <c r="E228" s="423" t="s">
        <v>8843</v>
      </c>
      <c r="F228" s="238"/>
      <c r="G228" s="300">
        <f t="shared" ref="G228:G230" si="5">IF(G10=0,"",G10)</f>
        <v>10026</v>
      </c>
      <c r="H228" s="237"/>
      <c r="I228" s="259"/>
      <c r="J228" s="259"/>
      <c r="K228" s="259"/>
      <c r="L228" s="261"/>
    </row>
    <row r="229" spans="1:12">
      <c r="A229" s="423" t="s">
        <v>8844</v>
      </c>
      <c r="B229" s="243"/>
      <c r="C229" s="300">
        <f t="shared" si="4"/>
        <v>30201</v>
      </c>
      <c r="D229" s="235"/>
      <c r="E229" s="424"/>
      <c r="F229" s="243"/>
      <c r="G229" s="300">
        <f t="shared" si="5"/>
        <v>30202</v>
      </c>
      <c r="H229" s="237"/>
      <c r="I229" s="259"/>
      <c r="J229" s="259"/>
      <c r="K229" s="259"/>
      <c r="L229" s="261"/>
    </row>
    <row r="230" spans="1:12">
      <c r="A230" s="423" t="s">
        <v>9105</v>
      </c>
      <c r="B230" s="282"/>
      <c r="C230" s="268" t="str">
        <f t="shared" si="4"/>
        <v/>
      </c>
      <c r="D230" s="425"/>
      <c r="E230" s="423" t="s">
        <v>8846</v>
      </c>
      <c r="F230" s="254"/>
      <c r="G230" s="268" t="str">
        <f t="shared" si="5"/>
        <v/>
      </c>
      <c r="H230" s="237"/>
      <c r="I230" s="259"/>
      <c r="J230" s="259"/>
      <c r="K230" s="259"/>
      <c r="L230" s="261"/>
    </row>
    <row r="231" spans="1:12">
      <c r="A231" s="426" t="s">
        <v>9106</v>
      </c>
      <c r="B231" s="282"/>
      <c r="C231" s="303"/>
      <c r="D231" s="734"/>
      <c r="E231" s="735"/>
      <c r="F231" s="248"/>
      <c r="G231" s="303"/>
      <c r="H231" s="237"/>
      <c r="I231" s="259"/>
      <c r="J231" s="259"/>
      <c r="K231" s="259"/>
      <c r="L231" s="261"/>
    </row>
    <row r="232" spans="1:12">
      <c r="A232" s="427" t="s">
        <v>9107</v>
      </c>
      <c r="B232" s="428"/>
      <c r="C232" s="427" t="s">
        <v>8899</v>
      </c>
      <c r="D232" s="736"/>
      <c r="E232" s="737"/>
      <c r="F232" s="738"/>
      <c r="G232" s="427" t="s">
        <v>8900</v>
      </c>
      <c r="H232" s="429"/>
      <c r="I232" s="259"/>
      <c r="J232" s="259"/>
      <c r="K232" s="259"/>
      <c r="L232" s="261"/>
    </row>
    <row r="233" spans="1:12">
      <c r="A233" s="431" t="s">
        <v>9108</v>
      </c>
      <c r="B233" s="309"/>
      <c r="C233" s="405"/>
      <c r="D233" s="309"/>
      <c r="E233" s="259"/>
      <c r="F233" s="309"/>
      <c r="G233" s="405"/>
      <c r="H233" s="309"/>
      <c r="I233" s="259"/>
      <c r="J233" s="259"/>
      <c r="K233" s="259"/>
      <c r="L233" s="261"/>
    </row>
    <row r="234" spans="1:12" ht="15.75" customHeight="1">
      <c r="A234" s="267" t="s">
        <v>9109</v>
      </c>
      <c r="B234" s="268" t="s">
        <v>6644</v>
      </c>
      <c r="C234" s="282">
        <f>C15</f>
        <v>20</v>
      </c>
      <c r="D234" s="268"/>
      <c r="E234" s="259"/>
      <c r="F234" s="268"/>
      <c r="G234" s="282"/>
      <c r="H234" s="259"/>
      <c r="I234" s="259"/>
      <c r="J234" s="259"/>
      <c r="K234" s="259"/>
      <c r="L234" s="261"/>
    </row>
    <row r="235" spans="1:12" ht="15.75" customHeight="1">
      <c r="A235" s="267" t="s">
        <v>9110</v>
      </c>
      <c r="B235" s="268" t="s">
        <v>8853</v>
      </c>
      <c r="C235" s="259"/>
      <c r="D235" s="281"/>
      <c r="E235" s="282">
        <v>2</v>
      </c>
      <c r="F235" s="281" t="s">
        <v>8854</v>
      </c>
      <c r="G235" s="282"/>
      <c r="H235" s="259"/>
      <c r="I235" s="259"/>
      <c r="J235" s="259"/>
      <c r="K235" s="259"/>
      <c r="L235" s="261"/>
    </row>
    <row r="236" spans="1:12" ht="15.75" customHeight="1">
      <c r="A236" s="267" t="s">
        <v>9111</v>
      </c>
      <c r="B236" s="259" t="s">
        <v>8856</v>
      </c>
      <c r="C236" s="259"/>
      <c r="D236" s="281"/>
      <c r="E236" s="282">
        <f>E64</f>
        <v>20</v>
      </c>
      <c r="F236" s="281" t="s">
        <v>8921</v>
      </c>
      <c r="G236" s="282"/>
      <c r="H236" s="259"/>
      <c r="I236" s="259"/>
      <c r="J236" s="272"/>
      <c r="K236" s="259"/>
      <c r="L236" s="261"/>
    </row>
    <row r="237" spans="1:12" ht="15.75" customHeight="1">
      <c r="A237" s="279" t="s">
        <v>9112</v>
      </c>
      <c r="B237" s="259" t="str">
        <f>B18</f>
        <v>βf</v>
      </c>
      <c r="C237" s="259"/>
      <c r="D237" s="281"/>
      <c r="E237" s="282">
        <f>E67</f>
        <v>19.3142</v>
      </c>
      <c r="F237" s="281" t="s">
        <v>8921</v>
      </c>
      <c r="G237" s="282"/>
      <c r="H237" s="259"/>
      <c r="I237" s="259"/>
      <c r="J237" s="272"/>
      <c r="K237" s="259"/>
      <c r="L237" s="261"/>
    </row>
    <row r="238" spans="1:12" ht="15.75" customHeight="1">
      <c r="A238" s="267" t="s">
        <v>9113</v>
      </c>
      <c r="B238" s="268" t="s">
        <v>5900</v>
      </c>
      <c r="C238" s="259"/>
      <c r="D238" s="281"/>
      <c r="E238" s="282">
        <f>C19</f>
        <v>22</v>
      </c>
      <c r="F238" s="281" t="s">
        <v>8854</v>
      </c>
      <c r="G238" s="282"/>
      <c r="H238" s="259"/>
      <c r="I238" s="259"/>
      <c r="J238" s="272"/>
      <c r="K238" s="259"/>
      <c r="L238" s="261"/>
    </row>
    <row r="239" spans="1:12" ht="15.75" customHeight="1">
      <c r="A239" s="279" t="s">
        <v>9114</v>
      </c>
      <c r="B239" s="262" t="s">
        <v>8861</v>
      </c>
      <c r="C239" s="259"/>
      <c r="D239" s="281"/>
      <c r="E239" s="282">
        <f>C21</f>
        <v>1</v>
      </c>
      <c r="F239" s="281"/>
      <c r="G239" s="282"/>
      <c r="H239" s="259"/>
      <c r="I239" s="259"/>
      <c r="J239" s="272"/>
      <c r="K239" s="259"/>
      <c r="L239" s="261"/>
    </row>
    <row r="240" spans="1:12" ht="15.75" customHeight="1">
      <c r="A240" s="279" t="s">
        <v>9115</v>
      </c>
      <c r="B240" s="262" t="s">
        <v>8864</v>
      </c>
      <c r="C240" s="259"/>
      <c r="D240" s="281"/>
      <c r="E240" s="282">
        <f>C22</f>
        <v>0</v>
      </c>
      <c r="F240" s="281"/>
      <c r="G240" s="282"/>
      <c r="H240" s="259"/>
      <c r="I240" s="259"/>
      <c r="J240" s="272"/>
      <c r="K240" s="259"/>
      <c r="L240" s="261"/>
    </row>
    <row r="241" spans="1:12" ht="15.75" customHeight="1">
      <c r="A241" s="279" t="s">
        <v>8865</v>
      </c>
      <c r="B241" s="262" t="s">
        <v>8866</v>
      </c>
      <c r="C241" s="259"/>
      <c r="D241" s="281"/>
      <c r="E241" s="282">
        <f>C24</f>
        <v>0.25</v>
      </c>
      <c r="F241" s="281"/>
      <c r="G241" s="282"/>
      <c r="H241" s="259"/>
      <c r="I241" s="259"/>
      <c r="J241" s="272"/>
      <c r="K241" s="259"/>
      <c r="L241" s="261"/>
    </row>
    <row r="242" spans="1:12" ht="15.75" customHeight="1">
      <c r="A242" s="267" t="s">
        <v>9116</v>
      </c>
      <c r="B242" s="268" t="s">
        <v>9117</v>
      </c>
      <c r="C242" s="259"/>
      <c r="D242" s="281"/>
      <c r="E242" s="259">
        <f>2*C21+C24</f>
        <v>2.25</v>
      </c>
      <c r="F242" s="268"/>
      <c r="G242" s="282"/>
      <c r="H242" s="259"/>
      <c r="I242" s="259"/>
      <c r="J242" s="272"/>
      <c r="K242" s="259"/>
      <c r="L242" s="261"/>
    </row>
    <row r="243" spans="1:12" ht="15.75" customHeight="1">
      <c r="A243" s="249" t="s">
        <v>9118</v>
      </c>
      <c r="B243" s="282" t="s">
        <v>5899</v>
      </c>
      <c r="C243" s="281"/>
      <c r="D243" s="281"/>
      <c r="E243" s="259">
        <f>C82</f>
        <v>39.415999999999997</v>
      </c>
      <c r="F243" s="281" t="s">
        <v>9119</v>
      </c>
      <c r="G243" s="282"/>
      <c r="H243" s="259"/>
      <c r="I243" s="259"/>
      <c r="J243" s="272"/>
      <c r="K243" s="259"/>
      <c r="L243" s="261"/>
    </row>
    <row r="244" spans="1:12" ht="15.75" customHeight="1">
      <c r="A244" s="267" t="s">
        <v>9120</v>
      </c>
      <c r="B244" s="268" t="s">
        <v>5929</v>
      </c>
      <c r="C244" s="259">
        <f>C80</f>
        <v>0</v>
      </c>
      <c r="D244" s="281"/>
      <c r="E244" s="259"/>
      <c r="F244" s="268"/>
      <c r="G244" s="259"/>
      <c r="H244" s="259"/>
      <c r="I244" s="259"/>
      <c r="J244" s="272"/>
      <c r="K244" s="259"/>
      <c r="L244" s="261"/>
    </row>
    <row r="245" spans="1:12" ht="15.75" customHeight="1">
      <c r="A245" s="267" t="s">
        <v>9121</v>
      </c>
      <c r="B245" s="268" t="s">
        <v>9122</v>
      </c>
      <c r="C245" s="282">
        <f>C81</f>
        <v>0</v>
      </c>
      <c r="D245" s="281"/>
      <c r="E245" s="259"/>
      <c r="F245" s="268"/>
      <c r="G245" s="282"/>
      <c r="H245" s="259"/>
      <c r="I245" s="259"/>
      <c r="J245" s="272"/>
      <c r="K245" s="225"/>
      <c r="L245" s="261"/>
    </row>
    <row r="246" spans="1:12" ht="15.75" customHeight="1">
      <c r="A246" s="267" t="s">
        <v>9123</v>
      </c>
      <c r="B246" s="268" t="s">
        <v>6565</v>
      </c>
      <c r="C246" s="259">
        <f>ROUND(C72,3)</f>
        <v>31.831</v>
      </c>
      <c r="D246" s="281" t="s">
        <v>8854</v>
      </c>
      <c r="E246" s="259"/>
      <c r="F246" s="355" t="s">
        <v>8938</v>
      </c>
      <c r="G246" s="259">
        <f>G73</f>
        <v>23.5</v>
      </c>
      <c r="H246" s="281" t="s">
        <v>8854</v>
      </c>
      <c r="I246" s="348"/>
      <c r="J246" s="272"/>
      <c r="K246" s="225"/>
      <c r="L246" s="261"/>
    </row>
    <row r="247" spans="1:12" ht="15.75" customHeight="1">
      <c r="A247" s="267" t="s">
        <v>11027</v>
      </c>
      <c r="B247" s="268" t="s">
        <v>9125</v>
      </c>
      <c r="C247" s="259">
        <f>ROUND(C74,3)</f>
        <v>29.693999999999999</v>
      </c>
      <c r="D247" s="281" t="s">
        <v>8854</v>
      </c>
      <c r="E247" s="259"/>
      <c r="F247" s="355" t="s">
        <v>8941</v>
      </c>
      <c r="G247" s="259">
        <f>G74</f>
        <v>23.5</v>
      </c>
      <c r="H247" s="281" t="s">
        <v>8854</v>
      </c>
      <c r="I247" s="348"/>
      <c r="J247" s="272"/>
      <c r="K247" s="225"/>
      <c r="L247" s="261"/>
    </row>
    <row r="248" spans="1:12" ht="15.75" customHeight="1">
      <c r="A248" s="267" t="s">
        <v>9126</v>
      </c>
      <c r="B248" s="268" t="s">
        <v>9127</v>
      </c>
      <c r="C248" s="259">
        <f>ROUND(C86,3)</f>
        <v>34.831000000000003</v>
      </c>
      <c r="D248" s="281" t="s">
        <v>8854</v>
      </c>
      <c r="E248" s="259"/>
      <c r="F248" s="355" t="s">
        <v>8966</v>
      </c>
      <c r="G248" s="259">
        <f>ROUND(G86,3)</f>
        <v>25</v>
      </c>
      <c r="H248" s="281" t="s">
        <v>8854</v>
      </c>
      <c r="I248" s="348"/>
      <c r="J248" s="272"/>
      <c r="K248" s="225"/>
      <c r="L248" s="261"/>
    </row>
    <row r="249" spans="1:12" ht="15.75" customHeight="1">
      <c r="A249" s="267" t="s">
        <v>9128</v>
      </c>
      <c r="B249" s="268" t="s">
        <v>9129</v>
      </c>
      <c r="C249" s="259">
        <f>ROUND(C88,3)</f>
        <v>28.081</v>
      </c>
      <c r="D249" s="281" t="s">
        <v>8854</v>
      </c>
      <c r="E249" s="259"/>
      <c r="F249" s="355" t="s">
        <v>8971</v>
      </c>
      <c r="G249" s="259">
        <f>ROUND(G88,3)</f>
        <v>21.625</v>
      </c>
      <c r="H249" s="281" t="s">
        <v>8854</v>
      </c>
      <c r="I249" s="348"/>
      <c r="J249" s="272"/>
      <c r="K249" s="225"/>
      <c r="L249" s="261"/>
    </row>
    <row r="250" spans="1:12" ht="15.75" customHeight="1">
      <c r="A250" s="267" t="s">
        <v>9130</v>
      </c>
      <c r="B250" s="268" t="s">
        <v>9131</v>
      </c>
      <c r="C250" s="259">
        <f t="shared" ref="C250:C252" si="6">ROUND(C83,3)</f>
        <v>1.5</v>
      </c>
      <c r="D250" s="281" t="s">
        <v>8854</v>
      </c>
      <c r="E250" s="259"/>
      <c r="F250" s="268"/>
      <c r="G250" s="259">
        <f>ROUND(G83,3)</f>
        <v>1.5</v>
      </c>
      <c r="H250" s="281" t="s">
        <v>8854</v>
      </c>
      <c r="I250" s="348"/>
      <c r="J250" s="272"/>
      <c r="K250" s="225"/>
      <c r="L250" s="261"/>
    </row>
    <row r="251" spans="1:12" ht="15.75" customHeight="1">
      <c r="A251" s="267" t="s">
        <v>9132</v>
      </c>
      <c r="B251" s="268" t="s">
        <v>9133</v>
      </c>
      <c r="C251" s="259">
        <f t="shared" si="6"/>
        <v>1.875</v>
      </c>
      <c r="D251" s="281" t="s">
        <v>8854</v>
      </c>
      <c r="E251" s="259"/>
      <c r="F251" s="268"/>
      <c r="G251" s="259">
        <f>ROUND(G84,3)</f>
        <v>1.875</v>
      </c>
      <c r="H251" s="281" t="s">
        <v>8854</v>
      </c>
      <c r="I251" s="348"/>
      <c r="J251" s="272"/>
      <c r="K251" s="225"/>
      <c r="L251" s="261"/>
    </row>
    <row r="252" spans="1:12" ht="15.75" customHeight="1">
      <c r="A252" s="267" t="s">
        <v>9134</v>
      </c>
      <c r="B252" s="268" t="s">
        <v>9135</v>
      </c>
      <c r="C252" s="259">
        <f t="shared" si="6"/>
        <v>3.375</v>
      </c>
      <c r="D252" s="281" t="s">
        <v>8854</v>
      </c>
      <c r="E252" s="259"/>
      <c r="F252" s="281"/>
      <c r="G252" s="259">
        <f>ROUND(C85,3)</f>
        <v>3.375</v>
      </c>
      <c r="H252" s="281" t="s">
        <v>8854</v>
      </c>
      <c r="I252" s="348"/>
      <c r="J252" s="272"/>
      <c r="K252" s="225"/>
      <c r="L252" s="261"/>
    </row>
    <row r="253" spans="1:12" ht="15.75" customHeight="1">
      <c r="A253" s="279" t="s">
        <v>9136</v>
      </c>
      <c r="B253" s="262" t="s">
        <v>9137</v>
      </c>
      <c r="C253" s="259">
        <f>ROUND(C89,3)</f>
        <v>2.5</v>
      </c>
      <c r="D253" s="281" t="s">
        <v>8854</v>
      </c>
      <c r="E253" s="259"/>
      <c r="F253" s="281"/>
      <c r="G253" s="259">
        <f>ROUND(G89,3)</f>
        <v>2.5</v>
      </c>
      <c r="H253" s="281" t="s">
        <v>8854</v>
      </c>
      <c r="I253" s="348"/>
      <c r="J253" s="272"/>
      <c r="K253" s="225"/>
      <c r="L253" s="261"/>
    </row>
    <row r="254" spans="1:12" ht="15.75" customHeight="1">
      <c r="A254" s="371"/>
      <c r="B254" s="357"/>
      <c r="C254" s="308"/>
      <c r="D254" s="305"/>
      <c r="E254" s="308"/>
      <c r="F254" s="305"/>
      <c r="G254" s="308"/>
      <c r="H254" s="305"/>
      <c r="I254" s="348"/>
      <c r="J254" s="272"/>
      <c r="K254" s="225"/>
      <c r="L254" s="261"/>
    </row>
    <row r="255" spans="1:12" ht="15.75" customHeight="1">
      <c r="A255" s="739" t="s">
        <v>9138</v>
      </c>
      <c r="B255" s="262"/>
      <c r="C255" s="259"/>
      <c r="D255" s="281"/>
      <c r="E255" s="259"/>
      <c r="F255" s="281"/>
      <c r="G255" s="259"/>
      <c r="H255" s="281"/>
      <c r="I255" s="348"/>
      <c r="J255" s="272"/>
      <c r="K255" s="225"/>
      <c r="L255" s="261"/>
    </row>
    <row r="256" spans="1:12" ht="15.75" customHeight="1">
      <c r="A256" s="261" t="s">
        <v>9139</v>
      </c>
      <c r="B256" s="262" t="s">
        <v>9140</v>
      </c>
      <c r="C256" s="259">
        <f>ROUND(C93,3)</f>
        <v>11.568</v>
      </c>
      <c r="D256" s="281" t="s">
        <v>8854</v>
      </c>
      <c r="E256" s="259"/>
      <c r="F256" s="281"/>
      <c r="G256" s="259"/>
      <c r="H256" s="281"/>
      <c r="I256" s="348"/>
      <c r="J256" s="272"/>
      <c r="K256" s="225"/>
      <c r="L256" s="261"/>
    </row>
    <row r="257" spans="1:12" ht="15.75" customHeight="1">
      <c r="A257" s="261" t="s">
        <v>9141</v>
      </c>
      <c r="B257" s="262" t="s">
        <v>9142</v>
      </c>
      <c r="C257" s="259">
        <f>C94</f>
        <v>3</v>
      </c>
      <c r="D257" s="281"/>
      <c r="E257" s="259"/>
      <c r="F257" s="281"/>
      <c r="G257" s="259"/>
      <c r="H257" s="281"/>
      <c r="I257" s="348"/>
      <c r="J257" s="272"/>
      <c r="K257" s="225"/>
      <c r="L257" s="261"/>
    </row>
    <row r="258" spans="1:12" ht="15.75" customHeight="1">
      <c r="A258" s="262" t="s">
        <v>9143</v>
      </c>
      <c r="B258" s="262"/>
      <c r="C258" s="259" t="str">
        <f>C95</f>
        <v>可以测量</v>
      </c>
      <c r="D258" s="281"/>
      <c r="E258" s="259"/>
      <c r="F258" s="281"/>
      <c r="G258" s="259"/>
      <c r="H258" s="281"/>
      <c r="I258" s="348"/>
      <c r="J258" s="272"/>
      <c r="K258" s="267"/>
      <c r="L258" s="268"/>
    </row>
    <row r="259" spans="1:12" ht="15.75" customHeight="1">
      <c r="A259" s="249" t="s">
        <v>9144</v>
      </c>
      <c r="B259" s="293" t="s">
        <v>9145</v>
      </c>
      <c r="C259" s="259">
        <f t="shared" ref="C259:C262" si="7">ROUND(C99,3)</f>
        <v>2.081</v>
      </c>
      <c r="D259" s="281" t="s">
        <v>8854</v>
      </c>
      <c r="E259" s="281"/>
      <c r="F259" s="268"/>
      <c r="G259" s="259"/>
      <c r="H259" s="281"/>
      <c r="I259" s="348"/>
      <c r="J259" s="272"/>
      <c r="K259" s="267"/>
      <c r="L259" s="268"/>
    </row>
    <row r="260" spans="1:12" ht="15.75" customHeight="1">
      <c r="A260" s="249" t="s">
        <v>9146</v>
      </c>
      <c r="B260" s="293" t="s">
        <v>9147</v>
      </c>
      <c r="C260" s="259">
        <f t="shared" si="7"/>
        <v>1.121</v>
      </c>
      <c r="D260" s="281" t="s">
        <v>8854</v>
      </c>
      <c r="E260" s="259"/>
      <c r="F260" s="268"/>
      <c r="G260" s="259"/>
      <c r="H260" s="281"/>
      <c r="I260" s="272"/>
      <c r="J260" s="272"/>
      <c r="K260" s="261"/>
      <c r="L260" s="261"/>
    </row>
    <row r="261" spans="1:12" ht="15.75" customHeight="1">
      <c r="A261" s="267" t="s">
        <v>9148</v>
      </c>
      <c r="B261" s="268" t="s">
        <v>9149</v>
      </c>
      <c r="C261" s="259">
        <f t="shared" si="7"/>
        <v>2.3540000000000001</v>
      </c>
      <c r="D261" s="281" t="s">
        <v>8854</v>
      </c>
      <c r="E261" s="259"/>
      <c r="F261" s="268"/>
      <c r="G261" s="259">
        <f>ROUND(G101,3)</f>
        <v>2.3559999999999999</v>
      </c>
      <c r="H261" s="281" t="s">
        <v>8854</v>
      </c>
      <c r="I261" s="272"/>
      <c r="J261" s="272"/>
      <c r="K261" s="261"/>
      <c r="L261" s="261"/>
    </row>
    <row r="262" spans="1:12" ht="15.75" customHeight="1">
      <c r="A262" s="267" t="s">
        <v>9150</v>
      </c>
      <c r="B262" s="268" t="s">
        <v>9151</v>
      </c>
      <c r="C262" s="259">
        <f t="shared" si="7"/>
        <v>1.5389999999999999</v>
      </c>
      <c r="D262" s="281" t="s">
        <v>8854</v>
      </c>
      <c r="E262" s="259"/>
      <c r="F262" s="268"/>
      <c r="G262" s="259">
        <f>ROUND(G102,3)</f>
        <v>1.5</v>
      </c>
      <c r="H262" s="281" t="s">
        <v>8854</v>
      </c>
      <c r="I262" s="272"/>
      <c r="J262" s="272"/>
      <c r="K262" s="261"/>
      <c r="L262" s="261"/>
    </row>
    <row r="263" spans="1:12" ht="15.75" customHeight="1">
      <c r="A263" s="249" t="s">
        <v>9002</v>
      </c>
      <c r="B263" s="293" t="s">
        <v>9152</v>
      </c>
      <c r="C263" s="259" t="str">
        <f>IF(OR(C54=0,B55&lt;&gt;""),"",C104)</f>
        <v/>
      </c>
      <c r="D263" s="281" t="s">
        <v>8854</v>
      </c>
      <c r="E263" s="259"/>
      <c r="F263" s="268"/>
      <c r="G263" s="259">
        <f>IF(OR(G54=0,F55&lt;&gt;""),"",G104)</f>
        <v>8</v>
      </c>
      <c r="H263" s="281" t="s">
        <v>8854</v>
      </c>
      <c r="I263" s="272"/>
      <c r="J263" s="272"/>
      <c r="K263" s="261"/>
      <c r="L263" s="261"/>
    </row>
    <row r="264" spans="1:12" ht="15.75" customHeight="1">
      <c r="A264" s="249" t="s">
        <v>9008</v>
      </c>
      <c r="B264" s="293" t="s">
        <v>6407</v>
      </c>
      <c r="C264" s="259" t="str">
        <f>IF(OR(C54=0,B55&lt;&gt;""),"",ROUND(C109,3))</f>
        <v/>
      </c>
      <c r="D264" s="281" t="s">
        <v>8854</v>
      </c>
      <c r="E264" s="259"/>
      <c r="F264" s="355" t="s">
        <v>9010</v>
      </c>
      <c r="G264" s="259">
        <f>IF(OR(G54=0,F55&lt;&gt;""),"",ROUND(G109,3))</f>
        <v>35.957999999999998</v>
      </c>
      <c r="H264" s="281" t="s">
        <v>8854</v>
      </c>
      <c r="I264" s="272"/>
      <c r="J264" s="272"/>
      <c r="K264" s="261"/>
      <c r="L264" s="261"/>
    </row>
    <row r="265" spans="1:12" ht="15.75" customHeight="1">
      <c r="A265" s="249" t="s">
        <v>9153</v>
      </c>
      <c r="B265" s="268" t="s">
        <v>9154</v>
      </c>
      <c r="C265" s="259" t="str">
        <f>IF(OR(C54=0,B55&lt;&gt;""),"",ROUND(C111,2))</f>
        <v/>
      </c>
      <c r="D265" s="281" t="s">
        <v>8854</v>
      </c>
      <c r="E265" s="355"/>
      <c r="F265" s="355" t="s">
        <v>9014</v>
      </c>
      <c r="G265" s="259">
        <f>IF(OR(G54=0,F55&lt;&gt;""),"",ROUND(G111,2))</f>
        <v>30.59</v>
      </c>
      <c r="H265" s="281" t="s">
        <v>8854</v>
      </c>
      <c r="I265" s="272"/>
      <c r="J265" s="272"/>
      <c r="K265" s="261"/>
      <c r="L265" s="261"/>
    </row>
    <row r="266" spans="1:12" ht="15.75" customHeight="1">
      <c r="A266" s="324"/>
      <c r="B266" s="357"/>
      <c r="C266" s="308"/>
      <c r="D266" s="305"/>
      <c r="E266" s="308"/>
      <c r="F266" s="303"/>
      <c r="G266" s="245"/>
      <c r="H266" s="305"/>
      <c r="I266" s="272"/>
      <c r="J266" s="272"/>
      <c r="K266" s="261"/>
      <c r="L266" s="261"/>
    </row>
    <row r="267" spans="1:12" ht="15.75" customHeight="1">
      <c r="A267" s="431" t="s">
        <v>9155</v>
      </c>
      <c r="B267" s="268"/>
      <c r="C267" s="259"/>
      <c r="D267" s="281"/>
      <c r="E267" s="259"/>
      <c r="F267" s="268"/>
      <c r="G267" s="282"/>
      <c r="H267" s="281"/>
      <c r="I267" s="272"/>
      <c r="J267" s="272"/>
      <c r="K267" s="261"/>
      <c r="L267" s="261"/>
    </row>
    <row r="268" spans="1:12" ht="15.75" customHeight="1">
      <c r="A268" s="432" t="s">
        <v>9031</v>
      </c>
      <c r="B268" s="262" t="s">
        <v>9156</v>
      </c>
      <c r="C268" s="259">
        <f>ROUND(C124,3)</f>
        <v>5.734</v>
      </c>
      <c r="D268" s="281" t="s">
        <v>8854</v>
      </c>
      <c r="E268" s="259"/>
      <c r="F268" s="268"/>
      <c r="G268" s="259"/>
      <c r="H268" s="281"/>
      <c r="I268" s="272"/>
      <c r="J268" s="272"/>
      <c r="K268" s="261"/>
      <c r="L268" s="261"/>
    </row>
    <row r="269" spans="1:12" ht="15.75" customHeight="1">
      <c r="A269" s="432" t="s">
        <v>9033</v>
      </c>
      <c r="B269" s="262" t="s">
        <v>9157</v>
      </c>
      <c r="C269" s="259">
        <f>ROUND(C125,3)</f>
        <v>9.1029999999999998</v>
      </c>
      <c r="D269" s="281" t="s">
        <v>8854</v>
      </c>
      <c r="E269" s="259"/>
      <c r="F269" s="268"/>
      <c r="G269" s="259"/>
      <c r="H269" s="281"/>
      <c r="I269" s="272"/>
      <c r="J269" s="272"/>
      <c r="K269" s="261"/>
      <c r="L269" s="261"/>
    </row>
    <row r="270" spans="1:12" ht="15.75" customHeight="1">
      <c r="A270" s="249" t="s">
        <v>9158</v>
      </c>
      <c r="B270" s="261" t="s">
        <v>9159</v>
      </c>
      <c r="C270" s="259">
        <f t="shared" ref="C270:C273" si="8">E126</f>
        <v>22.074100000000001</v>
      </c>
      <c r="D270" s="281" t="s">
        <v>8921</v>
      </c>
      <c r="E270" s="259"/>
      <c r="F270" s="268"/>
      <c r="G270" s="259"/>
      <c r="H270" s="281"/>
      <c r="I270" s="272"/>
      <c r="J270" s="272"/>
      <c r="K270" s="261"/>
      <c r="L270" s="261"/>
    </row>
    <row r="271" spans="1:12" ht="15.75" customHeight="1">
      <c r="A271" s="249" t="s">
        <v>9160</v>
      </c>
      <c r="B271" s="261" t="s">
        <v>9161</v>
      </c>
      <c r="C271" s="259">
        <f t="shared" si="8"/>
        <v>35.075099999999999</v>
      </c>
      <c r="D271" s="281" t="s">
        <v>8921</v>
      </c>
      <c r="E271" s="259"/>
      <c r="F271" s="268"/>
      <c r="G271" s="259"/>
      <c r="H271" s="281"/>
      <c r="I271" s="272"/>
      <c r="J271" s="272"/>
      <c r="K271" s="261"/>
      <c r="L271" s="261"/>
    </row>
    <row r="272" spans="1:12" ht="15.75" customHeight="1">
      <c r="A272" s="249" t="s">
        <v>9162</v>
      </c>
      <c r="B272" s="261" t="s">
        <v>9163</v>
      </c>
      <c r="C272" s="259">
        <f t="shared" si="8"/>
        <v>26.2745</v>
      </c>
      <c r="D272" s="281" t="s">
        <v>8921</v>
      </c>
      <c r="E272" s="259"/>
      <c r="F272" s="268"/>
      <c r="G272" s="259"/>
      <c r="H272" s="281"/>
      <c r="I272" s="272"/>
      <c r="J272" s="272"/>
      <c r="K272" s="261"/>
      <c r="L272" s="261"/>
    </row>
    <row r="273" spans="1:12" ht="15.75" customHeight="1">
      <c r="A273" s="371"/>
      <c r="B273" s="302" t="s">
        <v>9164</v>
      </c>
      <c r="C273" s="308">
        <f t="shared" si="8"/>
        <v>30.474799999999998</v>
      </c>
      <c r="D273" s="305" t="s">
        <v>8921</v>
      </c>
      <c r="E273" s="308"/>
      <c r="F273" s="303"/>
      <c r="G273" s="308"/>
      <c r="H273" s="305"/>
      <c r="I273" s="272"/>
      <c r="J273" s="272"/>
      <c r="K273" s="261"/>
      <c r="L273" s="261"/>
    </row>
    <row r="274" spans="1:12" ht="15.75" customHeight="1">
      <c r="A274" s="431" t="s">
        <v>9165</v>
      </c>
      <c r="B274" s="281"/>
      <c r="C274" s="405"/>
      <c r="D274" s="313"/>
      <c r="E274" s="687"/>
      <c r="F274" s="319"/>
      <c r="G274" s="405"/>
      <c r="H274" s="281"/>
      <c r="I274" s="272"/>
      <c r="J274" s="272"/>
      <c r="K274" s="261"/>
      <c r="L274" s="261"/>
    </row>
    <row r="275" spans="1:12" ht="15.75" customHeight="1">
      <c r="A275" s="267" t="s">
        <v>9166</v>
      </c>
      <c r="B275" s="442" t="s">
        <v>9167</v>
      </c>
      <c r="C275" s="259"/>
      <c r="D275" s="320"/>
      <c r="E275" s="259">
        <f>C119</f>
        <v>3.2309999999999999</v>
      </c>
      <c r="F275" s="442"/>
      <c r="G275" s="282"/>
      <c r="H275" s="275"/>
      <c r="I275" s="272"/>
      <c r="J275" s="272"/>
      <c r="K275" s="261"/>
      <c r="L275" s="261"/>
    </row>
    <row r="276" spans="1:12" ht="15.75" customHeight="1">
      <c r="A276" s="259" t="s">
        <v>9168</v>
      </c>
      <c r="B276" s="267"/>
      <c r="C276" s="432" t="str">
        <f>D122</f>
        <v>不根切</v>
      </c>
      <c r="D276" s="730"/>
      <c r="E276" s="432"/>
      <c r="F276" s="741"/>
      <c r="G276" s="432"/>
      <c r="H276" s="275"/>
      <c r="I276" s="272"/>
      <c r="J276" s="272"/>
      <c r="K276" s="261"/>
      <c r="L276" s="261"/>
    </row>
    <row r="277" spans="1:12" ht="15.75" customHeight="1">
      <c r="A277" s="282" t="s">
        <v>9169</v>
      </c>
      <c r="B277" s="267"/>
      <c r="C277" s="432" t="str">
        <f>D120</f>
        <v>齿顶未变尖</v>
      </c>
      <c r="D277" s="730"/>
      <c r="E277" s="432"/>
      <c r="F277" s="741"/>
      <c r="G277" s="432" t="str">
        <f>H120</f>
        <v>齿顶未变尖</v>
      </c>
      <c r="H277" s="275"/>
      <c r="I277" s="272"/>
      <c r="J277" s="272"/>
      <c r="K277" s="261"/>
      <c r="L277" s="261"/>
    </row>
    <row r="278" spans="1:12" ht="15.75" customHeight="1">
      <c r="A278" s="443"/>
      <c r="B278" s="308"/>
      <c r="C278" s="444"/>
      <c r="D278" s="305"/>
      <c r="E278" s="444"/>
      <c r="F278" s="742"/>
      <c r="G278" s="445"/>
      <c r="H278" s="305"/>
      <c r="I278" s="272"/>
      <c r="J278" s="272"/>
      <c r="K278" s="261"/>
      <c r="L278" s="261"/>
    </row>
    <row r="279" spans="1:12" ht="15.75" customHeight="1">
      <c r="A279" s="431" t="s">
        <v>9170</v>
      </c>
      <c r="B279" s="281"/>
      <c r="C279" s="730" t="str">
        <f>IF(OR(C33="",C34="",C35=""),"             （未输入精度等级）","（按 GB10095—88 渐开线圆柱齿轮 精度，GB10096—88 齿条精度）")</f>
        <v>（按 GB10095—88 渐开线圆柱齿轮 精度，GB10096—88 齿条精度）</v>
      </c>
      <c r="D279" s="313"/>
      <c r="E279" s="687"/>
      <c r="F279" s="319"/>
      <c r="G279" s="405"/>
      <c r="H279" s="281"/>
      <c r="I279" s="272"/>
      <c r="J279" s="272"/>
      <c r="K279" s="261"/>
      <c r="L279" s="261"/>
    </row>
    <row r="280" spans="1:12" ht="15.75" customHeight="1">
      <c r="A280" s="259" t="s">
        <v>9171</v>
      </c>
      <c r="B280" s="405" t="s">
        <v>9172</v>
      </c>
      <c r="C280" s="405"/>
      <c r="D280" s="282"/>
      <c r="E280" s="282">
        <f>IF(OR(C33=0,C34=0,C35=0),"",C33)</f>
        <v>8</v>
      </c>
      <c r="F280" s="282"/>
      <c r="G280" s="405"/>
      <c r="H280" s="281"/>
      <c r="I280" s="259"/>
      <c r="J280" s="272"/>
      <c r="K280" s="261"/>
      <c r="L280" s="261"/>
    </row>
    <row r="281" spans="1:12" ht="15.75" customHeight="1">
      <c r="A281" s="404"/>
      <c r="B281" s="405" t="s">
        <v>9173</v>
      </c>
      <c r="C281" s="405"/>
      <c r="D281" s="282"/>
      <c r="E281" s="282">
        <f>IF(OR(C33=0,C34=0,C35=0),"",C34)</f>
        <v>7</v>
      </c>
      <c r="F281" s="320"/>
      <c r="G281" s="405"/>
      <c r="H281" s="281"/>
      <c r="I281" s="272"/>
      <c r="J281" s="272"/>
      <c r="K281" s="261"/>
      <c r="L281" s="261"/>
    </row>
    <row r="282" spans="1:12" ht="15.75" customHeight="1">
      <c r="A282" s="404"/>
      <c r="B282" s="405" t="s">
        <v>9174</v>
      </c>
      <c r="C282" s="405"/>
      <c r="D282" s="282"/>
      <c r="E282" s="282">
        <f>IF(OR(C33=0,C34=0,C35=0),"",C35)</f>
        <v>7</v>
      </c>
      <c r="F282" s="282"/>
      <c r="G282" s="405"/>
      <c r="H282" s="281"/>
      <c r="I282" s="272"/>
      <c r="J282" s="272"/>
      <c r="K282" s="261"/>
      <c r="L282" s="261"/>
    </row>
    <row r="283" spans="1:12" ht="15.75" customHeight="1">
      <c r="A283" s="322" t="s">
        <v>9175</v>
      </c>
      <c r="B283" s="309" t="s">
        <v>9176</v>
      </c>
      <c r="C283" s="268" t="str">
        <f>IF(OR(C33=0,C34=0,C35=0,C45&lt;&gt;""),"",F203)</f>
        <v/>
      </c>
      <c r="D283" s="298"/>
      <c r="E283" s="255"/>
      <c r="F283" s="298"/>
      <c r="G283" s="268" t="str">
        <f>IF(OR(C33=0,C34=0,C35=0,C47&lt;&gt;""),"",F205)</f>
        <v/>
      </c>
      <c r="H283" s="281"/>
      <c r="I283" s="272"/>
      <c r="J283" s="272"/>
      <c r="K283" s="261"/>
      <c r="L283" s="261"/>
    </row>
    <row r="284" spans="1:12" ht="15.75" customHeight="1">
      <c r="A284" s="322"/>
      <c r="B284" s="309" t="s">
        <v>9177</v>
      </c>
      <c r="C284" s="268" t="str">
        <f>IF(OR(C33=0,C34=0,C35=0,C46&lt;&gt;""),"",F204)</f>
        <v/>
      </c>
      <c r="D284" s="298"/>
      <c r="E284" s="255"/>
      <c r="F284" s="298"/>
      <c r="G284" s="268" t="str">
        <f>IF(OR(C33=0,C34=0,C35=0,C48&lt;&gt;""),"",F206)</f>
        <v/>
      </c>
      <c r="H284" s="281"/>
      <c r="I284" s="272"/>
      <c r="J284" s="272"/>
      <c r="K284" s="261"/>
      <c r="L284" s="261"/>
    </row>
    <row r="285" spans="1:12" ht="15.75" customHeight="1">
      <c r="A285" s="259" t="s">
        <v>9073</v>
      </c>
      <c r="B285" s="268" t="s">
        <v>9178</v>
      </c>
      <c r="C285" s="259">
        <f>IF(OR(C33=0,C34=0,C35=0),"",C200)</f>
        <v>-0.1</v>
      </c>
      <c r="D285" s="281" t="s">
        <v>8854</v>
      </c>
      <c r="E285" s="259"/>
      <c r="F285" s="268"/>
      <c r="G285" s="259">
        <f>IF(OR(C33=0,C34=0,C35=0),"",G200)</f>
        <v>-0.15</v>
      </c>
      <c r="H285" s="281" t="s">
        <v>8854</v>
      </c>
      <c r="I285" s="272"/>
      <c r="J285" s="272"/>
      <c r="K285" s="261"/>
      <c r="L285" s="261"/>
    </row>
    <row r="286" spans="1:12" ht="15.75" customHeight="1">
      <c r="A286" s="259" t="s">
        <v>9076</v>
      </c>
      <c r="B286" s="268" t="s">
        <v>9179</v>
      </c>
      <c r="C286" s="259">
        <f>IF(OR(C33=0,C34=0,C35=0),"",C201)</f>
        <v>-0.2</v>
      </c>
      <c r="D286" s="281" t="s">
        <v>8854</v>
      </c>
      <c r="E286" s="259"/>
      <c r="F286" s="268"/>
      <c r="G286" s="259">
        <f>IF(OR(C33=0,C34=0,C35=0),"",G201)</f>
        <v>-0.25</v>
      </c>
      <c r="H286" s="281" t="s">
        <v>8854</v>
      </c>
      <c r="I286" s="272"/>
      <c r="J286" s="272"/>
      <c r="K286" s="261"/>
      <c r="L286" s="261"/>
    </row>
    <row r="287" spans="1:12" ht="15.75" customHeight="1">
      <c r="A287" s="259" t="s">
        <v>9180</v>
      </c>
      <c r="B287" s="268" t="s">
        <v>9181</v>
      </c>
      <c r="C287" s="259">
        <f>IF(OR(C33=0,C34=0,C35=0),"",C202)</f>
        <v>0.1</v>
      </c>
      <c r="D287" s="281" t="s">
        <v>8854</v>
      </c>
      <c r="E287" s="259"/>
      <c r="F287" s="268"/>
      <c r="G287" s="259">
        <f>IF(OR(C33=0,C34=0,C35=0),"",G202)</f>
        <v>0.1</v>
      </c>
      <c r="H287" s="281" t="s">
        <v>8854</v>
      </c>
      <c r="I287" s="272"/>
      <c r="J287" s="272"/>
      <c r="K287" s="261"/>
      <c r="L287" s="261"/>
    </row>
    <row r="288" spans="1:12" ht="15.75" customHeight="1">
      <c r="A288" s="249" t="s">
        <v>9182</v>
      </c>
      <c r="B288" s="268" t="s">
        <v>9183</v>
      </c>
      <c r="C288" s="259"/>
      <c r="D288" s="281"/>
      <c r="E288" s="259">
        <f>IF(OR(C33=0,C34=0,C35=0),"",ABS(C285+G285))</f>
        <v>0.25</v>
      </c>
      <c r="F288" s="281" t="s">
        <v>8854</v>
      </c>
      <c r="G288" s="259"/>
      <c r="H288" s="281"/>
      <c r="I288" s="272"/>
      <c r="J288" s="272"/>
      <c r="K288" s="261"/>
      <c r="L288" s="261"/>
    </row>
    <row r="289" spans="1:12" ht="15.75" customHeight="1">
      <c r="A289" s="249" t="s">
        <v>9184</v>
      </c>
      <c r="B289" s="268" t="s">
        <v>9185</v>
      </c>
      <c r="C289" s="259"/>
      <c r="D289" s="281"/>
      <c r="E289" s="259">
        <f>IF(OR(C33=0,C34=0,C35=0),"",ABS(C286+G286))</f>
        <v>0.45</v>
      </c>
      <c r="F289" s="281" t="s">
        <v>8854</v>
      </c>
      <c r="G289" s="259"/>
      <c r="H289" s="281"/>
      <c r="I289" s="272"/>
      <c r="J289" s="272"/>
      <c r="K289" s="261"/>
      <c r="L289" s="261"/>
    </row>
    <row r="290" spans="1:12" ht="15.75" customHeight="1">
      <c r="A290" s="375" t="s">
        <v>9082</v>
      </c>
      <c r="B290" s="268"/>
      <c r="C290" s="259"/>
      <c r="D290" s="281"/>
      <c r="E290" s="259"/>
      <c r="F290" s="281"/>
      <c r="G290" s="259"/>
      <c r="H290" s="281"/>
      <c r="I290" s="272"/>
      <c r="J290" s="272"/>
      <c r="K290" s="261"/>
      <c r="L290" s="261"/>
    </row>
    <row r="291" spans="1:12" ht="15.75" customHeight="1">
      <c r="A291" s="293" t="s">
        <v>9186</v>
      </c>
      <c r="B291" s="268" t="s">
        <v>9083</v>
      </c>
      <c r="C291" s="259">
        <f>IF(OR(C33=0,C34=0,C35=0),"",C208)</f>
        <v>-0.105</v>
      </c>
      <c r="D291" s="281" t="s">
        <v>8854</v>
      </c>
      <c r="E291" s="259"/>
      <c r="F291" s="281"/>
      <c r="G291" s="259"/>
      <c r="H291" s="281"/>
      <c r="I291" s="272"/>
      <c r="J291" s="272"/>
      <c r="K291" s="261"/>
      <c r="L291" s="261"/>
    </row>
    <row r="292" spans="1:12" ht="15.75" customHeight="1">
      <c r="A292" s="352"/>
      <c r="B292" s="268" t="s">
        <v>9084</v>
      </c>
      <c r="C292" s="259">
        <f>IF(OR(C33=0,C34=0,C35=0),"",C209)</f>
        <v>-0.17699999999999999</v>
      </c>
      <c r="D292" s="281" t="s">
        <v>8854</v>
      </c>
      <c r="E292" s="259"/>
      <c r="F292" s="281"/>
      <c r="G292" s="259"/>
      <c r="H292" s="281"/>
      <c r="I292" s="272"/>
      <c r="J292" s="272"/>
      <c r="K292" s="261"/>
      <c r="L292" s="261"/>
    </row>
    <row r="293" spans="1:12" ht="15.75" customHeight="1">
      <c r="A293" s="352"/>
      <c r="B293" s="268" t="s">
        <v>9085</v>
      </c>
      <c r="C293" s="259">
        <f>IF(OR(C33=0,C34=0,C35=0),"",C210)</f>
        <v>7.1999999999999995E-2</v>
      </c>
      <c r="D293" s="281" t="s">
        <v>8854</v>
      </c>
      <c r="E293" s="259"/>
      <c r="F293" s="281"/>
      <c r="G293" s="259"/>
      <c r="H293" s="281"/>
      <c r="I293" s="272"/>
      <c r="J293" s="272"/>
      <c r="K293" s="261"/>
      <c r="L293" s="261"/>
    </row>
    <row r="294" spans="1:12" ht="15.75" customHeight="1">
      <c r="A294" s="375" t="s">
        <v>9086</v>
      </c>
      <c r="B294" s="743"/>
      <c r="C294" s="269"/>
      <c r="D294" s="264"/>
      <c r="E294" s="259"/>
      <c r="F294" s="281"/>
      <c r="G294" s="269"/>
      <c r="H294" s="264"/>
      <c r="I294" s="272"/>
      <c r="J294" s="272"/>
      <c r="K294" s="261"/>
      <c r="L294" s="261"/>
    </row>
    <row r="295" spans="1:12" ht="15.75" customHeight="1">
      <c r="A295" s="293" t="s">
        <v>9186</v>
      </c>
      <c r="B295" s="268" t="s">
        <v>9087</v>
      </c>
      <c r="C295" s="259">
        <f>IF(OR(C33=0,C34=0,C35=0),"",C212)</f>
        <v>-0.219</v>
      </c>
      <c r="D295" s="281" t="s">
        <v>8854</v>
      </c>
      <c r="E295" s="259"/>
      <c r="F295" s="281"/>
      <c r="G295" s="259">
        <f>IF(OR(C33=0,C34=0,C35=0),"",G212)</f>
        <v>-0.20599999999999999</v>
      </c>
      <c r="H295" s="281" t="s">
        <v>8854</v>
      </c>
      <c r="I295" s="272"/>
      <c r="J295" s="272"/>
      <c r="K295" s="261"/>
      <c r="L295" s="261"/>
    </row>
    <row r="296" spans="1:12" ht="15.75" customHeight="1">
      <c r="A296" s="352"/>
      <c r="B296" s="268" t="s">
        <v>9088</v>
      </c>
      <c r="C296" s="259">
        <f>IF(OR(C33=0,C34=0,C35=0),"",C213)</f>
        <v>-0.36899999999999999</v>
      </c>
      <c r="D296" s="281" t="s">
        <v>8854</v>
      </c>
      <c r="E296" s="259"/>
      <c r="F296" s="281"/>
      <c r="G296" s="259">
        <f>IF(OR(C33=0,C34=0,C35=0),"",G213)</f>
        <v>-0.34300000000000003</v>
      </c>
      <c r="H296" s="281" t="s">
        <v>8854</v>
      </c>
      <c r="I296" s="272"/>
      <c r="J296" s="272"/>
      <c r="K296" s="261"/>
      <c r="L296" s="261"/>
    </row>
    <row r="297" spans="1:12" ht="15.75" customHeight="1">
      <c r="A297" s="352"/>
      <c r="B297" s="268" t="s">
        <v>9089</v>
      </c>
      <c r="C297" s="259">
        <f>IF(OR(C33=0,C34=0,C35=0),"",C214)</f>
        <v>0.15</v>
      </c>
      <c r="D297" s="281" t="s">
        <v>8854</v>
      </c>
      <c r="E297" s="259"/>
      <c r="F297" s="281"/>
      <c r="G297" s="259">
        <f>IF(OR(C33=0,C34=0,C35=0),"",G214)</f>
        <v>0</v>
      </c>
      <c r="H297" s="281" t="s">
        <v>8854</v>
      </c>
      <c r="I297" s="272"/>
      <c r="J297" s="272"/>
      <c r="K297" s="261"/>
      <c r="L297" s="261"/>
    </row>
    <row r="298" spans="1:12" ht="15.75" customHeight="1">
      <c r="A298" s="259" t="s">
        <v>9067</v>
      </c>
      <c r="B298" s="268" t="s">
        <v>9187</v>
      </c>
      <c r="C298" s="259">
        <f>IF(OR(C33=0,C34=0,C35=0),"",C198/1000)</f>
        <v>6.0999999999999999E-2</v>
      </c>
      <c r="D298" s="281" t="s">
        <v>8854</v>
      </c>
      <c r="E298" s="259"/>
      <c r="F298" s="268"/>
      <c r="G298" s="259">
        <f>IF(OR(C33=0,C34=0,C35=0),"",G198/1000)</f>
        <v>0.215</v>
      </c>
      <c r="H298" s="281" t="s">
        <v>8854</v>
      </c>
      <c r="I298" s="272"/>
      <c r="J298" s="272"/>
      <c r="K298" s="261"/>
      <c r="L298" s="261"/>
    </row>
    <row r="299" spans="1:12" ht="15.75" customHeight="1">
      <c r="A299" s="432" t="s">
        <v>9070</v>
      </c>
      <c r="B299" s="268" t="s">
        <v>9188</v>
      </c>
      <c r="C299" s="259">
        <f>IF(OR(C33=0,C34=0,C35=0),"",C199/1000)</f>
        <v>1.4999999999999999E-2</v>
      </c>
      <c r="D299" s="281" t="s">
        <v>8854</v>
      </c>
      <c r="E299" s="259"/>
      <c r="F299" s="268"/>
      <c r="G299" s="259">
        <f>IF(OR(C33=0,C34=0,C35=0),"",G199/1000)</f>
        <v>4.4999999999999998E-2</v>
      </c>
      <c r="H299" s="281" t="s">
        <v>8854</v>
      </c>
      <c r="I299" s="272"/>
      <c r="J299" s="272"/>
      <c r="K299" s="261"/>
      <c r="L299" s="261"/>
    </row>
    <row r="300" spans="1:12" ht="15.75" customHeight="1">
      <c r="A300" s="267" t="s">
        <v>9189</v>
      </c>
      <c r="B300" s="268" t="s">
        <v>9190</v>
      </c>
      <c r="C300" s="259">
        <f>IF(OR(C33=0,C34=0,C35=0),"",C132/1000)</f>
        <v>0.05</v>
      </c>
      <c r="D300" s="281" t="s">
        <v>8854</v>
      </c>
      <c r="E300" s="448"/>
      <c r="F300" s="268"/>
      <c r="G300" s="259">
        <f>IF(OR(C33=0,C34=0,C35=0),"",G132/1000)</f>
        <v>0.19</v>
      </c>
      <c r="H300" s="281" t="s">
        <v>8854</v>
      </c>
      <c r="I300" s="272"/>
      <c r="J300" s="272"/>
      <c r="K300" s="261"/>
      <c r="L300" s="261"/>
    </row>
    <row r="301" spans="1:12" ht="15.75" customHeight="1">
      <c r="A301" s="267" t="s">
        <v>11028</v>
      </c>
      <c r="B301" s="268" t="s">
        <v>9192</v>
      </c>
      <c r="C301" s="259">
        <f>IF(OR(C33=0,C34=0,C35=0),"",C154/1000)</f>
        <v>1.4E-2</v>
      </c>
      <c r="D301" s="281" t="s">
        <v>8854</v>
      </c>
      <c r="E301" s="448"/>
      <c r="F301" s="268"/>
      <c r="G301" s="259">
        <f>IF(OR(C33=0,C34=0,C35=0),"",G154/1000)</f>
        <v>0.02</v>
      </c>
      <c r="H301" s="281" t="s">
        <v>8854</v>
      </c>
      <c r="I301" s="272"/>
      <c r="J301" s="272"/>
      <c r="K301" s="261"/>
      <c r="L301" s="261"/>
    </row>
    <row r="302" spans="1:12" ht="15.75" customHeight="1">
      <c r="A302" s="249" t="s">
        <v>9193</v>
      </c>
      <c r="B302" s="293" t="s">
        <v>9194</v>
      </c>
      <c r="C302" s="259">
        <f>IF(OR(C33=0,C34=0,C35=0),"",C166/1000)</f>
        <v>1.2999999999999999E-2</v>
      </c>
      <c r="D302" s="281" t="s">
        <v>8854</v>
      </c>
      <c r="E302" s="448"/>
      <c r="F302" s="268"/>
      <c r="G302" s="259"/>
      <c r="H302" s="281"/>
      <c r="I302" s="272"/>
      <c r="J302" s="272"/>
      <c r="K302" s="261"/>
      <c r="L302" s="261"/>
    </row>
    <row r="303" spans="1:12" ht="15.75" customHeight="1">
      <c r="A303" s="249" t="s">
        <v>9195</v>
      </c>
      <c r="B303" s="268" t="s">
        <v>9196</v>
      </c>
      <c r="C303" s="259">
        <f>IF(OR(C33=0,C34=0,C35=0),"",C178/1000)</f>
        <v>1.0999999999999999E-2</v>
      </c>
      <c r="D303" s="281" t="s">
        <v>8854</v>
      </c>
      <c r="E303" s="448"/>
      <c r="F303" s="268"/>
      <c r="G303" s="259">
        <f>IF(OR(C33=0,C34=0,C35=0),"",G178/1000)</f>
        <v>2.5000000000000001E-2</v>
      </c>
      <c r="H303" s="281" t="s">
        <v>8854</v>
      </c>
      <c r="I303" s="272"/>
      <c r="J303" s="272"/>
      <c r="K303" s="261"/>
      <c r="L303" s="261"/>
    </row>
    <row r="304" spans="1:12" ht="15.75" customHeight="1">
      <c r="A304" s="249" t="s">
        <v>9197</v>
      </c>
      <c r="B304" s="279" t="s">
        <v>9063</v>
      </c>
      <c r="C304" s="259"/>
      <c r="D304" s="281"/>
      <c r="E304" s="259">
        <f>IF(OR(C33=0,C34=0,C35=0),"",C190/1000)</f>
        <v>1.0999999999999999E-2</v>
      </c>
      <c r="F304" s="281" t="s">
        <v>8854</v>
      </c>
      <c r="G304" s="259"/>
      <c r="H304" s="281"/>
      <c r="I304" s="272"/>
      <c r="J304" s="272"/>
      <c r="K304" s="261"/>
      <c r="L304" s="261"/>
    </row>
    <row r="305" spans="1:12">
      <c r="A305" s="282" t="s">
        <v>9064</v>
      </c>
      <c r="B305" s="281" t="s">
        <v>9065</v>
      </c>
      <c r="C305" s="259"/>
      <c r="D305" s="292"/>
      <c r="E305" s="744">
        <f>IF(OR(C33=0,C34=0,C35=0),"",C196/100)</f>
        <v>0.45</v>
      </c>
      <c r="F305" s="292"/>
      <c r="G305" s="447"/>
      <c r="H305" s="448"/>
      <c r="I305" s="272"/>
      <c r="J305" s="272"/>
      <c r="K305" s="261"/>
      <c r="L305" s="261"/>
    </row>
    <row r="306" spans="1:12" ht="15.75" customHeight="1">
      <c r="A306" s="282"/>
      <c r="B306" s="281" t="s">
        <v>9066</v>
      </c>
      <c r="C306" s="259"/>
      <c r="D306" s="292"/>
      <c r="E306" s="744">
        <f>IF(OR(C33=0,C34=0,C35=0),"",C197/100)</f>
        <v>0.6</v>
      </c>
      <c r="F306" s="292"/>
      <c r="G306" s="447"/>
      <c r="H306" s="448"/>
      <c r="I306" s="272"/>
      <c r="J306" s="272"/>
      <c r="K306" s="261"/>
      <c r="L306" s="261"/>
    </row>
    <row r="307" spans="1:12" ht="15.75" customHeight="1">
      <c r="A307" s="296" t="s">
        <v>9198</v>
      </c>
      <c r="B307" s="268" t="s">
        <v>9091</v>
      </c>
      <c r="C307" s="259"/>
      <c r="D307" s="292"/>
      <c r="E307" s="282">
        <f>IF(OR(C33=0,C34=0,C35=0),"",C215/1000)</f>
        <v>1.0999999999999999E-2</v>
      </c>
      <c r="F307" s="281" t="s">
        <v>8854</v>
      </c>
      <c r="G307" s="447"/>
      <c r="H307" s="448"/>
      <c r="I307" s="751"/>
      <c r="J307" s="272"/>
      <c r="K307" s="261"/>
      <c r="L307" s="261"/>
    </row>
    <row r="308" spans="1:12" ht="15.75" customHeight="1">
      <c r="A308" s="309" t="s">
        <v>9092</v>
      </c>
      <c r="B308" s="268" t="s">
        <v>9093</v>
      </c>
      <c r="C308" s="259"/>
      <c r="D308" s="292"/>
      <c r="E308" s="282">
        <f>IF(OR(C33=0,C34=0,C35=0),"",C216/1000)</f>
        <v>5.4999999999999997E-3</v>
      </c>
      <c r="F308" s="281" t="s">
        <v>8854</v>
      </c>
      <c r="G308" s="447"/>
      <c r="H308" s="448"/>
      <c r="I308" s="272"/>
      <c r="J308" s="272"/>
      <c r="K308" s="261"/>
      <c r="L308" s="261"/>
    </row>
    <row r="309" spans="1:12" ht="15.75" customHeight="1">
      <c r="A309" s="249" t="s">
        <v>9094</v>
      </c>
      <c r="B309" s="293" t="s">
        <v>9095</v>
      </c>
      <c r="C309" s="259"/>
      <c r="D309" s="292"/>
      <c r="E309" s="282">
        <f>IF(OR(C33=0,C34=0,C35=0),"",C217/1000)</f>
        <v>1.95E-2</v>
      </c>
      <c r="F309" s="281" t="s">
        <v>8854</v>
      </c>
      <c r="G309" s="447"/>
      <c r="H309" s="448"/>
      <c r="I309" s="272"/>
      <c r="J309" s="272"/>
      <c r="K309" s="261"/>
      <c r="L309" s="261"/>
    </row>
    <row r="310" spans="1:12">
      <c r="A310" s="320" t="s">
        <v>9097</v>
      </c>
      <c r="B310" s="259"/>
      <c r="C310" s="259"/>
      <c r="D310" s="281"/>
      <c r="E310" s="448"/>
      <c r="F310" s="448"/>
      <c r="G310" s="259"/>
      <c r="H310" s="281"/>
      <c r="I310" s="272"/>
      <c r="J310" s="272"/>
      <c r="K310" s="261"/>
      <c r="L310" s="261"/>
    </row>
    <row r="311" spans="1:12" ht="15.75" customHeight="1">
      <c r="A311" s="282" t="s">
        <v>9098</v>
      </c>
      <c r="B311" s="309"/>
      <c r="C311" s="259" t="str">
        <f>IF(OR(C33=0,C34=0,C35=0),"",C220)</f>
        <v>IT7</v>
      </c>
      <c r="D311" s="320" t="str">
        <f>IF(OR(C33=0,C34=0,C35=0),"","GB 1800—79")</f>
        <v>GB 1800—79</v>
      </c>
      <c r="E311" s="259"/>
      <c r="F311" s="320"/>
      <c r="G311" s="259"/>
      <c r="H311" s="281"/>
      <c r="I311" s="272"/>
      <c r="J311" s="272"/>
      <c r="K311" s="261"/>
      <c r="L311" s="261"/>
    </row>
    <row r="312" spans="1:12" ht="15.75" customHeight="1">
      <c r="A312" s="282" t="s">
        <v>9099</v>
      </c>
      <c r="B312" s="309"/>
      <c r="C312" s="259" t="str">
        <f>IF(OR(C33=0,C34=0,C35=0),"",C221)</f>
        <v>IT6</v>
      </c>
      <c r="D312" s="320" t="str">
        <f>IF(OR(C33=0,C34=0,C35=0),"","GB 1800—79")</f>
        <v>GB 1800—79</v>
      </c>
      <c r="E312" s="259"/>
      <c r="F312" s="320"/>
      <c r="G312" s="259"/>
      <c r="H312" s="281"/>
      <c r="I312" s="272"/>
      <c r="J312" s="272"/>
      <c r="K312" s="261"/>
      <c r="L312" s="261"/>
    </row>
    <row r="313" spans="1:12" ht="15.75" customHeight="1">
      <c r="A313" s="320" t="s">
        <v>9199</v>
      </c>
      <c r="B313" s="281"/>
      <c r="C313" s="259" t="str">
        <f>IF(OR(C33=0,C34=0,C35=0),"",C222)</f>
        <v>IT8</v>
      </c>
      <c r="D313" s="320" t="str">
        <f>IF(OR(C33=0,C34=0,C35=0),"","GB 1800—79")</f>
        <v>GB 1800—79</v>
      </c>
      <c r="E313" s="259"/>
      <c r="F313" s="320"/>
      <c r="G313" s="259"/>
      <c r="H313" s="281"/>
      <c r="I313" s="272"/>
      <c r="J313" s="272"/>
      <c r="K313" s="261"/>
      <c r="L313" s="261"/>
    </row>
    <row r="314" spans="1:12" ht="15.75" customHeight="1">
      <c r="A314" s="307" t="s">
        <v>9200</v>
      </c>
      <c r="B314" s="281"/>
      <c r="C314" s="745" t="str">
        <f>IF(OR(C33=0,C34=0,C35=0),"",E222)</f>
        <v>IT11， 但不大于</v>
      </c>
      <c r="D314" s="700">
        <f>IF(OR(C33=0,C34=0,C35=0),"",F222)</f>
        <v>0.15</v>
      </c>
      <c r="E314" s="305" t="str">
        <f>IF(OR(C33=0,C34=0,C35=0),"","毫米")</f>
        <v>毫米</v>
      </c>
      <c r="F314" s="245"/>
      <c r="G314" s="307"/>
      <c r="H314" s="305"/>
      <c r="I314" s="272"/>
      <c r="J314" s="272"/>
      <c r="K314" s="261"/>
      <c r="L314" s="261"/>
    </row>
    <row r="315" spans="1:12" ht="15.75" customHeight="1">
      <c r="A315" s="369" t="s">
        <v>9201</v>
      </c>
      <c r="B315" s="746">
        <f>IF(OR(C33=0,C34=0,C35=0),"",IF(OR(E280&lt;&gt;E281,E280&lt;&gt;E282),E280,""))</f>
        <v>8</v>
      </c>
      <c r="C315" s="747">
        <f>IF(OR(C33=0,C34=0,C35=0),"",IF(OR(E280&lt;&gt;E281,E280&lt;&gt;E282),-E281,""))</f>
        <v>-7</v>
      </c>
      <c r="D315" s="748">
        <f>IF(OR(C33=0,C34=0,C35=0),"",IF(OR(E280&lt;&gt;E281,E280&lt;&gt;E282),-E282,E282))</f>
        <v>-7</v>
      </c>
      <c r="E315" s="747">
        <f>IF(OR(C33=0,C34=0,C35=0),"",IF(C45&lt;&gt;"",C45,F203))</f>
        <v>-0.1</v>
      </c>
      <c r="F315" s="748" t="str">
        <f>IF(OR(C33=0,C34=0,C35=0,C46&lt;&gt;""),"",F204)</f>
        <v/>
      </c>
      <c r="G315" s="431" t="str">
        <f>IF(OR(C33=0,C34=0,C35=0),"","GB 10096—88")</f>
        <v>GB 10096—88</v>
      </c>
      <c r="H315" s="749"/>
      <c r="I315" s="752"/>
      <c r="J315" s="272"/>
      <c r="K315" s="261"/>
      <c r="L315" s="261"/>
    </row>
    <row r="316" spans="1:12" ht="15.75" customHeight="1">
      <c r="A316" s="369"/>
      <c r="B316" s="750"/>
      <c r="C316" s="405"/>
      <c r="D316" s="431"/>
      <c r="E316" s="405">
        <f>IF(OR(C33=0,C34=0,C35=0),"",IF(C46&lt;&gt;"",C46,""))</f>
        <v>-0.2</v>
      </c>
      <c r="F316" s="431"/>
      <c r="G316" s="431"/>
      <c r="H316" s="320"/>
      <c r="I316" s="752"/>
      <c r="J316" s="272"/>
      <c r="K316" s="261"/>
      <c r="L316" s="261"/>
    </row>
    <row r="317" spans="1:12" ht="15.75" customHeight="1">
      <c r="A317" s="249" t="s">
        <v>9202</v>
      </c>
      <c r="B317" s="750">
        <f>IF(OR(C33=0,C34=0,C35=0),"",IF(OR(E280&lt;&gt;E281,E280&lt;&gt;E282),E280,""))</f>
        <v>8</v>
      </c>
      <c r="C317" s="405">
        <f>IF(OR(C33=0,C34=0,C35=0),"",IF(OR(E280&lt;&gt;E281,E280&lt;&gt;E282),-E281,""))</f>
        <v>-7</v>
      </c>
      <c r="D317" s="431">
        <f>IF(OR(C33=0,C34=0,C35=0),"",IF(OR(E280&lt;&gt;E281,E280&lt;&gt;E282),-E282,E282))</f>
        <v>-7</v>
      </c>
      <c r="E317" s="405">
        <f>IF(OR(C33=0,C34=0,C35=0),"",IF(C47&lt;&gt;"",C47,F205))</f>
        <v>-0.15</v>
      </c>
      <c r="F317" s="431" t="str">
        <f>IF(OR(C33=0,C34=0,C35=0,C48&lt;&gt;""),"",F206)</f>
        <v/>
      </c>
      <c r="G317" s="431" t="str">
        <f>IF(OR(C33=0,C34=0,C35=0),"","GB 10096—88")</f>
        <v>GB 10096—88</v>
      </c>
      <c r="H317" s="320"/>
      <c r="I317" s="752"/>
      <c r="J317" s="272"/>
      <c r="K317" s="261"/>
      <c r="L317" s="261"/>
    </row>
    <row r="318" spans="1:12" ht="15.75" customHeight="1">
      <c r="A318" s="249"/>
      <c r="B318" s="750"/>
      <c r="C318" s="405"/>
      <c r="D318" s="431"/>
      <c r="E318" s="405">
        <f>IF(OR(C33=0,C34=0,C35=0),"",IF(C48&lt;&gt;"",C48,""))</f>
        <v>-0.25</v>
      </c>
      <c r="F318" s="431"/>
      <c r="G318" s="431"/>
      <c r="H318" s="320"/>
      <c r="I318" s="752"/>
      <c r="J318" s="272"/>
      <c r="K318" s="261"/>
      <c r="L318" s="261"/>
    </row>
    <row r="319" spans="1:12" ht="15.75" customHeight="1">
      <c r="A319" s="371"/>
      <c r="B319" s="248"/>
      <c r="C319" s="245"/>
      <c r="D319" s="700"/>
      <c r="E319" s="245" t="str">
        <f>IF(OR(C33=0,C34=0,C35=0),"",IF(C45&lt;&gt;"","注：齿厚上、下偏差两边加括号",""))</f>
        <v>注：齿厚上、下偏差两边加括号</v>
      </c>
      <c r="F319" s="700"/>
      <c r="G319" s="245"/>
      <c r="H319" s="305"/>
      <c r="I319" s="272"/>
      <c r="J319" s="272"/>
      <c r="K319" s="455"/>
      <c r="L319" s="261"/>
    </row>
    <row r="320" spans="1:12" ht="15.75" customHeight="1">
      <c r="A320" s="258" t="s">
        <v>9203</v>
      </c>
      <c r="B320" s="281"/>
      <c r="C320" s="259"/>
      <c r="D320" s="281"/>
      <c r="E320" s="463"/>
      <c r="F320" s="448"/>
      <c r="G320" s="259"/>
      <c r="H320" s="281"/>
      <c r="I320" s="272"/>
      <c r="J320" s="272"/>
      <c r="K320" s="261"/>
      <c r="L320" s="261"/>
    </row>
    <row r="321" ht="15.75" customHeight="1"/>
    <row r="322" ht="15.75" customHeight="1"/>
    <row r="323" ht="15.75" customHeight="1"/>
    <row r="324" ht="15.75" customHeight="1"/>
    <row r="327" ht="15" customHeight="1"/>
    <row r="332" ht="15.75" customHeight="1"/>
    <row r="333" ht="15.75" customHeight="1"/>
    <row r="334" ht="15.75" customHeight="1"/>
    <row r="342" ht="15" customHeight="1"/>
    <row r="345" ht="15.75" customHeight="1"/>
    <row r="346" ht="15.75" customHeight="1"/>
    <row r="347" ht="15.75" customHeight="1"/>
    <row r="348" ht="15.75" customHeight="1"/>
    <row r="349" ht="15.75" customHeight="1"/>
    <row r="350" ht="15.75" customHeight="1"/>
    <row r="351" ht="15.75" customHeight="1"/>
  </sheetData>
  <phoneticPr fontId="378" type="noConversion"/>
  <pageMargins left="0.75" right="0.75" top="1" bottom="1" header="0.5" footer="0.5"/>
  <headerFooter scaleWithDoc="0" alignWithMargins="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3"/>
  <sheetViews>
    <sheetView workbookViewId="0">
      <pane ySplit="4" topLeftCell="A5" activePane="bottomLeft" state="frozen"/>
      <selection activeCell="K3" sqref="K3"/>
      <selection pane="bottomLeft" activeCell="K3" sqref="K3"/>
    </sheetView>
  </sheetViews>
  <sheetFormatPr defaultColWidth="9" defaultRowHeight="14.25"/>
  <cols>
    <col min="1" max="1" width="11.125" style="480" customWidth="1"/>
    <col min="2" max="2" width="16.5" style="480" customWidth="1"/>
    <col min="3" max="4" width="10.5" style="480"/>
    <col min="5" max="5" width="11.125" style="480"/>
    <col min="6" max="6" width="11.375" style="480"/>
    <col min="7" max="7" width="9.125" style="480" customWidth="1"/>
    <col min="8" max="8" width="7" style="480" customWidth="1"/>
    <col min="9" max="16384" width="9" style="480"/>
  </cols>
  <sheetData>
    <row r="1" spans="1:8" ht="22.5">
      <c r="A1" s="4425" t="s">
        <v>16</v>
      </c>
      <c r="B1" s="4425"/>
      <c r="C1" s="4425"/>
      <c r="D1" s="4425"/>
      <c r="E1" s="4425"/>
      <c r="F1" s="4425"/>
      <c r="G1" s="4425"/>
      <c r="H1" s="4425"/>
    </row>
    <row r="3" spans="1:8">
      <c r="A3" s="4426" t="s">
        <v>10466</v>
      </c>
      <c r="B3" s="4426" t="s">
        <v>10467</v>
      </c>
      <c r="C3" s="4426" t="s">
        <v>10468</v>
      </c>
      <c r="D3" s="4426"/>
      <c r="E3" s="4426" t="s">
        <v>104</v>
      </c>
      <c r="F3" s="4426"/>
      <c r="G3" s="4426" t="s">
        <v>10469</v>
      </c>
      <c r="H3" s="4426"/>
    </row>
    <row r="4" spans="1:8">
      <c r="A4" s="4430"/>
      <c r="B4" s="4430"/>
      <c r="C4" s="648" t="s">
        <v>10470</v>
      </c>
      <c r="D4" s="648" t="s">
        <v>10471</v>
      </c>
      <c r="E4" s="648" t="s">
        <v>10472</v>
      </c>
      <c r="F4" s="648" t="s">
        <v>10473</v>
      </c>
      <c r="G4" s="648" t="s">
        <v>10474</v>
      </c>
      <c r="H4" s="648" t="s">
        <v>10475</v>
      </c>
    </row>
    <row r="5" spans="1:8">
      <c r="A5" s="4427" t="s">
        <v>10476</v>
      </c>
      <c r="B5" s="4428"/>
      <c r="C5" s="4428"/>
      <c r="D5" s="4428"/>
      <c r="E5" s="4428"/>
      <c r="F5" s="4428"/>
      <c r="G5" s="4428"/>
      <c r="H5" s="4429"/>
    </row>
    <row r="6" spans="1:8">
      <c r="A6" s="4430">
        <v>45</v>
      </c>
      <c r="B6" s="4430" t="s">
        <v>10477</v>
      </c>
      <c r="C6" s="649" t="s">
        <v>10478</v>
      </c>
      <c r="D6" s="649" t="s">
        <v>10479</v>
      </c>
      <c r="E6" s="649">
        <v>588</v>
      </c>
      <c r="F6" s="649">
        <v>294</v>
      </c>
      <c r="G6" s="650" t="s">
        <v>10480</v>
      </c>
      <c r="H6" s="4430"/>
    </row>
    <row r="7" spans="1:8">
      <c r="A7" s="4434"/>
      <c r="B7" s="4434"/>
      <c r="C7" s="650" t="s">
        <v>10481</v>
      </c>
      <c r="D7" s="650" t="s">
        <v>10482</v>
      </c>
      <c r="E7" s="650">
        <v>569</v>
      </c>
      <c r="F7" s="650">
        <v>284</v>
      </c>
      <c r="G7" s="650" t="s">
        <v>10483</v>
      </c>
      <c r="H7" s="4434"/>
    </row>
    <row r="8" spans="1:8">
      <c r="A8" s="4434"/>
      <c r="B8" s="4434"/>
      <c r="C8" s="650" t="s">
        <v>10484</v>
      </c>
      <c r="D8" s="650" t="s">
        <v>10485</v>
      </c>
      <c r="E8" s="650">
        <v>549</v>
      </c>
      <c r="F8" s="650">
        <v>275</v>
      </c>
      <c r="G8" s="650" t="s">
        <v>10483</v>
      </c>
      <c r="H8" s="4434"/>
    </row>
    <row r="9" spans="1:8">
      <c r="A9" s="4434"/>
      <c r="B9" s="4435"/>
      <c r="C9" s="650" t="s">
        <v>10486</v>
      </c>
      <c r="D9" s="650" t="s">
        <v>10487</v>
      </c>
      <c r="E9" s="650">
        <v>530</v>
      </c>
      <c r="F9" s="650">
        <v>265</v>
      </c>
      <c r="G9" s="650" t="s">
        <v>10488</v>
      </c>
      <c r="H9" s="4434"/>
    </row>
    <row r="10" spans="1:8">
      <c r="A10" s="4434"/>
      <c r="B10" s="4430" t="s">
        <v>10489</v>
      </c>
      <c r="C10" s="649" t="s">
        <v>10478</v>
      </c>
      <c r="D10" s="649" t="s">
        <v>10479</v>
      </c>
      <c r="E10" s="650">
        <v>647</v>
      </c>
      <c r="F10" s="650">
        <v>373</v>
      </c>
      <c r="G10" s="650" t="s">
        <v>10490</v>
      </c>
      <c r="H10" s="4434"/>
    </row>
    <row r="11" spans="1:8">
      <c r="A11" s="4434"/>
      <c r="B11" s="4434"/>
      <c r="C11" s="650" t="s">
        <v>10481</v>
      </c>
      <c r="D11" s="650" t="s">
        <v>10482</v>
      </c>
      <c r="E11" s="650">
        <v>628</v>
      </c>
      <c r="F11" s="650">
        <v>343</v>
      </c>
      <c r="G11" s="650" t="s">
        <v>10491</v>
      </c>
      <c r="H11" s="4434"/>
    </row>
    <row r="12" spans="1:8">
      <c r="A12" s="4434"/>
      <c r="B12" s="4435"/>
      <c r="C12" s="650" t="s">
        <v>10484</v>
      </c>
      <c r="D12" s="650" t="s">
        <v>10485</v>
      </c>
      <c r="E12" s="650">
        <v>608</v>
      </c>
      <c r="F12" s="650">
        <v>314</v>
      </c>
      <c r="G12" s="650" t="s">
        <v>10492</v>
      </c>
      <c r="H12" s="4435"/>
    </row>
    <row r="13" spans="1:8">
      <c r="A13" s="4435"/>
      <c r="B13" s="484" t="s">
        <v>10493</v>
      </c>
      <c r="C13" s="4431"/>
      <c r="D13" s="4432"/>
      <c r="E13" s="4432"/>
      <c r="F13" s="4432"/>
      <c r="G13" s="4433"/>
      <c r="H13" s="650" t="s">
        <v>10494</v>
      </c>
    </row>
    <row r="14" spans="1:8">
      <c r="A14" s="4430" t="s">
        <v>413</v>
      </c>
      <c r="B14" s="4430" t="s">
        <v>10489</v>
      </c>
      <c r="C14" s="649" t="s">
        <v>10478</v>
      </c>
      <c r="D14" s="649" t="s">
        <v>10479</v>
      </c>
      <c r="E14" s="650">
        <v>785</v>
      </c>
      <c r="F14" s="650">
        <v>510</v>
      </c>
      <c r="G14" s="650" t="s">
        <v>10490</v>
      </c>
      <c r="H14" s="4430"/>
    </row>
    <row r="15" spans="1:8">
      <c r="A15" s="4434"/>
      <c r="B15" s="4434"/>
      <c r="C15" s="650" t="s">
        <v>10481</v>
      </c>
      <c r="D15" s="650" t="s">
        <v>10482</v>
      </c>
      <c r="E15" s="650">
        <v>735</v>
      </c>
      <c r="F15" s="650">
        <v>441</v>
      </c>
      <c r="G15" s="650" t="s">
        <v>10495</v>
      </c>
      <c r="H15" s="4434"/>
    </row>
    <row r="16" spans="1:8">
      <c r="A16" s="4434"/>
      <c r="B16" s="4434"/>
      <c r="C16" s="650" t="s">
        <v>10496</v>
      </c>
      <c r="D16" s="650" t="s">
        <v>10497</v>
      </c>
      <c r="E16" s="650">
        <v>686</v>
      </c>
      <c r="F16" s="650">
        <v>392</v>
      </c>
      <c r="G16" s="650" t="s">
        <v>10491</v>
      </c>
      <c r="H16" s="4434"/>
    </row>
    <row r="17" spans="1:8">
      <c r="A17" s="4434"/>
      <c r="B17" s="4435"/>
      <c r="C17" s="650" t="s">
        <v>10498</v>
      </c>
      <c r="D17" s="650" t="s">
        <v>10499</v>
      </c>
      <c r="E17" s="650">
        <v>637</v>
      </c>
      <c r="F17" s="650">
        <v>373</v>
      </c>
      <c r="G17" s="650" t="s">
        <v>10500</v>
      </c>
      <c r="H17" s="4435"/>
    </row>
    <row r="18" spans="1:8">
      <c r="A18" s="4435"/>
      <c r="B18" s="484" t="s">
        <v>10493</v>
      </c>
      <c r="C18" s="4431"/>
      <c r="D18" s="4432"/>
      <c r="E18" s="4432"/>
      <c r="F18" s="4432"/>
      <c r="G18" s="4433"/>
      <c r="H18" s="650" t="s">
        <v>10501</v>
      </c>
    </row>
    <row r="19" spans="1:8">
      <c r="A19" s="4430" t="s">
        <v>417</v>
      </c>
      <c r="B19" s="4430" t="s">
        <v>10489</v>
      </c>
      <c r="C19" s="649" t="s">
        <v>10478</v>
      </c>
      <c r="D19" s="649" t="s">
        <v>10479</v>
      </c>
      <c r="E19" s="650">
        <v>785</v>
      </c>
      <c r="F19" s="650">
        <v>510</v>
      </c>
      <c r="G19" s="650" t="s">
        <v>10490</v>
      </c>
      <c r="H19" s="4430"/>
    </row>
    <row r="20" spans="1:8">
      <c r="A20" s="4434"/>
      <c r="B20" s="4434"/>
      <c r="C20" s="650" t="s">
        <v>10502</v>
      </c>
      <c r="D20" s="650" t="s">
        <v>10503</v>
      </c>
      <c r="E20" s="650">
        <v>735</v>
      </c>
      <c r="F20" s="650">
        <v>461</v>
      </c>
      <c r="G20" s="650" t="s">
        <v>10495</v>
      </c>
      <c r="H20" s="4434"/>
    </row>
    <row r="21" spans="1:8">
      <c r="A21" s="4434"/>
      <c r="B21" s="4434"/>
      <c r="C21" s="650" t="s">
        <v>10504</v>
      </c>
      <c r="D21" s="650" t="s">
        <v>10505</v>
      </c>
      <c r="E21" s="650">
        <v>686</v>
      </c>
      <c r="F21" s="650">
        <v>441</v>
      </c>
      <c r="G21" s="650" t="s">
        <v>10491</v>
      </c>
      <c r="H21" s="4434"/>
    </row>
    <row r="22" spans="1:8">
      <c r="A22" s="4434"/>
      <c r="B22" s="4435"/>
      <c r="C22" s="650" t="s">
        <v>10484</v>
      </c>
      <c r="D22" s="650" t="s">
        <v>10485</v>
      </c>
      <c r="E22" s="650">
        <v>637</v>
      </c>
      <c r="F22" s="650">
        <v>373</v>
      </c>
      <c r="G22" s="650" t="s">
        <v>10500</v>
      </c>
      <c r="H22" s="4435"/>
    </row>
    <row r="23" spans="1:8">
      <c r="A23" s="4435"/>
      <c r="B23" s="484" t="s">
        <v>10493</v>
      </c>
      <c r="C23" s="4431"/>
      <c r="D23" s="4432"/>
      <c r="E23" s="4432"/>
      <c r="F23" s="4432"/>
      <c r="G23" s="4433"/>
      <c r="H23" s="650" t="s">
        <v>10501</v>
      </c>
    </row>
    <row r="24" spans="1:8">
      <c r="A24" s="4430" t="s">
        <v>10506</v>
      </c>
      <c r="B24" s="4430" t="s">
        <v>10489</v>
      </c>
      <c r="C24" s="649" t="s">
        <v>10478</v>
      </c>
      <c r="D24" s="649" t="s">
        <v>10479</v>
      </c>
      <c r="E24" s="650">
        <v>834</v>
      </c>
      <c r="F24" s="650">
        <v>539</v>
      </c>
      <c r="G24" s="650" t="s">
        <v>10490</v>
      </c>
      <c r="H24" s="4430"/>
    </row>
    <row r="25" spans="1:8">
      <c r="A25" s="4434"/>
      <c r="B25" s="4434"/>
      <c r="C25" s="650" t="s">
        <v>10502</v>
      </c>
      <c r="D25" s="650" t="s">
        <v>10503</v>
      </c>
      <c r="E25" s="650">
        <v>735</v>
      </c>
      <c r="F25" s="650">
        <v>490</v>
      </c>
      <c r="G25" s="650" t="s">
        <v>10495</v>
      </c>
      <c r="H25" s="4434"/>
    </row>
    <row r="26" spans="1:8">
      <c r="A26" s="4434"/>
      <c r="B26" s="4435"/>
      <c r="C26" s="650" t="s">
        <v>10504</v>
      </c>
      <c r="D26" s="650" t="s">
        <v>10505</v>
      </c>
      <c r="E26" s="650">
        <v>686</v>
      </c>
      <c r="F26" s="650">
        <v>441</v>
      </c>
      <c r="G26" s="650" t="s">
        <v>10507</v>
      </c>
      <c r="H26" s="4435"/>
    </row>
    <row r="27" spans="1:8">
      <c r="A27" s="4435"/>
      <c r="B27" s="484" t="s">
        <v>10493</v>
      </c>
      <c r="C27" s="4431"/>
      <c r="D27" s="4432"/>
      <c r="E27" s="4432"/>
      <c r="F27" s="4432"/>
      <c r="G27" s="4433"/>
      <c r="H27" s="650" t="s">
        <v>10508</v>
      </c>
    </row>
    <row r="28" spans="1:8">
      <c r="A28" s="4430" t="s">
        <v>423</v>
      </c>
      <c r="B28" s="4430" t="s">
        <v>10489</v>
      </c>
      <c r="C28" s="649" t="s">
        <v>10509</v>
      </c>
      <c r="D28" s="649" t="s">
        <v>10478</v>
      </c>
      <c r="E28" s="650">
        <v>735</v>
      </c>
      <c r="F28" s="650">
        <v>490</v>
      </c>
      <c r="G28" s="650" t="s">
        <v>10510</v>
      </c>
      <c r="H28" s="4430"/>
    </row>
    <row r="29" spans="1:8">
      <c r="A29" s="4434"/>
      <c r="B29" s="4435"/>
      <c r="C29" s="650" t="s">
        <v>10504</v>
      </c>
      <c r="D29" s="650" t="s">
        <v>10505</v>
      </c>
      <c r="E29" s="650">
        <v>686</v>
      </c>
      <c r="F29" s="650">
        <v>441</v>
      </c>
      <c r="G29" s="650" t="s">
        <v>10510</v>
      </c>
      <c r="H29" s="4435"/>
    </row>
    <row r="30" spans="1:8">
      <c r="A30" s="4435"/>
      <c r="B30" s="484" t="s">
        <v>10493</v>
      </c>
      <c r="C30" s="4431"/>
      <c r="D30" s="4432"/>
      <c r="E30" s="4432"/>
      <c r="F30" s="4432"/>
      <c r="G30" s="4433"/>
      <c r="H30" s="650" t="s">
        <v>10501</v>
      </c>
    </row>
    <row r="31" spans="1:8">
      <c r="A31" s="4430" t="s">
        <v>10511</v>
      </c>
      <c r="B31" s="4430" t="s">
        <v>10489</v>
      </c>
      <c r="C31" s="649" t="s">
        <v>10478</v>
      </c>
      <c r="D31" s="649" t="s">
        <v>10479</v>
      </c>
      <c r="E31" s="650">
        <v>735</v>
      </c>
      <c r="F31" s="650">
        <v>588</v>
      </c>
      <c r="G31" s="650" t="s">
        <v>10490</v>
      </c>
      <c r="H31" s="4430"/>
    </row>
    <row r="32" spans="1:8">
      <c r="A32" s="4434"/>
      <c r="B32" s="4434"/>
      <c r="C32" s="650" t="s">
        <v>10481</v>
      </c>
      <c r="D32" s="650" t="s">
        <v>10482</v>
      </c>
      <c r="E32" s="650">
        <v>686</v>
      </c>
      <c r="F32" s="650">
        <v>539</v>
      </c>
      <c r="G32" s="650" t="s">
        <v>10495</v>
      </c>
      <c r="H32" s="4434"/>
    </row>
    <row r="33" spans="1:8">
      <c r="A33" s="4434"/>
      <c r="B33" s="4434"/>
      <c r="C33" s="650" t="s">
        <v>10484</v>
      </c>
      <c r="D33" s="650" t="s">
        <v>10485</v>
      </c>
      <c r="E33" s="650">
        <v>637</v>
      </c>
      <c r="F33" s="650">
        <v>490</v>
      </c>
      <c r="G33" s="650" t="s">
        <v>10512</v>
      </c>
      <c r="H33" s="4434"/>
    </row>
    <row r="34" spans="1:8">
      <c r="A34" s="4434"/>
      <c r="B34" s="4435"/>
      <c r="C34" s="650" t="s">
        <v>10486</v>
      </c>
      <c r="D34" s="650" t="s">
        <v>10487</v>
      </c>
      <c r="E34" s="650">
        <v>588</v>
      </c>
      <c r="F34" s="650">
        <v>392</v>
      </c>
      <c r="G34" s="650" t="s">
        <v>10513</v>
      </c>
      <c r="H34" s="4435"/>
    </row>
    <row r="35" spans="1:8">
      <c r="A35" s="4435"/>
      <c r="B35" s="484" t="s">
        <v>10493</v>
      </c>
      <c r="C35" s="4431"/>
      <c r="D35" s="4432"/>
      <c r="E35" s="4432"/>
      <c r="F35" s="4432"/>
      <c r="G35" s="4433"/>
      <c r="H35" s="650" t="s">
        <v>10501</v>
      </c>
    </row>
    <row r="36" spans="1:8">
      <c r="A36" s="4430" t="s">
        <v>10514</v>
      </c>
      <c r="B36" s="4430" t="s">
        <v>10515</v>
      </c>
      <c r="C36" s="649" t="s">
        <v>10509</v>
      </c>
      <c r="D36" s="649" t="s">
        <v>10478</v>
      </c>
      <c r="E36" s="650">
        <v>863</v>
      </c>
      <c r="F36" s="650">
        <v>686</v>
      </c>
      <c r="G36" s="650" t="s">
        <v>10516</v>
      </c>
      <c r="H36" s="4430"/>
    </row>
    <row r="37" spans="1:8">
      <c r="A37" s="4434"/>
      <c r="B37" s="4434"/>
      <c r="C37" s="650" t="s">
        <v>10517</v>
      </c>
      <c r="D37" s="650" t="s">
        <v>10502</v>
      </c>
      <c r="E37" s="650">
        <v>814</v>
      </c>
      <c r="F37" s="650">
        <v>637</v>
      </c>
      <c r="G37" s="650" t="s">
        <v>10510</v>
      </c>
      <c r="H37" s="4434"/>
    </row>
    <row r="38" spans="1:8">
      <c r="A38" s="4434"/>
      <c r="B38" s="4435"/>
      <c r="C38" s="650" t="s">
        <v>10518</v>
      </c>
      <c r="D38" s="650" t="s">
        <v>10504</v>
      </c>
      <c r="E38" s="650">
        <v>765</v>
      </c>
      <c r="F38" s="650">
        <v>588</v>
      </c>
      <c r="G38" s="650" t="s">
        <v>10519</v>
      </c>
      <c r="H38" s="4435"/>
    </row>
    <row r="39" spans="1:8">
      <c r="A39" s="4435"/>
      <c r="B39" s="484" t="s">
        <v>10493</v>
      </c>
      <c r="C39" s="4431"/>
      <c r="D39" s="4432"/>
      <c r="E39" s="4432"/>
      <c r="F39" s="4432"/>
      <c r="G39" s="4433"/>
      <c r="H39" s="650" t="s">
        <v>10520</v>
      </c>
    </row>
    <row r="40" spans="1:8">
      <c r="A40" s="4430" t="s">
        <v>454</v>
      </c>
      <c r="B40" s="4430" t="s">
        <v>10489</v>
      </c>
      <c r="C40" s="649" t="s">
        <v>10478</v>
      </c>
      <c r="D40" s="649" t="s">
        <v>10479</v>
      </c>
      <c r="E40" s="650">
        <v>735</v>
      </c>
      <c r="F40" s="650">
        <v>539</v>
      </c>
      <c r="G40" s="650" t="s">
        <v>10510</v>
      </c>
      <c r="H40" s="4430"/>
    </row>
    <row r="41" spans="1:8">
      <c r="A41" s="4434"/>
      <c r="B41" s="4434"/>
      <c r="C41" s="650" t="s">
        <v>10521</v>
      </c>
      <c r="D41" s="650" t="s">
        <v>10522</v>
      </c>
      <c r="E41" s="650">
        <v>686</v>
      </c>
      <c r="F41" s="650">
        <v>490</v>
      </c>
      <c r="G41" s="650" t="s">
        <v>10510</v>
      </c>
      <c r="H41" s="4434"/>
    </row>
    <row r="42" spans="1:8">
      <c r="A42" s="4434"/>
      <c r="B42" s="4434"/>
      <c r="C42" s="650" t="s">
        <v>10523</v>
      </c>
      <c r="D42" s="650" t="s">
        <v>10524</v>
      </c>
      <c r="E42" s="650">
        <v>637</v>
      </c>
      <c r="F42" s="650">
        <v>441</v>
      </c>
      <c r="G42" s="650" t="s">
        <v>10525</v>
      </c>
      <c r="H42" s="4434"/>
    </row>
    <row r="43" spans="1:8">
      <c r="A43" s="4434"/>
      <c r="B43" s="4435"/>
      <c r="C43" s="650" t="s">
        <v>10526</v>
      </c>
      <c r="D43" s="650" t="s">
        <v>10527</v>
      </c>
      <c r="E43" s="650">
        <v>588</v>
      </c>
      <c r="F43" s="650">
        <v>343</v>
      </c>
      <c r="G43" s="650" t="s">
        <v>10491</v>
      </c>
      <c r="H43" s="4435"/>
    </row>
    <row r="44" spans="1:8">
      <c r="A44" s="4435"/>
      <c r="B44" s="484" t="s">
        <v>10493</v>
      </c>
      <c r="C44" s="4431"/>
      <c r="D44" s="4432"/>
      <c r="E44" s="4432"/>
      <c r="F44" s="4432"/>
      <c r="G44" s="4433"/>
      <c r="H44" s="650" t="s">
        <v>10528</v>
      </c>
    </row>
    <row r="45" spans="1:8">
      <c r="A45" s="4430" t="s">
        <v>507</v>
      </c>
      <c r="B45" s="4430" t="s">
        <v>10489</v>
      </c>
      <c r="C45" s="649" t="s">
        <v>10478</v>
      </c>
      <c r="D45" s="649" t="s">
        <v>10479</v>
      </c>
      <c r="E45" s="650">
        <v>735</v>
      </c>
      <c r="F45" s="650">
        <v>539</v>
      </c>
      <c r="G45" s="650" t="s">
        <v>10529</v>
      </c>
      <c r="H45" s="4430"/>
    </row>
    <row r="46" spans="1:8">
      <c r="A46" s="4434"/>
      <c r="B46" s="4434"/>
      <c r="C46" s="650" t="s">
        <v>10521</v>
      </c>
      <c r="D46" s="650" t="s">
        <v>10522</v>
      </c>
      <c r="E46" s="650">
        <v>686</v>
      </c>
      <c r="F46" s="650">
        <v>490</v>
      </c>
      <c r="G46" s="650" t="s">
        <v>10529</v>
      </c>
      <c r="H46" s="4434"/>
    </row>
    <row r="47" spans="1:8">
      <c r="A47" s="4434"/>
      <c r="B47" s="4434"/>
      <c r="C47" s="650" t="s">
        <v>10523</v>
      </c>
      <c r="D47" s="650" t="s">
        <v>10524</v>
      </c>
      <c r="E47" s="650">
        <v>637</v>
      </c>
      <c r="F47" s="650">
        <v>441</v>
      </c>
      <c r="G47" s="650" t="s">
        <v>10529</v>
      </c>
      <c r="H47" s="4434"/>
    </row>
    <row r="48" spans="1:8">
      <c r="A48" s="4434"/>
      <c r="B48" s="4435"/>
      <c r="C48" s="650" t="s">
        <v>10526</v>
      </c>
      <c r="D48" s="650" t="s">
        <v>10527</v>
      </c>
      <c r="E48" s="650">
        <v>588</v>
      </c>
      <c r="F48" s="650">
        <v>392</v>
      </c>
      <c r="G48" s="650" t="s">
        <v>10529</v>
      </c>
      <c r="H48" s="4435"/>
    </row>
    <row r="49" spans="1:9">
      <c r="A49" s="4435"/>
      <c r="B49" s="484" t="s">
        <v>10493</v>
      </c>
      <c r="C49" s="4431"/>
      <c r="D49" s="4432"/>
      <c r="E49" s="4432"/>
      <c r="F49" s="4432"/>
      <c r="G49" s="4433"/>
      <c r="H49" s="650" t="s">
        <v>10530</v>
      </c>
    </row>
    <row r="50" spans="1:9">
      <c r="A50" s="651"/>
      <c r="B50" s="651"/>
      <c r="C50" s="651"/>
      <c r="D50" s="651"/>
      <c r="E50" s="651"/>
      <c r="F50" s="651"/>
      <c r="G50" s="651"/>
      <c r="H50" s="652"/>
      <c r="I50" s="652"/>
    </row>
    <row r="51" spans="1:9">
      <c r="A51" s="651"/>
      <c r="B51" s="651"/>
      <c r="C51" s="651"/>
      <c r="D51" s="651"/>
      <c r="E51" s="651"/>
      <c r="F51" s="651"/>
      <c r="G51" s="651"/>
      <c r="H51" s="652"/>
      <c r="I51" s="652"/>
    </row>
    <row r="52" spans="1:9">
      <c r="A52" s="4426" t="s">
        <v>10466</v>
      </c>
      <c r="B52" s="4426" t="s">
        <v>10467</v>
      </c>
      <c r="C52" s="4426" t="s">
        <v>10468</v>
      </c>
      <c r="D52" s="4426"/>
      <c r="E52" s="4426" t="s">
        <v>104</v>
      </c>
      <c r="F52" s="4426"/>
      <c r="G52" s="4426" t="s">
        <v>10469</v>
      </c>
      <c r="H52" s="4426"/>
    </row>
    <row r="53" spans="1:9">
      <c r="A53" s="4426"/>
      <c r="B53" s="4426"/>
      <c r="C53" s="484" t="s">
        <v>10470</v>
      </c>
      <c r="D53" s="484" t="s">
        <v>10471</v>
      </c>
      <c r="E53" s="484" t="s">
        <v>10472</v>
      </c>
      <c r="F53" s="484" t="s">
        <v>10473</v>
      </c>
      <c r="G53" s="484" t="s">
        <v>10474</v>
      </c>
      <c r="H53" s="484" t="s">
        <v>10475</v>
      </c>
    </row>
    <row r="54" spans="1:9">
      <c r="A54" s="4427" t="s">
        <v>10531</v>
      </c>
      <c r="B54" s="4428"/>
      <c r="C54" s="4428"/>
      <c r="D54" s="4428"/>
      <c r="E54" s="4428"/>
      <c r="F54" s="4428"/>
      <c r="G54" s="4428"/>
      <c r="H54" s="4429"/>
    </row>
    <row r="55" spans="1:9">
      <c r="A55" s="4430" t="s">
        <v>434</v>
      </c>
      <c r="B55" s="484" t="s">
        <v>10532</v>
      </c>
      <c r="C55" s="649" t="s">
        <v>10533</v>
      </c>
      <c r="D55" s="650"/>
      <c r="E55" s="650">
        <v>637</v>
      </c>
      <c r="F55" s="650">
        <v>392</v>
      </c>
      <c r="G55" s="650"/>
      <c r="H55" s="650" t="s">
        <v>10534</v>
      </c>
    </row>
    <row r="56" spans="1:9">
      <c r="A56" s="4435"/>
      <c r="B56" s="484" t="s">
        <v>10535</v>
      </c>
      <c r="C56" s="4431"/>
      <c r="D56" s="4432"/>
      <c r="E56" s="4432"/>
      <c r="F56" s="4432"/>
      <c r="G56" s="4433"/>
      <c r="H56" s="650" t="s">
        <v>10536</v>
      </c>
    </row>
    <row r="57" spans="1:9">
      <c r="A57" s="4430" t="s">
        <v>10537</v>
      </c>
      <c r="B57" s="484" t="s">
        <v>10532</v>
      </c>
      <c r="C57" s="650">
        <v>15</v>
      </c>
      <c r="D57" s="650"/>
      <c r="E57" s="650">
        <v>1079</v>
      </c>
      <c r="F57" s="650">
        <v>834</v>
      </c>
      <c r="G57" s="650"/>
      <c r="H57" s="650" t="s">
        <v>10534</v>
      </c>
    </row>
    <row r="58" spans="1:9">
      <c r="A58" s="4435"/>
      <c r="B58" s="484" t="s">
        <v>10535</v>
      </c>
      <c r="C58" s="4431"/>
      <c r="D58" s="4432"/>
      <c r="E58" s="4432"/>
      <c r="F58" s="4432"/>
      <c r="G58" s="4433"/>
      <c r="H58" s="650" t="s">
        <v>10538</v>
      </c>
    </row>
    <row r="59" spans="1:9">
      <c r="A59" s="650" t="s">
        <v>10539</v>
      </c>
      <c r="B59" s="484" t="s">
        <v>10532</v>
      </c>
      <c r="C59" s="650">
        <v>15</v>
      </c>
      <c r="D59" s="650"/>
      <c r="E59" s="650">
        <v>1177</v>
      </c>
      <c r="F59" s="650">
        <v>883</v>
      </c>
      <c r="G59" s="650"/>
      <c r="H59" s="650" t="s">
        <v>10534</v>
      </c>
    </row>
    <row r="60" spans="1:9">
      <c r="A60" s="653" t="s">
        <v>10540</v>
      </c>
      <c r="B60" s="484" t="s">
        <v>10541</v>
      </c>
      <c r="C60" s="650">
        <v>30</v>
      </c>
      <c r="D60" s="650"/>
      <c r="E60" s="650">
        <v>981</v>
      </c>
      <c r="F60" s="650">
        <v>834</v>
      </c>
      <c r="G60" s="650">
        <v>229</v>
      </c>
      <c r="H60" s="650" t="s">
        <v>10542</v>
      </c>
    </row>
    <row r="61" spans="1:9">
      <c r="A61" s="650" t="s">
        <v>10543</v>
      </c>
      <c r="B61" s="484" t="s">
        <v>10532</v>
      </c>
      <c r="C61" s="650">
        <v>15</v>
      </c>
      <c r="D61" s="650"/>
      <c r="E61" s="650">
        <v>1079</v>
      </c>
      <c r="F61" s="650">
        <v>883</v>
      </c>
      <c r="G61" s="650"/>
      <c r="H61" s="650" t="s">
        <v>10534</v>
      </c>
    </row>
    <row r="62" spans="1:9">
      <c r="A62" s="4428" t="s">
        <v>10544</v>
      </c>
      <c r="B62" s="4428"/>
      <c r="C62" s="4428"/>
      <c r="D62" s="4428"/>
      <c r="E62" s="4428"/>
      <c r="F62" s="4428"/>
      <c r="G62" s="4428"/>
      <c r="H62" s="4429"/>
    </row>
    <row r="63" spans="1:9">
      <c r="A63" s="650" t="s">
        <v>10545</v>
      </c>
      <c r="B63" s="484" t="s">
        <v>10546</v>
      </c>
      <c r="C63" s="650"/>
      <c r="D63" s="650"/>
      <c r="E63" s="650">
        <v>570</v>
      </c>
      <c r="F63" s="650">
        <v>310</v>
      </c>
      <c r="G63" s="650" t="s">
        <v>10547</v>
      </c>
      <c r="H63" s="650"/>
    </row>
    <row r="64" spans="1:9">
      <c r="A64" s="650" t="s">
        <v>10548</v>
      </c>
      <c r="B64" s="484" t="s">
        <v>10546</v>
      </c>
      <c r="C64" s="650"/>
      <c r="D64" s="650"/>
      <c r="E64" s="650">
        <v>640</v>
      </c>
      <c r="F64" s="650">
        <v>340</v>
      </c>
      <c r="G64" s="650" t="s">
        <v>10549</v>
      </c>
      <c r="H64" s="650"/>
    </row>
    <row r="65" spans="1:8">
      <c r="A65" s="4426" t="s">
        <v>10550</v>
      </c>
      <c r="B65" s="484" t="s">
        <v>10551</v>
      </c>
      <c r="C65" s="650"/>
      <c r="D65" s="650"/>
      <c r="E65" s="650">
        <v>588</v>
      </c>
      <c r="F65" s="650">
        <v>392</v>
      </c>
      <c r="G65" s="650" t="s">
        <v>10552</v>
      </c>
      <c r="H65" s="650"/>
    </row>
    <row r="66" spans="1:8">
      <c r="A66" s="4426"/>
      <c r="B66" s="484" t="s">
        <v>10489</v>
      </c>
      <c r="C66" s="650"/>
      <c r="D66" s="650"/>
      <c r="E66" s="650">
        <v>834</v>
      </c>
      <c r="F66" s="650">
        <v>686</v>
      </c>
      <c r="G66" s="650" t="s">
        <v>10516</v>
      </c>
      <c r="H66" s="650"/>
    </row>
    <row r="67" spans="1:8">
      <c r="A67" s="4426" t="s">
        <v>10553</v>
      </c>
      <c r="B67" s="484" t="s">
        <v>10551</v>
      </c>
      <c r="C67" s="650"/>
      <c r="D67" s="650"/>
      <c r="E67" s="650">
        <v>569</v>
      </c>
      <c r="F67" s="650">
        <v>343</v>
      </c>
      <c r="G67" s="650" t="s">
        <v>10554</v>
      </c>
      <c r="H67" s="650"/>
    </row>
    <row r="68" spans="1:8">
      <c r="A68" s="4426"/>
      <c r="B68" s="484" t="s">
        <v>10489</v>
      </c>
      <c r="C68" s="650"/>
      <c r="D68" s="650"/>
      <c r="E68" s="650">
        <v>637</v>
      </c>
      <c r="F68" s="650">
        <v>412</v>
      </c>
      <c r="G68" s="650" t="s">
        <v>10555</v>
      </c>
      <c r="H68" s="650"/>
    </row>
    <row r="69" spans="1:8">
      <c r="A69" s="4426" t="s">
        <v>10556</v>
      </c>
      <c r="B69" s="484" t="s">
        <v>10551</v>
      </c>
      <c r="C69" s="650"/>
      <c r="D69" s="650"/>
      <c r="E69" s="650">
        <v>588</v>
      </c>
      <c r="F69" s="650">
        <v>373</v>
      </c>
      <c r="G69" s="650" t="s">
        <v>10554</v>
      </c>
      <c r="H69" s="650"/>
    </row>
    <row r="70" spans="1:8">
      <c r="A70" s="4426"/>
      <c r="B70" s="484" t="s">
        <v>10489</v>
      </c>
      <c r="C70" s="650"/>
      <c r="D70" s="650"/>
      <c r="E70" s="650">
        <v>637</v>
      </c>
      <c r="F70" s="650">
        <v>441</v>
      </c>
      <c r="G70" s="650" t="s">
        <v>10555</v>
      </c>
      <c r="H70" s="650"/>
    </row>
    <row r="71" spans="1:8">
      <c r="A71" s="484" t="s">
        <v>10557</v>
      </c>
      <c r="B71" s="484" t="s">
        <v>10551</v>
      </c>
      <c r="C71" s="650"/>
      <c r="D71" s="650"/>
      <c r="E71" s="650">
        <v>686</v>
      </c>
      <c r="F71" s="650">
        <v>441</v>
      </c>
      <c r="G71" s="650" t="s">
        <v>10491</v>
      </c>
      <c r="H71" s="650"/>
    </row>
    <row r="72" spans="1:8">
      <c r="A72" s="4426" t="s">
        <v>10558</v>
      </c>
      <c r="B72" s="484" t="s">
        <v>10551</v>
      </c>
      <c r="C72" s="650"/>
      <c r="D72" s="650"/>
      <c r="E72" s="650">
        <v>628</v>
      </c>
      <c r="F72" s="650">
        <v>343</v>
      </c>
      <c r="G72" s="650" t="s">
        <v>10559</v>
      </c>
      <c r="H72" s="650"/>
    </row>
    <row r="73" spans="1:8">
      <c r="A73" s="4426"/>
      <c r="B73" s="484" t="s">
        <v>10489</v>
      </c>
      <c r="C73" s="650"/>
      <c r="D73" s="650"/>
      <c r="E73" s="650">
        <v>686</v>
      </c>
      <c r="F73" s="650">
        <v>471</v>
      </c>
      <c r="G73" s="650" t="s">
        <v>10560</v>
      </c>
      <c r="H73" s="650"/>
    </row>
    <row r="74" spans="1:8">
      <c r="A74" s="4426" t="s">
        <v>10561</v>
      </c>
      <c r="B74" s="484" t="s">
        <v>10551</v>
      </c>
      <c r="C74" s="650"/>
      <c r="D74" s="650"/>
      <c r="E74" s="650">
        <v>588</v>
      </c>
      <c r="F74" s="650">
        <v>392</v>
      </c>
      <c r="G74" s="650" t="s">
        <v>10562</v>
      </c>
      <c r="H74" s="650"/>
    </row>
    <row r="75" spans="1:8">
      <c r="A75" s="4426"/>
      <c r="B75" s="484" t="s">
        <v>10489</v>
      </c>
      <c r="C75" s="650"/>
      <c r="D75" s="650"/>
      <c r="E75" s="650">
        <v>686</v>
      </c>
      <c r="F75" s="650">
        <v>539</v>
      </c>
      <c r="G75" s="650" t="s">
        <v>10562</v>
      </c>
      <c r="H75" s="650"/>
    </row>
    <row r="76" spans="1:8">
      <c r="A76" s="4426" t="s">
        <v>10563</v>
      </c>
      <c r="B76" s="484" t="s">
        <v>10551</v>
      </c>
      <c r="C76" s="650"/>
      <c r="D76" s="650"/>
      <c r="E76" s="650">
        <v>686</v>
      </c>
      <c r="F76" s="650">
        <v>343</v>
      </c>
      <c r="G76" s="650" t="s">
        <v>10554</v>
      </c>
      <c r="H76" s="650"/>
    </row>
    <row r="77" spans="1:8">
      <c r="A77" s="4426"/>
      <c r="B77" s="484" t="s">
        <v>10489</v>
      </c>
      <c r="C77" s="650"/>
      <c r="D77" s="650"/>
      <c r="E77" s="650">
        <v>785</v>
      </c>
      <c r="F77" s="650">
        <v>588</v>
      </c>
      <c r="G77" s="650" t="s">
        <v>10564</v>
      </c>
      <c r="H77" s="650"/>
    </row>
    <row r="78" spans="1:8">
      <c r="A78" s="4436" t="s">
        <v>10565</v>
      </c>
      <c r="B78" s="4436"/>
      <c r="C78" s="4436"/>
      <c r="D78" s="4436"/>
      <c r="E78" s="4436"/>
      <c r="F78" s="4436"/>
      <c r="G78" s="4436"/>
      <c r="H78" s="4436"/>
    </row>
    <row r="79" spans="1:8">
      <c r="A79" s="4426" t="s">
        <v>10566</v>
      </c>
      <c r="B79" s="4426"/>
      <c r="C79" s="4426"/>
      <c r="D79" s="650" t="s">
        <v>10567</v>
      </c>
      <c r="E79" s="650">
        <v>270</v>
      </c>
      <c r="F79" s="650"/>
      <c r="G79" s="650" t="s">
        <v>10568</v>
      </c>
      <c r="H79" s="4426"/>
    </row>
    <row r="80" spans="1:8">
      <c r="A80" s="4426"/>
      <c r="B80" s="4426"/>
      <c r="C80" s="4426"/>
      <c r="D80" s="650" t="s">
        <v>10569</v>
      </c>
      <c r="E80" s="650">
        <v>240</v>
      </c>
      <c r="F80" s="650"/>
      <c r="G80" s="650" t="s">
        <v>10570</v>
      </c>
      <c r="H80" s="4426"/>
    </row>
    <row r="81" spans="1:8">
      <c r="A81" s="4426"/>
      <c r="B81" s="4426"/>
      <c r="C81" s="4426"/>
      <c r="D81" s="650" t="s">
        <v>10571</v>
      </c>
      <c r="E81" s="650">
        <v>220</v>
      </c>
      <c r="F81" s="650"/>
      <c r="G81" s="650" t="s">
        <v>10572</v>
      </c>
      <c r="H81" s="4426"/>
    </row>
    <row r="82" spans="1:8">
      <c r="A82" s="4426"/>
      <c r="B82" s="4426"/>
      <c r="C82" s="4426"/>
      <c r="D82" s="650" t="s">
        <v>10573</v>
      </c>
      <c r="E82" s="650">
        <v>200</v>
      </c>
      <c r="F82" s="650"/>
      <c r="G82" s="650" t="s">
        <v>10574</v>
      </c>
      <c r="H82" s="4426"/>
    </row>
    <row r="83" spans="1:8">
      <c r="A83" s="4426" t="s">
        <v>10575</v>
      </c>
      <c r="B83" s="4426"/>
      <c r="C83" s="4426"/>
      <c r="D83" s="650" t="s">
        <v>10569</v>
      </c>
      <c r="E83" s="650">
        <v>200</v>
      </c>
      <c r="F83" s="650"/>
      <c r="G83" s="650" t="s">
        <v>10576</v>
      </c>
      <c r="H83" s="4426"/>
    </row>
    <row r="84" spans="1:8">
      <c r="A84" s="4426"/>
      <c r="B84" s="4426"/>
      <c r="C84" s="4426"/>
      <c r="D84" s="650" t="s">
        <v>10571</v>
      </c>
      <c r="E84" s="650">
        <v>250</v>
      </c>
      <c r="F84" s="650"/>
      <c r="G84" s="650" t="s">
        <v>10577</v>
      </c>
      <c r="H84" s="4426"/>
    </row>
    <row r="85" spans="1:8">
      <c r="A85" s="4426"/>
      <c r="B85" s="4426"/>
      <c r="C85" s="4426"/>
      <c r="D85" s="650" t="s">
        <v>10573</v>
      </c>
      <c r="E85" s="650">
        <v>230</v>
      </c>
      <c r="F85" s="650"/>
      <c r="G85" s="650" t="s">
        <v>10578</v>
      </c>
      <c r="H85" s="4426"/>
    </row>
    <row r="86" spans="1:8">
      <c r="A86" s="4426" t="s">
        <v>10579</v>
      </c>
      <c r="B86" s="4426"/>
      <c r="C86" s="4426"/>
      <c r="D86" s="650" t="s">
        <v>10569</v>
      </c>
      <c r="E86" s="650">
        <v>340</v>
      </c>
      <c r="F86" s="650"/>
      <c r="G86" s="650" t="s">
        <v>10580</v>
      </c>
      <c r="H86" s="4430"/>
    </row>
    <row r="87" spans="1:8">
      <c r="A87" s="4426"/>
      <c r="B87" s="4426"/>
      <c r="C87" s="4426"/>
      <c r="D87" s="650" t="s">
        <v>10571</v>
      </c>
      <c r="E87" s="650">
        <v>290</v>
      </c>
      <c r="F87" s="650"/>
      <c r="G87" s="650" t="s">
        <v>10576</v>
      </c>
      <c r="H87" s="4434"/>
    </row>
    <row r="88" spans="1:8">
      <c r="A88" s="4426"/>
      <c r="B88" s="4426"/>
      <c r="C88" s="4426"/>
      <c r="D88" s="650" t="s">
        <v>10573</v>
      </c>
      <c r="E88" s="650">
        <v>260</v>
      </c>
      <c r="F88" s="650"/>
      <c r="G88" s="650" t="s">
        <v>10581</v>
      </c>
      <c r="H88" s="4435"/>
    </row>
    <row r="89" spans="1:8">
      <c r="A89" s="484" t="s">
        <v>10582</v>
      </c>
      <c r="B89" s="650"/>
      <c r="C89" s="650"/>
      <c r="D89" s="650"/>
      <c r="E89" s="650">
        <v>500</v>
      </c>
      <c r="F89" s="650">
        <v>320</v>
      </c>
      <c r="G89" s="650" t="s">
        <v>10583</v>
      </c>
      <c r="H89" s="650"/>
    </row>
    <row r="90" spans="1:8">
      <c r="A90" s="484" t="s">
        <v>10584</v>
      </c>
      <c r="B90" s="650"/>
      <c r="C90" s="650"/>
      <c r="D90" s="650"/>
      <c r="E90" s="650">
        <v>600</v>
      </c>
      <c r="F90" s="650">
        <v>370</v>
      </c>
      <c r="G90" s="650" t="s">
        <v>10585</v>
      </c>
      <c r="H90" s="650"/>
    </row>
    <row r="91" spans="1:8">
      <c r="A91" s="484" t="s">
        <v>10586</v>
      </c>
      <c r="B91" s="650"/>
      <c r="C91" s="650"/>
      <c r="D91" s="650"/>
      <c r="E91" s="650">
        <v>700</v>
      </c>
      <c r="F91" s="650">
        <v>420</v>
      </c>
      <c r="G91" s="650" t="s">
        <v>10587</v>
      </c>
      <c r="H91" s="650"/>
    </row>
    <row r="92" spans="1:8">
      <c r="A92" s="484" t="s">
        <v>10588</v>
      </c>
      <c r="B92" s="650"/>
      <c r="C92" s="650"/>
      <c r="D92" s="650"/>
      <c r="E92" s="650">
        <v>800</v>
      </c>
      <c r="F92" s="650">
        <v>480</v>
      </c>
      <c r="G92" s="650" t="s">
        <v>10589</v>
      </c>
      <c r="H92" s="650"/>
    </row>
    <row r="93" spans="1:8">
      <c r="A93" s="484" t="s">
        <v>10590</v>
      </c>
      <c r="B93" s="650"/>
      <c r="C93" s="650"/>
      <c r="D93" s="650"/>
      <c r="E93" s="650">
        <v>900</v>
      </c>
      <c r="F93" s="650">
        <v>600</v>
      </c>
      <c r="G93" s="650" t="s">
        <v>10591</v>
      </c>
      <c r="H93" s="650"/>
    </row>
  </sheetData>
  <mergeCells count="74">
    <mergeCell ref="H83:H85"/>
    <mergeCell ref="H86:H88"/>
    <mergeCell ref="H31:H34"/>
    <mergeCell ref="H36:H38"/>
    <mergeCell ref="H40:H43"/>
    <mergeCell ref="H45:H48"/>
    <mergeCell ref="H79:H82"/>
    <mergeCell ref="A54:H54"/>
    <mergeCell ref="C56:G56"/>
    <mergeCell ref="C58:G58"/>
    <mergeCell ref="A62:H62"/>
    <mergeCell ref="A78:H78"/>
    <mergeCell ref="A55:A56"/>
    <mergeCell ref="A57:A58"/>
    <mergeCell ref="A65:A66"/>
    <mergeCell ref="A67:A68"/>
    <mergeCell ref="H6:H12"/>
    <mergeCell ref="H14:H17"/>
    <mergeCell ref="H19:H22"/>
    <mergeCell ref="H24:H26"/>
    <mergeCell ref="H28:H29"/>
    <mergeCell ref="B83:B85"/>
    <mergeCell ref="B86:B88"/>
    <mergeCell ref="C79:C82"/>
    <mergeCell ref="C83:C85"/>
    <mergeCell ref="C86:C88"/>
    <mergeCell ref="A79:A82"/>
    <mergeCell ref="A83:A85"/>
    <mergeCell ref="A86:A88"/>
    <mergeCell ref="B3:B4"/>
    <mergeCell ref="B6:B9"/>
    <mergeCell ref="B10:B12"/>
    <mergeCell ref="B14:B17"/>
    <mergeCell ref="B19:B22"/>
    <mergeCell ref="B24:B26"/>
    <mergeCell ref="B28:B29"/>
    <mergeCell ref="B31:B34"/>
    <mergeCell ref="B36:B38"/>
    <mergeCell ref="B40:B43"/>
    <mergeCell ref="B45:B48"/>
    <mergeCell ref="B52:B53"/>
    <mergeCell ref="B79:B82"/>
    <mergeCell ref="A6:A13"/>
    <mergeCell ref="A14:A18"/>
    <mergeCell ref="A19:A23"/>
    <mergeCell ref="A24:A27"/>
    <mergeCell ref="A28:A30"/>
    <mergeCell ref="A69:A70"/>
    <mergeCell ref="A72:A73"/>
    <mergeCell ref="A74:A75"/>
    <mergeCell ref="A76:A77"/>
    <mergeCell ref="C35:G35"/>
    <mergeCell ref="C39:G39"/>
    <mergeCell ref="C44:G44"/>
    <mergeCell ref="C49:G49"/>
    <mergeCell ref="C52:D52"/>
    <mergeCell ref="E52:F52"/>
    <mergeCell ref="G52:H52"/>
    <mergeCell ref="A31:A35"/>
    <mergeCell ref="A36:A39"/>
    <mergeCell ref="A40:A44"/>
    <mergeCell ref="A45:A49"/>
    <mergeCell ref="A52:A53"/>
    <mergeCell ref="C13:G13"/>
    <mergeCell ref="C18:G18"/>
    <mergeCell ref="C23:G23"/>
    <mergeCell ref="C27:G27"/>
    <mergeCell ref="C30:G30"/>
    <mergeCell ref="A1:H1"/>
    <mergeCell ref="C3:D3"/>
    <mergeCell ref="E3:F3"/>
    <mergeCell ref="G3:H3"/>
    <mergeCell ref="A5:H5"/>
    <mergeCell ref="A3:A4"/>
  </mergeCells>
  <phoneticPr fontId="378" type="noConversion"/>
  <printOptions horizontalCentered="1"/>
  <pageMargins left="0.55000000000000004" right="0.34930555555555598" top="0.58888888888888902" bottom="0.58888888888888902" header="0.50902777777777797" footer="0.50902777777777797"/>
  <pageSetup paperSize="9" orientation="portrait"/>
  <headerFooter scaleWithDoc="0" alignWithMargins="0">
    <oddFooter>&amp;C第 &amp;P 页，共 &amp;N 页</oddFooter>
  </headerFooter>
  <rowBreaks count="1" manualBreakCount="1">
    <brk id="51" max="7" man="1"/>
  </rowBreak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F23" sqref="F23"/>
    </sheetView>
  </sheetViews>
  <sheetFormatPr defaultColWidth="9" defaultRowHeight="16.5"/>
  <cols>
    <col min="1" max="1" width="3.875" style="95" customWidth="1"/>
    <col min="2" max="2" width="16.625" style="95" customWidth="1"/>
    <col min="3" max="3" width="6" style="95" customWidth="1"/>
    <col min="4" max="4" width="9" style="204"/>
    <col min="5" max="5" width="9.5" style="204" customWidth="1"/>
    <col min="6" max="16384" width="9" style="95"/>
  </cols>
  <sheetData>
    <row r="1" spans="1:10" ht="22.5" customHeight="1">
      <c r="A1" s="4402" t="s">
        <v>11029</v>
      </c>
      <c r="B1" s="4402"/>
      <c r="C1" s="4402"/>
      <c r="D1" s="4402"/>
      <c r="E1" s="4402"/>
      <c r="F1" s="3166" t="s">
        <v>12704</v>
      </c>
    </row>
    <row r="2" spans="1:10">
      <c r="A2" s="630"/>
      <c r="B2" s="631" t="s">
        <v>6645</v>
      </c>
      <c r="C2" s="631" t="s">
        <v>1445</v>
      </c>
      <c r="D2" s="631" t="s">
        <v>11030</v>
      </c>
      <c r="E2" s="632" t="s">
        <v>11031</v>
      </c>
    </row>
    <row r="3" spans="1:10">
      <c r="A3" s="4529" t="s">
        <v>11032</v>
      </c>
      <c r="B3" s="633" t="s">
        <v>10389</v>
      </c>
      <c r="C3" s="634" t="s">
        <v>6088</v>
      </c>
      <c r="D3" s="4525">
        <v>0.8</v>
      </c>
      <c r="E3" s="4526"/>
    </row>
    <row r="4" spans="1:10">
      <c r="A4" s="4530"/>
      <c r="B4" s="633" t="s">
        <v>9893</v>
      </c>
      <c r="C4" s="634" t="s">
        <v>11033</v>
      </c>
      <c r="D4" s="635">
        <v>25</v>
      </c>
      <c r="E4" s="636">
        <v>25</v>
      </c>
    </row>
    <row r="5" spans="1:10">
      <c r="A5" s="4530"/>
      <c r="B5" s="633" t="s">
        <v>10609</v>
      </c>
      <c r="C5" s="634" t="s">
        <v>6697</v>
      </c>
      <c r="D5" s="4525">
        <v>11.27</v>
      </c>
      <c r="E5" s="4526"/>
    </row>
    <row r="6" spans="1:10">
      <c r="A6" s="4530"/>
      <c r="B6" s="633" t="s">
        <v>10396</v>
      </c>
      <c r="C6" s="637" t="s">
        <v>6356</v>
      </c>
      <c r="D6" s="4525">
        <v>20</v>
      </c>
      <c r="E6" s="4526"/>
    </row>
    <row r="7" spans="1:10">
      <c r="A7" s="4531"/>
      <c r="B7" s="633" t="s">
        <v>10401</v>
      </c>
      <c r="C7" s="633" t="s">
        <v>5929</v>
      </c>
      <c r="D7" s="635"/>
      <c r="E7" s="636">
        <v>0</v>
      </c>
    </row>
    <row r="8" spans="1:10">
      <c r="A8" s="4532" t="s">
        <v>11034</v>
      </c>
      <c r="B8" s="638" t="s">
        <v>6658</v>
      </c>
      <c r="C8" s="639" t="s">
        <v>6565</v>
      </c>
      <c r="D8" s="640">
        <f>D3*D5</f>
        <v>9.016</v>
      </c>
      <c r="E8" s="641">
        <f>D3*E4</f>
        <v>20</v>
      </c>
    </row>
    <row r="9" spans="1:10">
      <c r="A9" s="4532"/>
      <c r="B9" s="638" t="s">
        <v>10616</v>
      </c>
      <c r="C9" s="639" t="s">
        <v>11035</v>
      </c>
      <c r="D9" s="640">
        <f>D3*D5+2*E7*D3</f>
        <v>9.016</v>
      </c>
      <c r="E9" s="641">
        <f>E8</f>
        <v>20</v>
      </c>
      <c r="J9" s="647"/>
    </row>
    <row r="10" spans="1:10">
      <c r="A10" s="4532"/>
      <c r="B10" s="638" t="s">
        <v>10411</v>
      </c>
      <c r="C10" s="639" t="s">
        <v>11036</v>
      </c>
      <c r="D10" s="640">
        <f>D3*1</f>
        <v>0.8</v>
      </c>
      <c r="E10" s="641">
        <f>(1+E7)*D3</f>
        <v>0.8</v>
      </c>
    </row>
    <row r="11" spans="1:10">
      <c r="A11" s="4532"/>
      <c r="B11" s="638" t="s">
        <v>10413</v>
      </c>
      <c r="C11" s="639" t="s">
        <v>11037</v>
      </c>
      <c r="D11" s="640">
        <f>(1+0.2)*D3</f>
        <v>0.96</v>
      </c>
      <c r="E11" s="641">
        <f>(1+0.2-E7)*D3</f>
        <v>0.96</v>
      </c>
    </row>
    <row r="12" spans="1:10">
      <c r="A12" s="4532"/>
      <c r="B12" s="638" t="s">
        <v>10415</v>
      </c>
      <c r="C12" s="639" t="s">
        <v>8104</v>
      </c>
      <c r="D12" s="4527">
        <f>(2*1+0.2)*D3</f>
        <v>1.76</v>
      </c>
      <c r="E12" s="4528"/>
    </row>
    <row r="13" spans="1:10">
      <c r="A13" s="4532"/>
      <c r="B13" s="638" t="s">
        <v>6660</v>
      </c>
      <c r="C13" s="639" t="s">
        <v>6661</v>
      </c>
      <c r="D13" s="640">
        <f>D8+2*D10</f>
        <v>10.616</v>
      </c>
      <c r="E13" s="641">
        <f>E8+2*E10</f>
        <v>21.6</v>
      </c>
    </row>
    <row r="14" spans="1:10">
      <c r="A14" s="4532"/>
      <c r="B14" s="638" t="s">
        <v>6665</v>
      </c>
      <c r="C14" s="639" t="s">
        <v>6666</v>
      </c>
      <c r="D14" s="640">
        <f>D8-2*D11</f>
        <v>7.0960000000000001</v>
      </c>
      <c r="E14" s="641">
        <f>E8-2*E11</f>
        <v>18.079999999999998</v>
      </c>
    </row>
    <row r="15" spans="1:10">
      <c r="A15" s="4532"/>
      <c r="B15" s="638" t="s">
        <v>11038</v>
      </c>
      <c r="C15" s="640" t="s">
        <v>11039</v>
      </c>
      <c r="D15" s="4527">
        <f>ATAN(D4/D5)*180/PI()</f>
        <v>65.734148321495098</v>
      </c>
      <c r="E15" s="4528"/>
    </row>
    <row r="16" spans="1:10">
      <c r="A16" s="4532"/>
      <c r="B16" s="638" t="s">
        <v>11040</v>
      </c>
      <c r="C16" s="639" t="s">
        <v>6689</v>
      </c>
      <c r="D16" s="4527">
        <f>PI()*D3</f>
        <v>2.5132741228718301</v>
      </c>
      <c r="E16" s="4528"/>
    </row>
    <row r="17" spans="1:6">
      <c r="A17" s="4532"/>
      <c r="B17" s="638" t="s">
        <v>11041</v>
      </c>
      <c r="C17" s="639" t="s">
        <v>11042</v>
      </c>
      <c r="D17" s="639" t="s">
        <v>11043</v>
      </c>
      <c r="E17" s="641">
        <f>E13+2*D3</f>
        <v>23.2</v>
      </c>
    </row>
    <row r="18" spans="1:6">
      <c r="A18" s="4532"/>
      <c r="B18" s="638" t="s">
        <v>11044</v>
      </c>
      <c r="C18" s="639" t="s">
        <v>11045</v>
      </c>
      <c r="D18" s="640"/>
      <c r="E18" s="641">
        <f>D8/2-D3</f>
        <v>3.7080000000000002</v>
      </c>
    </row>
    <row r="19" spans="1:6">
      <c r="A19" s="4532"/>
      <c r="B19" s="638" t="s">
        <v>11046</v>
      </c>
      <c r="C19" s="639" t="s">
        <v>11047</v>
      </c>
      <c r="D19" s="640"/>
      <c r="E19" s="641">
        <f>D8/2+1.2*D3</f>
        <v>5.468</v>
      </c>
    </row>
    <row r="20" spans="1:6">
      <c r="A20" s="4532"/>
      <c r="B20" s="638" t="s">
        <v>11048</v>
      </c>
      <c r="C20" s="639" t="s">
        <v>5900</v>
      </c>
      <c r="D20" s="639" t="s">
        <v>11049</v>
      </c>
      <c r="E20" s="641">
        <f>0.75*D13</f>
        <v>7.9619999999999997</v>
      </c>
    </row>
    <row r="21" spans="1:6">
      <c r="A21" s="4532"/>
      <c r="B21" s="638" t="s">
        <v>11050</v>
      </c>
      <c r="C21" s="639" t="s">
        <v>11051</v>
      </c>
      <c r="D21" s="640"/>
      <c r="E21" s="642" t="s">
        <v>11052</v>
      </c>
    </row>
    <row r="22" spans="1:6">
      <c r="A22" s="4532"/>
      <c r="B22" s="638" t="s">
        <v>10392</v>
      </c>
      <c r="C22" s="639" t="s">
        <v>11053</v>
      </c>
      <c r="D22" s="4527">
        <f>D3*(D5+E4+2*E7)/2</f>
        <v>14.507999999999999</v>
      </c>
      <c r="E22" s="4528"/>
    </row>
    <row r="23" spans="1:6">
      <c r="A23" s="4533"/>
      <c r="B23" s="643" t="s">
        <v>10401</v>
      </c>
      <c r="C23" s="644" t="s">
        <v>5929</v>
      </c>
      <c r="D23" s="645"/>
      <c r="E23" s="646">
        <f>1/D3*(D22-D3/2*(D5+E4))</f>
        <v>0</v>
      </c>
      <c r="F23" s="3166" t="s">
        <v>12704</v>
      </c>
    </row>
  </sheetData>
  <mergeCells count="10">
    <mergeCell ref="D15:E15"/>
    <mergeCell ref="D16:E16"/>
    <mergeCell ref="D22:E22"/>
    <mergeCell ref="A3:A7"/>
    <mergeCell ref="A8:A23"/>
    <mergeCell ref="A1:E1"/>
    <mergeCell ref="D3:E3"/>
    <mergeCell ref="D5:E5"/>
    <mergeCell ref="D6:E6"/>
    <mergeCell ref="D12:E12"/>
  </mergeCells>
  <phoneticPr fontId="378" type="noConversion"/>
  <hyperlinks>
    <hyperlink ref="F1" location="总目录!A1" display="返回目录"/>
    <hyperlink ref="F23" location="总目录!A1" display="返回目录"/>
  </hyperlinks>
  <pageMargins left="0.75" right="0.75" top="1" bottom="1" header="0.5" footer="0.5"/>
  <headerFooter alignWithMargins="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
  <sheetViews>
    <sheetView topLeftCell="A14" zoomScale="85" zoomScaleNormal="85" workbookViewId="0">
      <selection activeCell="L41" sqref="L41"/>
    </sheetView>
  </sheetViews>
  <sheetFormatPr defaultColWidth="9" defaultRowHeight="16.5"/>
  <cols>
    <col min="1" max="1" width="10.5" style="95" customWidth="1"/>
    <col min="2" max="2" width="6.25" style="95" customWidth="1"/>
    <col min="3" max="3" width="12.25" style="95" customWidth="1"/>
    <col min="4" max="4" width="10.75" style="95" customWidth="1"/>
    <col min="5" max="5" width="20.625" style="95" customWidth="1"/>
    <col min="6" max="7" width="12.625" style="95" customWidth="1"/>
    <col min="8" max="8" width="9.25" style="95" customWidth="1"/>
    <col min="9" max="9" width="15.5" style="95" customWidth="1"/>
    <col min="10" max="10" width="13" style="95" customWidth="1"/>
    <col min="11" max="11" width="9" style="95"/>
    <col min="12" max="12" width="15.75" style="95" customWidth="1"/>
    <col min="13" max="13" width="14.375" style="95" customWidth="1"/>
    <col min="14" max="14" width="17.625" style="95" customWidth="1"/>
    <col min="15" max="15" width="9" style="95"/>
    <col min="16" max="16" width="6.5" style="95" customWidth="1"/>
    <col min="17" max="17" width="13.875" style="95" customWidth="1"/>
    <col min="18" max="18" width="12.125" style="95" customWidth="1"/>
    <col min="19" max="16384" width="9" style="95"/>
  </cols>
  <sheetData>
    <row r="1" spans="1:18">
      <c r="A1" s="490" t="s">
        <v>9893</v>
      </c>
      <c r="B1" s="603" t="s">
        <v>6644</v>
      </c>
      <c r="C1" s="492">
        <v>2</v>
      </c>
      <c r="D1" s="4534" t="s">
        <v>11054</v>
      </c>
      <c r="E1" s="4534"/>
      <c r="F1" s="4534"/>
      <c r="G1" s="4534" t="s">
        <v>11055</v>
      </c>
      <c r="H1" s="4534"/>
      <c r="I1" s="4534"/>
      <c r="J1" s="4534" t="s">
        <v>11056</v>
      </c>
      <c r="K1" s="4534"/>
      <c r="L1" s="4534"/>
    </row>
    <row r="2" spans="1:18">
      <c r="A2" s="494" t="s">
        <v>10389</v>
      </c>
      <c r="B2" s="604" t="s">
        <v>6088</v>
      </c>
      <c r="C2" s="496">
        <v>27</v>
      </c>
      <c r="D2" s="4535" t="s">
        <v>11057</v>
      </c>
      <c r="E2" s="4536"/>
      <c r="F2" s="4537"/>
      <c r="G2" s="605" t="s">
        <v>11058</v>
      </c>
      <c r="H2" s="513"/>
      <c r="I2" s="568"/>
      <c r="J2" s="605" t="s">
        <v>11058</v>
      </c>
      <c r="K2" s="513"/>
      <c r="L2" s="568"/>
    </row>
    <row r="3" spans="1:18" ht="27" customHeight="1">
      <c r="A3" s="494" t="s">
        <v>10401</v>
      </c>
      <c r="B3" s="604" t="s">
        <v>707</v>
      </c>
      <c r="C3" s="496">
        <v>0</v>
      </c>
      <c r="D3" s="4538" t="s">
        <v>11059</v>
      </c>
      <c r="E3" s="4539"/>
      <c r="F3" s="4540"/>
      <c r="G3" s="4541" t="s">
        <v>11060</v>
      </c>
      <c r="H3" s="3469"/>
      <c r="I3" s="4542"/>
      <c r="J3" s="4541" t="s">
        <v>11060</v>
      </c>
      <c r="K3" s="3469"/>
      <c r="L3" s="4542"/>
    </row>
    <row r="4" spans="1:18">
      <c r="A4" s="494" t="s">
        <v>11061</v>
      </c>
      <c r="B4" s="604" t="s">
        <v>9142</v>
      </c>
      <c r="C4" s="501">
        <v>5</v>
      </c>
      <c r="D4" s="4543" t="s">
        <v>11062</v>
      </c>
      <c r="E4" s="4544"/>
      <c r="F4" s="502"/>
      <c r="G4" s="607" t="s">
        <v>11063</v>
      </c>
      <c r="H4" s="608" t="s">
        <v>9152</v>
      </c>
      <c r="I4" s="496">
        <v>8.25</v>
      </c>
      <c r="J4" s="607" t="s">
        <v>11063</v>
      </c>
      <c r="K4" s="608" t="s">
        <v>9152</v>
      </c>
      <c r="L4" s="496">
        <v>5</v>
      </c>
      <c r="M4" s="497" t="s">
        <v>11064</v>
      </c>
      <c r="N4" s="498" t="s">
        <v>11065</v>
      </c>
      <c r="Q4" s="479"/>
      <c r="R4" s="479"/>
    </row>
    <row r="5" spans="1:18">
      <c r="A5" s="494" t="s">
        <v>10396</v>
      </c>
      <c r="B5" s="604" t="s">
        <v>6356</v>
      </c>
      <c r="C5" s="496">
        <v>20</v>
      </c>
      <c r="D5" s="505" t="s">
        <v>11066</v>
      </c>
      <c r="E5" s="506" t="s">
        <v>10396</v>
      </c>
      <c r="F5" s="500">
        <f>C5</f>
        <v>20</v>
      </c>
      <c r="G5" s="505"/>
      <c r="H5" s="609" t="s">
        <v>11067</v>
      </c>
      <c r="I5" s="500">
        <f>F12+I4/(C12*COS(F11))+(2*C3*F8)/C1-PI()/(2*C1)</f>
        <v>-0.60791106429073605</v>
      </c>
      <c r="J5" s="505"/>
      <c r="K5" s="609" t="s">
        <v>11067</v>
      </c>
      <c r="L5" s="500">
        <f>F12-L4/(C1*F19)+PI()/(2*C1)+2*C3*F8/C1</f>
        <v>0.70176756833182996</v>
      </c>
      <c r="M5" s="499">
        <v>1.2221819E-2</v>
      </c>
      <c r="N5" s="500">
        <v>20</v>
      </c>
      <c r="Q5" s="629"/>
      <c r="R5" s="629"/>
    </row>
    <row r="6" spans="1:18">
      <c r="A6" s="507" t="s">
        <v>6594</v>
      </c>
      <c r="B6" s="610" t="s">
        <v>9611</v>
      </c>
      <c r="C6" s="509">
        <v>0</v>
      </c>
      <c r="D6" s="510" t="s">
        <v>11068</v>
      </c>
      <c r="E6" s="506" t="s">
        <v>11069</v>
      </c>
      <c r="F6" s="504">
        <f>(F5/180)*PI()</f>
        <v>0.34906585039886601</v>
      </c>
      <c r="G6" s="505"/>
      <c r="H6" s="506"/>
      <c r="I6" s="504">
        <f t="shared" ref="I6:M6" si="0">(I5*3)^(1/3)-I5*3/7.9</f>
        <v>-0.99091106866595502</v>
      </c>
      <c r="J6" s="505"/>
      <c r="K6" s="506"/>
      <c r="L6" s="504">
        <f t="shared" si="0"/>
        <v>1.01516210819743</v>
      </c>
      <c r="M6" s="503">
        <f t="shared" si="0"/>
        <v>0.32757364727866101</v>
      </c>
      <c r="N6" s="504">
        <f>(N5/180)*PI()</f>
        <v>0.34906585039886601</v>
      </c>
      <c r="Q6" s="552"/>
      <c r="R6" s="552"/>
    </row>
    <row r="7" spans="1:18">
      <c r="A7" s="512" t="s">
        <v>11070</v>
      </c>
      <c r="B7" s="513"/>
      <c r="C7" s="514">
        <f>(C5/180)*F15</f>
        <v>0.22222222222222199</v>
      </c>
      <c r="D7" s="505" t="s">
        <v>11071</v>
      </c>
      <c r="E7" s="506" t="s">
        <v>11072</v>
      </c>
      <c r="F7" s="504">
        <f>TAN(F6)-F6</f>
        <v>1.4904383867336401E-2</v>
      </c>
      <c r="G7" s="505"/>
      <c r="H7" s="506"/>
      <c r="I7" s="504">
        <f t="shared" ref="I7:M7" si="1">TAN(I6)</f>
        <v>-1.52670714589517</v>
      </c>
      <c r="J7" s="505"/>
      <c r="K7" s="506"/>
      <c r="L7" s="504">
        <f t="shared" si="1"/>
        <v>1.61060609244262</v>
      </c>
      <c r="M7" s="503">
        <f t="shared" si="1"/>
        <v>0.33981609304641502</v>
      </c>
      <c r="N7" s="504">
        <f>TAN(N6)-N6</f>
        <v>1.4904383867336401E-2</v>
      </c>
      <c r="Q7" s="552"/>
      <c r="R7" s="552"/>
    </row>
    <row r="8" spans="1:18">
      <c r="A8" s="516" t="s">
        <v>11073</v>
      </c>
      <c r="B8" s="517"/>
      <c r="C8" s="518">
        <f>(2*C3*F8)/PI()</f>
        <v>0</v>
      </c>
      <c r="D8" s="519" t="s">
        <v>11074</v>
      </c>
      <c r="E8" s="506" t="s">
        <v>11075</v>
      </c>
      <c r="F8" s="504">
        <f>TAN(F6)</f>
        <v>0.36397023426620201</v>
      </c>
      <c r="G8" s="505"/>
      <c r="H8" s="506"/>
      <c r="I8" s="504">
        <f t="shared" ref="I8:M8" si="2">(I7)^2</f>
        <v>2.3308347093273598</v>
      </c>
      <c r="J8" s="505"/>
      <c r="K8" s="506"/>
      <c r="L8" s="504">
        <f t="shared" si="2"/>
        <v>2.5940519850132899</v>
      </c>
      <c r="M8" s="503">
        <f t="shared" si="2"/>
        <v>0.11547497709333</v>
      </c>
      <c r="N8" s="511"/>
      <c r="Q8" s="552"/>
      <c r="R8" s="595"/>
    </row>
    <row r="9" spans="1:18">
      <c r="A9" s="522" t="s">
        <v>6163</v>
      </c>
      <c r="B9" s="523" t="s">
        <v>11061</v>
      </c>
      <c r="C9" s="524">
        <f>C7+0.5+C8</f>
        <v>0.72222222222222199</v>
      </c>
      <c r="D9" s="510" t="s">
        <v>11076</v>
      </c>
      <c r="E9" s="506" t="s">
        <v>11077</v>
      </c>
      <c r="F9" s="504">
        <f>C6*PI()/180</f>
        <v>0</v>
      </c>
      <c r="G9" s="505"/>
      <c r="H9" s="506"/>
      <c r="I9" s="504">
        <f t="shared" ref="I9:M9" si="3">(I5+I6-I7)/I8+I6</f>
        <v>-1.02185062296937</v>
      </c>
      <c r="J9" s="505"/>
      <c r="K9" s="506"/>
      <c r="L9" s="504">
        <f t="shared" si="3"/>
        <v>1.05614956130203</v>
      </c>
      <c r="M9" s="503">
        <f t="shared" si="3"/>
        <v>0.32739502184591701</v>
      </c>
      <c r="N9" s="515"/>
      <c r="Q9" s="552"/>
      <c r="R9" s="479"/>
    </row>
    <row r="10" spans="1:18" ht="16.5" customHeight="1">
      <c r="A10" s="611" t="s">
        <v>11078</v>
      </c>
      <c r="B10" s="612" t="s">
        <v>11079</v>
      </c>
      <c r="C10" s="613">
        <f>F19*(F16+F17+F18)</f>
        <v>359.44026837739102</v>
      </c>
      <c r="D10" s="519" t="s">
        <v>11080</v>
      </c>
      <c r="E10" s="506" t="s">
        <v>11081</v>
      </c>
      <c r="F10" s="504">
        <f>COS(F9)</f>
        <v>1</v>
      </c>
      <c r="G10" s="3362" t="s">
        <v>11082</v>
      </c>
      <c r="H10" s="3452" t="s">
        <v>11083</v>
      </c>
      <c r="I10" s="3362">
        <f t="shared" ref="I10:M10" si="4">I9*180/(PI())</f>
        <v>-58.547727988958997</v>
      </c>
      <c r="J10" s="3362" t="s">
        <v>11082</v>
      </c>
      <c r="K10" s="3452" t="s">
        <v>11083</v>
      </c>
      <c r="L10" s="3362">
        <f t="shared" si="4"/>
        <v>60.512912397199699</v>
      </c>
      <c r="M10" s="520">
        <f t="shared" si="4"/>
        <v>18.7583529853644</v>
      </c>
      <c r="N10" s="521"/>
      <c r="Q10" s="552"/>
      <c r="R10" s="479"/>
    </row>
    <row r="11" spans="1:18" ht="15" customHeight="1">
      <c r="A11" s="533" t="s">
        <v>11084</v>
      </c>
      <c r="B11" s="614" t="s">
        <v>11085</v>
      </c>
      <c r="C11" s="535">
        <f>C2/F10</f>
        <v>27</v>
      </c>
      <c r="D11" s="510" t="s">
        <v>11086</v>
      </c>
      <c r="E11" s="531" t="s">
        <v>11087</v>
      </c>
      <c r="F11" s="532">
        <f>ATAN(F13)</f>
        <v>0.34906585039886601</v>
      </c>
      <c r="G11" s="3362"/>
      <c r="H11" s="3452"/>
      <c r="I11" s="3362"/>
      <c r="J11" s="3362"/>
      <c r="K11" s="3452"/>
      <c r="L11" s="3362"/>
    </row>
    <row r="12" spans="1:18" ht="15.75" customHeight="1">
      <c r="A12" s="533" t="s">
        <v>6658</v>
      </c>
      <c r="B12" s="614" t="s">
        <v>6565</v>
      </c>
      <c r="C12" s="535">
        <f>C1*C11</f>
        <v>54</v>
      </c>
      <c r="D12" s="505" t="s">
        <v>11088</v>
      </c>
      <c r="E12" s="506" t="s">
        <v>11089</v>
      </c>
      <c r="F12" s="504">
        <f>TAN(F11)-F11</f>
        <v>1.4904383867336401E-2</v>
      </c>
      <c r="G12" s="519" t="s">
        <v>11090</v>
      </c>
      <c r="H12" s="506"/>
      <c r="I12" s="570"/>
      <c r="J12" s="519" t="s">
        <v>11091</v>
      </c>
      <c r="K12" s="506"/>
      <c r="L12" s="570"/>
    </row>
    <row r="13" spans="1:18" ht="15" customHeight="1">
      <c r="A13" s="533" t="s">
        <v>10411</v>
      </c>
      <c r="B13" s="614" t="s">
        <v>11036</v>
      </c>
      <c r="C13" s="535">
        <f>1*C2</f>
        <v>27</v>
      </c>
      <c r="D13" s="519" t="s">
        <v>11092</v>
      </c>
      <c r="E13" s="536"/>
      <c r="F13" s="504">
        <f>F8/F10</f>
        <v>0.36397023426620201</v>
      </c>
      <c r="G13" s="615" t="s">
        <v>11093</v>
      </c>
      <c r="H13" s="616" t="s">
        <v>11094</v>
      </c>
      <c r="I13" s="625">
        <f>C12*COS(F6)/COS(I10*PI()/180)+I4</f>
        <v>105.499053908733</v>
      </c>
      <c r="J13" s="615" t="s">
        <v>11093</v>
      </c>
      <c r="K13" s="616" t="s">
        <v>11094</v>
      </c>
      <c r="L13" s="625">
        <f>C11*C1*COS(F11)/(COS(L10*PI()/180))-L4</f>
        <v>98.089347383551498</v>
      </c>
    </row>
    <row r="14" spans="1:18" ht="15.75" customHeight="1">
      <c r="A14" s="533" t="s">
        <v>6660</v>
      </c>
      <c r="B14" s="614" t="s">
        <v>6661</v>
      </c>
      <c r="C14" s="535">
        <f>C12+2*C2*(1+C3)-2*C11*C18</f>
        <v>108</v>
      </c>
      <c r="D14" s="505" t="s">
        <v>11095</v>
      </c>
      <c r="E14" s="506" t="s">
        <v>11096</v>
      </c>
      <c r="F14" s="504">
        <f>(F11*180)/PI()</f>
        <v>20</v>
      </c>
      <c r="G14" s="519" t="s">
        <v>11097</v>
      </c>
      <c r="H14" s="506"/>
      <c r="I14" s="570"/>
      <c r="J14" s="519" t="s">
        <v>11098</v>
      </c>
      <c r="K14" s="506"/>
      <c r="L14" s="570"/>
    </row>
    <row r="15" spans="1:18">
      <c r="A15" s="533" t="s">
        <v>10413</v>
      </c>
      <c r="B15" s="614" t="s">
        <v>11037</v>
      </c>
      <c r="C15" s="535">
        <f>1.25*C2</f>
        <v>33.75</v>
      </c>
      <c r="D15" s="519" t="s">
        <v>11099</v>
      </c>
      <c r="E15" s="506" t="s">
        <v>11100</v>
      </c>
      <c r="F15" s="504">
        <f>C1*(F12/F7)</f>
        <v>2</v>
      </c>
      <c r="G15" s="617" t="s">
        <v>11101</v>
      </c>
      <c r="H15" s="618" t="s">
        <v>11102</v>
      </c>
      <c r="I15" s="626">
        <f>C12*COS(F6)/COS(I10*PI()/180)*COS(90/C1*PI()/180)+I4</f>
        <v>77.015465482841407</v>
      </c>
      <c r="J15" s="617" t="s">
        <v>11101</v>
      </c>
      <c r="K15" s="618" t="s">
        <v>11102</v>
      </c>
      <c r="L15" s="626">
        <f>C11*C1*COS(F11)/(COS(L10*PI()/180))*(COS((90/C1)*(PI()/180)))-L4</f>
        <v>67.895176603004899</v>
      </c>
    </row>
    <row r="16" spans="1:18">
      <c r="A16" s="533" t="s">
        <v>6665</v>
      </c>
      <c r="B16" s="614" t="s">
        <v>6666</v>
      </c>
      <c r="C16" s="535">
        <f>C12-2*C2*(1.25-C3)</f>
        <v>-13.5</v>
      </c>
      <c r="D16" s="538" t="s">
        <v>11103</v>
      </c>
      <c r="E16" s="531"/>
      <c r="F16" s="504">
        <f>PI()*(C4-0.5)</f>
        <v>14.137166941154099</v>
      </c>
      <c r="G16" s="4545" t="s">
        <v>11104</v>
      </c>
      <c r="H16" s="4546"/>
      <c r="I16" s="4546"/>
      <c r="J16" s="4546"/>
    </row>
    <row r="17" spans="1:12">
      <c r="A17" s="533" t="s">
        <v>10415</v>
      </c>
      <c r="B17" s="614" t="s">
        <v>8104</v>
      </c>
      <c r="C17" s="535">
        <f>(C14-C16)/2</f>
        <v>60.75</v>
      </c>
      <c r="D17" s="519" t="s">
        <v>11105</v>
      </c>
      <c r="E17" s="506"/>
      <c r="F17" s="504">
        <f>F15*F7</f>
        <v>2.9808767734672899E-2</v>
      </c>
      <c r="G17" s="4547" t="s">
        <v>11106</v>
      </c>
      <c r="H17" s="4548"/>
      <c r="I17" s="4549"/>
      <c r="J17" s="552"/>
    </row>
    <row r="18" spans="1:12" ht="13.5" customHeight="1">
      <c r="A18" s="539" t="s">
        <v>10399</v>
      </c>
      <c r="B18" s="619" t="s">
        <v>11107</v>
      </c>
      <c r="C18" s="541">
        <v>0</v>
      </c>
      <c r="D18" s="519" t="s">
        <v>11108</v>
      </c>
      <c r="E18" s="506"/>
      <c r="F18" s="543">
        <f>2*C3*F8</f>
        <v>0</v>
      </c>
      <c r="G18" s="620" t="s">
        <v>10389</v>
      </c>
      <c r="H18" s="621" t="s">
        <v>11109</v>
      </c>
      <c r="I18" s="613">
        <f>C2</f>
        <v>27</v>
      </c>
    </row>
    <row r="19" spans="1:12">
      <c r="A19" s="4550" t="s">
        <v>11110</v>
      </c>
      <c r="B19" s="4551"/>
      <c r="C19" s="4552"/>
      <c r="D19" s="544" t="s">
        <v>11111</v>
      </c>
      <c r="E19" s="545"/>
      <c r="F19" s="546">
        <f>C2*COS(F6)</f>
        <v>25.3717007612195</v>
      </c>
      <c r="G19" s="620" t="s">
        <v>11112</v>
      </c>
      <c r="H19" s="621" t="s">
        <v>6163</v>
      </c>
      <c r="I19" s="613">
        <v>1</v>
      </c>
      <c r="J19" s="204"/>
    </row>
    <row r="20" spans="1:12">
      <c r="A20" s="4553" t="s">
        <v>11113</v>
      </c>
      <c r="B20" s="4554"/>
      <c r="C20" s="548">
        <v>35</v>
      </c>
      <c r="G20" s="620" t="s">
        <v>6594</v>
      </c>
      <c r="H20" s="612" t="s">
        <v>9611</v>
      </c>
      <c r="I20" s="613">
        <f>C6</f>
        <v>0</v>
      </c>
      <c r="J20" s="537"/>
    </row>
    <row r="21" spans="1:12">
      <c r="A21" s="549"/>
      <c r="B21" s="550" t="s">
        <v>11114</v>
      </c>
      <c r="C21" s="551">
        <f>SIN(F9)*C10</f>
        <v>0</v>
      </c>
      <c r="G21" s="538" t="s">
        <v>11077</v>
      </c>
      <c r="H21" s="622" t="s">
        <v>11115</v>
      </c>
      <c r="I21" s="627">
        <f>I20*PI()/180</f>
        <v>0</v>
      </c>
      <c r="J21" s="204"/>
      <c r="L21" s="3162" t="s">
        <v>12704</v>
      </c>
    </row>
    <row r="22" spans="1:12" ht="12.75" customHeight="1">
      <c r="G22" s="538"/>
      <c r="H22" s="622" t="s">
        <v>11116</v>
      </c>
      <c r="I22" s="627">
        <f>SIN(I21)</f>
        <v>0</v>
      </c>
      <c r="J22" s="537"/>
    </row>
    <row r="23" spans="1:12">
      <c r="G23" s="623" t="s">
        <v>11117</v>
      </c>
      <c r="H23" s="624" t="s">
        <v>11118</v>
      </c>
      <c r="I23" s="628">
        <f>(9*I22)/(I18*I19)</f>
        <v>0</v>
      </c>
      <c r="J23" s="204"/>
    </row>
    <row r="25" spans="1:12" ht="22.5">
      <c r="A25" s="4564" t="s">
        <v>11119</v>
      </c>
      <c r="B25" s="4564"/>
      <c r="C25" s="4564"/>
      <c r="D25" s="4564"/>
      <c r="E25" s="4564"/>
      <c r="F25" s="4564"/>
      <c r="G25" s="4564"/>
      <c r="H25" s="4564"/>
      <c r="I25" s="4564"/>
      <c r="J25" s="4564"/>
    </row>
    <row r="26" spans="1:12">
      <c r="A26" s="4561" t="s">
        <v>11120</v>
      </c>
      <c r="B26" s="4559" t="s">
        <v>11121</v>
      </c>
      <c r="C26" s="4559" t="s">
        <v>11122</v>
      </c>
      <c r="D26" s="553" t="s">
        <v>11123</v>
      </c>
      <c r="E26" s="4565" t="s">
        <v>11124</v>
      </c>
      <c r="F26" s="4565"/>
      <c r="G26" s="4565"/>
      <c r="H26" s="4565"/>
      <c r="I26" s="4565"/>
      <c r="J26" s="4566"/>
    </row>
    <row r="27" spans="1:12" ht="20.25">
      <c r="A27" s="4562"/>
      <c r="B27" s="4560"/>
      <c r="C27" s="4560"/>
      <c r="D27" s="554" t="s">
        <v>11125</v>
      </c>
      <c r="E27" s="3362" t="s">
        <v>11126</v>
      </c>
      <c r="F27" s="3362" t="s">
        <v>11127</v>
      </c>
      <c r="G27" s="3362" t="s">
        <v>11128</v>
      </c>
      <c r="H27" s="3362" t="s">
        <v>11129</v>
      </c>
      <c r="I27" s="3362" t="s">
        <v>11130</v>
      </c>
      <c r="J27" s="3362" t="s">
        <v>11131</v>
      </c>
    </row>
    <row r="28" spans="1:12" ht="29.25" customHeight="1">
      <c r="A28" s="4563"/>
      <c r="B28" s="3362"/>
      <c r="C28" s="3362"/>
      <c r="D28" s="555" t="s">
        <v>11132</v>
      </c>
      <c r="E28" s="3362"/>
      <c r="F28" s="3362"/>
      <c r="G28" s="3362"/>
      <c r="H28" s="3362"/>
      <c r="I28" s="3362"/>
      <c r="J28" s="3362"/>
    </row>
    <row r="29" spans="1:12">
      <c r="A29" s="4555">
        <v>6</v>
      </c>
      <c r="B29" s="3362" t="s">
        <v>11133</v>
      </c>
      <c r="C29" s="3362" t="s">
        <v>11134</v>
      </c>
      <c r="D29" s="556" t="s">
        <v>11135</v>
      </c>
      <c r="E29" s="557">
        <v>80</v>
      </c>
      <c r="F29" s="557">
        <v>95</v>
      </c>
      <c r="G29" s="557">
        <v>115</v>
      </c>
      <c r="H29" s="557">
        <v>140</v>
      </c>
      <c r="I29" s="557">
        <v>160</v>
      </c>
      <c r="J29" s="575">
        <v>210</v>
      </c>
    </row>
    <row r="30" spans="1:12">
      <c r="A30" s="4556"/>
      <c r="B30" s="3452"/>
      <c r="C30" s="3452"/>
      <c r="D30" s="506" t="s">
        <v>11136</v>
      </c>
      <c r="E30" s="559">
        <v>80</v>
      </c>
      <c r="F30" s="559">
        <v>95</v>
      </c>
      <c r="G30" s="559">
        <v>115</v>
      </c>
      <c r="H30" s="559">
        <v>140</v>
      </c>
      <c r="I30" s="559">
        <v>160</v>
      </c>
      <c r="J30" s="576">
        <v>210</v>
      </c>
    </row>
    <row r="31" spans="1:12">
      <c r="A31" s="4556"/>
      <c r="B31" s="3452"/>
      <c r="C31" s="3452"/>
      <c r="D31" s="506" t="s">
        <v>11137</v>
      </c>
      <c r="E31" s="560" t="s">
        <v>2074</v>
      </c>
      <c r="F31" s="559">
        <v>95</v>
      </c>
      <c r="G31" s="559">
        <v>120</v>
      </c>
      <c r="H31" s="559">
        <v>140</v>
      </c>
      <c r="I31" s="559">
        <v>160</v>
      </c>
      <c r="J31" s="576">
        <v>210</v>
      </c>
    </row>
    <row r="32" spans="1:12">
      <c r="A32" s="4556"/>
      <c r="B32" s="3452"/>
      <c r="C32" s="3452"/>
      <c r="D32" s="506" t="s">
        <v>11138</v>
      </c>
      <c r="E32" s="560" t="s">
        <v>2074</v>
      </c>
      <c r="F32" s="560" t="s">
        <v>2074</v>
      </c>
      <c r="G32" s="559">
        <v>120</v>
      </c>
      <c r="H32" s="561">
        <v>140</v>
      </c>
      <c r="I32" s="559">
        <v>160</v>
      </c>
      <c r="J32" s="576">
        <v>210</v>
      </c>
    </row>
    <row r="33" spans="1:12">
      <c r="A33" s="4557"/>
      <c r="B33" s="3362"/>
      <c r="C33" s="555" t="s">
        <v>11139</v>
      </c>
      <c r="D33" s="555" t="s">
        <v>11140</v>
      </c>
      <c r="E33" s="562">
        <v>34</v>
      </c>
      <c r="F33" s="562">
        <v>40</v>
      </c>
      <c r="G33" s="562">
        <v>40</v>
      </c>
      <c r="H33" s="562">
        <v>45</v>
      </c>
      <c r="I33" s="562">
        <v>50</v>
      </c>
      <c r="J33" s="577">
        <v>50</v>
      </c>
    </row>
    <row r="34" spans="1:12">
      <c r="A34" s="4555">
        <v>7</v>
      </c>
      <c r="B34" s="3362" t="s">
        <v>11133</v>
      </c>
      <c r="C34" s="3362" t="s">
        <v>11134</v>
      </c>
      <c r="D34" s="556" t="s">
        <v>11135</v>
      </c>
      <c r="E34" s="557">
        <v>85</v>
      </c>
      <c r="F34" s="557">
        <v>105</v>
      </c>
      <c r="G34" s="557">
        <v>130</v>
      </c>
      <c r="H34" s="557">
        <v>150</v>
      </c>
      <c r="I34" s="557">
        <v>170</v>
      </c>
      <c r="J34" s="575">
        <v>220</v>
      </c>
    </row>
    <row r="35" spans="1:12">
      <c r="A35" s="4556"/>
      <c r="B35" s="3452"/>
      <c r="C35" s="3452"/>
      <c r="D35" s="506" t="s">
        <v>11136</v>
      </c>
      <c r="E35" s="559">
        <v>85</v>
      </c>
      <c r="F35" s="559">
        <v>105</v>
      </c>
      <c r="G35" s="559">
        <v>130</v>
      </c>
      <c r="H35" s="559">
        <v>150</v>
      </c>
      <c r="I35" s="559">
        <v>190</v>
      </c>
      <c r="J35" s="576">
        <v>220</v>
      </c>
    </row>
    <row r="36" spans="1:12">
      <c r="A36" s="4556"/>
      <c r="B36" s="3452"/>
      <c r="C36" s="3452"/>
      <c r="D36" s="506" t="s">
        <v>11137</v>
      </c>
      <c r="E36" s="560" t="s">
        <v>2074</v>
      </c>
      <c r="F36" s="559">
        <v>110</v>
      </c>
      <c r="G36" s="559">
        <v>130</v>
      </c>
      <c r="H36" s="559">
        <v>160</v>
      </c>
      <c r="I36" s="559">
        <v>190</v>
      </c>
      <c r="J36" s="576">
        <v>240</v>
      </c>
    </row>
    <row r="37" spans="1:12">
      <c r="A37" s="4556"/>
      <c r="B37" s="3452"/>
      <c r="C37" s="3452"/>
      <c r="D37" s="506" t="s">
        <v>11138</v>
      </c>
      <c r="E37" s="560" t="s">
        <v>2074</v>
      </c>
      <c r="F37" s="560" t="s">
        <v>2074</v>
      </c>
      <c r="G37" s="559">
        <v>130</v>
      </c>
      <c r="H37" s="559">
        <v>160</v>
      </c>
      <c r="I37" s="559">
        <v>190</v>
      </c>
      <c r="J37" s="576">
        <v>240</v>
      </c>
    </row>
    <row r="38" spans="1:12">
      <c r="A38" s="4557"/>
      <c r="B38" s="3362"/>
      <c r="C38" s="555" t="s">
        <v>11139</v>
      </c>
      <c r="D38" s="555" t="s">
        <v>11140</v>
      </c>
      <c r="E38" s="563">
        <v>38</v>
      </c>
      <c r="F38" s="563">
        <v>50</v>
      </c>
      <c r="G38" s="562">
        <v>50</v>
      </c>
      <c r="H38" s="562">
        <v>55</v>
      </c>
      <c r="I38" s="562">
        <v>70</v>
      </c>
      <c r="J38" s="577">
        <v>70</v>
      </c>
    </row>
    <row r="39" spans="1:12">
      <c r="A39" s="4555">
        <v>8</v>
      </c>
      <c r="B39" s="3362" t="s">
        <v>11133</v>
      </c>
      <c r="C39" s="3362" t="s">
        <v>11134</v>
      </c>
      <c r="D39" s="556" t="s">
        <v>11135</v>
      </c>
      <c r="E39" s="564">
        <v>95</v>
      </c>
      <c r="F39" s="564">
        <v>115</v>
      </c>
      <c r="G39" s="557">
        <v>140</v>
      </c>
      <c r="H39" s="557">
        <v>170</v>
      </c>
      <c r="I39" s="557">
        <v>200</v>
      </c>
      <c r="J39" s="575">
        <v>240</v>
      </c>
    </row>
    <row r="40" spans="1:12">
      <c r="A40" s="4556"/>
      <c r="B40" s="3452"/>
      <c r="C40" s="3452"/>
      <c r="D40" s="506" t="s">
        <v>11136</v>
      </c>
      <c r="E40" s="560">
        <v>100</v>
      </c>
      <c r="F40" s="560">
        <v>115</v>
      </c>
      <c r="G40" s="559">
        <v>140</v>
      </c>
      <c r="H40" s="559">
        <v>170</v>
      </c>
      <c r="I40" s="559">
        <v>200</v>
      </c>
      <c r="J40" s="576">
        <v>240</v>
      </c>
    </row>
    <row r="41" spans="1:12">
      <c r="A41" s="4556"/>
      <c r="B41" s="3452"/>
      <c r="C41" s="3452"/>
      <c r="D41" s="506" t="s">
        <v>11137</v>
      </c>
      <c r="E41" s="560" t="s">
        <v>2074</v>
      </c>
      <c r="F41" s="560">
        <v>120</v>
      </c>
      <c r="G41" s="559">
        <v>140</v>
      </c>
      <c r="H41" s="559">
        <v>170</v>
      </c>
      <c r="I41" s="559">
        <v>210</v>
      </c>
      <c r="J41" s="576">
        <v>240</v>
      </c>
      <c r="L41" s="3162" t="s">
        <v>12704</v>
      </c>
    </row>
    <row r="42" spans="1:12">
      <c r="A42" s="4556"/>
      <c r="B42" s="3452"/>
      <c r="C42" s="3452"/>
      <c r="D42" s="506" t="s">
        <v>11138</v>
      </c>
      <c r="E42" s="560" t="s">
        <v>2074</v>
      </c>
      <c r="F42" s="560" t="s">
        <v>2074</v>
      </c>
      <c r="G42" s="559">
        <v>150</v>
      </c>
      <c r="H42" s="559">
        <v>180</v>
      </c>
      <c r="I42" s="559">
        <v>210</v>
      </c>
      <c r="J42" s="576">
        <v>240</v>
      </c>
    </row>
    <row r="43" spans="1:12">
      <c r="A43" s="4557"/>
      <c r="B43" s="3362"/>
      <c r="C43" s="555" t="s">
        <v>11139</v>
      </c>
      <c r="D43" s="555" t="s">
        <v>11140</v>
      </c>
      <c r="E43" s="563">
        <v>48</v>
      </c>
      <c r="F43" s="563">
        <v>70</v>
      </c>
      <c r="G43" s="562">
        <v>70</v>
      </c>
      <c r="H43" s="562">
        <v>80</v>
      </c>
      <c r="I43" s="562">
        <v>90</v>
      </c>
      <c r="J43" s="577">
        <v>90</v>
      </c>
    </row>
    <row r="44" spans="1:12">
      <c r="A44" s="4555">
        <v>9</v>
      </c>
      <c r="B44" s="3362" t="s">
        <v>11133</v>
      </c>
      <c r="C44" s="3362" t="s">
        <v>11134</v>
      </c>
      <c r="D44" s="556" t="s">
        <v>11136</v>
      </c>
      <c r="E44" s="564">
        <v>115</v>
      </c>
      <c r="F44" s="564">
        <v>140</v>
      </c>
      <c r="G44" s="557">
        <v>160</v>
      </c>
      <c r="H44" s="557">
        <v>190</v>
      </c>
      <c r="I44" s="557">
        <v>240</v>
      </c>
      <c r="J44" s="575">
        <v>280</v>
      </c>
    </row>
    <row r="45" spans="1:12">
      <c r="A45" s="4556"/>
      <c r="B45" s="3452"/>
      <c r="C45" s="3452"/>
      <c r="D45" s="506" t="s">
        <v>11137</v>
      </c>
      <c r="E45" s="560" t="s">
        <v>2074</v>
      </c>
      <c r="F45" s="560">
        <v>150</v>
      </c>
      <c r="G45" s="559">
        <v>160</v>
      </c>
      <c r="H45" s="559">
        <v>200</v>
      </c>
      <c r="I45" s="559">
        <v>240</v>
      </c>
      <c r="J45" s="576">
        <v>280</v>
      </c>
    </row>
    <row r="46" spans="1:12">
      <c r="A46" s="4556"/>
      <c r="B46" s="3452"/>
      <c r="C46" s="3452"/>
      <c r="D46" s="506" t="s">
        <v>11138</v>
      </c>
      <c r="E46" s="560" t="s">
        <v>2074</v>
      </c>
      <c r="F46" s="560" t="s">
        <v>2074</v>
      </c>
      <c r="G46" s="559">
        <v>180</v>
      </c>
      <c r="H46" s="559">
        <v>210</v>
      </c>
      <c r="I46" s="559">
        <v>240</v>
      </c>
      <c r="J46" s="576">
        <v>280</v>
      </c>
    </row>
    <row r="47" spans="1:12">
      <c r="A47" s="4556"/>
      <c r="B47" s="3452"/>
      <c r="C47" s="3452"/>
      <c r="D47" s="506"/>
      <c r="E47" s="506"/>
      <c r="F47" s="506"/>
      <c r="G47" s="506"/>
      <c r="H47" s="506"/>
      <c r="I47" s="506"/>
      <c r="J47" s="570"/>
    </row>
    <row r="48" spans="1:12">
      <c r="A48" s="4558"/>
      <c r="B48" s="3362"/>
      <c r="C48" s="545" t="s">
        <v>11139</v>
      </c>
      <c r="D48" s="545" t="s">
        <v>11141</v>
      </c>
      <c r="E48" s="565">
        <v>65</v>
      </c>
      <c r="F48" s="566">
        <v>95</v>
      </c>
      <c r="G48" s="565">
        <v>95</v>
      </c>
      <c r="H48" s="565">
        <v>115</v>
      </c>
      <c r="I48" s="565">
        <v>140</v>
      </c>
      <c r="J48" s="578">
        <v>140</v>
      </c>
    </row>
  </sheetData>
  <mergeCells count="41">
    <mergeCell ref="K10:K11"/>
    <mergeCell ref="L10:L11"/>
    <mergeCell ref="C39:C42"/>
    <mergeCell ref="C44:C47"/>
    <mergeCell ref="E27:E28"/>
    <mergeCell ref="F27:F28"/>
    <mergeCell ref="G10:G11"/>
    <mergeCell ref="G27:G28"/>
    <mergeCell ref="A25:J25"/>
    <mergeCell ref="E26:J26"/>
    <mergeCell ref="C26:C28"/>
    <mergeCell ref="C29:C32"/>
    <mergeCell ref="C34:C37"/>
    <mergeCell ref="H27:H28"/>
    <mergeCell ref="I27:I28"/>
    <mergeCell ref="J27:J28"/>
    <mergeCell ref="A39:A43"/>
    <mergeCell ref="A44:A48"/>
    <mergeCell ref="B26:B28"/>
    <mergeCell ref="B29:B33"/>
    <mergeCell ref="B34:B38"/>
    <mergeCell ref="B39:B43"/>
    <mergeCell ref="B44:B48"/>
    <mergeCell ref="A26:A28"/>
    <mergeCell ref="A29:A33"/>
    <mergeCell ref="A34:A38"/>
    <mergeCell ref="D4:E4"/>
    <mergeCell ref="G16:J16"/>
    <mergeCell ref="G17:I17"/>
    <mergeCell ref="A19:C19"/>
    <mergeCell ref="A20:B20"/>
    <mergeCell ref="H10:H11"/>
    <mergeCell ref="I10:I11"/>
    <mergeCell ref="J10:J11"/>
    <mergeCell ref="D1:F1"/>
    <mergeCell ref="G1:I1"/>
    <mergeCell ref="J1:L1"/>
    <mergeCell ref="D2:F2"/>
    <mergeCell ref="D3:F3"/>
    <mergeCell ref="G3:I3"/>
    <mergeCell ref="J3:L3"/>
  </mergeCells>
  <phoneticPr fontId="378" type="noConversion"/>
  <hyperlinks>
    <hyperlink ref="L21" location="总目录!A1" display="返回目录"/>
    <hyperlink ref="L41" location="总目录!A1" display="返回目录"/>
  </hyperlinks>
  <pageMargins left="0.75" right="0.75" top="1" bottom="1" header="0.5" footer="0.5"/>
  <pageSetup paperSize="9" orientation="portrait"/>
  <headerFooter alignWithMargins="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4"/>
  <sheetViews>
    <sheetView workbookViewId="0">
      <selection activeCell="O16" sqref="O16"/>
    </sheetView>
  </sheetViews>
  <sheetFormatPr defaultColWidth="9" defaultRowHeight="16.5"/>
  <cols>
    <col min="1" max="1" width="5.5" style="95" customWidth="1"/>
    <col min="2" max="2" width="12.5" style="95" customWidth="1"/>
    <col min="3" max="3" width="5.625" style="95" customWidth="1"/>
    <col min="4" max="4" width="12.75" style="95" customWidth="1"/>
    <col min="5" max="5" width="3.5" style="95" customWidth="1"/>
    <col min="6" max="6" width="12.5" style="95" customWidth="1"/>
    <col min="7" max="7" width="5.75" style="95" customWidth="1"/>
    <col min="8" max="8" width="11.875" style="95" customWidth="1"/>
    <col min="9" max="9" width="5.5" style="95" customWidth="1"/>
    <col min="10" max="10" width="13.25" style="95" customWidth="1"/>
    <col min="11" max="11" width="4.25" style="95" customWidth="1"/>
    <col min="12" max="12" width="11.875" style="95" customWidth="1"/>
    <col min="13" max="13" width="9" style="95"/>
    <col min="14" max="14" width="14.875" style="95" customWidth="1"/>
    <col min="15" max="15" width="18.25" style="95" customWidth="1"/>
    <col min="16" max="16384" width="9" style="95"/>
  </cols>
  <sheetData>
    <row r="1" spans="1:16">
      <c r="A1" s="3362" t="s">
        <v>11142</v>
      </c>
      <c r="B1" s="3362"/>
      <c r="C1" s="3362"/>
      <c r="D1" s="3362"/>
      <c r="E1" s="3362" t="s">
        <v>11143</v>
      </c>
      <c r="F1" s="3362"/>
      <c r="G1" s="3362" t="s">
        <v>11144</v>
      </c>
      <c r="H1" s="3362"/>
      <c r="I1" s="3362"/>
      <c r="J1" s="3362"/>
      <c r="K1" s="3362" t="s">
        <v>11145</v>
      </c>
      <c r="L1" s="3362"/>
    </row>
    <row r="2" spans="1:16">
      <c r="A2" s="590" t="s">
        <v>11033</v>
      </c>
      <c r="B2" s="591">
        <v>26</v>
      </c>
      <c r="C2" s="597" t="s">
        <v>11033</v>
      </c>
      <c r="D2" s="598">
        <f>B2*1</f>
        <v>26</v>
      </c>
      <c r="E2" s="590" t="s">
        <v>11033</v>
      </c>
      <c r="F2" s="591">
        <v>26</v>
      </c>
      <c r="G2" s="590" t="s">
        <v>11033</v>
      </c>
      <c r="H2" s="591">
        <v>25</v>
      </c>
      <c r="I2" s="597" t="s">
        <v>11033</v>
      </c>
      <c r="J2" s="598">
        <f>H2*1</f>
        <v>25</v>
      </c>
      <c r="K2" s="590" t="s">
        <v>11033</v>
      </c>
      <c r="L2" s="591">
        <v>25</v>
      </c>
      <c r="N2" s="590" t="s">
        <v>11078</v>
      </c>
      <c r="O2" s="591">
        <v>44.662799999999997</v>
      </c>
      <c r="P2" s="3362" t="s">
        <v>11146</v>
      </c>
    </row>
    <row r="3" spans="1:16">
      <c r="A3" s="579" t="s">
        <v>6088</v>
      </c>
      <c r="B3" s="583">
        <v>0.5</v>
      </c>
      <c r="C3" s="599" t="s">
        <v>6088</v>
      </c>
      <c r="D3" s="582">
        <f>B3*1</f>
        <v>0.5</v>
      </c>
      <c r="E3" s="579" t="s">
        <v>6088</v>
      </c>
      <c r="F3" s="583">
        <v>0.5</v>
      </c>
      <c r="G3" s="579" t="s">
        <v>6088</v>
      </c>
      <c r="H3" s="583">
        <v>1.5</v>
      </c>
      <c r="I3" s="599" t="s">
        <v>6088</v>
      </c>
      <c r="J3" s="582">
        <f>H3*1</f>
        <v>1.5</v>
      </c>
      <c r="K3" s="579" t="s">
        <v>6088</v>
      </c>
      <c r="L3" s="583">
        <v>1.5</v>
      </c>
      <c r="N3" s="579" t="s">
        <v>10389</v>
      </c>
      <c r="O3" s="583">
        <v>4</v>
      </c>
      <c r="P3" s="3362"/>
    </row>
    <row r="4" spans="1:16">
      <c r="A4" s="579" t="s">
        <v>6356</v>
      </c>
      <c r="B4" s="583">
        <v>20</v>
      </c>
      <c r="C4" s="599" t="s">
        <v>6356</v>
      </c>
      <c r="D4" s="582">
        <f>B4*1</f>
        <v>20</v>
      </c>
      <c r="E4" s="579" t="s">
        <v>6356</v>
      </c>
      <c r="F4" s="583">
        <v>20</v>
      </c>
      <c r="G4" s="579" t="s">
        <v>6356</v>
      </c>
      <c r="H4" s="583">
        <v>30</v>
      </c>
      <c r="I4" s="599" t="s">
        <v>6356</v>
      </c>
      <c r="J4" s="582">
        <f>H4*1</f>
        <v>30</v>
      </c>
      <c r="K4" s="579" t="s">
        <v>6356</v>
      </c>
      <c r="L4" s="583">
        <v>30</v>
      </c>
      <c r="N4" s="579" t="s">
        <v>10396</v>
      </c>
      <c r="O4" s="583">
        <v>20</v>
      </c>
      <c r="P4" s="3362"/>
    </row>
    <row r="5" spans="1:16">
      <c r="A5" s="579" t="s">
        <v>9152</v>
      </c>
      <c r="B5" s="583">
        <v>0.86599999999999999</v>
      </c>
      <c r="C5" s="599" t="s">
        <v>9152</v>
      </c>
      <c r="D5" s="582">
        <v>0.86599999999999999</v>
      </c>
      <c r="E5" s="579" t="s">
        <v>9152</v>
      </c>
      <c r="F5" s="583">
        <v>0.72399999999999998</v>
      </c>
      <c r="G5" s="579" t="s">
        <v>9152</v>
      </c>
      <c r="H5" s="583">
        <v>2.8860000000000001</v>
      </c>
      <c r="I5" s="599" t="s">
        <v>9152</v>
      </c>
      <c r="J5" s="582">
        <f>H5*1</f>
        <v>2.8860000000000001</v>
      </c>
      <c r="K5" s="579" t="s">
        <v>9152</v>
      </c>
      <c r="L5" s="583">
        <v>2.8860000000000001</v>
      </c>
      <c r="N5" s="592" t="s">
        <v>272</v>
      </c>
      <c r="O5" s="515">
        <f>(O4/180)*PI()</f>
        <v>0.34906585039886601</v>
      </c>
      <c r="P5" s="3362"/>
    </row>
    <row r="6" spans="1:16">
      <c r="A6" s="584" t="s">
        <v>11147</v>
      </c>
      <c r="B6" s="583">
        <v>1.0766703811</v>
      </c>
      <c r="C6" s="584" t="s">
        <v>11148</v>
      </c>
      <c r="D6" s="583">
        <v>1.1039134580000001</v>
      </c>
      <c r="E6" s="584" t="s">
        <v>6407</v>
      </c>
      <c r="F6" s="583">
        <v>14.363</v>
      </c>
      <c r="G6" s="584" t="s">
        <v>11147</v>
      </c>
      <c r="H6" s="583">
        <v>2.2930000000000001</v>
      </c>
      <c r="I6" s="584" t="s">
        <v>11148</v>
      </c>
      <c r="J6" s="583">
        <v>2.258</v>
      </c>
      <c r="K6" s="579" t="s">
        <v>6407</v>
      </c>
      <c r="L6" s="583">
        <v>41.807240520000001</v>
      </c>
      <c r="N6" s="592" t="s">
        <v>11065</v>
      </c>
      <c r="O6" s="515">
        <f>TAN(O5)-O5</f>
        <v>1.4904383867336401E-2</v>
      </c>
      <c r="P6" s="3362"/>
    </row>
    <row r="7" spans="1:16">
      <c r="A7" s="558"/>
      <c r="B7" s="515">
        <f t="shared" ref="B7:F7" si="0">(B4/180)*PI()</f>
        <v>0.34906585039886601</v>
      </c>
      <c r="C7" s="558"/>
      <c r="D7" s="515">
        <f t="shared" si="0"/>
        <v>0.34906585039886601</v>
      </c>
      <c r="E7" s="558"/>
      <c r="F7" s="515">
        <f t="shared" si="0"/>
        <v>0.34906585039886601</v>
      </c>
      <c r="G7" s="558"/>
      <c r="H7" s="515">
        <f t="shared" ref="H7:L7" si="1">(H4/180)*PI()</f>
        <v>0.52359877559829904</v>
      </c>
      <c r="I7" s="558"/>
      <c r="J7" s="515">
        <f t="shared" si="1"/>
        <v>0.52359877559829904</v>
      </c>
      <c r="K7" s="558"/>
      <c r="L7" s="515">
        <f t="shared" si="1"/>
        <v>0.52359877559829904</v>
      </c>
      <c r="N7" s="579" t="s">
        <v>11061</v>
      </c>
      <c r="O7" s="583">
        <v>4</v>
      </c>
      <c r="P7" s="3362"/>
    </row>
    <row r="8" spans="1:16">
      <c r="A8" s="558"/>
      <c r="B8" s="515">
        <f>TAN(B7)-B7</f>
        <v>1.4904383867336401E-2</v>
      </c>
      <c r="C8" s="558"/>
      <c r="D8" s="515">
        <f>TAN(D7)-D7</f>
        <v>1.4904383867336401E-2</v>
      </c>
      <c r="E8" s="558"/>
      <c r="F8" s="515">
        <f>(F2*F3*COS(F7))/(F6-F5)</f>
        <v>0.89566713616957305</v>
      </c>
      <c r="G8" s="558"/>
      <c r="H8" s="515">
        <f>TAN(H7)-H7</f>
        <v>5.3751493591326902E-2</v>
      </c>
      <c r="I8" s="558"/>
      <c r="J8" s="515">
        <f>TAN(J7)-J7</f>
        <v>5.3751493591326902E-2</v>
      </c>
      <c r="K8" s="558"/>
      <c r="L8" s="515">
        <f>90/L2</f>
        <v>3.6</v>
      </c>
      <c r="N8" s="579" t="s">
        <v>9893</v>
      </c>
      <c r="O8" s="583">
        <v>28</v>
      </c>
      <c r="P8" s="3362"/>
    </row>
    <row r="9" spans="1:16">
      <c r="A9" s="558"/>
      <c r="B9" s="515">
        <f>RADIANS(B4)</f>
        <v>0.34906585039886601</v>
      </c>
      <c r="C9" s="558"/>
      <c r="D9" s="515">
        <f>RADIANS(D4)</f>
        <v>0.34906585039886601</v>
      </c>
      <c r="E9" s="558"/>
      <c r="F9" s="515">
        <f>ACOS(F8)</f>
        <v>0.46086727347027601</v>
      </c>
      <c r="G9" s="558"/>
      <c r="H9" s="515">
        <f>RADIANS(H4)</f>
        <v>0.52359877559829904</v>
      </c>
      <c r="I9" s="558"/>
      <c r="J9" s="515">
        <f>RADIANS(J4)</f>
        <v>0.52359877559829904</v>
      </c>
      <c r="K9" s="558"/>
      <c r="L9" s="515">
        <f>(L8/180)*PI()</f>
        <v>6.2831853071795896E-2</v>
      </c>
      <c r="N9" s="592" t="s">
        <v>272</v>
      </c>
      <c r="O9" s="515">
        <f>(PI()*(O7-0.5)+O8*O6)*COS(O5)*O3</f>
        <v>42.898460505509298</v>
      </c>
      <c r="P9" s="3362"/>
    </row>
    <row r="10" spans="1:16">
      <c r="A10" s="558"/>
      <c r="B10" s="515">
        <f>(B5)/(B2*B3*COS(B9))</f>
        <v>7.0890611612626095E-2</v>
      </c>
      <c r="C10" s="558"/>
      <c r="D10" s="515">
        <f>(D5)/(D2*D3*COS(D9))</f>
        <v>7.0890611612626095E-2</v>
      </c>
      <c r="E10" s="558"/>
      <c r="F10" s="515">
        <f>TAN(F9)-F9</f>
        <v>3.5662122894959902E-2</v>
      </c>
      <c r="G10" s="558"/>
      <c r="H10" s="515">
        <f>(H5)/(H2*H3*COS(H9))</f>
        <v>8.8865753433667205E-2</v>
      </c>
      <c r="I10" s="558"/>
      <c r="J10" s="515">
        <f>(J5)/(J2*J3*COS(J9))</f>
        <v>8.8865753433667205E-2</v>
      </c>
      <c r="K10" s="558"/>
      <c r="L10" s="515">
        <f>COS(L9)</f>
        <v>0.998026728428272</v>
      </c>
      <c r="N10" s="592"/>
      <c r="O10" s="515">
        <f>O2-O9</f>
        <v>1.7643394944906901</v>
      </c>
      <c r="P10" s="3362"/>
    </row>
    <row r="11" spans="1:16">
      <c r="A11" s="558"/>
      <c r="B11" s="515">
        <f>B6/(B2*B3)</f>
        <v>8.2820798546153804E-2</v>
      </c>
      <c r="C11" s="558"/>
      <c r="D11" s="515">
        <f>D6/(D2*D3)</f>
        <v>8.4916419846153807E-2</v>
      </c>
      <c r="E11" s="558"/>
      <c r="F11" s="515">
        <f>F5/(F2*F3*COS(F7))</f>
        <v>5.9266515944043099E-2</v>
      </c>
      <c r="G11" s="558"/>
      <c r="H11" s="515">
        <f>H6/(H2*H3)</f>
        <v>6.1146666666666703E-2</v>
      </c>
      <c r="I11" s="558"/>
      <c r="J11" s="515">
        <f>J6/(J2*J3)</f>
        <v>6.0213333333333299E-2</v>
      </c>
      <c r="K11" s="558" t="s">
        <v>272</v>
      </c>
      <c r="L11" s="515">
        <f>(L2*L3*COS(L7)*COS(L9))/(L6-L5)</f>
        <v>0.83275528566845802</v>
      </c>
      <c r="N11" s="593" t="s">
        <v>10401</v>
      </c>
      <c r="O11" s="594">
        <f>O10/(2*O3*SIN(O5))</f>
        <v>0.64482294717167499</v>
      </c>
      <c r="P11" s="3362"/>
    </row>
    <row r="12" spans="1:16">
      <c r="A12" s="558"/>
      <c r="B12" s="515">
        <f t="shared" ref="B12:F12" si="2">PI()/B2</f>
        <v>0.12083048667653</v>
      </c>
      <c r="C12" s="558"/>
      <c r="D12" s="515">
        <f t="shared" si="2"/>
        <v>0.12083048667653</v>
      </c>
      <c r="E12" s="558"/>
      <c r="F12" s="515">
        <f t="shared" si="2"/>
        <v>0.12083048667653</v>
      </c>
      <c r="G12" s="558"/>
      <c r="H12" s="515">
        <f>PI()/H2</f>
        <v>0.12566370614359201</v>
      </c>
      <c r="I12" s="558"/>
      <c r="J12" s="515">
        <f>PI()/J2</f>
        <v>0.12566370614359201</v>
      </c>
      <c r="K12" s="558"/>
      <c r="L12" s="515">
        <f>ACOS(L11)</f>
        <v>0.58673044822457499</v>
      </c>
      <c r="N12" s="585" t="s">
        <v>11149</v>
      </c>
      <c r="O12" s="586">
        <f>PI()*O3/2+2*O11*O3*TAN(O5)</f>
        <v>8.1607561803179696</v>
      </c>
      <c r="P12" s="3362"/>
    </row>
    <row r="13" spans="1:16">
      <c r="A13" s="558"/>
      <c r="B13" s="515">
        <f>B10+B8+B11-B12</f>
        <v>4.7785307349585901E-2</v>
      </c>
      <c r="C13" s="558"/>
      <c r="D13" s="515">
        <f>D10+D8+D11-D12</f>
        <v>4.9880928649585897E-2</v>
      </c>
      <c r="E13" s="558"/>
      <c r="F13" s="515">
        <f>TAN(F7)-F7</f>
        <v>1.4904383867336401E-2</v>
      </c>
      <c r="G13" s="558"/>
      <c r="H13" s="515">
        <f>H10+H8+H11-H12</f>
        <v>7.8100207548069095E-2</v>
      </c>
      <c r="I13" s="558"/>
      <c r="J13" s="515">
        <f>J10+J8+J11-J12</f>
        <v>7.7166874214735698E-2</v>
      </c>
      <c r="K13" s="558"/>
      <c r="L13" s="515">
        <f>TAN(L12)-L12</f>
        <v>7.8100216882313903E-2</v>
      </c>
    </row>
    <row r="14" spans="1:16">
      <c r="A14" s="558"/>
      <c r="B14" s="515">
        <f>(B13*3)^(1/3)-B13*3/7.9</f>
        <v>0.50521932781824097</v>
      </c>
      <c r="C14" s="558"/>
      <c r="D14" s="515">
        <f>(D13*3)^(1/3)-D13*3/7.9</f>
        <v>0.511965050566492</v>
      </c>
      <c r="E14" s="585" t="s">
        <v>6346</v>
      </c>
      <c r="F14" s="586">
        <f>(F10-F11-F13+F12)*F2*F3</f>
        <v>1.07018222688144</v>
      </c>
      <c r="G14" s="558"/>
      <c r="H14" s="515">
        <f>(H13*3)^(1/3)-H13*3/7.9</f>
        <v>0.58682948534464197</v>
      </c>
      <c r="I14" s="558"/>
      <c r="J14" s="515">
        <f>(J13*3)^(1/3)-J13*3/7.9</f>
        <v>0.58471829701799805</v>
      </c>
      <c r="K14" s="558"/>
      <c r="L14" s="515">
        <f>PI()/L2</f>
        <v>0.12566370614359201</v>
      </c>
    </row>
    <row r="15" spans="1:16">
      <c r="A15" s="558"/>
      <c r="B15" s="515">
        <f>TAN(B14)</f>
        <v>0.55309894798633097</v>
      </c>
      <c r="C15" s="558"/>
      <c r="D15" s="515">
        <f>TAN(D14)</f>
        <v>0.56194143767243099</v>
      </c>
      <c r="E15" s="479"/>
      <c r="F15" s="479"/>
      <c r="G15" s="558"/>
      <c r="H15" s="515">
        <f>TAN(H14)</f>
        <v>0.66497348601974404</v>
      </c>
      <c r="I15" s="558"/>
      <c r="J15" s="515">
        <f>TAN(J14)</f>
        <v>0.66193301583295105</v>
      </c>
      <c r="K15" s="558"/>
      <c r="L15" s="515">
        <f>TAN(L7)-L7</f>
        <v>5.3751493591326902E-2</v>
      </c>
    </row>
    <row r="16" spans="1:16">
      <c r="A16" s="558"/>
      <c r="B16" s="515">
        <f>(B15)^2</f>
        <v>0.305918446263586</v>
      </c>
      <c r="C16" s="558"/>
      <c r="D16" s="515">
        <f>(D15)^2</f>
        <v>0.315778179373358</v>
      </c>
      <c r="E16" s="479"/>
      <c r="F16" s="3160" t="s">
        <v>12716</v>
      </c>
      <c r="G16" s="558"/>
      <c r="H16" s="515">
        <f>(H15)^2</f>
        <v>0.44218973710925102</v>
      </c>
      <c r="I16" s="558"/>
      <c r="J16" s="515">
        <f>(J15)^2</f>
        <v>0.43815531744970598</v>
      </c>
      <c r="K16" s="558"/>
      <c r="L16" s="515">
        <f>L5/(L2*L3*COS(L7))</f>
        <v>8.8865753433667205E-2</v>
      </c>
      <c r="O16" s="3160" t="s">
        <v>12716</v>
      </c>
    </row>
    <row r="17" spans="1:12">
      <c r="A17" s="558"/>
      <c r="B17" s="515">
        <f>(B13+B14-B15)/B16+B14</f>
        <v>0.504911033827945</v>
      </c>
      <c r="C17" s="558"/>
      <c r="D17" s="515">
        <f>(D13+D14-D15)/D16+D14</f>
        <v>0.51166275464299904</v>
      </c>
      <c r="E17" s="479"/>
      <c r="F17" s="479"/>
      <c r="G17" s="558"/>
      <c r="H17" s="515">
        <f>(H13+H14-H15)/H16+H14</f>
        <v>0.58673044838526101</v>
      </c>
      <c r="I17" s="558"/>
      <c r="J17" s="515">
        <f>(J13+J14-J15)/J16+J14</f>
        <v>0.58460910149232104</v>
      </c>
      <c r="K17" s="585" t="s">
        <v>6346</v>
      </c>
      <c r="L17" s="586">
        <f>(L13+L14-L15-L16)*L2*L3</f>
        <v>2.29300035003418</v>
      </c>
    </row>
    <row r="18" spans="1:12">
      <c r="A18" s="558" t="s">
        <v>11150</v>
      </c>
      <c r="B18" s="515">
        <f>B17*180/(PI())</f>
        <v>28.929271267928399</v>
      </c>
      <c r="C18" s="558" t="s">
        <v>11150</v>
      </c>
      <c r="D18" s="515">
        <f>D17*180/(PI())</f>
        <v>29.316116375081599</v>
      </c>
      <c r="E18" s="479"/>
      <c r="F18" s="479"/>
      <c r="G18" s="558" t="s">
        <v>11150</v>
      </c>
      <c r="H18" s="515">
        <f>H17*180/(PI())</f>
        <v>33.617178404293803</v>
      </c>
      <c r="I18" s="558" t="s">
        <v>11150</v>
      </c>
      <c r="J18" s="515">
        <f>J17*180/(PI())</f>
        <v>33.495634180445201</v>
      </c>
    </row>
    <row r="19" spans="1:12">
      <c r="A19" s="558"/>
      <c r="B19" s="515">
        <f>RADIANS(B18)</f>
        <v>0.504911033827945</v>
      </c>
      <c r="C19" s="558"/>
      <c r="D19" s="515">
        <f>RADIANS(D18)</f>
        <v>0.51166275464299904</v>
      </c>
      <c r="E19" s="479"/>
      <c r="F19" s="479"/>
      <c r="G19" s="558"/>
      <c r="H19" s="515">
        <f>RADIANS(H18)</f>
        <v>0.58673044838526101</v>
      </c>
      <c r="I19" s="558"/>
      <c r="J19" s="515">
        <f>RADIANS(J18)</f>
        <v>0.58460910149232104</v>
      </c>
    </row>
    <row r="20" spans="1:12">
      <c r="A20" s="600" t="s">
        <v>11151</v>
      </c>
      <c r="B20" s="601">
        <f>(B2*B3*COS(B9))/(COS(B19))+B5</f>
        <v>14.8236778142183</v>
      </c>
      <c r="C20" s="602" t="s">
        <v>11152</v>
      </c>
      <c r="D20" s="586">
        <f>(D2*D3*COS(D9))/(COS(D19))+D5</f>
        <v>14.876278230941599</v>
      </c>
      <c r="E20" s="589"/>
      <c r="F20" s="589"/>
      <c r="G20" s="558"/>
      <c r="H20" s="515">
        <f>90/H2</f>
        <v>3.6</v>
      </c>
      <c r="I20" s="558"/>
      <c r="J20" s="515">
        <f>90/J2</f>
        <v>3.6</v>
      </c>
    </row>
    <row r="21" spans="1:12" ht="16.5" customHeight="1">
      <c r="A21" s="479"/>
      <c r="B21" s="479"/>
      <c r="G21" s="558"/>
      <c r="H21" s="515">
        <f>RADIANS(H20)</f>
        <v>6.2831853071795896E-2</v>
      </c>
      <c r="I21" s="558"/>
      <c r="J21" s="515">
        <f>RADIANS(J20)</f>
        <v>6.2831853071795896E-2</v>
      </c>
    </row>
    <row r="22" spans="1:12">
      <c r="A22" s="595"/>
      <c r="B22" s="589"/>
      <c r="G22" s="602" t="s">
        <v>11151</v>
      </c>
      <c r="H22" s="586">
        <f>(H2*H3*COS(H7)*COS(H21))/COS(H19)+H5</f>
        <v>41.807240524157898</v>
      </c>
      <c r="I22" s="602" t="s">
        <v>11152</v>
      </c>
      <c r="J22" s="586">
        <f>(J2*J3*COS(J7)*COS(J21))/COS(J19)+J5</f>
        <v>41.752513156260697</v>
      </c>
    </row>
    <row r="23" spans="1:12" ht="15.75" customHeight="1">
      <c r="A23" s="595"/>
      <c r="B23" s="589"/>
    </row>
    <row r="24" spans="1:12" ht="16.5" customHeight="1">
      <c r="A24" s="595"/>
      <c r="B24" s="589"/>
    </row>
    <row r="25" spans="1:12">
      <c r="A25" s="595"/>
      <c r="B25" s="589"/>
    </row>
    <row r="26" spans="1:12">
      <c r="A26" s="595"/>
      <c r="B26" s="589"/>
    </row>
    <row r="27" spans="1:12">
      <c r="A27" s="479"/>
      <c r="B27" s="479"/>
    </row>
    <row r="28" spans="1:12">
      <c r="A28" s="479"/>
      <c r="B28" s="479"/>
    </row>
    <row r="29" spans="1:12">
      <c r="A29" s="479"/>
      <c r="B29" s="479"/>
    </row>
    <row r="30" spans="1:12">
      <c r="A30" s="479"/>
      <c r="B30" s="479"/>
    </row>
    <row r="31" spans="1:12">
      <c r="A31" s="479"/>
      <c r="B31" s="479"/>
    </row>
    <row r="32" spans="1:12">
      <c r="A32" s="479"/>
      <c r="B32" s="479"/>
    </row>
    <row r="33" spans="1:2">
      <c r="A33" s="479"/>
      <c r="B33" s="479"/>
    </row>
    <row r="34" spans="1:2" ht="22.5">
      <c r="A34" s="596"/>
      <c r="B34" s="589"/>
    </row>
  </sheetData>
  <mergeCells count="5">
    <mergeCell ref="A1:D1"/>
    <mergeCell ref="E1:F1"/>
    <mergeCell ref="G1:J1"/>
    <mergeCell ref="K1:L1"/>
    <mergeCell ref="P2:P12"/>
  </mergeCells>
  <phoneticPr fontId="378" type="noConversion"/>
  <hyperlinks>
    <hyperlink ref="F16" location="总目录!A1" display="总目录!A1"/>
    <hyperlink ref="O16" location="总目录!A1" display="总目录!A1"/>
  </hyperlinks>
  <pageMargins left="0.75" right="0.75" top="1" bottom="1" header="0.5" footer="0.5"/>
  <headerFooter alignWithMargins="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36"/>
  <sheetViews>
    <sheetView workbookViewId="0">
      <selection activeCell="N5" sqref="N5"/>
    </sheetView>
  </sheetViews>
  <sheetFormatPr defaultColWidth="9" defaultRowHeight="16.5"/>
  <cols>
    <col min="1" max="1" width="5.125" style="95" customWidth="1"/>
    <col min="2" max="2" width="12.375" style="95" customWidth="1"/>
    <col min="3" max="3" width="12.875" style="95" customWidth="1"/>
    <col min="4" max="4" width="12.625" style="95" customWidth="1"/>
    <col min="5" max="5" width="3.875" style="95" customWidth="1"/>
    <col min="6" max="6" width="15.625" style="95" customWidth="1"/>
    <col min="7" max="7" width="5.375" style="95" customWidth="1"/>
    <col min="8" max="8" width="12.125" style="95" customWidth="1"/>
    <col min="9" max="9" width="5.625" style="95" customWidth="1"/>
    <col min="10" max="10" width="12.375" style="95" customWidth="1"/>
    <col min="11" max="11" width="3.625" style="95" customWidth="1"/>
    <col min="12" max="12" width="14.375" style="95" customWidth="1"/>
    <col min="13" max="13" width="4.375" style="95" customWidth="1"/>
    <col min="14" max="14" width="15.625" style="95" customWidth="1"/>
    <col min="15" max="15" width="3.375" style="95" customWidth="1"/>
    <col min="16" max="16" width="15" style="95" customWidth="1"/>
    <col min="17" max="17" width="3.25" style="95" customWidth="1"/>
    <col min="18" max="18" width="15.125" style="95" customWidth="1"/>
    <col min="19" max="16384" width="9" style="95"/>
  </cols>
  <sheetData>
    <row r="2" spans="1:18">
      <c r="A2" s="3362" t="s">
        <v>11153</v>
      </c>
      <c r="B2" s="3362"/>
      <c r="C2" s="3362"/>
      <c r="D2" s="3362"/>
      <c r="E2" s="3362" t="s">
        <v>11154</v>
      </c>
      <c r="F2" s="3362"/>
      <c r="G2" s="3362" t="s">
        <v>11155</v>
      </c>
      <c r="H2" s="3362"/>
      <c r="I2" s="3362"/>
      <c r="J2" s="3362"/>
      <c r="K2" s="3362" t="s">
        <v>11156</v>
      </c>
      <c r="L2" s="3362"/>
      <c r="M2" s="479"/>
      <c r="N2" s="479"/>
      <c r="O2" s="131"/>
      <c r="P2" s="131"/>
      <c r="Q2" s="131"/>
      <c r="R2" s="479"/>
    </row>
    <row r="3" spans="1:18">
      <c r="A3" s="579" t="s">
        <v>11033</v>
      </c>
      <c r="B3" s="580">
        <v>25</v>
      </c>
      <c r="C3" s="581" t="s">
        <v>11033</v>
      </c>
      <c r="D3" s="582">
        <f t="shared" ref="D3:D6" si="0">B3*1</f>
        <v>25</v>
      </c>
      <c r="E3" s="579" t="s">
        <v>11033</v>
      </c>
      <c r="F3" s="583">
        <v>72</v>
      </c>
      <c r="G3" s="579" t="s">
        <v>11033</v>
      </c>
      <c r="H3" s="580">
        <v>23</v>
      </c>
      <c r="I3" s="581" t="s">
        <v>11033</v>
      </c>
      <c r="J3" s="582">
        <f t="shared" ref="J3:J6" si="1">H3*1</f>
        <v>23</v>
      </c>
      <c r="K3" s="579" t="s">
        <v>11033</v>
      </c>
      <c r="L3" s="583">
        <v>23</v>
      </c>
      <c r="M3" s="595"/>
      <c r="N3" s="589"/>
      <c r="O3" s="131"/>
      <c r="P3" s="131"/>
      <c r="Q3" s="595"/>
      <c r="R3" s="589"/>
    </row>
    <row r="4" spans="1:18">
      <c r="A4" s="579" t="s">
        <v>6088</v>
      </c>
      <c r="B4" s="580">
        <v>1.5</v>
      </c>
      <c r="C4" s="581" t="s">
        <v>6088</v>
      </c>
      <c r="D4" s="582">
        <f t="shared" si="0"/>
        <v>1.5</v>
      </c>
      <c r="E4" s="579" t="s">
        <v>6088</v>
      </c>
      <c r="F4" s="583">
        <v>3</v>
      </c>
      <c r="G4" s="579" t="s">
        <v>6088</v>
      </c>
      <c r="H4" s="580">
        <v>2</v>
      </c>
      <c r="I4" s="581" t="s">
        <v>6088</v>
      </c>
      <c r="J4" s="582">
        <f t="shared" si="1"/>
        <v>2</v>
      </c>
      <c r="K4" s="579" t="s">
        <v>6088</v>
      </c>
      <c r="L4" s="583">
        <v>2</v>
      </c>
      <c r="M4" s="595"/>
      <c r="N4" s="589"/>
      <c r="O4" s="131"/>
      <c r="P4" s="131"/>
      <c r="Q4" s="595"/>
      <c r="R4" s="589"/>
    </row>
    <row r="5" spans="1:18">
      <c r="A5" s="579" t="s">
        <v>6356</v>
      </c>
      <c r="B5" s="580">
        <v>30</v>
      </c>
      <c r="C5" s="581" t="s">
        <v>6356</v>
      </c>
      <c r="D5" s="582">
        <f t="shared" si="0"/>
        <v>30</v>
      </c>
      <c r="E5" s="579" t="s">
        <v>6356</v>
      </c>
      <c r="F5" s="583">
        <v>25</v>
      </c>
      <c r="G5" s="579" t="s">
        <v>6356</v>
      </c>
      <c r="H5" s="580">
        <v>30</v>
      </c>
      <c r="I5" s="581" t="s">
        <v>6356</v>
      </c>
      <c r="J5" s="582">
        <f t="shared" si="1"/>
        <v>30</v>
      </c>
      <c r="K5" s="579" t="s">
        <v>6356</v>
      </c>
      <c r="L5" s="583">
        <v>30</v>
      </c>
      <c r="M5" s="595"/>
      <c r="N5" s="3162" t="s">
        <v>12704</v>
      </c>
      <c r="O5" s="131"/>
      <c r="P5" s="131"/>
      <c r="Q5" s="595"/>
      <c r="R5" s="589"/>
    </row>
    <row r="6" spans="1:18">
      <c r="A6" s="579" t="s">
        <v>9152</v>
      </c>
      <c r="B6" s="580">
        <v>2.5950000000000002</v>
      </c>
      <c r="C6" s="581" t="s">
        <v>9152</v>
      </c>
      <c r="D6" s="582">
        <f t="shared" si="0"/>
        <v>2.5950000000000002</v>
      </c>
      <c r="E6" s="579" t="s">
        <v>9152</v>
      </c>
      <c r="F6" s="583">
        <v>5.05</v>
      </c>
      <c r="G6" s="579" t="s">
        <v>9152</v>
      </c>
      <c r="H6" s="580">
        <v>3.49</v>
      </c>
      <c r="I6" s="581" t="s">
        <v>9152</v>
      </c>
      <c r="J6" s="582">
        <f t="shared" si="1"/>
        <v>3.49</v>
      </c>
      <c r="K6" s="579" t="s">
        <v>9152</v>
      </c>
      <c r="L6" s="583">
        <v>3.49</v>
      </c>
      <c r="M6" s="595"/>
      <c r="N6" s="589"/>
      <c r="O6" s="131"/>
      <c r="P6" s="131"/>
      <c r="Q6" s="595"/>
      <c r="R6" s="589"/>
    </row>
    <row r="7" spans="1:18">
      <c r="A7" s="579" t="s">
        <v>11157</v>
      </c>
      <c r="B7" s="580">
        <v>3.1819999999999999</v>
      </c>
      <c r="C7" s="581" t="s">
        <v>11158</v>
      </c>
      <c r="D7" s="583">
        <v>3.1819999999999999</v>
      </c>
      <c r="E7" s="584" t="s">
        <v>6407</v>
      </c>
      <c r="F7" s="583">
        <v>208.40799999999999</v>
      </c>
      <c r="G7" s="579" t="s">
        <v>11157</v>
      </c>
      <c r="H7" s="580">
        <v>3.1819999999999999</v>
      </c>
      <c r="I7" s="581" t="s">
        <v>11158</v>
      </c>
      <c r="J7" s="583">
        <v>3.1819999999999999</v>
      </c>
      <c r="K7" s="584" t="s">
        <v>6407</v>
      </c>
      <c r="L7" s="583">
        <v>42.76537742</v>
      </c>
      <c r="M7" s="595"/>
      <c r="N7" s="589"/>
      <c r="O7" s="131"/>
      <c r="P7" s="131"/>
      <c r="Q7" s="595"/>
      <c r="R7" s="589"/>
    </row>
    <row r="8" spans="1:18">
      <c r="A8" s="558"/>
      <c r="B8" s="470">
        <f t="shared" ref="B8:F8" si="2">(B5/180)*PI()</f>
        <v>0.52359877559829904</v>
      </c>
      <c r="C8" s="470"/>
      <c r="D8" s="515">
        <f t="shared" si="2"/>
        <v>0.52359877559829904</v>
      </c>
      <c r="E8" s="558"/>
      <c r="F8" s="515">
        <f t="shared" si="2"/>
        <v>0.43633231299858199</v>
      </c>
      <c r="G8" s="558"/>
      <c r="H8" s="470">
        <f t="shared" ref="H8:L8" si="3">(H5/180)*PI()</f>
        <v>0.52359877559829904</v>
      </c>
      <c r="I8" s="470"/>
      <c r="J8" s="515">
        <f t="shared" si="3"/>
        <v>0.52359877559829904</v>
      </c>
      <c r="K8" s="558"/>
      <c r="L8" s="515">
        <f t="shared" si="3"/>
        <v>0.52359877559829904</v>
      </c>
      <c r="M8" s="479"/>
      <c r="N8" s="479"/>
      <c r="O8" s="131"/>
      <c r="P8" s="131"/>
      <c r="Q8" s="479"/>
      <c r="R8" s="479"/>
    </row>
    <row r="9" spans="1:18">
      <c r="A9" s="558"/>
      <c r="B9" s="470">
        <f>TAN(B8)-B8</f>
        <v>5.3751493591326902E-2</v>
      </c>
      <c r="C9" s="470"/>
      <c r="D9" s="515">
        <f>TAN(D8)-D8</f>
        <v>5.3751493591326902E-2</v>
      </c>
      <c r="E9" s="558"/>
      <c r="F9" s="515">
        <f>(F4*F3*COS(F8))/(F7+F6)</f>
        <v>0.91710070365091201</v>
      </c>
      <c r="G9" s="558"/>
      <c r="H9" s="470">
        <f>TAN(H8)-H8</f>
        <v>5.3751493591326902E-2</v>
      </c>
      <c r="I9" s="470"/>
      <c r="J9" s="515">
        <f>TAN(J8)-J8</f>
        <v>5.3751493591326902E-2</v>
      </c>
      <c r="K9" s="558"/>
      <c r="L9" s="515">
        <f>90/L3</f>
        <v>3.9130434782608701</v>
      </c>
      <c r="M9" s="479"/>
      <c r="N9" s="479"/>
      <c r="O9" s="131"/>
      <c r="P9" s="131"/>
      <c r="Q9" s="479"/>
      <c r="R9" s="479"/>
    </row>
    <row r="10" spans="1:18">
      <c r="A10" s="558"/>
      <c r="B10" s="470">
        <f>B7/(B3*B4)</f>
        <v>8.4853333333333295E-2</v>
      </c>
      <c r="C10" s="470"/>
      <c r="D10" s="515">
        <f>D7/(D3*D4)</f>
        <v>8.4853333333333295E-2</v>
      </c>
      <c r="E10" s="558"/>
      <c r="F10" s="515">
        <f>ACOS(F9)</f>
        <v>0.41005047046371701</v>
      </c>
      <c r="G10" s="558"/>
      <c r="H10" s="470">
        <f>H7/(H3*H4)</f>
        <v>6.9173913043478294E-2</v>
      </c>
      <c r="I10" s="470"/>
      <c r="J10" s="515">
        <f>J7/(J3*J4)</f>
        <v>6.9173913043478294E-2</v>
      </c>
      <c r="K10" s="558"/>
      <c r="L10" s="515">
        <f>(L9/180)*PI()</f>
        <v>6.82954924693433E-2</v>
      </c>
      <c r="M10" s="479"/>
      <c r="N10" s="479"/>
      <c r="O10" s="131"/>
      <c r="P10" s="131"/>
      <c r="Q10" s="479"/>
      <c r="R10" s="479"/>
    </row>
    <row r="11" spans="1:18">
      <c r="A11" s="558"/>
      <c r="B11" s="470">
        <f>RADIANS(B5)</f>
        <v>0.52359877559829904</v>
      </c>
      <c r="C11" s="470"/>
      <c r="D11" s="515">
        <f>RADIANS(D5)</f>
        <v>0.52359877559829904</v>
      </c>
      <c r="E11" s="558"/>
      <c r="F11" s="515">
        <f>TAN(F10)-F10</f>
        <v>2.4640740003043698E-2</v>
      </c>
      <c r="G11" s="558"/>
      <c r="H11" s="470">
        <f>RADIANS(H5)</f>
        <v>0.52359877559829904</v>
      </c>
      <c r="I11" s="470"/>
      <c r="J11" s="515">
        <f>RADIANS(J5)</f>
        <v>0.52359877559829904</v>
      </c>
      <c r="K11" s="558"/>
      <c r="L11" s="515">
        <f>COS(L10)</f>
        <v>0.99766876919053904</v>
      </c>
      <c r="M11" s="479"/>
      <c r="N11" s="479"/>
      <c r="O11" s="131"/>
      <c r="P11" s="131"/>
      <c r="Q11" s="479"/>
      <c r="R11" s="479"/>
    </row>
    <row r="12" spans="1:18">
      <c r="A12" s="558"/>
      <c r="B12" s="470">
        <f>(B6)/(B3*B4*COS(B11))</f>
        <v>7.9905277255844204E-2</v>
      </c>
      <c r="C12" s="470"/>
      <c r="D12" s="515">
        <f>(D6)/(D3*D4*COS(D11))</f>
        <v>7.9905277255844204E-2</v>
      </c>
      <c r="E12" s="558"/>
      <c r="F12" s="515">
        <f>F6/(F3*F4*COS(F8))</f>
        <v>2.5796567086854599E-2</v>
      </c>
      <c r="G12" s="558"/>
      <c r="H12" s="470">
        <f>(H6)/(H3*H4*COS(H11))</f>
        <v>8.7606627803121506E-2</v>
      </c>
      <c r="I12" s="470"/>
      <c r="J12" s="515">
        <f>(J6)/(J3*J4*COS(J11))</f>
        <v>8.7606627803121506E-2</v>
      </c>
      <c r="K12" s="558"/>
      <c r="L12" s="515">
        <f>(L3*L4*COS(L8)*COS(L10))/(L7+L6)</f>
        <v>0.85923629113353395</v>
      </c>
      <c r="M12" s="479"/>
      <c r="N12" s="479"/>
      <c r="O12" s="131"/>
      <c r="P12" s="131"/>
      <c r="Q12" s="479"/>
      <c r="R12" s="479"/>
    </row>
    <row r="13" spans="1:18">
      <c r="A13" s="558"/>
      <c r="B13" s="470">
        <f>B10+B9-B12</f>
        <v>5.8699549668815999E-2</v>
      </c>
      <c r="C13" s="470"/>
      <c r="D13" s="515">
        <f>D10+D9-D12</f>
        <v>5.8699549668815999E-2</v>
      </c>
      <c r="E13" s="558"/>
      <c r="F13" s="515">
        <f>TAN(F8)-F8</f>
        <v>2.99753451564162E-2</v>
      </c>
      <c r="G13" s="558"/>
      <c r="H13" s="470">
        <f>H10+H9-H12</f>
        <v>3.5318778831683703E-2</v>
      </c>
      <c r="I13" s="470"/>
      <c r="J13" s="515">
        <f>J10+J9-J12</f>
        <v>3.5318778831683703E-2</v>
      </c>
      <c r="K13" s="558"/>
      <c r="L13" s="515">
        <f>ACOS(L12)</f>
        <v>0.53702137774111403</v>
      </c>
      <c r="M13" s="479"/>
      <c r="N13" s="479"/>
      <c r="O13" s="131"/>
      <c r="P13" s="131"/>
      <c r="Q13" s="479"/>
      <c r="R13" s="479"/>
    </row>
    <row r="14" spans="1:18">
      <c r="A14" s="558"/>
      <c r="B14" s="470">
        <f>(B13*3)^(1/3)-B13*3/7.9</f>
        <v>0.53822158228399497</v>
      </c>
      <c r="C14" s="470"/>
      <c r="D14" s="515">
        <f>(D13*3)^(1/3)-D13*3/7.9</f>
        <v>0.53822158228399497</v>
      </c>
      <c r="E14" s="585" t="s">
        <v>5931</v>
      </c>
      <c r="F14" s="586">
        <f>(F11+F12-F13)*(F3*F4)</f>
        <v>4.41978377763213</v>
      </c>
      <c r="G14" s="558"/>
      <c r="H14" s="470">
        <f>(H13*3)^(1/3)-H13*3/7.9</f>
        <v>0.45978516364556798</v>
      </c>
      <c r="I14" s="470"/>
      <c r="J14" s="515">
        <f>(J13*3)^(1/3)-J13*3/7.9</f>
        <v>0.45978516364556798</v>
      </c>
      <c r="K14" s="558"/>
      <c r="L14" s="515">
        <f>TAN(L13)-L13</f>
        <v>5.8366561275606903E-2</v>
      </c>
      <c r="M14" s="479"/>
      <c r="N14" s="479"/>
      <c r="O14" s="131"/>
      <c r="P14" s="131"/>
      <c r="Q14" s="479"/>
      <c r="R14" s="479"/>
    </row>
    <row r="15" spans="1:18" ht="22.5">
      <c r="A15" s="558"/>
      <c r="B15" s="470">
        <f>TAN(B14)</f>
        <v>0.59701476351414695</v>
      </c>
      <c r="C15" s="470"/>
      <c r="D15" s="515">
        <f>TAN(D14)</f>
        <v>0.59701476351414695</v>
      </c>
      <c r="E15" s="479"/>
      <c r="F15" s="479"/>
      <c r="G15" s="558"/>
      <c r="H15" s="470">
        <f>TAN(H14)</f>
        <v>0.49518122546964199</v>
      </c>
      <c r="I15" s="470"/>
      <c r="J15" s="515">
        <f>TAN(J14)</f>
        <v>0.49518122546964199</v>
      </c>
      <c r="K15" s="558"/>
      <c r="L15" s="515">
        <f>L6/(L3*L4*COS(L8))</f>
        <v>8.7606627803121506E-2</v>
      </c>
      <c r="M15" s="596"/>
      <c r="N15" s="589"/>
      <c r="O15" s="131"/>
      <c r="P15" s="131"/>
      <c r="Q15" s="479"/>
      <c r="R15" s="479"/>
    </row>
    <row r="16" spans="1:18">
      <c r="A16" s="558"/>
      <c r="B16" s="470">
        <f>(B15)^2</f>
        <v>0.35642662785385298</v>
      </c>
      <c r="C16" s="470"/>
      <c r="D16" s="515">
        <f>(D15)^2</f>
        <v>0.35642662785385298</v>
      </c>
      <c r="E16" s="479"/>
      <c r="F16" s="3160" t="s">
        <v>12716</v>
      </c>
      <c r="G16" s="558"/>
      <c r="H16" s="470">
        <f>(H15)^2</f>
        <v>0.24520444605761699</v>
      </c>
      <c r="I16" s="470"/>
      <c r="J16" s="515">
        <f>(J15)^2</f>
        <v>0.24520444605761699</v>
      </c>
      <c r="K16" s="558" t="s">
        <v>272</v>
      </c>
      <c r="L16" s="515">
        <f>TAN(L8)-L8</f>
        <v>5.3751493591326902E-2</v>
      </c>
      <c r="M16" s="131"/>
      <c r="N16" s="131"/>
      <c r="O16" s="131"/>
      <c r="P16" s="131"/>
      <c r="Q16" s="479"/>
      <c r="R16" s="479"/>
    </row>
    <row r="17" spans="1:18">
      <c r="A17" s="558"/>
      <c r="B17" s="470">
        <f>(B13+B14-B15)/B16+B14</f>
        <v>0.53795888709228101</v>
      </c>
      <c r="C17" s="470"/>
      <c r="D17" s="515">
        <f>(D13+D14-D15)/D16+D14</f>
        <v>0.53795888709228101</v>
      </c>
      <c r="E17" s="479"/>
      <c r="F17" s="479"/>
      <c r="G17" s="558"/>
      <c r="H17" s="470">
        <f>(H13+H14-H15)/H16+H14</f>
        <v>0.45946998586786603</v>
      </c>
      <c r="I17" s="470"/>
      <c r="J17" s="515">
        <f>(J13+J14-J15)/J16+J14</f>
        <v>0.45946998586786603</v>
      </c>
      <c r="K17" s="585" t="s">
        <v>5931</v>
      </c>
      <c r="L17" s="586">
        <f>(L14-L16+L15)*(L3*L4)</f>
        <v>4.2421979924204702</v>
      </c>
      <c r="M17" s="131"/>
      <c r="N17" s="131"/>
      <c r="O17" s="131"/>
      <c r="P17" s="131"/>
      <c r="Q17" s="479"/>
      <c r="R17" s="479"/>
    </row>
    <row r="18" spans="1:18" ht="22.5">
      <c r="A18" s="558" t="s">
        <v>11159</v>
      </c>
      <c r="B18" s="470">
        <f>B17*180/(PI())</f>
        <v>30.822773781942502</v>
      </c>
      <c r="C18" s="470" t="s">
        <v>11159</v>
      </c>
      <c r="D18" s="515">
        <f>D17*180/(PI())</f>
        <v>30.822773781942502</v>
      </c>
      <c r="E18" s="479"/>
      <c r="F18" s="479"/>
      <c r="G18" s="558" t="s">
        <v>11150</v>
      </c>
      <c r="H18" s="470">
        <f>H17*180/(PI())</f>
        <v>26.325691003164302</v>
      </c>
      <c r="I18" s="470" t="s">
        <v>11150</v>
      </c>
      <c r="J18" s="515">
        <f>J17*180/(PI())</f>
        <v>26.325691003164302</v>
      </c>
      <c r="M18" s="131"/>
      <c r="N18" s="131"/>
      <c r="O18" s="479"/>
      <c r="P18" s="479"/>
      <c r="Q18" s="596"/>
      <c r="R18" s="589"/>
    </row>
    <row r="19" spans="1:18">
      <c r="A19" s="558"/>
      <c r="B19" s="470">
        <f>RADIANS(B18)</f>
        <v>0.53795888709228101</v>
      </c>
      <c r="C19" s="470"/>
      <c r="D19" s="515">
        <f>RADIANS(D18)</f>
        <v>0.53795888709228101</v>
      </c>
      <c r="E19" s="479"/>
      <c r="F19" s="479"/>
      <c r="G19" s="558"/>
      <c r="H19" s="470">
        <f>RADIANS(H18)</f>
        <v>0.45946998586786603</v>
      </c>
      <c r="I19" s="470"/>
      <c r="J19" s="515">
        <f>RADIANS(J18)</f>
        <v>0.45946998586786603</v>
      </c>
      <c r="O19" s="204"/>
      <c r="P19" s="204"/>
      <c r="Q19" s="204"/>
      <c r="R19" s="204"/>
    </row>
    <row r="20" spans="1:18">
      <c r="A20" s="558"/>
      <c r="B20" s="470">
        <f>RADIANS(B5)</f>
        <v>0.52359877559829904</v>
      </c>
      <c r="C20" s="470"/>
      <c r="D20" s="515">
        <f>RADIANS(D5)</f>
        <v>0.52359877559829904</v>
      </c>
      <c r="E20" s="479"/>
      <c r="F20" s="479"/>
      <c r="G20" s="558"/>
      <c r="H20" s="470">
        <f>RADIANS(H5)</f>
        <v>0.52359877559829904</v>
      </c>
      <c r="I20" s="470"/>
      <c r="J20" s="515">
        <f>RADIANS(J5)</f>
        <v>0.52359877559829904</v>
      </c>
      <c r="O20" s="204"/>
      <c r="P20" s="204"/>
      <c r="Q20" s="204"/>
      <c r="R20" s="204"/>
    </row>
    <row r="21" spans="1:18">
      <c r="A21" s="585" t="s">
        <v>11151</v>
      </c>
      <c r="B21" s="587">
        <f>(B3*B4*COS(B20))/(COS(B19))-B6</f>
        <v>35.222425626638902</v>
      </c>
      <c r="C21" s="588" t="s">
        <v>11152</v>
      </c>
      <c r="D21" s="586">
        <f>(D3*D4*COS(D20))/(COS(D19))-D6</f>
        <v>35.222425626638902</v>
      </c>
      <c r="E21" s="589"/>
      <c r="F21" s="589"/>
      <c r="G21" s="558" t="s">
        <v>272</v>
      </c>
      <c r="H21" s="470">
        <f>90/H3</f>
        <v>3.9130434782608701</v>
      </c>
      <c r="I21" s="470" t="s">
        <v>272</v>
      </c>
      <c r="J21" s="515">
        <f>90/J3</f>
        <v>3.9130434782608701</v>
      </c>
      <c r="O21" s="204"/>
      <c r="P21" s="204"/>
      <c r="Q21" s="204"/>
      <c r="R21" s="204"/>
    </row>
    <row r="22" spans="1:18">
      <c r="A22" s="204"/>
      <c r="B22" s="204"/>
      <c r="C22" s="204"/>
      <c r="D22" s="204"/>
      <c r="E22" s="204"/>
      <c r="F22" s="204"/>
      <c r="G22" s="558"/>
      <c r="H22" s="470">
        <f>RADIANS(H21)</f>
        <v>6.82954924693433E-2</v>
      </c>
      <c r="I22" s="470"/>
      <c r="J22" s="515">
        <f>RADIANS(J21)</f>
        <v>6.82954924693433E-2</v>
      </c>
      <c r="O22" s="204"/>
      <c r="P22" s="204"/>
      <c r="Q22" s="204"/>
      <c r="R22" s="204"/>
    </row>
    <row r="23" spans="1:18">
      <c r="A23" s="204"/>
      <c r="B23" s="204"/>
      <c r="C23" s="204"/>
      <c r="D23" s="204"/>
      <c r="E23" s="204"/>
      <c r="F23" s="204"/>
      <c r="G23" s="585" t="s">
        <v>11151</v>
      </c>
      <c r="H23" s="587">
        <f>(H3*H4*COS(H20)*COS(H22))/(COS(H19))-H6</f>
        <v>40.853239621237002</v>
      </c>
      <c r="I23" s="588" t="s">
        <v>11152</v>
      </c>
      <c r="J23" s="586">
        <f>(J3*J4*COS(J20)*COS(J22))/(COS(J19))-J6</f>
        <v>40.853239621237002</v>
      </c>
      <c r="O23" s="204"/>
      <c r="P23" s="204"/>
      <c r="Q23" s="204"/>
      <c r="R23" s="204"/>
    </row>
    <row r="24" spans="1:18">
      <c r="O24" s="204"/>
      <c r="P24" s="204"/>
      <c r="Q24" s="204"/>
      <c r="R24" s="204"/>
    </row>
    <row r="25" spans="1:18">
      <c r="O25" s="204"/>
      <c r="P25" s="204"/>
      <c r="Q25" s="204"/>
      <c r="R25" s="204"/>
    </row>
    <row r="26" spans="1:18">
      <c r="B26" s="590" t="s">
        <v>11078</v>
      </c>
      <c r="C26" s="591">
        <v>44.662799999999997</v>
      </c>
      <c r="D26" s="3362" t="s">
        <v>11146</v>
      </c>
    </row>
    <row r="27" spans="1:18">
      <c r="B27" s="579" t="s">
        <v>10389</v>
      </c>
      <c r="C27" s="583">
        <v>4</v>
      </c>
      <c r="D27" s="3362"/>
    </row>
    <row r="28" spans="1:18">
      <c r="B28" s="579" t="s">
        <v>10396</v>
      </c>
      <c r="C28" s="583">
        <v>20</v>
      </c>
      <c r="D28" s="3362"/>
    </row>
    <row r="29" spans="1:18">
      <c r="B29" s="592" t="s">
        <v>272</v>
      </c>
      <c r="C29" s="515">
        <f>(C28/180)*PI()</f>
        <v>0.34906585039886601</v>
      </c>
      <c r="D29" s="3362"/>
    </row>
    <row r="30" spans="1:18">
      <c r="B30" s="592" t="s">
        <v>11065</v>
      </c>
      <c r="C30" s="515">
        <f>TAN(C29)-C29</f>
        <v>1.4904383867336401E-2</v>
      </c>
      <c r="D30" s="3362"/>
    </row>
    <row r="31" spans="1:18">
      <c r="B31" s="579" t="s">
        <v>11061</v>
      </c>
      <c r="C31" s="583">
        <v>4</v>
      </c>
      <c r="D31" s="3362"/>
    </row>
    <row r="32" spans="1:18">
      <c r="B32" s="579" t="s">
        <v>9893</v>
      </c>
      <c r="C32" s="583">
        <v>28</v>
      </c>
      <c r="D32" s="3362"/>
    </row>
    <row r="33" spans="2:4">
      <c r="B33" s="592" t="s">
        <v>272</v>
      </c>
      <c r="C33" s="515">
        <f>(PI()*(C31-0.5)+C32*C30)*COS(C29)*C27</f>
        <v>42.898460505509298</v>
      </c>
      <c r="D33" s="3362"/>
    </row>
    <row r="34" spans="2:4">
      <c r="B34" s="592"/>
      <c r="C34" s="515">
        <f>C26-C33</f>
        <v>1.7643394944906901</v>
      </c>
      <c r="D34" s="3362"/>
    </row>
    <row r="35" spans="2:4">
      <c r="B35" s="593" t="s">
        <v>10401</v>
      </c>
      <c r="C35" s="594">
        <f>C34/(2*C27*SIN(C29))</f>
        <v>0.64482294717167499</v>
      </c>
      <c r="D35" s="3362"/>
    </row>
    <row r="36" spans="2:4">
      <c r="B36" s="585" t="s">
        <v>11149</v>
      </c>
      <c r="C36" s="586">
        <f>PI()*C27/2+2*C35*C27*TAN(C29)</f>
        <v>8.1607561803179696</v>
      </c>
      <c r="D36" s="3362"/>
    </row>
  </sheetData>
  <mergeCells count="5">
    <mergeCell ref="A2:D2"/>
    <mergeCell ref="E2:F2"/>
    <mergeCell ref="G2:J2"/>
    <mergeCell ref="K2:L2"/>
    <mergeCell ref="D26:D36"/>
  </mergeCells>
  <phoneticPr fontId="378" type="noConversion"/>
  <hyperlinks>
    <hyperlink ref="N5" location="总目录!A1" display="返回目录"/>
    <hyperlink ref="F16" location="总目录!A1" display="总目录!A1"/>
  </hyperlinks>
  <pageMargins left="0.75" right="0.75" top="1" bottom="1" header="0.5" footer="0.5"/>
  <headerFooter alignWithMargins="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topLeftCell="A28" workbookViewId="0">
      <selection activeCell="K3" sqref="K3"/>
    </sheetView>
  </sheetViews>
  <sheetFormatPr defaultColWidth="9" defaultRowHeight="16.5"/>
  <cols>
    <col min="1" max="1" width="15.125" style="95" customWidth="1"/>
    <col min="2" max="2" width="23.875" style="95" customWidth="1"/>
    <col min="3" max="3" width="40.875" style="95" customWidth="1"/>
    <col min="4" max="4" width="32" style="95" customWidth="1"/>
    <col min="5" max="5" width="20.875" style="95" customWidth="1"/>
    <col min="6" max="6" width="14" style="95" customWidth="1"/>
    <col min="7" max="7" width="14.625" style="95" customWidth="1"/>
    <col min="8" max="8" width="12.75" style="95" customWidth="1"/>
    <col min="9" max="9" width="10.875" style="95" customWidth="1"/>
    <col min="10" max="10" width="11.875" style="95" customWidth="1"/>
    <col min="11" max="11" width="6.125" style="95" customWidth="1"/>
    <col min="12" max="12" width="22.75" style="95" customWidth="1"/>
    <col min="13" max="13" width="40.875" style="95" customWidth="1"/>
    <col min="14" max="14" width="23" style="95" customWidth="1"/>
    <col min="15" max="16384" width="9" style="95"/>
  </cols>
  <sheetData>
    <row r="1" spans="1:11">
      <c r="A1" s="490" t="s">
        <v>9893</v>
      </c>
      <c r="B1" s="491" t="s">
        <v>6644</v>
      </c>
      <c r="C1" s="492">
        <v>52</v>
      </c>
      <c r="D1" s="4534" t="s">
        <v>11160</v>
      </c>
      <c r="E1" s="4534"/>
      <c r="F1" s="4534"/>
    </row>
    <row r="2" spans="1:11" ht="16.5" customHeight="1">
      <c r="A2" s="494" t="s">
        <v>10389</v>
      </c>
      <c r="B2" s="495" t="s">
        <v>6088</v>
      </c>
      <c r="C2" s="496">
        <v>2.5</v>
      </c>
      <c r="D2" s="3362" t="s">
        <v>11161</v>
      </c>
      <c r="E2" s="3362"/>
      <c r="F2" s="3362"/>
      <c r="G2" s="497" t="s">
        <v>11064</v>
      </c>
      <c r="H2" s="498" t="s">
        <v>11065</v>
      </c>
      <c r="I2" s="552"/>
    </row>
    <row r="3" spans="1:11" ht="25.5">
      <c r="A3" s="494" t="s">
        <v>10401</v>
      </c>
      <c r="B3" s="495" t="s">
        <v>707</v>
      </c>
      <c r="C3" s="496">
        <v>0</v>
      </c>
      <c r="D3" s="4543" t="s">
        <v>11059</v>
      </c>
      <c r="E3" s="4544"/>
      <c r="F3" s="3362"/>
      <c r="G3" s="499">
        <v>1.4904384E-2</v>
      </c>
      <c r="H3" s="500">
        <v>20</v>
      </c>
      <c r="I3" s="552"/>
    </row>
    <row r="4" spans="1:11">
      <c r="A4" s="494" t="s">
        <v>11061</v>
      </c>
      <c r="B4" s="495" t="s">
        <v>9142</v>
      </c>
      <c r="C4" s="501">
        <v>7</v>
      </c>
      <c r="D4" s="4543" t="s">
        <v>11062</v>
      </c>
      <c r="E4" s="4544"/>
      <c r="F4" s="502"/>
      <c r="G4" s="503">
        <f>(G3*3)^(1/3)-G3*3/7.9</f>
        <v>0.34927205753297302</v>
      </c>
      <c r="H4" s="504">
        <f>(H3/180)*PI()</f>
        <v>0.34906585039886601</v>
      </c>
      <c r="I4" s="552"/>
    </row>
    <row r="5" spans="1:11">
      <c r="A5" s="494" t="s">
        <v>10396</v>
      </c>
      <c r="B5" s="495" t="s">
        <v>6356</v>
      </c>
      <c r="C5" s="496">
        <v>20</v>
      </c>
      <c r="D5" s="505" t="s">
        <v>11066</v>
      </c>
      <c r="E5" s="506" t="s">
        <v>10396</v>
      </c>
      <c r="F5" s="500">
        <v>20</v>
      </c>
      <c r="G5" s="503">
        <f>TAN(G4)</f>
        <v>0.36420377608392102</v>
      </c>
      <c r="H5" s="504">
        <f>TAN(H4)-H4</f>
        <v>1.4904383867336401E-2</v>
      </c>
      <c r="I5" s="552"/>
      <c r="J5" s="95" t="s">
        <v>11162</v>
      </c>
    </row>
    <row r="6" spans="1:11">
      <c r="A6" s="507" t="s">
        <v>6594</v>
      </c>
      <c r="B6" s="508" t="s">
        <v>9611</v>
      </c>
      <c r="C6" s="509">
        <v>0</v>
      </c>
      <c r="D6" s="510" t="s">
        <v>11068</v>
      </c>
      <c r="E6" s="506" t="s">
        <v>11069</v>
      </c>
      <c r="F6" s="504">
        <f>(F5/180)*PI()</f>
        <v>0.34906585039886601</v>
      </c>
      <c r="G6" s="503">
        <f>(G5)^2</f>
        <v>0.13264439051378701</v>
      </c>
      <c r="H6" s="511"/>
      <c r="I6" s="552"/>
    </row>
    <row r="7" spans="1:11">
      <c r="A7" s="512" t="s">
        <v>11070</v>
      </c>
      <c r="B7" s="513"/>
      <c r="C7" s="514">
        <f>(C5/180)*F15</f>
        <v>5.7777777777777803</v>
      </c>
      <c r="D7" s="505" t="s">
        <v>11071</v>
      </c>
      <c r="E7" s="506" t="s">
        <v>11072</v>
      </c>
      <c r="F7" s="504">
        <f>TAN(F6)-F6</f>
        <v>1.4904383867336401E-2</v>
      </c>
      <c r="G7" s="503">
        <f>(G3+G4-G5)/G6+G4</f>
        <v>0.34906598360219798</v>
      </c>
      <c r="H7" s="515"/>
    </row>
    <row r="8" spans="1:11">
      <c r="A8" s="516" t="s">
        <v>11073</v>
      </c>
      <c r="B8" s="517"/>
      <c r="C8" s="518">
        <f>(2*C3*F8)/PI()</f>
        <v>0</v>
      </c>
      <c r="D8" s="519" t="s">
        <v>11074</v>
      </c>
      <c r="E8" s="506" t="s">
        <v>11075</v>
      </c>
      <c r="F8" s="504">
        <f>TAN(F6)</f>
        <v>0.36397023426620201</v>
      </c>
      <c r="G8" s="520">
        <f>G7*180/(PI())</f>
        <v>20.000007631988801</v>
      </c>
      <c r="H8" s="521"/>
      <c r="J8" s="552"/>
      <c r="K8" s="479"/>
    </row>
    <row r="9" spans="1:11">
      <c r="A9" s="522" t="s">
        <v>6163</v>
      </c>
      <c r="B9" s="523" t="s">
        <v>11061</v>
      </c>
      <c r="C9" s="524">
        <f>C7+0.5+C8</f>
        <v>6.2777777777777803</v>
      </c>
      <c r="D9" s="510" t="s">
        <v>11076</v>
      </c>
      <c r="E9" s="506" t="s">
        <v>11077</v>
      </c>
      <c r="F9" s="504">
        <f>C6*PI()/180</f>
        <v>0</v>
      </c>
      <c r="J9" s="552"/>
      <c r="K9" s="479"/>
    </row>
    <row r="10" spans="1:11">
      <c r="A10" s="525" t="s">
        <v>11078</v>
      </c>
      <c r="B10" s="526" t="s">
        <v>11079</v>
      </c>
      <c r="C10" s="527">
        <f>F19*(F16+F17+F18)</f>
        <v>49.7928559438947</v>
      </c>
      <c r="D10" s="519" t="s">
        <v>11080</v>
      </c>
      <c r="E10" s="506" t="s">
        <v>11081</v>
      </c>
      <c r="F10" s="504">
        <f>COS(F9)</f>
        <v>1</v>
      </c>
      <c r="J10" s="552"/>
      <c r="K10" s="479"/>
    </row>
    <row r="11" spans="1:11">
      <c r="A11" s="528" t="s">
        <v>11084</v>
      </c>
      <c r="B11" s="529" t="s">
        <v>11085</v>
      </c>
      <c r="C11" s="530">
        <f>C2/F10</f>
        <v>2.5</v>
      </c>
      <c r="D11" s="510" t="s">
        <v>11086</v>
      </c>
      <c r="E11" s="531" t="s">
        <v>11087</v>
      </c>
      <c r="F11" s="532">
        <f>ATAN(F13)</f>
        <v>0.34906585039886601</v>
      </c>
    </row>
    <row r="12" spans="1:11">
      <c r="A12" s="533" t="s">
        <v>6658</v>
      </c>
      <c r="B12" s="534" t="s">
        <v>6565</v>
      </c>
      <c r="C12" s="535">
        <f>C1*C11</f>
        <v>130</v>
      </c>
      <c r="D12" s="505" t="s">
        <v>11088</v>
      </c>
      <c r="E12" s="506" t="s">
        <v>11089</v>
      </c>
      <c r="F12" s="504">
        <f>TAN(F11)-F11</f>
        <v>1.4904383867336401E-2</v>
      </c>
      <c r="H12" s="204"/>
      <c r="I12" s="204"/>
      <c r="J12" s="204"/>
    </row>
    <row r="13" spans="1:11">
      <c r="A13" s="533" t="s">
        <v>10411</v>
      </c>
      <c r="B13" s="534" t="s">
        <v>11036</v>
      </c>
      <c r="C13" s="535">
        <f>1*C2</f>
        <v>2.5</v>
      </c>
      <c r="D13" s="519" t="s">
        <v>11092</v>
      </c>
      <c r="E13" s="536"/>
      <c r="F13" s="504">
        <f>F8/F10</f>
        <v>0.36397023426620201</v>
      </c>
      <c r="H13" s="537"/>
      <c r="I13" s="537"/>
      <c r="J13" s="537"/>
    </row>
    <row r="14" spans="1:11">
      <c r="A14" s="533" t="s">
        <v>6660</v>
      </c>
      <c r="B14" s="534" t="s">
        <v>6661</v>
      </c>
      <c r="C14" s="535">
        <f>C12+2*C2*(1+C3)-2*C11*C18</f>
        <v>135</v>
      </c>
      <c r="D14" s="505" t="s">
        <v>11095</v>
      </c>
      <c r="E14" s="506" t="s">
        <v>11163</v>
      </c>
      <c r="F14" s="504">
        <f>(F11*180)/PI()</f>
        <v>20</v>
      </c>
      <c r="H14" s="3162" t="s">
        <v>12704</v>
      </c>
      <c r="I14" s="204"/>
      <c r="J14" s="204"/>
    </row>
    <row r="15" spans="1:11">
      <c r="A15" s="533" t="s">
        <v>10413</v>
      </c>
      <c r="B15" s="534" t="s">
        <v>11037</v>
      </c>
      <c r="C15" s="535">
        <f>1.25*C2</f>
        <v>3.125</v>
      </c>
      <c r="D15" s="519" t="s">
        <v>11099</v>
      </c>
      <c r="E15" s="506" t="s">
        <v>11100</v>
      </c>
      <c r="F15" s="504">
        <f>C1*(F12/F7)</f>
        <v>52</v>
      </c>
      <c r="H15" s="204"/>
      <c r="I15" s="204"/>
      <c r="J15" s="537"/>
    </row>
    <row r="16" spans="1:11">
      <c r="A16" s="533" t="s">
        <v>6665</v>
      </c>
      <c r="B16" s="534" t="s">
        <v>6666</v>
      </c>
      <c r="C16" s="535">
        <f>C12-2*C2*(1.25-C3)</f>
        <v>123.75</v>
      </c>
      <c r="D16" s="538" t="s">
        <v>11103</v>
      </c>
      <c r="E16" s="531"/>
      <c r="F16" s="504">
        <f>PI()*(C4-0.5)</f>
        <v>20.4203522483337</v>
      </c>
      <c r="H16" s="204"/>
      <c r="I16" s="204"/>
      <c r="J16" s="204"/>
    </row>
    <row r="17" spans="1:10">
      <c r="A17" s="539" t="s">
        <v>10415</v>
      </c>
      <c r="B17" s="540" t="s">
        <v>8104</v>
      </c>
      <c r="C17" s="541">
        <f>(C14-C16)/2</f>
        <v>5.625</v>
      </c>
      <c r="D17" s="519" t="s">
        <v>11105</v>
      </c>
      <c r="E17" s="506"/>
      <c r="F17" s="504">
        <f>F15*F7</f>
        <v>0.77502796110149497</v>
      </c>
    </row>
    <row r="18" spans="1:10">
      <c r="A18" s="534" t="s">
        <v>10399</v>
      </c>
      <c r="B18" s="542" t="s">
        <v>11107</v>
      </c>
      <c r="C18" s="535">
        <v>0</v>
      </c>
      <c r="D18" s="519" t="s">
        <v>11108</v>
      </c>
      <c r="E18" s="506"/>
      <c r="F18" s="543">
        <f>2*C3*F8</f>
        <v>0</v>
      </c>
    </row>
    <row r="19" spans="1:10">
      <c r="A19" s="4550" t="s">
        <v>11110</v>
      </c>
      <c r="B19" s="4551"/>
      <c r="C19" s="4552"/>
      <c r="D19" s="544" t="s">
        <v>11111</v>
      </c>
      <c r="E19" s="545"/>
      <c r="F19" s="546">
        <f>C2*COS(F6)</f>
        <v>2.34923155196477</v>
      </c>
    </row>
    <row r="20" spans="1:10">
      <c r="A20" s="512" t="s">
        <v>11164</v>
      </c>
      <c r="B20" s="547" t="s">
        <v>11165</v>
      </c>
      <c r="C20" s="548">
        <v>35</v>
      </c>
    </row>
    <row r="21" spans="1:10">
      <c r="A21" s="549"/>
      <c r="B21" s="550" t="s">
        <v>11114</v>
      </c>
      <c r="C21" s="551">
        <f>SIN(F9)*C10</f>
        <v>0</v>
      </c>
    </row>
    <row r="22" spans="1:10">
      <c r="A22" s="131"/>
      <c r="B22" s="552"/>
    </row>
    <row r="23" spans="1:10" ht="22.5">
      <c r="A23" s="4564" t="s">
        <v>11119</v>
      </c>
      <c r="B23" s="4564"/>
      <c r="C23" s="4564"/>
      <c r="D23" s="4564"/>
      <c r="E23" s="4564"/>
      <c r="F23" s="4564"/>
      <c r="G23" s="4564"/>
      <c r="H23" s="4564"/>
      <c r="I23" s="4564"/>
      <c r="J23" s="4564"/>
    </row>
    <row r="24" spans="1:10">
      <c r="A24" s="4561" t="s">
        <v>11120</v>
      </c>
      <c r="B24" s="4559" t="s">
        <v>11121</v>
      </c>
      <c r="C24" s="4559" t="s">
        <v>11122</v>
      </c>
      <c r="D24" s="553" t="s">
        <v>11123</v>
      </c>
      <c r="E24" s="4565" t="s">
        <v>11124</v>
      </c>
      <c r="F24" s="4565"/>
      <c r="G24" s="4565"/>
      <c r="H24" s="4565"/>
      <c r="I24" s="4565"/>
      <c r="J24" s="4566"/>
    </row>
    <row r="25" spans="1:10" ht="20.25">
      <c r="A25" s="4562"/>
      <c r="B25" s="4560"/>
      <c r="C25" s="4560"/>
      <c r="D25" s="554" t="s">
        <v>11125</v>
      </c>
      <c r="E25" s="3362" t="s">
        <v>11126</v>
      </c>
      <c r="F25" s="3362" t="s">
        <v>11127</v>
      </c>
      <c r="G25" s="3362" t="s">
        <v>11128</v>
      </c>
      <c r="H25" s="3362" t="s">
        <v>11129</v>
      </c>
      <c r="I25" s="3362" t="s">
        <v>11130</v>
      </c>
      <c r="J25" s="3362" t="s">
        <v>11131</v>
      </c>
    </row>
    <row r="26" spans="1:10" ht="30" customHeight="1">
      <c r="A26" s="4563"/>
      <c r="B26" s="3362"/>
      <c r="C26" s="3362"/>
      <c r="D26" s="555" t="s">
        <v>11132</v>
      </c>
      <c r="E26" s="3362"/>
      <c r="F26" s="3362"/>
      <c r="G26" s="3362"/>
      <c r="H26" s="3362"/>
      <c r="I26" s="3362"/>
      <c r="J26" s="3362"/>
    </row>
    <row r="27" spans="1:10">
      <c r="A27" s="4555">
        <v>6</v>
      </c>
      <c r="B27" s="3362" t="s">
        <v>11133</v>
      </c>
      <c r="C27" s="3362" t="s">
        <v>11134</v>
      </c>
      <c r="D27" s="556" t="s">
        <v>11135</v>
      </c>
      <c r="E27" s="557">
        <v>80</v>
      </c>
      <c r="F27" s="557">
        <v>95</v>
      </c>
      <c r="G27" s="557">
        <v>115</v>
      </c>
      <c r="H27" s="557">
        <v>140</v>
      </c>
      <c r="I27" s="557">
        <v>160</v>
      </c>
      <c r="J27" s="575">
        <v>210</v>
      </c>
    </row>
    <row r="28" spans="1:10">
      <c r="A28" s="4556"/>
      <c r="B28" s="3452"/>
      <c r="C28" s="3452"/>
      <c r="D28" s="506" t="s">
        <v>11136</v>
      </c>
      <c r="E28" s="559">
        <v>80</v>
      </c>
      <c r="F28" s="559">
        <v>95</v>
      </c>
      <c r="G28" s="559">
        <v>115</v>
      </c>
      <c r="H28" s="559">
        <v>140</v>
      </c>
      <c r="I28" s="559">
        <v>160</v>
      </c>
      <c r="J28" s="576">
        <v>210</v>
      </c>
    </row>
    <row r="29" spans="1:10">
      <c r="A29" s="4556"/>
      <c r="B29" s="3452"/>
      <c r="C29" s="3452"/>
      <c r="D29" s="506" t="s">
        <v>11137</v>
      </c>
      <c r="E29" s="560" t="s">
        <v>2074</v>
      </c>
      <c r="F29" s="559">
        <v>95</v>
      </c>
      <c r="G29" s="559">
        <v>120</v>
      </c>
      <c r="H29" s="559">
        <v>140</v>
      </c>
      <c r="I29" s="559">
        <v>160</v>
      </c>
      <c r="J29" s="576">
        <v>210</v>
      </c>
    </row>
    <row r="30" spans="1:10">
      <c r="A30" s="4556"/>
      <c r="B30" s="3452"/>
      <c r="C30" s="3452"/>
      <c r="D30" s="506" t="s">
        <v>11138</v>
      </c>
      <c r="E30" s="560" t="s">
        <v>2074</v>
      </c>
      <c r="F30" s="560" t="s">
        <v>2074</v>
      </c>
      <c r="G30" s="559">
        <v>120</v>
      </c>
      <c r="H30" s="561">
        <v>140</v>
      </c>
      <c r="I30" s="559">
        <v>160</v>
      </c>
      <c r="J30" s="576">
        <v>210</v>
      </c>
    </row>
    <row r="31" spans="1:10">
      <c r="A31" s="4557"/>
      <c r="B31" s="3362"/>
      <c r="C31" s="555" t="s">
        <v>11139</v>
      </c>
      <c r="D31" s="555" t="s">
        <v>11140</v>
      </c>
      <c r="E31" s="562">
        <v>34</v>
      </c>
      <c r="F31" s="562">
        <v>40</v>
      </c>
      <c r="G31" s="562">
        <v>40</v>
      </c>
      <c r="H31" s="562">
        <v>45</v>
      </c>
      <c r="I31" s="562">
        <v>50</v>
      </c>
      <c r="J31" s="577">
        <v>50</v>
      </c>
    </row>
    <row r="32" spans="1:10">
      <c r="A32" s="4555">
        <v>7</v>
      </c>
      <c r="B32" s="3362" t="s">
        <v>11133</v>
      </c>
      <c r="C32" s="3362" t="s">
        <v>11134</v>
      </c>
      <c r="D32" s="556" t="s">
        <v>11135</v>
      </c>
      <c r="E32" s="557">
        <v>85</v>
      </c>
      <c r="F32" s="557">
        <v>105</v>
      </c>
      <c r="G32" s="557">
        <v>130</v>
      </c>
      <c r="H32" s="557">
        <v>150</v>
      </c>
      <c r="I32" s="557">
        <v>170</v>
      </c>
      <c r="J32" s="575">
        <v>220</v>
      </c>
    </row>
    <row r="33" spans="1:10">
      <c r="A33" s="4556"/>
      <c r="B33" s="3452"/>
      <c r="C33" s="3452"/>
      <c r="D33" s="506" t="s">
        <v>11136</v>
      </c>
      <c r="E33" s="559">
        <v>85</v>
      </c>
      <c r="F33" s="559">
        <v>105</v>
      </c>
      <c r="G33" s="559">
        <v>130</v>
      </c>
      <c r="H33" s="559">
        <v>150</v>
      </c>
      <c r="I33" s="559">
        <v>190</v>
      </c>
      <c r="J33" s="576">
        <v>220</v>
      </c>
    </row>
    <row r="34" spans="1:10">
      <c r="A34" s="4556"/>
      <c r="B34" s="3452"/>
      <c r="C34" s="3452"/>
      <c r="D34" s="506" t="s">
        <v>11137</v>
      </c>
      <c r="E34" s="560" t="s">
        <v>2074</v>
      </c>
      <c r="F34" s="559">
        <v>110</v>
      </c>
      <c r="G34" s="559">
        <v>130</v>
      </c>
      <c r="H34" s="559">
        <v>160</v>
      </c>
      <c r="I34" s="559">
        <v>190</v>
      </c>
      <c r="J34" s="576">
        <v>240</v>
      </c>
    </row>
    <row r="35" spans="1:10">
      <c r="A35" s="4556"/>
      <c r="B35" s="3452"/>
      <c r="C35" s="3452"/>
      <c r="D35" s="506" t="s">
        <v>11138</v>
      </c>
      <c r="E35" s="560" t="s">
        <v>2074</v>
      </c>
      <c r="F35" s="560" t="s">
        <v>2074</v>
      </c>
      <c r="G35" s="559">
        <v>130</v>
      </c>
      <c r="H35" s="559">
        <v>160</v>
      </c>
      <c r="I35" s="559">
        <v>190</v>
      </c>
      <c r="J35" s="576">
        <v>240</v>
      </c>
    </row>
    <row r="36" spans="1:10">
      <c r="A36" s="4557"/>
      <c r="B36" s="3362"/>
      <c r="C36" s="555" t="s">
        <v>11139</v>
      </c>
      <c r="D36" s="555" t="s">
        <v>11140</v>
      </c>
      <c r="E36" s="563">
        <v>38</v>
      </c>
      <c r="F36" s="563">
        <v>50</v>
      </c>
      <c r="G36" s="562">
        <v>50</v>
      </c>
      <c r="H36" s="562">
        <v>55</v>
      </c>
      <c r="I36" s="562">
        <v>70</v>
      </c>
      <c r="J36" s="577">
        <v>70</v>
      </c>
    </row>
    <row r="37" spans="1:10">
      <c r="A37" s="4555">
        <v>8</v>
      </c>
      <c r="B37" s="3362" t="s">
        <v>11133</v>
      </c>
      <c r="C37" s="3362" t="s">
        <v>11134</v>
      </c>
      <c r="D37" s="556" t="s">
        <v>11135</v>
      </c>
      <c r="E37" s="564">
        <v>95</v>
      </c>
      <c r="F37" s="564">
        <v>115</v>
      </c>
      <c r="G37" s="557">
        <v>140</v>
      </c>
      <c r="H37" s="557">
        <v>170</v>
      </c>
      <c r="I37" s="557">
        <v>200</v>
      </c>
      <c r="J37" s="575">
        <v>240</v>
      </c>
    </row>
    <row r="38" spans="1:10">
      <c r="A38" s="4556"/>
      <c r="B38" s="3452"/>
      <c r="C38" s="3452"/>
      <c r="D38" s="506" t="s">
        <v>11136</v>
      </c>
      <c r="E38" s="560">
        <v>100</v>
      </c>
      <c r="F38" s="560">
        <v>115</v>
      </c>
      <c r="G38" s="559">
        <v>140</v>
      </c>
      <c r="H38" s="559">
        <v>170</v>
      </c>
      <c r="I38" s="559">
        <v>200</v>
      </c>
      <c r="J38" s="576">
        <v>240</v>
      </c>
    </row>
    <row r="39" spans="1:10">
      <c r="A39" s="4556"/>
      <c r="B39" s="3452"/>
      <c r="C39" s="3452"/>
      <c r="D39" s="506" t="s">
        <v>11137</v>
      </c>
      <c r="E39" s="560" t="s">
        <v>2074</v>
      </c>
      <c r="F39" s="560">
        <v>120</v>
      </c>
      <c r="G39" s="559">
        <v>140</v>
      </c>
      <c r="H39" s="559">
        <v>170</v>
      </c>
      <c r="I39" s="559">
        <v>210</v>
      </c>
      <c r="J39" s="576">
        <v>240</v>
      </c>
    </row>
    <row r="40" spans="1:10">
      <c r="A40" s="4556"/>
      <c r="B40" s="3452"/>
      <c r="C40" s="3452"/>
      <c r="D40" s="506" t="s">
        <v>11138</v>
      </c>
      <c r="E40" s="560" t="s">
        <v>2074</v>
      </c>
      <c r="F40" s="560" t="s">
        <v>2074</v>
      </c>
      <c r="G40" s="559">
        <v>150</v>
      </c>
      <c r="H40" s="559">
        <v>180</v>
      </c>
      <c r="I40" s="559">
        <v>210</v>
      </c>
      <c r="J40" s="576">
        <v>240</v>
      </c>
    </row>
    <row r="41" spans="1:10">
      <c r="A41" s="4557"/>
      <c r="B41" s="3362"/>
      <c r="C41" s="555" t="s">
        <v>11139</v>
      </c>
      <c r="D41" s="555" t="s">
        <v>11140</v>
      </c>
      <c r="E41" s="563">
        <v>48</v>
      </c>
      <c r="F41" s="563">
        <v>70</v>
      </c>
      <c r="G41" s="562">
        <v>70</v>
      </c>
      <c r="H41" s="562">
        <v>80</v>
      </c>
      <c r="I41" s="562">
        <v>90</v>
      </c>
      <c r="J41" s="577">
        <v>90</v>
      </c>
    </row>
    <row r="42" spans="1:10">
      <c r="A42" s="4555">
        <v>9</v>
      </c>
      <c r="B42" s="3362" t="s">
        <v>11133</v>
      </c>
      <c r="C42" s="3362" t="s">
        <v>11134</v>
      </c>
      <c r="D42" s="556" t="s">
        <v>11136</v>
      </c>
      <c r="E42" s="564">
        <v>115</v>
      </c>
      <c r="F42" s="564">
        <v>140</v>
      </c>
      <c r="G42" s="557">
        <v>160</v>
      </c>
      <c r="H42" s="557">
        <v>190</v>
      </c>
      <c r="I42" s="557">
        <v>240</v>
      </c>
      <c r="J42" s="575">
        <v>280</v>
      </c>
    </row>
    <row r="43" spans="1:10">
      <c r="A43" s="4556"/>
      <c r="B43" s="3452"/>
      <c r="C43" s="3452"/>
      <c r="D43" s="506" t="s">
        <v>11137</v>
      </c>
      <c r="E43" s="560" t="s">
        <v>2074</v>
      </c>
      <c r="F43" s="560">
        <v>150</v>
      </c>
      <c r="G43" s="559">
        <v>160</v>
      </c>
      <c r="H43" s="559">
        <v>200</v>
      </c>
      <c r="I43" s="559">
        <v>240</v>
      </c>
      <c r="J43" s="576">
        <v>280</v>
      </c>
    </row>
    <row r="44" spans="1:10">
      <c r="A44" s="4556"/>
      <c r="B44" s="3452"/>
      <c r="C44" s="3452"/>
      <c r="D44" s="506" t="s">
        <v>11138</v>
      </c>
      <c r="E44" s="560" t="s">
        <v>2074</v>
      </c>
      <c r="F44" s="560" t="s">
        <v>2074</v>
      </c>
      <c r="G44" s="559">
        <v>180</v>
      </c>
      <c r="H44" s="559">
        <v>210</v>
      </c>
      <c r="I44" s="559">
        <v>240</v>
      </c>
      <c r="J44" s="576">
        <v>280</v>
      </c>
    </row>
    <row r="45" spans="1:10">
      <c r="A45" s="4556"/>
      <c r="B45" s="3452"/>
      <c r="C45" s="3452"/>
      <c r="D45" s="506"/>
      <c r="E45" s="506"/>
      <c r="F45" s="506"/>
      <c r="G45" s="506"/>
      <c r="H45" s="506"/>
      <c r="I45" s="506"/>
      <c r="J45" s="570"/>
    </row>
    <row r="46" spans="1:10">
      <c r="A46" s="4558"/>
      <c r="B46" s="3362"/>
      <c r="C46" s="545" t="s">
        <v>11139</v>
      </c>
      <c r="D46" s="545" t="s">
        <v>11141</v>
      </c>
      <c r="E46" s="565">
        <v>65</v>
      </c>
      <c r="F46" s="566">
        <v>95</v>
      </c>
      <c r="G46" s="565">
        <v>95</v>
      </c>
      <c r="H46" s="565">
        <v>115</v>
      </c>
      <c r="I46" s="565">
        <v>140</v>
      </c>
      <c r="J46" s="578">
        <v>140</v>
      </c>
    </row>
    <row r="48" spans="1:10">
      <c r="C48" s="95" t="s">
        <v>11166</v>
      </c>
    </row>
    <row r="49" spans="1:7">
      <c r="A49" s="512" t="s">
        <v>11167</v>
      </c>
      <c r="B49" s="513" t="s">
        <v>11168</v>
      </c>
      <c r="C49" s="567" t="s">
        <v>11169</v>
      </c>
      <c r="D49" s="568" t="s">
        <v>11170</v>
      </c>
    </row>
    <row r="50" spans="1:7">
      <c r="A50" s="505" t="s">
        <v>11171</v>
      </c>
      <c r="B50" s="569" t="s">
        <v>11172</v>
      </c>
      <c r="C50" s="506" t="s">
        <v>11173</v>
      </c>
      <c r="D50" s="570" t="s">
        <v>11174</v>
      </c>
    </row>
    <row r="51" spans="1:7">
      <c r="A51" s="505" t="s">
        <v>11175</v>
      </c>
      <c r="B51" s="531" t="s">
        <v>11176</v>
      </c>
      <c r="C51" s="571" t="s">
        <v>11177</v>
      </c>
      <c r="D51" s="572" t="s">
        <v>11178</v>
      </c>
      <c r="G51" s="3162" t="s">
        <v>12704</v>
      </c>
    </row>
    <row r="52" spans="1:7">
      <c r="A52" s="549" t="s">
        <v>11179</v>
      </c>
      <c r="B52" s="573" t="s">
        <v>11180</v>
      </c>
      <c r="C52" s="545" t="s">
        <v>11181</v>
      </c>
      <c r="D52" s="574" t="s">
        <v>11182</v>
      </c>
    </row>
  </sheetData>
  <mergeCells count="28">
    <mergeCell ref="C37:C40"/>
    <mergeCell ref="C42:C45"/>
    <mergeCell ref="E25:E26"/>
    <mergeCell ref="F25:F26"/>
    <mergeCell ref="G25:G26"/>
    <mergeCell ref="A37:A41"/>
    <mergeCell ref="A42:A46"/>
    <mergeCell ref="B24:B26"/>
    <mergeCell ref="B27:B31"/>
    <mergeCell ref="B32:B36"/>
    <mergeCell ref="B37:B41"/>
    <mergeCell ref="B42:B46"/>
    <mergeCell ref="A23:J23"/>
    <mergeCell ref="E24:J24"/>
    <mergeCell ref="A24:A26"/>
    <mergeCell ref="A27:A31"/>
    <mergeCell ref="A32:A36"/>
    <mergeCell ref="C24:C26"/>
    <mergeCell ref="C27:C30"/>
    <mergeCell ref="C32:C35"/>
    <mergeCell ref="H25:H26"/>
    <mergeCell ref="I25:I26"/>
    <mergeCell ref="J25:J26"/>
    <mergeCell ref="D1:F1"/>
    <mergeCell ref="D2:F2"/>
    <mergeCell ref="D3:F3"/>
    <mergeCell ref="D4:E4"/>
    <mergeCell ref="A19:C19"/>
  </mergeCells>
  <phoneticPr fontId="378" type="noConversion"/>
  <hyperlinks>
    <hyperlink ref="H14" location="总目录!A1" display="返回目录"/>
    <hyperlink ref="G51" location="总目录!A1" display="返回目录"/>
  </hyperlinks>
  <pageMargins left="0.75" right="0.75" top="1" bottom="1" header="0.5" footer="0.5"/>
  <pageSetup paperSize="9" orientation="portrait" horizontalDpi="180" verticalDpi="180"/>
  <headerFooter alignWithMargins="0"/>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0"/>
  <sheetViews>
    <sheetView workbookViewId="0">
      <selection activeCell="F19" sqref="F19:F20"/>
    </sheetView>
  </sheetViews>
  <sheetFormatPr defaultColWidth="9" defaultRowHeight="14.25"/>
  <cols>
    <col min="1" max="1" width="10.875" style="480" customWidth="1"/>
    <col min="2" max="4" width="10.625" style="480" customWidth="1"/>
    <col min="5" max="5" width="13.625" style="481" customWidth="1"/>
    <col min="6" max="7" width="10.625" style="480" customWidth="1"/>
    <col min="8" max="16384" width="9" style="480"/>
  </cols>
  <sheetData>
    <row r="1" spans="1:6" ht="16.5">
      <c r="A1" s="3362" t="s">
        <v>11183</v>
      </c>
      <c r="B1" s="3362"/>
      <c r="C1" s="3362"/>
      <c r="D1" s="3362"/>
      <c r="E1" s="3362"/>
      <c r="F1" s="3362"/>
    </row>
    <row r="2" spans="1:6" ht="14.25" customHeight="1">
      <c r="A2" s="482"/>
      <c r="B2" s="482"/>
      <c r="C2" s="482"/>
      <c r="D2" s="482"/>
      <c r="E2" s="482"/>
      <c r="F2" s="482"/>
    </row>
    <row r="3" spans="1:6" ht="32.1" customHeight="1">
      <c r="A3" s="483" t="s">
        <v>11184</v>
      </c>
      <c r="B3" s="484" t="s">
        <v>11185</v>
      </c>
      <c r="C3" s="484" t="s">
        <v>11186</v>
      </c>
      <c r="D3" s="484" t="s">
        <v>11187</v>
      </c>
      <c r="E3" s="485" t="s">
        <v>11188</v>
      </c>
      <c r="F3" s="484" t="s">
        <v>11189</v>
      </c>
    </row>
    <row r="4" spans="1:6" ht="15.95" customHeight="1">
      <c r="A4" s="486" t="s">
        <v>11190</v>
      </c>
      <c r="B4" s="484" t="s">
        <v>11191</v>
      </c>
      <c r="C4" s="484" t="s">
        <v>11192</v>
      </c>
      <c r="D4" s="486" t="s">
        <v>11193</v>
      </c>
      <c r="E4" s="487" t="s">
        <v>11194</v>
      </c>
      <c r="F4" s="484" t="s">
        <v>11195</v>
      </c>
    </row>
    <row r="5" spans="1:6" ht="15.95" customHeight="1">
      <c r="A5" s="484">
        <f>C5*8</f>
        <v>40</v>
      </c>
      <c r="B5" s="488">
        <v>3</v>
      </c>
      <c r="C5" s="488">
        <v>5</v>
      </c>
      <c r="D5" s="484">
        <v>7</v>
      </c>
      <c r="E5" s="489">
        <f>((A5-C5)*COS((3.1415926/180)*D5)-C5)/2</f>
        <v>14.8695576581678</v>
      </c>
      <c r="F5" s="488">
        <f>1.5*C5</f>
        <v>7.5</v>
      </c>
    </row>
    <row r="6" spans="1:6" ht="15.95" customHeight="1"/>
    <row r="7" spans="1:6" ht="15.95" customHeight="1"/>
    <row r="8" spans="1:6" ht="15.95" customHeight="1"/>
    <row r="9" spans="1:6" ht="15.95" customHeight="1"/>
    <row r="10" spans="1:6" ht="15.95" customHeight="1"/>
    <row r="11" spans="1:6" ht="15.95" customHeight="1"/>
    <row r="12" spans="1:6" ht="15.95" customHeight="1"/>
    <row r="13" spans="1:6" ht="15.95" customHeight="1"/>
    <row r="14" spans="1:6" ht="15.95" customHeight="1"/>
    <row r="15" spans="1:6" ht="15.95" customHeight="1"/>
    <row r="16" spans="1:6" ht="15.95" customHeight="1"/>
    <row r="17" spans="1:6" ht="15.95" customHeight="1"/>
    <row r="18" spans="1:6" ht="15.95" customHeight="1"/>
    <row r="19" spans="1:6" ht="15.95" customHeight="1">
      <c r="A19" s="480" t="s">
        <v>11196</v>
      </c>
      <c r="F19" s="3361" t="s">
        <v>12716</v>
      </c>
    </row>
    <row r="20" spans="1:6" ht="15.95" customHeight="1">
      <c r="A20" s="480" t="s">
        <v>11197</v>
      </c>
      <c r="F20" s="3361"/>
    </row>
  </sheetData>
  <mergeCells count="2">
    <mergeCell ref="A1:F1"/>
    <mergeCell ref="F19:F20"/>
  </mergeCells>
  <phoneticPr fontId="378" type="noConversion"/>
  <hyperlinks>
    <hyperlink ref="F19:F20" location="总目录!A1" display="总目录!A1"/>
  </hyperlinks>
  <pageMargins left="0.75" right="0.75" top="1" bottom="1" header="0.5" footer="0.5"/>
  <pageSetup paperSize="9" orientation="portrait"/>
  <headerFooter scaleWithDoc="0" alignWithMargins="0"/>
  <drawing r:id="rId1"/>
  <legacyDrawing r:id="rId2"/>
  <oleObjects>
    <mc:AlternateContent xmlns:mc="http://schemas.openxmlformats.org/markup-compatibility/2006">
      <mc:Choice Requires="x14">
        <oleObject progId="AutoCAD.Drawing.14" shapeId="1232897" r:id="rId3">
          <objectPr defaultSize="0" autoPict="0" altText="" r:id="rId4">
            <anchor moveWithCells="1">
              <from>
                <xdr:col>0</xdr:col>
                <xdr:colOff>609600</xdr:colOff>
                <xdr:row>5</xdr:row>
                <xdr:rowOff>76200</xdr:rowOff>
              </from>
              <to>
                <xdr:col>5</xdr:col>
                <xdr:colOff>9525</xdr:colOff>
                <xdr:row>17</xdr:row>
                <xdr:rowOff>47625</xdr:rowOff>
              </to>
            </anchor>
          </objectPr>
        </oleObject>
      </mc:Choice>
      <mc:Fallback>
        <oleObject progId="AutoCAD.Drawing.14" shapeId="1232897" r:id="rId3"/>
      </mc:Fallback>
    </mc:AlternateContent>
  </oleObject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4"/>
  <sheetViews>
    <sheetView workbookViewId="0">
      <selection activeCell="K3" sqref="K3"/>
    </sheetView>
  </sheetViews>
  <sheetFormatPr defaultColWidth="9" defaultRowHeight="16.5"/>
  <cols>
    <col min="1" max="1" width="5.125" style="95" customWidth="1"/>
    <col min="2" max="2" width="14.875" style="95" customWidth="1"/>
    <col min="3" max="3" width="10.125" style="95" customWidth="1"/>
    <col min="4" max="4" width="10" style="95" customWidth="1"/>
    <col min="5" max="5" width="11.25" style="95" customWidth="1"/>
    <col min="6" max="6" width="11.75" style="95" customWidth="1"/>
    <col min="7" max="7" width="11" style="95" customWidth="1"/>
    <col min="8" max="8" width="12.125" style="95" customWidth="1"/>
    <col min="9" max="9" width="9" style="95"/>
    <col min="10" max="10" width="19.125" style="95" customWidth="1"/>
    <col min="11" max="16384" width="9" style="95"/>
  </cols>
  <sheetData>
    <row r="1" spans="1:11" ht="67.5" customHeight="1">
      <c r="A1" s="3362" t="s">
        <v>19</v>
      </c>
      <c r="B1" s="3362"/>
      <c r="C1" s="3362"/>
      <c r="D1" s="3362"/>
      <c r="E1" s="3362"/>
      <c r="F1" s="3362"/>
      <c r="G1" s="3362"/>
      <c r="H1" s="3362"/>
      <c r="I1" s="3362"/>
      <c r="J1" s="3166" t="s">
        <v>12723</v>
      </c>
    </row>
    <row r="2" spans="1:11" ht="49.5" customHeight="1">
      <c r="A2" s="464" t="s">
        <v>1443</v>
      </c>
      <c r="B2" s="465" t="s">
        <v>6869</v>
      </c>
      <c r="C2" s="465" t="s">
        <v>11198</v>
      </c>
      <c r="D2" s="465" t="s">
        <v>11199</v>
      </c>
      <c r="E2" s="465" t="s">
        <v>11200</v>
      </c>
      <c r="F2" s="465" t="s">
        <v>11201</v>
      </c>
      <c r="G2" s="465" t="s">
        <v>11202</v>
      </c>
      <c r="H2" s="465" t="s">
        <v>11203</v>
      </c>
      <c r="I2" s="465" t="s">
        <v>11204</v>
      </c>
      <c r="J2" s="474" t="s">
        <v>11205</v>
      </c>
    </row>
    <row r="3" spans="1:11" ht="24.95" customHeight="1">
      <c r="A3" s="466">
        <v>1</v>
      </c>
      <c r="B3" s="467" t="s">
        <v>11206</v>
      </c>
      <c r="C3" s="468">
        <v>0.75</v>
      </c>
      <c r="D3" s="468">
        <v>1</v>
      </c>
      <c r="E3" s="468">
        <v>1.8</v>
      </c>
      <c r="F3" s="468">
        <v>2825</v>
      </c>
      <c r="G3" s="468">
        <v>75</v>
      </c>
      <c r="H3" s="468">
        <v>0.84</v>
      </c>
      <c r="I3" s="475">
        <v>17</v>
      </c>
      <c r="J3" s="204">
        <f t="shared" ref="J3:J66" si="0">9550*C3/F3</f>
        <v>2.5353982300885001</v>
      </c>
    </row>
    <row r="4" spans="1:11" ht="24.95" customHeight="1">
      <c r="A4" s="469">
        <v>2</v>
      </c>
      <c r="B4" s="464" t="s">
        <v>11207</v>
      </c>
      <c r="C4" s="470">
        <v>1.1000000000000001</v>
      </c>
      <c r="D4" s="470">
        <v>1.5</v>
      </c>
      <c r="E4" s="470">
        <v>2.5</v>
      </c>
      <c r="F4" s="470">
        <v>2825</v>
      </c>
      <c r="G4" s="470">
        <v>77</v>
      </c>
      <c r="H4" s="470">
        <v>0.86</v>
      </c>
      <c r="I4" s="476">
        <v>18</v>
      </c>
      <c r="J4" s="204">
        <f t="shared" si="0"/>
        <v>3.7185840707964601</v>
      </c>
    </row>
    <row r="5" spans="1:11" ht="24.95" customHeight="1">
      <c r="A5" s="469">
        <v>3</v>
      </c>
      <c r="B5" s="464" t="s">
        <v>11208</v>
      </c>
      <c r="C5" s="470">
        <v>1.5</v>
      </c>
      <c r="D5" s="470">
        <v>2</v>
      </c>
      <c r="E5" s="470">
        <v>3.4</v>
      </c>
      <c r="F5" s="470">
        <v>2840</v>
      </c>
      <c r="G5" s="470">
        <v>78</v>
      </c>
      <c r="H5" s="470">
        <v>0.85</v>
      </c>
      <c r="I5" s="476">
        <v>22</v>
      </c>
      <c r="J5" s="204">
        <f t="shared" si="0"/>
        <v>5.0440140845070403</v>
      </c>
    </row>
    <row r="6" spans="1:11" ht="24.95" customHeight="1">
      <c r="A6" s="469">
        <v>4</v>
      </c>
      <c r="B6" s="464" t="s">
        <v>11209</v>
      </c>
      <c r="C6" s="470">
        <v>2.2000000000000002</v>
      </c>
      <c r="D6" s="470">
        <v>3</v>
      </c>
      <c r="E6" s="470">
        <v>4.8</v>
      </c>
      <c r="F6" s="470">
        <v>2840</v>
      </c>
      <c r="G6" s="470">
        <v>80.5</v>
      </c>
      <c r="H6" s="470">
        <v>0.86</v>
      </c>
      <c r="I6" s="476">
        <v>27</v>
      </c>
      <c r="J6" s="204">
        <f t="shared" si="0"/>
        <v>7.3978873239436602</v>
      </c>
    </row>
    <row r="7" spans="1:11" ht="24.95" customHeight="1">
      <c r="A7" s="469">
        <v>5</v>
      </c>
      <c r="B7" s="464" t="s">
        <v>11210</v>
      </c>
      <c r="C7" s="470">
        <v>3</v>
      </c>
      <c r="D7" s="470">
        <v>4</v>
      </c>
      <c r="E7" s="470">
        <v>6.4</v>
      </c>
      <c r="F7" s="470">
        <v>2880</v>
      </c>
      <c r="G7" s="470">
        <v>82</v>
      </c>
      <c r="H7" s="470">
        <v>0.87</v>
      </c>
      <c r="I7" s="476">
        <v>37</v>
      </c>
      <c r="J7" s="204">
        <f t="shared" si="0"/>
        <v>9.9479166666666696</v>
      </c>
      <c r="K7" s="131"/>
    </row>
    <row r="8" spans="1:11" ht="24.95" customHeight="1">
      <c r="A8" s="469">
        <v>6</v>
      </c>
      <c r="B8" s="464" t="s">
        <v>11211</v>
      </c>
      <c r="C8" s="470">
        <v>4</v>
      </c>
      <c r="D8" s="470">
        <v>5.5</v>
      </c>
      <c r="E8" s="470">
        <v>8.1999999999999993</v>
      </c>
      <c r="F8" s="470">
        <v>2890</v>
      </c>
      <c r="G8" s="470">
        <v>85.5</v>
      </c>
      <c r="H8" s="470">
        <v>0.87</v>
      </c>
      <c r="I8" s="476">
        <v>46</v>
      </c>
      <c r="J8" s="204">
        <f t="shared" si="0"/>
        <v>13.217993079584801</v>
      </c>
    </row>
    <row r="9" spans="1:11" ht="24.95" customHeight="1">
      <c r="A9" s="469">
        <v>7</v>
      </c>
      <c r="B9" s="464" t="s">
        <v>11212</v>
      </c>
      <c r="C9" s="470">
        <v>5.5</v>
      </c>
      <c r="D9" s="470">
        <v>7.5</v>
      </c>
      <c r="E9" s="470">
        <v>11</v>
      </c>
      <c r="F9" s="470">
        <v>2900</v>
      </c>
      <c r="G9" s="470">
        <v>85.5</v>
      </c>
      <c r="H9" s="470">
        <v>0.88</v>
      </c>
      <c r="I9" s="476">
        <v>68</v>
      </c>
      <c r="J9" s="204">
        <f t="shared" si="0"/>
        <v>18.112068965517199</v>
      </c>
    </row>
    <row r="10" spans="1:11" ht="24.95" customHeight="1">
      <c r="A10" s="469">
        <v>8</v>
      </c>
      <c r="B10" s="464" t="s">
        <v>11213</v>
      </c>
      <c r="C10" s="470">
        <v>7.5</v>
      </c>
      <c r="D10" s="470">
        <v>10</v>
      </c>
      <c r="E10" s="470">
        <v>15</v>
      </c>
      <c r="F10" s="470">
        <v>2900</v>
      </c>
      <c r="G10" s="470">
        <v>86.2</v>
      </c>
      <c r="H10" s="470">
        <v>0.88</v>
      </c>
      <c r="I10" s="476">
        <v>74</v>
      </c>
      <c r="J10" s="204">
        <f t="shared" si="0"/>
        <v>24.698275862069</v>
      </c>
    </row>
    <row r="11" spans="1:11" ht="24.95" customHeight="1">
      <c r="A11" s="469">
        <v>9</v>
      </c>
      <c r="B11" s="464" t="s">
        <v>11214</v>
      </c>
      <c r="C11" s="470">
        <v>11</v>
      </c>
      <c r="D11" s="470">
        <v>15</v>
      </c>
      <c r="E11" s="470">
        <v>21.8</v>
      </c>
      <c r="F11" s="470">
        <v>2930</v>
      </c>
      <c r="G11" s="470">
        <v>87.2</v>
      </c>
      <c r="H11" s="470">
        <v>0.88</v>
      </c>
      <c r="I11" s="476">
        <v>116</v>
      </c>
      <c r="J11" s="204">
        <f t="shared" si="0"/>
        <v>35.853242320819099</v>
      </c>
    </row>
    <row r="12" spans="1:11" ht="24.95" customHeight="1">
      <c r="A12" s="469">
        <v>10</v>
      </c>
      <c r="B12" s="464" t="s">
        <v>11215</v>
      </c>
      <c r="C12" s="470">
        <v>15</v>
      </c>
      <c r="D12" s="470">
        <v>20</v>
      </c>
      <c r="E12" s="470">
        <v>29.3</v>
      </c>
      <c r="F12" s="470">
        <v>2930</v>
      </c>
      <c r="G12" s="470">
        <v>88.2</v>
      </c>
      <c r="H12" s="470">
        <v>0.88</v>
      </c>
      <c r="I12" s="476">
        <v>132</v>
      </c>
      <c r="J12" s="204">
        <f t="shared" si="0"/>
        <v>48.890784982935202</v>
      </c>
    </row>
    <row r="13" spans="1:11" ht="24.95" customHeight="1">
      <c r="A13" s="469">
        <v>11</v>
      </c>
      <c r="B13" s="464" t="s">
        <v>11216</v>
      </c>
      <c r="C13" s="470">
        <v>18.5</v>
      </c>
      <c r="D13" s="470">
        <v>25</v>
      </c>
      <c r="E13" s="470">
        <v>35.5</v>
      </c>
      <c r="F13" s="470">
        <v>2930</v>
      </c>
      <c r="G13" s="470">
        <v>89</v>
      </c>
      <c r="H13" s="470">
        <v>0.89</v>
      </c>
      <c r="I13" s="476">
        <v>151</v>
      </c>
      <c r="J13" s="204">
        <f t="shared" si="0"/>
        <v>60.2986348122867</v>
      </c>
    </row>
    <row r="14" spans="1:11" ht="24.95" customHeight="1">
      <c r="A14" s="469">
        <v>12</v>
      </c>
      <c r="B14" s="464" t="s">
        <v>11217</v>
      </c>
      <c r="C14" s="470">
        <v>22</v>
      </c>
      <c r="D14" s="470">
        <v>30</v>
      </c>
      <c r="E14" s="470">
        <v>42.2</v>
      </c>
      <c r="F14" s="470">
        <v>2940</v>
      </c>
      <c r="G14" s="470">
        <v>89</v>
      </c>
      <c r="H14" s="470">
        <v>0.89</v>
      </c>
      <c r="I14" s="476">
        <v>172</v>
      </c>
      <c r="J14" s="204">
        <f t="shared" si="0"/>
        <v>71.4625850340136</v>
      </c>
    </row>
    <row r="15" spans="1:11" ht="24.95" customHeight="1">
      <c r="A15" s="469">
        <v>13</v>
      </c>
      <c r="B15" s="464" t="s">
        <v>11218</v>
      </c>
      <c r="C15" s="470">
        <v>30</v>
      </c>
      <c r="D15" s="470">
        <v>40</v>
      </c>
      <c r="E15" s="470">
        <v>56.9</v>
      </c>
      <c r="F15" s="470">
        <v>2950</v>
      </c>
      <c r="G15" s="470">
        <v>90</v>
      </c>
      <c r="H15" s="470">
        <v>0.89</v>
      </c>
      <c r="I15" s="476">
        <v>240</v>
      </c>
      <c r="J15" s="204">
        <f t="shared" si="0"/>
        <v>97.118644067796595</v>
      </c>
    </row>
    <row r="16" spans="1:11" ht="24.95" customHeight="1">
      <c r="A16" s="469">
        <v>14</v>
      </c>
      <c r="B16" s="464" t="s">
        <v>11219</v>
      </c>
      <c r="C16" s="470">
        <v>37</v>
      </c>
      <c r="D16" s="470">
        <v>50</v>
      </c>
      <c r="E16" s="470">
        <v>69.8</v>
      </c>
      <c r="F16" s="470">
        <v>2950</v>
      </c>
      <c r="G16" s="470">
        <v>90.5</v>
      </c>
      <c r="H16" s="470">
        <v>0.89</v>
      </c>
      <c r="I16" s="476">
        <v>260</v>
      </c>
      <c r="J16" s="204">
        <f t="shared" si="0"/>
        <v>119.77966101694901</v>
      </c>
    </row>
    <row r="17" spans="1:10" ht="24.95" customHeight="1">
      <c r="A17" s="469">
        <v>15</v>
      </c>
      <c r="B17" s="464" t="s">
        <v>11220</v>
      </c>
      <c r="C17" s="470">
        <v>45</v>
      </c>
      <c r="D17" s="470">
        <v>61</v>
      </c>
      <c r="E17" s="470">
        <v>84</v>
      </c>
      <c r="F17" s="470">
        <v>2970</v>
      </c>
      <c r="G17" s="470">
        <v>91.5</v>
      </c>
      <c r="H17" s="470">
        <v>0.89</v>
      </c>
      <c r="I17" s="476">
        <v>310</v>
      </c>
      <c r="J17" s="204">
        <f t="shared" si="0"/>
        <v>144.69696969697</v>
      </c>
    </row>
    <row r="18" spans="1:10" ht="24.95" customHeight="1">
      <c r="A18" s="469">
        <v>16</v>
      </c>
      <c r="B18" s="464" t="s">
        <v>11221</v>
      </c>
      <c r="C18" s="470">
        <v>55</v>
      </c>
      <c r="D18" s="470">
        <v>75</v>
      </c>
      <c r="E18" s="470">
        <v>102.6</v>
      </c>
      <c r="F18" s="470">
        <v>2970</v>
      </c>
      <c r="G18" s="470">
        <v>91.5</v>
      </c>
      <c r="H18" s="470">
        <v>0.89</v>
      </c>
      <c r="I18" s="476">
        <v>400</v>
      </c>
      <c r="J18" s="204">
        <f t="shared" si="0"/>
        <v>176.85185185185199</v>
      </c>
    </row>
    <row r="19" spans="1:10" ht="24.95" customHeight="1">
      <c r="A19" s="469">
        <v>17</v>
      </c>
      <c r="B19" s="464" t="s">
        <v>11222</v>
      </c>
      <c r="C19" s="470">
        <v>75</v>
      </c>
      <c r="D19" s="470">
        <v>102</v>
      </c>
      <c r="E19" s="470">
        <v>139.19999999999999</v>
      </c>
      <c r="F19" s="470">
        <v>2970</v>
      </c>
      <c r="G19" s="470">
        <v>92</v>
      </c>
      <c r="H19" s="470">
        <v>0.89</v>
      </c>
      <c r="I19" s="476">
        <v>544</v>
      </c>
      <c r="J19" s="204">
        <f t="shared" si="0"/>
        <v>241.161616161616</v>
      </c>
    </row>
    <row r="20" spans="1:10" ht="24.95" customHeight="1">
      <c r="A20" s="469">
        <v>18</v>
      </c>
      <c r="B20" s="464" t="s">
        <v>11223</v>
      </c>
      <c r="C20" s="470">
        <v>90</v>
      </c>
      <c r="D20" s="470">
        <v>122.5</v>
      </c>
      <c r="E20" s="470">
        <v>166.1</v>
      </c>
      <c r="F20" s="470">
        <v>2970</v>
      </c>
      <c r="G20" s="470">
        <v>92.5</v>
      </c>
      <c r="H20" s="470">
        <v>0.89</v>
      </c>
      <c r="I20" s="476">
        <v>620</v>
      </c>
      <c r="J20" s="204">
        <f t="shared" si="0"/>
        <v>289.39393939393898</v>
      </c>
    </row>
    <row r="21" spans="1:10" ht="24.95" customHeight="1">
      <c r="A21" s="469">
        <v>19</v>
      </c>
      <c r="B21" s="464" t="s">
        <v>11224</v>
      </c>
      <c r="C21" s="470">
        <v>110</v>
      </c>
      <c r="D21" s="470">
        <v>150</v>
      </c>
      <c r="E21" s="470">
        <v>2.2999999999999998</v>
      </c>
      <c r="F21" s="470">
        <v>2980</v>
      </c>
      <c r="G21" s="470">
        <v>92.5</v>
      </c>
      <c r="H21" s="470">
        <v>0.89</v>
      </c>
      <c r="I21" s="476">
        <v>980</v>
      </c>
      <c r="J21" s="204">
        <f t="shared" si="0"/>
        <v>352.51677852349002</v>
      </c>
    </row>
    <row r="22" spans="1:10" ht="24.95" customHeight="1">
      <c r="A22" s="469">
        <v>20</v>
      </c>
      <c r="B22" s="464" t="s">
        <v>11225</v>
      </c>
      <c r="C22" s="470">
        <v>132</v>
      </c>
      <c r="D22" s="470">
        <v>180</v>
      </c>
      <c r="E22" s="470">
        <v>242.3</v>
      </c>
      <c r="F22" s="470">
        <v>2980</v>
      </c>
      <c r="G22" s="470">
        <v>93</v>
      </c>
      <c r="H22" s="470">
        <v>0.89</v>
      </c>
      <c r="I22" s="476">
        <v>1080</v>
      </c>
      <c r="J22" s="204">
        <f t="shared" si="0"/>
        <v>423.020134228188</v>
      </c>
    </row>
    <row r="23" spans="1:10" ht="24.95" customHeight="1">
      <c r="A23" s="469">
        <v>21</v>
      </c>
      <c r="B23" s="464" t="s">
        <v>11226</v>
      </c>
      <c r="C23" s="470">
        <v>160</v>
      </c>
      <c r="D23" s="470">
        <v>218</v>
      </c>
      <c r="E23" s="470">
        <v>292</v>
      </c>
      <c r="F23" s="470">
        <v>2980</v>
      </c>
      <c r="G23" s="470">
        <v>93.5</v>
      </c>
      <c r="H23" s="470">
        <v>0.89</v>
      </c>
      <c r="I23" s="476">
        <v>1160</v>
      </c>
      <c r="J23" s="204">
        <f t="shared" si="0"/>
        <v>512.75167785234896</v>
      </c>
    </row>
    <row r="24" spans="1:10" ht="24.95" customHeight="1">
      <c r="A24" s="469">
        <v>22</v>
      </c>
      <c r="B24" s="464" t="s">
        <v>11227</v>
      </c>
      <c r="C24" s="470">
        <v>200</v>
      </c>
      <c r="D24" s="470">
        <v>272</v>
      </c>
      <c r="E24" s="470">
        <v>365.2</v>
      </c>
      <c r="F24" s="470">
        <v>2980</v>
      </c>
      <c r="G24" s="470">
        <v>93.5</v>
      </c>
      <c r="H24" s="470">
        <v>0.89</v>
      </c>
      <c r="I24" s="476">
        <v>1190</v>
      </c>
      <c r="J24" s="204">
        <f t="shared" si="0"/>
        <v>640.939597315436</v>
      </c>
    </row>
    <row r="25" spans="1:10" ht="24.95" customHeight="1">
      <c r="A25" s="469">
        <v>23</v>
      </c>
      <c r="B25" s="464" t="s">
        <v>11228</v>
      </c>
      <c r="C25" s="470">
        <v>220</v>
      </c>
      <c r="D25" s="470">
        <v>299</v>
      </c>
      <c r="E25" s="470">
        <v>396.7</v>
      </c>
      <c r="F25" s="470">
        <v>2981</v>
      </c>
      <c r="G25" s="470">
        <v>94.2</v>
      </c>
      <c r="H25" s="470">
        <v>0.89</v>
      </c>
      <c r="I25" s="476">
        <v>1750</v>
      </c>
      <c r="J25" s="204">
        <f t="shared" si="0"/>
        <v>704.79704797047998</v>
      </c>
    </row>
    <row r="26" spans="1:10" ht="24.95" customHeight="1">
      <c r="A26" s="469">
        <v>24</v>
      </c>
      <c r="B26" s="464" t="s">
        <v>11229</v>
      </c>
      <c r="C26" s="470">
        <v>250</v>
      </c>
      <c r="D26" s="470">
        <v>340</v>
      </c>
      <c r="E26" s="470">
        <v>446.6</v>
      </c>
      <c r="F26" s="470">
        <v>2981</v>
      </c>
      <c r="G26" s="470">
        <v>94.5</v>
      </c>
      <c r="H26" s="470">
        <v>0.9</v>
      </c>
      <c r="I26" s="476">
        <v>1770</v>
      </c>
      <c r="J26" s="204">
        <f t="shared" si="0"/>
        <v>800.90573633009103</v>
      </c>
    </row>
    <row r="27" spans="1:10" ht="24.95" customHeight="1">
      <c r="A27" s="469">
        <v>25</v>
      </c>
      <c r="B27" s="464" t="s">
        <v>11230</v>
      </c>
      <c r="C27" s="470">
        <v>280</v>
      </c>
      <c r="D27" s="470">
        <v>381</v>
      </c>
      <c r="E27" s="470">
        <v>499.2</v>
      </c>
      <c r="F27" s="470">
        <v>2981</v>
      </c>
      <c r="G27" s="470">
        <v>94.7</v>
      </c>
      <c r="H27" s="470">
        <v>0.9</v>
      </c>
      <c r="I27" s="476">
        <v>1830</v>
      </c>
      <c r="J27" s="204">
        <f t="shared" si="0"/>
        <v>897.01442468970095</v>
      </c>
    </row>
    <row r="28" spans="1:10" ht="24.95" customHeight="1">
      <c r="A28" s="471">
        <v>26</v>
      </c>
      <c r="B28" s="472" t="s">
        <v>11231</v>
      </c>
      <c r="C28" s="473">
        <v>315</v>
      </c>
      <c r="D28" s="473">
        <v>429</v>
      </c>
      <c r="E28" s="473">
        <v>559.79999999999995</v>
      </c>
      <c r="F28" s="473">
        <v>2981</v>
      </c>
      <c r="G28" s="473">
        <v>95</v>
      </c>
      <c r="H28" s="473">
        <v>0.9</v>
      </c>
      <c r="I28" s="477">
        <v>1900</v>
      </c>
      <c r="J28" s="204">
        <f t="shared" si="0"/>
        <v>1009.14122777591</v>
      </c>
    </row>
    <row r="29" spans="1:10" ht="24.95" customHeight="1">
      <c r="A29" s="466">
        <v>27</v>
      </c>
      <c r="B29" s="467" t="s">
        <v>11232</v>
      </c>
      <c r="C29" s="468">
        <v>0.55000000000000004</v>
      </c>
      <c r="D29" s="468">
        <v>0.75</v>
      </c>
      <c r="E29" s="468">
        <v>1.5</v>
      </c>
      <c r="F29" s="468">
        <v>1390</v>
      </c>
      <c r="G29" s="468">
        <v>73</v>
      </c>
      <c r="H29" s="468">
        <v>0.76</v>
      </c>
      <c r="I29" s="475">
        <v>17</v>
      </c>
      <c r="J29" s="204">
        <f t="shared" si="0"/>
        <v>3.77877697841727</v>
      </c>
    </row>
    <row r="30" spans="1:10" ht="24.95" customHeight="1">
      <c r="A30" s="469">
        <v>28</v>
      </c>
      <c r="B30" s="464" t="s">
        <v>11233</v>
      </c>
      <c r="C30" s="470">
        <v>0.75</v>
      </c>
      <c r="D30" s="470">
        <v>1</v>
      </c>
      <c r="E30" s="470">
        <v>2</v>
      </c>
      <c r="F30" s="470">
        <v>1390</v>
      </c>
      <c r="G30" s="470">
        <v>74.5</v>
      </c>
      <c r="H30" s="470">
        <v>0.76</v>
      </c>
      <c r="I30" s="476">
        <v>18</v>
      </c>
      <c r="J30" s="204">
        <f t="shared" si="0"/>
        <v>5.1528776978417303</v>
      </c>
    </row>
    <row r="31" spans="1:10" ht="24.95" customHeight="1">
      <c r="A31" s="469">
        <v>29</v>
      </c>
      <c r="B31" s="464" t="s">
        <v>11234</v>
      </c>
      <c r="C31" s="470">
        <v>1.1000000000000001</v>
      </c>
      <c r="D31" s="470">
        <v>1.5</v>
      </c>
      <c r="E31" s="470">
        <v>2.7</v>
      </c>
      <c r="F31" s="470">
        <v>1400</v>
      </c>
      <c r="G31" s="470">
        <v>78</v>
      </c>
      <c r="H31" s="470">
        <v>0.78</v>
      </c>
      <c r="I31" s="476">
        <v>23</v>
      </c>
      <c r="J31" s="204">
        <f t="shared" si="0"/>
        <v>7.5035714285714299</v>
      </c>
    </row>
    <row r="32" spans="1:10" ht="24.95" customHeight="1">
      <c r="A32" s="469">
        <v>30</v>
      </c>
      <c r="B32" s="464" t="s">
        <v>11235</v>
      </c>
      <c r="C32" s="470">
        <v>1.5</v>
      </c>
      <c r="D32" s="470">
        <v>2</v>
      </c>
      <c r="E32" s="470">
        <v>3.7</v>
      </c>
      <c r="F32" s="470">
        <v>1400</v>
      </c>
      <c r="G32" s="470">
        <v>79</v>
      </c>
      <c r="H32" s="470">
        <v>0.79</v>
      </c>
      <c r="I32" s="476">
        <v>27</v>
      </c>
      <c r="J32" s="204">
        <f t="shared" si="0"/>
        <v>10.2321428571429</v>
      </c>
    </row>
    <row r="33" spans="1:10" ht="24.95" customHeight="1">
      <c r="A33" s="469">
        <v>31</v>
      </c>
      <c r="B33" s="464" t="s">
        <v>11236</v>
      </c>
      <c r="C33" s="470">
        <v>2.2000000000000002</v>
      </c>
      <c r="D33" s="470">
        <v>3</v>
      </c>
      <c r="E33" s="470">
        <v>5</v>
      </c>
      <c r="F33" s="470">
        <v>1420</v>
      </c>
      <c r="G33" s="470">
        <v>81</v>
      </c>
      <c r="H33" s="470">
        <v>0.82</v>
      </c>
      <c r="I33" s="476">
        <v>36</v>
      </c>
      <c r="J33" s="204">
        <f t="shared" si="0"/>
        <v>14.795774647887299</v>
      </c>
    </row>
    <row r="34" spans="1:10" ht="24.95" customHeight="1">
      <c r="A34" s="469">
        <v>32</v>
      </c>
      <c r="B34" s="464" t="s">
        <v>11237</v>
      </c>
      <c r="C34" s="470">
        <v>3</v>
      </c>
      <c r="D34" s="470">
        <v>4</v>
      </c>
      <c r="E34" s="470">
        <v>6.8</v>
      </c>
      <c r="F34" s="470">
        <v>1420</v>
      </c>
      <c r="G34" s="470">
        <v>82.5</v>
      </c>
      <c r="H34" s="470">
        <v>0.81</v>
      </c>
      <c r="I34" s="476">
        <v>40</v>
      </c>
      <c r="J34" s="204">
        <f t="shared" si="0"/>
        <v>20.1760563380282</v>
      </c>
    </row>
    <row r="35" spans="1:10" ht="24.95" customHeight="1">
      <c r="A35" s="469">
        <v>33</v>
      </c>
      <c r="B35" s="464" t="s">
        <v>11238</v>
      </c>
      <c r="C35" s="470">
        <v>4</v>
      </c>
      <c r="D35" s="470">
        <v>5.5</v>
      </c>
      <c r="E35" s="470">
        <v>8.8000000000000007</v>
      </c>
      <c r="F35" s="470">
        <v>1440</v>
      </c>
      <c r="G35" s="470">
        <v>84.5</v>
      </c>
      <c r="H35" s="470">
        <v>0.82</v>
      </c>
      <c r="I35" s="476">
        <v>50</v>
      </c>
      <c r="J35" s="204">
        <f t="shared" si="0"/>
        <v>26.5277777777778</v>
      </c>
    </row>
    <row r="36" spans="1:10" ht="24.95" customHeight="1">
      <c r="A36" s="469">
        <v>34</v>
      </c>
      <c r="B36" s="464" t="s">
        <v>11239</v>
      </c>
      <c r="C36" s="470">
        <v>5.5</v>
      </c>
      <c r="D36" s="470">
        <v>7.5</v>
      </c>
      <c r="E36" s="470">
        <v>11.6</v>
      </c>
      <c r="F36" s="470">
        <v>1440</v>
      </c>
      <c r="G36" s="470">
        <v>85.5</v>
      </c>
      <c r="H36" s="470">
        <v>0.84</v>
      </c>
      <c r="I36" s="476">
        <v>70</v>
      </c>
      <c r="J36" s="204">
        <f t="shared" si="0"/>
        <v>36.4756944444444</v>
      </c>
    </row>
    <row r="37" spans="1:10" ht="24.95" customHeight="1">
      <c r="A37" s="469">
        <v>35</v>
      </c>
      <c r="B37" s="464" t="s">
        <v>11240</v>
      </c>
      <c r="C37" s="470">
        <v>7.5</v>
      </c>
      <c r="D37" s="470">
        <v>10</v>
      </c>
      <c r="E37" s="470">
        <v>15.4</v>
      </c>
      <c r="F37" s="470">
        <v>1440</v>
      </c>
      <c r="G37" s="470">
        <v>87</v>
      </c>
      <c r="H37" s="470">
        <v>0.85</v>
      </c>
      <c r="I37" s="476">
        <v>86</v>
      </c>
      <c r="J37" s="204">
        <f t="shared" si="0"/>
        <v>49.7395833333333</v>
      </c>
    </row>
    <row r="38" spans="1:10" ht="24.95" customHeight="1">
      <c r="A38" s="469">
        <v>36</v>
      </c>
      <c r="B38" s="464" t="s">
        <v>11241</v>
      </c>
      <c r="C38" s="470">
        <v>11</v>
      </c>
      <c r="D38" s="470">
        <v>15</v>
      </c>
      <c r="E38" s="470">
        <v>22.6</v>
      </c>
      <c r="F38" s="470">
        <v>1460</v>
      </c>
      <c r="G38" s="470">
        <v>88</v>
      </c>
      <c r="H38" s="470">
        <v>0.84</v>
      </c>
      <c r="I38" s="476">
        <v>126</v>
      </c>
      <c r="J38" s="204">
        <f t="shared" si="0"/>
        <v>71.952054794520507</v>
      </c>
    </row>
    <row r="39" spans="1:10" ht="24.95" customHeight="1">
      <c r="A39" s="469">
        <v>37</v>
      </c>
      <c r="B39" s="464" t="s">
        <v>11242</v>
      </c>
      <c r="C39" s="470">
        <v>15</v>
      </c>
      <c r="D39" s="470">
        <v>20</v>
      </c>
      <c r="E39" s="470">
        <v>30.3</v>
      </c>
      <c r="F39" s="470">
        <v>1460</v>
      </c>
      <c r="G39" s="470">
        <v>88.5</v>
      </c>
      <c r="H39" s="470">
        <v>0.85</v>
      </c>
      <c r="I39" s="476">
        <v>146</v>
      </c>
      <c r="J39" s="204">
        <f t="shared" si="0"/>
        <v>98.116438356164394</v>
      </c>
    </row>
    <row r="40" spans="1:10" ht="24.95" customHeight="1">
      <c r="A40" s="469">
        <v>38</v>
      </c>
      <c r="B40" s="464" t="s">
        <v>11243</v>
      </c>
      <c r="C40" s="470">
        <v>18.5</v>
      </c>
      <c r="D40" s="470">
        <v>25</v>
      </c>
      <c r="E40" s="470">
        <v>35.9</v>
      </c>
      <c r="F40" s="470">
        <v>1470</v>
      </c>
      <c r="G40" s="470">
        <v>91</v>
      </c>
      <c r="H40" s="470">
        <v>0.86</v>
      </c>
      <c r="I40" s="476">
        <v>172</v>
      </c>
      <c r="J40" s="204">
        <f t="shared" si="0"/>
        <v>120.187074829932</v>
      </c>
    </row>
    <row r="41" spans="1:10" ht="24.95" customHeight="1">
      <c r="A41" s="469">
        <v>39</v>
      </c>
      <c r="B41" s="464" t="s">
        <v>11244</v>
      </c>
      <c r="C41" s="470">
        <v>22</v>
      </c>
      <c r="D41" s="470">
        <v>30</v>
      </c>
      <c r="E41" s="470">
        <v>42.5</v>
      </c>
      <c r="F41" s="470">
        <v>1470</v>
      </c>
      <c r="G41" s="470">
        <v>91.5</v>
      </c>
      <c r="H41" s="470">
        <v>0.86</v>
      </c>
      <c r="I41" s="476">
        <v>196</v>
      </c>
      <c r="J41" s="204">
        <f t="shared" si="0"/>
        <v>142.925170068027</v>
      </c>
    </row>
    <row r="42" spans="1:10" ht="24.95" customHeight="1">
      <c r="A42" s="469">
        <v>40</v>
      </c>
      <c r="B42" s="464" t="s">
        <v>11245</v>
      </c>
      <c r="C42" s="470">
        <v>30</v>
      </c>
      <c r="D42" s="470">
        <v>40</v>
      </c>
      <c r="E42" s="470">
        <v>56.8</v>
      </c>
      <c r="F42" s="470">
        <v>1470</v>
      </c>
      <c r="G42" s="470">
        <v>92.2</v>
      </c>
      <c r="H42" s="470">
        <v>0.87</v>
      </c>
      <c r="I42" s="476">
        <v>270</v>
      </c>
      <c r="J42" s="204">
        <f t="shared" si="0"/>
        <v>194.89795918367301</v>
      </c>
    </row>
    <row r="43" spans="1:10" ht="24.95" customHeight="1">
      <c r="A43" s="469">
        <v>41</v>
      </c>
      <c r="B43" s="464" t="s">
        <v>11246</v>
      </c>
      <c r="C43" s="470">
        <v>37</v>
      </c>
      <c r="D43" s="470">
        <v>50</v>
      </c>
      <c r="E43" s="470">
        <v>70.400000000000006</v>
      </c>
      <c r="F43" s="470">
        <v>1480</v>
      </c>
      <c r="G43" s="470">
        <v>91.8</v>
      </c>
      <c r="H43" s="470">
        <v>0.87</v>
      </c>
      <c r="I43" s="476">
        <v>300</v>
      </c>
      <c r="J43" s="204">
        <f t="shared" si="0"/>
        <v>238.75</v>
      </c>
    </row>
    <row r="44" spans="1:10" ht="24.95" customHeight="1">
      <c r="A44" s="469">
        <v>42</v>
      </c>
      <c r="B44" s="464" t="s">
        <v>11247</v>
      </c>
      <c r="C44" s="470">
        <v>45</v>
      </c>
      <c r="D44" s="470">
        <v>61</v>
      </c>
      <c r="E44" s="470">
        <v>84.2</v>
      </c>
      <c r="F44" s="470">
        <v>1480</v>
      </c>
      <c r="G44" s="470">
        <v>92.3</v>
      </c>
      <c r="H44" s="470">
        <v>0.88</v>
      </c>
      <c r="I44" s="476">
        <v>320</v>
      </c>
      <c r="J44" s="204">
        <f t="shared" si="0"/>
        <v>290.37162162162201</v>
      </c>
    </row>
    <row r="45" spans="1:10" ht="24.95" customHeight="1">
      <c r="A45" s="469">
        <v>43</v>
      </c>
      <c r="B45" s="464" t="s">
        <v>11248</v>
      </c>
      <c r="C45" s="470">
        <v>55</v>
      </c>
      <c r="D45" s="470">
        <v>75</v>
      </c>
      <c r="E45" s="470">
        <v>102.6</v>
      </c>
      <c r="F45" s="470">
        <v>1480</v>
      </c>
      <c r="G45" s="470">
        <v>92.6</v>
      </c>
      <c r="H45" s="470">
        <v>0.88</v>
      </c>
      <c r="I45" s="476">
        <v>427</v>
      </c>
      <c r="J45" s="204">
        <f t="shared" si="0"/>
        <v>354.89864864864899</v>
      </c>
    </row>
    <row r="46" spans="1:10" ht="24.95" customHeight="1">
      <c r="A46" s="469">
        <v>44</v>
      </c>
      <c r="B46" s="464" t="s">
        <v>11249</v>
      </c>
      <c r="C46" s="470">
        <v>75</v>
      </c>
      <c r="D46" s="470">
        <v>102</v>
      </c>
      <c r="E46" s="470">
        <v>139.69999999999999</v>
      </c>
      <c r="F46" s="470">
        <v>1480</v>
      </c>
      <c r="G46" s="470">
        <v>92.7</v>
      </c>
      <c r="H46" s="470">
        <v>0.88</v>
      </c>
      <c r="I46" s="476">
        <v>562</v>
      </c>
      <c r="J46" s="204">
        <f t="shared" si="0"/>
        <v>483.95270270270299</v>
      </c>
    </row>
    <row r="47" spans="1:10" ht="24.95" customHeight="1">
      <c r="A47" s="469">
        <v>45</v>
      </c>
      <c r="B47" s="464" t="s">
        <v>11250</v>
      </c>
      <c r="C47" s="470">
        <v>90</v>
      </c>
      <c r="D47" s="470">
        <v>122.5</v>
      </c>
      <c r="E47" s="470">
        <v>164.3</v>
      </c>
      <c r="F47" s="470">
        <v>1480</v>
      </c>
      <c r="G47" s="470">
        <v>93.5</v>
      </c>
      <c r="H47" s="470">
        <v>0.89</v>
      </c>
      <c r="I47" s="476">
        <v>667</v>
      </c>
      <c r="J47" s="204">
        <f t="shared" si="0"/>
        <v>580.743243243243</v>
      </c>
    </row>
    <row r="48" spans="1:10" ht="24.95" customHeight="1">
      <c r="A48" s="469">
        <v>46</v>
      </c>
      <c r="B48" s="464" t="s">
        <v>11251</v>
      </c>
      <c r="C48" s="470">
        <v>110</v>
      </c>
      <c r="D48" s="470">
        <v>150</v>
      </c>
      <c r="E48" s="470">
        <v>201</v>
      </c>
      <c r="F48" s="470">
        <v>1480</v>
      </c>
      <c r="G48" s="470">
        <v>93.5</v>
      </c>
      <c r="H48" s="470">
        <v>0.89</v>
      </c>
      <c r="I48" s="476">
        <v>1000</v>
      </c>
      <c r="J48" s="204">
        <f t="shared" si="0"/>
        <v>709.79729729729695</v>
      </c>
    </row>
    <row r="49" spans="1:10" ht="24.95" customHeight="1">
      <c r="A49" s="469">
        <v>47</v>
      </c>
      <c r="B49" s="464" t="s">
        <v>11252</v>
      </c>
      <c r="C49" s="470">
        <v>132</v>
      </c>
      <c r="D49" s="470">
        <v>180</v>
      </c>
      <c r="E49" s="470">
        <v>240</v>
      </c>
      <c r="F49" s="470">
        <v>1490</v>
      </c>
      <c r="G49" s="470">
        <v>94</v>
      </c>
      <c r="H49" s="470">
        <v>0.89</v>
      </c>
      <c r="I49" s="476">
        <v>1100</v>
      </c>
      <c r="J49" s="204">
        <f t="shared" si="0"/>
        <v>846.040268456376</v>
      </c>
    </row>
    <row r="50" spans="1:10" ht="24.95" customHeight="1">
      <c r="A50" s="469">
        <v>48</v>
      </c>
      <c r="B50" s="464" t="s">
        <v>11253</v>
      </c>
      <c r="C50" s="470">
        <v>160</v>
      </c>
      <c r="D50" s="470">
        <v>218</v>
      </c>
      <c r="E50" s="470">
        <v>289</v>
      </c>
      <c r="F50" s="470">
        <v>1490</v>
      </c>
      <c r="G50" s="470">
        <v>94.5</v>
      </c>
      <c r="H50" s="470">
        <v>0.89</v>
      </c>
      <c r="I50" s="476">
        <v>1160</v>
      </c>
      <c r="J50" s="204">
        <f t="shared" si="0"/>
        <v>1025.5033557047</v>
      </c>
    </row>
    <row r="51" spans="1:10" ht="24.95" customHeight="1">
      <c r="A51" s="469">
        <v>49</v>
      </c>
      <c r="B51" s="464" t="s">
        <v>11254</v>
      </c>
      <c r="C51" s="470">
        <v>200</v>
      </c>
      <c r="D51" s="470">
        <v>272</v>
      </c>
      <c r="E51" s="470">
        <v>361</v>
      </c>
      <c r="F51" s="470">
        <v>1490</v>
      </c>
      <c r="G51" s="470">
        <v>94.5</v>
      </c>
      <c r="H51" s="470">
        <v>0.89</v>
      </c>
      <c r="I51" s="476">
        <v>1270</v>
      </c>
      <c r="J51" s="204">
        <f t="shared" si="0"/>
        <v>1281.87919463087</v>
      </c>
    </row>
    <row r="52" spans="1:10" ht="24.95" customHeight="1">
      <c r="A52" s="469">
        <v>50</v>
      </c>
      <c r="B52" s="464" t="s">
        <v>11255</v>
      </c>
      <c r="C52" s="470">
        <v>220</v>
      </c>
      <c r="D52" s="470">
        <v>299</v>
      </c>
      <c r="E52" s="470">
        <v>407</v>
      </c>
      <c r="F52" s="470">
        <v>1489</v>
      </c>
      <c r="G52" s="470">
        <v>94.4</v>
      </c>
      <c r="H52" s="470">
        <v>0.87</v>
      </c>
      <c r="I52" s="476">
        <v>1790</v>
      </c>
      <c r="J52" s="204">
        <f t="shared" si="0"/>
        <v>1411.0141034251201</v>
      </c>
    </row>
    <row r="53" spans="1:10" ht="24.95" customHeight="1">
      <c r="A53" s="469">
        <v>51</v>
      </c>
      <c r="B53" s="464" t="s">
        <v>11256</v>
      </c>
      <c r="C53" s="470">
        <v>250</v>
      </c>
      <c r="D53" s="470">
        <v>340</v>
      </c>
      <c r="E53" s="470">
        <v>461</v>
      </c>
      <c r="F53" s="470">
        <v>1489</v>
      </c>
      <c r="G53" s="470">
        <v>94.7</v>
      </c>
      <c r="H53" s="470">
        <v>0.87</v>
      </c>
      <c r="I53" s="476">
        <v>1800</v>
      </c>
      <c r="J53" s="204">
        <f t="shared" si="0"/>
        <v>1603.4251175285401</v>
      </c>
    </row>
    <row r="54" spans="1:10" ht="24.95" customHeight="1">
      <c r="A54" s="469">
        <v>52</v>
      </c>
      <c r="B54" s="464" t="s">
        <v>11257</v>
      </c>
      <c r="C54" s="470">
        <v>280</v>
      </c>
      <c r="D54" s="470">
        <v>381</v>
      </c>
      <c r="E54" s="470">
        <v>515.29999999999995</v>
      </c>
      <c r="F54" s="470">
        <v>1489</v>
      </c>
      <c r="G54" s="470">
        <v>94.9</v>
      </c>
      <c r="H54" s="470">
        <v>0.87</v>
      </c>
      <c r="I54" s="476">
        <v>1880</v>
      </c>
      <c r="J54" s="204">
        <f t="shared" si="0"/>
        <v>1795.8361316319699</v>
      </c>
    </row>
    <row r="55" spans="1:10" ht="24.95" customHeight="1">
      <c r="A55" s="469">
        <v>53</v>
      </c>
      <c r="B55" s="472" t="s">
        <v>11258</v>
      </c>
      <c r="C55" s="473">
        <v>315</v>
      </c>
      <c r="D55" s="473">
        <v>429</v>
      </c>
      <c r="E55" s="473">
        <v>577.9</v>
      </c>
      <c r="F55" s="473">
        <v>1489</v>
      </c>
      <c r="G55" s="473">
        <v>95.2</v>
      </c>
      <c r="H55" s="473">
        <v>0.87</v>
      </c>
      <c r="I55" s="477">
        <v>1940</v>
      </c>
      <c r="J55" s="204">
        <f t="shared" si="0"/>
        <v>2020.31564808596</v>
      </c>
    </row>
    <row r="56" spans="1:10" ht="24.95" customHeight="1">
      <c r="A56" s="469">
        <v>54</v>
      </c>
      <c r="B56" s="467" t="s">
        <v>11259</v>
      </c>
      <c r="C56" s="468">
        <v>0.75</v>
      </c>
      <c r="D56" s="468">
        <v>1</v>
      </c>
      <c r="E56" s="468">
        <v>2.2000000000000002</v>
      </c>
      <c r="F56" s="468">
        <v>910</v>
      </c>
      <c r="G56" s="468">
        <v>72.5</v>
      </c>
      <c r="H56" s="468">
        <v>0.7</v>
      </c>
      <c r="I56" s="475">
        <v>23</v>
      </c>
      <c r="J56" s="204">
        <f t="shared" si="0"/>
        <v>7.8708791208791196</v>
      </c>
    </row>
    <row r="57" spans="1:10" ht="24.95" customHeight="1">
      <c r="A57" s="469">
        <v>55</v>
      </c>
      <c r="B57" s="464" t="s">
        <v>11260</v>
      </c>
      <c r="C57" s="470">
        <v>1.1000000000000001</v>
      </c>
      <c r="D57" s="470">
        <v>1.5</v>
      </c>
      <c r="E57" s="470">
        <v>3.2</v>
      </c>
      <c r="F57" s="470">
        <v>910</v>
      </c>
      <c r="G57" s="470">
        <v>73.5</v>
      </c>
      <c r="H57" s="470">
        <v>0.72</v>
      </c>
      <c r="I57" s="476">
        <v>27</v>
      </c>
      <c r="J57" s="204">
        <f t="shared" si="0"/>
        <v>11.543956043955999</v>
      </c>
    </row>
    <row r="58" spans="1:10" ht="24.95" customHeight="1">
      <c r="A58" s="469">
        <v>56</v>
      </c>
      <c r="B58" s="464" t="s">
        <v>11261</v>
      </c>
      <c r="C58" s="470">
        <v>1.5</v>
      </c>
      <c r="D58" s="470">
        <v>2</v>
      </c>
      <c r="E58" s="470">
        <v>4</v>
      </c>
      <c r="F58" s="470">
        <v>940</v>
      </c>
      <c r="G58" s="470">
        <v>77.5</v>
      </c>
      <c r="H58" s="470">
        <v>0.74</v>
      </c>
      <c r="I58" s="476">
        <v>36</v>
      </c>
      <c r="J58" s="204">
        <f t="shared" si="0"/>
        <v>15.239361702127701</v>
      </c>
    </row>
    <row r="59" spans="1:10" ht="24.95" customHeight="1">
      <c r="A59" s="469">
        <v>57</v>
      </c>
      <c r="B59" s="464" t="s">
        <v>11262</v>
      </c>
      <c r="C59" s="470">
        <v>2.2000000000000002</v>
      </c>
      <c r="D59" s="470">
        <v>3</v>
      </c>
      <c r="E59" s="470">
        <v>5.6</v>
      </c>
      <c r="F59" s="470">
        <v>940</v>
      </c>
      <c r="G59" s="470">
        <v>80.5</v>
      </c>
      <c r="H59" s="470">
        <v>0.74</v>
      </c>
      <c r="I59" s="476">
        <v>46</v>
      </c>
      <c r="J59" s="204">
        <f t="shared" si="0"/>
        <v>22.351063829787201</v>
      </c>
    </row>
    <row r="60" spans="1:10" ht="24.95" customHeight="1">
      <c r="A60" s="469">
        <v>58</v>
      </c>
      <c r="B60" s="464" t="s">
        <v>11263</v>
      </c>
      <c r="C60" s="470">
        <v>3</v>
      </c>
      <c r="D60" s="470">
        <v>4</v>
      </c>
      <c r="E60" s="470">
        <v>7.2</v>
      </c>
      <c r="F60" s="470">
        <v>960</v>
      </c>
      <c r="G60" s="470">
        <v>83</v>
      </c>
      <c r="H60" s="470">
        <v>0.76</v>
      </c>
      <c r="I60" s="476">
        <v>67</v>
      </c>
      <c r="J60" s="204">
        <f t="shared" si="0"/>
        <v>29.84375</v>
      </c>
    </row>
    <row r="61" spans="1:10" ht="24.95" customHeight="1">
      <c r="A61" s="469">
        <v>59</v>
      </c>
      <c r="B61" s="464" t="s">
        <v>11264</v>
      </c>
      <c r="C61" s="470">
        <v>4</v>
      </c>
      <c r="D61" s="470">
        <v>5.5</v>
      </c>
      <c r="E61" s="470">
        <v>9.4</v>
      </c>
      <c r="F61" s="470">
        <v>960</v>
      </c>
      <c r="G61" s="470">
        <v>84</v>
      </c>
      <c r="H61" s="470">
        <v>0.77</v>
      </c>
      <c r="I61" s="476">
        <v>77</v>
      </c>
      <c r="J61" s="204">
        <f t="shared" si="0"/>
        <v>39.7916666666667</v>
      </c>
    </row>
    <row r="62" spans="1:10" ht="24.95" customHeight="1">
      <c r="A62" s="469">
        <v>60</v>
      </c>
      <c r="B62" s="464" t="s">
        <v>11265</v>
      </c>
      <c r="C62" s="470">
        <v>5.5</v>
      </c>
      <c r="D62" s="470">
        <v>7.5</v>
      </c>
      <c r="E62" s="470">
        <v>12.6</v>
      </c>
      <c r="F62" s="470">
        <v>960</v>
      </c>
      <c r="G62" s="470">
        <v>85.3</v>
      </c>
      <c r="H62" s="470">
        <v>0.78</v>
      </c>
      <c r="I62" s="476">
        <v>87</v>
      </c>
      <c r="J62" s="204">
        <f t="shared" si="0"/>
        <v>54.7135416666667</v>
      </c>
    </row>
    <row r="63" spans="1:10" ht="24.95" customHeight="1">
      <c r="A63" s="469">
        <v>61</v>
      </c>
      <c r="B63" s="464" t="s">
        <v>11266</v>
      </c>
      <c r="C63" s="470">
        <v>7.5</v>
      </c>
      <c r="D63" s="470">
        <v>10</v>
      </c>
      <c r="E63" s="470">
        <v>17</v>
      </c>
      <c r="F63" s="470">
        <v>970</v>
      </c>
      <c r="G63" s="470">
        <v>86</v>
      </c>
      <c r="H63" s="470">
        <v>0.78</v>
      </c>
      <c r="I63" s="476">
        <v>120</v>
      </c>
      <c r="J63" s="204">
        <f t="shared" si="0"/>
        <v>73.840206185566998</v>
      </c>
    </row>
    <row r="64" spans="1:10" ht="24.95" customHeight="1">
      <c r="A64" s="469">
        <v>62</v>
      </c>
      <c r="B64" s="464" t="s">
        <v>11267</v>
      </c>
      <c r="C64" s="470">
        <v>11</v>
      </c>
      <c r="D64" s="470">
        <v>15</v>
      </c>
      <c r="E64" s="470">
        <v>24.6</v>
      </c>
      <c r="F64" s="470">
        <v>970</v>
      </c>
      <c r="G64" s="470">
        <v>87</v>
      </c>
      <c r="H64" s="470">
        <v>0.78</v>
      </c>
      <c r="I64" s="476">
        <v>146</v>
      </c>
      <c r="J64" s="204">
        <f t="shared" si="0"/>
        <v>108.29896907216499</v>
      </c>
    </row>
    <row r="65" spans="1:10" ht="24.95" customHeight="1">
      <c r="A65" s="469">
        <v>63</v>
      </c>
      <c r="B65" s="464" t="s">
        <v>11268</v>
      </c>
      <c r="C65" s="470">
        <v>15</v>
      </c>
      <c r="D65" s="470">
        <v>20</v>
      </c>
      <c r="E65" s="470">
        <v>31.4</v>
      </c>
      <c r="F65" s="470">
        <v>970</v>
      </c>
      <c r="G65" s="470">
        <v>89.5</v>
      </c>
      <c r="H65" s="470">
        <v>0.81</v>
      </c>
      <c r="I65" s="476">
        <v>183</v>
      </c>
      <c r="J65" s="204">
        <f t="shared" si="0"/>
        <v>147.680412371134</v>
      </c>
    </row>
    <row r="66" spans="1:10" ht="24.95" customHeight="1">
      <c r="A66" s="469">
        <v>64</v>
      </c>
      <c r="B66" s="464" t="s">
        <v>11269</v>
      </c>
      <c r="C66" s="470">
        <v>18.5</v>
      </c>
      <c r="D66" s="470">
        <v>25</v>
      </c>
      <c r="E66" s="470">
        <v>37.700000000000003</v>
      </c>
      <c r="F66" s="470">
        <v>970</v>
      </c>
      <c r="G66" s="470">
        <v>89.8</v>
      </c>
      <c r="H66" s="470">
        <v>0.83</v>
      </c>
      <c r="I66" s="476">
        <v>220</v>
      </c>
      <c r="J66" s="204">
        <f t="shared" si="0"/>
        <v>182.13917525773201</v>
      </c>
    </row>
    <row r="67" spans="1:10" ht="24.95" customHeight="1">
      <c r="A67" s="469">
        <v>65</v>
      </c>
      <c r="B67" s="464" t="s">
        <v>11270</v>
      </c>
      <c r="C67" s="470">
        <v>22</v>
      </c>
      <c r="D67" s="470">
        <v>30</v>
      </c>
      <c r="E67" s="470">
        <v>44.6</v>
      </c>
      <c r="F67" s="470">
        <v>970</v>
      </c>
      <c r="G67" s="470">
        <v>90.2</v>
      </c>
      <c r="H67" s="470">
        <v>0.83</v>
      </c>
      <c r="I67" s="476">
        <v>250</v>
      </c>
      <c r="J67" s="204">
        <f t="shared" ref="J67:J103" si="1">9550*C67/F67</f>
        <v>216.59793814432999</v>
      </c>
    </row>
    <row r="68" spans="1:10" ht="24.95" customHeight="1">
      <c r="A68" s="469">
        <v>66</v>
      </c>
      <c r="B68" s="464" t="s">
        <v>11271</v>
      </c>
      <c r="C68" s="470">
        <v>30</v>
      </c>
      <c r="D68" s="470">
        <v>40</v>
      </c>
      <c r="E68" s="470">
        <v>59.5</v>
      </c>
      <c r="F68" s="470">
        <v>980</v>
      </c>
      <c r="G68" s="470">
        <v>90.2</v>
      </c>
      <c r="H68" s="470">
        <v>0.85</v>
      </c>
      <c r="I68" s="476">
        <v>300</v>
      </c>
      <c r="J68" s="204">
        <f t="shared" si="1"/>
        <v>292.34693877551001</v>
      </c>
    </row>
    <row r="69" spans="1:10" ht="24.95" customHeight="1">
      <c r="A69" s="469">
        <v>67</v>
      </c>
      <c r="B69" s="464" t="s">
        <v>11272</v>
      </c>
      <c r="C69" s="470">
        <v>37</v>
      </c>
      <c r="D69" s="470">
        <v>50</v>
      </c>
      <c r="E69" s="470">
        <v>72</v>
      </c>
      <c r="F69" s="470">
        <v>980</v>
      </c>
      <c r="G69" s="470">
        <v>90.8</v>
      </c>
      <c r="H69" s="470">
        <v>0.86</v>
      </c>
      <c r="I69" s="476">
        <v>410</v>
      </c>
      <c r="J69" s="204">
        <f t="shared" si="1"/>
        <v>360.56122448979602</v>
      </c>
    </row>
    <row r="70" spans="1:10" ht="24.95" customHeight="1">
      <c r="A70" s="469">
        <v>68</v>
      </c>
      <c r="B70" s="464" t="s">
        <v>11273</v>
      </c>
      <c r="C70" s="470">
        <v>45</v>
      </c>
      <c r="D70" s="470">
        <v>61</v>
      </c>
      <c r="E70" s="470">
        <v>85.4</v>
      </c>
      <c r="F70" s="470">
        <v>980</v>
      </c>
      <c r="G70" s="470">
        <v>92</v>
      </c>
      <c r="H70" s="470">
        <v>0.87</v>
      </c>
      <c r="I70" s="476">
        <v>536</v>
      </c>
      <c r="J70" s="204">
        <f t="shared" si="1"/>
        <v>438.52040816326502</v>
      </c>
    </row>
    <row r="71" spans="1:10" ht="24.95" customHeight="1">
      <c r="A71" s="469">
        <v>69</v>
      </c>
      <c r="B71" s="464" t="s">
        <v>11274</v>
      </c>
      <c r="C71" s="470">
        <v>55</v>
      </c>
      <c r="D71" s="470">
        <v>75</v>
      </c>
      <c r="E71" s="470">
        <v>104.4</v>
      </c>
      <c r="F71" s="470">
        <v>980</v>
      </c>
      <c r="G71" s="470">
        <v>92</v>
      </c>
      <c r="H71" s="470">
        <v>0.87</v>
      </c>
      <c r="I71" s="476">
        <v>595</v>
      </c>
      <c r="J71" s="204">
        <f t="shared" si="1"/>
        <v>535.96938775510205</v>
      </c>
    </row>
    <row r="72" spans="1:10" ht="24.95" customHeight="1">
      <c r="A72" s="469">
        <v>70</v>
      </c>
      <c r="B72" s="464" t="s">
        <v>11275</v>
      </c>
      <c r="C72" s="470">
        <v>75</v>
      </c>
      <c r="D72" s="470">
        <v>102</v>
      </c>
      <c r="E72" s="470">
        <v>141</v>
      </c>
      <c r="F72" s="470">
        <v>990</v>
      </c>
      <c r="G72" s="470">
        <v>92.8</v>
      </c>
      <c r="H72" s="470">
        <v>0.87</v>
      </c>
      <c r="I72" s="476">
        <v>1000</v>
      </c>
      <c r="J72" s="204">
        <f t="shared" si="1"/>
        <v>723.48484848484895</v>
      </c>
    </row>
    <row r="73" spans="1:10" ht="24.95" customHeight="1">
      <c r="A73" s="469">
        <v>71</v>
      </c>
      <c r="B73" s="464" t="s">
        <v>11276</v>
      </c>
      <c r="C73" s="470">
        <v>90</v>
      </c>
      <c r="D73" s="470">
        <v>122.5</v>
      </c>
      <c r="E73" s="470">
        <v>168.6</v>
      </c>
      <c r="F73" s="470">
        <v>990</v>
      </c>
      <c r="G73" s="470">
        <v>93.2</v>
      </c>
      <c r="H73" s="470">
        <v>0.87</v>
      </c>
      <c r="I73" s="476">
        <v>1080</v>
      </c>
      <c r="J73" s="204">
        <f t="shared" si="1"/>
        <v>868.18181818181802</v>
      </c>
    </row>
    <row r="74" spans="1:10" ht="24.95" customHeight="1">
      <c r="A74" s="469">
        <v>72</v>
      </c>
      <c r="B74" s="464" t="s">
        <v>11277</v>
      </c>
      <c r="C74" s="470">
        <v>110</v>
      </c>
      <c r="D74" s="470">
        <v>150</v>
      </c>
      <c r="E74" s="470">
        <v>205.5</v>
      </c>
      <c r="F74" s="470">
        <v>990</v>
      </c>
      <c r="G74" s="470">
        <v>93.5</v>
      </c>
      <c r="H74" s="470">
        <v>0.87</v>
      </c>
      <c r="I74" s="476">
        <v>1150</v>
      </c>
      <c r="J74" s="204">
        <f t="shared" si="1"/>
        <v>1061.1111111111099</v>
      </c>
    </row>
    <row r="75" spans="1:10" ht="24.95" customHeight="1">
      <c r="A75" s="469">
        <v>73</v>
      </c>
      <c r="B75" s="464" t="s">
        <v>11278</v>
      </c>
      <c r="C75" s="470">
        <v>132</v>
      </c>
      <c r="D75" s="470">
        <v>180</v>
      </c>
      <c r="E75" s="470">
        <v>245.6</v>
      </c>
      <c r="F75" s="470">
        <v>990</v>
      </c>
      <c r="G75" s="470">
        <v>93.8</v>
      </c>
      <c r="H75" s="470">
        <v>0.87</v>
      </c>
      <c r="I75" s="476">
        <v>1210</v>
      </c>
      <c r="J75" s="204">
        <f t="shared" si="1"/>
        <v>1273.3333333333301</v>
      </c>
    </row>
    <row r="76" spans="1:10" ht="24.95" customHeight="1">
      <c r="A76" s="469">
        <v>74</v>
      </c>
      <c r="B76" s="464" t="s">
        <v>11279</v>
      </c>
      <c r="C76" s="470">
        <v>160</v>
      </c>
      <c r="D76" s="470">
        <v>218</v>
      </c>
      <c r="E76" s="470">
        <v>300.39999999999998</v>
      </c>
      <c r="F76" s="470">
        <v>990</v>
      </c>
      <c r="G76" s="470">
        <v>94.1</v>
      </c>
      <c r="H76" s="470">
        <v>0.86</v>
      </c>
      <c r="I76" s="476">
        <v>1590</v>
      </c>
      <c r="J76" s="204">
        <f t="shared" si="1"/>
        <v>1543.43434343434</v>
      </c>
    </row>
    <row r="77" spans="1:10" ht="24.95" customHeight="1">
      <c r="A77" s="469">
        <v>75</v>
      </c>
      <c r="B77" s="464" t="s">
        <v>11280</v>
      </c>
      <c r="C77" s="470">
        <v>185</v>
      </c>
      <c r="D77" s="470">
        <v>272</v>
      </c>
      <c r="E77" s="470">
        <v>346.6</v>
      </c>
      <c r="F77" s="470">
        <v>990</v>
      </c>
      <c r="G77" s="470">
        <v>94.3</v>
      </c>
      <c r="H77" s="470">
        <v>0.86</v>
      </c>
      <c r="I77" s="476">
        <v>1670</v>
      </c>
      <c r="J77" s="204">
        <f t="shared" si="1"/>
        <v>1784.59595959596</v>
      </c>
    </row>
    <row r="78" spans="1:10" ht="24.95" customHeight="1">
      <c r="A78" s="469">
        <v>76</v>
      </c>
      <c r="B78" s="464" t="s">
        <v>11281</v>
      </c>
      <c r="C78" s="470">
        <v>200</v>
      </c>
      <c r="D78" s="470">
        <v>299</v>
      </c>
      <c r="E78" s="470">
        <v>374.7</v>
      </c>
      <c r="F78" s="470">
        <v>990</v>
      </c>
      <c r="G78" s="470">
        <v>94.3</v>
      </c>
      <c r="H78" s="470">
        <v>0.86</v>
      </c>
      <c r="I78" s="476">
        <v>1750</v>
      </c>
      <c r="J78" s="204">
        <f t="shared" si="1"/>
        <v>1929.29292929293</v>
      </c>
    </row>
    <row r="79" spans="1:10" ht="24.95" customHeight="1">
      <c r="A79" s="469">
        <v>77</v>
      </c>
      <c r="B79" s="464" t="s">
        <v>11282</v>
      </c>
      <c r="C79" s="470">
        <v>220</v>
      </c>
      <c r="D79" s="470">
        <v>340</v>
      </c>
      <c r="E79" s="470">
        <v>411.3</v>
      </c>
      <c r="F79" s="470">
        <v>991</v>
      </c>
      <c r="G79" s="470">
        <v>94.5</v>
      </c>
      <c r="H79" s="470">
        <v>0.86</v>
      </c>
      <c r="I79" s="476">
        <v>1870</v>
      </c>
      <c r="J79" s="204">
        <f t="shared" si="1"/>
        <v>2120.0807265388498</v>
      </c>
    </row>
    <row r="80" spans="1:10" ht="24.95" customHeight="1">
      <c r="A80" s="469">
        <v>78</v>
      </c>
      <c r="B80" s="472" t="s">
        <v>11283</v>
      </c>
      <c r="C80" s="473">
        <v>250</v>
      </c>
      <c r="D80" s="473">
        <v>381</v>
      </c>
      <c r="E80" s="473">
        <v>466.4</v>
      </c>
      <c r="F80" s="473">
        <v>991</v>
      </c>
      <c r="G80" s="473">
        <v>94.7</v>
      </c>
      <c r="H80" s="473">
        <v>0.86</v>
      </c>
      <c r="I80" s="477">
        <v>1990</v>
      </c>
      <c r="J80" s="204">
        <f t="shared" si="1"/>
        <v>2409.18264379415</v>
      </c>
    </row>
    <row r="81" spans="1:10" ht="24.95" customHeight="1">
      <c r="A81" s="469">
        <v>79</v>
      </c>
      <c r="B81" s="467" t="s">
        <v>11284</v>
      </c>
      <c r="C81" s="468">
        <v>2.2000000000000002</v>
      </c>
      <c r="D81" s="468">
        <v>3</v>
      </c>
      <c r="E81" s="468">
        <v>5.6</v>
      </c>
      <c r="F81" s="468">
        <v>710</v>
      </c>
      <c r="G81" s="468">
        <v>80.5</v>
      </c>
      <c r="H81" s="468">
        <v>0.71</v>
      </c>
      <c r="I81" s="475">
        <v>65</v>
      </c>
      <c r="J81" s="204">
        <f t="shared" si="1"/>
        <v>29.591549295774598</v>
      </c>
    </row>
    <row r="82" spans="1:10" ht="24.95" customHeight="1">
      <c r="A82" s="469">
        <v>80</v>
      </c>
      <c r="B82" s="464" t="s">
        <v>11285</v>
      </c>
      <c r="C82" s="470">
        <v>3</v>
      </c>
      <c r="D82" s="470">
        <v>4</v>
      </c>
      <c r="E82" s="470">
        <v>7.7</v>
      </c>
      <c r="F82" s="470">
        <v>710</v>
      </c>
      <c r="G82" s="470">
        <v>82</v>
      </c>
      <c r="H82" s="470">
        <v>0.72</v>
      </c>
      <c r="I82" s="476">
        <v>76</v>
      </c>
      <c r="J82" s="204">
        <f t="shared" si="1"/>
        <v>40.352112676056301</v>
      </c>
    </row>
    <row r="83" spans="1:10" ht="24.95" customHeight="1">
      <c r="A83" s="469">
        <v>81</v>
      </c>
      <c r="B83" s="464" t="s">
        <v>11286</v>
      </c>
      <c r="C83" s="470">
        <v>4</v>
      </c>
      <c r="D83" s="470">
        <v>5.5</v>
      </c>
      <c r="E83" s="470">
        <v>9.9</v>
      </c>
      <c r="F83" s="470">
        <v>720</v>
      </c>
      <c r="G83" s="470">
        <v>84</v>
      </c>
      <c r="H83" s="470">
        <v>0.73</v>
      </c>
      <c r="I83" s="476">
        <v>110</v>
      </c>
      <c r="J83" s="204">
        <f t="shared" si="1"/>
        <v>53.0555555555556</v>
      </c>
    </row>
    <row r="84" spans="1:10" ht="24.95" customHeight="1">
      <c r="A84" s="469">
        <v>82</v>
      </c>
      <c r="B84" s="464" t="s">
        <v>11287</v>
      </c>
      <c r="C84" s="470">
        <v>5.5</v>
      </c>
      <c r="D84" s="470">
        <v>7.5</v>
      </c>
      <c r="E84" s="470">
        <v>13.3</v>
      </c>
      <c r="F84" s="470">
        <v>720</v>
      </c>
      <c r="G84" s="470">
        <v>85</v>
      </c>
      <c r="H84" s="470">
        <v>0.74</v>
      </c>
      <c r="I84" s="476">
        <v>110</v>
      </c>
      <c r="J84" s="204">
        <f t="shared" si="1"/>
        <v>72.9513888888889</v>
      </c>
    </row>
    <row r="85" spans="1:10" ht="24.95" customHeight="1">
      <c r="A85" s="469">
        <v>83</v>
      </c>
      <c r="B85" s="464" t="s">
        <v>11288</v>
      </c>
      <c r="C85" s="470">
        <v>7.5</v>
      </c>
      <c r="D85" s="470">
        <v>10</v>
      </c>
      <c r="E85" s="470">
        <v>17.100000000000001</v>
      </c>
      <c r="F85" s="470">
        <v>720</v>
      </c>
      <c r="G85" s="470">
        <v>86</v>
      </c>
      <c r="H85" s="470">
        <v>0.75</v>
      </c>
      <c r="I85" s="476">
        <v>140</v>
      </c>
      <c r="J85" s="204">
        <f t="shared" si="1"/>
        <v>99.4791666666667</v>
      </c>
    </row>
    <row r="86" spans="1:10" ht="24.95" customHeight="1">
      <c r="A86" s="469">
        <v>84</v>
      </c>
      <c r="B86" s="464" t="s">
        <v>11289</v>
      </c>
      <c r="C86" s="470">
        <v>11</v>
      </c>
      <c r="D86" s="470">
        <v>15</v>
      </c>
      <c r="E86" s="470">
        <v>24.8</v>
      </c>
      <c r="F86" s="470">
        <v>730</v>
      </c>
      <c r="G86" s="470">
        <v>87.5</v>
      </c>
      <c r="H86" s="470">
        <v>0.77</v>
      </c>
      <c r="I86" s="476">
        <v>185</v>
      </c>
      <c r="J86" s="204">
        <f t="shared" si="1"/>
        <v>143.90410958904101</v>
      </c>
    </row>
    <row r="87" spans="1:10" ht="24.95" customHeight="1">
      <c r="A87" s="469">
        <v>85</v>
      </c>
      <c r="B87" s="464" t="s">
        <v>11290</v>
      </c>
      <c r="C87" s="470">
        <v>15</v>
      </c>
      <c r="D87" s="470">
        <v>20</v>
      </c>
      <c r="E87" s="470">
        <v>34</v>
      </c>
      <c r="F87" s="470">
        <v>730</v>
      </c>
      <c r="G87" s="470">
        <v>88</v>
      </c>
      <c r="H87" s="470">
        <v>0.76</v>
      </c>
      <c r="I87" s="476">
        <v>235</v>
      </c>
      <c r="J87" s="204">
        <f t="shared" si="1"/>
        <v>196.23287671232899</v>
      </c>
    </row>
    <row r="88" spans="1:10" ht="24.95" customHeight="1">
      <c r="A88" s="469">
        <v>86</v>
      </c>
      <c r="B88" s="464" t="s">
        <v>11291</v>
      </c>
      <c r="C88" s="470">
        <v>18.5</v>
      </c>
      <c r="D88" s="470">
        <v>25</v>
      </c>
      <c r="E88" s="470">
        <v>41.3</v>
      </c>
      <c r="F88" s="470">
        <v>730</v>
      </c>
      <c r="G88" s="470">
        <v>89.5</v>
      </c>
      <c r="H88" s="470">
        <v>0.76</v>
      </c>
      <c r="I88" s="476">
        <v>276</v>
      </c>
      <c r="J88" s="204">
        <f t="shared" si="1"/>
        <v>242.02054794520501</v>
      </c>
    </row>
    <row r="89" spans="1:10" ht="24.95" customHeight="1">
      <c r="A89" s="469">
        <v>87</v>
      </c>
      <c r="B89" s="464" t="s">
        <v>11292</v>
      </c>
      <c r="C89" s="470">
        <v>22</v>
      </c>
      <c r="D89" s="470">
        <v>30</v>
      </c>
      <c r="E89" s="470">
        <v>47.6</v>
      </c>
      <c r="F89" s="470">
        <v>730</v>
      </c>
      <c r="G89" s="470">
        <v>90</v>
      </c>
      <c r="H89" s="470">
        <v>0.78</v>
      </c>
      <c r="I89" s="476">
        <v>303</v>
      </c>
      <c r="J89" s="204">
        <f t="shared" si="1"/>
        <v>287.80821917808203</v>
      </c>
    </row>
    <row r="90" spans="1:10" ht="24.95" customHeight="1">
      <c r="A90" s="469">
        <v>88</v>
      </c>
      <c r="B90" s="464" t="s">
        <v>11293</v>
      </c>
      <c r="C90" s="470">
        <v>30</v>
      </c>
      <c r="D90" s="470">
        <v>40</v>
      </c>
      <c r="E90" s="470">
        <v>63</v>
      </c>
      <c r="F90" s="470">
        <v>730</v>
      </c>
      <c r="G90" s="470">
        <v>90.5</v>
      </c>
      <c r="H90" s="470">
        <v>0.8</v>
      </c>
      <c r="I90" s="476">
        <v>402</v>
      </c>
      <c r="J90" s="204">
        <f t="shared" si="1"/>
        <v>392.46575342465798</v>
      </c>
    </row>
    <row r="91" spans="1:10" ht="24.95" customHeight="1">
      <c r="A91" s="469">
        <v>89</v>
      </c>
      <c r="B91" s="464" t="s">
        <v>11294</v>
      </c>
      <c r="C91" s="470">
        <v>37</v>
      </c>
      <c r="D91" s="470">
        <v>50</v>
      </c>
      <c r="E91" s="470">
        <v>78.2</v>
      </c>
      <c r="F91" s="470">
        <v>740</v>
      </c>
      <c r="G91" s="470">
        <v>91</v>
      </c>
      <c r="H91" s="470">
        <v>0.79</v>
      </c>
      <c r="I91" s="476">
        <v>520</v>
      </c>
      <c r="J91" s="204">
        <f t="shared" si="1"/>
        <v>477.5</v>
      </c>
    </row>
    <row r="92" spans="1:10" ht="24.95" customHeight="1">
      <c r="A92" s="469">
        <v>90</v>
      </c>
      <c r="B92" s="464" t="s">
        <v>11295</v>
      </c>
      <c r="C92" s="470">
        <v>45</v>
      </c>
      <c r="D92" s="470">
        <v>61</v>
      </c>
      <c r="E92" s="470">
        <v>93.2</v>
      </c>
      <c r="F92" s="470">
        <v>730</v>
      </c>
      <c r="G92" s="470">
        <v>91.7</v>
      </c>
      <c r="H92" s="470">
        <v>0.8</v>
      </c>
      <c r="I92" s="476">
        <v>592</v>
      </c>
      <c r="J92" s="204">
        <f t="shared" si="1"/>
        <v>588.69863013698603</v>
      </c>
    </row>
    <row r="93" spans="1:10" ht="24.95" customHeight="1">
      <c r="A93" s="469">
        <v>91</v>
      </c>
      <c r="B93" s="464" t="s">
        <v>11296</v>
      </c>
      <c r="C93" s="470">
        <v>55</v>
      </c>
      <c r="D93" s="470">
        <v>75</v>
      </c>
      <c r="E93" s="470">
        <v>113.5</v>
      </c>
      <c r="F93" s="470">
        <v>740</v>
      </c>
      <c r="G93" s="470">
        <v>92</v>
      </c>
      <c r="H93" s="470">
        <v>0.8</v>
      </c>
      <c r="I93" s="476">
        <v>1100</v>
      </c>
      <c r="J93" s="204">
        <f t="shared" si="1"/>
        <v>709.79729729729695</v>
      </c>
    </row>
    <row r="94" spans="1:10" ht="24.95" customHeight="1">
      <c r="A94" s="469">
        <v>92</v>
      </c>
      <c r="B94" s="464" t="s">
        <v>11297</v>
      </c>
      <c r="C94" s="470">
        <v>75</v>
      </c>
      <c r="D94" s="470">
        <v>102</v>
      </c>
      <c r="E94" s="470">
        <v>152</v>
      </c>
      <c r="F94" s="470">
        <v>740</v>
      </c>
      <c r="G94" s="470">
        <v>92.5</v>
      </c>
      <c r="H94" s="470">
        <v>0.81</v>
      </c>
      <c r="I94" s="476">
        <v>1160</v>
      </c>
      <c r="J94" s="204">
        <f t="shared" si="1"/>
        <v>967.90540540540496</v>
      </c>
    </row>
    <row r="95" spans="1:10" ht="24.95" customHeight="1">
      <c r="A95" s="469">
        <v>93</v>
      </c>
      <c r="B95" s="464" t="s">
        <v>11298</v>
      </c>
      <c r="C95" s="470">
        <v>90</v>
      </c>
      <c r="D95" s="470">
        <v>122.5</v>
      </c>
      <c r="E95" s="470">
        <v>179</v>
      </c>
      <c r="F95" s="470">
        <v>740</v>
      </c>
      <c r="G95" s="470">
        <v>93</v>
      </c>
      <c r="H95" s="470">
        <v>0.82</v>
      </c>
      <c r="I95" s="476">
        <v>1230</v>
      </c>
      <c r="J95" s="204">
        <f t="shared" si="1"/>
        <v>1161.4864864864901</v>
      </c>
    </row>
    <row r="96" spans="1:10" ht="24.95" customHeight="1">
      <c r="A96" s="469">
        <v>94</v>
      </c>
      <c r="B96" s="464" t="s">
        <v>11299</v>
      </c>
      <c r="C96" s="470">
        <v>110</v>
      </c>
      <c r="D96" s="470">
        <v>150</v>
      </c>
      <c r="E96" s="470">
        <v>218.5</v>
      </c>
      <c r="F96" s="470">
        <v>740</v>
      </c>
      <c r="G96" s="470">
        <v>93.3</v>
      </c>
      <c r="H96" s="470">
        <v>0.82</v>
      </c>
      <c r="I96" s="476">
        <v>1380</v>
      </c>
      <c r="J96" s="204">
        <f t="shared" si="1"/>
        <v>1419.59459459459</v>
      </c>
    </row>
    <row r="97" spans="1:10" ht="24.95" customHeight="1">
      <c r="A97" s="469">
        <v>95</v>
      </c>
      <c r="B97" s="464" t="s">
        <v>11300</v>
      </c>
      <c r="C97" s="470">
        <v>132</v>
      </c>
      <c r="D97" s="470">
        <v>180</v>
      </c>
      <c r="E97" s="470">
        <v>264</v>
      </c>
      <c r="F97" s="470">
        <v>742</v>
      </c>
      <c r="G97" s="470">
        <v>93.8</v>
      </c>
      <c r="H97" s="470">
        <v>0.81</v>
      </c>
      <c r="I97" s="476">
        <v>1660</v>
      </c>
      <c r="J97" s="204">
        <f t="shared" si="1"/>
        <v>1698.9218328841</v>
      </c>
    </row>
    <row r="98" spans="1:10" ht="24.95" customHeight="1">
      <c r="A98" s="469">
        <v>96</v>
      </c>
      <c r="B98" s="464" t="s">
        <v>11301</v>
      </c>
      <c r="C98" s="470">
        <v>160</v>
      </c>
      <c r="D98" s="470">
        <v>218</v>
      </c>
      <c r="E98" s="470">
        <v>319.3</v>
      </c>
      <c r="F98" s="470">
        <v>742</v>
      </c>
      <c r="G98" s="470">
        <v>94</v>
      </c>
      <c r="H98" s="470">
        <v>0.81</v>
      </c>
      <c r="I98" s="476">
        <v>1740</v>
      </c>
      <c r="J98" s="204">
        <f t="shared" si="1"/>
        <v>2059.29919137466</v>
      </c>
    </row>
    <row r="99" spans="1:10" ht="24.95" customHeight="1">
      <c r="A99" s="469">
        <v>97</v>
      </c>
      <c r="B99" s="464" t="s">
        <v>11302</v>
      </c>
      <c r="C99" s="470">
        <v>185</v>
      </c>
      <c r="D99" s="470">
        <v>272</v>
      </c>
      <c r="E99" s="470">
        <v>368.4</v>
      </c>
      <c r="F99" s="470">
        <v>742</v>
      </c>
      <c r="G99" s="470">
        <v>94.2</v>
      </c>
      <c r="H99" s="470">
        <v>0.81</v>
      </c>
      <c r="I99" s="476">
        <v>1880</v>
      </c>
      <c r="J99" s="204">
        <f t="shared" si="1"/>
        <v>2381.0646900269498</v>
      </c>
    </row>
    <row r="100" spans="1:10" ht="24.95" customHeight="1">
      <c r="A100" s="469">
        <v>98</v>
      </c>
      <c r="B100" s="472" t="s">
        <v>11303</v>
      </c>
      <c r="C100" s="473">
        <v>200</v>
      </c>
      <c r="D100" s="473">
        <v>299</v>
      </c>
      <c r="E100" s="473">
        <v>397.8</v>
      </c>
      <c r="F100" s="473">
        <v>742</v>
      </c>
      <c r="G100" s="473">
        <v>94.3</v>
      </c>
      <c r="H100" s="473">
        <v>0.81</v>
      </c>
      <c r="I100" s="477">
        <v>1980</v>
      </c>
      <c r="J100" s="204">
        <f t="shared" si="1"/>
        <v>2574.1239892183298</v>
      </c>
    </row>
    <row r="101" spans="1:10" ht="24.95" customHeight="1">
      <c r="A101" s="469">
        <v>99</v>
      </c>
      <c r="B101" s="467" t="s">
        <v>11304</v>
      </c>
      <c r="C101" s="468">
        <v>90</v>
      </c>
      <c r="D101" s="468">
        <v>122.5</v>
      </c>
      <c r="E101" s="478">
        <v>191</v>
      </c>
      <c r="F101" s="468">
        <v>592</v>
      </c>
      <c r="G101" s="468">
        <v>93</v>
      </c>
      <c r="H101" s="468">
        <v>0.77</v>
      </c>
      <c r="I101" s="475">
        <v>1590</v>
      </c>
      <c r="J101" s="204">
        <f t="shared" si="1"/>
        <v>1451.8581081081099</v>
      </c>
    </row>
    <row r="102" spans="1:10" ht="24.95" customHeight="1">
      <c r="A102" s="469">
        <v>100</v>
      </c>
      <c r="B102" s="464" t="s">
        <v>11305</v>
      </c>
      <c r="C102" s="470">
        <v>110</v>
      </c>
      <c r="D102" s="470">
        <v>150</v>
      </c>
      <c r="E102" s="470">
        <v>229.9</v>
      </c>
      <c r="F102" s="470">
        <v>592</v>
      </c>
      <c r="G102" s="470">
        <v>93.2</v>
      </c>
      <c r="H102" s="470">
        <v>0.78</v>
      </c>
      <c r="I102" s="476">
        <v>1720</v>
      </c>
      <c r="J102" s="204">
        <f t="shared" si="1"/>
        <v>1774.4932432432399</v>
      </c>
    </row>
    <row r="103" spans="1:10" ht="24.95" customHeight="1">
      <c r="A103" s="469">
        <v>101</v>
      </c>
      <c r="B103" s="472" t="s">
        <v>11306</v>
      </c>
      <c r="C103" s="473">
        <v>132</v>
      </c>
      <c r="D103" s="473">
        <v>180</v>
      </c>
      <c r="E103" s="473">
        <v>275</v>
      </c>
      <c r="F103" s="473">
        <v>592</v>
      </c>
      <c r="G103" s="473">
        <v>93.5</v>
      </c>
      <c r="H103" s="473">
        <v>0.78</v>
      </c>
      <c r="I103" s="477">
        <v>1890</v>
      </c>
      <c r="J103" s="204">
        <f t="shared" si="1"/>
        <v>2129.3918918918898</v>
      </c>
    </row>
    <row r="104" spans="1:10" ht="24.95" customHeight="1">
      <c r="E104" s="479"/>
    </row>
    <row r="105" spans="1:10" ht="24.95" customHeight="1">
      <c r="E105" s="131"/>
    </row>
    <row r="106" spans="1:10" ht="24.95" customHeight="1"/>
    <row r="107" spans="1:10" ht="24.95" customHeight="1"/>
    <row r="108" spans="1:10" ht="24.95" customHeight="1"/>
    <row r="109" spans="1:10" ht="24.95" customHeight="1"/>
    <row r="110" spans="1:10" ht="24.95" customHeight="1"/>
    <row r="111" spans="1:10" ht="24.95" customHeight="1"/>
    <row r="112" spans="1:10" ht="24.95" customHeight="1"/>
    <row r="113" ht="24.95" customHeight="1"/>
    <row r="114" ht="24.95" customHeight="1"/>
    <row r="115" ht="24.95" customHeight="1"/>
    <row r="116" ht="24.95" customHeight="1"/>
    <row r="117" ht="24.95" customHeight="1"/>
    <row r="118" ht="24.95" customHeight="1"/>
    <row r="119" ht="24.95" customHeight="1"/>
    <row r="120" ht="24.95" customHeight="1"/>
    <row r="121" ht="24.95" customHeight="1"/>
    <row r="122" ht="24.95" customHeight="1"/>
    <row r="123" ht="24.95" customHeight="1"/>
    <row r="124" ht="24.95" customHeight="1"/>
    <row r="125" ht="24.95" customHeight="1"/>
    <row r="126" ht="24.95" customHeight="1"/>
    <row r="127" ht="24.95" customHeight="1"/>
    <row r="128" ht="24.95" customHeight="1"/>
    <row r="129" ht="24.95" customHeight="1"/>
    <row r="130" ht="24.95" customHeight="1"/>
    <row r="131" ht="24.95" customHeight="1"/>
    <row r="132" ht="24.95" customHeight="1"/>
    <row r="133" ht="24.95" customHeight="1"/>
    <row r="134" ht="24.95" customHeight="1"/>
    <row r="135" ht="24.95" customHeight="1"/>
    <row r="136" ht="24.95" customHeight="1"/>
    <row r="137" ht="24.95" customHeight="1"/>
    <row r="138" ht="24.95" customHeight="1"/>
    <row r="139" ht="24.95" customHeight="1"/>
    <row r="140" ht="24.95" customHeight="1"/>
    <row r="141" ht="24.95" customHeight="1"/>
    <row r="142" ht="24.95" customHeight="1"/>
    <row r="143" ht="24.95" customHeight="1"/>
    <row r="144" ht="24.95" customHeight="1"/>
    <row r="145" ht="24.95" customHeight="1"/>
    <row r="146" ht="24.95" customHeight="1"/>
    <row r="147" ht="24.95" customHeight="1"/>
    <row r="148" ht="24.95" customHeight="1"/>
    <row r="149" ht="24.95" customHeight="1"/>
    <row r="150" ht="24.95" customHeight="1"/>
    <row r="151" ht="24.95" customHeight="1"/>
    <row r="152" ht="24.95" customHeight="1"/>
    <row r="153" ht="24.95" customHeight="1"/>
    <row r="154" ht="24.95" customHeight="1"/>
    <row r="155" ht="24.95" customHeight="1"/>
    <row r="156" ht="24.95" customHeight="1"/>
    <row r="157" ht="24.95" customHeight="1"/>
    <row r="158" ht="24.95" customHeight="1"/>
    <row r="159" ht="24.95" customHeight="1"/>
    <row r="160" ht="24.95" customHeight="1"/>
    <row r="161" ht="24.95" customHeight="1"/>
    <row r="162" ht="24.95" customHeight="1"/>
    <row r="163" ht="24.95" customHeight="1"/>
    <row r="164" ht="24.95" customHeight="1"/>
    <row r="165" ht="24.95" customHeight="1"/>
    <row r="166" ht="24.95" customHeight="1"/>
    <row r="167" ht="24.95" customHeight="1"/>
    <row r="168" ht="24.95" customHeight="1"/>
    <row r="169" ht="24.95" customHeight="1"/>
    <row r="170" ht="24.95" customHeight="1"/>
    <row r="171" ht="24.95" customHeight="1"/>
    <row r="172" ht="24.95" customHeight="1"/>
    <row r="173" ht="24.95" customHeight="1"/>
    <row r="174" ht="24.95" customHeight="1"/>
    <row r="175" ht="24.95" customHeight="1"/>
    <row r="176" ht="24.95" customHeight="1"/>
    <row r="177" ht="24.95" customHeight="1"/>
    <row r="178" ht="24.95" customHeight="1"/>
    <row r="179" ht="24.95" customHeight="1"/>
    <row r="180" ht="24.95" customHeight="1"/>
    <row r="181" ht="24.95" customHeight="1"/>
    <row r="182" ht="24.95" customHeight="1"/>
    <row r="183" ht="24.95" customHeight="1"/>
    <row r="184" ht="24.95" customHeight="1"/>
    <row r="185" ht="24.95" customHeight="1"/>
    <row r="186" ht="24.95" customHeight="1"/>
    <row r="187" ht="24.95" customHeight="1"/>
    <row r="188" ht="24.95" customHeight="1"/>
    <row r="189" ht="24.95" customHeight="1"/>
    <row r="190" ht="24.95" customHeight="1"/>
    <row r="191" ht="24.95" customHeight="1"/>
    <row r="192" ht="24.95" customHeight="1"/>
    <row r="193" ht="24.95" customHeight="1"/>
    <row r="194" ht="24.95" customHeight="1"/>
    <row r="195" ht="24.95" customHeight="1"/>
    <row r="196" ht="24.95" customHeight="1"/>
    <row r="197" ht="24.95" customHeight="1"/>
    <row r="198" ht="24.95" customHeight="1"/>
    <row r="199" ht="24.95" customHeight="1"/>
    <row r="200" ht="24.95" customHeight="1"/>
    <row r="201" ht="24.95" customHeight="1"/>
    <row r="202" ht="24.95" customHeight="1"/>
    <row r="203" ht="24.95" customHeight="1"/>
    <row r="204" ht="24.95" customHeight="1"/>
    <row r="205" ht="24.95" customHeight="1"/>
    <row r="206" ht="24.95" customHeight="1"/>
    <row r="207" ht="24.95" customHeight="1"/>
    <row r="208" ht="24.95" customHeight="1"/>
    <row r="209" ht="24.95" customHeight="1"/>
    <row r="210" ht="24.95" customHeight="1"/>
    <row r="211" ht="24.95" customHeight="1"/>
    <row r="212" ht="24.95" customHeight="1"/>
    <row r="213" ht="24.95" customHeight="1"/>
    <row r="214" ht="24.95" customHeight="1"/>
    <row r="215" ht="24.95" customHeight="1"/>
    <row r="216" ht="24.95" customHeight="1"/>
    <row r="217" ht="24.95" customHeight="1"/>
    <row r="218" ht="24.95" customHeight="1"/>
    <row r="219" ht="24.95" customHeight="1"/>
    <row r="220" ht="24.95" customHeight="1"/>
    <row r="221" ht="24.95" customHeight="1"/>
    <row r="222" ht="24.95" customHeight="1"/>
    <row r="223" ht="24.95" customHeight="1"/>
    <row r="224" ht="24.95" customHeight="1"/>
    <row r="225" ht="24.95" customHeight="1"/>
    <row r="226" ht="24.95" customHeight="1"/>
    <row r="227" ht="24.95" customHeight="1"/>
    <row r="228" ht="24.95" customHeight="1"/>
    <row r="229" ht="24.95" customHeight="1"/>
    <row r="230" ht="24.95" customHeight="1"/>
    <row r="231" ht="24.95" customHeight="1"/>
    <row r="232" ht="24.95" customHeight="1"/>
    <row r="233" ht="24.95" customHeight="1"/>
    <row r="234" ht="24.95" customHeight="1"/>
    <row r="235" ht="24.95" customHeight="1"/>
    <row r="236" ht="24.95" customHeight="1"/>
    <row r="237" ht="24.95" customHeight="1"/>
    <row r="238" ht="24.95" customHeight="1"/>
    <row r="239" ht="24.95" customHeight="1"/>
    <row r="240" ht="24.95" customHeight="1"/>
    <row r="241" ht="24.95" customHeight="1"/>
    <row r="242" ht="24.95" customHeight="1"/>
    <row r="243" ht="24.95" customHeight="1"/>
    <row r="244" ht="24.95" customHeight="1"/>
  </sheetData>
  <mergeCells count="1">
    <mergeCell ref="A1:I1"/>
  </mergeCells>
  <phoneticPr fontId="378" type="noConversion"/>
  <hyperlinks>
    <hyperlink ref="J1" location="总目录!A1" display="返回目录"/>
  </hyperlinks>
  <pageMargins left="0.66944444444444495" right="0.66944444444444495" top="0.58888888888888902" bottom="0.58888888888888902" header="0.30902777777777801" footer="0.27916666666666701"/>
  <pageSetup paperSize="9" scale="85" orientation="portrait"/>
  <headerFooter alignWithMargins="0"/>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337"/>
  <sheetViews>
    <sheetView zoomScale="115" zoomScaleNormal="115" workbookViewId="0"/>
  </sheetViews>
  <sheetFormatPr defaultColWidth="9" defaultRowHeight="16.5"/>
  <cols>
    <col min="1" max="1" width="17.5" style="222" customWidth="1"/>
    <col min="2" max="2" width="5.625" style="222" customWidth="1"/>
    <col min="3" max="3" width="12.625" style="222" customWidth="1"/>
    <col min="4" max="4" width="6.375" style="222" customWidth="1"/>
    <col min="5" max="5" width="12.625" style="222" customWidth="1"/>
    <col min="6" max="6" width="6.375" style="222" customWidth="1"/>
    <col min="7" max="7" width="12.625" style="222" customWidth="1"/>
    <col min="8" max="8" width="6.375" style="222" customWidth="1"/>
    <col min="9" max="9" width="5.5" style="222" customWidth="1"/>
    <col min="10" max="10" width="5.75" style="222" customWidth="1"/>
    <col min="11" max="11" width="11.625" style="222" customWidth="1"/>
    <col min="12" max="12" width="5.625" style="222" customWidth="1"/>
    <col min="13" max="13" width="11.25" style="222" customWidth="1"/>
    <col min="14" max="14" width="5.625" style="222" customWidth="1"/>
    <col min="15" max="15" width="13.75" style="222"/>
    <col min="16" max="16" width="5.625" customWidth="1"/>
    <col min="17" max="17" width="12.625"/>
  </cols>
  <sheetData>
    <row r="1" spans="1:11" ht="23.25" customHeight="1">
      <c r="A1" s="223"/>
      <c r="B1" s="224"/>
      <c r="C1" s="223" t="s">
        <v>11307</v>
      </c>
      <c r="D1" s="224"/>
      <c r="E1" s="224"/>
      <c r="F1" s="224"/>
      <c r="G1" s="224"/>
      <c r="H1" s="225" t="s">
        <v>8833</v>
      </c>
      <c r="I1" s="363">
        <v>16</v>
      </c>
      <c r="J1" s="364" t="s">
        <v>11308</v>
      </c>
    </row>
    <row r="2" spans="1:11" ht="14.25" customHeight="1">
      <c r="A2" s="226" t="s">
        <v>11309</v>
      </c>
      <c r="B2" s="224"/>
      <c r="C2" s="224"/>
      <c r="D2" s="224"/>
      <c r="E2" s="224"/>
      <c r="F2" s="224"/>
      <c r="G2" s="224"/>
      <c r="H2" s="224"/>
    </row>
    <row r="3" spans="1:11" ht="14.25" customHeight="1">
      <c r="A3" s="227" t="s">
        <v>11310</v>
      </c>
      <c r="B3" s="224"/>
      <c r="C3" s="224"/>
      <c r="D3" s="224"/>
      <c r="E3" s="224"/>
      <c r="F3" s="224"/>
      <c r="G3" s="224"/>
      <c r="H3" s="224"/>
    </row>
    <row r="4" spans="1:11" ht="14.25" customHeight="1">
      <c r="A4" s="227" t="s">
        <v>11311</v>
      </c>
      <c r="B4" s="224"/>
      <c r="C4" s="224"/>
      <c r="D4" s="224"/>
      <c r="E4" s="224"/>
      <c r="F4" s="224"/>
      <c r="G4" s="224"/>
      <c r="H4" s="224"/>
    </row>
    <row r="5" spans="1:11" ht="14.25" customHeight="1">
      <c r="A5" s="227" t="s">
        <v>11312</v>
      </c>
      <c r="B5" s="224"/>
      <c r="C5" s="224"/>
      <c r="D5" s="224"/>
      <c r="E5" s="224"/>
      <c r="F5" s="224"/>
      <c r="G5" s="224"/>
      <c r="H5" s="224"/>
    </row>
    <row r="6" spans="1:11" ht="14.25" customHeight="1">
      <c r="A6" s="226" t="s">
        <v>11313</v>
      </c>
      <c r="B6" s="224"/>
      <c r="C6" s="224"/>
      <c r="D6" s="224"/>
      <c r="E6" s="224"/>
      <c r="F6" s="224"/>
      <c r="G6" s="224"/>
      <c r="H6" s="224"/>
    </row>
    <row r="7" spans="1:11" ht="14.25" customHeight="1">
      <c r="A7" s="226" t="s">
        <v>11314</v>
      </c>
      <c r="B7" s="224"/>
      <c r="C7" s="224"/>
      <c r="D7" s="224"/>
      <c r="E7" s="224"/>
      <c r="F7" s="224"/>
      <c r="G7" s="224"/>
      <c r="H7" s="224"/>
    </row>
    <row r="8" spans="1:11" ht="14.25" customHeight="1">
      <c r="A8" s="228"/>
      <c r="B8" s="224"/>
      <c r="C8" s="224"/>
      <c r="D8" s="224"/>
      <c r="E8" s="224"/>
      <c r="F8" s="229"/>
      <c r="G8" s="229" t="s">
        <v>11315</v>
      </c>
      <c r="H8" s="224"/>
    </row>
    <row r="9" spans="1:11" ht="14.25" customHeight="1">
      <c r="A9" s="230" t="s">
        <v>11316</v>
      </c>
      <c r="B9" s="224"/>
      <c r="C9" s="224"/>
      <c r="D9" s="224"/>
      <c r="E9" s="224"/>
      <c r="F9" s="231"/>
      <c r="G9" s="224"/>
      <c r="H9" s="224"/>
    </row>
    <row r="10" spans="1:11" ht="15.75" customHeight="1">
      <c r="A10" s="232" t="s">
        <v>11317</v>
      </c>
      <c r="B10" s="224"/>
      <c r="C10" s="233"/>
      <c r="D10" s="224"/>
      <c r="E10" s="224"/>
      <c r="F10" s="231"/>
      <c r="G10" s="229"/>
      <c r="H10" s="224"/>
    </row>
    <row r="11" spans="1:11">
      <c r="A11" s="234" t="s">
        <v>8842</v>
      </c>
      <c r="B11" s="235"/>
      <c r="C11" s="236"/>
      <c r="D11" s="237"/>
      <c r="E11" s="234" t="s">
        <v>8843</v>
      </c>
      <c r="F11" s="238"/>
      <c r="G11" s="236">
        <v>10026</v>
      </c>
      <c r="H11" s="239"/>
    </row>
    <row r="12" spans="1:11">
      <c r="A12" s="234" t="s">
        <v>8844</v>
      </c>
      <c r="B12" s="240" t="s">
        <v>7286</v>
      </c>
      <c r="C12" s="241">
        <v>30201</v>
      </c>
      <c r="D12" s="237"/>
      <c r="E12" s="242"/>
      <c r="F12" s="243" t="s">
        <v>7288</v>
      </c>
      <c r="G12" s="241">
        <v>30202</v>
      </c>
      <c r="H12" s="239"/>
    </row>
    <row r="13" spans="1:11" ht="15" customHeight="1">
      <c r="A13" s="244" t="s">
        <v>8845</v>
      </c>
      <c r="B13" s="245"/>
      <c r="C13" s="246"/>
      <c r="D13" s="247"/>
      <c r="E13" s="244" t="s">
        <v>8846</v>
      </c>
      <c r="F13" s="248"/>
      <c r="G13" s="246"/>
      <c r="H13" s="247"/>
      <c r="I13" s="365"/>
      <c r="J13" s="366"/>
      <c r="K13" s="367"/>
    </row>
    <row r="14" spans="1:11" ht="15" customHeight="1">
      <c r="A14" s="249" t="s">
        <v>11318</v>
      </c>
      <c r="B14" s="250" t="str">
        <f>IF(C14=1,"直齿",IF(AND(C14=0,C24&lt;&gt;0),"弧齿","零度齿"))</f>
        <v>弧齿</v>
      </c>
      <c r="C14" s="251"/>
      <c r="D14" s="252" t="str">
        <f>IF(OR(C14=1,C14=0),"","错误！")</f>
        <v/>
      </c>
      <c r="E14" s="253" t="s">
        <v>11319</v>
      </c>
      <c r="F14" s="254"/>
      <c r="G14" s="255"/>
      <c r="H14" s="239"/>
      <c r="I14" s="270"/>
      <c r="J14" s="368"/>
    </row>
    <row r="15" spans="1:11" ht="15" customHeight="1">
      <c r="A15" s="249" t="str">
        <f>IF(C14=1,""," 小 轮 旋 向 ")</f>
        <v>小 轮 旋 向</v>
      </c>
      <c r="B15" s="256" t="str">
        <f>IF(C15="L","左旋",IF(C15="R","右旋",""))</f>
        <v>右旋</v>
      </c>
      <c r="C15" s="257" t="s">
        <v>7460</v>
      </c>
      <c r="D15" s="258" t="str">
        <f>IF(AND(C14=1,C15&lt;&gt;0),"取消！",IF(OR(AND(C14=1,C15=0),AND(C14=0,C15="L"),AND(C14=0,C15="R")),"",IF(AND(C14=0,C15=0),"输入！","错误！")))</f>
        <v/>
      </c>
      <c r="E15" s="253" t="str">
        <f>IF(C14=1,"","注：左旋输入 L， 右旋输入 R")</f>
        <v>注：左旋输入 L， 右旋输入 R</v>
      </c>
      <c r="F15" s="254"/>
      <c r="G15" s="259"/>
      <c r="H15" s="239"/>
      <c r="I15" s="270"/>
      <c r="J15" s="270"/>
    </row>
    <row r="16" spans="1:11" ht="15" customHeight="1">
      <c r="A16" s="249" t="str">
        <f>IF(C14=1,""," 大 轮 旋 向 ")</f>
        <v>大 轮 旋 向</v>
      </c>
      <c r="B16" s="256" t="str">
        <f>IF(C16="L","左旋",IF(C16="R","右旋",""))</f>
        <v>左旋</v>
      </c>
      <c r="C16" s="255" t="str">
        <f>IF(C15=0,"",IF(C15="L","R","L"))</f>
        <v>L</v>
      </c>
      <c r="D16" s="260"/>
      <c r="E16" s="253"/>
      <c r="F16" s="254"/>
      <c r="G16" s="259"/>
      <c r="H16" s="239"/>
      <c r="I16" s="270"/>
      <c r="J16" s="270"/>
    </row>
    <row r="17" spans="1:15" ht="15" customHeight="1">
      <c r="A17" s="261" t="s">
        <v>11320</v>
      </c>
      <c r="B17" s="262" t="s">
        <v>6334</v>
      </c>
      <c r="C17" s="236">
        <v>13</v>
      </c>
      <c r="D17" s="260"/>
      <c r="E17" s="263"/>
      <c r="F17" s="254"/>
      <c r="G17" s="259"/>
      <c r="H17" s="239"/>
      <c r="I17" s="270"/>
      <c r="J17" s="270"/>
    </row>
    <row r="18" spans="1:15" ht="15" customHeight="1">
      <c r="A18" s="261" t="s">
        <v>11321</v>
      </c>
      <c r="B18" s="262" t="s">
        <v>6336</v>
      </c>
      <c r="C18" s="251">
        <v>24</v>
      </c>
      <c r="D18" s="260"/>
      <c r="E18" s="263"/>
      <c r="F18" s="254"/>
      <c r="G18" s="259"/>
      <c r="H18" s="239"/>
      <c r="I18" s="270"/>
      <c r="J18" s="270"/>
    </row>
    <row r="19" spans="1:15" ht="15" customHeight="1">
      <c r="A19" s="261" t="s">
        <v>11322</v>
      </c>
      <c r="B19" s="262" t="s">
        <v>6088</v>
      </c>
      <c r="C19" s="257">
        <v>7.5</v>
      </c>
      <c r="D19" s="264" t="str">
        <f>IF(C19&lt;G19,"毫米","超过本程序设置最大模数，应少于")</f>
        <v>毫米</v>
      </c>
      <c r="E19" s="263"/>
      <c r="F19" s="254"/>
      <c r="G19" s="265" t="str">
        <f>IF(C19&lt;=H22,"",H22)</f>
        <v/>
      </c>
      <c r="H19" s="239"/>
      <c r="I19" s="270"/>
      <c r="J19" s="270"/>
    </row>
    <row r="20" spans="1:15" ht="15.75" hidden="1" customHeight="1">
      <c r="A20" s="261"/>
      <c r="B20" s="262"/>
      <c r="C20" s="266">
        <f>IF(C17=0,25,C17)</f>
        <v>13</v>
      </c>
      <c r="D20" s="260" t="str">
        <f>IF(C20&gt;=12,"","本程序设置最少齿数为 12")</f>
        <v/>
      </c>
      <c r="E20" s="267"/>
      <c r="F20" s="268"/>
      <c r="G20" s="269"/>
      <c r="H20" s="270"/>
      <c r="I20" s="224"/>
    </row>
    <row r="21" spans="1:15" s="221" customFormat="1" ht="15.75" hidden="1" customHeight="1">
      <c r="A21" s="261"/>
      <c r="B21" s="262"/>
      <c r="C21" s="266">
        <f>IF(C18=0,25,C18)</f>
        <v>24</v>
      </c>
      <c r="D21" s="271" t="str">
        <f>IF(G118&gt;400,"超过本程序设置最大直径，应少于","")</f>
        <v/>
      </c>
      <c r="E21" s="272"/>
      <c r="F21" s="273"/>
      <c r="G21" s="265" t="str">
        <f>IF(D21="","",ROUNDDOWN(400*C64/(C85*C22),0))</f>
        <v/>
      </c>
      <c r="H21" s="261"/>
      <c r="I21" s="293"/>
      <c r="J21" s="224"/>
      <c r="K21" s="224"/>
      <c r="L21" s="224"/>
      <c r="M21" s="224"/>
      <c r="N21" s="224"/>
      <c r="O21" s="224"/>
    </row>
    <row r="22" spans="1:15" ht="15.75" hidden="1" customHeight="1">
      <c r="A22" s="261"/>
      <c r="B22" s="262"/>
      <c r="C22" s="274">
        <f>IF(C19=0,5,C19)</f>
        <v>7.5</v>
      </c>
      <c r="D22" s="275"/>
      <c r="E22" s="276"/>
      <c r="F22" s="277"/>
      <c r="G22" s="265"/>
      <c r="H22" s="278">
        <f>ROUND(10*C64/(C85*COS(J24)),3)</f>
        <v>15.077</v>
      </c>
      <c r="I22" s="293"/>
      <c r="J22" s="249"/>
      <c r="K22" s="369"/>
      <c r="L22" s="261"/>
    </row>
    <row r="23" spans="1:15">
      <c r="A23" s="261" t="s">
        <v>8855</v>
      </c>
      <c r="B23" s="279" t="s">
        <v>11323</v>
      </c>
      <c r="C23" s="280">
        <v>20</v>
      </c>
      <c r="D23" s="281" t="s">
        <v>8920</v>
      </c>
      <c r="E23" s="282" t="s">
        <v>11324</v>
      </c>
      <c r="F23" s="267" t="s">
        <v>11325</v>
      </c>
      <c r="G23" s="283">
        <v>90</v>
      </c>
      <c r="H23" s="225" t="s">
        <v>8920</v>
      </c>
      <c r="I23" s="291" t="s">
        <v>11326</v>
      </c>
      <c r="J23" s="340">
        <f>RADIANS(C23)</f>
        <v>0.34906585039886601</v>
      </c>
      <c r="K23" s="370" t="s">
        <v>8918</v>
      </c>
      <c r="L23" s="261"/>
    </row>
    <row r="24" spans="1:15">
      <c r="A24" s="284" t="str">
        <f>IF(C14=1,"","中 点 螺 旋 角")</f>
        <v>中 点 螺 旋 角</v>
      </c>
      <c r="B24" s="262" t="str">
        <f>IF(C14=1,"","βm")</f>
        <v>βm</v>
      </c>
      <c r="C24" s="280">
        <v>39</v>
      </c>
      <c r="D24" s="264" t="str">
        <f>IF(AND(C14=1,C24&lt;&gt;0),"取消！",IF(C14=0,"度",""))</f>
        <v>度</v>
      </c>
      <c r="E24" s="285" t="s">
        <v>11327</v>
      </c>
      <c r="F24" s="262" t="s">
        <v>11328</v>
      </c>
      <c r="G24" s="280">
        <v>6.8999999999999999E-3</v>
      </c>
      <c r="H24" s="286">
        <f>0.39*(1-C20*COS(C71)/(C21*COS(C70)))</f>
        <v>0.275572916666667</v>
      </c>
      <c r="I24" s="291" t="s">
        <v>11329</v>
      </c>
      <c r="J24" s="340">
        <f>RADIANS(C24)</f>
        <v>0.68067840827778803</v>
      </c>
      <c r="K24" s="370" t="s">
        <v>8918</v>
      </c>
      <c r="L24" s="261"/>
    </row>
    <row r="25" spans="1:15">
      <c r="A25" s="279" t="s">
        <v>11330</v>
      </c>
      <c r="B25" s="262" t="s">
        <v>11331</v>
      </c>
      <c r="C25" s="287">
        <f>IF(ROUND(0.3*C64,1)&gt;10*C22,10*C22,ROUND(0.3*C64,1))</f>
        <v>30.7</v>
      </c>
      <c r="D25" s="281" t="s">
        <v>8854</v>
      </c>
      <c r="E25" s="285" t="s">
        <v>11332</v>
      </c>
      <c r="F25" s="262" t="s">
        <v>11333</v>
      </c>
      <c r="G25" s="272">
        <f>ROUND(IF(C14=1,H25,IF(C24&gt;0,H24,H25)),4)</f>
        <v>0.27560000000000001</v>
      </c>
      <c r="H25" s="286">
        <f>0.46*(1-C20*COS(C71)/(C21*COS(C70)))</f>
        <v>0.32503472222222202</v>
      </c>
      <c r="I25" s="261"/>
      <c r="J25" s="249"/>
      <c r="K25" s="225"/>
      <c r="L25" s="261"/>
    </row>
    <row r="26" spans="1:15">
      <c r="A26" s="279" t="s">
        <v>11334</v>
      </c>
      <c r="B26" s="262" t="s">
        <v>5900</v>
      </c>
      <c r="C26" s="283">
        <v>30</v>
      </c>
      <c r="D26" s="288" t="str">
        <f>IF(C26=0,"注：如不输入，则默认齿宽的参考值 b0。","毫米")</f>
        <v>毫米</v>
      </c>
      <c r="E26" s="289"/>
      <c r="F26" s="262"/>
      <c r="G26" s="272"/>
      <c r="H26" s="286"/>
      <c r="I26" s="261"/>
      <c r="J26" s="249"/>
      <c r="K26" s="225"/>
      <c r="L26" s="261"/>
    </row>
    <row r="27" spans="1:15" hidden="1">
      <c r="A27" s="279"/>
      <c r="B27" s="262"/>
      <c r="C27" s="266">
        <f>IF(C26=0,C25,C26)</f>
        <v>30</v>
      </c>
      <c r="D27" s="288"/>
      <c r="E27" s="289"/>
      <c r="F27" s="262"/>
      <c r="G27" s="272"/>
      <c r="H27" s="286"/>
      <c r="I27" s="261"/>
      <c r="J27" s="249"/>
      <c r="K27" s="225"/>
      <c r="L27" s="261"/>
    </row>
    <row r="28" spans="1:15">
      <c r="A28" s="242" t="s">
        <v>8873</v>
      </c>
      <c r="B28" s="290"/>
      <c r="C28" s="283">
        <v>7</v>
      </c>
      <c r="D28" s="275" t="str">
        <f t="shared" ref="D28:D30" si="0">IF(OR(C28=5,C28=6,C28=7,C28=8),"","错误！")</f>
        <v/>
      </c>
      <c r="E28" s="259" t="s">
        <v>11335</v>
      </c>
      <c r="F28" s="268" t="s">
        <v>5929</v>
      </c>
      <c r="G28" s="259">
        <f>IF(C14=1,2.2,IF(C24&gt;0,1.888,H28))</f>
        <v>1.8879999999999999</v>
      </c>
      <c r="H28" s="291">
        <f>ROUND(2.188+0.05/C22,3)</f>
        <v>2.1949999999999998</v>
      </c>
      <c r="I28" s="261"/>
      <c r="J28" s="249"/>
      <c r="K28" s="225"/>
      <c r="L28" s="261"/>
    </row>
    <row r="29" spans="1:15">
      <c r="A29" s="242" t="s">
        <v>8874</v>
      </c>
      <c r="B29" s="290"/>
      <c r="C29" s="241">
        <v>6</v>
      </c>
      <c r="D29" s="275" t="str">
        <f t="shared" si="0"/>
        <v/>
      </c>
      <c r="E29" s="292" t="s">
        <v>11336</v>
      </c>
      <c r="F29" s="268" t="s">
        <v>11337</v>
      </c>
      <c r="G29" s="259">
        <f>IF(C14=1,2,IF(C24&gt;0,1.7,2))</f>
        <v>1.7</v>
      </c>
      <c r="H29" s="261"/>
      <c r="I29" s="261"/>
      <c r="J29" s="249"/>
      <c r="K29" s="225"/>
      <c r="L29" s="261"/>
    </row>
    <row r="30" spans="1:15">
      <c r="A30" s="242" t="s">
        <v>8875</v>
      </c>
      <c r="B30" s="290"/>
      <c r="C30" s="241">
        <v>6</v>
      </c>
      <c r="D30" s="275" t="str">
        <f t="shared" si="0"/>
        <v/>
      </c>
      <c r="E30" s="259" t="s">
        <v>11338</v>
      </c>
      <c r="F30" s="293" t="s">
        <v>8104</v>
      </c>
      <c r="G30" s="294">
        <f>ROUND(G28*C22,3)</f>
        <v>14.16</v>
      </c>
      <c r="H30" s="281" t="s">
        <v>8854</v>
      </c>
      <c r="I30" s="267"/>
      <c r="J30" s="249"/>
      <c r="K30" s="225"/>
      <c r="L30" s="261"/>
    </row>
    <row r="31" spans="1:15">
      <c r="A31" s="284" t="s">
        <v>11339</v>
      </c>
      <c r="B31" s="290"/>
      <c r="C31" s="251" t="s">
        <v>5901</v>
      </c>
      <c r="D31" s="275" t="str">
        <f>IF(OR(C31="a",C31="b",C31="c",C31="d",C31="e",C31="h"),"","错误！")</f>
        <v/>
      </c>
      <c r="E31" s="259" t="s">
        <v>11340</v>
      </c>
      <c r="F31" s="268" t="s">
        <v>11341</v>
      </c>
      <c r="G31" s="272">
        <f>ROUND(G29*C22,3)</f>
        <v>12.75</v>
      </c>
      <c r="H31" s="281" t="s">
        <v>8854</v>
      </c>
      <c r="I31" s="267"/>
      <c r="J31" s="249"/>
      <c r="K31" s="225"/>
      <c r="L31" s="261"/>
    </row>
    <row r="32" spans="1:15">
      <c r="A32" s="284" t="s">
        <v>11342</v>
      </c>
      <c r="B32" s="290"/>
      <c r="C32" s="295" t="s">
        <v>5930</v>
      </c>
      <c r="D32" s="275" t="str">
        <f>IF(OR(C32="A",C32="B",C32="C",C32="D",C32="H"),"","错误！")</f>
        <v/>
      </c>
      <c r="E32" s="259" t="s">
        <v>11343</v>
      </c>
      <c r="F32" s="296" t="s">
        <v>9327</v>
      </c>
      <c r="G32" s="272">
        <f>ROUND(C21/C20,4)</f>
        <v>1.8462000000000001</v>
      </c>
      <c r="H32" s="281"/>
      <c r="I32" s="267"/>
      <c r="J32" s="249"/>
      <c r="K32" s="225"/>
      <c r="L32" s="261"/>
    </row>
    <row r="33" spans="1:12">
      <c r="A33" s="225" t="s">
        <v>11344</v>
      </c>
      <c r="B33" s="290"/>
      <c r="C33" s="297">
        <f>ROUND(C62-2*C68*COS(C70)-C22,0)</f>
        <v>80</v>
      </c>
      <c r="D33" s="281" t="s">
        <v>8854</v>
      </c>
      <c r="E33" s="292"/>
      <c r="F33" s="298"/>
      <c r="G33" s="286" t="str">
        <f>C31</f>
        <v>c</v>
      </c>
      <c r="H33" s="281"/>
      <c r="I33" s="267"/>
      <c r="J33" s="249"/>
      <c r="K33" s="225"/>
      <c r="L33" s="261"/>
    </row>
    <row r="34" spans="1:12">
      <c r="A34" s="284" t="s">
        <v>11345</v>
      </c>
      <c r="B34" s="262"/>
      <c r="C34" s="295">
        <v>25</v>
      </c>
      <c r="D34" s="281" t="s">
        <v>8854</v>
      </c>
      <c r="E34" s="292"/>
      <c r="F34" s="298"/>
      <c r="G34" s="286" t="str">
        <f>C32</f>
        <v>C</v>
      </c>
      <c r="H34" s="281"/>
      <c r="I34" s="267"/>
      <c r="J34" s="249"/>
      <c r="K34" s="225"/>
      <c r="L34" s="261"/>
    </row>
    <row r="35" spans="1:12">
      <c r="A35" s="225" t="s">
        <v>11346</v>
      </c>
      <c r="B35" s="262"/>
      <c r="C35" s="297">
        <f>ROUND(C63-2*C69*COS(C71)-C22,0)</f>
        <v>163</v>
      </c>
      <c r="D35" s="281" t="s">
        <v>8854</v>
      </c>
      <c r="E35" s="299"/>
      <c r="F35" s="298"/>
      <c r="G35" s="300"/>
      <c r="H35" s="281"/>
      <c r="I35" s="267"/>
      <c r="J35" s="249"/>
      <c r="K35" s="225"/>
      <c r="L35" s="261"/>
    </row>
    <row r="36" spans="1:12">
      <c r="A36" s="299" t="s">
        <v>11347</v>
      </c>
      <c r="B36" s="262"/>
      <c r="C36" s="295">
        <v>320</v>
      </c>
      <c r="D36" s="281" t="s">
        <v>8854</v>
      </c>
      <c r="E36" s="299"/>
      <c r="F36" s="298"/>
      <c r="G36" s="301"/>
      <c r="H36" s="281"/>
      <c r="I36" s="267"/>
      <c r="J36" s="249"/>
      <c r="K36" s="225"/>
      <c r="L36" s="261"/>
    </row>
    <row r="37" spans="1:12">
      <c r="A37" s="249" t="s">
        <v>8883</v>
      </c>
      <c r="B37" s="293" t="s">
        <v>9183</v>
      </c>
      <c r="C37" s="297">
        <f>C145/1000</f>
        <v>7.3999999999999996E-2</v>
      </c>
      <c r="D37" s="281" t="s">
        <v>8854</v>
      </c>
      <c r="E37" s="292"/>
      <c r="F37" s="298"/>
      <c r="G37" s="272"/>
      <c r="H37" s="281"/>
      <c r="I37" s="267"/>
      <c r="J37" s="249"/>
      <c r="K37" s="225"/>
      <c r="L37" s="261"/>
    </row>
    <row r="38" spans="1:12">
      <c r="A38" s="249" t="s">
        <v>8885</v>
      </c>
      <c r="B38" s="293" t="s">
        <v>9185</v>
      </c>
      <c r="C38" s="297">
        <f>C160/1000</f>
        <v>0.318</v>
      </c>
      <c r="D38" s="281" t="s">
        <v>8854</v>
      </c>
      <c r="E38" s="288" t="s">
        <v>11348</v>
      </c>
      <c r="F38" s="298"/>
      <c r="G38" s="272"/>
      <c r="H38" s="281"/>
      <c r="I38" s="267"/>
      <c r="J38" s="249"/>
      <c r="K38" s="225"/>
      <c r="L38" s="261"/>
    </row>
    <row r="39" spans="1:12">
      <c r="A39" s="302" t="s">
        <v>11349</v>
      </c>
      <c r="B39" s="303" t="s">
        <v>11350</v>
      </c>
      <c r="C39" s="304">
        <f>ROUND(C64,4)</f>
        <v>102.35509999999999</v>
      </c>
      <c r="D39" s="305" t="s">
        <v>8854</v>
      </c>
      <c r="E39" s="306"/>
      <c r="F39" s="307"/>
      <c r="G39" s="308"/>
      <c r="H39" s="305"/>
      <c r="I39" s="302"/>
      <c r="J39" s="371"/>
      <c r="K39" s="225"/>
      <c r="L39" s="261"/>
    </row>
    <row r="40" spans="1:12">
      <c r="A40" s="309" t="str">
        <f>IF(C14=1,"","刀盘名义直径参考值")</f>
        <v>刀盘名义直径参考值</v>
      </c>
      <c r="B40" s="273" t="str">
        <f>IF(C14=1,"","Dc0")</f>
        <v>Dc0</v>
      </c>
      <c r="C40" s="310">
        <f>IF(OR(C14=1,C88="*"),"",C88/25.4)</f>
        <v>7.5</v>
      </c>
      <c r="D40" s="281" t="str">
        <f t="shared" ref="D40:H40" si="1">IF(C40="","","英寸")</f>
        <v>英寸</v>
      </c>
      <c r="E40" s="311" t="str">
        <f>IF(OR(C14=1,E88="*",E88=C88),"",E88/25.4)</f>
        <v/>
      </c>
      <c r="F40" s="281" t="str">
        <f t="shared" si="1"/>
        <v/>
      </c>
      <c r="G40" s="311" t="str">
        <f>IF(OR(C14=1,G88="*",G88=E88),"",G88/25.4)</f>
        <v/>
      </c>
      <c r="H40" s="281" t="str">
        <f t="shared" si="1"/>
        <v/>
      </c>
      <c r="I40" s="267"/>
      <c r="J40" s="314"/>
      <c r="K40" s="225"/>
      <c r="L40" s="261"/>
    </row>
    <row r="41" spans="1:12">
      <c r="A41" s="309"/>
      <c r="B41" s="273"/>
      <c r="C41" s="312" t="str">
        <f>IF(C14=1,"",IF(AND(C88="*",E88="*",G88="*"),"说明：选不出合适的标准刀盘，须修改齿轮有关参数！",IF(OR(C88&gt;0,E88&gt;0,G88&gt;0),"说明：按照以上显示的刀盘直径，在下行输入选定的刀盘直径。","")))</f>
        <v>说明：按照以上显示的刀盘直径，在下行输入选定的刀盘直径。</v>
      </c>
      <c r="D41" s="281"/>
      <c r="E41" s="313"/>
      <c r="F41" s="281"/>
      <c r="G41" s="314"/>
      <c r="H41" s="281"/>
      <c r="I41" s="267"/>
      <c r="J41" s="314"/>
      <c r="K41" s="225"/>
      <c r="L41" s="261"/>
    </row>
    <row r="42" spans="1:12">
      <c r="A42" s="309" t="str">
        <f>IF(C14=1,"","刀盘名义直径选定值")</f>
        <v>刀盘名义直径选定值</v>
      </c>
      <c r="B42" s="273" t="str">
        <f>IF(C14=1,"","Dc")</f>
        <v>Dc</v>
      </c>
      <c r="C42" s="315"/>
      <c r="D42" s="264" t="str">
        <f>IF(C14=1,"",IF(AND(C42=0,C40&lt;&gt;""),"注：如不输入，则默认上面的参考值（Dc0最左面的数值）。",IF(AND(C40="",E40="",G40="",C42&lt;&gt;0),"取消！",IF(OR(AND(C40&lt;&gt;"",C42=C40),AND(E40&lt;&gt;"",C42=E40),AND(G40&lt;&gt;"",C42=G40)),"英寸","错误！"))))</f>
        <v>注：如不输入，则默认上面的参考值（Dc0最左面的数值）。</v>
      </c>
      <c r="E42" s="313"/>
      <c r="F42" s="281"/>
      <c r="G42" s="314"/>
      <c r="H42" s="281"/>
      <c r="I42" s="372"/>
      <c r="J42" s="314"/>
      <c r="K42" s="225"/>
      <c r="L42" s="261"/>
    </row>
    <row r="43" spans="1:12" hidden="1">
      <c r="A43" s="282"/>
      <c r="B43" s="316" t="str">
        <f>IF(C14=1,"","Dc")</f>
        <v>Dc</v>
      </c>
      <c r="C43" s="316">
        <f>IF(C14=1,0,IF(AND(C14=0,C42=0),C40*25.4,C42*25.4))</f>
        <v>190.5</v>
      </c>
      <c r="D43" s="317" t="str">
        <f>IF(C43=0,"","毫米")</f>
        <v>毫米</v>
      </c>
      <c r="E43" s="259"/>
      <c r="F43" s="281"/>
      <c r="G43" s="318"/>
      <c r="H43" s="281"/>
      <c r="I43" s="267"/>
      <c r="J43" s="373"/>
      <c r="K43" s="225"/>
      <c r="L43" s="261"/>
    </row>
    <row r="44" spans="1:12">
      <c r="A44" s="249" t="s">
        <v>11351</v>
      </c>
      <c r="B44" s="319" t="s">
        <v>8914</v>
      </c>
      <c r="C44" s="297">
        <f>ROUND(J112,3)</f>
        <v>1.714</v>
      </c>
      <c r="D44" s="320" t="s">
        <v>8915</v>
      </c>
      <c r="E44" s="321">
        <f>ROUND(J111,3)</f>
        <v>1.2210000000000001</v>
      </c>
      <c r="F44" s="319" t="s">
        <v>8916</v>
      </c>
      <c r="G44" s="282">
        <f>ROUND(J103,3)</f>
        <v>1.2030000000000001</v>
      </c>
      <c r="H44" s="264" t="str">
        <f>IF(OR(AND(C14=1,C44&lt;1.25),AND(C14=0,C24=0,C44&lt;1.25),AND(C14=0,C24&gt;0,C44&lt;2,E44&lt;1.25)),"较小！","")</f>
        <v>较小！</v>
      </c>
      <c r="I44" s="267"/>
      <c r="J44" s="249"/>
      <c r="K44" s="225"/>
      <c r="L44" s="261"/>
    </row>
    <row r="45" spans="1:12">
      <c r="A45" s="322" t="str">
        <f>IF(C14=1,"","大 端 螺 旋 角")</f>
        <v>大 端 螺 旋 角</v>
      </c>
      <c r="B45" s="261" t="str">
        <f>IF(C14=1,"","βa")</f>
        <v>βa</v>
      </c>
      <c r="C45" s="297">
        <f>IF(C14=1,"",J89)</f>
        <v>43.045299999999997</v>
      </c>
      <c r="D45" s="323" t="str">
        <f>IF(C14=1,"","度.分秒")</f>
        <v>度.分秒</v>
      </c>
      <c r="E45" s="259"/>
      <c r="F45" s="269"/>
      <c r="G45" s="269"/>
      <c r="H45" s="281"/>
      <c r="I45" s="267"/>
      <c r="J45" s="249"/>
      <c r="K45" s="225"/>
      <c r="L45" s="261"/>
    </row>
    <row r="46" spans="1:12">
      <c r="A46" s="324" t="str">
        <f>IF(C14=1,"","小 端 螺 旋 角")</f>
        <v>小 端 螺 旋 角</v>
      </c>
      <c r="B46" s="302" t="str">
        <f>IF(C14=1,"","βi")</f>
        <v>βi</v>
      </c>
      <c r="C46" s="304">
        <f>IF(C14=1,"",J92)</f>
        <v>35.521999999999998</v>
      </c>
      <c r="D46" s="325" t="str">
        <f>IF(C14=1,"","度.分秒")</f>
        <v>度.分秒</v>
      </c>
      <c r="E46" s="326" t="str">
        <f>IF(C46&gt;C45,"小端螺旋角大于大端螺旋角，出现反向收缩！","")</f>
        <v/>
      </c>
      <c r="F46" s="327"/>
      <c r="G46" s="327"/>
      <c r="H46" s="305"/>
      <c r="I46" s="302"/>
      <c r="J46" s="371"/>
      <c r="K46" s="225"/>
      <c r="L46" s="261"/>
    </row>
    <row r="47" spans="1:12">
      <c r="A47" s="249" t="s">
        <v>11352</v>
      </c>
      <c r="B47" s="328"/>
      <c r="C47" s="295">
        <v>1</v>
      </c>
      <c r="D47" s="329" t="str">
        <f>IF(OR(C47=0,C47=1,C47=2,C47=3,C47=4,C47=5,C47=6,C47=7),"","错误！")</f>
        <v/>
      </c>
      <c r="E47" s="330" t="s">
        <v>11353</v>
      </c>
      <c r="F47" s="269"/>
      <c r="G47" s="269"/>
      <c r="H47" s="281"/>
      <c r="I47" s="267"/>
      <c r="J47" s="249"/>
      <c r="K47" s="225"/>
      <c r="L47" s="261"/>
    </row>
    <row r="48" spans="1:12">
      <c r="A48" s="249"/>
      <c r="B48" s="328"/>
      <c r="C48" s="331"/>
      <c r="D48" s="332"/>
      <c r="E48" s="333" t="s">
        <v>11354</v>
      </c>
      <c r="F48" s="269"/>
      <c r="G48" s="269"/>
      <c r="H48" s="281"/>
      <c r="I48" s="267"/>
      <c r="J48" s="249"/>
      <c r="K48" s="225"/>
      <c r="L48" s="261"/>
    </row>
    <row r="49" spans="1:12">
      <c r="A49" s="334"/>
      <c r="B49" s="328"/>
      <c r="C49" s="331"/>
      <c r="D49" s="332"/>
      <c r="E49" s="333" t="s">
        <v>11355</v>
      </c>
      <c r="F49" s="269"/>
      <c r="G49" s="269"/>
      <c r="H49" s="281"/>
      <c r="I49" s="267"/>
      <c r="J49" s="249"/>
      <c r="K49" s="225"/>
      <c r="L49" s="261"/>
    </row>
    <row r="50" spans="1:12">
      <c r="A50" s="249" t="str">
        <f>IF(C47=0,"","支承形式代码")</f>
        <v>支承形式代码</v>
      </c>
      <c r="B50" s="328"/>
      <c r="C50" s="236">
        <v>2</v>
      </c>
      <c r="D50" s="332" t="str">
        <f>IF(AND(C47=0,C50&lt;&gt;0),"取消！",IF(AND(C47&lt;&gt;0,C50=0),"输入？",IF(OR(C50=0,C50=1,C50=2,C50=3),"","错误！")))</f>
        <v/>
      </c>
      <c r="E50" s="330" t="str">
        <f>IF(C47=0,"","说明：1—大小轮都是两端支承， 2—一个是两端支承，另一个是悬臂， 3—两者都是悬臂")</f>
        <v>说明：1—大小轮都是两端支承， 2—一个是两端支承，另一个是悬臂， 3—两者都是悬臂</v>
      </c>
      <c r="F50" s="269"/>
      <c r="G50" s="269"/>
      <c r="H50" s="281"/>
      <c r="I50" s="267"/>
      <c r="J50" s="249"/>
      <c r="K50" s="225"/>
      <c r="L50" s="261"/>
    </row>
    <row r="51" spans="1:12">
      <c r="A51" s="249" t="str">
        <f>IF(C47=0,"","小轮名义转矩")</f>
        <v>小轮名义转矩</v>
      </c>
      <c r="B51" s="262" t="str">
        <f>IF(C47=0,"","T1")</f>
        <v>T1</v>
      </c>
      <c r="C51" s="251">
        <v>250</v>
      </c>
      <c r="D51" s="335" t="str">
        <f>IF(AND(C47=0,C51=0),"",IF(AND(C47=0,C51&lt;&gt;0),"取消！","N·m"))</f>
        <v>N·m</v>
      </c>
      <c r="E51" s="336" t="s">
        <v>11356</v>
      </c>
      <c r="F51" s="337" t="s">
        <v>6411</v>
      </c>
      <c r="G51" s="337">
        <f>IF(C51=0,C52,ROUND(C51*C54/9549,2))</f>
        <v>26.18</v>
      </c>
      <c r="H51" s="338" t="s">
        <v>9577</v>
      </c>
      <c r="I51" s="267"/>
      <c r="J51" s="249"/>
      <c r="K51" s="225"/>
      <c r="L51" s="261"/>
    </row>
    <row r="52" spans="1:12">
      <c r="A52" s="249" t="str">
        <f>IF(AND(C47&lt;&gt;0,C51=0),"小轮名义功率","")</f>
        <v/>
      </c>
      <c r="B52" s="262" t="str">
        <f>IF(AND(C47&lt;&gt;0,C51=0),"P1","")</f>
        <v/>
      </c>
      <c r="C52" s="295"/>
      <c r="D52" s="335" t="str">
        <f>IF(AND(C47&lt;&gt;0,C51=0,C52=0),"输入？",IF(OR(AND(C47=0,C52&lt;&gt;0),AND(C47&lt;&gt;0,C51&lt;&gt;0,C52&lt;&gt;0)),"取消！",IF(C52&lt;&gt;0,"kW","")))</f>
        <v/>
      </c>
      <c r="E52" s="339" t="str">
        <f>IF(OR(C47=0,C51&lt;&gt;0),"","小轮名义转矩")</f>
        <v/>
      </c>
      <c r="F52" s="337" t="s">
        <v>787</v>
      </c>
      <c r="G52" s="337" t="str">
        <f>IF(C47=0,"",IF(C51&lt;&gt;0,"",C53))</f>
        <v/>
      </c>
      <c r="H52" s="317" t="str">
        <f>IF(OR(C47=0,C51&lt;&gt;0),"","N·m")</f>
        <v/>
      </c>
      <c r="I52" s="345"/>
      <c r="J52" s="249"/>
      <c r="K52" s="225"/>
      <c r="L52" s="261"/>
    </row>
    <row r="53" spans="1:12" ht="15.75" customHeight="1">
      <c r="A53" s="340"/>
      <c r="B53" s="341"/>
      <c r="C53" s="316">
        <f>IF(C51&lt;&gt;0,C51,ROUND(9549*C52/C54,3))</f>
        <v>250</v>
      </c>
      <c r="D53" s="338"/>
      <c r="E53" s="342"/>
      <c r="F53" s="343" t="str">
        <f>IF(C47=0,"",IF(ROUND(G56,4)&lt;&gt;ROUND(G55,4),"单变量求解计算：",""))</f>
        <v/>
      </c>
      <c r="G53" s="344"/>
      <c r="H53" s="345"/>
      <c r="I53" s="288"/>
      <c r="J53" s="249"/>
      <c r="K53" s="225"/>
      <c r="L53" s="261"/>
    </row>
    <row r="54" spans="1:12">
      <c r="A54" s="249" t="str">
        <f>IF(C47=0,"","小 轮 转 速")</f>
        <v>小 轮 转 速</v>
      </c>
      <c r="B54" s="262" t="str">
        <f>IF(C47=0,"","n1")</f>
        <v>n1</v>
      </c>
      <c r="C54" s="295">
        <v>1000</v>
      </c>
      <c r="D54" s="335" t="str">
        <f>IF(AND(C47=0,C54&lt;&gt;0),"取消！",IF(C47&lt;&gt;0,"r / min",""))</f>
        <v>r / min</v>
      </c>
      <c r="E54" s="264"/>
      <c r="F54" s="346" t="str">
        <f>IF(C47=0,"",IF(ROUND(G56,4)&lt;&gt;ROUND(G55,4),"可变格",""))</f>
        <v/>
      </c>
      <c r="G54" s="347">
        <v>0.91345982085299204</v>
      </c>
      <c r="H54" s="281"/>
      <c r="I54" s="264"/>
      <c r="J54" s="249"/>
      <c r="K54" s="225"/>
      <c r="L54" s="261"/>
    </row>
    <row r="55" spans="1:12">
      <c r="A55" s="249" t="str">
        <f>IF(C47=0,"","许用接触应力")</f>
        <v>许用接触应力</v>
      </c>
      <c r="B55" s="282" t="str">
        <f>IF(C47=0,"","σHP")</f>
        <v>σHP</v>
      </c>
      <c r="C55" s="321">
        <f>IF(F53&lt;&gt;"","",IF(C47=0,"",C204))</f>
        <v>1249.99</v>
      </c>
      <c r="D55" s="348" t="str">
        <f>IF(C47=0,"","N/mm2")</f>
        <v>N/mm2</v>
      </c>
      <c r="E55" s="264"/>
      <c r="F55" s="346" t="str">
        <f>IF(C47=0,"",IF(ROUND(G56,4)&lt;&gt;ROUND(G55,4),"目标格",""))</f>
        <v/>
      </c>
      <c r="G55" s="349">
        <f>2*E208/C184*TAN(G54)-G54-G208</f>
        <v>6.8048234824757996E-8</v>
      </c>
      <c r="H55" s="281"/>
      <c r="I55" s="264"/>
      <c r="J55" s="249"/>
      <c r="K55" s="225"/>
      <c r="L55" s="261"/>
    </row>
    <row r="56" spans="1:12">
      <c r="A56" s="249" t="str">
        <f>IF(C47=0,"","计算接触应力")</f>
        <v>计算接触应力</v>
      </c>
      <c r="B56" s="282" t="str">
        <f>IF(C47=0,"","σH")</f>
        <v>σH</v>
      </c>
      <c r="C56" s="321">
        <f>IF(F53&lt;&gt;"","",IF(C47=0,"",C205))</f>
        <v>765.75</v>
      </c>
      <c r="D56" s="348" t="str">
        <f>IF(C47=0,"","N/mm2")</f>
        <v>N/mm2</v>
      </c>
      <c r="E56" s="264"/>
      <c r="F56" s="350" t="str">
        <f>IF(C47=0,"",IF(ROUND(G56,4)&lt;&gt;ROUND(G55,4),"目标值",""))</f>
        <v/>
      </c>
      <c r="G56" s="351">
        <v>0</v>
      </c>
      <c r="H56" s="281"/>
      <c r="I56" s="264"/>
      <c r="J56" s="249"/>
      <c r="K56" s="225"/>
      <c r="L56" s="261"/>
    </row>
    <row r="57" spans="1:12">
      <c r="A57" s="352" t="str">
        <f>IF(C47=0,"","接触强度计算安全系数")</f>
        <v>接触强度计算安全系数</v>
      </c>
      <c r="B57" s="293" t="str">
        <f>IF(C47=0,"","SH")</f>
        <v>SH</v>
      </c>
      <c r="C57" s="353">
        <f>IF(F53&lt;&gt;"","",IF(C47=0,"",ROUND(C206,2)))</f>
        <v>2.04</v>
      </c>
      <c r="D57" s="354" t="str">
        <f>IF(F53&lt;&gt;"","",IF(C47=0,"",IF(C206&gt;=C203,"","?")))</f>
        <v/>
      </c>
      <c r="E57" s="288" t="str">
        <f>IF(C57&lt;1.25,"注：小于 1.25（失效概率低于1/1000的最小安全系数）","")</f>
        <v/>
      </c>
      <c r="F57" s="343" t="str">
        <f>IF(C47=0,"",IF(ROUND(G60,4)&lt;&gt;ROUND(G59,4),"单变量求解计算：",""))</f>
        <v/>
      </c>
      <c r="G57" s="344"/>
      <c r="H57" s="281"/>
      <c r="I57" s="264"/>
      <c r="J57" s="249"/>
      <c r="K57" s="225"/>
      <c r="L57" s="261"/>
    </row>
    <row r="58" spans="1:12">
      <c r="A58" s="249" t="str">
        <f>IF(C47=0,"","许用齿根应力")</f>
        <v>许用齿根应力</v>
      </c>
      <c r="B58" s="282" t="str">
        <f>IF(C47=0,"","σFP")</f>
        <v>σFP</v>
      </c>
      <c r="C58" s="321">
        <f>IF(F53&lt;&gt;"","",IF(C47=0,"",C215))</f>
        <v>795.79</v>
      </c>
      <c r="D58" s="348" t="str">
        <f>IF(C47=0,"","N/mm2")</f>
        <v>N/mm2</v>
      </c>
      <c r="E58" s="264"/>
      <c r="F58" s="346" t="str">
        <f>IF(C47=0,"",IF(ROUND(G60,4)&lt;&gt;ROUND(G59,4),"可变格",""))</f>
        <v/>
      </c>
      <c r="G58" s="347">
        <v>0.98447906828950205</v>
      </c>
      <c r="H58" s="281"/>
      <c r="I58" s="264"/>
      <c r="J58" s="249"/>
      <c r="K58" s="225"/>
      <c r="L58" s="261"/>
    </row>
    <row r="59" spans="1:12">
      <c r="A59" s="249" t="str">
        <f>IF(C47=0,"","计算齿根应力")</f>
        <v>计算齿根应力</v>
      </c>
      <c r="B59" s="282" t="str">
        <f>IF(C47=0,"","σF")</f>
        <v>σF</v>
      </c>
      <c r="C59" s="321">
        <f>IF(F53&lt;&gt;"","",IF(C47=0,"",C216))</f>
        <v>180.16</v>
      </c>
      <c r="D59" s="348" t="str">
        <f>IF(C47=0,"","N/mm2")</f>
        <v>N/mm2</v>
      </c>
      <c r="E59" s="355"/>
      <c r="F59" s="346" t="str">
        <f>IF(C47=0,"",IF(ROUND(G60,4)&lt;&gt;ROUND(G59,4),"目标格",""))</f>
        <v/>
      </c>
      <c r="G59" s="349">
        <f>2*M208/G184*TAN(G58)-G58-O208</f>
        <v>1.15253905086377E-7</v>
      </c>
      <c r="H59" s="281"/>
      <c r="I59" s="264"/>
      <c r="J59" s="249"/>
      <c r="K59" s="225"/>
      <c r="L59" s="261"/>
    </row>
    <row r="60" spans="1:12">
      <c r="A60" s="356" t="str">
        <f>IF(C47=0,"","弯曲强度计算安全系数")</f>
        <v>弯曲强度计算安全系数</v>
      </c>
      <c r="B60" s="357" t="str">
        <f>IF(C47=0,"","SF")</f>
        <v>SF</v>
      </c>
      <c r="C60" s="358">
        <f>IF(F53&lt;&gt;"","",IF(C47=0,"",C217))</f>
        <v>3.35</v>
      </c>
      <c r="D60" s="359" t="str">
        <f>IF(F53&lt;&gt;"","",IF(C47=0,"",IF(C217&gt;=C214,"","?")))</f>
        <v/>
      </c>
      <c r="E60" s="360" t="str">
        <f>IF(C60&lt;1.25,"注：小于 1.25（失效概率低于1/1000的最小安全系数）","")</f>
        <v/>
      </c>
      <c r="F60" s="350" t="str">
        <f>IF(C47=0,"",IF(ROUND(G60,4)&lt;&gt;ROUND(G59,4),"目标值",""))</f>
        <v/>
      </c>
      <c r="G60" s="351">
        <v>0</v>
      </c>
      <c r="H60" s="305"/>
      <c r="I60" s="326"/>
      <c r="J60" s="371"/>
      <c r="K60" s="225"/>
      <c r="L60" s="261"/>
    </row>
    <row r="61" spans="1:12" hidden="1">
      <c r="A61" s="361" t="s">
        <v>8917</v>
      </c>
      <c r="B61" s="262"/>
      <c r="C61" s="273"/>
      <c r="D61" s="362"/>
      <c r="E61" s="264"/>
      <c r="F61" s="264"/>
      <c r="G61" s="269"/>
      <c r="H61" s="281"/>
      <c r="I61" s="264"/>
      <c r="J61" s="249"/>
      <c r="K61" s="225"/>
      <c r="L61" s="261"/>
    </row>
    <row r="62" spans="1:12" hidden="1">
      <c r="A62" s="261" t="s">
        <v>10407</v>
      </c>
      <c r="B62" s="273" t="s">
        <v>11357</v>
      </c>
      <c r="C62" s="272">
        <f>C22*C20</f>
        <v>97.5</v>
      </c>
      <c r="D62" s="281" t="s">
        <v>8854</v>
      </c>
      <c r="E62" s="272"/>
      <c r="F62" s="261"/>
      <c r="G62" s="272"/>
      <c r="H62" s="261"/>
      <c r="I62" s="374"/>
      <c r="J62" s="249"/>
      <c r="K62" s="375"/>
      <c r="L62" s="261"/>
    </row>
    <row r="63" spans="1:12" hidden="1">
      <c r="A63" s="261" t="s">
        <v>10409</v>
      </c>
      <c r="B63" s="262" t="s">
        <v>11358</v>
      </c>
      <c r="C63" s="272">
        <f>C22*C21</f>
        <v>180</v>
      </c>
      <c r="D63" s="281" t="s">
        <v>8854</v>
      </c>
      <c r="E63" s="272"/>
      <c r="F63" s="261"/>
      <c r="G63" s="272"/>
      <c r="H63" s="261"/>
      <c r="I63" s="374"/>
      <c r="J63" s="267"/>
      <c r="K63" s="375"/>
      <c r="L63" s="261"/>
    </row>
    <row r="64" spans="1:12" hidden="1">
      <c r="A64" s="261" t="s">
        <v>11349</v>
      </c>
      <c r="B64" s="273" t="s">
        <v>11350</v>
      </c>
      <c r="C64" s="272">
        <f>C22*C20/(2*SIN(C70))</f>
        <v>102.355080479671</v>
      </c>
      <c r="D64" s="281" t="s">
        <v>8854</v>
      </c>
      <c r="E64" s="272"/>
      <c r="F64" s="261"/>
      <c r="G64" s="272"/>
      <c r="H64" s="261"/>
      <c r="I64" s="374"/>
      <c r="J64" s="267"/>
      <c r="K64" s="375"/>
      <c r="L64" s="261"/>
    </row>
    <row r="65" spans="1:12" hidden="1">
      <c r="A65" s="261" t="s">
        <v>11359</v>
      </c>
      <c r="B65" s="273" t="s">
        <v>6689</v>
      </c>
      <c r="C65" s="272">
        <f>PI()*C22</f>
        <v>23.5619449019234</v>
      </c>
      <c r="D65" s="281" t="s">
        <v>8854</v>
      </c>
      <c r="E65" s="272"/>
      <c r="F65" s="261"/>
      <c r="G65" s="272"/>
      <c r="H65" s="261"/>
      <c r="I65" s="374"/>
      <c r="J65" s="267"/>
      <c r="K65" s="375"/>
      <c r="L65" s="261"/>
    </row>
    <row r="66" spans="1:12" hidden="1">
      <c r="A66" s="261" t="s">
        <v>11360</v>
      </c>
      <c r="B66" s="262" t="s">
        <v>8958</v>
      </c>
      <c r="C66" s="261">
        <f>C22*(G29/2+G25)</f>
        <v>8.4420000000000002</v>
      </c>
      <c r="D66" s="281" t="s">
        <v>8854</v>
      </c>
      <c r="E66" s="272"/>
      <c r="F66" s="261"/>
      <c r="G66" s="272"/>
      <c r="H66" s="261"/>
      <c r="I66" s="374"/>
      <c r="J66" s="267"/>
      <c r="K66" s="267"/>
      <c r="L66" s="261"/>
    </row>
    <row r="67" spans="1:12" hidden="1">
      <c r="A67" s="261" t="s">
        <v>11361</v>
      </c>
      <c r="B67" s="262" t="s">
        <v>8959</v>
      </c>
      <c r="C67" s="261">
        <f>C22*(G29/2-G25)</f>
        <v>4.3079999999999998</v>
      </c>
      <c r="D67" s="281" t="s">
        <v>8854</v>
      </c>
      <c r="E67" s="272"/>
      <c r="F67" s="261"/>
      <c r="G67" s="272"/>
      <c r="H67" s="261"/>
      <c r="I67" s="374"/>
      <c r="J67" s="267"/>
      <c r="K67" s="267"/>
      <c r="L67" s="261"/>
    </row>
    <row r="68" spans="1:12" hidden="1">
      <c r="A68" s="261" t="s">
        <v>11362</v>
      </c>
      <c r="B68" s="262" t="s">
        <v>8961</v>
      </c>
      <c r="C68" s="261">
        <f>G30-C66</f>
        <v>5.718</v>
      </c>
      <c r="D68" s="281" t="s">
        <v>8854</v>
      </c>
      <c r="E68" s="272"/>
      <c r="F68" s="261"/>
      <c r="G68" s="272"/>
      <c r="H68" s="261"/>
      <c r="I68" s="374"/>
      <c r="J68" s="267"/>
      <c r="K68" s="267"/>
      <c r="L68" s="261"/>
    </row>
    <row r="69" spans="1:12" hidden="1">
      <c r="A69" s="261" t="s">
        <v>11363</v>
      </c>
      <c r="B69" s="262" t="s">
        <v>11364</v>
      </c>
      <c r="C69" s="261">
        <f>G30-C67</f>
        <v>9.8520000000000003</v>
      </c>
      <c r="D69" s="281" t="s">
        <v>8854</v>
      </c>
      <c r="E69" s="272"/>
      <c r="F69" s="261"/>
      <c r="G69" s="272"/>
      <c r="H69" s="261"/>
      <c r="I69" s="374"/>
      <c r="J69" s="267"/>
      <c r="K69" s="267"/>
      <c r="L69" s="261"/>
    </row>
    <row r="70" spans="1:12" hidden="1">
      <c r="A70" s="261" t="s">
        <v>11365</v>
      </c>
      <c r="B70" s="261" t="s">
        <v>11366</v>
      </c>
      <c r="C70" s="261">
        <f>ATAN(SIN(RADIANS(G23))/(C21/C20+COS(RADIANS(G23))))</f>
        <v>0.49642275340488201</v>
      </c>
      <c r="D70" s="225" t="s">
        <v>8918</v>
      </c>
      <c r="E70" s="272">
        <f t="shared" ref="E70:E77" si="2">DEGREES(C70)</f>
        <v>28.442928624363301</v>
      </c>
      <c r="F70" s="281" t="s">
        <v>8920</v>
      </c>
      <c r="G70" s="272">
        <f t="shared" ref="G70:G75" si="3">ROUND(INT(E70)+INT((E70-INT(E70))*60)/100+((E70-INT(E70))*60-INT((E70-INT(E70))*60))*60/10000,4)</f>
        <v>28.263500000000001</v>
      </c>
      <c r="H70" s="225" t="s">
        <v>11367</v>
      </c>
      <c r="I70" s="374"/>
      <c r="J70" s="267"/>
      <c r="K70" s="267"/>
      <c r="L70" s="261"/>
    </row>
    <row r="71" spans="1:12" hidden="1">
      <c r="A71" s="261" t="s">
        <v>11368</v>
      </c>
      <c r="B71" s="261" t="s">
        <v>11369</v>
      </c>
      <c r="C71" s="261">
        <f>RADIANS(G23)-C70</f>
        <v>1.0743735733900099</v>
      </c>
      <c r="D71" s="225" t="s">
        <v>8918</v>
      </c>
      <c r="E71" s="272">
        <f t="shared" si="2"/>
        <v>61.557071375636603</v>
      </c>
      <c r="F71" s="281" t="s">
        <v>8920</v>
      </c>
      <c r="G71" s="272">
        <f t="shared" si="3"/>
        <v>61.332500000000003</v>
      </c>
      <c r="H71" s="225" t="s">
        <v>11367</v>
      </c>
      <c r="I71" s="374"/>
      <c r="J71" s="267"/>
      <c r="K71" s="267"/>
      <c r="L71" s="261"/>
    </row>
    <row r="72" spans="1:12" hidden="1">
      <c r="A72" s="272" t="s">
        <v>11370</v>
      </c>
      <c r="B72" s="272" t="s">
        <v>11371</v>
      </c>
      <c r="C72" s="261">
        <f>C70+C77</f>
        <v>0.59238030422695098</v>
      </c>
      <c r="D72" s="225" t="s">
        <v>8918</v>
      </c>
      <c r="E72" s="272">
        <f t="shared" si="2"/>
        <v>33.940891298879997</v>
      </c>
      <c r="F72" s="281" t="s">
        <v>8920</v>
      </c>
      <c r="G72" s="272">
        <f t="shared" si="3"/>
        <v>33.5627</v>
      </c>
      <c r="H72" s="225" t="s">
        <v>11367</v>
      </c>
      <c r="I72" s="374"/>
      <c r="J72" s="267"/>
      <c r="K72" s="267"/>
      <c r="L72" s="261"/>
    </row>
    <row r="73" spans="1:12" hidden="1">
      <c r="A73" s="272" t="s">
        <v>11372</v>
      </c>
      <c r="B73" s="272" t="s">
        <v>11373</v>
      </c>
      <c r="C73" s="261">
        <f>C71+C76</f>
        <v>1.1301799172774201</v>
      </c>
      <c r="D73" s="225" t="s">
        <v>8918</v>
      </c>
      <c r="E73" s="272">
        <f t="shared" si="2"/>
        <v>64.754539350440595</v>
      </c>
      <c r="F73" s="281" t="s">
        <v>8920</v>
      </c>
      <c r="G73" s="272">
        <f t="shared" si="3"/>
        <v>64.451599999999999</v>
      </c>
      <c r="H73" s="225" t="s">
        <v>11367</v>
      </c>
      <c r="I73" s="374"/>
      <c r="J73" s="267"/>
      <c r="K73" s="267"/>
      <c r="L73" s="261"/>
    </row>
    <row r="74" spans="1:12" hidden="1">
      <c r="A74" s="272" t="s">
        <v>11374</v>
      </c>
      <c r="B74" s="272" t="s">
        <v>11375</v>
      </c>
      <c r="C74" s="261">
        <f>C70-C76</f>
        <v>0.44061640951747699</v>
      </c>
      <c r="D74" s="225" t="s">
        <v>8918</v>
      </c>
      <c r="E74" s="272">
        <f t="shared" si="2"/>
        <v>25.245460649559401</v>
      </c>
      <c r="F74" s="281" t="s">
        <v>8920</v>
      </c>
      <c r="G74" s="272">
        <f t="shared" si="3"/>
        <v>25.144400000000001</v>
      </c>
      <c r="H74" s="225" t="s">
        <v>11367</v>
      </c>
      <c r="I74" s="374"/>
      <c r="J74" s="267"/>
      <c r="K74" s="267"/>
      <c r="L74" s="261"/>
    </row>
    <row r="75" spans="1:12" hidden="1">
      <c r="A75" s="272" t="s">
        <v>11376</v>
      </c>
      <c r="B75" s="272" t="s">
        <v>11377</v>
      </c>
      <c r="C75" s="261">
        <f>C71-C77</f>
        <v>0.97841602256794602</v>
      </c>
      <c r="D75" s="225" t="s">
        <v>8918</v>
      </c>
      <c r="E75" s="272">
        <f t="shared" si="2"/>
        <v>56.059108701120003</v>
      </c>
      <c r="F75" s="281" t="s">
        <v>8920</v>
      </c>
      <c r="G75" s="272">
        <f t="shared" si="3"/>
        <v>56.033299999999997</v>
      </c>
      <c r="H75" s="225" t="s">
        <v>11367</v>
      </c>
      <c r="I75" s="374"/>
      <c r="J75" s="267"/>
      <c r="K75" s="267"/>
      <c r="L75" s="261"/>
    </row>
    <row r="76" spans="1:12" hidden="1">
      <c r="A76" s="261" t="s">
        <v>11378</v>
      </c>
      <c r="B76" s="261" t="s">
        <v>11379</v>
      </c>
      <c r="C76" s="261">
        <f>ATAN(C68/C64)</f>
        <v>5.5806343887404401E-2</v>
      </c>
      <c r="D76" s="225" t="s">
        <v>8918</v>
      </c>
      <c r="E76" s="272">
        <f t="shared" si="2"/>
        <v>3.19746797480397</v>
      </c>
      <c r="F76" s="281" t="s">
        <v>8920</v>
      </c>
      <c r="G76" s="272">
        <f>ROUND(E76*60,1)</f>
        <v>191.8</v>
      </c>
      <c r="H76" s="225" t="s">
        <v>11380</v>
      </c>
      <c r="I76" s="374"/>
      <c r="J76" s="267"/>
      <c r="K76" s="267"/>
      <c r="L76" s="261"/>
    </row>
    <row r="77" spans="1:12" hidden="1">
      <c r="A77" s="261" t="s">
        <v>11381</v>
      </c>
      <c r="B77" s="261" t="s">
        <v>11382</v>
      </c>
      <c r="C77" s="261">
        <f>ATAN(C69/C64)</f>
        <v>9.5957550822068693E-2</v>
      </c>
      <c r="D77" s="225" t="s">
        <v>8918</v>
      </c>
      <c r="E77" s="272">
        <f t="shared" si="2"/>
        <v>5.4979626745166401</v>
      </c>
      <c r="F77" s="281" t="s">
        <v>8920</v>
      </c>
      <c r="G77" s="272">
        <f>ROUND(E77*60,1)</f>
        <v>329.9</v>
      </c>
      <c r="H77" s="225" t="s">
        <v>11380</v>
      </c>
      <c r="I77" s="374"/>
      <c r="J77" s="267"/>
      <c r="K77" s="267"/>
      <c r="L77" s="261"/>
    </row>
    <row r="78" spans="1:12" hidden="1">
      <c r="A78" s="242" t="s">
        <v>11383</v>
      </c>
      <c r="B78" s="262" t="s">
        <v>8980</v>
      </c>
      <c r="C78" s="261">
        <f>C65-C79</f>
        <v>13.892803579908399</v>
      </c>
      <c r="D78" s="281" t="s">
        <v>8854</v>
      </c>
      <c r="E78" s="272"/>
      <c r="F78" s="261"/>
      <c r="G78" s="272"/>
      <c r="H78" s="261"/>
      <c r="I78" s="374"/>
      <c r="J78" s="267"/>
      <c r="K78" s="267"/>
      <c r="L78" s="261"/>
    </row>
    <row r="79" spans="1:12" hidden="1">
      <c r="A79" s="242" t="s">
        <v>11384</v>
      </c>
      <c r="B79" s="262" t="s">
        <v>11385</v>
      </c>
      <c r="C79" s="261">
        <f>C65/2-(C66-C67)*TAN(J23)/COS(J87)-G24*C22</f>
        <v>9.66914132201501</v>
      </c>
      <c r="D79" s="281" t="s">
        <v>8854</v>
      </c>
      <c r="E79" s="272"/>
      <c r="F79" s="261"/>
      <c r="G79" s="272"/>
      <c r="H79" s="261"/>
      <c r="I79" s="374"/>
      <c r="J79" s="267"/>
      <c r="K79" s="267"/>
      <c r="L79" s="261"/>
    </row>
    <row r="80" spans="1:12" hidden="1">
      <c r="A80" s="279" t="s">
        <v>11386</v>
      </c>
      <c r="B80" s="261" t="s">
        <v>11387</v>
      </c>
      <c r="C80" s="261">
        <f>(0.5*C78+C68*TAN(J23))/C64</f>
        <v>8.81986858608481E-2</v>
      </c>
      <c r="D80" s="225" t="s">
        <v>8918</v>
      </c>
      <c r="E80" s="272">
        <f>DEGREES(C80)</f>
        <v>5.0534124584267701</v>
      </c>
      <c r="F80" s="281" t="s">
        <v>8920</v>
      </c>
      <c r="G80" s="272">
        <f>ROUND(INT(E80)+INT((E80-INT(E80))*60)/100+((E80-INT(E80))*60-INT((E80-INT(E80))*60))*60/10000,4)</f>
        <v>5.0312000000000001</v>
      </c>
      <c r="H80" s="225" t="s">
        <v>11367</v>
      </c>
      <c r="I80" s="374"/>
      <c r="J80" s="267"/>
      <c r="K80" s="267"/>
      <c r="L80" s="261"/>
    </row>
    <row r="81" spans="1:12" hidden="1">
      <c r="A81" s="261" t="s">
        <v>11388</v>
      </c>
      <c r="B81" s="261" t="s">
        <v>11389</v>
      </c>
      <c r="C81" s="261">
        <f>(0.5*C79+C69*TAN(J23))/C64</f>
        <v>8.2266609234609503E-2</v>
      </c>
      <c r="D81" s="225" t="s">
        <v>8918</v>
      </c>
      <c r="E81" s="272">
        <f>DEGREES(C81)</f>
        <v>4.7135295039950904</v>
      </c>
      <c r="F81" s="281" t="s">
        <v>8920</v>
      </c>
      <c r="G81" s="272">
        <f>ROUND(INT(E81)+INT((E81-INT(E81))*60)/100+((E81-INT(E81))*60-INT((E81-INT(E81))*60))*60/10000,4)</f>
        <v>4.4249000000000001</v>
      </c>
      <c r="H81" s="225" t="s">
        <v>11367</v>
      </c>
      <c r="I81" s="374"/>
      <c r="J81" s="267"/>
      <c r="K81" s="267"/>
      <c r="L81" s="261"/>
    </row>
    <row r="82" spans="1:12" hidden="1">
      <c r="A82" s="261" t="s">
        <v>11390</v>
      </c>
      <c r="B82" s="262"/>
      <c r="C82" s="272">
        <f>G76+G77</f>
        <v>521.70000000000005</v>
      </c>
      <c r="D82" s="225" t="s">
        <v>11380</v>
      </c>
      <c r="E82" s="376"/>
      <c r="F82" s="273"/>
      <c r="G82" s="272"/>
      <c r="H82" s="281"/>
      <c r="I82" s="374"/>
      <c r="J82" s="382"/>
      <c r="K82" s="267"/>
      <c r="L82" s="261"/>
    </row>
    <row r="83" spans="1:12" hidden="1">
      <c r="A83" s="261"/>
      <c r="B83" s="262"/>
      <c r="C83" s="272">
        <f>TAN(C76)+TAN(C77)</f>
        <v>0.15211751021086201</v>
      </c>
      <c r="D83" s="225"/>
      <c r="E83" s="376"/>
      <c r="F83" s="273"/>
      <c r="G83" s="272"/>
      <c r="H83" s="281"/>
      <c r="I83" s="374"/>
      <c r="J83" s="267"/>
      <c r="K83" s="267"/>
      <c r="L83" s="261"/>
    </row>
    <row r="84" spans="1:12" hidden="1">
      <c r="A84" s="261"/>
      <c r="B84" s="262"/>
      <c r="C84" s="272">
        <f>C82*SIN(J24)/20</f>
        <v>16.415822400534999</v>
      </c>
      <c r="D84" s="281"/>
      <c r="E84" s="376"/>
      <c r="F84" s="273"/>
      <c r="G84" s="272"/>
      <c r="H84" s="281"/>
      <c r="I84" s="374"/>
      <c r="J84" s="382"/>
      <c r="K84" s="267"/>
      <c r="L84" s="261"/>
    </row>
    <row r="85" spans="1:12" hidden="1">
      <c r="A85" s="261" t="s">
        <v>11391</v>
      </c>
      <c r="B85" s="262" t="s">
        <v>11392</v>
      </c>
      <c r="C85" s="240">
        <f>C64-C27/2</f>
        <v>87.3550804796714</v>
      </c>
      <c r="D85" s="281"/>
      <c r="E85" s="376"/>
      <c r="F85" s="273"/>
      <c r="G85" s="286">
        <f>C85</f>
        <v>87.3550804796714</v>
      </c>
      <c r="H85" s="281"/>
      <c r="I85" s="374"/>
      <c r="J85" s="267"/>
      <c r="K85" s="267"/>
      <c r="L85" s="261"/>
    </row>
    <row r="86" spans="1:12" hidden="1">
      <c r="A86" s="261" t="s">
        <v>11393</v>
      </c>
      <c r="B86" s="262" t="s">
        <v>11394</v>
      </c>
      <c r="C86" s="272">
        <f>C64-C27</f>
        <v>72.3550804796714</v>
      </c>
      <c r="D86" s="281"/>
      <c r="E86" s="376"/>
      <c r="F86" s="273"/>
      <c r="G86" s="272"/>
      <c r="H86" s="281"/>
      <c r="I86" s="374"/>
      <c r="J86" s="267"/>
      <c r="K86" s="267"/>
      <c r="L86" s="261"/>
    </row>
    <row r="87" spans="1:12" hidden="1">
      <c r="A87" s="261"/>
      <c r="B87" s="262"/>
      <c r="C87" s="272"/>
      <c r="D87" s="281"/>
      <c r="E87" s="376"/>
      <c r="F87" s="273"/>
      <c r="G87" s="272"/>
      <c r="H87" s="281"/>
      <c r="I87" s="383" t="s">
        <v>11395</v>
      </c>
      <c r="J87" s="384">
        <f>IF(C14=1,0,ASIN(1/(C43)*(C64+C85*(C43*SIN(J24)-C85)/C64)))</f>
        <v>0.75191046425177699</v>
      </c>
      <c r="K87" s="385" t="s">
        <v>8918</v>
      </c>
      <c r="L87" s="261"/>
    </row>
    <row r="88" spans="1:12" hidden="1">
      <c r="A88" s="259"/>
      <c r="B88" s="273" t="s">
        <v>11396</v>
      </c>
      <c r="C88" s="377">
        <f>IF(AND(C24&lt;=15,C64&gt;=20,C64&lt;=40,G30&lt;=9,C27&lt;=14,C22&gt;=2.5,C22&lt;=4),88.9,IF(AND(C24&gt;15,C24&lt;=30,C64&gt;=30,C64&lt;=54,G30&lt;=9,C27&lt;=18,C22&gt;=2.5,C22&lt;=4),88.9,IF(AND(C24&gt;30,C64&gt;=45,C64&lt;=65,G30&lt;=9,C27&lt;=20,C22&gt;=2.5,C22&lt;=4),88.9,IF(AND(C24&lt;=15,C64&gt;=60,C64&lt;=120,G30&lt;=15,C27&lt;=36,C22&gt;=4,C22&lt;=6.5),228.6,IF(AND(C24&gt;15,C24&lt;=30,C64&gt;=78,C64&lt;=130,G30&lt;=15,C27&lt;=45,C22&gt;=4,C22&lt;=7.5),228.6,IF(AND(C24&gt;30,C64&gt;=115,C64&lt;=165,G30&lt;=15,C27&lt;=50,C22&gt;=4,C22&lt;=8),228.6,E88))))))</f>
        <v>190.5</v>
      </c>
      <c r="D88" s="281" t="s">
        <v>8854</v>
      </c>
      <c r="E88" s="378">
        <f>IF(AND(C24&lt;=15,C64&gt;=35,C64&lt;=75,G30&lt;=10,C27&lt;=24,C22&gt;=2.5,C22&lt;=4.5),152.4,IF(AND(C24&gt;15,C24&lt;=30,C64&gt;=50,C64&lt;=87,G30&lt;=10,C27&lt;=30,C22&gt;=2.5,C22&lt;=5),152.4,IF(AND(C24&gt;30,C64&gt;=60,C64&lt;=110,G30&lt;=10,C27&lt;=30,C22&gt;=2.5,C22&lt;=5),152.4,IF(AND(C24&lt;=15,C64&gt;=90,C64&lt;=180,G30&lt;=20,C27&lt;=50,C22&gt;=5,C22&lt;=9),304.8,IF(AND(C24&gt;15,C24&lt;=30,C64&gt;=105,C64&lt;=175,G30&lt;=20,C27&lt;=60,C22&gt;=5,C22&lt;=10),304.8,IF(AND(C24&gt;30,C64&gt;=150,C64&lt;=220,G30&lt;=20,C27&lt;=65,C22&gt;=5,C22&lt;=11),304.8,G88))))))</f>
        <v>190.5</v>
      </c>
      <c r="F88" s="378"/>
      <c r="G88" s="378">
        <f>IF(AND(C24&lt;=15,C64&gt;=60,C64&lt;=120,G30&lt;=15,C27&lt;=30,C22&gt;=4,C22&lt;=6),190.5,IF(AND(C24&gt;15,C24&lt;=30,C64&gt;=65,C64&lt;=110,G30&lt;=15,C27&lt;=40,C22&gt;=4,C22&lt;=7.5),190.5,IF(AND(C24&gt;30,C64&gt;=95,C64&lt;=135,G30&lt;=15,C27&lt;=40,C22&gt;=4,C22&lt;=7.5),190.5,IF(AND(C24&lt;=15,C64&gt;=140,C64&lt;=240,G30&lt;=28,C27&lt;=70,C22&gt;=6,C22&lt;=12),457.2,IF(AND(C24&gt;15,C24&lt;=25,C64&gt;=140,C64&lt;=230,G30&lt;=28,C27&lt;=80,C22&gt;=6,C22&lt;=14),457.2,IF(AND(C24&gt;25,C24&lt;=35,C64&gt;=195,C64&lt;=290,G30&lt;=28,C27&lt;=100,C22&gt;=6,C22&lt;=15),457.2,IF(AND(C24&gt;35,C64&gt;=200,C64&lt;=360,G30&lt;=28,C27&lt;=100,C22&gt;=6,C22&lt;=15),457.2,"*")))))))</f>
        <v>190.5</v>
      </c>
      <c r="H88" s="336"/>
      <c r="I88" s="386"/>
      <c r="J88" s="387">
        <f>DEGREES(J87)</f>
        <v>43.081296173349202</v>
      </c>
      <c r="K88" s="388" t="s">
        <v>8920</v>
      </c>
      <c r="L88" s="261"/>
    </row>
    <row r="89" spans="1:12" hidden="1">
      <c r="A89" s="379"/>
      <c r="B89" s="268" t="s">
        <v>11397</v>
      </c>
      <c r="C89" s="259">
        <f>COS(J87)</f>
        <v>0.73038528789678603</v>
      </c>
      <c r="D89" s="259"/>
      <c r="E89" s="259"/>
      <c r="F89" s="259"/>
      <c r="G89" s="269"/>
      <c r="H89" s="259"/>
      <c r="I89" s="386"/>
      <c r="J89" s="387">
        <f>ROUND(INT(J88)+INT((J88-INT(J88))*60)/100+((J88-INT(J88))*60-INT((J88-INT(J88))*60))*60/10000,4)</f>
        <v>43.045299999999997</v>
      </c>
      <c r="K89" s="389" t="s">
        <v>11398</v>
      </c>
      <c r="L89" s="261"/>
    </row>
    <row r="90" spans="1:12" hidden="1">
      <c r="A90" s="379"/>
      <c r="B90" s="268" t="s">
        <v>11399</v>
      </c>
      <c r="C90" s="259">
        <f>1/4*SIN(2*J87)</f>
        <v>0.249439496571004</v>
      </c>
      <c r="D90" s="259"/>
      <c r="E90" s="259"/>
      <c r="F90" s="259"/>
      <c r="G90" s="259"/>
      <c r="H90" s="259"/>
      <c r="I90" s="386" t="s">
        <v>11400</v>
      </c>
      <c r="J90" s="387">
        <f>IF(C14=1,0,ASIN(1/(C43)*(C86+C85*(C43*SIN(J24)-C85)/C86)))</f>
        <v>0.62609062787755398</v>
      </c>
      <c r="K90" s="389" t="s">
        <v>8918</v>
      </c>
      <c r="L90" s="261"/>
    </row>
    <row r="91" spans="1:12" hidden="1">
      <c r="A91" s="379"/>
      <c r="B91" s="268" t="s">
        <v>11401</v>
      </c>
      <c r="C91" s="259">
        <f>0.25*COS(J87)^4</f>
        <v>7.1145604744421803E-2</v>
      </c>
      <c r="D91" s="259"/>
      <c r="E91" s="259"/>
      <c r="F91" s="259"/>
      <c r="G91" s="259"/>
      <c r="H91" s="259"/>
      <c r="I91" s="386"/>
      <c r="J91" s="387">
        <f>DEGREES(J90)</f>
        <v>35.872350570079597</v>
      </c>
      <c r="K91" s="388" t="s">
        <v>8920</v>
      </c>
      <c r="L91" s="261"/>
    </row>
    <row r="92" spans="1:12" hidden="1">
      <c r="A92" s="379"/>
      <c r="B92" s="268" t="s">
        <v>11402</v>
      </c>
      <c r="C92" s="259">
        <f>COS(J90)</f>
        <v>0.81032451392700799</v>
      </c>
      <c r="D92" s="259"/>
      <c r="E92" s="259"/>
      <c r="F92" s="259"/>
      <c r="G92" s="259"/>
      <c r="H92" s="259"/>
      <c r="I92" s="386"/>
      <c r="J92" s="387">
        <f>ROUND(INT(J91)+INT((J91-INT(J91))*60)/100+((J91-INT(J91))*60-INT((J91-INT(J91))*60))*60/10000,4)</f>
        <v>35.521999999999998</v>
      </c>
      <c r="K92" s="389" t="s">
        <v>11398</v>
      </c>
      <c r="L92" s="261"/>
    </row>
    <row r="93" spans="1:12" hidden="1">
      <c r="A93" s="379"/>
      <c r="B93" s="268"/>
      <c r="C93" s="259">
        <f>C92*C78</f>
        <v>11.257679307972699</v>
      </c>
      <c r="D93" s="259"/>
      <c r="E93" s="259"/>
      <c r="F93" s="259"/>
      <c r="G93" s="259"/>
      <c r="H93" s="259"/>
      <c r="I93" s="386"/>
      <c r="J93" s="390" t="s">
        <v>11403</v>
      </c>
      <c r="K93" s="391"/>
      <c r="L93" s="261"/>
    </row>
    <row r="94" spans="1:12" hidden="1">
      <c r="A94" s="379"/>
      <c r="B94" s="268"/>
      <c r="C94" s="259">
        <f>C92*C79</f>
        <v>7.8351422418533598</v>
      </c>
      <c r="D94" s="259"/>
      <c r="E94" s="259"/>
      <c r="F94" s="259"/>
      <c r="G94" s="259"/>
      <c r="H94" s="259"/>
      <c r="I94" s="386" t="s">
        <v>11404</v>
      </c>
      <c r="J94" s="392">
        <f>ATAN(TAN(J23)/COS(J24))</f>
        <v>0.43800215435949502</v>
      </c>
      <c r="K94" s="391"/>
      <c r="L94" s="261"/>
    </row>
    <row r="95" spans="1:12" hidden="1">
      <c r="A95" s="379"/>
      <c r="B95" s="268"/>
      <c r="C95" s="259">
        <f>2*C68*TAN(J23)</f>
        <v>4.1623635990682901</v>
      </c>
      <c r="D95" s="259"/>
      <c r="E95" s="259"/>
      <c r="F95" s="259"/>
      <c r="G95" s="259"/>
      <c r="H95" s="259"/>
      <c r="I95" s="393"/>
      <c r="J95" s="392">
        <f>SQRT(C21/C20*COS(C70)/ABS(COS(C71)))</f>
        <v>1.84615384615385</v>
      </c>
      <c r="K95" s="391"/>
      <c r="L95" s="261"/>
    </row>
    <row r="96" spans="1:12" hidden="1">
      <c r="A96" s="282"/>
      <c r="B96" s="268"/>
      <c r="C96" s="259">
        <f>2*C69*TAN(J23)</f>
        <v>7.1716694959812504</v>
      </c>
      <c r="D96" s="309"/>
      <c r="E96" s="259"/>
      <c r="F96" s="309"/>
      <c r="G96" s="259"/>
      <c r="H96" s="259"/>
      <c r="I96" s="393"/>
      <c r="J96" s="392">
        <f>ATAN(1/J95)</f>
        <v>0.49642275340488201</v>
      </c>
      <c r="K96" s="391"/>
      <c r="L96" s="261"/>
    </row>
    <row r="97" spans="1:12" hidden="1">
      <c r="A97" s="282"/>
      <c r="B97" s="352"/>
      <c r="C97" s="259">
        <f>1-C83</f>
        <v>0.84788248978913805</v>
      </c>
      <c r="D97" s="281"/>
      <c r="E97" s="259"/>
      <c r="F97" s="309"/>
      <c r="G97" s="259"/>
      <c r="H97" s="259"/>
      <c r="I97" s="393"/>
      <c r="J97" s="392">
        <f>PI()/2-J96</f>
        <v>1.0743735733900099</v>
      </c>
      <c r="K97" s="391"/>
      <c r="L97" s="261"/>
    </row>
    <row r="98" spans="1:12" hidden="1">
      <c r="A98" s="282"/>
      <c r="B98" s="268"/>
      <c r="C98" s="259">
        <f>C94-C95</f>
        <v>3.6727786427850702</v>
      </c>
      <c r="D98" s="281"/>
      <c r="E98" s="380"/>
      <c r="F98" s="268"/>
      <c r="G98" s="259"/>
      <c r="H98" s="259"/>
      <c r="I98" s="393" t="s">
        <v>11405</v>
      </c>
      <c r="J98" s="392">
        <f>C20*COS(J96)/COS(C70)</f>
        <v>13</v>
      </c>
      <c r="K98" s="391"/>
      <c r="L98" s="261"/>
    </row>
    <row r="99" spans="1:12" hidden="1">
      <c r="A99" s="282"/>
      <c r="B99" s="268"/>
      <c r="C99" s="259">
        <f>C93-C96</f>
        <v>4.0860098119914401</v>
      </c>
      <c r="D99" s="309"/>
      <c r="E99" s="259"/>
      <c r="F99" s="259"/>
      <c r="G99" s="259"/>
      <c r="H99" s="259"/>
      <c r="I99" s="393" t="s">
        <v>11406</v>
      </c>
      <c r="J99" s="392">
        <f>C21*COS(J97)/ABS(COS(C71))</f>
        <v>24</v>
      </c>
      <c r="K99" s="391"/>
      <c r="L99" s="261"/>
    </row>
    <row r="100" spans="1:12" hidden="1">
      <c r="A100" s="282"/>
      <c r="B100" s="293"/>
      <c r="C100" s="259">
        <f>2*C78*COS(C70)/C62</f>
        <v>0.25058114011255</v>
      </c>
      <c r="D100" s="281"/>
      <c r="E100" s="259"/>
      <c r="F100" s="259"/>
      <c r="G100" s="259"/>
      <c r="H100" s="259"/>
      <c r="I100" s="394"/>
      <c r="J100" s="392">
        <f>SQRT((J98/(2*COS(J96))+C66/C22)^2-(J98*COS(J94)/(2*COS(J96)))^2)</f>
        <v>5.2667550191449903</v>
      </c>
      <c r="K100" s="391"/>
      <c r="L100" s="261"/>
    </row>
    <row r="101" spans="1:12" hidden="1">
      <c r="A101" s="282"/>
      <c r="B101" s="293"/>
      <c r="C101" s="259">
        <f>2*C79*COS(C71)/C63</f>
        <v>5.1169434139275598E-2</v>
      </c>
      <c r="D101" s="281"/>
      <c r="E101" s="259"/>
      <c r="F101" s="259"/>
      <c r="G101" s="259"/>
      <c r="H101" s="259"/>
      <c r="I101" s="394"/>
      <c r="J101" s="392">
        <f>SQRT((J99/(2*COS(J97))+C67/C22)^2-(J99*COS(J94)/(2*COS(J97)))^2)</f>
        <v>11.9776939748477</v>
      </c>
      <c r="K101" s="391"/>
      <c r="L101" s="261"/>
    </row>
    <row r="102" spans="1:12" hidden="1">
      <c r="A102" s="282"/>
      <c r="B102" s="293"/>
      <c r="C102" s="259">
        <f>C78*(1-C100^2/6)</f>
        <v>13.7474132885096</v>
      </c>
      <c r="D102" s="281"/>
      <c r="E102" s="259"/>
      <c r="F102" s="259"/>
      <c r="G102" s="259"/>
      <c r="H102" s="259"/>
      <c r="I102" s="394"/>
      <c r="J102" s="392">
        <f>TAN(J94)/PI()*(J98/(2*COS(J96))+J99/(2*COS(J97)))</f>
        <v>4.8580638722433704</v>
      </c>
      <c r="K102" s="391"/>
      <c r="L102" s="261"/>
    </row>
    <row r="103" spans="1:12" hidden="1">
      <c r="A103" s="282"/>
      <c r="B103" s="293"/>
      <c r="C103" s="259">
        <f>C79*(1-C101^2/6)</f>
        <v>9.6649218521835802</v>
      </c>
      <c r="D103" s="281"/>
      <c r="E103" s="259"/>
      <c r="F103" s="259"/>
      <c r="G103" s="259"/>
      <c r="H103" s="259"/>
      <c r="I103" s="395" t="s">
        <v>11407</v>
      </c>
      <c r="J103" s="392">
        <f>(J100+J101)/(PI()*COS(J94))-J102</f>
        <v>1.20319235163724</v>
      </c>
      <c r="K103" s="391"/>
      <c r="L103" s="261"/>
    </row>
    <row r="104" spans="1:12" hidden="1">
      <c r="A104" s="282"/>
      <c r="B104" s="293"/>
      <c r="C104" s="259">
        <f>C90*C78</f>
        <v>3.4654139309322001</v>
      </c>
      <c r="D104" s="281"/>
      <c r="E104" s="259"/>
      <c r="F104" s="259"/>
      <c r="G104" s="259"/>
      <c r="H104" s="259"/>
      <c r="I104" s="394"/>
      <c r="J104" s="392">
        <f>SQRT((C43/2)^2+C85^2-C43*C85*SIN(J24))</f>
        <v>78.935809816909099</v>
      </c>
      <c r="K104" s="391"/>
      <c r="L104" s="261"/>
    </row>
    <row r="105" spans="1:12" hidden="1">
      <c r="A105" s="282"/>
      <c r="B105" s="293"/>
      <c r="C105" s="259">
        <f>C90*C79</f>
        <v>2.4118657436373101</v>
      </c>
      <c r="D105" s="281"/>
      <c r="E105" s="259"/>
      <c r="F105" s="259"/>
      <c r="G105" s="259"/>
      <c r="H105" s="259"/>
      <c r="I105" s="394"/>
      <c r="J105" s="392">
        <f>C43/2*COS(J90)/J104</f>
        <v>0.97779968471310696</v>
      </c>
      <c r="K105" s="391"/>
      <c r="L105" s="261"/>
    </row>
    <row r="106" spans="1:12" hidden="1">
      <c r="A106" s="309" t="s">
        <v>11408</v>
      </c>
      <c r="B106" s="293" t="s">
        <v>11409</v>
      </c>
      <c r="C106" s="259">
        <f>C64-C104</f>
        <v>98.8896665487392</v>
      </c>
      <c r="D106" s="281"/>
      <c r="E106" s="259"/>
      <c r="F106" s="259"/>
      <c r="G106" s="259"/>
      <c r="H106" s="259"/>
      <c r="I106" s="394"/>
      <c r="J106" s="392">
        <f>C43/2*COS(J24)/J104</f>
        <v>0.93776389955930695</v>
      </c>
      <c r="K106" s="391"/>
      <c r="L106" s="261"/>
    </row>
    <row r="107" spans="1:12" hidden="1">
      <c r="A107" s="309" t="s">
        <v>11410</v>
      </c>
      <c r="B107" s="293" t="s">
        <v>11411</v>
      </c>
      <c r="C107" s="259">
        <f>C64-C105</f>
        <v>99.943214736034093</v>
      </c>
      <c r="D107" s="281"/>
      <c r="E107" s="259"/>
      <c r="F107" s="259"/>
      <c r="G107" s="259"/>
      <c r="H107" s="259"/>
      <c r="I107" s="394"/>
      <c r="J107" s="392">
        <f>C43/2*COS(J87)/J104</f>
        <v>0.88133888577990105</v>
      </c>
      <c r="K107" s="391"/>
      <c r="L107" s="261"/>
    </row>
    <row r="108" spans="1:12" hidden="1">
      <c r="A108" s="309"/>
      <c r="B108" s="293"/>
      <c r="C108" s="259">
        <f>C106/C64</f>
        <v>0.96614321522007396</v>
      </c>
      <c r="D108" s="281"/>
      <c r="E108" s="259"/>
      <c r="F108" s="259"/>
      <c r="G108" s="259"/>
      <c r="H108" s="259"/>
      <c r="I108" s="394"/>
      <c r="J108" s="392">
        <f>ASIN(J105)-ASIN(J106)</f>
        <v>0.14355570215501201</v>
      </c>
      <c r="K108" s="391"/>
      <c r="L108" s="261"/>
    </row>
    <row r="109" spans="1:12" hidden="1">
      <c r="A109" s="309"/>
      <c r="B109" s="293"/>
      <c r="C109" s="259">
        <f>C107/C64</f>
        <v>0.97643628696949403</v>
      </c>
      <c r="D109" s="281"/>
      <c r="E109" s="259"/>
      <c r="F109" s="259"/>
      <c r="G109" s="259"/>
      <c r="H109" s="259"/>
      <c r="I109" s="394"/>
      <c r="J109" s="392">
        <f>ASIN(J106)-ASIN(J107)</f>
        <v>0.13744579872042501</v>
      </c>
      <c r="K109" s="391"/>
      <c r="L109" s="261"/>
    </row>
    <row r="110" spans="1:12" hidden="1">
      <c r="A110" s="309"/>
      <c r="B110" s="293"/>
      <c r="C110" s="259">
        <f>0.5*C78*C91*C100</f>
        <v>0.123838691940983</v>
      </c>
      <c r="D110" s="281"/>
      <c r="E110" s="259"/>
      <c r="F110" s="259"/>
      <c r="G110" s="259"/>
      <c r="H110" s="259"/>
      <c r="I110" s="394"/>
      <c r="J110" s="392">
        <f>J108+J109</f>
        <v>0.28100150087543802</v>
      </c>
      <c r="K110" s="391"/>
      <c r="L110" s="261"/>
    </row>
    <row r="111" spans="1:12" hidden="1">
      <c r="A111" s="309"/>
      <c r="B111" s="293"/>
      <c r="C111" s="259">
        <f>0.5*C79*C91*C101</f>
        <v>1.7600159425699001E-2</v>
      </c>
      <c r="D111" s="281"/>
      <c r="E111" s="259"/>
      <c r="F111" s="259"/>
      <c r="G111" s="259"/>
      <c r="H111" s="259"/>
      <c r="I111" s="396" t="s">
        <v>11412</v>
      </c>
      <c r="J111" s="387">
        <f>C64*J110/(PI()*C22)</f>
        <v>1.2206942744639899</v>
      </c>
      <c r="K111" s="391"/>
      <c r="L111" s="261"/>
    </row>
    <row r="112" spans="1:12" hidden="1">
      <c r="A112" s="352" t="s">
        <v>11413</v>
      </c>
      <c r="B112" s="293" t="s">
        <v>8995</v>
      </c>
      <c r="C112" s="259">
        <f>C89*C102*C108</f>
        <v>9.7009555374450294</v>
      </c>
      <c r="D112" s="281"/>
      <c r="E112" s="259"/>
      <c r="F112" s="259"/>
      <c r="G112" s="259"/>
      <c r="H112" s="259"/>
      <c r="I112" s="397" t="s">
        <v>11414</v>
      </c>
      <c r="J112" s="398">
        <f>SQRT(J103^2+J111^2)</f>
        <v>1.7139913496711401</v>
      </c>
      <c r="K112" s="399"/>
      <c r="L112" s="261"/>
    </row>
    <row r="113" spans="1:12" hidden="1">
      <c r="A113" s="352" t="s">
        <v>11415</v>
      </c>
      <c r="B113" s="293" t="s">
        <v>11416</v>
      </c>
      <c r="C113" s="259">
        <f>C89*C103*C109</f>
        <v>6.8927777286440897</v>
      </c>
      <c r="D113" s="281"/>
      <c r="E113" s="259"/>
      <c r="F113" s="259"/>
      <c r="G113" s="259"/>
      <c r="H113" s="259"/>
      <c r="I113" s="319"/>
      <c r="J113" s="259"/>
      <c r="K113" s="259"/>
      <c r="L113" s="261"/>
    </row>
    <row r="114" spans="1:12" hidden="1">
      <c r="A114" s="352" t="s">
        <v>11417</v>
      </c>
      <c r="B114" s="293" t="s">
        <v>11418</v>
      </c>
      <c r="C114" s="259">
        <f>C108*(C66+C110)</f>
        <v>8.2758269348883804</v>
      </c>
      <c r="D114" s="281"/>
      <c r="E114" s="259"/>
      <c r="F114" s="259"/>
      <c r="G114" s="259"/>
      <c r="H114" s="259"/>
      <c r="I114" s="293"/>
      <c r="J114" s="259"/>
      <c r="K114" s="259"/>
      <c r="L114" s="261"/>
    </row>
    <row r="115" spans="1:12" hidden="1">
      <c r="A115" s="352" t="s">
        <v>11419</v>
      </c>
      <c r="B115" s="293" t="s">
        <v>11420</v>
      </c>
      <c r="C115" s="259">
        <f>C109*(C67+C111)</f>
        <v>4.22367295858428</v>
      </c>
      <c r="D115" s="259"/>
      <c r="E115" s="259"/>
      <c r="F115" s="259"/>
      <c r="G115" s="259"/>
      <c r="H115" s="259"/>
      <c r="I115" s="293"/>
      <c r="J115" s="259"/>
      <c r="K115" s="259"/>
      <c r="L115" s="261"/>
    </row>
    <row r="116" spans="1:12" hidden="1">
      <c r="A116" s="361" t="s">
        <v>9042</v>
      </c>
      <c r="B116" s="293"/>
      <c r="C116" s="259"/>
      <c r="D116" s="259"/>
      <c r="E116" s="259"/>
      <c r="F116" s="259"/>
      <c r="G116" s="259"/>
      <c r="H116" s="259"/>
      <c r="I116" s="293"/>
      <c r="J116" s="259"/>
      <c r="K116" s="259"/>
      <c r="L116" s="261"/>
    </row>
    <row r="117" spans="1:12" hidden="1">
      <c r="A117" s="249" t="s">
        <v>11421</v>
      </c>
      <c r="B117" s="268" t="s">
        <v>11422</v>
      </c>
      <c r="C117" s="282">
        <f>C118*COS(J24)/C20</f>
        <v>4.9744219600077697</v>
      </c>
      <c r="D117" s="320"/>
      <c r="E117" s="269"/>
      <c r="F117" s="319"/>
      <c r="G117" s="337">
        <f>C117</f>
        <v>4.9744219600077697</v>
      </c>
      <c r="H117" s="259"/>
      <c r="I117" s="293"/>
      <c r="J117" s="259"/>
      <c r="K117" s="259"/>
      <c r="L117" s="261"/>
    </row>
    <row r="118" spans="1:12" hidden="1">
      <c r="A118" s="249" t="s">
        <v>11423</v>
      </c>
      <c r="B118" s="268" t="s">
        <v>11424</v>
      </c>
      <c r="C118" s="282">
        <f>C85/C64*C62</f>
        <v>83.211505543777406</v>
      </c>
      <c r="D118" s="320"/>
      <c r="E118" s="269"/>
      <c r="F118" s="268" t="s">
        <v>11425</v>
      </c>
      <c r="G118" s="259">
        <f>C85/C64*C63</f>
        <v>153.62124100389701</v>
      </c>
      <c r="H118" s="259"/>
      <c r="I118" s="293"/>
      <c r="J118" s="259"/>
      <c r="K118" s="259"/>
      <c r="L118" s="261"/>
    </row>
    <row r="119" spans="1:12" hidden="1">
      <c r="A119" s="352" t="s">
        <v>11426</v>
      </c>
      <c r="B119" s="268" t="s">
        <v>11427</v>
      </c>
      <c r="C119" s="282">
        <f>PI()*C118/2</f>
        <v>130.708327255239</v>
      </c>
      <c r="D119" s="320"/>
      <c r="E119" s="269"/>
      <c r="F119" s="268" t="s">
        <v>11428</v>
      </c>
      <c r="G119" s="259">
        <f>PI()*G118/2</f>
        <v>241.30768108659501</v>
      </c>
      <c r="H119" s="259"/>
      <c r="I119" s="293"/>
      <c r="J119" s="259"/>
      <c r="K119" s="259"/>
      <c r="L119" s="261"/>
    </row>
    <row r="120" spans="1:12" hidden="1">
      <c r="A120" s="381"/>
      <c r="B120" s="268" t="s">
        <v>9046</v>
      </c>
      <c r="C120" s="282">
        <f>IF(AND(C119&gt;20,C119&lt;=32,C28=5),12,IF(AND(C119&gt;32,C119&lt;=50,C28=5),14,IF(AND(C119&gt;50,C119&lt;=80,C28=5),16,IF(AND(C119&gt;80,C119&lt;=160,C28=5),20,IF(AND(C119&gt;160,C119&lt;=315,C28=5),28,IF(AND(C119&gt;315,C119&lt;=630,C28=5),40,IF(AND(C119&gt;630,C119&lt;=1000,C28=5),50,C121)))))))</f>
        <v>45</v>
      </c>
      <c r="D120" s="320"/>
      <c r="E120" s="269"/>
      <c r="F120" s="293" t="s">
        <v>9047</v>
      </c>
      <c r="G120" s="282">
        <f>IF(AND(G119&gt;20,G119&lt;=32,C28=5),12,IF(AND(G119&gt;32,G119&lt;=50,C28=5),14,IF(AND(G119&gt;50,G119&lt;=80,C28=5),16,IF(AND(G119&gt;80,G119&lt;=160,C28=5),20,IF(AND(G119&gt;160,G119&lt;=315,C28=5),28,IF(AND(G119&gt;315,G119&lt;=630,C28=5),40,IF(AND(G119&gt;630,G119&lt;=1000,C28=5),50,G121)))))))</f>
        <v>63</v>
      </c>
      <c r="H120" s="259"/>
      <c r="I120" s="293"/>
      <c r="J120" s="259"/>
      <c r="K120" s="259"/>
      <c r="L120" s="261"/>
    </row>
    <row r="121" spans="1:12" hidden="1">
      <c r="A121" s="381"/>
      <c r="B121" s="282"/>
      <c r="C121" s="337">
        <f>IF(AND(C119&gt;20,C119&lt;=32,C28=6),20,IF(AND(C119&gt;32,C119&lt;=50,C28=6),22,IF(AND(C119&gt;50,C119&lt;=80,C28=6),25,IF(AND(C119&gt;80,C119&lt;=160,C28=6),32,IF(AND(C119&gt;160,C119&lt;=315,C28=6),45,IF(AND(C119&gt;315,C119&lt;=630,C28=6),63,IF(AND(C119&gt;630,C119&lt;=1000,C28=6),80,C122)))))))</f>
        <v>45</v>
      </c>
      <c r="D121" s="320"/>
      <c r="E121" s="269"/>
      <c r="F121" s="267"/>
      <c r="G121" s="337">
        <f>IF(AND(G119&gt;20,G119&lt;=32,C28=6),20,IF(AND(G119&gt;32,G119&lt;=50,C28=6),22,IF(AND(G119&gt;50,G119&lt;=80,C28=6),25,IF(AND(G119&gt;80,G119&lt;=160,C28=6),32,IF(AND(G119&gt;160,G119&lt;=315,C28=6),45,IF(AND(G119&gt;315,G119&lt;=630,C28=6),63,IF(AND(G119&gt;630,G119&lt;=1000,C28=6),80,G122)))))))</f>
        <v>63</v>
      </c>
      <c r="H121" s="259"/>
      <c r="I121" s="293"/>
      <c r="J121" s="259"/>
      <c r="K121" s="259"/>
      <c r="L121" s="261"/>
    </row>
    <row r="122" spans="1:12" hidden="1">
      <c r="A122" s="381"/>
      <c r="B122" s="282"/>
      <c r="C122" s="337">
        <f>IF(AND(C119&gt;20,C119&lt;=32,C28=7),28,IF(AND(C119&gt;32,C119&lt;=50,C28=7),32,IF(AND(C119&gt;50,C119&lt;=80,C28=7),36,IF(AND(C119&gt;80,C119&lt;=160,C28=7),45,IF(AND(C119&gt;160,C119&lt;=315,C28=7),63,IF(AND(C119&gt;315,C119&lt;=630,C28=7),90,IF(AND(C119&gt;630,C119&lt;=1000,C28=7),112,C123)))))))</f>
        <v>45</v>
      </c>
      <c r="D122" s="320"/>
      <c r="E122" s="269"/>
      <c r="F122" s="267"/>
      <c r="G122" s="337">
        <f>IF(AND(G119&gt;20,G119&lt;=32,C28=7),28,IF(AND(G119&gt;32,G119&lt;=50,C28=7),32,IF(AND(G119&gt;50,G119&lt;=80,C28=7),36,IF(AND(G119&gt;80,G119&lt;=160,C28=7),45,IF(AND(G119&gt;160,G119&lt;=315,C28=7),63,IF(AND(G119&gt;315,G119&lt;=630,C28=7),90,IF(AND(G119&gt;630,G119&lt;=1000,C28=7),112,G123)))))))</f>
        <v>63</v>
      </c>
      <c r="H122" s="259"/>
      <c r="I122" s="293"/>
      <c r="J122" s="259"/>
      <c r="K122" s="259"/>
      <c r="L122" s="261"/>
    </row>
    <row r="123" spans="1:12" hidden="1">
      <c r="A123" s="381"/>
      <c r="B123" s="282"/>
      <c r="C123" s="337" t="str">
        <f>IF(AND(C119&gt;20,C119&lt;=32,C28=8),40,IF(AND(C119&gt;32,C119&lt;=50,C28=8),45,IF(AND(C119&gt;50,C119&lt;=80,C28=8),50,IF(AND(C119&gt;80,C119&lt;=160,C28=8),63,IF(AND(C119&gt;160,C119&lt;=315,C28=8),90,IF(AND(C119&gt;315,C119&lt;=630,C28=8),125,IF(AND(C119&gt;630,C119&lt;=1000,C28=8),160,"*")))))))</f>
        <v>*</v>
      </c>
      <c r="D123" s="320"/>
      <c r="E123" s="269"/>
      <c r="F123" s="267"/>
      <c r="G123" s="337" t="str">
        <f>IF(AND(G119&gt;20,G119&lt;=32,C28=8),40,IF(AND(G119&gt;32,G119&lt;=50,C28=8),45,IF(AND(G119&gt;50,G119&lt;=80,C28=8),50,IF(AND(G119&gt;80,G119&lt;=160,C28=8),63,IF(AND(G119&gt;160,G119&lt;=315,C28=8),90,IF(AND(G119&gt;315,G119&lt;=630,C28=8),125,IF(AND(G119&gt;630,G119&lt;=1000,C28=8),160,"*")))))))</f>
        <v>*</v>
      </c>
      <c r="H123" s="259"/>
      <c r="I123" s="293"/>
      <c r="J123" s="259"/>
      <c r="K123" s="259"/>
      <c r="L123" s="261"/>
    </row>
    <row r="124" spans="1:12" hidden="1">
      <c r="A124" s="381"/>
      <c r="B124" s="293" t="s">
        <v>11429</v>
      </c>
      <c r="C124" s="282">
        <f>IF(AND(C118&lt;=125,C117&gt;=1,C117&lt;=3.5,C29=5),6,IF(AND(C118&lt;=125,C117&gt;3.5,C117&lt;=6.3,C29=5),8,IF(AND(C118&lt;=125,C117&gt;6.3,C117&lt;=10,C29=5),9,IF(AND(C118&gt;125,C118&lt;=400,C117&gt;=1,C117&lt;=3.5,C29=5),7,IF(AND(C118&gt;125,C118&lt;=400,C117&gt;3.5,C117&lt;=6.3,C29=5),9,IF(AND(C118&gt;125,C118&lt;=400,C117&gt;6.3,C117&lt;=10,C29=5),10,C125))))))</f>
        <v>13</v>
      </c>
      <c r="D124" s="320"/>
      <c r="E124" s="269"/>
      <c r="F124" s="293" t="s">
        <v>9056</v>
      </c>
      <c r="G124" s="282">
        <f>IF(AND(G118&lt;=125,G117&gt;=1,G117&lt;=3.5,C29=5),6,IF(AND(G118&lt;=125,G117&gt;3.5,G117&lt;=6.3,C29=5),8,IF(AND(G118&lt;=125,G117&gt;6.3,G117&lt;=10,C29=5),9,IF(AND(G118&gt;125,G118&lt;=400,G117&gt;=1,G117&lt;=3.5,C29=5),7,IF(AND(G118&gt;125,G118&lt;=400,G117&gt;3.5,G117&lt;=6.3,C29=5),9,IF(AND(G118&gt;125,G118&lt;=400,G117&gt;6.3,G117&lt;=10,C29=5),10,G125))))))</f>
        <v>14</v>
      </c>
      <c r="H124" s="259"/>
      <c r="I124" s="293"/>
      <c r="J124" s="259"/>
      <c r="K124" s="259"/>
      <c r="L124" s="261"/>
    </row>
    <row r="125" spans="1:12" hidden="1">
      <c r="A125" s="381"/>
      <c r="B125" s="282"/>
      <c r="C125" s="337">
        <f>IF(AND(C118&lt;=125,C117&gt;=1,C117&lt;=3.5,C29=6),10,IF(AND(C118&lt;=125,C117&gt;3.5,C117&lt;=6.3,C29=6),13,IF(AND(C118&lt;=125,C117&gt;6.3,C117&lt;=10,C29=6),14,IF(AND(C118&gt;125,C118&lt;=400,C117&gt;=1,C117&lt;=3.5,C29=6),11,IF(AND(C118&gt;125,C118&lt;=400,C117&gt;3.5,C117&lt;=6.3,C29=6),14,IF(AND(C118&gt;125,C118&lt;=400,C117&gt;6.3,C117&lt;=10,C29=6),16,C126))))))</f>
        <v>13</v>
      </c>
      <c r="D125" s="320"/>
      <c r="E125" s="269"/>
      <c r="F125" s="267"/>
      <c r="G125" s="337">
        <f>IF(AND(G118&lt;=125,G117&gt;=1,G117&lt;=3.5,C29=6),10,IF(AND(G118&lt;=125,G117&gt;3.5,G117&lt;=6.3,C29=6),13,IF(AND(G118&lt;=125,G117&gt;6.3,G117&lt;=10,C29=6),14,IF(AND(G118&gt;125,G118&lt;=400,G117&gt;=1,G117&lt;=3.5,C29=6),11,IF(AND(G118&gt;125,G118&lt;=400,G117&gt;3.5,G117&lt;=6.3,C29=6),14,IF(AND(G118&gt;125,G118&lt;=400,G117&gt;6.3,G117&lt;=10,C29=6),16,G126))))))</f>
        <v>14</v>
      </c>
      <c r="H125" s="259"/>
      <c r="I125" s="293"/>
      <c r="J125" s="259"/>
      <c r="K125" s="259"/>
      <c r="L125" s="261"/>
    </row>
    <row r="126" spans="1:12" hidden="1">
      <c r="A126" s="381"/>
      <c r="B126" s="282"/>
      <c r="C126" s="337" t="str">
        <f>IF(AND(C118&lt;=125,C117&gt;=1,C117&lt;=3.5,C29=7),14,IF(AND(C118&lt;=125,C117&gt;3.5,C117&lt;=6.3,C29=7),18,IF(AND(C118&lt;=125,C117&gt;6.3,C117&lt;=10,C29=7),20,IF(AND(C118&gt;125,C118&lt;=400,C117&gt;=1,C117&lt;=3.5,C29=7),16,IF(AND(C118&gt;125,C118&lt;=400,C117&gt;3.5,C117&lt;=6.3,C29=7),20,IF(AND(C118&gt;125,C118&lt;=400,C117&gt;6.3,C117&lt;=10,C29=7),22,C127))))))</f>
        <v>*</v>
      </c>
      <c r="D126" s="320"/>
      <c r="E126" s="269"/>
      <c r="F126" s="267"/>
      <c r="G126" s="337" t="str">
        <f>IF(AND(G118&lt;=125,G117&gt;=1,G117&lt;=3.5,C29=7),14,IF(AND(G118&lt;=125,G117&gt;3.5,G117&lt;=6.3,C29=7),18,IF(AND(G118&lt;=125,G117&gt;6.3,G117&lt;=10,C29=7),20,IF(AND(G118&gt;125,G118&lt;=400,G117&gt;=1,G117&lt;=3.5,C29=7),16,IF(AND(G118&gt;125,G118&lt;=400,G117&gt;3.5,G117&lt;=6.3,C29=7),20,IF(AND(G118&gt;125,G118&lt;=400,G117&gt;6.3,G117&lt;=10,C29=7),22,G127))))))</f>
        <v>*</v>
      </c>
      <c r="H126" s="259"/>
      <c r="I126" s="293"/>
      <c r="J126" s="259"/>
      <c r="K126" s="259"/>
      <c r="L126" s="261"/>
    </row>
    <row r="127" spans="1:12" hidden="1">
      <c r="A127" s="381"/>
      <c r="B127" s="282"/>
      <c r="C127" s="337" t="str">
        <f>IF(AND(C118&lt;=125,C117&gt;=1,C117&lt;=3.5,C29=8),20,IF(AND(C118&lt;=125,C117&gt;3.5,C117&lt;=6.3,C29=8),25,IF(AND(C118&lt;=125,C117&gt;6.3,C117&lt;=10,C29=8),28,IF(AND(C118&gt;125,C118&lt;=400,C117&gt;=1,C117&lt;=3.5,C29=8),22,IF(AND(C118&gt;125,C118&lt;=400,C117&gt;3.5,C117&lt;=6.3,C29=8),28,IF(AND(C118&gt;125,C118&lt;=400,C117&gt;6.3,C117&lt;=10,C29=8),32,"*"))))))</f>
        <v>*</v>
      </c>
      <c r="D127" s="320"/>
      <c r="E127" s="269"/>
      <c r="F127" s="267"/>
      <c r="G127" s="337" t="str">
        <f>IF(AND(G118&lt;=125,G117&gt;=1,G117&lt;=3.5,C29=8),20,IF(AND(G118&lt;=125,G117&gt;3.5,G117&lt;=6.3,C29=8),25,IF(AND(G118&lt;=125,G117&gt;6.3,G117&lt;=10,C29=8),28,IF(AND(G118&gt;125,G118&lt;=400,G117&gt;=1,G117&lt;=3.5,C29=8),22,IF(AND(G118&gt;125,G118&lt;=400,G117&gt;3.5,G117&lt;=6.3,C29=8),28,IF(AND(G118&gt;125,G118&lt;=400,G117&gt;6.3,G117&lt;=10,C29=8),32,"*"))))))</f>
        <v>*</v>
      </c>
      <c r="H127" s="259"/>
      <c r="I127" s="293"/>
      <c r="J127" s="259"/>
      <c r="K127" s="259"/>
      <c r="L127" s="261"/>
    </row>
    <row r="128" spans="1:12" hidden="1">
      <c r="A128" s="352" t="s">
        <v>11430</v>
      </c>
      <c r="B128" s="268" t="s">
        <v>11431</v>
      </c>
      <c r="C128" s="282">
        <f>IF(AND(C118&lt;=125,C117&gt;=1,C117&lt;=3.5,C29=5),4,IF(AND(C118&lt;=125,C117&gt;3.5,C117&lt;=6.3,C29=5),5,IF(AND(C118&lt;=125,C117&gt;6.3,C117&lt;=10,C29=5),6,IF(AND(C118&gt;125,C118&lt;=400,C117&gt;=1,C117&lt;=3.5,C29=5),5,IF(AND(C118&gt;125,C118&lt;=400,C117&gt;3.5,C117&lt;=6.3,C29=5),6,IF(AND(C118&gt;125,C118&lt;=400,C117&gt;6.3,C117&lt;=10,C29=5),7,C129))))))</f>
        <v>6</v>
      </c>
      <c r="D128" s="320"/>
      <c r="E128" s="269"/>
      <c r="F128" s="268" t="s">
        <v>11432</v>
      </c>
      <c r="G128" s="282">
        <f>IF(AND(G118&lt;=125,G117&gt;=1,G117&lt;=3.5,C29=5),4,IF(AND(G118&lt;=125,G117&gt;3.5,G117&lt;=6.3,C29=5),5,IF(AND(G118&lt;=125,G117&gt;6.3,G117&lt;=10,C29=5),6,IF(AND(G118&gt;125,G118&lt;=400,G117&gt;=1,G117&lt;=3.5,C29=5),5,IF(AND(G118&gt;125,G118&lt;=400,G117&gt;3.5,G117&lt;=6.3,C29=5),6,IF(AND(G118&gt;125,G118&lt;=400,G117&gt;6.3,G117&lt;=10,C29=5),7,G129))))))</f>
        <v>8</v>
      </c>
      <c r="H128" s="259"/>
      <c r="I128" s="293"/>
      <c r="J128" s="259"/>
      <c r="K128" s="259"/>
      <c r="L128" s="261"/>
    </row>
    <row r="129" spans="1:12" hidden="1">
      <c r="A129" s="381"/>
      <c r="B129" s="320"/>
      <c r="C129" s="337">
        <f>IF(AND(C118&lt;=125,C117&gt;=1,C117&lt;=3.5,C29=6),5,IF(AND(C118&lt;=125,C117&gt;3.5,C117&lt;=6.3,C29=6),6,IF(AND(C118&lt;=125,C117&gt;6.3,C117&lt;=10,C29=6),8,IF(AND(C118&gt;125,C118&lt;=400,C117&gt;=1,C117&lt;=3.5,C29=6),7,IF(AND(C118&gt;125,C118&lt;=400,C117&gt;3.5,C117&lt;=6.3,C29=6),8,IF(AND(C118&gt;125,C118&lt;=400,C117&gt;6.3,C117&lt;=10,C29=6),9,C130))))))</f>
        <v>6</v>
      </c>
      <c r="D129" s="320"/>
      <c r="E129" s="269"/>
      <c r="F129" s="319"/>
      <c r="G129" s="337">
        <f>IF(AND(G118&lt;=125,G117&gt;=1,G117&lt;=3.5,C29=6),5,IF(AND(G118&lt;=125,G117&gt;3.5,G117&lt;=6.3,C29=6),6,IF(AND(G118&lt;=125,G117&gt;6.3,G117&lt;=10,C29=6),8,IF(AND(G118&gt;125,G118&lt;=400,G117&gt;=1,G117&lt;=3.5,C29=6),7,IF(AND(G118&gt;125,G118&lt;=400,G117&gt;3.5,G117&lt;=6.3,C29=6),8,IF(AND(G118&gt;125,G118&lt;=400,G117&gt;6.3,G117&lt;=10,C29=6),9,G130))))))</f>
        <v>8</v>
      </c>
      <c r="H129" s="259"/>
      <c r="I129" s="293"/>
      <c r="J129" s="259"/>
      <c r="K129" s="259"/>
      <c r="L129" s="261"/>
    </row>
    <row r="130" spans="1:12" hidden="1">
      <c r="A130" s="381"/>
      <c r="B130" s="320"/>
      <c r="C130" s="337" t="str">
        <f>IF(AND(C118&lt;=125,C117&gt;=1,C117&lt;=3.5,C29=7),8,IF(AND(C118&lt;=125,C117&gt;3.5,C117&lt;=6.3,C29=7),9,IF(AND(C118&lt;=125,C117&gt;6.3,C117&lt;=10,C29=7),11,IF(AND(C118&gt;125,C118&lt;=400,C117&gt;=1,C117&lt;=3.5,C29=7),9,IF(AND(C118&gt;125,C118&lt;=400,C117&gt;3.5,C117&lt;=6.3,C29=7),11,IF(AND(C118&gt;125,C118&lt;=400,C117&gt;6.3,C117&lt;=10,C29=7),13,C131))))))</f>
        <v>*</v>
      </c>
      <c r="D130" s="320"/>
      <c r="E130" s="269"/>
      <c r="F130" s="319"/>
      <c r="G130" s="337" t="str">
        <f>IF(AND(G118&lt;=125,G117&gt;=1,G117&lt;=3.5,C29=7),8,IF(AND(G118&lt;=125,G117&gt;3.5,G117&lt;=6.3,C29=7),9,IF(AND(G118&lt;=125,G117&gt;6.3,G117&lt;=10,C29=7),11,IF(AND(G118&gt;125,G118&lt;=400,G117&gt;=1,G117&lt;=3.5,C29=7),9,IF(AND(G118&gt;125,G118&lt;=400,G117&gt;3.5,G117&lt;=6.3,C29=7),11,IF(AND(G118&gt;125,G118&lt;=400,G117&gt;6.3,G117&lt;=10,C29=7),13,G131))))))</f>
        <v>*</v>
      </c>
      <c r="H130" s="259"/>
      <c r="I130" s="293"/>
      <c r="J130" s="259"/>
      <c r="K130" s="259"/>
      <c r="L130" s="261"/>
    </row>
    <row r="131" spans="1:12" hidden="1">
      <c r="A131" s="320"/>
      <c r="B131" s="320"/>
      <c r="C131" s="337" t="str">
        <f>IF(AND(C118&lt;=125,C117&gt;=1,C117&lt;=3.5,C29=8),10,IF(AND(C118&lt;=125,C117&gt;3.5,C117&lt;=6.3,C29=8),13,IF(AND(C118&lt;=125,C117&gt;6.3,C117&lt;=10,C29=8),17,IF(AND(C118&gt;125,C118&lt;=400,C117&gt;=1,C117&lt;=3.5,C29=8),13,IF(AND(C118&gt;125,C118&lt;=400,C117&gt;3.5,C117&lt;=6.3,C29=8),15,IF(AND(C118&gt;125,C118&lt;=400,C117&gt;6.3,C117&lt;=10,C29=8),19,"*"))))))</f>
        <v>*</v>
      </c>
      <c r="D131" s="320"/>
      <c r="E131" s="269"/>
      <c r="F131" s="319"/>
      <c r="G131" s="337" t="str">
        <f>IF(AND(G118&lt;=125,G117&gt;=1,G117&lt;=3.5,C29=8),10,IF(AND(G118&lt;=125,G117&gt;3.5,G117&lt;=6.3,C29=8),13,IF(AND(G118&lt;=125,G117&gt;6.3,G117&lt;=10,C29=8),17,IF(AND(G118&gt;125,G118&lt;=400,G117&gt;=1,G117&lt;=3.5,C29=8),13,IF(AND(G118&gt;125,G118&lt;=400,G117&gt;3.5,G117&lt;=6.3,C29=8),15,IF(AND(G118&gt;125,G118&lt;=400,G117&gt;6.3,G117&lt;=10,C29=8),19,"*"))))))</f>
        <v>*</v>
      </c>
      <c r="H131" s="259"/>
      <c r="I131" s="293"/>
      <c r="J131" s="259"/>
      <c r="K131" s="259"/>
      <c r="L131" s="261"/>
    </row>
    <row r="132" spans="1:12" hidden="1">
      <c r="A132" s="259" t="s">
        <v>9067</v>
      </c>
      <c r="B132" s="268" t="s">
        <v>9068</v>
      </c>
      <c r="C132" s="282">
        <f>ROUND(C120+1.15*C128,0)</f>
        <v>52</v>
      </c>
      <c r="D132" s="320"/>
      <c r="E132" s="269"/>
      <c r="F132" s="268" t="s">
        <v>9069</v>
      </c>
      <c r="G132" s="282">
        <f>ROUND(G120+1.15*G128,0)</f>
        <v>72</v>
      </c>
      <c r="H132" s="259"/>
      <c r="I132" s="293"/>
      <c r="J132" s="259"/>
      <c r="K132" s="259"/>
      <c r="L132" s="261"/>
    </row>
    <row r="133" spans="1:12" hidden="1">
      <c r="A133" s="259" t="s">
        <v>9070</v>
      </c>
      <c r="B133" s="268" t="s">
        <v>9071</v>
      </c>
      <c r="C133" s="282">
        <f>ROUND(0.8*(C124+1.15*C128),0)</f>
        <v>16</v>
      </c>
      <c r="D133" s="320"/>
      <c r="E133" s="269"/>
      <c r="F133" s="268" t="s">
        <v>9072</v>
      </c>
      <c r="G133" s="282">
        <f>ROUND(0.8*(G124+1.15*G128),0)</f>
        <v>19</v>
      </c>
      <c r="H133" s="259"/>
      <c r="I133" s="293"/>
      <c r="J133" s="259"/>
      <c r="K133" s="259"/>
      <c r="L133" s="261"/>
    </row>
    <row r="134" spans="1:12" hidden="1">
      <c r="A134" s="282" t="s">
        <v>11433</v>
      </c>
      <c r="B134" s="268" t="s">
        <v>11434</v>
      </c>
      <c r="C134" s="282">
        <f>IF(AND(C118&lt;=125,C117&gt;=1,C117&lt;=3.5,C28=5),16,IF(AND(C118&lt;=125,C117&gt;3.5,C117&lt;=6.3,C28=5),18,IF(AND(C118&lt;=125,C117&gt;6.3,C117&lt;=10,C28=5),20,IF(AND(C118&gt;125,C118&lt;=400,C117&gt;=1,C117&lt;=3.5,C28=5),22,IF(AND(C118&gt;125,C118&lt;=400,C117&gt;3.5,C117&lt;=6.3,C28=5),25,IF(AND(C118&gt;125,C118&lt;=400,C117&gt;6.3,C117&lt;=10,C28=5),28,C135))))))</f>
        <v>40</v>
      </c>
      <c r="D134" s="320"/>
      <c r="E134" s="269"/>
      <c r="F134" s="268" t="s">
        <v>11435</v>
      </c>
      <c r="G134" s="282">
        <f>IF(AND(G118&lt;=125,G117&gt;=1,G117&lt;=3.5,C28=5),16,IF(AND(G118&lt;=125,G117&gt;3.5,G117&lt;=6.3,C28=5),18,IF(AND(G118&lt;=125,G117&gt;6.3,G117&lt;=10,C28=5),20,IF(AND(G118&gt;125,G118&lt;=400,G117&gt;=1,G117&lt;=3.5,C28=5),22,IF(AND(G118&gt;125,G118&lt;=400,G117&gt;3.5,G117&lt;=6.3,C28=5),25,IF(AND(G118&gt;125,G118&lt;=400,G117&gt;6.3,G117&lt;=10,C28=5),28,G135))))))</f>
        <v>56</v>
      </c>
      <c r="H134" s="259"/>
      <c r="I134" s="293"/>
      <c r="J134" s="259"/>
      <c r="K134" s="259"/>
      <c r="L134" s="261"/>
    </row>
    <row r="135" spans="1:12" hidden="1">
      <c r="A135" s="282"/>
      <c r="B135" s="320"/>
      <c r="C135" s="337">
        <f>IF(AND(C118&lt;=125,C117&gt;=1,C117&lt;=3.5,C28=6),25,IF(AND(C118&lt;=125,C117&gt;3.5,C117&lt;=6.3,C28=6),28,IF(AND(C118&lt;=125,C117&gt;6.3,C117&lt;=10,C28=6),32,IF(AND(C118&gt;125,C118&lt;=400,C117&gt;=1,C117&lt;=3.5,C28=6),36,IF(AND(C118&gt;125,C118&lt;=400,C117&gt;3.5,C117&lt;=6.3,C28=6),40,IF(AND(C118&gt;125,C118&lt;=400,C117&gt;6.3,C117&lt;=10,C28=6),45,C136))))))</f>
        <v>40</v>
      </c>
      <c r="D135" s="320"/>
      <c r="E135" s="269"/>
      <c r="F135" s="319"/>
      <c r="G135" s="337">
        <f>IF(AND(G118&lt;=125,G117&gt;=1,G117&lt;=3.5,C28=6),25,IF(AND(G118&lt;=125,G117&gt;3.5,G117&lt;=6.3,C28=6),28,IF(AND(G118&lt;=125,G117&gt;6.3,G117&lt;=10,C28=6),32,IF(AND(G118&gt;125,G118&lt;=400,G117&gt;=1,G117&lt;=3.5,C28=6),36,IF(AND(G118&gt;125,G118&lt;=400,G117&gt;3.5,G117&lt;=6.3,C28=6),40,IF(AND(G118&gt;125,G118&lt;=400,G117&gt;6.3,G117&lt;=10,C28=6),45,G136))))))</f>
        <v>56</v>
      </c>
      <c r="H135" s="259"/>
      <c r="I135" s="293"/>
      <c r="J135" s="259"/>
      <c r="K135" s="259"/>
      <c r="L135" s="261"/>
    </row>
    <row r="136" spans="1:12" hidden="1">
      <c r="A136" s="282"/>
      <c r="B136" s="320"/>
      <c r="C136" s="337">
        <f>IF(AND(C118&lt;=125,C117&gt;=1,C117&lt;=3.5,C28=7),36,IF(AND(C118&lt;=125,C117&gt;3.5,C117&lt;=6.3,C28=7),40,IF(AND(C118&lt;=125,C117&gt;6.3,C117&lt;=10,C28=7),45,IF(AND(C118&gt;125,C118&lt;=400,C117&gt;=1,C117&lt;=3.5,C28=7),50,IF(AND(C118&gt;125,C118&lt;=400,C117&gt;3.5,C117&lt;=6.3,C28=7),56,IF(AND(C118&gt;125,C118&lt;=400,C117&gt;6.3,C117&lt;=10,C28=7),63,C137))))))</f>
        <v>40</v>
      </c>
      <c r="D136" s="320"/>
      <c r="E136" s="269"/>
      <c r="F136" s="319"/>
      <c r="G136" s="337">
        <f>IF(AND(G118&lt;=125,G117&gt;=1,G117&lt;=3.5,C28=7),36,IF(AND(G118&lt;=125,G117&gt;3.5,G117&lt;=6.3,C28=7),40,IF(AND(G118&lt;=125,G117&gt;6.3,G117&lt;=10,C28=7),45,IF(AND(G118&gt;125,G118&lt;=400,G117&gt;=1,G117&lt;=3.5,C28=7),50,IF(AND(G118&gt;125,G118&lt;=400,G117&gt;3.5,G117&lt;=6.3,C28=7),56,IF(AND(G118&gt;125,G118&lt;=400,G117&gt;6.3,G117&lt;=10,C28=7),63,G137))))))</f>
        <v>56</v>
      </c>
      <c r="H136" s="259"/>
      <c r="I136" s="293"/>
      <c r="J136" s="259"/>
      <c r="K136" s="259"/>
      <c r="L136" s="261"/>
    </row>
    <row r="137" spans="1:12" hidden="1">
      <c r="A137" s="282"/>
      <c r="B137" s="320"/>
      <c r="C137" s="337" t="str">
        <f>IF(AND(C118&lt;=125,C117&gt;=1,C117&lt;=3.5,C28=8),45,IF(AND(C118&lt;=125,C117&gt;3.5,C117&lt;=6.3,C28=8),50,IF(AND(C118&lt;=125,C117&gt;6.3,C117&lt;=10,C28=8),56,IF(AND(C118&gt;125,C118&lt;=400,C117&gt;=1,C117&lt;=3.5,C28=8),63,IF(AND(C118&gt;125,C118&lt;=400,C117&gt;3.5,C117&lt;=6.3,C28=8),71,IF(AND(C118&gt;125,C118&lt;=400,C117&gt;6.3,C117&lt;=10,C28=8),80,"*"))))))</f>
        <v>*</v>
      </c>
      <c r="D137" s="320"/>
      <c r="E137" s="269"/>
      <c r="F137" s="319"/>
      <c r="G137" s="337" t="str">
        <f>IF(AND(G118&lt;=125,G117&gt;=1,G117&lt;=3.5,C28=8),45,IF(AND(G118&lt;=125,G117&gt;3.5,G117&lt;=6.3,C28=8),50,IF(AND(G118&lt;=125,G117&gt;6.3,G117&lt;=10,C28=8),56,IF(AND(G118&gt;125,G118&lt;=400,G117&gt;=1,G117&lt;=3.5,C28=8),63,IF(AND(G118&gt;125,G118&lt;=400,G117&gt;3.5,G117&lt;=6.3,C28=8),71,IF(AND(G118&gt;125,G118&lt;=400,G117&gt;6.3,G117&lt;=10,C28=8),80,"*"))))))</f>
        <v>*</v>
      </c>
      <c r="H137" s="259"/>
      <c r="I137" s="293"/>
      <c r="J137" s="259"/>
      <c r="K137" s="259"/>
      <c r="L137" s="261"/>
    </row>
    <row r="138" spans="1:12" hidden="1">
      <c r="A138" s="282" t="s">
        <v>11436</v>
      </c>
      <c r="B138" s="268" t="s">
        <v>11437</v>
      </c>
      <c r="C138" s="282">
        <f>IF(AND(C134&gt;12,C134&lt;=16,C32="H"),26,IF(AND(C134&gt;16,C134&lt;=20,C32="H"),28,IF(AND(C134&gt;20,C134&lt;=25,C32="H"),32,IF(AND(C134&gt;25,C134&lt;=32,C32="H"),38,IF(AND(C134&gt;32,C134&lt;=40,C32="H"),42,IF(AND(C134&gt;40,C134&lt;=50,C32="H"),50,IF(AND(C134&gt;50,C134&lt;=60,C32="H"),60,C139)))))))</f>
        <v>70</v>
      </c>
      <c r="D138" s="269"/>
      <c r="E138" s="269"/>
      <c r="F138" s="268" t="s">
        <v>11438</v>
      </c>
      <c r="G138" s="282">
        <f>IF(AND(G134&gt;12,G134&lt;=16,G34="H"),26,IF(AND(G134&gt;16,G134&lt;=20,G34="H"),28,IF(AND(G134&gt;20,G134&lt;=25,G34="H"),32,IF(AND(G134&gt;25,G134&lt;=32,G34="H"),38,IF(AND(G134&gt;32,G134&lt;=40,G34="H"),42,IF(AND(G134&gt;40,G134&lt;=50,G34="H"),50,IF(AND(G134&gt;50,G134&lt;=60,G34="H"),60,G139)))))))</f>
        <v>95</v>
      </c>
      <c r="H138" s="259"/>
      <c r="I138" s="293"/>
      <c r="J138" s="259"/>
      <c r="K138" s="259"/>
      <c r="L138" s="261"/>
    </row>
    <row r="139" spans="1:12" hidden="1">
      <c r="A139" s="282"/>
      <c r="B139" s="320"/>
      <c r="C139" s="337">
        <f>IF(AND(C134&gt;60,C134&lt;=80,C32="H"),70,IF(AND(C134&gt;80,C134&lt;=100,C32="H"),90,IF(AND(C134&gt;12,C134&lt;=16,C32="D"),32,IF(AND(C134&gt;16,C134&lt;=20,C32="D"),36,IF(AND(C134&gt;20,C134&lt;=25,C32="D"),42,IF(AND(C134&gt;25,C134&lt;=32,C32="D"),48,IF(AND(C134&gt;32,C134&lt;=40,C32="D"),55,C140)))))))</f>
        <v>70</v>
      </c>
      <c r="D139" s="320"/>
      <c r="E139" s="269"/>
      <c r="F139" s="319"/>
      <c r="G139" s="337">
        <f>IF(AND(G134&gt;60,G134&lt;=80,G34="H"),70,IF(AND(G134&gt;80,G134&lt;=100,G34="H"),90,IF(AND(G134&gt;12,G134&lt;=16,G34="D"),32,IF(AND(G134&gt;16,G134&lt;=20,G34="D"),36,IF(AND(G134&gt;20,G134&lt;=25,G34="D"),42,IF(AND(G134&gt;25,G134&lt;=32,G34="D"),48,IF(AND(G134&gt;32,G134&lt;=40,G34="D"),55,G140)))))))</f>
        <v>95</v>
      </c>
      <c r="H139" s="259"/>
      <c r="I139" s="293"/>
      <c r="J139" s="259"/>
      <c r="K139" s="259"/>
      <c r="L139" s="261"/>
    </row>
    <row r="140" spans="1:12" hidden="1">
      <c r="A140" s="282"/>
      <c r="B140" s="320"/>
      <c r="C140" s="337">
        <f>IF(AND(C134&gt;40,C134&lt;=50,C32="D"),66,IF(AND(C134&gt;50,C134&lt;=60,C32="D"),75,IF(AND(C134&gt;60,C134&lt;=80,C32="D"),90,IF(AND(C134&gt;80,C134&lt;=100,C32="D"),110,IF(AND(C134&gt;12,C134&lt;=16,C32="C"),40,IF(AND(C134&gt;16,C134&lt;=20,C32="C"),45,IF(AND(C134&gt;20,C134&lt;=25,C32="C"),52,C141)))))))</f>
        <v>70</v>
      </c>
      <c r="D140" s="320"/>
      <c r="E140" s="269"/>
      <c r="F140" s="319"/>
      <c r="G140" s="337">
        <f>IF(AND(G134&gt;40,G134&lt;=50,G34="D"),66,IF(AND(G134&gt;50,G134&lt;=60,G34="D"),75,IF(AND(G134&gt;60,G134&lt;=80,G34="D"),90,IF(AND(G134&gt;80,G134&lt;=100,G34="D"),110,IF(AND(G134&gt;12,G134&lt;=16,G34="C"),40,IF(AND(G134&gt;16,G134&lt;=20,G34="C"),45,IF(AND(G134&gt;20,G134&lt;=25,G34="C"),52,G141)))))))</f>
        <v>95</v>
      </c>
      <c r="H140" s="259"/>
      <c r="I140" s="293"/>
      <c r="J140" s="259"/>
      <c r="K140" s="259"/>
      <c r="L140" s="261"/>
    </row>
    <row r="141" spans="1:12" hidden="1">
      <c r="A141" s="282"/>
      <c r="B141" s="320"/>
      <c r="C141" s="337">
        <f>IF(AND(C134&gt;25,C134&lt;=32,C32="C"),60,IF(AND(C134&gt;32,C134&lt;=40,C32="C"),70,IF(AND(C134&gt;40,C134&lt;=50,C32="C"),80,IF(AND(C134&gt;50,C134&lt;=60,C32="C"),95,IF(AND(C134&gt;60,C134&lt;=80,C32="C"),110,IF(AND(C134&gt;80,C134&lt;=100,C32="C"),140,IF(AND(C134&gt;12,C134&lt;=16,C32="B"),52,C142)))))))</f>
        <v>70</v>
      </c>
      <c r="D141" s="320"/>
      <c r="E141" s="269"/>
      <c r="F141" s="319"/>
      <c r="G141" s="337">
        <f>IF(AND(G134&gt;25,G134&lt;=32,G34="C"),60,IF(AND(G134&gt;32,G134&lt;=40,G34="C"),70,IF(AND(G134&gt;40,G134&lt;=50,G34="C"),80,IF(AND(G134&gt;50,G134&lt;=60,G34="C"),95,IF(AND(G134&gt;60,G134&lt;=80,G34="C"),110,IF(AND(G134&gt;80,G134&lt;=100,G34="C"),140,IF(AND(G134&gt;12,G134&lt;=16,G34="B"),52,G142)))))))</f>
        <v>95</v>
      </c>
      <c r="H141" s="259"/>
      <c r="I141" s="293"/>
      <c r="J141" s="259"/>
      <c r="K141" s="259"/>
      <c r="L141" s="261"/>
    </row>
    <row r="142" spans="1:12" hidden="1">
      <c r="A142" s="282"/>
      <c r="B142" s="320"/>
      <c r="C142" s="337" t="str">
        <f>IF(AND(C134&gt;16,C134&lt;=20,C32="B"),58,IF(AND(C134&gt;20,C134&lt;=25,C32="B"),65,IF(AND(C134&gt;25,C134&lt;=32,C32="B"),75,IF(AND(C134&gt;32,C134&lt;=40,C32="B"),85,IF(AND(C134&gt;40,C134&lt;=50,C32="B"),100,IF(AND(C134&gt;50,C134&lt;=60,C32="B"),120,IF(AND(C134&gt;60,C134&lt;=80,C32="B"),130,C143)))))))</f>
        <v>*</v>
      </c>
      <c r="D142" s="320"/>
      <c r="E142" s="269"/>
      <c r="F142" s="319"/>
      <c r="G142" s="337" t="str">
        <f>IF(AND(G134&gt;16,G134&lt;=20,G34="B"),58,IF(AND(G134&gt;20,G134&lt;=25,G34="B"),65,IF(AND(G134&gt;25,G134&lt;=32,G34="B"),75,IF(AND(G134&gt;32,G134&lt;=40,G34="B"),85,IF(AND(G134&gt;40,G134&lt;=50,G34="B"),100,IF(AND(G134&gt;50,G134&lt;=60,G34="B"),120,IF(AND(G134&gt;60,G134&lt;=80,G34="B"),130,G143)))))))</f>
        <v>*</v>
      </c>
      <c r="H142" s="259"/>
      <c r="I142" s="293"/>
      <c r="J142" s="259"/>
      <c r="K142" s="259"/>
      <c r="L142" s="261"/>
    </row>
    <row r="143" spans="1:12" hidden="1">
      <c r="A143" s="282"/>
      <c r="B143" s="320"/>
      <c r="C143" s="337" t="str">
        <f>IF(AND(C134&gt;80,C134&lt;=100,C32="B"),170,IF(AND(C134&gt;12,C134&lt;=16,C32="A"),65,IF(AND(C134&gt;16,C134&lt;=20,C32="A"),75,IF(AND(C134&gt;20,C134&lt;=25,C32="A"),85,IF(AND(C134&gt;25,C134&lt;=32,C32="A"),95,IF(AND(C134&gt;32,C134&lt;=40,C32="A"),110,IF(AND(C134&gt;40,C134&lt;=50,C32="A"),130,C144)))))))</f>
        <v>*</v>
      </c>
      <c r="D143" s="320"/>
      <c r="E143" s="269"/>
      <c r="F143" s="319"/>
      <c r="G143" s="337" t="str">
        <f>IF(AND(G134&gt;80,G134&lt;=100,G34="B"),170,IF(AND(G134&gt;12,G134&lt;=16,G34="A"),65,IF(AND(G134&gt;16,G134&lt;=20,G34="A"),75,IF(AND(G134&gt;20,G134&lt;=25,G34="A"),85,IF(AND(G134&gt;25,G134&lt;=32,G34="A"),95,IF(AND(G134&gt;32,G134&lt;=40,G34="A"),110,IF(AND(G134&gt;40,G134&lt;=50,G34="A"),130,G144)))))))</f>
        <v>*</v>
      </c>
      <c r="H143" s="259"/>
      <c r="I143" s="293"/>
      <c r="J143" s="259"/>
      <c r="K143" s="259"/>
      <c r="L143" s="261"/>
    </row>
    <row r="144" spans="1:12" hidden="1">
      <c r="A144" s="282"/>
      <c r="B144" s="320"/>
      <c r="C144" s="337" t="str">
        <f>IF(AND(C134&gt;50,C134&lt;=60,C32="A"),150,IF(AND(C134&gt;60,C134&lt;=80,C32="A"),180,IF(AND(C134&gt;80,C134&lt;=100,C32="A"),220,"*")))</f>
        <v>*</v>
      </c>
      <c r="D144" s="320"/>
      <c r="E144" s="269"/>
      <c r="F144" s="319"/>
      <c r="G144" s="337" t="str">
        <f>IF(AND(G134&gt;50,G134&lt;=60,G34="A"),150,IF(AND(G134&gt;60,G134&lt;=80,G34="A"),180,IF(AND(G134&gt;80,G134&lt;=100,G34="A"),220,"*")))</f>
        <v>*</v>
      </c>
      <c r="H144" s="259"/>
      <c r="I144" s="293"/>
      <c r="J144" s="259"/>
      <c r="K144" s="259"/>
      <c r="L144" s="261"/>
    </row>
    <row r="145" spans="1:12" hidden="1">
      <c r="A145" s="249" t="s">
        <v>9182</v>
      </c>
      <c r="B145" s="293" t="s">
        <v>9183</v>
      </c>
      <c r="C145" s="282">
        <f>IF(C31="h",0,IF(AND(C85&lt;=50,E70&lt;=15,C31="e"),15,IF(AND(C85&lt;=50,E70&gt;15,E70&lt;=25,C31="e"),21,IF(AND(C85&lt;=50,E70&gt;25,C31="e"),25,IF(AND(C85&gt;50,C85&lt;=100,E70&lt;=15,C31="e"),21,IF(AND(C85&gt;50,C85&lt;=100,E70&gt;15,E70&lt;=25,C31="e"),25,IF(AND(C85&gt;50,C85&lt;=100,E70&gt;25,C31="e"),30,D145)))))))</f>
        <v>74</v>
      </c>
      <c r="D145" s="337">
        <f>IF(AND(C85&gt;100,C85&lt;=200,E70&lt;=15,C31="e"),25,IF(AND(C85&gt;100,C85&lt;=200,E70&gt;15,E70&lt;=25,C31="e"),35,IF(AND(C85&gt;100,C85&lt;=200,E70&gt;25,C31="e"),40,IF(AND(C85&gt;200,C85&lt;=400,E70&lt;=15,C31="e"),30,IF(AND(C85&gt;200,C85&lt;=400,E70&gt;15,E70&lt;=25,C31="e"),46,IF(AND(C85&gt;200,C85&lt;=400,E70&gt;25,C31="e"),52,C146))))))</f>
        <v>74</v>
      </c>
      <c r="E145" s="309" t="s">
        <v>11439</v>
      </c>
      <c r="F145" s="293" t="s">
        <v>11440</v>
      </c>
      <c r="G145" s="282">
        <f>IF(AND(C31="h",C29&lt;=6),0.9,IF(AND(C31="h",C29=7),1,IF(AND(C31="e",C29&lt;=6),1.45,IF(AND(C31="e",C29=7),1.6,IF(AND(C31="d",C29&lt;=6),1.8,IF(AND(C31="d",C29=7),2,IF(AND(C31="d",C29=8),2.2,G146)))))))</f>
        <v>2.4</v>
      </c>
      <c r="H145" s="269"/>
      <c r="I145" s="293"/>
      <c r="J145" s="259"/>
      <c r="K145" s="259"/>
      <c r="L145" s="261"/>
    </row>
    <row r="146" spans="1:12" hidden="1">
      <c r="A146" s="282"/>
      <c r="B146" s="320"/>
      <c r="C146" s="337">
        <f>IF(AND(C85&lt;=50,E70&lt;=15,C31="d"),22,IF(AND(C85&lt;=50,E70&gt;15,E70&lt;=25,C31="d"),33,IF(AND(C85&lt;=50,E70&gt;25,C31="d"),39,IF(AND(C85&gt;50,C85&lt;=100,E70&lt;=15,C31="d"),33,IF(AND(C85&gt;50,C85&lt;=100,E70&gt;15,E70&lt;=25,C31="d"),39,IF(AND(C85&gt;50,C85&lt;=100,E70&gt;25,C31="d"),46,D146))))))</f>
        <v>74</v>
      </c>
      <c r="D146" s="337">
        <f>IF(AND(C85&gt;100,C85&lt;=200,E70&lt;=15,C31="d"),39,IF(AND(C85&gt;100,C85&lt;=200,E70&gt;15,E70&lt;=25,C31="d"),54,IF(AND(C85&gt;100,C85&lt;=200,E70&gt;25,C31="d"),63,IF(AND(C85&gt;200,C85&lt;=400,E70&lt;=15,C31="d"),46,IF(AND(C85&gt;200,C85&lt;=400,E70&gt;15,E70&lt;=25,C31="d"),72,IF(AND(C85&gt;200,C85&lt;=400,E70&gt;25,C31="d"),81,C147))))))</f>
        <v>74</v>
      </c>
      <c r="E146" s="269"/>
      <c r="F146" s="319"/>
      <c r="G146" s="337">
        <f>IF(AND(C31="c",C29&lt;=6),2.4,IF(AND(C31="c",C29=7),2.7,IF(AND(C31="c",C29=8),3,IF(AND(C31="b",C29&lt;=6),3.4,IF(AND(C31="b",C29=7),3.8,IF(AND(C31="b",C29=8),4.2,G147))))))</f>
        <v>2.4</v>
      </c>
      <c r="H146" s="269"/>
      <c r="I146" s="293"/>
      <c r="J146" s="259"/>
      <c r="K146" s="259"/>
      <c r="L146" s="261"/>
    </row>
    <row r="147" spans="1:12" hidden="1">
      <c r="A147" s="282"/>
      <c r="B147" s="320"/>
      <c r="C147" s="337">
        <f>IF(AND(C85&lt;=50,E70&lt;=15,C31="c"),36,IF(AND(C85&lt;=50,E70&gt;15,E70&lt;=25,C31="c"),52,IF(AND(C85&lt;=50,E70&gt;25,C31="c"),62,IF(AND(C85&gt;50,C85&lt;=100,E70&lt;=15,C31="c"),52,IF(AND(C85&gt;50,C85&lt;=100,E70&gt;15,E70&lt;=25,C31="c"),62,IF(AND(C85&gt;50,C85&lt;=100,E70&gt;25,C31="c"),74,D147))))))</f>
        <v>74</v>
      </c>
      <c r="D147" s="337" t="str">
        <f>IF(AND(C85&gt;100,C85&lt;=200,E70&lt;=15,C31="c"),62,IF(AND(C85&gt;100,C85&lt;=200,E70&gt;15,E70&lt;=25,C31="c"),87,IF(AND(C85&gt;100,C85&lt;=200,E70&gt;25,C31="c"),100,IF(AND(C85&gt;200,C85&lt;=400,E70&lt;=15,C31="c"),74,IF(AND(C85&gt;200,C85&lt;=400,E70&gt;15,E70&lt;=25,C31="c"),115,IF(AND(C85&gt;200,C85&lt;=400,E70&gt;25,C31="c"),130,C148))))))</f>
        <v>*</v>
      </c>
      <c r="E147" s="269"/>
      <c r="F147" s="319"/>
      <c r="G147" s="337" t="str">
        <f>IF(AND(C31="a",C29&lt;=6),5,IF(AND(C31="a",C29=7),5.5,IF(AND(C31="a",C30=8),6,"*")))</f>
        <v>*</v>
      </c>
      <c r="H147" s="269"/>
      <c r="I147" s="293"/>
      <c r="J147" s="259"/>
      <c r="K147" s="259"/>
      <c r="L147" s="261"/>
    </row>
    <row r="148" spans="1:12" hidden="1">
      <c r="A148" s="282"/>
      <c r="B148" s="320"/>
      <c r="C148" s="337" t="str">
        <f>IF(AND(C85&lt;=50,E70&lt;=15,C31="b"),58,IF(AND(C85&lt;=50,E70&gt;15,E70&lt;=25,C31="b"),84,IF(AND(C85&lt;=50,E70&gt;25,C31="b"),100,IF(AND(C85&gt;50,C85&lt;=100,E70&lt;=15,C31="b"),84,IF(AND(C85&gt;50,C85&lt;=100,E70&gt;15,E70&lt;=25,C31="b"),100,IF(AND(C85&gt;50,C85&lt;=100,E70&gt;25,C31="b"),120,D148))))))</f>
        <v>*</v>
      </c>
      <c r="D148" s="337" t="str">
        <f>IF(AND(C85&gt;100,C85&lt;=200,E70&lt;=15,C31="b"),100,IF(AND(C85&gt;100,C85&lt;=200,E70&gt;15,E70&lt;=25,C31="b"),140,IF(AND(C85&gt;100,C85&lt;=200,E70&gt;25,C31="b"),160,IF(AND(C85&gt;200,C85&lt;=400,E70&lt;=15,C31="b"),120,IF(AND(C85&gt;200,C85&lt;=400,E70&gt;15,E70&lt;=25,C31="b"),185,IF(AND(C85&gt;200,C85&lt;=400,E70&gt;25,C31="b"),210,C149))))))</f>
        <v>*</v>
      </c>
      <c r="E148" s="269"/>
      <c r="F148" s="319"/>
      <c r="G148" s="269"/>
      <c r="H148" s="269"/>
      <c r="I148" s="293"/>
      <c r="J148" s="259"/>
      <c r="K148" s="259"/>
      <c r="L148" s="261"/>
    </row>
    <row r="149" spans="1:12" hidden="1">
      <c r="A149" s="282"/>
      <c r="B149" s="320"/>
      <c r="C149" s="337" t="str">
        <f>IF(AND(C85&lt;=50,E70&lt;=15,C31="a"),90,IF(AND(C85&lt;=50,E70&gt;15,E70&lt;=25,C31="a"),130,IF(AND(C85&lt;=50,E70&gt;25,C31="a"),160,IF(AND(C85&gt;50,C85&lt;=100,E70&lt;=15,C31="a"),130,IF(AND(C85&gt;50,C85&lt;=100,E70&gt;15,E70&lt;=25,C31="a"),160,IF(AND(C85&gt;50,C85&lt;=100,E70&gt;25,C31="a"),190,D149))))))</f>
        <v>*</v>
      </c>
      <c r="D149" s="337" t="str">
        <f>IF(AND(C85&gt;100,C85&lt;=200,E70&lt;=15,C2="a"),160,IF(AND(C85&gt;100,C85&lt;=200,E70&gt;15,E70&lt;=25,C31="a"),220,IF(AND(C85&gt;100,C85&lt;=200,E70&gt;25,C31="a"),250,IF(AND(C85&gt;200,C85&lt;=400,E70&lt;=15,C31="a"),190,IF(AND(C85&gt;200,C85&lt;=400,E70&gt;15,E70&lt;=25,C31="a"),290,IF(AND(C85&gt;200,C85&lt;=400,E70&gt;25,C31="a"),320,"*"))))))</f>
        <v>*</v>
      </c>
      <c r="E149" s="269"/>
      <c r="F149" s="319"/>
      <c r="G149" s="269"/>
      <c r="H149" s="269"/>
      <c r="I149" s="293"/>
      <c r="J149" s="259"/>
      <c r="K149" s="259"/>
      <c r="L149" s="261"/>
    </row>
    <row r="150" spans="1:12" hidden="1">
      <c r="A150" s="259"/>
      <c r="B150" s="268" t="s">
        <v>11441</v>
      </c>
      <c r="C150" s="282">
        <f>IF(AND(C118&lt;=125,C117&gt;=1,C117&lt;=3.5,E70&lt;=45),-20,IF(AND(C118&lt;=125,C117&gt;=1,C117&lt;=3.5,E70&gt;45),-22,IF(AND(C118&lt;=125,C117&gt;3.5,C117&lt;=6.3,E70&lt;=45),-22,IF(AND(C118&lt;=125,C117&gt;3.5,C117&lt;=6.3,E70&gt;45),-25,IF(AND(C118&lt;=125,C117&gt;6.3,C117&lt;=10,E70&lt;=45),-25,IF(AND(C118&lt;=125,C117&gt;6.3,C117&lt;=10,E70&gt;45),-28,C151))))))</f>
        <v>-22</v>
      </c>
      <c r="D150" s="320"/>
      <c r="E150" s="269"/>
      <c r="F150" s="268" t="s">
        <v>11442</v>
      </c>
      <c r="G150" s="282">
        <f>IF(AND(G118&lt;=125,G117&gt;=1,G117&lt;=3.5,E71&lt;=45),-20,IF(AND(G118&lt;=125,G117&gt;=1,G117&lt;=3.5,E71&gt;45),-22,IF(AND(G118&lt;=125,G117&gt;3.5,G117&lt;=6.3,E71&lt;=45),-22,IF(AND(G118&lt;=125,G117&gt;3.5,G117&lt;=6.3,E71&gt;45),-25,IF(AND(G118&lt;=125,G117&gt;6.3,G117&lt;=10,E71&lt;=45),-25,IF(AND(G118&lt;=125,G117&gt;6.3,G117&lt;=10,E71&gt;45),-28,G151))))))</f>
        <v>-30</v>
      </c>
      <c r="H150" s="259"/>
      <c r="I150" s="293"/>
      <c r="J150" s="259"/>
      <c r="K150" s="259"/>
      <c r="L150" s="261"/>
    </row>
    <row r="151" spans="1:12" hidden="1">
      <c r="A151" s="259"/>
      <c r="B151" s="268"/>
      <c r="C151" s="337" t="str">
        <f>IF(AND(C118&gt;125,C118&lt;=400,C117&gt;=1,C117&lt;=3.5,E70&lt;=20),-28,IF(AND(C118&gt;125,C118&lt;=400,C117&gt;=1,C117&lt;=3.5,E70&gt;20,E70&lt;=45),-32,IF(AND(C118&gt;125,C118&lt;=400,C117&gt;=1,C117&lt;=3.5,E70&gt;45),-30,IF(AND(C118&gt;125,C118&lt;=400,C117&gt;3.5,C117&lt;=6.3,E70&lt;=45),-32,IF(AND(C118&gt;125,C118&lt;=400,C117&gt;3.5,C117&lt;=6.3,E70&gt;45),-30,IF(AND(C118&gt;125,C118&lt;=400,C117&gt;6.3,C117&lt;=10,E70&lt;=45),-36,IF(AND(C118&gt;125,C118&lt;=400,C117&gt;6.3,C117&lt;=10,E70&gt;45),34,"*")))))))</f>
        <v>*</v>
      </c>
      <c r="D151" s="320"/>
      <c r="E151" s="269"/>
      <c r="F151" s="268"/>
      <c r="G151" s="337">
        <f>IF(AND(G118&gt;125,G118&lt;=400,G117&gt;=1,G117&lt;=3.5,E71&lt;=20),-28,IF(AND(G118&gt;125,G118&lt;=400,G117&gt;=1,G117&lt;=3.5,E71&gt;20,E71&lt;=45,),-32,IF(AND(G118&gt;125,G118&lt;=400,G117&gt;=1,G117&lt;=3.5,E71&gt;45),-30,IF(AND(G118&gt;125,G118&lt;=400,G117&gt;3.5,G117&lt;=6.3,E71&lt;=45),-32,IF(AND(G118&gt;125,G118&lt;=400,G117&gt;3.5,G117&lt;=6.3,E71&gt;45),-30,IF(AND(G118&gt;125,G118&lt;=400,G117&gt;6.3,G117&lt;=10,E71&lt;=45),-36,IF(AND(G118&gt;125,G118&lt;=400,G117&gt;6.3,G117&lt;=10,E71&gt;45),34,"*")))))))</f>
        <v>-30</v>
      </c>
      <c r="H151" s="259"/>
      <c r="I151" s="293"/>
      <c r="J151" s="259"/>
      <c r="K151" s="259"/>
      <c r="L151" s="261"/>
    </row>
    <row r="152" spans="1:12" hidden="1">
      <c r="A152" s="259" t="s">
        <v>9073</v>
      </c>
      <c r="B152" s="268" t="s">
        <v>9074</v>
      </c>
      <c r="C152" s="282">
        <f>ROUND(C150*G145,0)</f>
        <v>-53</v>
      </c>
      <c r="D152" s="320"/>
      <c r="E152" s="269"/>
      <c r="F152" s="268" t="s">
        <v>9075</v>
      </c>
      <c r="G152" s="259">
        <f>ROUND(G150*G145,0)</f>
        <v>-72</v>
      </c>
      <c r="H152" s="259"/>
      <c r="I152" s="293"/>
      <c r="J152" s="259"/>
      <c r="K152" s="259"/>
      <c r="L152" s="261"/>
    </row>
    <row r="153" spans="1:12" hidden="1">
      <c r="A153" s="259" t="s">
        <v>9076</v>
      </c>
      <c r="B153" s="268" t="s">
        <v>9077</v>
      </c>
      <c r="C153" s="282">
        <f>C152-C138</f>
        <v>-123</v>
      </c>
      <c r="D153" s="320"/>
      <c r="E153" s="269"/>
      <c r="F153" s="268" t="s">
        <v>9078</v>
      </c>
      <c r="G153" s="259">
        <f>G152-G138</f>
        <v>-167</v>
      </c>
      <c r="H153" s="259"/>
      <c r="I153" s="293"/>
      <c r="J153" s="259"/>
      <c r="K153" s="259"/>
      <c r="L153" s="261"/>
    </row>
    <row r="154" spans="1:12" hidden="1">
      <c r="A154" s="259" t="s">
        <v>11443</v>
      </c>
      <c r="B154" s="268" t="s">
        <v>11444</v>
      </c>
      <c r="C154" s="282">
        <f>IF(AND(C29&lt;=6,C118&lt;=125,C117&gt;=1,C117&lt;=3.5,E70&lt;=45),18,IF(AND(C29&lt;=6,C118&lt;=125,C117&gt;=1,C117&lt;=3.5,E70&gt;45),20,IF(AND(C29&lt;=6,C118&lt;=125,C117&gt;3.5,C117&lt;=6.3,E70&lt;=45),20,IF(AND(C29&lt;=6,C118&lt;=125,C117&gt;3.5,C117&lt;=6.3,E70&gt;45),22,IF(AND(C29&lt;=6,C118&lt;=125,C117&gt;6.3,C117&lt;=10,E70&lt;=45),22,IF(AND(C29&lt;=6,C118&lt;=125,C117&gt;6.3,C117&lt;=10,E70&gt;45),28,C155))))))</f>
        <v>20</v>
      </c>
      <c r="D154" s="320"/>
      <c r="E154" s="269"/>
      <c r="F154" s="268" t="s">
        <v>11445</v>
      </c>
      <c r="G154" s="282">
        <f>IF(AND(C29&lt;=6,G118&lt;=125,G117&gt;=1,G117&lt;=3.5,E71&lt;=45),18,IF(AND(C29&lt;=6,G118&lt;=125,G117&gt;=1,G117&lt;=3.5,E71&gt;45),20,IF(AND(C29&lt;=6,G118&lt;=125,G117&gt;3.5,G117&lt;=6.3,E71&lt;=45),20,IF(AND(C29&lt;=6,G118&lt;=125,G117&gt;3.5,G117&lt;=6.3,E71&gt;45),22,IF(AND(C29&lt;=6,G118&lt;=125,G117&gt;6.3,G117&lt;=10,E71&lt;=45),22,IF(AND(C29&lt;=6,G118&lt;=125,G117&gt;6.3,G117&lt;=10,E71&gt;45),28,G155))))))</f>
        <v>28</v>
      </c>
      <c r="H154" s="259"/>
      <c r="I154" s="293"/>
      <c r="J154" s="259"/>
      <c r="K154" s="259"/>
      <c r="L154" s="261"/>
    </row>
    <row r="155" spans="1:12" hidden="1">
      <c r="A155" s="259"/>
      <c r="B155" s="268"/>
      <c r="C155" s="337" t="str">
        <f>IF(AND(C29&lt;=6,C118&gt;125,C118&lt;=400,C117&gt;=1,C117&lt;=3.5,E70&lt;=20),25,IF(AND(C29&lt;=6,C118&gt;125,C118&lt;=400,C117&gt;=1,C117&lt;=3.5,E70&gt;20),28,IF(AND(C29&lt;=6,C118&gt;125,C118&lt;=400,C117&gt;3.5,C117&lt;=6.3),28,IF(AND(C29&lt;=6,C118&gt;125,C118&lt;=400,C117&gt;3.5,C117&lt;=6.3,E70&lt;=45),32,IF(AND(C29&lt;=6,C118&gt;125,C118&lt;=400,C117&gt;6.3,C117&lt;=10,E70&gt;45),30,C156)))))</f>
        <v>*</v>
      </c>
      <c r="D155" s="320"/>
      <c r="E155" s="269"/>
      <c r="F155" s="268"/>
      <c r="G155" s="337">
        <f>IF(AND(C29&lt;=6,G118&gt;125,G118&lt;=400,G117&gt;=1,G117&lt;=3.5,E71&lt;=20),25,IF(AND(C29&lt;=6,G118&gt;125,G118&lt;=400,G117&gt;=1,G117&lt;=3.5,E71&gt;20),28,IF(AND(C29&lt;=6,G118&gt;125,G118&lt;=400,G117&gt;3.5,G117&lt;=6.3),28,IF(AND(C29&lt;=6,G118&gt;125,G118&lt;=400,G117&gt;3.5,G117&lt;=6.3,E71&lt;=45),32,IF(AND(C29&lt;=6,G118&gt;125,G118&lt;=400,G117&gt;6.3,G117&lt;=10,E71&gt;45),30,G156)))))</f>
        <v>28</v>
      </c>
      <c r="H155" s="259"/>
      <c r="I155" s="293"/>
      <c r="J155" s="259"/>
      <c r="K155" s="259"/>
      <c r="L155" s="261"/>
    </row>
    <row r="156" spans="1:12" hidden="1">
      <c r="A156" s="259"/>
      <c r="B156" s="268"/>
      <c r="C156" s="337" t="str">
        <f>IF(AND(C29=7,C118&lt;=125,C117&gt;=1,C117&lt;=3.5,E70&lt;=45),20,IF(AND(C29=7,C118&lt;=125,C117&gt;=1,C117&lt;=3.5,E70&gt;45),22,IF(AND(C29=7,C118&lt;=125,C117&gt;3.5,C117&lt;=6.3,E70&lt;=45),22,IF(AND(C29=7,C118&lt;=125,C117&gt;3.5,C117&lt;=6.3,E70&gt;45),25,IF(AND(C29=7,C118&lt;=125,C117&gt;6.3,C117&lt;=10,E70&lt;=45),25,IF(AND(C29=7,C118&lt;=125,C117&gt;6.3,C117&lt;=10,E70&gt;45),28,C157))))))</f>
        <v>*</v>
      </c>
      <c r="D156" s="320"/>
      <c r="E156" s="269"/>
      <c r="F156" s="268"/>
      <c r="G156" s="337" t="str">
        <f>IF(AND(C29=7,G118&lt;=125,G117&gt;=1,G117&lt;=3.5,E71&lt;=45),20,IF(AND(C29=7,G118&lt;=125,G117&gt;=1,G117&lt;=3.5,E71&gt;45),22,IF(AND(C29=7,G118&lt;=125,G117&gt;3.5,G117&lt;=6.3,E71&lt;=45),22,IF(AND(C29=7,G118&lt;=125,G117&gt;3.5,G117&lt;=6.3,E71&gt;45),25,IF(AND(C29=7,G118&lt;=125,G117&gt;6.3,G117&lt;=10,E71&lt;=45),25,IF(AND(C29=7,G118&lt;=125,G117&gt;6.3,G117&lt;=10,E71&gt;45),28,G157))))))</f>
        <v>*</v>
      </c>
      <c r="H156" s="259"/>
      <c r="I156" s="293"/>
      <c r="J156" s="259"/>
      <c r="K156" s="259"/>
      <c r="L156" s="261"/>
    </row>
    <row r="157" spans="1:12" hidden="1">
      <c r="A157" s="259"/>
      <c r="B157" s="268"/>
      <c r="C157" s="337" t="str">
        <f>IF(AND(C29=7,C118&gt;125,C118&lt;=400,C117&gt;=1,C117&lt;=3.5,E70&lt;=20),28,IF(AND(C29=7,C118&gt;125,C118&lt;=400,C117&gt;=1,C117&lt;=3.5,E70&gt;20,E70&lt;=45),32,IF(AND(C29=7,C118&gt;125,C118&lt;=400,C117&gt;=1,C117&lt;=3.5,E70&gt;45),30,IF(AND(C29=7,C118&gt;125,C118&lt;=400,C117&gt;3.5,C117&lt;=6.3,E70&lt;=45),32,IF(AND(C29=7,C118&gt;125,C118&lt;=400,C117&gt;3.5,C117&lt;=6.3,E70&gt;45),30,IF(AND(C29=7,C118&gt;125,C118&lt;=400,C117&gt;6.3,C117&lt;=10,E70&lt;=45),36,IF(AND(C29=7,C118&gt;125,C118&lt;=400,C117&gt;6.3,C117&lt;=10,E70&gt;45),34,C158)))))))</f>
        <v>*</v>
      </c>
      <c r="D157" s="320"/>
      <c r="E157" s="269"/>
      <c r="F157" s="268"/>
      <c r="G157" s="337" t="str">
        <f>IF(AND(C29=7,G118&gt;125,G118&lt;=400,G117&gt;=1,G117&lt;=3.5,E71&lt;=20),28,IF(AND(C29=7,G118&gt;125,G118&lt;=400,G117&gt;=1,G117&lt;=3.5,E70&gt;20,E71&lt;=45),32,IF(AND(C29=7,G118&gt;125,G118&lt;=400,G117&gt;=1,G117&lt;=3.5,E71&gt;45),30,IF(AND(C29=7,G118&gt;125,G118&lt;=400,G117&gt;3.5,G117&lt;=6.3,E71&lt;=45),32,IF(AND(C29=7,G118&gt;125,G118&lt;=400,G117&gt;3.5,G117&lt;=6.3,E71&gt;45),30,IF(AND(C29=7,G118&gt;125,G118&lt;=400,G117&gt;6.3,G117&lt;=10,E71&lt;=45),36,IF(AND(C29=7,G118&gt;125,G118&lt;=400,G117&gt;6.3,G117&lt;=10,E71&gt;45),34,G158)))))))</f>
        <v>*</v>
      </c>
      <c r="H157" s="259"/>
      <c r="I157" s="293"/>
      <c r="J157" s="259"/>
      <c r="K157" s="259"/>
      <c r="L157" s="261"/>
    </row>
    <row r="158" spans="1:12" hidden="1">
      <c r="A158" s="259"/>
      <c r="B158" s="268"/>
      <c r="C158" s="337" t="str">
        <f>IF(AND(C29=8,C118&lt;=125,C117&gt;=1,C117&lt;=3.5,E70&lt;=45),22,IF(AND(C29=8,C118&lt;=125,C117&gt;=1,C117&lt;=3.5,E70&gt;45),24,IF(AND(C29=8,C118&lt;=125,C117&gt;3.5,C117&lt;=6.3,E70&lt;=45),24,IF(AND(C29=8,C118&lt;=125,C117&gt;3.5,C117&lt;=6.3,E70&gt;45),28,IF(AND(C29=8,C118&lt;=125,C117&gt;6.3,C117&lt;=10,E70&lt;=45),28,IF(AND(C29=8,C118&lt;=125,C117&gt;6.3,C117&lt;=10,E70&gt;45),30,C159))))))</f>
        <v>*</v>
      </c>
      <c r="D158" s="320"/>
      <c r="E158" s="269"/>
      <c r="F158" s="268"/>
      <c r="G158" s="337" t="str">
        <f>IF(AND(C29=8,G118&lt;=125,G117&gt;=1,G117&lt;=3.5,E71&lt;=45),22,IF(AND(C29=8,G118&lt;=125,G117&gt;=1,G117&lt;=3.5,E71&gt;45),24,IF(AND(C29=8,G118&lt;=125,G117&gt;3.5,G117&lt;=6.3,E71&lt;=45),24,IF(AND(C29=8,G118&lt;=125,G117&gt;3.5,G117&lt;=6.3,E71&gt;45),28,IF(AND(C29=8,G118&lt;=125,G117&gt;6.3,G117&lt;=10,E71&lt;=45),28,IF(AND(C29=8,G118&lt;=125,G117&gt;6.3,G117&lt;=10,E71&gt;45),30,G159))))))</f>
        <v>*</v>
      </c>
      <c r="H158" s="259"/>
      <c r="I158" s="293"/>
      <c r="J158" s="259"/>
      <c r="K158" s="259"/>
      <c r="L158" s="261"/>
    </row>
    <row r="159" spans="1:12" hidden="1">
      <c r="A159" s="259"/>
      <c r="B159" s="268"/>
      <c r="C159" s="337" t="str">
        <f>IF(AND(C29=8,C118&gt;125,C118&lt;=400,C117&gt;=1,C117&lt;=3.5,E70&lt;=20),30,IF(AND(C29=8,C118&gt;125,C118&lt;=400,C117&gt;=1,C117&lt;=3.5,E70&gt;20,E70&lt;=45),36,IF(AND(C29=8,C118&gt;125,C118&lt;=400,C117&gt;=1,C117&lt;=3.5,E70&gt;45),32,IF(AND(C29=8,C118&gt;125,C118&lt;=400,C117&gt;3.5,C117&lt;=6.3,E70&lt;=45),36,IF(AND(C29=8,C118&gt;125,C118&lt;=400,C117&gt;3.5,C117&lt;=6.3,E70&gt;45),32,IF(AND(C29=8,C118&gt;125,C118&lt;=400,C117&gt;6.3,C117&lt;=10,E70&lt;=45),40,IF(AND(C29=8,C118&gt;125,C118&lt;=400,C117&gt;6.3,C117&lt;=10,E70&gt;45),38,"*")))))))</f>
        <v>*</v>
      </c>
      <c r="D159" s="320"/>
      <c r="E159" s="269"/>
      <c r="F159" s="268"/>
      <c r="G159" s="337" t="str">
        <f>IF(AND(C29=8,G118&gt;125,G118&lt;=400,G117&gt;=1,G117&lt;=3.5,E71&lt;=20),30,IF(AND(C29=8,G118&gt;125,G118&lt;=400,G117&gt;=1,G117&lt;=3.5,E70&gt;20,E71&lt;=45),36,IF(AND(C29=8,G118&gt;125,G118&lt;=400,G117&gt;=1,G117&lt;=3.5,E71&gt;45),32,IF(AND(C29=8,G118&gt;125,G118&lt;=400,G117&gt;3.5,G117&lt;=6.3,E71&lt;=45),36,IF(AND(C29=8,G118&gt;125,G118&lt;=400,G117&gt;3.5,G117&lt;=6.3,E71&gt;45),32,IF(AND(C29=8,G118&gt;125,G118&lt;=400,G117&gt;6.3,G117&lt;=10,E71&lt;=45),40,IF(AND(C29=8,G118&gt;125,G118&lt;=400,G117&gt;6.3,G117&lt;=10,E71&gt;45),38,"*")))))))</f>
        <v>*</v>
      </c>
      <c r="H159" s="259"/>
      <c r="I159" s="293"/>
      <c r="J159" s="259"/>
      <c r="K159" s="259"/>
      <c r="L159" s="261"/>
    </row>
    <row r="160" spans="1:12" hidden="1">
      <c r="A160" s="249" t="s">
        <v>9184</v>
      </c>
      <c r="B160" s="293" t="s">
        <v>9185</v>
      </c>
      <c r="C160" s="282">
        <f>ROUND((-C152-G152+C138+G138+C154+G154)*COS(J23),0)</f>
        <v>318</v>
      </c>
      <c r="D160" s="320"/>
      <c r="E160" s="269"/>
      <c r="F160" s="268"/>
      <c r="G160" s="269"/>
      <c r="H160" s="259"/>
      <c r="I160" s="293"/>
      <c r="J160" s="259"/>
      <c r="K160" s="259"/>
      <c r="L160" s="261"/>
    </row>
    <row r="161" spans="1:12" hidden="1">
      <c r="A161" s="259" t="s">
        <v>11446</v>
      </c>
      <c r="B161" s="268"/>
      <c r="C161" s="282">
        <f>IF(AND(C28&lt;=C29,C28&lt;=C30),C28,IF(C29&lt;=C30,C29,C30))</f>
        <v>6</v>
      </c>
      <c r="D161" s="320"/>
      <c r="E161" s="269"/>
      <c r="F161" s="268"/>
      <c r="G161" s="337">
        <f>C161</f>
        <v>6</v>
      </c>
      <c r="H161" s="259"/>
      <c r="I161" s="293"/>
      <c r="J161" s="259"/>
      <c r="K161" s="259"/>
      <c r="L161" s="261"/>
    </row>
    <row r="162" spans="1:12" hidden="1">
      <c r="A162" s="352" t="s">
        <v>11447</v>
      </c>
      <c r="B162" s="320"/>
      <c r="C162" s="282">
        <f>IF(AND(C252&gt;30,C252&lt;=50,C161&lt;=6),20,IF(AND(C252&gt;50,C252&lt;=120,C161&lt;=6),25,IF(AND(C252&gt;120,C252&lt;=250,C161&lt;=6),30,IF(AND(C252&gt;250,C252&lt;=500,C161&lt;=6),40,IF(AND(C252&gt;30,C252&lt;=50,C161&gt;6),30,IF(AND(C252&gt;50,C252&lt;=120,C161&gt;6),40,IF(AND(C252&gt;120,C252&lt;=250,C161&gt;6),50,60)))))))</f>
        <v>25</v>
      </c>
      <c r="D162" s="320"/>
      <c r="E162" s="282"/>
      <c r="F162" s="400"/>
      <c r="G162" s="282">
        <f>IF(AND(G252&gt;30,G252&lt;=50,G161&lt;=6),20,IF(AND(G252&gt;50,G252&lt;=120,G161&lt;=6),25,IF(AND(G252&gt;120,G252&lt;=250,G161&lt;=6),30,IF(AND(G252&gt;250,G252&lt;=500,G161&lt;=6),40,IF(AND(G252&gt;30,G252&lt;=50,G161&gt;6),30,IF(AND(G252&gt;50,G252&lt;=120,G161&gt;6),40,IF(AND(G252&gt;120,G252&lt;=250,G161&gt;6),50,60)))))))</f>
        <v>30</v>
      </c>
      <c r="H162" s="259"/>
      <c r="I162" s="293"/>
      <c r="J162" s="259"/>
      <c r="K162" s="259"/>
      <c r="L162" s="261"/>
    </row>
    <row r="163" spans="1:12" hidden="1">
      <c r="A163" s="352" t="s">
        <v>11448</v>
      </c>
      <c r="B163" s="320"/>
      <c r="C163" s="282">
        <f>IF(AND(C34&gt;30,C34&lt;=50,C161&lt;=6),8,IF(AND(C34&gt;50,C34&lt;=120,C161&lt;=6),10,IF(AND(C34&gt;120,C34&lt;=250,C161&lt;=6),12,IF(AND(C34&gt;250,C34&lt;=500,C161&lt;=6),15,IF(AND(C34&gt;30,C34&lt;=50,C161&gt;6),12,IF(AND(C34&gt;50,C34&lt;=120,C161&gt;6),15,IF(AND(C34&gt;120,C34&lt;=250,C161&gt;6),20,25)))))))</f>
        <v>25</v>
      </c>
      <c r="D163" s="320"/>
      <c r="E163" s="282"/>
      <c r="F163" s="400"/>
      <c r="G163" s="282">
        <f>IF(AND(C36&gt;30,C36&lt;=50,C161&lt;=6),8,IF(AND(C36&gt;50,C36&lt;=120,C161&lt;=6),10,IF(AND(C36&gt;120,C36&lt;=250,C161&lt;=6),12,IF(AND(C36&gt;250,C36&lt;=500,C161&lt;=6),15,IF(AND(C36&gt;30,C36&lt;=50,C161&gt;6),12,IF(AND(C36&gt;50,C36&lt;=120,C161&gt;6),15,IF(AND(C36&gt;120,C36&lt;=250,C161&gt;6),20,25)))))))</f>
        <v>15</v>
      </c>
      <c r="H163" s="259"/>
      <c r="I163" s="293"/>
      <c r="J163" s="259"/>
      <c r="K163" s="259"/>
      <c r="L163" s="261"/>
    </row>
    <row r="164" spans="1:12" hidden="1">
      <c r="A164" s="352"/>
      <c r="B164" s="320"/>
      <c r="C164" s="337">
        <f>SIN(RADIANS(20))/SIN(J23)</f>
        <v>1</v>
      </c>
      <c r="D164" s="320"/>
      <c r="E164" s="282"/>
      <c r="F164" s="400"/>
      <c r="G164" s="282"/>
      <c r="H164" s="259"/>
      <c r="I164" s="293"/>
      <c r="J164" s="259"/>
      <c r="K164" s="259"/>
      <c r="L164" s="261"/>
    </row>
    <row r="165" spans="1:12" hidden="1">
      <c r="A165" s="249"/>
      <c r="B165" s="293"/>
      <c r="C165" s="337">
        <f>IF(AND(C85&lt;=50,E70&lt;=15,C31="h"),7.5,IF(AND(C85&lt;=50,E70&gt;15,E70&lt;=25,C31="h"),10,IF(AND(C85&lt;=50,E70&gt;25,C31="h"),12,IF(AND(C85&gt;50,C85&lt;=100,E70&lt;=15,C31="h"),10,IF(AND(C85&gt;50,C85&lt;=100,E70&gt;15,E70&lt;=25,C31="h"),12,IF(AND(C85&gt;50,C85&lt;=100,E70&gt;25,C31="h"),15,D165))))))</f>
        <v>32</v>
      </c>
      <c r="D165" s="337">
        <f>IF(AND(C85&gt;100,C85&lt;=200,E70&lt;=15,C31="h"),12,IF(AND(C85&gt;100,C85&lt;=200,E70&gt;15,E70&lt;=25,C31="h"),17,IF(AND(C85&gt;100,C85&lt;=200,E70&gt;25,C31="h"),20,IF(AND(C85&gt;200,C85&lt;=400,E70&lt;=15,C31="h"),15,IF(AND(C85&gt;200,C85&lt;=400,E70&gt;15,E70&lt;=25,C31="h"),24,IF(AND(C85&gt;200,C85&lt;=400,E70&gt;25,C31="h"),26,E165))))))</f>
        <v>32</v>
      </c>
      <c r="E165" s="337">
        <f>IF(AND(C85&lt;=50,E70&lt;=15,C31="e"),7.5,IF(AND(C85&lt;=50,E70&gt;15,E70&lt;=25,C31="e"),10,IF(AND(C85&lt;=50,E70&gt;25,C31="e"),12,IF(AND(C85&gt;50,C85&lt;=100,E70&lt;=15,C31="e"),10,IF(AND(C85&gt;50,C85&lt;=100,E70&gt;15,E70&lt;=25,C31="e"),12,IF(AND(C85&gt;50,C85&lt;=100,E70&gt;25,C31="e"),15,F165))))))</f>
        <v>32</v>
      </c>
      <c r="F165" s="337">
        <f>IF(AND(C85&gt;100,C85&lt;=200,E70&lt;=15,C31="e"),12,IF(AND(C85&gt;100,C85&lt;=200,E70&gt;15,E70&lt;=25,C31="e"),17,IF(AND(C85&gt;100,C85&lt;=200,E70&gt;25,C31="e"),20,IF(AND(C85&gt;200,C85&lt;=400,E70&lt;=15,C31="e"),15,IF(AND(C85&gt;200,C85&lt;=400,E70&gt;15,E70&lt;=25,C31="e"),24,IF(AND(C85&gt;200,C85&lt;=400,E70&gt;25,C31="e"),26,C166))))))</f>
        <v>32</v>
      </c>
      <c r="G165" s="282"/>
      <c r="H165" s="259"/>
      <c r="I165" s="293"/>
      <c r="J165" s="259"/>
      <c r="K165" s="259"/>
      <c r="L165" s="261"/>
    </row>
    <row r="166" spans="1:12" hidden="1">
      <c r="A166" s="249"/>
      <c r="B166" s="320"/>
      <c r="C166" s="337">
        <f>IF(AND(C85&lt;=50,E70&lt;=15,C31="d"),11,IF(AND(C85&lt;=50,E70&gt;15,E70&lt;=25,C31="d"),16,IF(AND(C85&lt;=50,E70&gt;25,C31="d"),19,IF(AND(C85&gt;50,C85&lt;=100,E70&lt;=15,C31="d"),16,IF(AND(C85&gt;50,C85&lt;=100,E70&gt;15,E70&lt;=25,C31="d"),19,IF(AND(C85&gt;50,C85&lt;=100,E70&gt;25,C31="d"),22,D166))))))</f>
        <v>32</v>
      </c>
      <c r="D166" s="337">
        <f>IF(AND(C85&gt;100,C85&lt;=200,E70&lt;=15,C31="d"),19,IF(AND(C85&gt;100,C85&lt;=200,E70&gt;15,E70&lt;=25,C31="d"),26,IF(AND(C85&gt;100,C85&lt;=200,E70&gt;25,C31="d"),32,IF(AND(C85&gt;200,C85&lt;=400,E70&lt;=15,C31="d"),22,IF(AND(C85&gt;200,C85&lt;=400,E70&gt;15,E70&lt;=25,C31="d"),36,IF(AND(C85&gt;200,C85&lt;=400,E70&gt;25,C31="d"),40,E166))))))</f>
        <v>32</v>
      </c>
      <c r="E166" s="337">
        <f>IF(AND(C85&lt;=50,G70&lt;=15,C31="c"),18,IF(AND(C85&lt;=50,E70&gt;15,E70&lt;=25,C31="c"),26,IF(AND(C85&lt;=50,E70&gt;25,C31="c"),30,IF(AND(C85&gt;50,C85&lt;=100,E70&lt;=15,C31="c"),26,IF(AND(C85&gt;50,C85&lt;=100,E70&gt;15,E70&lt;=25,C31="c"),30,IF(AND(C85&gt;50,C85&lt;=100,E70&gt;25,C31="c"),32,F166))))))</f>
        <v>32</v>
      </c>
      <c r="F166" s="337" t="str">
        <f>IF(AND(C85&gt;100,C85&lt;=200,E70&lt;=15,C31="c"),30,IF(AND(C85&gt;100,C85&lt;=200,E70&gt;15,E70&lt;=25,C31="c"),45,IF(AND(C85&gt;100,C85&lt;=200,E70&gt;25,C31="c"),50,IF(AND(C85&gt;200,C85&lt;=400,E70&lt;=15,C31="c"),32,IF(AND(C85&gt;200,C85&lt;=400,E70&gt;15,E70&lt;=25,C31="c"),56,IF(AND(C85&gt;200,C85&lt;=400,E70&gt;25,C31="c"),63,C167))))))</f>
        <v>*</v>
      </c>
      <c r="G166" s="259"/>
      <c r="H166" s="259"/>
      <c r="I166" s="259"/>
      <c r="J166" s="337"/>
      <c r="K166" s="259"/>
      <c r="L166" s="261"/>
    </row>
    <row r="167" spans="1:12" hidden="1">
      <c r="A167" s="401"/>
      <c r="B167" s="268"/>
      <c r="C167" s="337" t="str">
        <f>IF(AND(C85&lt;=50,E70&lt;=15,C31="b"),30,IF(AND(C85&lt;=50,E70&gt;15,E70&lt;=25,C31="b"),42,IF(AND(C85&lt;=50,E70&gt;25,C31="b"),50,IF(AND(C85&gt;50,C85&lt;=100,E70&lt;=15,C31="b"),42,IF(AND(C85&gt;50,C85&lt;=100,E70&gt;15,E70&lt;=25,C31="b"),50,IF(AND(C85&gt;50,C85&lt;=100,E70&gt;25,C31="b"),60,D167))))))</f>
        <v>*</v>
      </c>
      <c r="D167" s="337" t="str">
        <f>IF(AND(C85&gt;100,C85&lt;=200,E70&lt;=15,C31="b"),50,IF(AND(C85&gt;100,C85&lt;=200,E70&gt;15,E70&lt;=25,C31="b"),71,IF(AND(C85&gt;100,C85&lt;=200,E70&gt;25,C31="b"),80,IF(AND(C85&gt;200,C85&lt;=400,E70&lt;=15,C31="b"),60,IF(AND(C85&gt;200,C85&lt;=400,E70&gt;15,E70&lt;=25,C31="b"),90,IF(AND(C85&gt;200,C85&lt;=400,E70&gt;25,C31="b"),100,E167))))))</f>
        <v>*</v>
      </c>
      <c r="E167" s="337" t="str">
        <f>IF(AND(C85&lt;=50,G70&lt;=15,C31="a"),45,IF(AND(C85&lt;=50,E70&gt;15,E70&lt;=25,C31="a"),63,IF(AND(C85&lt;=50,E70&gt;25,C31="a"),80,IF(AND(C85&gt;50,C85&lt;=100,E70&lt;=15,C31="a"),63,IF(AND(C85&gt;50,C85&lt;=100,E70&gt;15,E70&lt;=25,C31="a"),80,IF(AND(C85&gt;50,C85&lt;=100,E70&gt;25,C31="a"),95,F167))))))</f>
        <v>*</v>
      </c>
      <c r="F167" s="337" t="str">
        <f>IF(AND(C85&gt;100,C85&lt;=200,E70&lt;=15,C32="a"),80,IF(AND(C85&gt;100,C85&lt;=200,E70&gt;15,E70&lt;=25,C31="a"),110,IF(AND(C85&gt;100,C85&lt;=200,E70&gt;25,C31="a"),125,IF(AND(C85&gt;200,C85&lt;=400,E70&lt;=15,C31="a"),95,IF(AND(C85&gt;200,C85&lt;=400,E70&gt;15,E70&lt;=25,C31="a"),140,IF(AND(C85&gt;200,C85&lt;=400,E70&gt;25,C31="a"),160,"*"))))))</f>
        <v>*</v>
      </c>
      <c r="G167" s="259"/>
      <c r="H167" s="281"/>
      <c r="I167" s="259"/>
      <c r="J167" s="337"/>
      <c r="K167" s="259"/>
      <c r="L167" s="261"/>
    </row>
    <row r="168" spans="1:12" hidden="1">
      <c r="A168" s="249" t="s">
        <v>11449</v>
      </c>
      <c r="B168" s="293" t="s">
        <v>11450</v>
      </c>
      <c r="C168" s="282">
        <f>IF(G23=90,E168,G168)</f>
        <v>32</v>
      </c>
      <c r="D168" s="337"/>
      <c r="E168" s="337">
        <f>C165*C164</f>
        <v>32</v>
      </c>
      <c r="F168" s="337"/>
      <c r="G168" s="337">
        <f>C145/2</f>
        <v>37</v>
      </c>
      <c r="H168" s="281"/>
      <c r="I168" s="259"/>
      <c r="J168" s="337"/>
      <c r="K168" s="259"/>
      <c r="L168" s="261"/>
    </row>
    <row r="169" spans="1:12" hidden="1">
      <c r="A169" s="361" t="s">
        <v>11451</v>
      </c>
      <c r="B169" s="293"/>
      <c r="C169" s="282"/>
      <c r="D169" s="337"/>
      <c r="E169" s="337"/>
      <c r="F169" s="337"/>
      <c r="G169" s="337"/>
      <c r="H169" s="281"/>
      <c r="I169" s="259"/>
      <c r="J169" s="337"/>
      <c r="K169" s="259"/>
      <c r="L169" s="261"/>
    </row>
    <row r="170" spans="1:12" hidden="1">
      <c r="A170" s="402" t="s">
        <v>11452</v>
      </c>
      <c r="B170" s="293"/>
      <c r="C170" s="282" t="s">
        <v>11453</v>
      </c>
      <c r="D170" s="337"/>
      <c r="E170" s="337"/>
      <c r="F170" s="337"/>
      <c r="G170" s="259" t="s">
        <v>11454</v>
      </c>
      <c r="H170" s="281"/>
      <c r="I170" s="259"/>
      <c r="J170" s="337"/>
      <c r="K170" s="259"/>
      <c r="L170" s="261"/>
    </row>
    <row r="171" spans="1:12" hidden="1">
      <c r="A171" s="249" t="s">
        <v>11455</v>
      </c>
      <c r="B171" s="293" t="s">
        <v>11456</v>
      </c>
      <c r="C171" s="282">
        <f>C20/COS(C70)</f>
        <v>14.7846227359525</v>
      </c>
      <c r="D171" s="337"/>
      <c r="E171" s="337"/>
      <c r="F171" s="293" t="s">
        <v>11457</v>
      </c>
      <c r="G171" s="282">
        <f>C21/COS(C71)</f>
        <v>50.3901934669151</v>
      </c>
      <c r="H171" s="281"/>
      <c r="I171" s="259"/>
      <c r="J171" s="337"/>
      <c r="K171" s="259"/>
      <c r="L171" s="261"/>
    </row>
    <row r="172" spans="1:12" hidden="1">
      <c r="A172" s="249" t="s">
        <v>11458</v>
      </c>
      <c r="B172" s="293" t="s">
        <v>11459</v>
      </c>
      <c r="C172" s="282">
        <f>G171/C171</f>
        <v>3.40828402366864</v>
      </c>
      <c r="D172" s="337"/>
      <c r="E172" s="337"/>
      <c r="F172" s="293"/>
      <c r="G172" s="282"/>
      <c r="H172" s="281"/>
      <c r="I172" s="259"/>
      <c r="J172" s="337"/>
      <c r="K172" s="259"/>
      <c r="L172" s="261"/>
    </row>
    <row r="173" spans="1:12" hidden="1">
      <c r="A173" s="249" t="s">
        <v>8934</v>
      </c>
      <c r="B173" s="293" t="s">
        <v>11460</v>
      </c>
      <c r="C173" s="282">
        <f>C118/COS(C70)</f>
        <v>94.634670519644004</v>
      </c>
      <c r="D173" s="337"/>
      <c r="E173" s="337"/>
      <c r="F173" s="293" t="s">
        <v>11461</v>
      </c>
      <c r="G173" s="282">
        <f>G118/COS(C71)</f>
        <v>322.54183561724801</v>
      </c>
      <c r="H173" s="281"/>
      <c r="I173" s="259"/>
      <c r="J173" s="337"/>
      <c r="K173" s="259"/>
      <c r="L173" s="261"/>
    </row>
    <row r="174" spans="1:12" hidden="1">
      <c r="A174" s="352" t="s">
        <v>11462</v>
      </c>
      <c r="B174" s="293" t="s">
        <v>11463</v>
      </c>
      <c r="C174" s="282">
        <f>(C173+G173)/2</f>
        <v>208.58825306844599</v>
      </c>
      <c r="D174" s="337"/>
      <c r="E174" s="337"/>
      <c r="F174" s="293"/>
      <c r="G174" s="282"/>
      <c r="H174" s="281"/>
      <c r="I174" s="259"/>
      <c r="J174" s="337"/>
      <c r="K174" s="259"/>
      <c r="L174" s="261"/>
    </row>
    <row r="175" spans="1:12" hidden="1">
      <c r="A175" s="249" t="s">
        <v>11464</v>
      </c>
      <c r="B175" s="293" t="s">
        <v>11465</v>
      </c>
      <c r="C175" s="282">
        <f>C173+2*C176</f>
        <v>109.044342925809</v>
      </c>
      <c r="D175" s="337"/>
      <c r="E175" s="337"/>
      <c r="F175" s="293" t="s">
        <v>11465</v>
      </c>
      <c r="G175" s="282">
        <f>G173+2*G176</f>
        <v>329.89517235330101</v>
      </c>
      <c r="H175" s="281"/>
      <c r="I175" s="259"/>
      <c r="J175" s="337"/>
      <c r="K175" s="259"/>
      <c r="L175" s="261"/>
    </row>
    <row r="176" spans="1:12" hidden="1">
      <c r="A176" s="249" t="s">
        <v>11466</v>
      </c>
      <c r="B176" s="293" t="s">
        <v>11467</v>
      </c>
      <c r="C176" s="282">
        <f>C66*C85/C64</f>
        <v>7.2048362030827597</v>
      </c>
      <c r="D176" s="337"/>
      <c r="E176" s="337"/>
      <c r="F176" s="293" t="s">
        <v>11468</v>
      </c>
      <c r="G176" s="282">
        <f>C67*C85/C64</f>
        <v>3.6766683680266001</v>
      </c>
      <c r="H176" s="281"/>
      <c r="I176" s="259"/>
      <c r="J176" s="337"/>
      <c r="K176" s="259"/>
      <c r="L176" s="261"/>
    </row>
    <row r="177" spans="1:12" hidden="1">
      <c r="A177" s="352" t="s">
        <v>11469</v>
      </c>
      <c r="B177" s="293" t="s">
        <v>11470</v>
      </c>
      <c r="C177" s="282">
        <f>(C176-G176)/(2*C117)</f>
        <v>0.35463093636015702</v>
      </c>
      <c r="D177" s="337"/>
      <c r="E177" s="337"/>
      <c r="F177" s="293" t="s">
        <v>11471</v>
      </c>
      <c r="G177" s="282">
        <f>(G176-C176)/(2*C117)</f>
        <v>-0.35463093636015702</v>
      </c>
      <c r="H177" s="281"/>
      <c r="I177" s="259"/>
      <c r="J177" s="337"/>
      <c r="K177" s="259"/>
      <c r="L177" s="261"/>
    </row>
    <row r="178" spans="1:12" hidden="1">
      <c r="A178" s="352" t="s">
        <v>11472</v>
      </c>
      <c r="B178" s="293" t="s">
        <v>11473</v>
      </c>
      <c r="C178" s="282">
        <f>G24/2</f>
        <v>3.4499999999999999E-3</v>
      </c>
      <c r="D178" s="337"/>
      <c r="E178" s="337"/>
      <c r="F178" s="293" t="s">
        <v>11474</v>
      </c>
      <c r="G178" s="282">
        <f>-C178</f>
        <v>-3.4499999999999999E-3</v>
      </c>
      <c r="H178" s="281"/>
      <c r="I178" s="259"/>
      <c r="J178" s="337"/>
      <c r="K178" s="259"/>
      <c r="L178" s="261"/>
    </row>
    <row r="179" spans="1:12" hidden="1">
      <c r="A179" s="249" t="s">
        <v>8939</v>
      </c>
      <c r="B179" s="293" t="s">
        <v>11475</v>
      </c>
      <c r="C179" s="282">
        <f>C173*COS(E179)</f>
        <v>85.701235066945401</v>
      </c>
      <c r="D179" s="337" t="s">
        <v>11476</v>
      </c>
      <c r="E179" s="337">
        <f>ATAN(TAN(J23)/COS(J24))</f>
        <v>0.43800215435949502</v>
      </c>
      <c r="F179" s="293" t="s">
        <v>11477</v>
      </c>
      <c r="G179" s="282">
        <f>G173*COS(E179)</f>
        <v>292.09415028734099</v>
      </c>
      <c r="H179" s="281"/>
      <c r="I179" s="259"/>
      <c r="J179" s="337"/>
      <c r="K179" s="259"/>
      <c r="L179" s="261"/>
    </row>
    <row r="180" spans="1:12" hidden="1">
      <c r="A180" s="249" t="s">
        <v>11478</v>
      </c>
      <c r="B180" s="267" t="s">
        <v>11479</v>
      </c>
      <c r="C180" s="282">
        <f>E180*COS(J24)/(C117*PI()*COS(E179))</f>
        <v>1.20319235163723</v>
      </c>
      <c r="D180" s="403" t="s">
        <v>11480</v>
      </c>
      <c r="E180" s="337">
        <f>0.5*(SQRT(C175^2-C179^2)+SQRT(G175^2-G179^2))-C174*SIN(E179)</f>
        <v>21.9109783134979</v>
      </c>
      <c r="F180" s="267"/>
      <c r="G180" s="282"/>
      <c r="H180" s="281"/>
      <c r="I180" s="259"/>
      <c r="J180" s="337"/>
      <c r="K180" s="259"/>
      <c r="L180" s="261"/>
    </row>
    <row r="181" spans="1:12" hidden="1">
      <c r="A181" s="249" t="s">
        <v>11481</v>
      </c>
      <c r="B181" s="267" t="s">
        <v>11482</v>
      </c>
      <c r="C181" s="282">
        <f>C27*SIN(J24)/(C117*PI())*0.85</f>
        <v>1.02687951349858</v>
      </c>
      <c r="D181" s="337"/>
      <c r="E181" s="337"/>
      <c r="F181" s="267"/>
      <c r="G181" s="282"/>
      <c r="H181" s="281"/>
      <c r="I181" s="259"/>
      <c r="J181" s="337"/>
      <c r="K181" s="259"/>
      <c r="L181" s="261"/>
    </row>
    <row r="182" spans="1:12" hidden="1">
      <c r="A182" s="249" t="s">
        <v>11483</v>
      </c>
      <c r="B182" s="267" t="s">
        <v>11484</v>
      </c>
      <c r="C182" s="267">
        <f>C180+C181</f>
        <v>2.2300718651358098</v>
      </c>
      <c r="D182" s="337"/>
      <c r="E182" s="337"/>
      <c r="F182" s="267"/>
      <c r="G182" s="282"/>
      <c r="H182" s="281"/>
      <c r="I182" s="259"/>
      <c r="J182" s="337"/>
      <c r="K182" s="259"/>
      <c r="L182" s="261"/>
    </row>
    <row r="183" spans="1:12" hidden="1">
      <c r="A183" s="402" t="s">
        <v>11485</v>
      </c>
      <c r="B183" s="293"/>
      <c r="C183" s="282"/>
      <c r="D183" s="337"/>
      <c r="E183" s="337"/>
      <c r="F183" s="293"/>
      <c r="G183" s="282"/>
      <c r="H183" s="281"/>
      <c r="I183" s="259"/>
      <c r="J183" s="337"/>
      <c r="K183" s="259"/>
      <c r="L183" s="261"/>
    </row>
    <row r="184" spans="1:12" hidden="1">
      <c r="A184" s="249" t="s">
        <v>11486</v>
      </c>
      <c r="B184" s="293" t="s">
        <v>11487</v>
      </c>
      <c r="C184" s="282">
        <f>C171/(COS(E184)^2*COS(J24))</f>
        <v>29.2552924064824</v>
      </c>
      <c r="D184" s="337" t="s">
        <v>11488</v>
      </c>
      <c r="E184" s="337">
        <f>ASIN(SIN(J24)*COS(J23))</f>
        <v>0.63275387460343502</v>
      </c>
      <c r="F184" s="293" t="s">
        <v>11489</v>
      </c>
      <c r="G184" s="282">
        <f>G171/(COS(E184)^2*COS(J24))</f>
        <v>99.710345716768401</v>
      </c>
      <c r="H184" s="281"/>
      <c r="I184" s="259"/>
      <c r="J184" s="337"/>
      <c r="K184" s="259"/>
      <c r="L184" s="261"/>
    </row>
    <row r="185" spans="1:12" hidden="1">
      <c r="A185" s="249" t="s">
        <v>8934</v>
      </c>
      <c r="B185" s="293" t="s">
        <v>11490</v>
      </c>
      <c r="C185" s="282">
        <f>C184*C117</f>
        <v>145.52816899325501</v>
      </c>
      <c r="D185" s="337"/>
      <c r="E185" s="337"/>
      <c r="F185" s="293" t="s">
        <v>11491</v>
      </c>
      <c r="G185" s="282">
        <f>G184*C117</f>
        <v>496.00133337345898</v>
      </c>
      <c r="H185" s="281"/>
      <c r="I185" s="259"/>
      <c r="J185" s="337"/>
      <c r="K185" s="259"/>
      <c r="L185" s="261"/>
    </row>
    <row r="186" spans="1:12" hidden="1">
      <c r="A186" s="249" t="s">
        <v>8964</v>
      </c>
      <c r="B186" s="293" t="s">
        <v>11492</v>
      </c>
      <c r="C186" s="282">
        <f>C185+C175-C173</f>
        <v>159.93784139941999</v>
      </c>
      <c r="D186" s="337"/>
      <c r="E186" s="337"/>
      <c r="F186" s="293" t="s">
        <v>11493</v>
      </c>
      <c r="G186" s="282">
        <f>G185+G175-G173</f>
        <v>503.35467010951203</v>
      </c>
      <c r="H186" s="281"/>
      <c r="I186" s="259"/>
      <c r="J186" s="337"/>
      <c r="K186" s="259"/>
      <c r="L186" s="261"/>
    </row>
    <row r="187" spans="1:12" hidden="1">
      <c r="A187" s="249" t="s">
        <v>8939</v>
      </c>
      <c r="B187" s="293" t="s">
        <v>11494</v>
      </c>
      <c r="C187" s="282">
        <f>C185*COS(J23)</f>
        <v>136.75174651944599</v>
      </c>
      <c r="D187" s="337"/>
      <c r="E187" s="337"/>
      <c r="F187" s="293" t="s">
        <v>11495</v>
      </c>
      <c r="G187" s="282">
        <f>G185*COS(J23)</f>
        <v>466.08879287101098</v>
      </c>
      <c r="H187" s="281"/>
      <c r="I187" s="259"/>
      <c r="J187" s="337"/>
      <c r="K187" s="259"/>
      <c r="L187" s="261"/>
    </row>
    <row r="188" spans="1:12" hidden="1">
      <c r="A188" s="249" t="s">
        <v>11496</v>
      </c>
      <c r="B188" s="267" t="s">
        <v>11497</v>
      </c>
      <c r="C188" s="282">
        <f>C180/COS(E184)^2</f>
        <v>1.85025613677292</v>
      </c>
      <c r="D188" s="337"/>
      <c r="E188" s="337"/>
      <c r="F188" s="267"/>
      <c r="G188" s="282"/>
      <c r="H188" s="281"/>
      <c r="I188" s="259"/>
      <c r="J188" s="337"/>
      <c r="K188" s="259"/>
      <c r="L188" s="261"/>
    </row>
    <row r="189" spans="1:12" hidden="1">
      <c r="A189" s="249"/>
      <c r="B189" s="293"/>
      <c r="C189" s="282"/>
      <c r="D189" s="337"/>
      <c r="E189" s="337"/>
      <c r="F189" s="337"/>
      <c r="G189" s="282"/>
      <c r="H189" s="281"/>
      <c r="I189" s="259"/>
      <c r="J189" s="337"/>
      <c r="K189" s="259"/>
      <c r="L189" s="261"/>
    </row>
    <row r="190" spans="1:12" hidden="1">
      <c r="A190" s="249" t="s">
        <v>11498</v>
      </c>
      <c r="B190" s="293" t="s">
        <v>11499</v>
      </c>
      <c r="C190" s="282">
        <f>(0.85+0.188-C177)*C117+C177*C117</f>
        <v>5.1634499944880599</v>
      </c>
      <c r="D190" s="293"/>
      <c r="E190" s="282" t="s">
        <v>11500</v>
      </c>
      <c r="F190" s="282" t="s">
        <v>11501</v>
      </c>
      <c r="G190" s="282">
        <f>IF(C22&lt;=5,0.3,IF(AND(C22&gt;5,C22&lt;=7),0.5,0.8))</f>
        <v>0.8</v>
      </c>
      <c r="H190" s="268" t="s">
        <v>11502</v>
      </c>
      <c r="I190" s="259">
        <v>0</v>
      </c>
      <c r="J190" s="337"/>
      <c r="K190" s="259"/>
      <c r="L190" s="261"/>
    </row>
    <row r="191" spans="1:12" hidden="1">
      <c r="A191" s="249" t="s">
        <v>11503</v>
      </c>
      <c r="B191" s="293" t="s">
        <v>11504</v>
      </c>
      <c r="C191" s="282">
        <f>IF(C53&lt;&gt;0,2000*C53/C118,2000*9549*G53/C54/C118)</f>
        <v>6008.7844431194799</v>
      </c>
      <c r="D191" s="268" t="s">
        <v>6109</v>
      </c>
      <c r="E191" s="337"/>
      <c r="F191" s="337"/>
      <c r="G191" s="282"/>
      <c r="H191" s="281"/>
      <c r="I191" s="259"/>
      <c r="J191" s="337"/>
      <c r="K191" s="259"/>
      <c r="L191" s="261"/>
    </row>
    <row r="192" spans="1:12" hidden="1">
      <c r="A192" s="249" t="s">
        <v>11505</v>
      </c>
      <c r="B192" s="293" t="s">
        <v>11506</v>
      </c>
      <c r="C192" s="282">
        <v>1.5</v>
      </c>
      <c r="D192" s="288" t="s">
        <v>11507</v>
      </c>
      <c r="E192" s="337"/>
      <c r="F192" s="337"/>
      <c r="G192" s="282"/>
      <c r="H192" s="281"/>
      <c r="I192" s="268"/>
      <c r="J192" s="337"/>
      <c r="K192" s="259"/>
      <c r="L192" s="261"/>
    </row>
    <row r="193" spans="1:17" hidden="1">
      <c r="A193" s="249"/>
      <c r="B193" s="293" t="s">
        <v>11508</v>
      </c>
      <c r="C193" s="282">
        <f>1/8*7.86/1000000*PI()*1/COS(J23)^2*C118^2</f>
        <v>2.4203465767666299E-2</v>
      </c>
      <c r="D193" s="293" t="s">
        <v>11509</v>
      </c>
      <c r="E193" s="282">
        <f>1/8*7.86/1000000*PI()*1/COS(J23)^2*G118^2</f>
        <v>8.2492285693347905E-2</v>
      </c>
      <c r="F193" s="268" t="s">
        <v>11510</v>
      </c>
      <c r="G193" s="282">
        <f>C193*E193/(C193+E193)</f>
        <v>1.87130151438601E-2</v>
      </c>
      <c r="H193" s="281"/>
      <c r="I193" s="268" t="s">
        <v>11511</v>
      </c>
      <c r="J193" s="282">
        <f>30000/(PI()*C20)*SQRT(20/G193)</f>
        <v>24014.366975827099</v>
      </c>
      <c r="K193" s="259"/>
      <c r="L193" s="261"/>
    </row>
    <row r="194" spans="1:17" hidden="1">
      <c r="A194" s="249"/>
      <c r="B194" s="293" t="s">
        <v>6109</v>
      </c>
      <c r="C194" s="282">
        <f>C54/J193</f>
        <v>4.1641738922645902E-2</v>
      </c>
      <c r="D194" s="268" t="s">
        <v>11512</v>
      </c>
      <c r="E194" s="282">
        <f>0.075*G124</f>
        <v>1.05</v>
      </c>
      <c r="F194" s="268" t="s">
        <v>11513</v>
      </c>
      <c r="G194" s="282">
        <f>0.32</f>
        <v>0.32</v>
      </c>
      <c r="H194" s="268" t="s">
        <v>11514</v>
      </c>
      <c r="I194" s="268">
        <f>IF(C182&gt;2,0.57/(C182-0.3),IF(AND(C182&gt;1,C182&lt;=2),0.34))</f>
        <v>0.29532579086628502</v>
      </c>
      <c r="J194" s="268" t="s">
        <v>11515</v>
      </c>
      <c r="K194" s="259">
        <f>IF(C182&gt;2,0.096/(C182-1.56),IF(AND(C182&gt;1,C182&lt;=2),0.23))</f>
        <v>0.14326821494070999</v>
      </c>
      <c r="L194" s="261"/>
    </row>
    <row r="195" spans="1:17" hidden="1">
      <c r="A195" s="249"/>
      <c r="B195" s="268" t="s">
        <v>11516</v>
      </c>
      <c r="C195" s="282">
        <f>IF(C182&gt;2,(0.57-0.05*C182)/(C182-1.44),IF(AND(C182&gt;1,C182&lt;=2),0.9))</f>
        <v>0.58032240733492702</v>
      </c>
      <c r="D195" s="268" t="s">
        <v>11517</v>
      </c>
      <c r="E195" s="282">
        <v>0.47</v>
      </c>
      <c r="F195" s="268" t="s">
        <v>11518</v>
      </c>
      <c r="G195" s="282">
        <f>IF(C182&gt;2,0.12/(C182-1.74),IF(AND(C182&gt;1,C182&lt;=2),0.47))</f>
        <v>0.24486204684846599</v>
      </c>
      <c r="H195" s="268" t="s">
        <v>11519</v>
      </c>
      <c r="I195" s="268">
        <f>IF(AND(C182&gt;1.5,C182&lt;=2.5),0.125*SIN(PI()/1.12*(C182-1.96))+0.875,IF(AND(C182&gt;1,C182&lt;=1.5),0.75,IF(AND(C182&gt;2.5),1)))</f>
        <v>0.96089292414508498</v>
      </c>
      <c r="J195" s="433"/>
      <c r="K195" s="259"/>
      <c r="L195" s="261"/>
    </row>
    <row r="196" spans="1:17" hidden="1">
      <c r="A196" s="249" t="s">
        <v>11520</v>
      </c>
      <c r="B196" s="293" t="s">
        <v>11521</v>
      </c>
      <c r="C196" s="282">
        <f>IF(C194&lt;=0.85,E196,IF(AND(C194&gt;0.85,C194&lt;=1.15),G196,IF(AND(C194&gt;1.15,C194&lt;1.5),I196,IF(AND(C194&gt;=1.5),K196))))</f>
        <v>1.0191089245451399</v>
      </c>
      <c r="D196" s="309" t="s">
        <v>11522</v>
      </c>
      <c r="E196" s="282">
        <f>C194*((G124-E194)*14/(C192*C191/(0.85*C27))*(G194+I194)+K194)+1</f>
        <v>1.0191089245451399</v>
      </c>
      <c r="F196" s="309" t="s">
        <v>11523</v>
      </c>
      <c r="G196" s="282">
        <f>(G124-E194)*14/(C192*C191/(0.85*C27))*(G194+I194)+C195+1</f>
        <v>1.8959429189345101</v>
      </c>
      <c r="H196" s="309" t="s">
        <v>11524</v>
      </c>
      <c r="I196" s="282">
        <f>K196+(G196-K196)/0.35*(1.5-C194)</f>
        <v>4.0935696624328202</v>
      </c>
      <c r="J196" s="309" t="s">
        <v>11525</v>
      </c>
      <c r="K196" s="259">
        <f>(G124-E194)*14/(C192*C191/(0.85*C27))*(E195+K195)+I195</f>
        <v>1.20197113450737</v>
      </c>
      <c r="L196" s="261"/>
    </row>
    <row r="197" spans="1:17" hidden="1">
      <c r="A197" s="249" t="s">
        <v>11526</v>
      </c>
      <c r="B197" s="249" t="s">
        <v>11527</v>
      </c>
      <c r="C197" s="282">
        <f>IF(C50=1,1.5*1,IF(C50=2,1.5*1.1,IF(C50=3,1.5*1.25,"")))</f>
        <v>1.65</v>
      </c>
      <c r="D197" s="249" t="s">
        <v>11528</v>
      </c>
      <c r="E197" s="282">
        <f>C197</f>
        <v>1.65</v>
      </c>
      <c r="F197" s="404"/>
      <c r="G197" s="282"/>
      <c r="H197" s="404"/>
      <c r="I197" s="282"/>
      <c r="J197" s="404"/>
      <c r="K197" s="259"/>
      <c r="L197" s="261"/>
    </row>
    <row r="198" spans="1:17" hidden="1">
      <c r="A198" s="249"/>
      <c r="B198" s="293" t="s">
        <v>11529</v>
      </c>
      <c r="C198" s="282">
        <f>IF(C182&lt;=2,"C149/2*(.9+.4*20*(G92-E162)/(C160*C164*C165*C159/(.85*C17))",0.9+0.4*SQRT(2*(C182-1)/C182*20*(G124-E194)/(C192*C196*C197*C191/(0.85*C27))))</f>
        <v>1.17733811432549</v>
      </c>
      <c r="D198" s="293" t="s">
        <v>11530</v>
      </c>
      <c r="E198" s="282">
        <f>C198</f>
        <v>1.17733811432549</v>
      </c>
      <c r="F198" s="293" t="s">
        <v>11529</v>
      </c>
      <c r="G198" s="282">
        <f>IF(C182&lt;=2,"C149/2*(.9+.4*20*(G92-E162)/(C160*C164*C165*C159/(.85*C17)",0.9+0.4*SQRT(2*(C182-1))/C182*20*(G124-E194)/(C192*C196*C197*C191/(0.85*C27)))</f>
        <v>1.02259672958063</v>
      </c>
      <c r="H198" s="268" t="s">
        <v>11531</v>
      </c>
      <c r="I198" s="282">
        <f>IF(C202&lt;850,0.15,IF(C202&gt;1200,0.08,0.12+(1000-C202)/5000))</f>
        <v>0.08</v>
      </c>
      <c r="J198" s="282"/>
      <c r="K198" s="259"/>
      <c r="L198" s="261"/>
    </row>
    <row r="199" spans="1:17" hidden="1">
      <c r="A199" s="249" t="s">
        <v>11532</v>
      </c>
      <c r="B199" s="293" t="s">
        <v>11533</v>
      </c>
      <c r="C199" s="282">
        <f>IF(G198&gt;C182/(C180*I200^2),C182/(C180*I200^2),IF(G198&lt;1,1,G198))</f>
        <v>1.02259672958063</v>
      </c>
      <c r="D199" s="293" t="s">
        <v>11534</v>
      </c>
      <c r="E199" s="282">
        <f>IF(G198&gt;C182,C182/(C180*(0.25+0.75/C188)),G198)</f>
        <v>1.02259672958063</v>
      </c>
      <c r="F199" s="268" t="s">
        <v>11535</v>
      </c>
      <c r="G199" s="282">
        <f>IF(C202&lt;850,0.83,IF(C202&gt;1200,0.91,0.83+(C202-850)/350*0.08))</f>
        <v>0.91</v>
      </c>
      <c r="H199" s="268" t="s">
        <v>11536</v>
      </c>
      <c r="I199" s="282">
        <f>IF(C202&lt;850,0.85,IF(C202&gt;1200,0.93,0.85+(C202-850)/350*0.08))</f>
        <v>0.93</v>
      </c>
      <c r="J199" s="282" t="s">
        <v>11537</v>
      </c>
      <c r="K199" s="259">
        <v>32</v>
      </c>
      <c r="L199" s="330" t="s">
        <v>11538</v>
      </c>
    </row>
    <row r="200" spans="1:17" hidden="1">
      <c r="A200" s="249"/>
      <c r="B200" s="293" t="s">
        <v>11539</v>
      </c>
      <c r="C200" s="282">
        <f>2*SQRT(COS(E184)/SIN(2*E179))</f>
        <v>2.0491434254481602</v>
      </c>
      <c r="D200" s="293" t="s">
        <v>11540</v>
      </c>
      <c r="E200" s="282">
        <f>TAN(E179)/SQRT((SQRT(C175^2/C179^2-1)-2*PI()/C171)*(SQRT(G175^2/G179^2-1)-(C180-1)*2*PI()/G171))</f>
        <v>1.10164276800262</v>
      </c>
      <c r="F200" s="293" t="s">
        <v>11541</v>
      </c>
      <c r="G200" s="282">
        <f>189.8</f>
        <v>189.8</v>
      </c>
      <c r="H200" s="293" t="s">
        <v>11542</v>
      </c>
      <c r="I200" s="282">
        <f>IF(B181&lt;1,"SQRT((4-B147)/3*(1-B148)+B148/B147",SQRT(1/C180))</f>
        <v>0.91165909443105397</v>
      </c>
      <c r="J200" s="293" t="s">
        <v>11543</v>
      </c>
      <c r="K200" s="259">
        <f>SQRT(COS(J24))</f>
        <v>0.88155882472865699</v>
      </c>
      <c r="L200" s="261"/>
    </row>
    <row r="201" spans="1:17" hidden="1">
      <c r="A201" s="249"/>
      <c r="B201" s="293" t="s">
        <v>11544</v>
      </c>
      <c r="C201" s="282">
        <f>0.85</f>
        <v>0.85</v>
      </c>
      <c r="D201" s="293" t="s">
        <v>11545</v>
      </c>
      <c r="E201" s="282">
        <f>G199+4*(1-G199)/(1.2+134/K199)^2</f>
        <v>0.92240303400606205</v>
      </c>
      <c r="F201" s="293" t="s">
        <v>11546</v>
      </c>
      <c r="G201" s="282">
        <f>I199+2*(1-I199)/SQRT(0.8+32/(PI()*C118*C54/60))</f>
        <v>1.0858111611464301</v>
      </c>
      <c r="H201" s="293" t="s">
        <v>11547</v>
      </c>
      <c r="I201" s="293">
        <f>(3/(3.2*(100/C174)^(1/3)))^I198</f>
        <v>1.01454682952832</v>
      </c>
      <c r="J201" s="293" t="s">
        <v>11548</v>
      </c>
      <c r="K201" s="259">
        <f>1.05-0.005*C117</f>
        <v>1.0251278901999601</v>
      </c>
      <c r="L201" s="261"/>
    </row>
    <row r="202" spans="1:17" hidden="1">
      <c r="A202" s="352" t="s">
        <v>11549</v>
      </c>
      <c r="B202" s="282" t="s">
        <v>11550</v>
      </c>
      <c r="C202" s="282">
        <f>IF(C47=1,1500,IF(C47=2,1220,IF(C47=3,840,IF(C47=4,550,IF(C47=5,1250,IF(C47=6,1000,800))))))</f>
        <v>1500</v>
      </c>
      <c r="D202" s="348" t="s">
        <v>11551</v>
      </c>
      <c r="E202" s="288" t="s">
        <v>11552</v>
      </c>
      <c r="F202" s="404"/>
      <c r="G202" s="282"/>
      <c r="H202" s="404"/>
      <c r="I202" s="282"/>
      <c r="J202" s="404"/>
      <c r="K202" s="259"/>
      <c r="L202" s="261"/>
    </row>
    <row r="203" spans="1:17" hidden="1">
      <c r="A203" s="352" t="s">
        <v>11553</v>
      </c>
      <c r="B203" s="259" t="s">
        <v>11554</v>
      </c>
      <c r="C203" s="282">
        <f>1.25</f>
        <v>1.25</v>
      </c>
      <c r="D203" s="348"/>
      <c r="E203" s="288" t="s">
        <v>11555</v>
      </c>
      <c r="F203" s="404"/>
      <c r="G203" s="282"/>
      <c r="H203" s="404"/>
      <c r="I203" s="337"/>
      <c r="J203" s="434"/>
      <c r="K203" s="337"/>
      <c r="L203" s="291"/>
    </row>
    <row r="204" spans="1:17" hidden="1">
      <c r="A204" s="249" t="s">
        <v>11556</v>
      </c>
      <c r="B204" s="282" t="s">
        <v>11557</v>
      </c>
      <c r="C204" s="282">
        <f>ROUND(C202/C203*K201*E201*G201*I201,2)</f>
        <v>1249.99</v>
      </c>
      <c r="D204" s="348" t="s">
        <v>11551</v>
      </c>
      <c r="E204" s="282"/>
      <c r="F204" s="282" t="s">
        <v>11558</v>
      </c>
      <c r="G204" s="282">
        <f>C200*G200*I200*K200*C201*SQRT(C191/(C173*0.85*C27)*(C172+1)/C172)</f>
        <v>476.79998851392997</v>
      </c>
      <c r="H204" s="404"/>
      <c r="I204" s="337"/>
      <c r="J204" s="337"/>
      <c r="K204" s="337"/>
      <c r="L204" s="291"/>
    </row>
    <row r="205" spans="1:17" hidden="1">
      <c r="A205" s="249" t="s">
        <v>11559</v>
      </c>
      <c r="B205" s="282" t="s">
        <v>11560</v>
      </c>
      <c r="C205" s="282">
        <f>ROUND(G204*SQRT(C192*C196*C197*C199),2)</f>
        <v>765.75</v>
      </c>
      <c r="D205" s="348" t="s">
        <v>11551</v>
      </c>
      <c r="E205" s="282"/>
      <c r="F205" s="404"/>
      <c r="G205" s="282"/>
      <c r="H205" s="404"/>
      <c r="I205" s="337"/>
      <c r="J205" s="337"/>
      <c r="K205" s="337"/>
      <c r="L205" s="291"/>
    </row>
    <row r="206" spans="1:17" hidden="1">
      <c r="A206" s="352" t="s">
        <v>11561</v>
      </c>
      <c r="B206" s="293" t="s">
        <v>11562</v>
      </c>
      <c r="C206" s="282">
        <f>ROUND(C202/G204*E201*G201*I201*K201/SQRT(C192*C196*C197*C199),2)</f>
        <v>2.04</v>
      </c>
      <c r="D206" s="264" t="str">
        <f>IF(C206&gt;=C203,"","安全系数过小！")</f>
        <v/>
      </c>
      <c r="E206" s="269"/>
      <c r="F206" s="404"/>
      <c r="G206" s="282"/>
      <c r="H206" s="404"/>
      <c r="I206" s="337"/>
      <c r="J206" s="337"/>
      <c r="K206" s="337"/>
      <c r="L206" s="291"/>
    </row>
    <row r="207" spans="1:17" hidden="1">
      <c r="A207" s="352"/>
      <c r="B207" s="293"/>
      <c r="C207" s="405" t="s">
        <v>11563</v>
      </c>
      <c r="D207" s="275"/>
      <c r="E207" s="269"/>
      <c r="F207" s="404"/>
      <c r="G207" s="282"/>
      <c r="H207" s="404"/>
      <c r="I207" s="337"/>
      <c r="J207" s="435"/>
      <c r="K207" s="405" t="s">
        <v>11564</v>
      </c>
      <c r="L207" s="291"/>
    </row>
    <row r="208" spans="1:17" hidden="1">
      <c r="A208" s="249"/>
      <c r="B208" s="293" t="s">
        <v>5931</v>
      </c>
      <c r="C208" s="282">
        <f>PI()*C117/4-C178*C117-C190*TAN(J23)+I190/COS(J23)-G190*(1-SIN(J23))/COS(J23)</f>
        <v>1.4502319809085999</v>
      </c>
      <c r="D208" s="268" t="s">
        <v>5933</v>
      </c>
      <c r="E208" s="282">
        <f>G190/C117-C190/C117+C177</f>
        <v>-0.52254635771910296</v>
      </c>
      <c r="F208" s="268" t="s">
        <v>6556</v>
      </c>
      <c r="G208" s="282">
        <f>2/C184*(PI()/2-C208/C117)-PI()/3</f>
        <v>-0.95974270577633503</v>
      </c>
      <c r="H208" s="282" t="s">
        <v>11565</v>
      </c>
      <c r="I208" s="282">
        <f>G54</f>
        <v>0.91345982085299204</v>
      </c>
      <c r="J208" s="436" t="s">
        <v>5931</v>
      </c>
      <c r="K208" s="282">
        <f>PI()*C117/4-G178*C117-C190*TAN(J23)+I190/COS(J23)-G190*(1-SIN(J23))/COS(J23)</f>
        <v>1.4845554924326501</v>
      </c>
      <c r="L208" s="268" t="s">
        <v>5933</v>
      </c>
      <c r="M208" s="282">
        <f>G190/C117-C190/C117+G177</f>
        <v>-1.23180823043942</v>
      </c>
      <c r="N208" s="268" t="s">
        <v>6556</v>
      </c>
      <c r="O208" s="282">
        <f>2/G184*(PI()/2-K208/C117)-PI()/3</f>
        <v>-1.0216764575042601</v>
      </c>
      <c r="P208" s="282" t="s">
        <v>11565</v>
      </c>
      <c r="Q208" s="282">
        <f>G58</f>
        <v>0.98447906828950205</v>
      </c>
    </row>
    <row r="209" spans="1:17" hidden="1">
      <c r="A209" s="249"/>
      <c r="B209" s="406" t="s">
        <v>11566</v>
      </c>
      <c r="C209" s="282">
        <f>C184*SIN(PI()/3-I208)+SQRT(3)*(E208/COS(I208)-G190/C117)</f>
        <v>2.1410520014268601</v>
      </c>
      <c r="D209" s="372" t="s">
        <v>11567</v>
      </c>
      <c r="E209" s="282">
        <f>G190/C117+2*E208^2/(COS(I208)*(C184*COS(I208)^2-2*E208))</f>
        <v>0.23550928789468301</v>
      </c>
      <c r="F209" s="279" t="s">
        <v>11568</v>
      </c>
      <c r="G209" s="282">
        <f>ACOS(C187/C186)</f>
        <v>0.54518650633302601</v>
      </c>
      <c r="H209" s="261" t="s">
        <v>11569</v>
      </c>
      <c r="I209" s="282">
        <f>1/C184*(PI()/2+2*(C177*TAN(J23)+C178))+TAN(J23)-J23-TAN(G209)+G209</f>
        <v>1.6341746200467699E-2</v>
      </c>
      <c r="J209" s="437" t="s">
        <v>11566</v>
      </c>
      <c r="K209" s="282">
        <f>G184*SIN(PI()/3-Q208)+SQRT(3)*(M208/COS(Q208)-G190/C117)</f>
        <v>2.1149557395770802</v>
      </c>
      <c r="L209" s="372" t="s">
        <v>11567</v>
      </c>
      <c r="M209" s="282">
        <f>G190/C117+2*M208^2/(COS(Q208)*(G184*COS(Q208)^2-2*M208))</f>
        <v>0.327084486413866</v>
      </c>
      <c r="N209" s="279" t="s">
        <v>11568</v>
      </c>
      <c r="O209" s="282">
        <f>ACOS(G187/G186)</f>
        <v>0.38721321140905401</v>
      </c>
      <c r="P209" s="261" t="s">
        <v>11569</v>
      </c>
      <c r="Q209" s="282">
        <f>1/G184*(PI()/2+2*(G177*TAN(J23)+G178))+TAN(J23)-J23-TAN(O209)+O209</f>
        <v>7.4120151262380696E-3</v>
      </c>
    </row>
    <row r="210" spans="1:17" hidden="1">
      <c r="A210" s="249"/>
      <c r="B210" s="279" t="s">
        <v>11570</v>
      </c>
      <c r="C210" s="268">
        <f>G209-I209</f>
        <v>0.52884476013255899</v>
      </c>
      <c r="D210" s="293" t="s">
        <v>11571</v>
      </c>
      <c r="E210" s="282">
        <f>0.5*((COS(I209)-SIN(I209)*TAN(C210))*C186/C117-C184*COS(PI()/3-I208)-E208/COS(I208)+G190/C117)</f>
        <v>1.9313560872745801</v>
      </c>
      <c r="F210" s="268" t="s">
        <v>11572</v>
      </c>
      <c r="G210" s="282">
        <f>0.2*(1+2*C209/(2*E209))</f>
        <v>2.01823147661533</v>
      </c>
      <c r="H210" s="282" t="s">
        <v>11573</v>
      </c>
      <c r="I210" s="282">
        <f>IF(C47=1,0.003,IF(C47=2,0.0194,0.0445))</f>
        <v>3.0000000000000001E-3</v>
      </c>
      <c r="J210" s="438" t="s">
        <v>11570</v>
      </c>
      <c r="K210" s="268">
        <f>O209-Q209</f>
        <v>0.379801196282816</v>
      </c>
      <c r="L210" s="293" t="s">
        <v>11571</v>
      </c>
      <c r="M210" s="282">
        <f>0.5*((COS(Q209)-SIN(Q209)*TAN(K210))*G186/C117-G184*COS(PI()/3-Q208)-M208/COS(Q208)+G190/C117)</f>
        <v>1.87961787328557</v>
      </c>
      <c r="N210" s="268" t="s">
        <v>11572</v>
      </c>
      <c r="O210" s="282">
        <f>0.2*(1+2*K209/(2*M209))</f>
        <v>1.49321678491409</v>
      </c>
      <c r="P210" s="282" t="s">
        <v>11573</v>
      </c>
      <c r="Q210" s="282">
        <f>IF(C47=1,0.003,IF(C47=2,0.0194,0.0445))</f>
        <v>3.0000000000000001E-3</v>
      </c>
    </row>
    <row r="211" spans="1:17" hidden="1">
      <c r="A211" s="249" t="s">
        <v>11574</v>
      </c>
      <c r="B211" s="293" t="s">
        <v>11575</v>
      </c>
      <c r="C211" s="282">
        <f>6*E210*COS(C210)/(C209^2*COS(J23))</f>
        <v>2.3226331751349698</v>
      </c>
      <c r="D211" s="293" t="s">
        <v>11576</v>
      </c>
      <c r="E211" s="282">
        <f>(1.2+0.13*C209/E210)*(C209/(2*E209))^(1/(1.21+2.3/(C209/E210)))</f>
        <v>2.1312369112830698</v>
      </c>
      <c r="F211" s="293" t="s">
        <v>11577</v>
      </c>
      <c r="G211" s="282">
        <f>0.25+0.75/C188</f>
        <v>0.65534928386082503</v>
      </c>
      <c r="H211" s="293" t="s">
        <v>11578</v>
      </c>
      <c r="I211" s="282">
        <f>IF(AND(C181&gt;1,C24&gt;30),1-30/120,IF(AND(C181&gt;1,C24&lt;=30),1-C24/120,IF(AND(C181&lt;=1,C24&gt;30),1-C181*30/120,1-C181*C24/120)))</f>
        <v>0.75</v>
      </c>
      <c r="J211" s="436" t="s">
        <v>11575</v>
      </c>
      <c r="K211" s="282">
        <f>6*M210*COS(K210)/(K209^2*COS(J23))</f>
        <v>2.4918724941656398</v>
      </c>
      <c r="L211" s="293" t="s">
        <v>11576</v>
      </c>
      <c r="M211" s="282">
        <f>(1.2+0.13*K209/M210)*(K209/(2*M209))^(1/(1.21+2.3/(K209/M210)))</f>
        <v>1.93081920125318</v>
      </c>
      <c r="N211" s="293" t="s">
        <v>11577</v>
      </c>
      <c r="O211" s="282">
        <f>0.25+0.75/C188</f>
        <v>0.65534928386082503</v>
      </c>
      <c r="P211" s="293" t="s">
        <v>11578</v>
      </c>
      <c r="Q211" s="282">
        <f>IF(AND(C181&gt;1,C24&gt;30),1-30/120,IF(AND(C181&gt;1,C24&lt;=30),1-C24/120,IF(AND(C181&lt;=1,C24&gt;30),1-C181*30/120,1-C181*C24/120)))</f>
        <v>0.75</v>
      </c>
    </row>
    <row r="212" spans="1:17" hidden="1">
      <c r="A212" s="249"/>
      <c r="B212" s="293" t="s">
        <v>11579</v>
      </c>
      <c r="C212" s="282">
        <f>1</f>
        <v>1</v>
      </c>
      <c r="D212" s="282" t="s">
        <v>11580</v>
      </c>
      <c r="E212" s="282">
        <f>(1+SQRT(I210*G210))/(1+SQRT(I210*1.2))</f>
        <v>1.0168036952989701</v>
      </c>
      <c r="F212" s="282" t="s">
        <v>11581</v>
      </c>
      <c r="G212" s="282">
        <f>IF(C47=3,5.306-4.203*(3.2+1)^0.01,1.674-0.529*(3.2+1)^0.1)</f>
        <v>1.0633665357078299</v>
      </c>
      <c r="H212" s="293" t="s">
        <v>11582</v>
      </c>
      <c r="I212" s="282">
        <f>IF(C117&lt;=5,1,IF(OR(C47=1,C47=2),1.05-0.01*C117,1.03-0.006*C117))</f>
        <v>1</v>
      </c>
      <c r="J212" s="436" t="s">
        <v>11579</v>
      </c>
      <c r="K212" s="282">
        <f>1</f>
        <v>1</v>
      </c>
      <c r="L212" s="282" t="s">
        <v>11580</v>
      </c>
      <c r="M212" s="282">
        <f>(1+SQRT(Q210*O210))/(1+SQRT(Q210*1.2))</f>
        <v>1.0065379152445</v>
      </c>
      <c r="N212" s="282" t="s">
        <v>11581</v>
      </c>
      <c r="O212" s="282">
        <f>IF(C47=3,5.306-4.203*(3.2+1)^0.01,1.674-0.529*(3.2+1)^0.1)</f>
        <v>1.0633665357078299</v>
      </c>
      <c r="P212" s="293" t="s">
        <v>11582</v>
      </c>
      <c r="Q212" s="282">
        <f>IF(C117&lt;=5,1,IF(OR(C47=1,C47=2),1.05-0.01*C117,1.03-0.006*C117))</f>
        <v>1</v>
      </c>
    </row>
    <row r="213" spans="1:17" hidden="1">
      <c r="A213" s="352" t="s">
        <v>11583</v>
      </c>
      <c r="B213" s="282" t="s">
        <v>11584</v>
      </c>
      <c r="C213" s="282">
        <f>IF(C47=1,460,IF(C47=2,370,IF(C47=3,330,IF(C47=4,220,IF(C47=5,430,IF(C47=6,380,320))))))</f>
        <v>460</v>
      </c>
      <c r="D213" s="348" t="s">
        <v>11551</v>
      </c>
      <c r="E213" s="288" t="s">
        <v>11552</v>
      </c>
      <c r="F213" s="404"/>
      <c r="G213" s="282"/>
      <c r="H213" s="404"/>
      <c r="I213" s="282"/>
      <c r="J213" s="439" t="s">
        <v>11584</v>
      </c>
      <c r="K213" s="282">
        <f>IF(C47=1,460,IF(C47=2,370,IF(C47=3,330,IF(C47=4,220,IF(C47=5,430,IF(C47=6,380,320))))))</f>
        <v>460</v>
      </c>
      <c r="L213" s="348" t="s">
        <v>11551</v>
      </c>
      <c r="M213" s="288" t="s">
        <v>11552</v>
      </c>
      <c r="N213" s="404"/>
      <c r="O213" s="282"/>
      <c r="P213" s="404"/>
      <c r="Q213" s="282"/>
    </row>
    <row r="214" spans="1:17" hidden="1">
      <c r="A214" s="352" t="s">
        <v>11585</v>
      </c>
      <c r="B214" s="259" t="s">
        <v>11586</v>
      </c>
      <c r="C214" s="282">
        <f>1.25</f>
        <v>1.25</v>
      </c>
      <c r="D214" s="348"/>
      <c r="E214" s="288" t="s">
        <v>11587</v>
      </c>
      <c r="F214" s="404"/>
      <c r="G214" s="282"/>
      <c r="H214" s="404"/>
      <c r="I214" s="282"/>
      <c r="J214" s="440" t="s">
        <v>11586</v>
      </c>
      <c r="K214" s="282">
        <f>1.25</f>
        <v>1.25</v>
      </c>
      <c r="L214" s="348"/>
      <c r="M214" s="288" t="s">
        <v>11587</v>
      </c>
      <c r="N214" s="404"/>
      <c r="O214" s="282"/>
      <c r="P214" s="404"/>
      <c r="Q214" s="282"/>
    </row>
    <row r="215" spans="1:17" hidden="1">
      <c r="A215" s="249" t="s">
        <v>11588</v>
      </c>
      <c r="B215" s="282" t="s">
        <v>11589</v>
      </c>
      <c r="C215" s="282">
        <f>ROUND(C213*2/C214*E212*G212*I212,2)</f>
        <v>795.79</v>
      </c>
      <c r="D215" s="348" t="s">
        <v>11551</v>
      </c>
      <c r="E215" s="282"/>
      <c r="F215" s="282" t="s">
        <v>11590</v>
      </c>
      <c r="G215" s="282">
        <f>C191/(0.85*C27*C117)*C211*E211*G211*I211*C212</f>
        <v>115.252477246013</v>
      </c>
      <c r="H215" s="348" t="s">
        <v>11551</v>
      </c>
      <c r="I215" s="282"/>
      <c r="J215" s="439" t="s">
        <v>11589</v>
      </c>
      <c r="K215" s="282">
        <f>ROUND(K213*2/K214*M212*O212*Q212,2)</f>
        <v>787.75</v>
      </c>
      <c r="L215" s="348" t="s">
        <v>11551</v>
      </c>
      <c r="M215" s="282"/>
      <c r="N215" s="282" t="s">
        <v>11590</v>
      </c>
      <c r="O215" s="282">
        <f>C191/(0.85*C27*C117)*K211*M211*O211*Q211*K212</f>
        <v>112.022520521083</v>
      </c>
      <c r="P215" s="348" t="s">
        <v>11551</v>
      </c>
      <c r="Q215" s="282"/>
    </row>
    <row r="216" spans="1:17" hidden="1">
      <c r="A216" s="249" t="s">
        <v>11591</v>
      </c>
      <c r="B216" s="282" t="s">
        <v>11592</v>
      </c>
      <c r="C216" s="282">
        <f>ROUND(G215*C192*C196*E199,2)</f>
        <v>180.16</v>
      </c>
      <c r="D216" s="348" t="s">
        <v>11551</v>
      </c>
      <c r="E216" s="282"/>
      <c r="F216" s="404"/>
      <c r="G216" s="282"/>
      <c r="H216" s="404"/>
      <c r="I216" s="282"/>
      <c r="J216" s="439" t="s">
        <v>11592</v>
      </c>
      <c r="K216" s="282">
        <f>ROUND(O215*C192*C196*E199,2)</f>
        <v>175.11</v>
      </c>
      <c r="L216" s="348" t="s">
        <v>11551</v>
      </c>
      <c r="M216" s="282"/>
      <c r="N216" s="404"/>
      <c r="O216" s="282"/>
      <c r="P216" s="404"/>
      <c r="Q216" s="282"/>
    </row>
    <row r="217" spans="1:17" ht="15.75" hidden="1" customHeight="1">
      <c r="A217" s="356" t="s">
        <v>11593</v>
      </c>
      <c r="B217" s="357" t="s">
        <v>11594</v>
      </c>
      <c r="C217" s="245">
        <f>ROUND(C213*2/G215*E212*G212*I212/(C192*C196*E197*E199),2)</f>
        <v>3.35</v>
      </c>
      <c r="D217" s="326" t="str">
        <f>IF(C217&gt;=C214,"","安全系数过小！")</f>
        <v/>
      </c>
      <c r="E217" s="245"/>
      <c r="F217" s="407"/>
      <c r="G217" s="245"/>
      <c r="H217" s="407"/>
      <c r="I217" s="245"/>
      <c r="J217" s="441" t="s">
        <v>11594</v>
      </c>
      <c r="K217" s="245">
        <f>ROUND(K213*2/O215*M212*O212*Q212/(C192*C196*E197*E199),2)</f>
        <v>3.41</v>
      </c>
      <c r="L217" s="326" t="str">
        <f>IF(K217&gt;=K214,"","安全系数过小！")</f>
        <v/>
      </c>
      <c r="M217" s="245"/>
      <c r="N217" s="407"/>
      <c r="O217" s="245"/>
      <c r="P217" s="407"/>
      <c r="Q217" s="245"/>
    </row>
    <row r="218" spans="1:17" ht="15.75" hidden="1" customHeight="1">
      <c r="A218" s="258"/>
      <c r="B218" s="408"/>
      <c r="C218" s="282"/>
      <c r="D218" s="275"/>
      <c r="E218" s="282"/>
      <c r="F218" s="404"/>
      <c r="G218" s="282"/>
      <c r="H218" s="404"/>
      <c r="I218" s="282"/>
      <c r="J218" s="404"/>
      <c r="K218" s="259"/>
      <c r="L218" s="261"/>
    </row>
    <row r="219" spans="1:17" ht="15.75" customHeight="1">
      <c r="A219" s="409"/>
      <c r="B219" s="410"/>
      <c r="C219" s="411"/>
      <c r="D219" s="412"/>
      <c r="E219" s="411"/>
      <c r="F219" s="413"/>
      <c r="G219" s="411"/>
      <c r="H219" s="413"/>
      <c r="I219" s="282"/>
      <c r="J219" s="404"/>
      <c r="K219" s="259"/>
      <c r="L219" s="261"/>
    </row>
    <row r="220" spans="1:17">
      <c r="A220" s="414" t="s">
        <v>11595</v>
      </c>
      <c r="B220" s="415"/>
      <c r="C220" s="416"/>
      <c r="D220" s="417"/>
      <c r="E220" s="417"/>
      <c r="F220" s="417"/>
      <c r="G220" s="416"/>
      <c r="H220" s="418"/>
      <c r="I220" s="259"/>
      <c r="J220" s="337"/>
      <c r="K220" s="337"/>
      <c r="L220" s="261"/>
    </row>
    <row r="221" spans="1:17">
      <c r="A221" s="258"/>
      <c r="B221" s="268"/>
      <c r="C221" s="282"/>
      <c r="D221" s="337"/>
      <c r="E221" s="337"/>
      <c r="F221" s="337"/>
      <c r="G221" s="282"/>
      <c r="H221" s="281"/>
      <c r="I221" s="259"/>
      <c r="J221" s="337"/>
      <c r="K221" s="337"/>
      <c r="L221" s="261"/>
    </row>
    <row r="222" spans="1:17" ht="23.25">
      <c r="A222" s="223"/>
      <c r="B222" s="262"/>
      <c r="C222" s="223" t="s">
        <v>11596</v>
      </c>
      <c r="D222" s="261"/>
      <c r="E222" s="261"/>
      <c r="F222" s="261"/>
      <c r="G222" s="234" t="str">
        <f>H1</f>
        <v>编号：</v>
      </c>
      <c r="H222" s="419">
        <f>IF(I1=0,"",I1)</f>
        <v>16</v>
      </c>
      <c r="I222" s="259"/>
      <c r="J222" s="337"/>
      <c r="K222" s="259"/>
      <c r="L222" s="261"/>
    </row>
    <row r="223" spans="1:17">
      <c r="A223" s="420"/>
      <c r="B223" s="272"/>
      <c r="C223" s="421"/>
      <c r="D223" s="377" t="str">
        <f>IF(C14=1,"（直齿锥齿轮）",IF(AND(C14=0,C24=0),"（零度锥齿轮）","（弧齿锥齿轮）"))</f>
        <v>（弧齿锥齿轮）</v>
      </c>
      <c r="E223" s="422"/>
      <c r="F223" s="301"/>
      <c r="G223" s="240"/>
      <c r="H223" s="261"/>
      <c r="I223" s="259"/>
      <c r="J223" s="337"/>
      <c r="K223" s="259"/>
      <c r="L223" s="337"/>
    </row>
    <row r="224" spans="1:17">
      <c r="A224" s="423" t="s">
        <v>8842</v>
      </c>
      <c r="B224" s="235"/>
      <c r="C224" s="331" t="str">
        <f t="shared" ref="C224:C226" si="4">IF(C11=0,"",C11)</f>
        <v/>
      </c>
      <c r="D224" s="235"/>
      <c r="E224" s="423" t="s">
        <v>8843</v>
      </c>
      <c r="F224" s="238"/>
      <c r="G224" s="331">
        <f t="shared" ref="G224:G226" si="5">IF(G11=0,"",G11)</f>
        <v>10026</v>
      </c>
      <c r="H224" s="237"/>
      <c r="I224" s="259"/>
      <c r="J224" s="337"/>
      <c r="K224" s="259"/>
      <c r="L224" s="261"/>
    </row>
    <row r="225" spans="1:12">
      <c r="A225" s="423" t="s">
        <v>8844</v>
      </c>
      <c r="B225" s="243" t="s">
        <v>7286</v>
      </c>
      <c r="C225" s="300">
        <f t="shared" si="4"/>
        <v>30201</v>
      </c>
      <c r="D225" s="235"/>
      <c r="E225" s="424"/>
      <c r="F225" s="243" t="s">
        <v>7288</v>
      </c>
      <c r="G225" s="300">
        <f t="shared" si="5"/>
        <v>30202</v>
      </c>
      <c r="H225" s="237"/>
      <c r="I225" s="259"/>
      <c r="J225" s="337"/>
      <c r="K225" s="259"/>
      <c r="L225" s="261"/>
    </row>
    <row r="226" spans="1:12" ht="15.75" customHeight="1">
      <c r="A226" s="423" t="s">
        <v>9105</v>
      </c>
      <c r="B226" s="282"/>
      <c r="C226" s="268" t="str">
        <f t="shared" si="4"/>
        <v/>
      </c>
      <c r="D226" s="425"/>
      <c r="E226" s="423" t="s">
        <v>8846</v>
      </c>
      <c r="F226" s="254"/>
      <c r="G226" s="268" t="str">
        <f t="shared" si="5"/>
        <v/>
      </c>
      <c r="H226" s="237"/>
      <c r="I226" s="259"/>
      <c r="J226" s="337"/>
      <c r="K226" s="259"/>
      <c r="L226" s="261"/>
    </row>
    <row r="227" spans="1:12" ht="15.75" customHeight="1">
      <c r="A227" s="426" t="s">
        <v>9106</v>
      </c>
      <c r="B227" s="282"/>
      <c r="C227" s="268"/>
      <c r="D227" s="425"/>
      <c r="E227" s="292"/>
      <c r="F227" s="254"/>
      <c r="G227" s="268"/>
      <c r="H227" s="237"/>
      <c r="I227" s="259"/>
      <c r="J227" s="337"/>
      <c r="K227" s="259"/>
      <c r="L227" s="261"/>
    </row>
    <row r="228" spans="1:12" ht="15.75" customHeight="1">
      <c r="A228" s="427" t="s">
        <v>9107</v>
      </c>
      <c r="B228" s="428" t="s">
        <v>7286</v>
      </c>
      <c r="C228" s="427" t="s">
        <v>11597</v>
      </c>
      <c r="D228" s="429"/>
      <c r="E228" s="430"/>
      <c r="F228" s="428" t="s">
        <v>7288</v>
      </c>
      <c r="G228" s="427" t="s">
        <v>11598</v>
      </c>
      <c r="H228" s="429"/>
      <c r="I228" s="259"/>
      <c r="J228" s="259"/>
      <c r="K228" s="259"/>
      <c r="L228" s="261"/>
    </row>
    <row r="229" spans="1:12" ht="15.75" customHeight="1">
      <c r="A229" s="431" t="s">
        <v>9108</v>
      </c>
      <c r="B229" s="309"/>
      <c r="C229" s="405"/>
      <c r="D229" s="309"/>
      <c r="E229" s="259"/>
      <c r="F229" s="309"/>
      <c r="G229" s="405"/>
      <c r="H229" s="309"/>
      <c r="I229" s="259"/>
      <c r="J229" s="259"/>
      <c r="K229" s="259"/>
      <c r="L229" s="261"/>
    </row>
    <row r="230" spans="1:12" ht="15.75" customHeight="1">
      <c r="A230" s="249" t="str">
        <f>IF(C14=1,"","旋          向")</f>
        <v>旋          向</v>
      </c>
      <c r="B230" s="259"/>
      <c r="C230" s="432" t="str">
        <f>IF(C14=1,"",IF(C15="L","左  旋","右  旋"))</f>
        <v>右  旋</v>
      </c>
      <c r="D230" s="282"/>
      <c r="E230" s="282"/>
      <c r="F230" s="282"/>
      <c r="G230" s="432" t="str">
        <f>IF(C14=1,"",IF(C15="R","左  旋","右  旋"))</f>
        <v>左  旋</v>
      </c>
      <c r="H230" s="259"/>
      <c r="I230" s="259"/>
      <c r="J230" s="259"/>
      <c r="K230" s="259"/>
      <c r="L230" s="261"/>
    </row>
    <row r="231" spans="1:12" ht="15.75" customHeight="1">
      <c r="A231" s="267" t="s">
        <v>9109</v>
      </c>
      <c r="B231" s="268" t="s">
        <v>6644</v>
      </c>
      <c r="C231" s="282">
        <f>C20</f>
        <v>13</v>
      </c>
      <c r="D231" s="268"/>
      <c r="E231" s="282"/>
      <c r="F231" s="268"/>
      <c r="G231" s="282">
        <f>C21</f>
        <v>24</v>
      </c>
      <c r="H231" s="259"/>
      <c r="I231" s="259"/>
      <c r="J231" s="259"/>
      <c r="K231" s="259"/>
      <c r="L231" s="261"/>
    </row>
    <row r="232" spans="1:12" ht="15.75" customHeight="1">
      <c r="A232" s="267" t="s">
        <v>11599</v>
      </c>
      <c r="B232" s="268" t="s">
        <v>6088</v>
      </c>
      <c r="C232" s="282"/>
      <c r="D232" s="281"/>
      <c r="E232" s="282">
        <f>C22</f>
        <v>7.5</v>
      </c>
      <c r="F232" s="281" t="s">
        <v>8854</v>
      </c>
      <c r="G232" s="282"/>
      <c r="H232" s="259"/>
      <c r="I232" s="259"/>
      <c r="J232" s="259"/>
      <c r="K232" s="259"/>
      <c r="L232" s="261"/>
    </row>
    <row r="233" spans="1:12" ht="15.75" customHeight="1">
      <c r="A233" s="267" t="s">
        <v>11600</v>
      </c>
      <c r="B233" s="259" t="s">
        <v>11325</v>
      </c>
      <c r="C233" s="282"/>
      <c r="D233" s="281"/>
      <c r="E233" s="282">
        <f>G23</f>
        <v>90</v>
      </c>
      <c r="F233" s="281" t="s">
        <v>8920</v>
      </c>
      <c r="G233" s="282"/>
      <c r="H233" s="259"/>
      <c r="I233" s="259"/>
      <c r="J233" s="259"/>
      <c r="K233" s="259"/>
      <c r="L233" s="261"/>
    </row>
    <row r="234" spans="1:12" ht="15.75" customHeight="1">
      <c r="A234" s="267" t="s">
        <v>9111</v>
      </c>
      <c r="B234" s="259" t="s">
        <v>8856</v>
      </c>
      <c r="C234" s="282"/>
      <c r="D234" s="281"/>
      <c r="E234" s="282">
        <f>C23</f>
        <v>20</v>
      </c>
      <c r="F234" s="281" t="s">
        <v>8920</v>
      </c>
      <c r="G234" s="282"/>
      <c r="H234" s="259"/>
      <c r="I234" s="259"/>
      <c r="J234" s="259"/>
      <c r="K234" s="259"/>
      <c r="L234" s="261"/>
    </row>
    <row r="235" spans="1:12" ht="15.75" customHeight="1">
      <c r="A235" s="267" t="str">
        <f>A24</f>
        <v>中 点 螺 旋 角</v>
      </c>
      <c r="B235" s="259" t="str">
        <f>B24</f>
        <v>βm</v>
      </c>
      <c r="C235" s="282"/>
      <c r="D235" s="281"/>
      <c r="E235" s="282">
        <f>IF(C14=1,"",C24)</f>
        <v>39</v>
      </c>
      <c r="F235" s="281" t="str">
        <f>D24</f>
        <v>度</v>
      </c>
      <c r="G235" s="282"/>
      <c r="H235" s="259"/>
      <c r="I235" s="259"/>
      <c r="J235" s="259"/>
      <c r="K235" s="259"/>
      <c r="L235" s="261"/>
    </row>
    <row r="236" spans="1:12" ht="15.75" customHeight="1">
      <c r="A236" s="267" t="s">
        <v>11601</v>
      </c>
      <c r="B236" s="268" t="s">
        <v>5900</v>
      </c>
      <c r="C236" s="282"/>
      <c r="D236" s="281"/>
      <c r="E236" s="282">
        <f>C27</f>
        <v>30</v>
      </c>
      <c r="F236" s="281" t="s">
        <v>8854</v>
      </c>
      <c r="G236" s="282"/>
      <c r="H236" s="259"/>
      <c r="I236" s="259"/>
      <c r="J236" s="259"/>
      <c r="K236" s="259"/>
      <c r="L236" s="261"/>
    </row>
    <row r="237" spans="1:12" ht="15.75" customHeight="1">
      <c r="A237" s="267" t="s">
        <v>9116</v>
      </c>
      <c r="B237" s="268" t="s">
        <v>11602</v>
      </c>
      <c r="C237" s="259"/>
      <c r="D237" s="281"/>
      <c r="E237" s="259">
        <f>G28</f>
        <v>1.8879999999999999</v>
      </c>
      <c r="F237" s="268"/>
      <c r="G237" s="282"/>
      <c r="H237" s="259"/>
      <c r="I237" s="259"/>
      <c r="J237" s="259"/>
      <c r="K237" s="259"/>
      <c r="L237" s="261"/>
    </row>
    <row r="238" spans="1:12" ht="15.75" customHeight="1">
      <c r="A238" s="267" t="s">
        <v>11603</v>
      </c>
      <c r="B238" s="268" t="s">
        <v>11337</v>
      </c>
      <c r="C238" s="259"/>
      <c r="D238" s="281"/>
      <c r="E238" s="259">
        <f>G29</f>
        <v>1.7</v>
      </c>
      <c r="F238" s="268"/>
      <c r="G238" s="282"/>
      <c r="H238" s="259"/>
      <c r="I238" s="259"/>
      <c r="J238" s="259"/>
      <c r="K238" s="259"/>
      <c r="L238" s="261"/>
    </row>
    <row r="239" spans="1:12" ht="15.75" customHeight="1">
      <c r="A239" s="267" t="s">
        <v>11604</v>
      </c>
      <c r="B239" s="268" t="s">
        <v>5901</v>
      </c>
      <c r="C239" s="259"/>
      <c r="D239" s="281"/>
      <c r="E239" s="259">
        <f>E237-E238</f>
        <v>0.188</v>
      </c>
      <c r="F239" s="268"/>
      <c r="G239" s="282"/>
      <c r="H239" s="259"/>
      <c r="I239" s="259"/>
      <c r="J239" s="259"/>
      <c r="K239" s="259"/>
      <c r="L239" s="261"/>
    </row>
    <row r="240" spans="1:12" ht="15.75" customHeight="1">
      <c r="A240" s="267" t="s">
        <v>11605</v>
      </c>
      <c r="B240" s="268" t="s">
        <v>5929</v>
      </c>
      <c r="C240" s="259">
        <f>ROUND(G25,4)</f>
        <v>0.27560000000000001</v>
      </c>
      <c r="D240" s="281"/>
      <c r="E240" s="259"/>
      <c r="F240" s="268"/>
      <c r="G240" s="282">
        <f>ROUND(-G25,4)</f>
        <v>-0.27560000000000001</v>
      </c>
      <c r="H240" s="259"/>
      <c r="I240" s="348"/>
      <c r="J240" s="272"/>
      <c r="K240" s="259"/>
      <c r="L240" s="261"/>
    </row>
    <row r="241" spans="1:12" ht="15.75" customHeight="1">
      <c r="A241" s="267" t="s">
        <v>11606</v>
      </c>
      <c r="B241" s="268" t="s">
        <v>11607</v>
      </c>
      <c r="C241" s="282">
        <f>G24</f>
        <v>6.8999999999999999E-3</v>
      </c>
      <c r="D241" s="281"/>
      <c r="E241" s="259"/>
      <c r="F241" s="268"/>
      <c r="G241" s="282">
        <f>-G24</f>
        <v>-6.8999999999999999E-3</v>
      </c>
      <c r="H241" s="259"/>
      <c r="I241" s="348"/>
      <c r="J241" s="272"/>
      <c r="K241" s="225"/>
      <c r="L241" s="261"/>
    </row>
    <row r="242" spans="1:12" ht="15.75" customHeight="1">
      <c r="A242" s="267" t="s">
        <v>9123</v>
      </c>
      <c r="B242" s="268" t="s">
        <v>6565</v>
      </c>
      <c r="C242" s="259">
        <f>ROUND(C62,3)</f>
        <v>97.5</v>
      </c>
      <c r="D242" s="281" t="s">
        <v>8854</v>
      </c>
      <c r="E242" s="259"/>
      <c r="F242" s="268"/>
      <c r="G242" s="282">
        <f>ROUND(C63,3)</f>
        <v>180</v>
      </c>
      <c r="H242" s="281" t="s">
        <v>8854</v>
      </c>
      <c r="I242" s="348"/>
      <c r="J242" s="272"/>
      <c r="K242" s="225"/>
      <c r="L242" s="261"/>
    </row>
    <row r="243" spans="1:12" ht="15.75" customHeight="1">
      <c r="A243" s="267" t="s">
        <v>11608</v>
      </c>
      <c r="B243" s="268" t="s">
        <v>11350</v>
      </c>
      <c r="C243" s="259"/>
      <c r="D243" s="281"/>
      <c r="E243" s="259">
        <f>ROUND(C64,4)</f>
        <v>102.35509999999999</v>
      </c>
      <c r="F243" s="281" t="s">
        <v>8854</v>
      </c>
      <c r="G243" s="282"/>
      <c r="H243" s="281" t="s">
        <v>8854</v>
      </c>
      <c r="I243" s="404"/>
      <c r="J243" s="272"/>
      <c r="K243" s="225"/>
      <c r="L243" s="261"/>
    </row>
    <row r="244" spans="1:12" ht="15.75" customHeight="1">
      <c r="A244" s="267" t="s">
        <v>11609</v>
      </c>
      <c r="B244" s="259" t="s">
        <v>6588</v>
      </c>
      <c r="C244" s="259">
        <f>G70</f>
        <v>28.263500000000001</v>
      </c>
      <c r="D244" s="281" t="s">
        <v>11367</v>
      </c>
      <c r="E244" s="259"/>
      <c r="F244" s="259"/>
      <c r="G244" s="282">
        <f>G71</f>
        <v>61.332500000000003</v>
      </c>
      <c r="H244" s="281" t="s">
        <v>11367</v>
      </c>
      <c r="I244" s="348"/>
      <c r="J244" s="272"/>
      <c r="K244" s="225"/>
      <c r="L244" s="261"/>
    </row>
    <row r="245" spans="1:12" ht="15.75" customHeight="1">
      <c r="A245" s="293" t="s">
        <v>11610</v>
      </c>
      <c r="B245" s="259" t="s">
        <v>11611</v>
      </c>
      <c r="C245" s="259">
        <f>G72</f>
        <v>33.5627</v>
      </c>
      <c r="D245" s="281" t="s">
        <v>11367</v>
      </c>
      <c r="E245" s="259"/>
      <c r="F245" s="259"/>
      <c r="G245" s="282">
        <f>G73</f>
        <v>64.451599999999999</v>
      </c>
      <c r="H245" s="281" t="s">
        <v>11367</v>
      </c>
      <c r="I245" s="348"/>
      <c r="J245" s="272"/>
      <c r="K245" s="225"/>
      <c r="L245" s="261"/>
    </row>
    <row r="246" spans="1:12" ht="15.75" customHeight="1">
      <c r="A246" s="267" t="s">
        <v>11612</v>
      </c>
      <c r="B246" s="259" t="s">
        <v>11613</v>
      </c>
      <c r="C246" s="259">
        <f>G74</f>
        <v>25.144400000000001</v>
      </c>
      <c r="D246" s="281" t="s">
        <v>11367</v>
      </c>
      <c r="E246" s="259"/>
      <c r="F246" s="259"/>
      <c r="G246" s="282">
        <f>G75</f>
        <v>56.033299999999997</v>
      </c>
      <c r="H246" s="281" t="s">
        <v>11367</v>
      </c>
      <c r="I246" s="348"/>
      <c r="J246" s="272"/>
      <c r="K246" s="225"/>
      <c r="L246" s="261"/>
    </row>
    <row r="247" spans="1:12" ht="15.75" customHeight="1">
      <c r="A247" s="267" t="s">
        <v>9130</v>
      </c>
      <c r="B247" s="268" t="s">
        <v>11614</v>
      </c>
      <c r="C247" s="259">
        <f>ROUND(C66,3)</f>
        <v>8.4420000000000002</v>
      </c>
      <c r="D247" s="281" t="s">
        <v>8854</v>
      </c>
      <c r="E247" s="259"/>
      <c r="F247" s="268"/>
      <c r="G247" s="282">
        <f>ROUND(C67,3)</f>
        <v>4.3079999999999998</v>
      </c>
      <c r="H247" s="281" t="s">
        <v>8854</v>
      </c>
      <c r="I247" s="348"/>
      <c r="J247" s="272"/>
      <c r="K247" s="225"/>
      <c r="L247" s="261"/>
    </row>
    <row r="248" spans="1:12" ht="15.75" customHeight="1">
      <c r="A248" s="267" t="s">
        <v>9132</v>
      </c>
      <c r="B248" s="268" t="s">
        <v>11615</v>
      </c>
      <c r="C248" s="259">
        <f>ROUND(C68,3)</f>
        <v>5.718</v>
      </c>
      <c r="D248" s="281" t="s">
        <v>8854</v>
      </c>
      <c r="E248" s="259"/>
      <c r="F248" s="268"/>
      <c r="G248" s="282">
        <f>ROUND(C69,3)</f>
        <v>9.8520000000000003</v>
      </c>
      <c r="H248" s="281" t="s">
        <v>8854</v>
      </c>
      <c r="I248" s="348"/>
      <c r="J248" s="272"/>
      <c r="K248" s="225"/>
      <c r="L248" s="261"/>
    </row>
    <row r="249" spans="1:12" ht="15.75" customHeight="1">
      <c r="A249" s="267" t="s">
        <v>9134</v>
      </c>
      <c r="B249" s="268" t="s">
        <v>11616</v>
      </c>
      <c r="C249" s="259"/>
      <c r="D249" s="281"/>
      <c r="E249" s="259">
        <f>ROUND(G30,3)</f>
        <v>14.16</v>
      </c>
      <c r="F249" s="281" t="s">
        <v>8854</v>
      </c>
      <c r="G249" s="282"/>
      <c r="H249" s="281" t="s">
        <v>8854</v>
      </c>
      <c r="I249" s="348"/>
      <c r="J249" s="272"/>
      <c r="K249" s="225"/>
      <c r="L249" s="261"/>
    </row>
    <row r="250" spans="1:12" ht="15.75" customHeight="1">
      <c r="A250" s="267" t="s">
        <v>11617</v>
      </c>
      <c r="B250" s="268" t="s">
        <v>8104</v>
      </c>
      <c r="C250" s="259"/>
      <c r="D250" s="281"/>
      <c r="E250" s="259">
        <f>ROUND(G31,3)</f>
        <v>12.75</v>
      </c>
      <c r="F250" s="281" t="s">
        <v>8854</v>
      </c>
      <c r="G250" s="282"/>
      <c r="H250" s="281" t="s">
        <v>8854</v>
      </c>
      <c r="I250" s="348"/>
      <c r="J250" s="272"/>
      <c r="K250" s="225"/>
      <c r="L250" s="261"/>
    </row>
    <row r="251" spans="1:12" ht="15.75" customHeight="1">
      <c r="A251" s="352" t="s">
        <v>11618</v>
      </c>
      <c r="B251" s="268" t="s">
        <v>11619</v>
      </c>
      <c r="C251" s="259">
        <f>ROUND(C78,3)</f>
        <v>13.893000000000001</v>
      </c>
      <c r="D251" s="281" t="s">
        <v>8854</v>
      </c>
      <c r="E251" s="259"/>
      <c r="F251" s="268"/>
      <c r="G251" s="282">
        <f>ROUND(C79,3)</f>
        <v>9.6690000000000005</v>
      </c>
      <c r="H251" s="281" t="s">
        <v>8854</v>
      </c>
      <c r="I251" s="348"/>
      <c r="J251" s="259"/>
      <c r="K251" s="259"/>
      <c r="L251" s="261"/>
    </row>
    <row r="252" spans="1:12" ht="15.75" customHeight="1">
      <c r="A252" s="267" t="s">
        <v>11620</v>
      </c>
      <c r="B252" s="268" t="s">
        <v>11621</v>
      </c>
      <c r="C252" s="259">
        <f>ROUND(C62+2*C66*COS(C70),3)</f>
        <v>112.346</v>
      </c>
      <c r="D252" s="281" t="s">
        <v>8854</v>
      </c>
      <c r="E252" s="259"/>
      <c r="F252" s="268"/>
      <c r="G252" s="282">
        <f>ROUND(C63+2*C67*COS(C71),3)</f>
        <v>184.10400000000001</v>
      </c>
      <c r="H252" s="281" t="s">
        <v>8854</v>
      </c>
      <c r="I252" s="348"/>
      <c r="J252" s="259"/>
      <c r="K252" s="259"/>
      <c r="L252" s="261"/>
    </row>
    <row r="253" spans="1:12" ht="15.75" customHeight="1">
      <c r="A253" s="352" t="s">
        <v>11622</v>
      </c>
      <c r="B253" s="268" t="s">
        <v>11623</v>
      </c>
      <c r="C253" s="259">
        <f>ROUND(C64*COS(C70)-C66*SIN(C70),3)</f>
        <v>85.978999999999999</v>
      </c>
      <c r="D253" s="281" t="s">
        <v>8854</v>
      </c>
      <c r="E253" s="259"/>
      <c r="F253" s="268"/>
      <c r="G253" s="282">
        <f>ROUND(C64*COS(C71)-C67*SIN(C71),3)</f>
        <v>44.962000000000003</v>
      </c>
      <c r="H253" s="281" t="s">
        <v>8854</v>
      </c>
      <c r="I253" s="272"/>
      <c r="J253" s="272"/>
      <c r="K253" s="261"/>
      <c r="L253" s="261"/>
    </row>
    <row r="254" spans="1:12" ht="15.75" customHeight="1">
      <c r="A254" s="267" t="s">
        <v>11624</v>
      </c>
      <c r="B254" s="268" t="s">
        <v>9149</v>
      </c>
      <c r="C254" s="259">
        <f>ROUND(C112,3)</f>
        <v>9.7010000000000005</v>
      </c>
      <c r="D254" s="281" t="s">
        <v>8854</v>
      </c>
      <c r="E254" s="281" t="str">
        <f>IF(C14=1,"","（单号单面切削法）")</f>
        <v>（单号单面切削法）</v>
      </c>
      <c r="F254" s="268"/>
      <c r="G254" s="282">
        <f>ROUND(C113,3)</f>
        <v>6.8929999999999998</v>
      </c>
      <c r="H254" s="281" t="s">
        <v>8854</v>
      </c>
      <c r="I254" s="272"/>
      <c r="J254" s="272"/>
      <c r="K254" s="261"/>
      <c r="L254" s="261"/>
    </row>
    <row r="255" spans="1:12" ht="15.75" customHeight="1">
      <c r="A255" s="267" t="s">
        <v>11625</v>
      </c>
      <c r="B255" s="268" t="s">
        <v>9151</v>
      </c>
      <c r="C255" s="259">
        <f>ROUND(C114,3)</f>
        <v>8.2759999999999998</v>
      </c>
      <c r="D255" s="281" t="s">
        <v>8854</v>
      </c>
      <c r="E255" s="259"/>
      <c r="F255" s="268"/>
      <c r="G255" s="282">
        <f>ROUND(C115,3)</f>
        <v>4.2240000000000002</v>
      </c>
      <c r="H255" s="281" t="s">
        <v>8854</v>
      </c>
      <c r="I255" s="272"/>
      <c r="J255" s="272"/>
      <c r="K255" s="261"/>
      <c r="L255" s="261"/>
    </row>
    <row r="256" spans="1:12" ht="15.75" customHeight="1">
      <c r="A256" s="267" t="str">
        <f>IF(C14=1,"齿          角","")</f>
        <v/>
      </c>
      <c r="B256" s="259" t="str">
        <f>IF(C14=1,"δt","")</f>
        <v/>
      </c>
      <c r="C256" s="259" t="str">
        <f>IF(C14=1,G80,"")</f>
        <v/>
      </c>
      <c r="D256" s="281" t="str">
        <f>IF(C14=1,"度.分秒","")</f>
        <v/>
      </c>
      <c r="E256" s="259"/>
      <c r="F256" s="268"/>
      <c r="G256" s="282" t="str">
        <f>IF(C14=1,G81,"")</f>
        <v/>
      </c>
      <c r="H256" s="281" t="str">
        <f>IF(C14=1,"度.分秒","")</f>
        <v/>
      </c>
      <c r="I256" s="272"/>
      <c r="J256" s="272"/>
      <c r="K256" s="261"/>
      <c r="L256" s="261"/>
    </row>
    <row r="257" spans="1:12">
      <c r="A257" s="267" t="s">
        <v>9166</v>
      </c>
      <c r="B257" s="442" t="s">
        <v>8914</v>
      </c>
      <c r="C257" s="259">
        <f t="shared" ref="C257:H257" si="6">C44</f>
        <v>1.714</v>
      </c>
      <c r="D257" s="320" t="s">
        <v>8915</v>
      </c>
      <c r="E257" s="259">
        <f t="shared" si="6"/>
        <v>1.2210000000000001</v>
      </c>
      <c r="F257" s="442" t="s">
        <v>8916</v>
      </c>
      <c r="G257" s="282">
        <f t="shared" si="6"/>
        <v>1.2030000000000001</v>
      </c>
      <c r="H257" s="264" t="str">
        <f t="shared" si="6"/>
        <v>较小！</v>
      </c>
      <c r="I257" s="272"/>
      <c r="J257" s="272"/>
      <c r="K257" s="261"/>
      <c r="L257" s="261"/>
    </row>
    <row r="258" spans="1:12" ht="15.75" customHeight="1">
      <c r="A258" s="267" t="str">
        <f>A45</f>
        <v>大 端 螺 旋 角</v>
      </c>
      <c r="B258" s="259" t="str">
        <f>B45</f>
        <v>βa</v>
      </c>
      <c r="C258" s="259"/>
      <c r="D258" s="281"/>
      <c r="E258" s="259">
        <f>C45</f>
        <v>43.045299999999997</v>
      </c>
      <c r="F258" s="380" t="str">
        <f>D45</f>
        <v>度.分秒</v>
      </c>
      <c r="G258" s="282"/>
      <c r="H258" s="281"/>
      <c r="I258" s="272"/>
      <c r="J258" s="272"/>
      <c r="K258" s="261"/>
      <c r="L258" s="261"/>
    </row>
    <row r="259" spans="1:12" ht="15.75" customHeight="1">
      <c r="A259" s="267" t="str">
        <f>A46</f>
        <v>小 端 螺 旋 角</v>
      </c>
      <c r="B259" s="259" t="str">
        <f>B46</f>
        <v>βi</v>
      </c>
      <c r="C259" s="259"/>
      <c r="D259" s="281"/>
      <c r="E259" s="259">
        <f>C46</f>
        <v>35.521999999999998</v>
      </c>
      <c r="F259" s="380" t="str">
        <f>D46</f>
        <v>度.分秒</v>
      </c>
      <c r="G259" s="313" t="str">
        <f>IF(E259&gt;E258,"出现反向收缩！","")</f>
        <v/>
      </c>
      <c r="H259" s="281"/>
      <c r="I259" s="272"/>
      <c r="J259" s="272"/>
      <c r="K259" s="261"/>
      <c r="L259" s="261"/>
    </row>
    <row r="260" spans="1:12" ht="15.75" customHeight="1">
      <c r="A260" s="443" t="str">
        <f>A42</f>
        <v>刀盘名义直径选定值</v>
      </c>
      <c r="B260" s="308" t="str">
        <f>B43</f>
        <v>Dc</v>
      </c>
      <c r="C260" s="444"/>
      <c r="D260" s="305"/>
      <c r="E260" s="245">
        <f>IF(C43=0,"",C43)</f>
        <v>190.5</v>
      </c>
      <c r="F260" s="307" t="str">
        <f>D43</f>
        <v>毫米</v>
      </c>
      <c r="G260" s="445"/>
      <c r="H260" s="305"/>
      <c r="I260" s="272"/>
      <c r="J260" s="272"/>
      <c r="K260" s="261"/>
      <c r="L260" s="261"/>
    </row>
    <row r="261" spans="1:12" ht="15.75" customHeight="1">
      <c r="A261" s="264"/>
      <c r="B261" s="446" t="str">
        <f>IF(AND(C14=0,C40="",E40="",G40=""),"选不出合适的标准刀盘！","")</f>
        <v/>
      </c>
      <c r="C261" s="405"/>
      <c r="D261" s="281"/>
      <c r="E261" s="405"/>
      <c r="F261" s="281"/>
      <c r="G261" s="405"/>
      <c r="H261" s="281"/>
      <c r="I261" s="259"/>
      <c r="J261" s="272"/>
      <c r="K261" s="261"/>
      <c r="L261" s="261"/>
    </row>
    <row r="262" spans="1:12" ht="15.75" customHeight="1">
      <c r="A262" s="431" t="s">
        <v>9170</v>
      </c>
      <c r="B262" s="281" t="s">
        <v>11626</v>
      </c>
      <c r="C262" s="259"/>
      <c r="D262" s="281"/>
      <c r="E262" s="259"/>
      <c r="F262" s="281"/>
      <c r="G262" s="259"/>
      <c r="H262" s="281"/>
      <c r="I262" s="272"/>
      <c r="J262" s="272"/>
      <c r="K262" s="261"/>
      <c r="L262" s="261"/>
    </row>
    <row r="263" spans="1:12" ht="15.75" customHeight="1">
      <c r="A263" s="259" t="s">
        <v>9171</v>
      </c>
      <c r="B263" s="259" t="s">
        <v>11627</v>
      </c>
      <c r="C263" s="405"/>
      <c r="D263" s="282"/>
      <c r="E263" s="282">
        <f t="shared" ref="E263:E267" si="7">C28</f>
        <v>7</v>
      </c>
      <c r="F263" s="282"/>
      <c r="G263" s="405"/>
      <c r="H263" s="281"/>
      <c r="I263" s="272"/>
      <c r="J263" s="272"/>
      <c r="K263" s="261"/>
      <c r="L263" s="261"/>
    </row>
    <row r="264" spans="1:12" ht="15.75" customHeight="1">
      <c r="A264" s="259"/>
      <c r="B264" s="282" t="s">
        <v>11628</v>
      </c>
      <c r="C264" s="405"/>
      <c r="D264" s="282"/>
      <c r="E264" s="282">
        <f t="shared" si="7"/>
        <v>6</v>
      </c>
      <c r="F264" s="282"/>
      <c r="G264" s="405"/>
      <c r="H264" s="281"/>
      <c r="I264" s="272"/>
      <c r="J264" s="272"/>
      <c r="K264" s="261"/>
      <c r="L264" s="261"/>
    </row>
    <row r="265" spans="1:12" ht="15.75" customHeight="1">
      <c r="A265" s="259"/>
      <c r="B265" s="282" t="s">
        <v>11629</v>
      </c>
      <c r="C265" s="405"/>
      <c r="D265" s="282"/>
      <c r="E265" s="282">
        <f t="shared" si="7"/>
        <v>6</v>
      </c>
      <c r="F265" s="282"/>
      <c r="G265" s="405"/>
      <c r="H265" s="281"/>
      <c r="I265" s="272"/>
      <c r="J265" s="272"/>
      <c r="K265" s="261"/>
      <c r="L265" s="261"/>
    </row>
    <row r="266" spans="1:12" ht="15.75" customHeight="1">
      <c r="A266" s="322" t="s">
        <v>11339</v>
      </c>
      <c r="B266" s="268"/>
      <c r="C266" s="405"/>
      <c r="D266" s="281"/>
      <c r="E266" s="282" t="str">
        <f t="shared" si="7"/>
        <v>c</v>
      </c>
      <c r="F266" s="281"/>
      <c r="G266" s="259"/>
      <c r="H266" s="281"/>
      <c r="I266" s="272"/>
      <c r="J266" s="272"/>
      <c r="K266" s="261"/>
      <c r="L266" s="261"/>
    </row>
    <row r="267" spans="1:12" ht="15.75" customHeight="1">
      <c r="A267" s="322" t="s">
        <v>11342</v>
      </c>
      <c r="B267" s="268"/>
      <c r="C267" s="405"/>
      <c r="D267" s="281"/>
      <c r="E267" s="282" t="str">
        <f t="shared" si="7"/>
        <v>C</v>
      </c>
      <c r="F267" s="281"/>
      <c r="G267" s="259"/>
      <c r="H267" s="281"/>
      <c r="I267" s="272"/>
      <c r="J267" s="272"/>
      <c r="K267" s="261"/>
      <c r="L267" s="261"/>
    </row>
    <row r="268" spans="1:12" ht="15.75" customHeight="1">
      <c r="A268" s="322" t="s">
        <v>11630</v>
      </c>
      <c r="B268" s="433">
        <f>IF(OR(E263&lt;&gt;E264,E263&lt;&gt;E265),E263,"")</f>
        <v>7</v>
      </c>
      <c r="C268" s="282">
        <f>IF(OR(E263&lt;&gt;E264,E263&lt;&gt;E265),-E264,"")</f>
        <v>-6</v>
      </c>
      <c r="D268" s="320">
        <f>IF(OR(E263&lt;&gt;E264,E263&lt;&gt;E265),-E265,E265)</f>
        <v>-6</v>
      </c>
      <c r="E268" s="282" t="str">
        <f>E266</f>
        <v>c</v>
      </c>
      <c r="F268" s="320" t="str">
        <f>IF(E266=E267,"",E267)</f>
        <v/>
      </c>
      <c r="G268" s="447" t="s">
        <v>11631</v>
      </c>
      <c r="H268" s="281"/>
      <c r="I268" s="272"/>
      <c r="J268" s="272"/>
      <c r="K268" s="261"/>
      <c r="L268" s="261"/>
    </row>
    <row r="269" spans="1:12" ht="15.75" customHeight="1">
      <c r="A269" s="259" t="s">
        <v>9073</v>
      </c>
      <c r="B269" s="268" t="s">
        <v>9178</v>
      </c>
      <c r="C269" s="259">
        <f>C152/1000</f>
        <v>-5.2999999999999999E-2</v>
      </c>
      <c r="D269" s="281" t="s">
        <v>8854</v>
      </c>
      <c r="E269" s="259"/>
      <c r="F269" s="268"/>
      <c r="G269" s="259">
        <f>G152/1000</f>
        <v>-7.1999999999999995E-2</v>
      </c>
      <c r="H269" s="281" t="s">
        <v>8854</v>
      </c>
      <c r="I269" s="272"/>
      <c r="J269" s="272"/>
      <c r="K269" s="261"/>
      <c r="L269" s="261"/>
    </row>
    <row r="270" spans="1:12" ht="15.75" customHeight="1">
      <c r="A270" s="259" t="s">
        <v>9076</v>
      </c>
      <c r="B270" s="268" t="s">
        <v>9179</v>
      </c>
      <c r="C270" s="259">
        <f>C153/1000</f>
        <v>-0.123</v>
      </c>
      <c r="D270" s="281" t="s">
        <v>8854</v>
      </c>
      <c r="E270" s="259"/>
      <c r="F270" s="268"/>
      <c r="G270" s="259">
        <f>G153/1000</f>
        <v>-0.16700000000000001</v>
      </c>
      <c r="H270" s="281" t="s">
        <v>8854</v>
      </c>
      <c r="I270" s="272"/>
      <c r="J270" s="272"/>
      <c r="K270" s="261"/>
      <c r="L270" s="261"/>
    </row>
    <row r="271" spans="1:12" ht="15.75" customHeight="1">
      <c r="A271" s="259" t="s">
        <v>9180</v>
      </c>
      <c r="B271" s="268" t="s">
        <v>9181</v>
      </c>
      <c r="C271" s="259">
        <f>C138/1000</f>
        <v>7.0000000000000007E-2</v>
      </c>
      <c r="D271" s="281" t="s">
        <v>8854</v>
      </c>
      <c r="E271" s="259"/>
      <c r="F271" s="268"/>
      <c r="G271" s="259">
        <f>G138/1000</f>
        <v>9.5000000000000001E-2</v>
      </c>
      <c r="H271" s="281" t="s">
        <v>8854</v>
      </c>
      <c r="I271" s="272"/>
      <c r="J271" s="272"/>
      <c r="K271" s="261"/>
      <c r="L271" s="261"/>
    </row>
    <row r="272" spans="1:12" ht="15.75" customHeight="1">
      <c r="A272" s="249" t="s">
        <v>9182</v>
      </c>
      <c r="B272" s="268" t="s">
        <v>9183</v>
      </c>
      <c r="C272" s="259"/>
      <c r="D272" s="281"/>
      <c r="E272" s="259">
        <f>C145/1000</f>
        <v>7.3999999999999996E-2</v>
      </c>
      <c r="F272" s="281" t="s">
        <v>8854</v>
      </c>
      <c r="G272" s="259"/>
      <c r="H272" s="281"/>
      <c r="I272" s="272"/>
      <c r="J272" s="272"/>
      <c r="K272" s="261"/>
      <c r="L272" s="261"/>
    </row>
    <row r="273" spans="1:12" ht="15.75" customHeight="1">
      <c r="A273" s="249" t="s">
        <v>9184</v>
      </c>
      <c r="B273" s="268" t="s">
        <v>9185</v>
      </c>
      <c r="C273" s="259"/>
      <c r="D273" s="281"/>
      <c r="E273" s="259">
        <f>C160/1000</f>
        <v>0.318</v>
      </c>
      <c r="F273" s="281" t="s">
        <v>8854</v>
      </c>
      <c r="G273" s="259"/>
      <c r="H273" s="281"/>
      <c r="I273" s="272"/>
      <c r="J273" s="272"/>
      <c r="K273" s="261"/>
      <c r="L273" s="261"/>
    </row>
    <row r="274" spans="1:12" ht="15.75" customHeight="1">
      <c r="A274" s="259" t="s">
        <v>9067</v>
      </c>
      <c r="B274" s="268" t="s">
        <v>9187</v>
      </c>
      <c r="C274" s="259">
        <f>C132/1000</f>
        <v>5.1999999999999998E-2</v>
      </c>
      <c r="D274" s="281" t="s">
        <v>8854</v>
      </c>
      <c r="E274" s="259"/>
      <c r="F274" s="268"/>
      <c r="G274" s="259">
        <f>G132/1000</f>
        <v>7.1999999999999995E-2</v>
      </c>
      <c r="H274" s="281" t="s">
        <v>8854</v>
      </c>
      <c r="I274" s="272"/>
      <c r="J274" s="272"/>
      <c r="K274" s="261"/>
      <c r="L274" s="261"/>
    </row>
    <row r="275" spans="1:12">
      <c r="A275" s="432" t="s">
        <v>9070</v>
      </c>
      <c r="B275" s="268" t="s">
        <v>9188</v>
      </c>
      <c r="C275" s="259">
        <f>C133/1000</f>
        <v>1.6E-2</v>
      </c>
      <c r="D275" s="281" t="s">
        <v>8854</v>
      </c>
      <c r="E275" s="259"/>
      <c r="F275" s="268"/>
      <c r="G275" s="259">
        <f>G133/1000</f>
        <v>1.9E-2</v>
      </c>
      <c r="H275" s="281" t="s">
        <v>8854</v>
      </c>
      <c r="I275" s="272"/>
      <c r="J275" s="272"/>
      <c r="K275" s="261"/>
      <c r="L275" s="261"/>
    </row>
    <row r="276" spans="1:12" ht="15.75" customHeight="1">
      <c r="A276" s="267" t="s">
        <v>9189</v>
      </c>
      <c r="B276" s="268" t="s">
        <v>9190</v>
      </c>
      <c r="C276" s="259">
        <f>C120/1000</f>
        <v>4.4999999999999998E-2</v>
      </c>
      <c r="D276" s="281" t="s">
        <v>8854</v>
      </c>
      <c r="E276" s="448"/>
      <c r="F276" s="268"/>
      <c r="G276" s="259">
        <f>G120/1000</f>
        <v>6.3E-2</v>
      </c>
      <c r="H276" s="281" t="s">
        <v>8854</v>
      </c>
      <c r="I276" s="272"/>
      <c r="J276" s="272"/>
      <c r="K276" s="261"/>
      <c r="L276" s="261"/>
    </row>
    <row r="277" spans="1:12" ht="15.75" customHeight="1">
      <c r="A277" s="267" t="s">
        <v>11028</v>
      </c>
      <c r="B277" s="268" t="s">
        <v>11632</v>
      </c>
      <c r="C277" s="259">
        <f>C124/1000</f>
        <v>1.2999999999999999E-2</v>
      </c>
      <c r="D277" s="281" t="s">
        <v>8854</v>
      </c>
      <c r="E277" s="448"/>
      <c r="F277" s="268"/>
      <c r="G277" s="259">
        <f>G124/1000</f>
        <v>1.4E-2</v>
      </c>
      <c r="H277" s="281" t="s">
        <v>8854</v>
      </c>
      <c r="I277" s="272"/>
      <c r="J277" s="272"/>
      <c r="K277" s="261"/>
      <c r="L277" s="261"/>
    </row>
    <row r="278" spans="1:12">
      <c r="A278" s="352" t="s">
        <v>11430</v>
      </c>
      <c r="B278" s="268" t="s">
        <v>11633</v>
      </c>
      <c r="C278" s="259">
        <f>C128/1000</f>
        <v>6.0000000000000001E-3</v>
      </c>
      <c r="D278" s="281" t="s">
        <v>8854</v>
      </c>
      <c r="E278" s="448"/>
      <c r="F278" s="268"/>
      <c r="G278" s="259">
        <f>G128/1000</f>
        <v>8.0000000000000002E-3</v>
      </c>
      <c r="H278" s="281" t="s">
        <v>8854</v>
      </c>
      <c r="I278" s="272"/>
      <c r="J278" s="272"/>
      <c r="K278" s="261"/>
      <c r="L278" s="261"/>
    </row>
    <row r="279" spans="1:12">
      <c r="A279" s="293" t="s">
        <v>11634</v>
      </c>
      <c r="B279" s="268"/>
      <c r="C279" s="259"/>
      <c r="D279" s="292">
        <f>IF(C30=5,60,IF(OR(C30=6,C30=7),50,IF(C30=8,35)))</f>
        <v>50</v>
      </c>
      <c r="E279" s="447" t="s">
        <v>11635</v>
      </c>
      <c r="F279" s="292">
        <f>IF(C30=5,80,IF(OR(C30=6,C30=7),70,IF(C30=8,65)))</f>
        <v>70</v>
      </c>
      <c r="G279" s="447" t="s">
        <v>11636</v>
      </c>
      <c r="H279" s="448"/>
      <c r="I279" s="272"/>
      <c r="J279" s="272"/>
      <c r="K279" s="261"/>
      <c r="L279" s="261"/>
    </row>
    <row r="280" spans="1:12">
      <c r="A280" s="342" t="s">
        <v>11637</v>
      </c>
      <c r="B280" s="268"/>
      <c r="C280" s="259"/>
      <c r="D280" s="292">
        <f>IF(C30=5,65,IF(OR(C30=6,C30=7),55,IF(C30=8,40)))</f>
        <v>55</v>
      </c>
      <c r="E280" s="447" t="s">
        <v>11635</v>
      </c>
      <c r="F280" s="292">
        <f>IF(C30=5,85,IF(OR(C30=6,C30=7),75,IF(C30=8,70)))</f>
        <v>75</v>
      </c>
      <c r="G280" s="447" t="s">
        <v>11636</v>
      </c>
      <c r="H280" s="448"/>
      <c r="I280" s="272"/>
      <c r="J280" s="272"/>
      <c r="K280" s="261"/>
      <c r="L280" s="261"/>
    </row>
    <row r="281" spans="1:12">
      <c r="A281" s="249" t="s">
        <v>11449</v>
      </c>
      <c r="B281" s="268" t="s">
        <v>11450</v>
      </c>
      <c r="C281" s="259"/>
      <c r="D281" s="449" t="s">
        <v>11638</v>
      </c>
      <c r="E281" s="259">
        <f>C168/1000</f>
        <v>3.2000000000000001E-2</v>
      </c>
      <c r="F281" s="281" t="s">
        <v>8854</v>
      </c>
      <c r="G281" s="281"/>
      <c r="H281" s="448"/>
      <c r="I281" s="272"/>
      <c r="J281" s="272"/>
      <c r="K281" s="261"/>
      <c r="L281" s="261"/>
    </row>
    <row r="282" spans="1:12" ht="15.75" customHeight="1">
      <c r="A282" s="352" t="s">
        <v>11447</v>
      </c>
      <c r="B282" s="268"/>
      <c r="C282" s="259">
        <f>C162/1000</f>
        <v>2.5000000000000001E-2</v>
      </c>
      <c r="D282" s="281" t="s">
        <v>8854</v>
      </c>
      <c r="E282" s="259"/>
      <c r="F282" s="268"/>
      <c r="G282" s="259">
        <f>G162/1000</f>
        <v>0.03</v>
      </c>
      <c r="H282" s="281" t="s">
        <v>8854</v>
      </c>
      <c r="I282" s="272"/>
      <c r="J282" s="272"/>
      <c r="K282" s="261"/>
      <c r="L282" s="261"/>
    </row>
    <row r="283" spans="1:12" ht="15.75" customHeight="1">
      <c r="A283" s="279" t="s">
        <v>11639</v>
      </c>
      <c r="B283" s="268"/>
      <c r="C283" s="282">
        <f>C34</f>
        <v>25</v>
      </c>
      <c r="D283" s="281" t="s">
        <v>8854</v>
      </c>
      <c r="E283" s="282"/>
      <c r="F283" s="268"/>
      <c r="G283" s="282">
        <f>C36</f>
        <v>320</v>
      </c>
      <c r="H283" s="281" t="s">
        <v>8854</v>
      </c>
      <c r="I283" s="272"/>
      <c r="J283" s="272"/>
      <c r="K283" s="261"/>
      <c r="L283" s="261"/>
    </row>
    <row r="284" spans="1:12" ht="15.75" customHeight="1">
      <c r="A284" s="352" t="str">
        <f>IF(AND(C34=0,C36=0),"","齿坯基准端面跳动公差")</f>
        <v>齿坯基准端面跳动公差</v>
      </c>
      <c r="B284" s="259"/>
      <c r="C284" s="282">
        <f>IF(C34=0,"",C163/1000)</f>
        <v>2.5000000000000001E-2</v>
      </c>
      <c r="D284" s="281" t="str">
        <f>IF(C34=0,"","毫米")</f>
        <v>毫米</v>
      </c>
      <c r="E284" s="379"/>
      <c r="F284" s="379"/>
      <c r="G284" s="282">
        <f>IF(C36=0,"",G163/1000)</f>
        <v>1.4999999999999999E-2</v>
      </c>
      <c r="H284" s="281" t="str">
        <f>IF(C36=0,"","毫米")</f>
        <v>毫米</v>
      </c>
      <c r="I284" s="272"/>
      <c r="J284" s="272"/>
      <c r="K284" s="261"/>
      <c r="L284" s="261"/>
    </row>
    <row r="285" spans="1:12" ht="15.75" customHeight="1">
      <c r="A285" s="352" t="s">
        <v>11640</v>
      </c>
      <c r="B285" s="259"/>
      <c r="C285" s="259">
        <f>IF(C117&lt;=1.2,-0.05,-0.075)</f>
        <v>-7.4999999999999997E-2</v>
      </c>
      <c r="D285" s="281" t="s">
        <v>8854</v>
      </c>
      <c r="E285" s="448"/>
      <c r="F285" s="448"/>
      <c r="G285" s="259">
        <f>C285</f>
        <v>-7.4999999999999997E-2</v>
      </c>
      <c r="H285" s="281" t="s">
        <v>8854</v>
      </c>
      <c r="I285" s="272"/>
      <c r="J285" s="272"/>
      <c r="K285" s="261"/>
      <c r="L285" s="261"/>
    </row>
    <row r="286" spans="1:12" ht="15.75" customHeight="1">
      <c r="A286" s="352" t="s">
        <v>11641</v>
      </c>
      <c r="B286" s="259"/>
      <c r="C286" s="259">
        <f>IF(C117&lt;=1.2,15,8)</f>
        <v>8</v>
      </c>
      <c r="D286" s="281" t="s">
        <v>11380</v>
      </c>
      <c r="E286" s="448"/>
      <c r="F286" s="448"/>
      <c r="G286" s="259">
        <f>C286</f>
        <v>8</v>
      </c>
      <c r="H286" s="281" t="s">
        <v>11380</v>
      </c>
      <c r="I286" s="272"/>
      <c r="J286" s="272"/>
      <c r="K286" s="261"/>
      <c r="L286" s="261"/>
    </row>
    <row r="287" spans="1:12" ht="15.75" customHeight="1">
      <c r="A287" s="249" t="s">
        <v>11642</v>
      </c>
      <c r="B287" s="309" t="s">
        <v>11643</v>
      </c>
      <c r="C287" s="259"/>
      <c r="D287" s="281"/>
      <c r="E287" s="259" t="str">
        <f>IF(OR(C161=5,C161=6),"IT5","IT6")</f>
        <v>IT5</v>
      </c>
      <c r="F287" s="447" t="s">
        <v>11644</v>
      </c>
      <c r="G287" s="259"/>
      <c r="H287" s="281"/>
      <c r="I287" s="272"/>
      <c r="J287" s="272"/>
      <c r="K287" s="261"/>
      <c r="L287" s="261"/>
    </row>
    <row r="288" spans="1:12" ht="15.75" customHeight="1">
      <c r="A288" s="352"/>
      <c r="B288" s="309" t="s">
        <v>11645</v>
      </c>
      <c r="C288" s="259"/>
      <c r="D288" s="281"/>
      <c r="E288" s="259" t="str">
        <f>IF(OR(C161=5,C161=6),"IT6","IT7")</f>
        <v>IT6</v>
      </c>
      <c r="F288" s="447" t="s">
        <v>11644</v>
      </c>
      <c r="G288" s="259"/>
      <c r="H288" s="281"/>
      <c r="I288" s="272"/>
      <c r="J288" s="272"/>
      <c r="K288" s="261"/>
      <c r="L288" s="261"/>
    </row>
    <row r="289" spans="1:13" ht="15.75" customHeight="1">
      <c r="A289" s="322" t="s">
        <v>11646</v>
      </c>
      <c r="B289" s="309" t="s">
        <v>9176</v>
      </c>
      <c r="C289" s="259"/>
      <c r="D289" s="380"/>
      <c r="E289" s="259">
        <v>0</v>
      </c>
      <c r="F289" s="450"/>
      <c r="G289" s="259"/>
      <c r="H289" s="281"/>
      <c r="I289" s="272"/>
      <c r="J289" s="272"/>
      <c r="K289" s="261"/>
      <c r="L289" s="261"/>
    </row>
    <row r="290" spans="1:13" ht="15.75" customHeight="1">
      <c r="A290" s="324"/>
      <c r="B290" s="443" t="s">
        <v>9177</v>
      </c>
      <c r="C290" s="308"/>
      <c r="D290" s="451"/>
      <c r="E290" s="308" t="str">
        <f>"-IT8"</f>
        <v>-IT8</v>
      </c>
      <c r="F290" s="452" t="s">
        <v>11644</v>
      </c>
      <c r="G290" s="308"/>
      <c r="H290" s="305"/>
      <c r="I290" s="272"/>
      <c r="J290" s="272"/>
      <c r="K290" s="261"/>
      <c r="L290" s="261"/>
    </row>
    <row r="291" spans="1:13" ht="15.75" customHeight="1">
      <c r="A291" s="322"/>
      <c r="B291" s="404"/>
      <c r="C291" s="259"/>
      <c r="D291" s="380"/>
      <c r="E291" s="259"/>
      <c r="F291" s="447"/>
      <c r="G291" s="259"/>
      <c r="H291" s="281"/>
      <c r="I291" s="272"/>
      <c r="J291" s="272"/>
      <c r="K291" s="261"/>
      <c r="L291" s="261"/>
    </row>
    <row r="292" spans="1:13" ht="15.75" customHeight="1">
      <c r="A292" s="431" t="str">
        <f>IF(C47=0,"","承载能力：")</f>
        <v>承载能力：</v>
      </c>
      <c r="B292" s="259"/>
      <c r="C292" s="259"/>
      <c r="D292" s="380"/>
      <c r="E292" s="259"/>
      <c r="F292" s="447"/>
      <c r="G292" s="259"/>
      <c r="H292" s="281"/>
      <c r="I292" s="272"/>
      <c r="J292" s="272"/>
      <c r="K292" s="261"/>
      <c r="L292" s="261"/>
    </row>
    <row r="293" spans="1:13" ht="15.75" customHeight="1">
      <c r="A293" s="249" t="s">
        <v>11647</v>
      </c>
      <c r="B293" s="262" t="s">
        <v>11648</v>
      </c>
      <c r="C293" s="240">
        <f>IF(C47=0,"",C53)</f>
        <v>250</v>
      </c>
      <c r="D293" s="453" t="s">
        <v>9574</v>
      </c>
      <c r="E293" s="449"/>
      <c r="F293" s="268"/>
      <c r="G293" s="240">
        <f>IF(C47=0,"",ROUND(C53*C18/C17,2))</f>
        <v>461.54</v>
      </c>
      <c r="H293" s="453" t="s">
        <v>9574</v>
      </c>
      <c r="I293" s="272"/>
      <c r="J293" s="249"/>
      <c r="K293" s="261"/>
      <c r="L293" s="261"/>
    </row>
    <row r="294" spans="1:13" ht="15.75" customHeight="1">
      <c r="A294" s="249" t="s">
        <v>11649</v>
      </c>
      <c r="B294" s="262" t="s">
        <v>11650</v>
      </c>
      <c r="C294" s="240">
        <f>IF(C47=0,"",G51)</f>
        <v>26.18</v>
      </c>
      <c r="D294" s="453" t="s">
        <v>9716</v>
      </c>
      <c r="E294" s="449"/>
      <c r="F294" s="268"/>
      <c r="G294" s="240">
        <f>IF(C47=0,"",ROUND(G51*C18/C17,2))</f>
        <v>48.33</v>
      </c>
      <c r="H294" s="453" t="s">
        <v>9716</v>
      </c>
      <c r="I294" s="272"/>
      <c r="J294" s="249"/>
      <c r="K294" s="261"/>
      <c r="L294" s="261"/>
    </row>
    <row r="295" spans="1:13" ht="15.75" customHeight="1">
      <c r="A295" s="249" t="s">
        <v>11651</v>
      </c>
      <c r="B295" s="262" t="s">
        <v>6569</v>
      </c>
      <c r="C295" s="240">
        <f>IF(C47=0,"",C54)</f>
        <v>1000</v>
      </c>
      <c r="D295" s="453" t="s">
        <v>11652</v>
      </c>
      <c r="E295" s="281"/>
      <c r="F295" s="432"/>
      <c r="G295" s="240">
        <f>IF(C47=0,"",ROUND(C54*C17/C18,2))</f>
        <v>541.66999999999996</v>
      </c>
      <c r="H295" s="453" t="s">
        <v>11652</v>
      </c>
      <c r="I295" s="272"/>
      <c r="J295" s="272"/>
      <c r="K295" s="261"/>
      <c r="L295" s="261"/>
    </row>
    <row r="296" spans="1:13" ht="15.75" customHeight="1">
      <c r="A296" s="249" t="s">
        <v>11653</v>
      </c>
      <c r="B296" s="262"/>
      <c r="C296" s="454"/>
      <c r="D296" s="455"/>
      <c r="E296" s="281" t="str">
        <f>IF(AND(C47&lt;&gt;0,C47&lt;&gt;1,C47&lt;&gt;2,C47&lt;&gt;3,C47&lt;&gt;4,C47&lt;&gt;5,C47&lt;&gt;6,C47&lt;&gt;7),"错误！",IF(C47=0,"",IF(C47=1,"合金钢渗碳淬火",IF(C47=2,"调质钢感应淬火",IF(C47=3,"合金钢调质",IF(C47=4,"碳钢调质或正火",IF(C47=5,"氮化钢气体氮化",IF(C47=6,"调质钢与渗碳淬火钢气体氮化","调质钢与渗碳淬火钢软氮化"))))))))</f>
        <v>合金钢渗碳淬火</v>
      </c>
      <c r="F296" s="432"/>
      <c r="G296" s="281"/>
      <c r="H296" s="281"/>
      <c r="I296" s="272"/>
      <c r="J296" s="249"/>
      <c r="K296" s="261"/>
      <c r="L296" s="261"/>
    </row>
    <row r="297" spans="1:13" ht="15.75" customHeight="1">
      <c r="A297" s="249" t="s">
        <v>11654</v>
      </c>
      <c r="B297" s="262"/>
      <c r="C297" s="454"/>
      <c r="D297" s="455"/>
      <c r="E297" s="309" t="str">
        <f>IF(AND(C50&lt;&gt;0,C50&lt;&gt;1,C50&lt;&gt;2,C50&lt;&gt;3),"错误！",IF(C47=0,"",IF(C50=1,"大小轮都是两端支承",IF(C50=2,"一个是两端支承，另一个是悬臂","两者都是悬臂"))))</f>
        <v>一个是两端支承，另一个是悬臂</v>
      </c>
      <c r="F297" s="432"/>
      <c r="G297" s="281"/>
      <c r="H297" s="281"/>
      <c r="I297" s="272"/>
      <c r="J297" s="272"/>
      <c r="K297" s="261"/>
      <c r="L297" s="261"/>
    </row>
    <row r="298" spans="1:13" ht="15.75" customHeight="1">
      <c r="A298" s="249" t="s">
        <v>11655</v>
      </c>
      <c r="B298" s="282" t="s">
        <v>11557</v>
      </c>
      <c r="C298" s="282">
        <f>IF(C47=0,"",C204)</f>
        <v>1249.99</v>
      </c>
      <c r="D298" s="348" t="s">
        <v>11551</v>
      </c>
      <c r="E298" s="282"/>
      <c r="F298" s="348"/>
      <c r="G298" s="282">
        <f>IF(C47=0,"",C204)</f>
        <v>1249.99</v>
      </c>
      <c r="H298" s="348" t="s">
        <v>11551</v>
      </c>
      <c r="I298" s="272"/>
      <c r="J298" s="372"/>
      <c r="K298" s="259"/>
      <c r="L298" s="282"/>
      <c r="M298" s="348"/>
    </row>
    <row r="299" spans="1:13" ht="15.75" customHeight="1">
      <c r="A299" s="249" t="s">
        <v>11656</v>
      </c>
      <c r="B299" s="282" t="s">
        <v>11560</v>
      </c>
      <c r="C299" s="282">
        <f>IF(C47=0,"",C205)</f>
        <v>765.75</v>
      </c>
      <c r="D299" s="348" t="s">
        <v>11551</v>
      </c>
      <c r="E299" s="282"/>
      <c r="F299" s="348"/>
      <c r="G299" s="282">
        <f>IF(C47=0,"",C205)</f>
        <v>765.75</v>
      </c>
      <c r="H299" s="348" t="s">
        <v>11551</v>
      </c>
      <c r="I299" s="272"/>
      <c r="J299" s="249"/>
      <c r="K299" s="282"/>
      <c r="L299" s="282"/>
      <c r="M299" s="348"/>
    </row>
    <row r="300" spans="1:13" ht="15.75" customHeight="1">
      <c r="A300" s="322" t="s">
        <v>11657</v>
      </c>
      <c r="B300" s="293" t="s">
        <v>11562</v>
      </c>
      <c r="C300" s="282">
        <f>IF(C47=0,"",C206)</f>
        <v>2.04</v>
      </c>
      <c r="D300" s="275" t="str">
        <f>D57</f>
        <v/>
      </c>
      <c r="E300" s="282"/>
      <c r="F300" s="275"/>
      <c r="G300" s="282">
        <f>IF(C47=0,"",C206)</f>
        <v>2.04</v>
      </c>
      <c r="H300" s="275" t="str">
        <f>D57</f>
        <v/>
      </c>
      <c r="I300" s="272"/>
      <c r="J300" s="249"/>
      <c r="K300" s="282"/>
      <c r="L300" s="282"/>
      <c r="M300" s="348"/>
    </row>
    <row r="301" spans="1:13" ht="15.75" customHeight="1">
      <c r="A301" s="249" t="s">
        <v>11658</v>
      </c>
      <c r="B301" s="282" t="s">
        <v>11589</v>
      </c>
      <c r="C301" s="282">
        <f>IF(C47=0,"",C215)</f>
        <v>795.79</v>
      </c>
      <c r="D301" s="348" t="s">
        <v>11551</v>
      </c>
      <c r="E301" s="282"/>
      <c r="F301" s="348"/>
      <c r="G301" s="282">
        <f>IF(C47=0,"",K215)</f>
        <v>787.75</v>
      </c>
      <c r="H301" s="348" t="s">
        <v>11551</v>
      </c>
      <c r="I301" s="272"/>
      <c r="J301" s="372"/>
      <c r="K301" s="293"/>
      <c r="L301" s="282"/>
      <c r="M301" s="264"/>
    </row>
    <row r="302" spans="1:13" ht="15.75" customHeight="1">
      <c r="A302" s="249" t="s">
        <v>11659</v>
      </c>
      <c r="B302" s="282" t="s">
        <v>11592</v>
      </c>
      <c r="C302" s="282">
        <f>IF(C47=0,"",C216)</f>
        <v>180.16</v>
      </c>
      <c r="D302" s="348" t="s">
        <v>11551</v>
      </c>
      <c r="E302" s="282"/>
      <c r="F302" s="348"/>
      <c r="G302" s="282">
        <f>IF(C47=0,"",K216)</f>
        <v>175.11</v>
      </c>
      <c r="H302" s="348" t="s">
        <v>11551</v>
      </c>
      <c r="I302" s="272"/>
      <c r="J302" s="259"/>
      <c r="K302" s="267"/>
      <c r="L302" s="267"/>
      <c r="M302" s="270"/>
    </row>
    <row r="303" spans="1:13" ht="15.75" customHeight="1">
      <c r="A303" s="324" t="s">
        <v>11660</v>
      </c>
      <c r="B303" s="357" t="s">
        <v>11594</v>
      </c>
      <c r="C303" s="245">
        <f>IF(C47=0,"",C217)</f>
        <v>3.35</v>
      </c>
      <c r="D303" s="445" t="str">
        <f>D60</f>
        <v/>
      </c>
      <c r="E303" s="245"/>
      <c r="F303" s="456"/>
      <c r="G303" s="245">
        <f>IF(C47=0,"",K217)</f>
        <v>3.41</v>
      </c>
      <c r="H303" s="445" t="str">
        <f>L217</f>
        <v/>
      </c>
      <c r="I303" s="272"/>
      <c r="J303" s="272"/>
      <c r="K303" s="261"/>
      <c r="L303" s="261"/>
    </row>
    <row r="304" spans="1:13" ht="15.75" customHeight="1">
      <c r="A304" s="322"/>
      <c r="B304" s="404"/>
      <c r="C304" s="259"/>
      <c r="D304" s="380"/>
      <c r="E304" s="259"/>
      <c r="F304" s="447"/>
      <c r="G304" s="259"/>
      <c r="H304" s="281"/>
      <c r="I304" s="272"/>
      <c r="J304" s="272"/>
      <c r="K304" s="261"/>
      <c r="L304" s="261"/>
    </row>
    <row r="305" spans="1:12" ht="15.75" customHeight="1">
      <c r="A305" s="457" t="s">
        <v>11661</v>
      </c>
      <c r="B305" s="288" t="str">
        <f>IF(C47=0,"未验算承载能力。",IF(AND(C57&gt;=1.25,C60&gt;=1.25,OR(C57&lt;=2,C60&lt;=2)),"强度符合要求。",IF(AND(C57&gt;2,C60&gt;2),"安全系数过大，造成浪费！",IF(OR(C57&lt;1.25,C60&lt;1.25),"安全系数过小！",""))))</f>
        <v>安全系数过大，造成浪费！</v>
      </c>
      <c r="C305" s="259"/>
      <c r="D305" s="281"/>
      <c r="E305" s="448"/>
      <c r="F305" s="448"/>
      <c r="G305" s="259"/>
      <c r="H305" s="281"/>
      <c r="I305" s="272"/>
      <c r="J305" s="272"/>
      <c r="K305" s="261"/>
      <c r="L305" s="261"/>
    </row>
    <row r="306" spans="1:12" ht="15.75" customHeight="1">
      <c r="A306" s="458" t="s">
        <v>11662</v>
      </c>
      <c r="B306" s="288" t="str">
        <f>IF(AND(C14=0,D43="错误！"),"因刀盘直径输入有误，重合度计算不准确。",IF(OR(AND(C24=0,C257&gt;=1.25),AND(C24&gt;0,OR(C257&gt;=2,E257&gt;=1.25))),"重合度符合要求。","重合度过小！"))</f>
        <v>重合度过小！</v>
      </c>
      <c r="C306" s="450"/>
      <c r="D306" s="281"/>
      <c r="E306" s="448"/>
      <c r="F306" s="448"/>
      <c r="G306" s="259"/>
      <c r="H306" s="281"/>
      <c r="I306" s="272"/>
      <c r="J306" s="272"/>
      <c r="K306" s="261"/>
      <c r="L306" s="261"/>
    </row>
    <row r="307" spans="1:12" ht="15.75" customHeight="1">
      <c r="A307" s="458" t="str">
        <f>IF(OR(C14=1,AND(C14=0,C24=0)),"","                              · ")</f>
        <v>·</v>
      </c>
      <c r="B307" s="288" t="str">
        <f>IF(OR(C14=1,C24=0),"",IF(AND(C14=0,D43="错误！"),"因刀盘直径输入有误，大、小端螺旋角计算不准确。",IF(E258&gt;=E259,"大端螺旋角大于小端螺旋角，无反向收缩。","大端螺旋角小于小端螺旋角，出现反向收缩！")))</f>
        <v>大端螺旋角大于小端螺旋角，无反向收缩。</v>
      </c>
      <c r="C307" s="259"/>
      <c r="D307" s="281"/>
      <c r="E307" s="448"/>
      <c r="F307" s="448"/>
      <c r="G307" s="259"/>
      <c r="H307" s="281"/>
      <c r="I307" s="272"/>
      <c r="J307" s="272"/>
      <c r="K307" s="261"/>
      <c r="L307" s="261"/>
    </row>
    <row r="308" spans="1:12" ht="15.75" customHeight="1">
      <c r="A308" s="458" t="str">
        <f>IF(C14=1,"","                              · ")</f>
        <v>·</v>
      </c>
      <c r="B308" s="288" t="str">
        <f>IF(C14=1,"",IF(OR(C40=3.5,C40=6,C40=7.5,C40=9,C40=12,E40=3.5,E40=6,E40=7.5,E40=9,E40=12,G40=3.5,G40=6,G40=7.5,G40=9,G40=12),"可以选出合适的刀盘在本厂铣齿。",IF(OR(C40=18,E40=18,G40=18),"只能选用 18 英寸刀盘，须外厂协作。","选择刀盘失败，不能加工！")))</f>
        <v>可以选出合适的刀盘在本厂铣齿。</v>
      </c>
      <c r="C308" s="259"/>
      <c r="D308" s="281"/>
      <c r="E308" s="459"/>
      <c r="F308" s="450" t="str">
        <f>IF(OR(C14=1,C42=C40,C42=E40,C42=G40),"","输入刀盘直径错误！")</f>
        <v/>
      </c>
      <c r="G308" s="259"/>
      <c r="H308" s="281"/>
      <c r="I308" s="272"/>
      <c r="J308" s="272"/>
      <c r="K308" s="261"/>
      <c r="L308" s="261"/>
    </row>
    <row r="309" spans="1:12" ht="15.75" customHeight="1">
      <c r="A309" s="460"/>
      <c r="B309" s="305"/>
      <c r="C309" s="308"/>
      <c r="D309" s="305"/>
      <c r="E309" s="461"/>
      <c r="F309" s="462"/>
      <c r="G309" s="308"/>
      <c r="H309" s="305"/>
      <c r="I309" s="272"/>
      <c r="J309" s="272"/>
      <c r="K309" s="261"/>
      <c r="L309" s="261"/>
    </row>
    <row r="310" spans="1:12" ht="15.75" customHeight="1">
      <c r="A310" s="258" t="s">
        <v>11663</v>
      </c>
      <c r="B310" s="281"/>
      <c r="C310" s="259"/>
      <c r="D310" s="281"/>
      <c r="E310" s="463"/>
      <c r="F310" s="448"/>
      <c r="G310" s="259"/>
      <c r="H310" s="281"/>
      <c r="I310" s="272"/>
      <c r="J310" s="272"/>
      <c r="K310" s="261"/>
      <c r="L310" s="261"/>
    </row>
    <row r="313" spans="1:12" ht="15" customHeight="1"/>
    <row r="318" spans="1:12" ht="15.75" customHeight="1"/>
    <row r="319" spans="1:12" ht="15.75" customHeight="1"/>
    <row r="320" spans="1:12" ht="15.75" customHeight="1"/>
    <row r="328" ht="15" customHeight="1"/>
    <row r="331" ht="15.75" customHeight="1"/>
    <row r="332" ht="15.75" customHeight="1"/>
    <row r="333" ht="15.75" customHeight="1"/>
    <row r="334" ht="15.75" customHeight="1"/>
    <row r="335" ht="15.75" customHeight="1"/>
    <row r="336" ht="15.75" customHeight="1"/>
    <row r="337" ht="15.75" customHeight="1"/>
  </sheetData>
  <sheetProtection password="C95E" sheet="1" objects="1" scenarios="1"/>
  <phoneticPr fontId="378" type="noConversion"/>
  <pageMargins left="0.34930555555555598" right="0.34930555555555598" top="0.97916666666666696" bottom="0.97916666666666696" header="0.50902777777777797" footer="0.50902777777777797"/>
  <pageSetup paperSize="9" orientation="portrait" horizontalDpi="360" verticalDpi="360"/>
  <headerFooter scaleWithDoc="0" alignWithMargins="0"/>
  <legacy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2"/>
  <sheetViews>
    <sheetView workbookViewId="0">
      <selection activeCell="K2" sqref="K2"/>
    </sheetView>
  </sheetViews>
  <sheetFormatPr defaultColWidth="9" defaultRowHeight="16.5"/>
  <sheetData>
    <row r="2" spans="1:11">
      <c r="K2" s="3166" t="s">
        <v>12710</v>
      </c>
    </row>
    <row r="3" spans="1:11" ht="22.5">
      <c r="A3" s="213"/>
      <c r="B3" s="43"/>
      <c r="C3" s="43"/>
      <c r="D3" s="214" t="s">
        <v>11664</v>
      </c>
      <c r="E3" s="215"/>
      <c r="F3" s="43"/>
      <c r="G3" s="216"/>
      <c r="H3" s="217"/>
      <c r="I3" s="217"/>
      <c r="J3" s="217"/>
    </row>
    <row r="4" spans="1:11">
      <c r="A4" s="3362" t="s">
        <v>11665</v>
      </c>
      <c r="B4" s="4396"/>
      <c r="C4" s="4396"/>
      <c r="D4" s="4396"/>
      <c r="E4" s="4396"/>
      <c r="F4" s="4396"/>
      <c r="G4" s="4396"/>
      <c r="H4" s="4396"/>
      <c r="I4" s="4396"/>
      <c r="J4" s="4396"/>
    </row>
    <row r="5" spans="1:11">
      <c r="A5" s="213"/>
      <c r="B5" s="43" t="s">
        <v>11666</v>
      </c>
      <c r="C5" s="43"/>
      <c r="D5" s="43"/>
      <c r="E5" s="43"/>
      <c r="F5" s="43"/>
      <c r="G5" s="216"/>
      <c r="H5" s="49"/>
      <c r="I5" s="49"/>
      <c r="J5" s="49"/>
    </row>
    <row r="6" spans="1:11" ht="18.75">
      <c r="A6" s="213"/>
      <c r="B6" s="3362" t="s">
        <v>11667</v>
      </c>
      <c r="C6" s="3362"/>
      <c r="D6" s="3362"/>
      <c r="E6" s="3362"/>
      <c r="F6" s="43"/>
      <c r="G6" s="216"/>
      <c r="H6" s="49"/>
      <c r="I6" s="49"/>
      <c r="J6" s="49"/>
    </row>
    <row r="7" spans="1:11" ht="18.75">
      <c r="A7" s="213"/>
      <c r="B7" s="3362" t="s">
        <v>11668</v>
      </c>
      <c r="C7" s="3362"/>
      <c r="D7" s="3362"/>
      <c r="E7" s="3362"/>
      <c r="F7" s="3362"/>
      <c r="G7" s="216"/>
      <c r="H7" s="49"/>
      <c r="I7" s="49"/>
      <c r="J7" s="49"/>
    </row>
    <row r="8" spans="1:11">
      <c r="A8" s="213"/>
      <c r="B8" s="3362"/>
      <c r="C8" s="3362"/>
      <c r="D8" s="3362"/>
      <c r="E8" s="3362"/>
      <c r="F8" s="43"/>
      <c r="G8" s="216"/>
      <c r="H8" s="217"/>
      <c r="I8" s="217"/>
      <c r="J8" s="217"/>
    </row>
    <row r="9" spans="1:11" ht="18.75">
      <c r="A9" s="213"/>
      <c r="B9" s="49" t="s">
        <v>11669</v>
      </c>
      <c r="C9" s="49"/>
      <c r="D9" s="49"/>
      <c r="E9" s="49" t="s">
        <v>11670</v>
      </c>
      <c r="F9" s="43"/>
      <c r="G9" s="216"/>
      <c r="H9" s="217"/>
      <c r="I9" s="217"/>
      <c r="J9" s="217"/>
    </row>
    <row r="10" spans="1:11">
      <c r="A10" s="218" t="s">
        <v>11671</v>
      </c>
      <c r="B10" s="45"/>
      <c r="C10" s="45"/>
      <c r="D10" s="45"/>
      <c r="E10" s="45"/>
      <c r="F10" s="45"/>
      <c r="G10" s="219"/>
      <c r="H10" s="220"/>
      <c r="I10" s="220"/>
      <c r="J10" s="220"/>
    </row>
    <row r="11" spans="1:11">
      <c r="A11" s="218"/>
      <c r="B11" s="43" t="s">
        <v>11672</v>
      </c>
      <c r="C11" s="43"/>
      <c r="D11" s="43"/>
      <c r="E11" s="43"/>
      <c r="F11" s="43"/>
      <c r="G11" s="216"/>
      <c r="H11" s="49"/>
      <c r="I11" s="49"/>
      <c r="J11" s="49"/>
    </row>
    <row r="12" spans="1:11">
      <c r="A12" s="218"/>
      <c r="B12" s="43"/>
      <c r="C12" s="43"/>
      <c r="D12" s="43"/>
      <c r="E12" s="43"/>
      <c r="F12" s="43"/>
      <c r="G12" s="216"/>
      <c r="H12" s="49"/>
      <c r="I12" s="49"/>
      <c r="J12" s="49"/>
    </row>
  </sheetData>
  <mergeCells count="4">
    <mergeCell ref="A4:J4"/>
    <mergeCell ref="B6:E6"/>
    <mergeCell ref="B7:F7"/>
    <mergeCell ref="B8:E8"/>
  </mergeCells>
  <phoneticPr fontId="378" type="noConversion"/>
  <hyperlinks>
    <hyperlink ref="K2" location="总目录!A1" display="返回目录"/>
  </hyperlinks>
  <pageMargins left="0.75" right="0.75" top="1" bottom="1" header="0.5" footer="0.5"/>
  <pageSetup paperSize="9" orientation="portrait"/>
  <headerFooter alignWithMargins="0"/>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2"/>
  <sheetViews>
    <sheetView workbookViewId="0">
      <selection activeCell="K3" sqref="K3"/>
    </sheetView>
  </sheetViews>
  <sheetFormatPr defaultColWidth="9" defaultRowHeight="16.5"/>
  <cols>
    <col min="1" max="1" width="11.125" customWidth="1"/>
    <col min="2" max="2" width="10.375"/>
  </cols>
  <sheetData>
    <row r="1" spans="1:11" ht="27" customHeight="1">
      <c r="A1" s="3362" t="s">
        <v>11673</v>
      </c>
      <c r="B1" s="3362"/>
      <c r="C1" s="3362"/>
      <c r="D1" s="3362"/>
      <c r="E1" s="3362"/>
      <c r="F1" s="3362"/>
      <c r="G1" s="3362"/>
      <c r="H1" s="3362"/>
      <c r="I1" s="3362"/>
      <c r="J1" s="3362"/>
      <c r="K1" s="3361" t="s">
        <v>12721</v>
      </c>
    </row>
    <row r="2" spans="1:11" ht="34.9" customHeight="1">
      <c r="A2" s="3362"/>
      <c r="B2" s="3362"/>
      <c r="C2" s="3362"/>
      <c r="D2" s="3362"/>
      <c r="E2" s="3362"/>
      <c r="F2" s="3362"/>
      <c r="G2" s="3362"/>
      <c r="H2" s="3362"/>
      <c r="I2" s="3362"/>
      <c r="J2" s="3362"/>
      <c r="K2" s="3361"/>
    </row>
    <row r="3" spans="1:11" ht="14.25" customHeight="1">
      <c r="A3" s="3362"/>
      <c r="B3" s="3362"/>
      <c r="C3" s="3362"/>
      <c r="D3" s="3362"/>
      <c r="E3" s="3362"/>
      <c r="F3" s="3362"/>
      <c r="G3" s="3362"/>
      <c r="H3" s="3362"/>
      <c r="I3" s="3362"/>
      <c r="J3" s="3362"/>
    </row>
    <row r="4" spans="1:11" ht="18">
      <c r="A4" s="208" t="s">
        <v>11674</v>
      </c>
      <c r="B4" s="135">
        <v>3.1415926000000001</v>
      </c>
      <c r="C4" s="135"/>
      <c r="D4" s="135"/>
      <c r="E4" s="135"/>
      <c r="F4" s="135"/>
      <c r="G4" s="209" t="s">
        <v>11675</v>
      </c>
      <c r="H4" s="210" t="s">
        <v>11676</v>
      </c>
      <c r="I4" s="210"/>
      <c r="J4" s="210"/>
    </row>
    <row r="5" spans="1:11">
      <c r="A5" s="211" t="s">
        <v>11677</v>
      </c>
      <c r="B5" s="3362" t="s">
        <v>11678</v>
      </c>
      <c r="C5" s="3362"/>
      <c r="D5" s="3362"/>
      <c r="E5" s="3362"/>
      <c r="F5" s="135"/>
      <c r="G5" s="209"/>
      <c r="H5" s="210"/>
      <c r="I5" s="210"/>
      <c r="J5" s="210"/>
    </row>
    <row r="6" spans="1:11">
      <c r="A6" s="211" t="s">
        <v>11679</v>
      </c>
      <c r="B6" s="3362" t="s">
        <v>11680</v>
      </c>
      <c r="C6" s="3362"/>
      <c r="D6" s="3362"/>
      <c r="E6" s="3362"/>
      <c r="F6" s="135"/>
      <c r="G6" s="209"/>
      <c r="H6" s="210"/>
      <c r="I6" s="210"/>
      <c r="J6" s="210"/>
    </row>
    <row r="7" spans="1:11">
      <c r="A7" s="211" t="s">
        <v>11681</v>
      </c>
      <c r="B7" s="3362" t="s">
        <v>11682</v>
      </c>
      <c r="C7" s="3362"/>
      <c r="D7" s="3362"/>
      <c r="E7" s="3362"/>
      <c r="F7" s="135"/>
      <c r="G7" s="209"/>
      <c r="H7" s="210"/>
      <c r="I7" s="210"/>
      <c r="J7" s="210"/>
    </row>
    <row r="8" spans="1:11">
      <c r="A8" s="211" t="s">
        <v>11683</v>
      </c>
      <c r="B8" s="210" t="s">
        <v>11684</v>
      </c>
      <c r="C8" s="210"/>
      <c r="D8" s="210"/>
      <c r="E8" s="210"/>
      <c r="F8" s="135"/>
      <c r="G8" s="209"/>
      <c r="H8" s="210"/>
      <c r="I8" s="210"/>
      <c r="J8" s="210"/>
    </row>
    <row r="9" spans="1:11">
      <c r="A9" s="211" t="s">
        <v>11685</v>
      </c>
      <c r="B9" s="210" t="s">
        <v>11686</v>
      </c>
      <c r="C9" s="210"/>
      <c r="D9" s="210"/>
      <c r="E9" s="210"/>
      <c r="F9" s="135"/>
      <c r="G9" s="209"/>
      <c r="H9" s="210"/>
      <c r="I9" s="210"/>
      <c r="J9" s="210"/>
    </row>
    <row r="10" spans="1:11" ht="18">
      <c r="A10" s="211" t="s">
        <v>11687</v>
      </c>
      <c r="B10" s="210" t="s">
        <v>11688</v>
      </c>
      <c r="C10" s="210"/>
      <c r="D10" s="210"/>
      <c r="E10" s="210"/>
      <c r="F10" s="135"/>
      <c r="G10" s="209" t="s">
        <v>11689</v>
      </c>
      <c r="H10" s="210" t="s">
        <v>11690</v>
      </c>
      <c r="I10" s="210"/>
      <c r="J10" s="210"/>
    </row>
    <row r="11" spans="1:11" ht="18">
      <c r="A11" s="211" t="s">
        <v>11691</v>
      </c>
      <c r="B11" s="210" t="s">
        <v>11692</v>
      </c>
      <c r="C11" s="210"/>
      <c r="D11" s="210"/>
      <c r="E11" s="210"/>
      <c r="F11" s="135"/>
      <c r="G11" s="209" t="s">
        <v>11693</v>
      </c>
      <c r="H11" s="210" t="s">
        <v>11694</v>
      </c>
      <c r="I11" s="210"/>
      <c r="J11" s="210"/>
    </row>
    <row r="12" spans="1:11" ht="18">
      <c r="A12" s="211" t="s">
        <v>11695</v>
      </c>
      <c r="B12" s="210" t="s">
        <v>11696</v>
      </c>
      <c r="C12" s="210"/>
      <c r="D12" s="210"/>
      <c r="E12" s="210"/>
      <c r="F12" s="135"/>
      <c r="G12" s="209" t="s">
        <v>163</v>
      </c>
      <c r="H12" s="210" t="s">
        <v>11697</v>
      </c>
      <c r="I12" s="210"/>
      <c r="J12" s="210"/>
    </row>
    <row r="13" spans="1:11" ht="18.75">
      <c r="A13" s="211"/>
      <c r="B13" s="210" t="s">
        <v>11698</v>
      </c>
      <c r="C13" s="210"/>
      <c r="D13" s="210"/>
      <c r="E13" s="210"/>
      <c r="F13" s="135"/>
      <c r="G13" s="209" t="s">
        <v>1914</v>
      </c>
      <c r="H13" s="210" t="s">
        <v>11699</v>
      </c>
      <c r="I13" s="210"/>
      <c r="J13" s="210"/>
    </row>
    <row r="14" spans="1:11" ht="18">
      <c r="A14" s="211" t="s">
        <v>11700</v>
      </c>
      <c r="B14" s="3362" t="s">
        <v>11701</v>
      </c>
      <c r="C14" s="3362"/>
      <c r="D14" s="3362"/>
      <c r="E14" s="3362"/>
      <c r="F14" s="135"/>
      <c r="G14" s="209" t="s">
        <v>11702</v>
      </c>
      <c r="H14" s="210" t="s">
        <v>11703</v>
      </c>
      <c r="I14" s="210"/>
      <c r="J14" s="210"/>
    </row>
    <row r="15" spans="1:11">
      <c r="A15" s="208" t="s">
        <v>11704</v>
      </c>
      <c r="B15" s="135" t="s">
        <v>11705</v>
      </c>
      <c r="C15" s="135"/>
      <c r="D15" s="135"/>
      <c r="E15" s="135"/>
      <c r="F15" s="135"/>
      <c r="G15" s="209"/>
      <c r="H15" s="210"/>
      <c r="I15" s="210"/>
      <c r="J15" s="210"/>
    </row>
    <row r="16" spans="1:11">
      <c r="A16" s="208" t="s">
        <v>11706</v>
      </c>
      <c r="B16" s="135" t="s">
        <v>11707</v>
      </c>
      <c r="C16" s="135"/>
      <c r="D16" s="135"/>
      <c r="E16" s="135"/>
      <c r="F16" s="135"/>
      <c r="G16" s="209"/>
      <c r="H16" s="210"/>
      <c r="I16" s="210"/>
      <c r="J16" s="210"/>
    </row>
    <row r="17" spans="1:10">
      <c r="A17" s="208" t="s">
        <v>11708</v>
      </c>
      <c r="B17" s="135" t="s">
        <v>11709</v>
      </c>
      <c r="C17" s="135"/>
      <c r="D17" s="135"/>
      <c r="E17" s="135"/>
      <c r="F17" s="135"/>
      <c r="G17" s="209"/>
      <c r="H17" s="210"/>
      <c r="I17" s="210"/>
      <c r="J17" s="210"/>
    </row>
    <row r="20" spans="1:10">
      <c r="A20" s="4289" t="s">
        <v>11710</v>
      </c>
      <c r="B20" s="3362"/>
      <c r="C20" s="4396"/>
    </row>
    <row r="21" spans="1:10">
      <c r="A21" s="179"/>
    </row>
    <row r="30" spans="1:10">
      <c r="A30" s="4396" t="s">
        <v>11711</v>
      </c>
      <c r="B30" s="4396"/>
      <c r="C30" s="4396"/>
    </row>
    <row r="34" spans="1:14">
      <c r="N34" t="s">
        <v>11712</v>
      </c>
    </row>
    <row r="41" spans="1:14">
      <c r="A41" t="s">
        <v>11713</v>
      </c>
    </row>
    <row r="52" spans="1:1">
      <c r="A52" t="s">
        <v>11714</v>
      </c>
    </row>
  </sheetData>
  <mergeCells count="9">
    <mergeCell ref="A20:C20"/>
    <mergeCell ref="A30:C30"/>
    <mergeCell ref="A1:J2"/>
    <mergeCell ref="K1:K2"/>
    <mergeCell ref="A3:J3"/>
    <mergeCell ref="B5:E5"/>
    <mergeCell ref="B6:E6"/>
    <mergeCell ref="B7:E7"/>
    <mergeCell ref="B14:E14"/>
  </mergeCells>
  <phoneticPr fontId="378" type="noConversion"/>
  <hyperlinks>
    <hyperlink ref="K1:K2" location="总目录!A1" display="返回目录"/>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234945" r:id="rId3">
          <objectPr defaultSize="0" autoPict="0" altText="" r:id="rId4">
            <anchor moveWithCells="1">
              <from>
                <xdr:col>1</xdr:col>
                <xdr:colOff>0</xdr:colOff>
                <xdr:row>21</xdr:row>
                <xdr:rowOff>0</xdr:rowOff>
              </from>
              <to>
                <xdr:col>4</xdr:col>
                <xdr:colOff>228600</xdr:colOff>
                <xdr:row>23</xdr:row>
                <xdr:rowOff>171450</xdr:rowOff>
              </to>
            </anchor>
          </objectPr>
        </oleObject>
      </mc:Choice>
      <mc:Fallback>
        <oleObject progId="Equation.DSMT4" shapeId="1234945" r:id="rId3"/>
      </mc:Fallback>
    </mc:AlternateContent>
    <mc:AlternateContent xmlns:mc="http://schemas.openxmlformats.org/markup-compatibility/2006">
      <mc:Choice Requires="x14">
        <oleObject progId="Equation.DSMT4" shapeId="1234946" r:id="rId5">
          <objectPr defaultSize="0" autoPict="0" altText="" r:id="rId6">
            <anchor moveWithCells="1">
              <from>
                <xdr:col>1</xdr:col>
                <xdr:colOff>0</xdr:colOff>
                <xdr:row>25</xdr:row>
                <xdr:rowOff>0</xdr:rowOff>
              </from>
              <to>
                <xdr:col>4</xdr:col>
                <xdr:colOff>209550</xdr:colOff>
                <xdr:row>26</xdr:row>
                <xdr:rowOff>57150</xdr:rowOff>
              </to>
            </anchor>
          </objectPr>
        </oleObject>
      </mc:Choice>
      <mc:Fallback>
        <oleObject progId="Equation.DSMT4" shapeId="1234946" r:id="rId5"/>
      </mc:Fallback>
    </mc:AlternateContent>
    <mc:AlternateContent xmlns:mc="http://schemas.openxmlformats.org/markup-compatibility/2006">
      <mc:Choice Requires="x14">
        <oleObject progId="Equation.DSMT4" shapeId="1234947" r:id="rId7">
          <objectPr defaultSize="0" autoPict="0" altText="" r:id="rId8">
            <anchor moveWithCells="1">
              <from>
                <xdr:col>1</xdr:col>
                <xdr:colOff>0</xdr:colOff>
                <xdr:row>31</xdr:row>
                <xdr:rowOff>0</xdr:rowOff>
              </from>
              <to>
                <xdr:col>4</xdr:col>
                <xdr:colOff>123825</xdr:colOff>
                <xdr:row>36</xdr:row>
                <xdr:rowOff>47625</xdr:rowOff>
              </to>
            </anchor>
          </objectPr>
        </oleObject>
      </mc:Choice>
      <mc:Fallback>
        <oleObject progId="Equation.DSMT4" shapeId="1234947" r:id="rId7"/>
      </mc:Fallback>
    </mc:AlternateContent>
    <mc:AlternateContent xmlns:mc="http://schemas.openxmlformats.org/markup-compatibility/2006">
      <mc:Choice Requires="x14">
        <oleObject progId="Equation.DSMT4" shapeId="1234948" r:id="rId9">
          <objectPr defaultSize="0" autoPict="0" altText="" r:id="rId10">
            <anchor moveWithCells="1">
              <from>
                <xdr:col>1</xdr:col>
                <xdr:colOff>0</xdr:colOff>
                <xdr:row>42</xdr:row>
                <xdr:rowOff>0</xdr:rowOff>
              </from>
              <to>
                <xdr:col>4</xdr:col>
                <xdr:colOff>542925</xdr:colOff>
                <xdr:row>46</xdr:row>
                <xdr:rowOff>152400</xdr:rowOff>
              </to>
            </anchor>
          </objectPr>
        </oleObject>
      </mc:Choice>
      <mc:Fallback>
        <oleObject progId="Equation.DSMT4" shapeId="1234948" r:id="rId9"/>
      </mc:Fallback>
    </mc:AlternateContent>
    <mc:AlternateContent xmlns:mc="http://schemas.openxmlformats.org/markup-compatibility/2006">
      <mc:Choice Requires="x14">
        <oleObject progId="Equation.DSMT4" shapeId="1234949" r:id="rId11">
          <objectPr defaultSize="0" autoPict="0" altText="" r:id="rId12">
            <anchor moveWithCells="1">
              <from>
                <xdr:col>1</xdr:col>
                <xdr:colOff>0</xdr:colOff>
                <xdr:row>53</xdr:row>
                <xdr:rowOff>0</xdr:rowOff>
              </from>
              <to>
                <xdr:col>3</xdr:col>
                <xdr:colOff>114300</xdr:colOff>
                <xdr:row>55</xdr:row>
                <xdr:rowOff>171450</xdr:rowOff>
              </to>
            </anchor>
          </objectPr>
        </oleObject>
      </mc:Choice>
      <mc:Fallback>
        <oleObject progId="Equation.DSMT4" shapeId="1234949" r:id="rId11"/>
      </mc:Fallback>
    </mc:AlternateContent>
  </oleObjects>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70"/>
  <sheetViews>
    <sheetView zoomScale="85" zoomScaleNormal="85" workbookViewId="0">
      <selection activeCell="K3" sqref="K3"/>
    </sheetView>
  </sheetViews>
  <sheetFormatPr defaultColWidth="9" defaultRowHeight="16.5"/>
  <cols>
    <col min="1" max="1" width="15.625" style="168" customWidth="1"/>
    <col min="2" max="2" width="11.625" customWidth="1"/>
    <col min="4" max="4" width="9.875" customWidth="1"/>
  </cols>
  <sheetData>
    <row r="1" spans="1:13">
      <c r="A1" s="4568" t="s">
        <v>11715</v>
      </c>
      <c r="B1" s="4568"/>
      <c r="C1" s="4568"/>
      <c r="D1" s="4568"/>
      <c r="E1" s="4568"/>
      <c r="F1" s="4568"/>
      <c r="G1" s="4568"/>
      <c r="H1" s="4568"/>
      <c r="I1" s="4568"/>
      <c r="J1" s="4568"/>
    </row>
    <row r="2" spans="1:13" ht="40.15" customHeight="1">
      <c r="A2" s="4568"/>
      <c r="B2" s="4568"/>
      <c r="C2" s="4568"/>
      <c r="D2" s="4568"/>
      <c r="E2" s="4568"/>
      <c r="F2" s="4568"/>
      <c r="G2" s="4568"/>
      <c r="H2" s="4568"/>
      <c r="I2" s="4568"/>
      <c r="J2" s="4568"/>
      <c r="L2" s="3361" t="s">
        <v>12704</v>
      </c>
      <c r="M2" s="3361"/>
    </row>
    <row r="3" spans="1:13" ht="19.5" customHeight="1">
      <c r="A3" s="169" t="s">
        <v>11716</v>
      </c>
      <c r="B3" s="3362" t="s">
        <v>11717</v>
      </c>
      <c r="C3" s="3362"/>
      <c r="D3" s="3362"/>
      <c r="E3" s="3362"/>
      <c r="F3" s="52"/>
      <c r="G3" s="170" t="s">
        <v>11693</v>
      </c>
      <c r="H3" s="171" t="s">
        <v>11694</v>
      </c>
      <c r="I3" s="171"/>
      <c r="J3" s="174"/>
      <c r="K3" s="174"/>
    </row>
    <row r="4" spans="1:13" ht="18">
      <c r="A4" s="172" t="s">
        <v>11718</v>
      </c>
      <c r="B4" s="3362" t="s">
        <v>11719</v>
      </c>
      <c r="C4" s="3362"/>
      <c r="D4" s="3362"/>
      <c r="E4" s="3362"/>
      <c r="F4" s="52"/>
      <c r="G4" s="173" t="s">
        <v>163</v>
      </c>
      <c r="H4" s="174" t="s">
        <v>11697</v>
      </c>
      <c r="I4" s="174"/>
      <c r="J4" s="174"/>
      <c r="K4" s="174"/>
    </row>
    <row r="5" spans="1:13" ht="18">
      <c r="A5" s="169" t="s">
        <v>11720</v>
      </c>
      <c r="B5" s="3362" t="s">
        <v>11721</v>
      </c>
      <c r="C5" s="3362"/>
      <c r="D5" s="3362"/>
      <c r="E5" s="3362"/>
      <c r="F5" s="52"/>
      <c r="G5" s="170" t="s">
        <v>1914</v>
      </c>
      <c r="H5" s="175" t="s">
        <v>11699</v>
      </c>
      <c r="I5" s="175"/>
      <c r="J5" s="176"/>
      <c r="K5" s="176"/>
    </row>
    <row r="6" spans="1:13" ht="18">
      <c r="A6" s="172" t="s">
        <v>11722</v>
      </c>
      <c r="B6" s="3362" t="s">
        <v>11723</v>
      </c>
      <c r="C6" s="3362"/>
      <c r="D6" s="3362"/>
      <c r="E6" s="3362"/>
      <c r="F6" s="52"/>
      <c r="G6" s="173" t="s">
        <v>11702</v>
      </c>
      <c r="H6" s="176" t="s">
        <v>11703</v>
      </c>
      <c r="I6" s="176"/>
      <c r="J6" s="176"/>
      <c r="K6" s="176"/>
    </row>
    <row r="7" spans="1:13">
      <c r="A7" s="177" t="s">
        <v>11724</v>
      </c>
      <c r="B7" s="178" t="s">
        <v>11725</v>
      </c>
      <c r="C7" s="178"/>
      <c r="D7" s="178"/>
      <c r="E7" s="178"/>
      <c r="F7" s="52"/>
      <c r="G7" s="173"/>
      <c r="H7" s="174"/>
      <c r="I7" s="174"/>
      <c r="J7" s="174"/>
      <c r="K7" s="174"/>
    </row>
    <row r="8" spans="1:13">
      <c r="A8" s="179" t="s">
        <v>11726</v>
      </c>
      <c r="B8" s="52" t="s">
        <v>11725</v>
      </c>
      <c r="C8" s="52"/>
      <c r="D8" s="52"/>
      <c r="E8" s="52"/>
      <c r="F8" s="52"/>
      <c r="G8" s="170" t="s">
        <v>6146</v>
      </c>
      <c r="H8" s="171">
        <v>3.1415899999999999</v>
      </c>
      <c r="I8" s="171"/>
      <c r="J8" s="174"/>
      <c r="K8" s="174"/>
    </row>
    <row r="9" spans="1:13">
      <c r="A9" s="177" t="s">
        <v>11727</v>
      </c>
      <c r="B9" s="178" t="s">
        <v>11728</v>
      </c>
      <c r="C9" s="178"/>
      <c r="D9" s="178"/>
      <c r="E9" s="178"/>
      <c r="F9" s="52"/>
      <c r="G9" s="180"/>
      <c r="H9" s="181"/>
      <c r="I9" s="181"/>
      <c r="J9" s="181"/>
      <c r="K9" s="174"/>
    </row>
    <row r="10" spans="1:13" ht="6" customHeight="1"/>
    <row r="11" spans="1:13" ht="31.9" customHeight="1">
      <c r="A11" s="3362" t="s">
        <v>11729</v>
      </c>
      <c r="B11" s="3362"/>
      <c r="C11" s="3362"/>
      <c r="D11" s="3362"/>
      <c r="E11" s="3362"/>
      <c r="F11" s="3362"/>
      <c r="G11" s="3362"/>
      <c r="H11" s="3362"/>
      <c r="I11" s="3362"/>
      <c r="J11" s="3362"/>
    </row>
    <row r="12" spans="1:13">
      <c r="A12" s="182"/>
      <c r="D12" s="4306" t="s">
        <v>11730</v>
      </c>
      <c r="E12" s="3362"/>
      <c r="J12" s="159"/>
    </row>
    <row r="13" spans="1:13" ht="21" customHeight="1">
      <c r="A13" s="183" t="s">
        <v>11731</v>
      </c>
      <c r="B13" s="184">
        <v>80</v>
      </c>
      <c r="C13" s="4567" t="s">
        <v>9205</v>
      </c>
      <c r="D13">
        <f t="shared" ref="D13:D15" si="0">B13/1000</f>
        <v>0.08</v>
      </c>
      <c r="E13" t="s">
        <v>6088</v>
      </c>
      <c r="J13" s="159"/>
    </row>
    <row r="14" spans="1:13" ht="19.899999999999999" customHeight="1">
      <c r="A14" s="185" t="s">
        <v>11732</v>
      </c>
      <c r="B14" s="184">
        <v>60</v>
      </c>
      <c r="C14" s="4567"/>
      <c r="D14">
        <f t="shared" si="0"/>
        <v>0.06</v>
      </c>
      <c r="E14" t="s">
        <v>6088</v>
      </c>
      <c r="J14" s="159"/>
    </row>
    <row r="15" spans="1:13">
      <c r="A15" s="183" t="s">
        <v>11733</v>
      </c>
      <c r="B15" s="184">
        <v>10</v>
      </c>
      <c r="C15" s="4567"/>
      <c r="D15">
        <f t="shared" si="0"/>
        <v>0.01</v>
      </c>
      <c r="E15" t="s">
        <v>6088</v>
      </c>
      <c r="J15" s="159"/>
    </row>
    <row r="16" spans="1:13" ht="19.149999999999999" customHeight="1">
      <c r="A16" s="185" t="s">
        <v>11734</v>
      </c>
      <c r="B16" s="184">
        <v>7.8</v>
      </c>
      <c r="C16" s="4567"/>
      <c r="J16" s="159"/>
    </row>
    <row r="17" spans="1:10" ht="25.5">
      <c r="A17" s="186" t="s">
        <v>11735</v>
      </c>
      <c r="B17" s="184">
        <v>0</v>
      </c>
      <c r="C17" s="4567"/>
      <c r="D17">
        <f>B17/1000</f>
        <v>0</v>
      </c>
      <c r="E17" t="s">
        <v>6088</v>
      </c>
      <c r="J17" s="159"/>
    </row>
    <row r="18" spans="1:10">
      <c r="A18" s="182"/>
      <c r="J18" s="159"/>
    </row>
    <row r="19" spans="1:10">
      <c r="A19" s="182"/>
      <c r="J19" s="159"/>
    </row>
    <row r="20" spans="1:10">
      <c r="A20" s="183" t="s">
        <v>11736</v>
      </c>
      <c r="B20" s="187">
        <f>H8*((D13/2)^2-(D14/2)^2)*D15*B16</f>
        <v>1.7153081400000001E-4</v>
      </c>
      <c r="C20" s="3362" t="s">
        <v>11737</v>
      </c>
      <c r="J20" s="159"/>
    </row>
    <row r="21" spans="1:10" ht="18">
      <c r="A21" s="188" t="s">
        <v>11738</v>
      </c>
      <c r="B21" s="189">
        <f>((H8/32)*B16*D15*(D13^4-D14^4)+B20*D17^2)*10000</f>
        <v>2.1441351749999999E-3</v>
      </c>
      <c r="C21" s="3362"/>
      <c r="D21" s="149">
        <f>B21/10000</f>
        <v>2.144135175E-7</v>
      </c>
      <c r="E21" s="149" t="s">
        <v>10261</v>
      </c>
      <c r="F21" s="149"/>
      <c r="G21" s="149"/>
      <c r="H21" s="149"/>
      <c r="I21" s="149"/>
      <c r="J21" s="160"/>
    </row>
    <row r="23" spans="1:10" ht="34.15" customHeight="1">
      <c r="A23" s="3362" t="s">
        <v>11739</v>
      </c>
      <c r="B23" s="3362"/>
      <c r="C23" s="3362"/>
      <c r="D23" s="3362"/>
      <c r="E23" s="3362"/>
      <c r="F23" s="3362"/>
      <c r="G23" s="3362"/>
      <c r="H23" s="3362"/>
      <c r="I23" s="3362"/>
      <c r="J23" s="3362"/>
    </row>
    <row r="24" spans="1:10">
      <c r="A24" s="190" t="s">
        <v>11740</v>
      </c>
      <c r="B24" s="191">
        <v>200</v>
      </c>
      <c r="C24" s="4567" t="s">
        <v>9205</v>
      </c>
      <c r="D24">
        <f t="shared" ref="D24:D26" si="1">B24/1000</f>
        <v>0.2</v>
      </c>
      <c r="E24" t="s">
        <v>6088</v>
      </c>
      <c r="J24" s="159"/>
    </row>
    <row r="25" spans="1:10">
      <c r="A25" s="183" t="s">
        <v>11741</v>
      </c>
      <c r="B25" s="184">
        <v>100</v>
      </c>
      <c r="C25" s="4567"/>
      <c r="D25">
        <f t="shared" si="1"/>
        <v>0.1</v>
      </c>
      <c r="E25" t="s">
        <v>6088</v>
      </c>
      <c r="J25" s="159"/>
    </row>
    <row r="26" spans="1:10">
      <c r="A26" s="185" t="s">
        <v>11742</v>
      </c>
      <c r="B26" s="184">
        <v>400</v>
      </c>
      <c r="C26" s="4567"/>
      <c r="D26">
        <f t="shared" si="1"/>
        <v>0.4</v>
      </c>
      <c r="E26" t="s">
        <v>6088</v>
      </c>
      <c r="J26" s="159"/>
    </row>
    <row r="27" spans="1:10">
      <c r="A27" s="183" t="s">
        <v>11743</v>
      </c>
      <c r="B27" s="184">
        <v>7800</v>
      </c>
      <c r="C27" s="4567"/>
      <c r="J27" s="159"/>
    </row>
    <row r="28" spans="1:10" ht="25.5">
      <c r="A28" s="192" t="s">
        <v>11735</v>
      </c>
      <c r="B28" s="184">
        <v>100</v>
      </c>
      <c r="C28" s="4567"/>
      <c r="D28">
        <f>B28/1000</f>
        <v>0.1</v>
      </c>
      <c r="E28" t="s">
        <v>6088</v>
      </c>
      <c r="J28" s="159"/>
    </row>
    <row r="29" spans="1:10">
      <c r="A29" s="182"/>
      <c r="J29" s="159"/>
    </row>
    <row r="30" spans="1:10">
      <c r="A30" s="182" t="s">
        <v>11744</v>
      </c>
      <c r="J30" s="159"/>
    </row>
    <row r="31" spans="1:10">
      <c r="A31" s="183" t="s">
        <v>11736</v>
      </c>
      <c r="B31" s="139">
        <f>H8*((D24/2)^2-(D25/2)^2)*D26*B27</f>
        <v>73.513205999999997</v>
      </c>
      <c r="C31" s="3362" t="s">
        <v>11737</v>
      </c>
      <c r="D31">
        <f>(B31*D28^2)</f>
        <v>0.73513205999999998</v>
      </c>
      <c r="J31" s="159"/>
    </row>
    <row r="32" spans="1:10" ht="18">
      <c r="A32" s="188" t="s">
        <v>11738</v>
      </c>
      <c r="B32" s="193">
        <f>((1/4)*B31*((D24^2+D25^2)/4+(D26^2/3))+(B31*D28^2))*10000</f>
        <v>19450.369087499999</v>
      </c>
      <c r="C32" s="3362"/>
      <c r="D32" s="149">
        <f>B32/10000</f>
        <v>1.9450369087499999</v>
      </c>
      <c r="E32" s="149" t="s">
        <v>10261</v>
      </c>
      <c r="F32" s="149"/>
      <c r="G32" s="149"/>
      <c r="H32" s="149"/>
      <c r="I32" s="149"/>
      <c r="J32" s="160"/>
    </row>
    <row r="34" spans="1:10" ht="28.9" customHeight="1">
      <c r="A34" s="3362" t="s">
        <v>11745</v>
      </c>
      <c r="B34" s="3362"/>
      <c r="C34" s="3362"/>
      <c r="D34" s="3362"/>
      <c r="E34" s="3362"/>
      <c r="F34" s="3362"/>
      <c r="G34" s="3362"/>
      <c r="H34" s="3362"/>
      <c r="I34" s="3362"/>
      <c r="J34" s="3362"/>
    </row>
    <row r="35" spans="1:10">
      <c r="A35" s="194" t="s">
        <v>11746</v>
      </c>
      <c r="B35" s="191">
        <v>50</v>
      </c>
      <c r="C35" s="4567" t="s">
        <v>9205</v>
      </c>
      <c r="D35">
        <f t="shared" ref="D35:D37" si="2">B35/1000</f>
        <v>0.05</v>
      </c>
      <c r="E35" t="s">
        <v>6088</v>
      </c>
      <c r="J35" s="159"/>
    </row>
    <row r="36" spans="1:10">
      <c r="A36" s="195" t="s">
        <v>11747</v>
      </c>
      <c r="B36" s="184">
        <v>10</v>
      </c>
      <c r="C36" s="4567"/>
      <c r="D36">
        <f t="shared" si="2"/>
        <v>0.01</v>
      </c>
      <c r="E36" t="s">
        <v>6088</v>
      </c>
      <c r="J36" s="159"/>
    </row>
    <row r="37" spans="1:10">
      <c r="A37" s="196" t="s">
        <v>11748</v>
      </c>
      <c r="B37" s="184">
        <v>1</v>
      </c>
      <c r="C37" s="4567"/>
      <c r="D37">
        <f t="shared" si="2"/>
        <v>1E-3</v>
      </c>
      <c r="E37" t="s">
        <v>6088</v>
      </c>
      <c r="J37" s="159"/>
    </row>
    <row r="38" spans="1:10">
      <c r="A38" s="195" t="s">
        <v>11743</v>
      </c>
      <c r="B38" s="184">
        <v>7800</v>
      </c>
      <c r="C38" s="4567"/>
      <c r="J38" s="159"/>
    </row>
    <row r="39" spans="1:10" ht="24">
      <c r="A39" s="197" t="s">
        <v>11749</v>
      </c>
      <c r="B39" s="184">
        <v>10</v>
      </c>
      <c r="C39" s="4567"/>
      <c r="D39">
        <f>B39/1000</f>
        <v>0.01</v>
      </c>
      <c r="E39" t="s">
        <v>6088</v>
      </c>
      <c r="J39" s="159"/>
    </row>
    <row r="40" spans="1:10">
      <c r="A40" s="182"/>
      <c r="J40" s="159"/>
    </row>
    <row r="41" spans="1:10">
      <c r="A41" s="182" t="s">
        <v>11744</v>
      </c>
      <c r="J41" s="159"/>
    </row>
    <row r="42" spans="1:10">
      <c r="A42" s="198" t="s">
        <v>11736</v>
      </c>
      <c r="B42" s="139">
        <f>D35*D36*D37*B38</f>
        <v>3.8999999999999998E-3</v>
      </c>
      <c r="C42" s="3362" t="s">
        <v>11737</v>
      </c>
      <c r="J42" s="159"/>
    </row>
    <row r="43" spans="1:10" ht="18">
      <c r="A43" s="199" t="s">
        <v>11738</v>
      </c>
      <c r="B43" s="139">
        <f>((1/12)*B42*(D35^2+D36^2)+B42*D39^2)*10000</f>
        <v>1.235E-2</v>
      </c>
      <c r="C43" s="3362"/>
      <c r="D43" s="149">
        <f>B43/10000</f>
        <v>1.235E-6</v>
      </c>
      <c r="E43" s="149" t="s">
        <v>10261</v>
      </c>
      <c r="F43" s="149"/>
      <c r="G43" s="149"/>
      <c r="H43" s="149"/>
      <c r="I43" s="149"/>
      <c r="J43" s="160"/>
    </row>
    <row r="45" spans="1:10" ht="30" customHeight="1">
      <c r="A45" s="3362" t="s">
        <v>11750</v>
      </c>
      <c r="B45" s="3362"/>
      <c r="C45" s="3362"/>
      <c r="D45" s="3362"/>
      <c r="E45" s="3362"/>
      <c r="F45" s="3362"/>
      <c r="G45" s="3362"/>
      <c r="H45" s="3362"/>
      <c r="I45" s="3362"/>
      <c r="J45" s="3362"/>
    </row>
    <row r="46" spans="1:10" ht="24" customHeight="1">
      <c r="A46" s="200" t="s">
        <v>11751</v>
      </c>
      <c r="B46" s="191">
        <v>600</v>
      </c>
      <c r="C46" s="4567" t="s">
        <v>9205</v>
      </c>
      <c r="D46">
        <f t="shared" ref="D46:D49" si="3">B46/1000</f>
        <v>0.6</v>
      </c>
      <c r="E46" t="s">
        <v>6088</v>
      </c>
      <c r="J46" s="159"/>
    </row>
    <row r="47" spans="1:10" ht="27" customHeight="1">
      <c r="A47" s="201" t="s">
        <v>11752</v>
      </c>
      <c r="B47" s="184">
        <v>20</v>
      </c>
      <c r="C47" s="4567"/>
      <c r="D47">
        <f t="shared" si="3"/>
        <v>0.02</v>
      </c>
      <c r="E47" t="s">
        <v>6088</v>
      </c>
      <c r="J47" s="159"/>
    </row>
    <row r="48" spans="1:10" ht="25.9" customHeight="1">
      <c r="A48" s="202" t="s">
        <v>11734</v>
      </c>
      <c r="B48" s="184">
        <v>7890</v>
      </c>
      <c r="C48" s="4567"/>
      <c r="J48" s="159"/>
    </row>
    <row r="49" spans="1:10" ht="24">
      <c r="A49" s="203" t="s">
        <v>11735</v>
      </c>
      <c r="B49" s="184">
        <v>0</v>
      </c>
      <c r="C49" s="4567"/>
      <c r="D49">
        <f t="shared" si="3"/>
        <v>0</v>
      </c>
      <c r="E49" t="s">
        <v>6088</v>
      </c>
      <c r="J49" s="159"/>
    </row>
    <row r="50" spans="1:10">
      <c r="A50" s="182"/>
      <c r="J50" s="159"/>
    </row>
    <row r="51" spans="1:10">
      <c r="A51" s="182" t="s">
        <v>11744</v>
      </c>
      <c r="J51" s="159"/>
    </row>
    <row r="52" spans="1:10">
      <c r="A52" s="183" t="s">
        <v>11736</v>
      </c>
      <c r="B52" s="187">
        <f>H8*(D46/2)^2*D47*B48</f>
        <v>44.616861180000001</v>
      </c>
      <c r="C52" s="3362" t="s">
        <v>11737</v>
      </c>
      <c r="J52" s="159"/>
    </row>
    <row r="53" spans="1:10" ht="18">
      <c r="A53" s="188" t="s">
        <v>11738</v>
      </c>
      <c r="B53" s="193">
        <f>((1/8)*B52*D46^2+B52*D49^2)*10000</f>
        <v>20077.587531000001</v>
      </c>
      <c r="C53" s="3362"/>
      <c r="D53" s="149">
        <f>B53/10000</f>
        <v>2.0077587531000001</v>
      </c>
      <c r="E53" s="149" t="s">
        <v>10261</v>
      </c>
      <c r="F53" s="149"/>
      <c r="G53" s="149"/>
      <c r="H53" s="149"/>
      <c r="I53" s="149"/>
      <c r="J53" s="160"/>
    </row>
    <row r="55" spans="1:10" ht="31.9" customHeight="1">
      <c r="A55" s="3362" t="s">
        <v>11753</v>
      </c>
      <c r="B55" s="3362"/>
      <c r="C55" s="3362"/>
      <c r="D55" s="3362"/>
      <c r="E55" s="3362"/>
      <c r="F55" s="3362"/>
      <c r="G55" s="3362"/>
      <c r="H55" s="3362"/>
      <c r="I55" s="3362"/>
      <c r="J55" s="3362"/>
    </row>
    <row r="56" spans="1:10">
      <c r="A56" s="3362" t="s">
        <v>11754</v>
      </c>
      <c r="B56" s="3362">
        <v>0.1</v>
      </c>
      <c r="C56" s="4567" t="s">
        <v>6473</v>
      </c>
      <c r="J56" s="159"/>
    </row>
    <row r="57" spans="1:10" ht="21" customHeight="1">
      <c r="A57" s="3362"/>
      <c r="B57" s="3362"/>
      <c r="C57" s="4567"/>
      <c r="J57" s="159"/>
    </row>
    <row r="58" spans="1:10" ht="21" customHeight="1">
      <c r="A58" s="201" t="s">
        <v>11736</v>
      </c>
      <c r="B58" s="184">
        <v>100</v>
      </c>
      <c r="C58" s="4567"/>
      <c r="J58" s="159"/>
    </row>
    <row r="59" spans="1:10">
      <c r="A59" s="182"/>
      <c r="C59" s="204"/>
      <c r="J59" s="159"/>
    </row>
    <row r="60" spans="1:10" ht="18">
      <c r="A60" s="205" t="s">
        <v>11738</v>
      </c>
      <c r="B60" s="193">
        <f>(B58*(B56/(2*H8))^2)*10^4</f>
        <v>253.30338701810001</v>
      </c>
      <c r="C60" s="206" t="s">
        <v>11737</v>
      </c>
      <c r="D60" s="149">
        <f>B60/10^4</f>
        <v>2.533033870181E-2</v>
      </c>
      <c r="E60" s="149" t="s">
        <v>10261</v>
      </c>
      <c r="F60" s="149"/>
      <c r="G60" s="149"/>
      <c r="H60" s="149"/>
      <c r="I60" s="149"/>
      <c r="J60" s="160"/>
    </row>
    <row r="63" spans="1:10" ht="40.15" customHeight="1">
      <c r="A63" s="3362" t="s">
        <v>11755</v>
      </c>
      <c r="B63" s="3362"/>
      <c r="C63" s="3362"/>
      <c r="D63" s="3362"/>
      <c r="E63" s="3362"/>
      <c r="F63" s="3362"/>
      <c r="G63" s="3362"/>
      <c r="H63" s="3362"/>
      <c r="I63" s="3362"/>
      <c r="J63" s="3362"/>
    </row>
    <row r="64" spans="1:10" ht="18">
      <c r="A64" s="200" t="s">
        <v>11756</v>
      </c>
      <c r="B64" s="191">
        <v>10</v>
      </c>
      <c r="C64" s="4567" t="s">
        <v>6473</v>
      </c>
      <c r="D64">
        <f>B64/10000</f>
        <v>1E-3</v>
      </c>
      <c r="E64" t="s">
        <v>10261</v>
      </c>
      <c r="J64" s="159"/>
    </row>
    <row r="65" spans="1:10">
      <c r="A65" s="201" t="s">
        <v>11757</v>
      </c>
      <c r="B65" s="184">
        <v>20</v>
      </c>
      <c r="C65" s="4567"/>
      <c r="J65" s="159"/>
    </row>
    <row r="66" spans="1:10" ht="24">
      <c r="A66" s="207" t="s">
        <v>11735</v>
      </c>
      <c r="B66" s="184">
        <v>10</v>
      </c>
      <c r="C66" s="4567"/>
      <c r="D66">
        <f>B66/100</f>
        <v>0.1</v>
      </c>
      <c r="E66" t="s">
        <v>6088</v>
      </c>
      <c r="J66" s="159"/>
    </row>
    <row r="67" spans="1:10" ht="31.9" customHeight="1">
      <c r="A67" s="182"/>
      <c r="J67" s="159"/>
    </row>
    <row r="68" spans="1:10">
      <c r="A68" s="182" t="s">
        <v>11744</v>
      </c>
      <c r="J68" s="159"/>
    </row>
    <row r="69" spans="1:10">
      <c r="A69" s="183" t="s">
        <v>11758</v>
      </c>
      <c r="B69" s="139">
        <f>B65</f>
        <v>20</v>
      </c>
      <c r="C69" s="3362" t="s">
        <v>11737</v>
      </c>
      <c r="J69" s="159"/>
    </row>
    <row r="70" spans="1:10" ht="18">
      <c r="A70" s="188" t="s">
        <v>11759</v>
      </c>
      <c r="B70" s="193">
        <f>B64+B65*B66*B66/100</f>
        <v>30</v>
      </c>
      <c r="C70" s="3362"/>
      <c r="D70" s="149">
        <f>B70/10000</f>
        <v>3.0000000000000001E-3</v>
      </c>
      <c r="E70" s="149" t="s">
        <v>10261</v>
      </c>
      <c r="F70" s="149"/>
      <c r="G70" s="149"/>
      <c r="H70" s="149"/>
      <c r="I70" s="149"/>
      <c r="J70" s="160"/>
    </row>
  </sheetData>
  <mergeCells count="26">
    <mergeCell ref="C64:C66"/>
    <mergeCell ref="C69:C70"/>
    <mergeCell ref="A1:J2"/>
    <mergeCell ref="L2:M2"/>
    <mergeCell ref="A63:J63"/>
    <mergeCell ref="A56:A57"/>
    <mergeCell ref="B56:B57"/>
    <mergeCell ref="C13:C17"/>
    <mergeCell ref="C20:C21"/>
    <mergeCell ref="C24:C28"/>
    <mergeCell ref="C31:C32"/>
    <mergeCell ref="C35:C39"/>
    <mergeCell ref="C42:C43"/>
    <mergeCell ref="C46:C49"/>
    <mergeCell ref="C52:C53"/>
    <mergeCell ref="C56:C58"/>
    <mergeCell ref="D12:E12"/>
    <mergeCell ref="A23:J23"/>
    <mergeCell ref="A34:J34"/>
    <mergeCell ref="A45:J45"/>
    <mergeCell ref="A55:J55"/>
    <mergeCell ref="B3:E3"/>
    <mergeCell ref="B4:E4"/>
    <mergeCell ref="B5:E5"/>
    <mergeCell ref="B6:E6"/>
    <mergeCell ref="A11:J11"/>
  </mergeCells>
  <phoneticPr fontId="378" type="noConversion"/>
  <hyperlinks>
    <hyperlink ref="L2:M2" location="总目录!A1" display="返回目录"/>
  </hyperlinks>
  <pageMargins left="0.75" right="0.75" top="1" bottom="1" header="0.5" footer="0.5"/>
  <pageSetup paperSize="9" orientation="portrait" horizontalDpi="1200" verticalDpi="1200"/>
  <headerFooter alignWithMargins="0"/>
  <drawing r:id="rId1"/>
  <legacyDrawing r:id="rId2"/>
  <oleObjects>
    <mc:AlternateContent xmlns:mc="http://schemas.openxmlformats.org/markup-compatibility/2006">
      <mc:Choice Requires="x14">
        <oleObject progId="Equation.DSMT4" shapeId="1235969" r:id="rId3">
          <objectPr defaultSize="0" autoPict="0" altText="" r:id="rId4">
            <anchor moveWithCells="1">
              <from>
                <xdr:col>4</xdr:col>
                <xdr:colOff>619125</xdr:colOff>
                <xdr:row>19</xdr:row>
                <xdr:rowOff>19050</xdr:rowOff>
              </from>
              <to>
                <xdr:col>9</xdr:col>
                <xdr:colOff>542925</xdr:colOff>
                <xdr:row>20</xdr:row>
                <xdr:rowOff>180975</xdr:rowOff>
              </to>
            </anchor>
          </objectPr>
        </oleObject>
      </mc:Choice>
      <mc:Fallback>
        <oleObject progId="Equation.DSMT4" shapeId="1235969" r:id="rId3"/>
      </mc:Fallback>
    </mc:AlternateContent>
    <mc:AlternateContent xmlns:mc="http://schemas.openxmlformats.org/markup-compatibility/2006">
      <mc:Choice Requires="x14">
        <oleObject progId="Equation.DSMT4" shapeId="1235970" r:id="rId5">
          <objectPr defaultSize="0" autoPict="0" altText="" r:id="rId6">
            <anchor moveWithCells="1">
              <from>
                <xdr:col>6</xdr:col>
                <xdr:colOff>352425</xdr:colOff>
                <xdr:row>64</xdr:row>
                <xdr:rowOff>28575</xdr:rowOff>
              </from>
              <to>
                <xdr:col>7</xdr:col>
                <xdr:colOff>390525</xdr:colOff>
                <xdr:row>65</xdr:row>
                <xdr:rowOff>19050</xdr:rowOff>
              </to>
            </anchor>
          </objectPr>
        </oleObject>
      </mc:Choice>
      <mc:Fallback>
        <oleObject progId="Equation.DSMT4" shapeId="1235970" r:id="rId5"/>
      </mc:Fallback>
    </mc:AlternateContent>
    <mc:AlternateContent xmlns:mc="http://schemas.openxmlformats.org/markup-compatibility/2006">
      <mc:Choice Requires="x14">
        <oleObject progId="Equation.DSMT4" shapeId="1235971" r:id="rId7">
          <objectPr defaultSize="0" autoPict="0" altText="" r:id="rId8">
            <anchor moveWithCells="1">
              <from>
                <xdr:col>5</xdr:col>
                <xdr:colOff>57150</xdr:colOff>
                <xdr:row>29</xdr:row>
                <xdr:rowOff>171450</xdr:rowOff>
              </from>
              <to>
                <xdr:col>8</xdr:col>
                <xdr:colOff>247650</xdr:colOff>
                <xdr:row>31</xdr:row>
                <xdr:rowOff>171450</xdr:rowOff>
              </to>
            </anchor>
          </objectPr>
        </oleObject>
      </mc:Choice>
      <mc:Fallback>
        <oleObject progId="Equation.DSMT4" shapeId="1235971" r:id="rId7"/>
      </mc:Fallback>
    </mc:AlternateContent>
    <mc:AlternateContent xmlns:mc="http://schemas.openxmlformats.org/markup-compatibility/2006">
      <mc:Choice Requires="x14">
        <oleObject progId="Equation.DSMT4" shapeId="1235972" r:id="rId9">
          <objectPr defaultSize="0" autoPict="0" altText="" r:id="rId10">
            <anchor moveWithCells="1">
              <from>
                <xdr:col>5</xdr:col>
                <xdr:colOff>457200</xdr:colOff>
                <xdr:row>50</xdr:row>
                <xdr:rowOff>161925</xdr:rowOff>
              </from>
              <to>
                <xdr:col>7</xdr:col>
                <xdr:colOff>638175</xdr:colOff>
                <xdr:row>52</xdr:row>
                <xdr:rowOff>133350</xdr:rowOff>
              </to>
            </anchor>
          </objectPr>
        </oleObject>
      </mc:Choice>
      <mc:Fallback>
        <oleObject progId="Equation.DSMT4" shapeId="1235972" r:id="rId9"/>
      </mc:Fallback>
    </mc:AlternateContent>
    <mc:AlternateContent xmlns:mc="http://schemas.openxmlformats.org/markup-compatibility/2006">
      <mc:Choice Requires="x14">
        <oleObject progId="Equation.DSMT4" shapeId="1235973" r:id="rId11">
          <objectPr defaultSize="0" autoPict="0" altText="" r:id="rId12">
            <anchor moveWithCells="1">
              <from>
                <xdr:col>5</xdr:col>
                <xdr:colOff>438150</xdr:colOff>
                <xdr:row>41</xdr:row>
                <xdr:rowOff>19050</xdr:rowOff>
              </from>
              <to>
                <xdr:col>8</xdr:col>
                <xdr:colOff>333375</xdr:colOff>
                <xdr:row>42</xdr:row>
                <xdr:rowOff>171450</xdr:rowOff>
              </to>
            </anchor>
          </objectPr>
        </oleObject>
      </mc:Choice>
      <mc:Fallback>
        <oleObject progId="Equation.DSMT4" shapeId="1235973" r:id="rId11"/>
      </mc:Fallback>
    </mc:AlternateContent>
    <mc:AlternateContent xmlns:mc="http://schemas.openxmlformats.org/markup-compatibility/2006">
      <mc:Choice Requires="x14">
        <oleObject progId="Equation.DSMT4" shapeId="1235974" r:id="rId13">
          <objectPr defaultSize="0" autoPict="0" altText="" r:id="rId14">
            <anchor moveWithCells="1">
              <from>
                <xdr:col>5</xdr:col>
                <xdr:colOff>142875</xdr:colOff>
                <xdr:row>57</xdr:row>
                <xdr:rowOff>200025</xdr:rowOff>
              </from>
              <to>
                <xdr:col>6</xdr:col>
                <xdr:colOff>295275</xdr:colOff>
                <xdr:row>59</xdr:row>
                <xdr:rowOff>95250</xdr:rowOff>
              </to>
            </anchor>
          </objectPr>
        </oleObject>
      </mc:Choice>
      <mc:Fallback>
        <oleObject progId="Equation.DSMT4" shapeId="1235974" r:id="rId13"/>
      </mc:Fallback>
    </mc:AlternateContent>
    <mc:AlternateContent xmlns:mc="http://schemas.openxmlformats.org/markup-compatibility/2006">
      <mc:Choice Requires="x14">
        <oleObject progId="Equation.DSMT4" shapeId="1235975" r:id="rId15">
          <objectPr defaultSize="0" autoPict="0" altText="" r:id="rId16">
            <anchor moveWithCells="1">
              <from>
                <xdr:col>0</xdr:col>
                <xdr:colOff>85725</xdr:colOff>
                <xdr:row>66</xdr:row>
                <xdr:rowOff>19050</xdr:rowOff>
              </from>
              <to>
                <xdr:col>3</xdr:col>
                <xdr:colOff>552450</xdr:colOff>
                <xdr:row>66</xdr:row>
                <xdr:rowOff>390525</xdr:rowOff>
              </to>
            </anchor>
          </objectPr>
        </oleObject>
      </mc:Choice>
      <mc:Fallback>
        <oleObject progId="Equation.DSMT4" shapeId="1235975" r:id="rId15"/>
      </mc:Fallback>
    </mc:AlternateContent>
  </oleObjects>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71"/>
  <sheetViews>
    <sheetView workbookViewId="0">
      <selection activeCell="K3" sqref="K3"/>
    </sheetView>
  </sheetViews>
  <sheetFormatPr defaultColWidth="9" defaultRowHeight="16.5"/>
  <cols>
    <col min="3" max="3" width="11.25" customWidth="1"/>
    <col min="5" max="5" width="15.875"/>
  </cols>
  <sheetData>
    <row r="1" spans="1:15" ht="40.9" customHeight="1">
      <c r="A1" s="3362" t="s">
        <v>11760</v>
      </c>
      <c r="B1" s="3362"/>
      <c r="C1" s="3362"/>
      <c r="D1" s="3362"/>
      <c r="E1" s="3362"/>
      <c r="F1" s="3362"/>
      <c r="G1" s="3362"/>
      <c r="H1" s="3362"/>
      <c r="I1" s="3362"/>
      <c r="J1" s="3362"/>
      <c r="K1" s="3362"/>
      <c r="L1" s="3362"/>
    </row>
    <row r="2" spans="1:15" ht="9" customHeight="1">
      <c r="A2" s="134"/>
    </row>
    <row r="3" spans="1:15" ht="25.9" customHeight="1">
      <c r="A3" s="3362" t="s">
        <v>11761</v>
      </c>
      <c r="B3" s="135" t="s">
        <v>11762</v>
      </c>
      <c r="C3" s="135"/>
      <c r="D3" s="136" t="s">
        <v>11763</v>
      </c>
      <c r="E3" s="137">
        <v>0</v>
      </c>
      <c r="F3" s="138" t="s">
        <v>6081</v>
      </c>
      <c r="G3" s="3362" t="s">
        <v>9205</v>
      </c>
      <c r="H3" s="43"/>
      <c r="I3" s="163" t="s">
        <v>11764</v>
      </c>
      <c r="J3" s="164">
        <v>9.8000000000000007</v>
      </c>
      <c r="K3" t="s">
        <v>6127</v>
      </c>
      <c r="L3" s="3162" t="s">
        <v>12704</v>
      </c>
    </row>
    <row r="4" spans="1:15" ht="18" customHeight="1">
      <c r="A4" s="3362"/>
      <c r="B4" s="135" t="s">
        <v>11765</v>
      </c>
      <c r="C4" s="135"/>
      <c r="D4" s="136" t="s">
        <v>11766</v>
      </c>
      <c r="E4" s="137">
        <v>0.05</v>
      </c>
      <c r="F4" s="138"/>
      <c r="G4" s="3362"/>
      <c r="H4" s="43"/>
      <c r="I4" s="163" t="s">
        <v>11767</v>
      </c>
      <c r="J4" s="164">
        <v>3.1415999999999999</v>
      </c>
    </row>
    <row r="5" spans="1:15">
      <c r="A5" s="3362"/>
      <c r="B5" s="3362" t="s">
        <v>11768</v>
      </c>
      <c r="C5" s="3362"/>
      <c r="D5" s="136" t="s">
        <v>10119</v>
      </c>
      <c r="E5" s="137">
        <v>0.05</v>
      </c>
      <c r="F5" s="138" t="s">
        <v>6088</v>
      </c>
      <c r="G5" s="3362"/>
      <c r="H5" s="3362"/>
      <c r="I5" s="3362"/>
    </row>
    <row r="6" spans="1:15" ht="18.75">
      <c r="A6" s="3362"/>
      <c r="B6" s="3362" t="s">
        <v>11769</v>
      </c>
      <c r="C6" s="3362"/>
      <c r="D6" s="136" t="s">
        <v>11770</v>
      </c>
      <c r="E6" s="137">
        <v>1E-3</v>
      </c>
      <c r="F6" s="138" t="s">
        <v>6081</v>
      </c>
      <c r="G6" s="3362"/>
      <c r="H6" s="66"/>
      <c r="I6" s="66"/>
    </row>
    <row r="7" spans="1:15" ht="19.149999999999999" customHeight="1">
      <c r="A7" s="3362"/>
      <c r="B7" s="135" t="s">
        <v>11771</v>
      </c>
      <c r="C7" s="135"/>
      <c r="D7" s="136" t="s">
        <v>11772</v>
      </c>
      <c r="E7" s="137">
        <v>1</v>
      </c>
      <c r="F7" s="135"/>
      <c r="G7" s="3362"/>
    </row>
    <row r="8" spans="1:15">
      <c r="A8" s="3362"/>
      <c r="B8" s="135" t="s">
        <v>11773</v>
      </c>
      <c r="C8" s="135"/>
      <c r="D8" s="136" t="s">
        <v>11774</v>
      </c>
      <c r="E8" s="139">
        <v>1</v>
      </c>
      <c r="F8" s="135"/>
      <c r="G8" s="3362"/>
    </row>
    <row r="9" spans="1:15">
      <c r="A9" s="3362"/>
      <c r="B9" s="135" t="s">
        <v>2004</v>
      </c>
      <c r="C9" s="135"/>
      <c r="D9" s="136" t="s">
        <v>6102</v>
      </c>
      <c r="E9" s="137">
        <v>5</v>
      </c>
      <c r="F9" s="138"/>
      <c r="G9" s="3362"/>
    </row>
    <row r="10" spans="1:15" ht="18.75">
      <c r="A10" s="3362"/>
      <c r="B10" s="135" t="s">
        <v>11775</v>
      </c>
      <c r="C10" s="135"/>
      <c r="D10" s="140" t="s">
        <v>6084</v>
      </c>
      <c r="E10" s="141">
        <v>20</v>
      </c>
      <c r="F10" s="135" t="s">
        <v>6085</v>
      </c>
      <c r="G10" s="3362"/>
      <c r="M10" s="3362"/>
      <c r="N10" s="3362"/>
      <c r="O10" s="3362"/>
    </row>
    <row r="11" spans="1:15" ht="18.75">
      <c r="A11" s="3362"/>
      <c r="B11" s="135" t="s">
        <v>11776</v>
      </c>
      <c r="C11" s="135"/>
      <c r="D11" s="140" t="s">
        <v>6073</v>
      </c>
      <c r="E11" s="141">
        <v>1</v>
      </c>
      <c r="F11" s="138" t="s">
        <v>6088</v>
      </c>
      <c r="G11" s="3362"/>
      <c r="M11" s="3362"/>
      <c r="N11" s="3362"/>
      <c r="O11" s="3362"/>
    </row>
    <row r="12" spans="1:15" ht="18.75">
      <c r="A12" s="3362"/>
      <c r="B12" s="135" t="s">
        <v>11777</v>
      </c>
      <c r="C12" s="135"/>
      <c r="D12" s="140" t="s">
        <v>11778</v>
      </c>
      <c r="E12" s="142">
        <v>1.4999999999999999E-2</v>
      </c>
      <c r="F12" s="135"/>
      <c r="G12" s="3362"/>
      <c r="M12" s="3362"/>
      <c r="N12" s="3362"/>
      <c r="O12" s="3362"/>
    </row>
    <row r="13" spans="1:15" ht="20.25">
      <c r="A13" s="3362"/>
      <c r="B13" s="135" t="s">
        <v>6427</v>
      </c>
      <c r="C13" s="135"/>
      <c r="D13" s="140" t="s">
        <v>11779</v>
      </c>
      <c r="E13" s="141">
        <v>0</v>
      </c>
      <c r="F13" s="135" t="s">
        <v>6109</v>
      </c>
      <c r="G13" s="3362"/>
      <c r="M13" s="3362"/>
      <c r="N13" s="3362"/>
      <c r="O13" s="3362"/>
    </row>
    <row r="14" spans="1:15" ht="18.75">
      <c r="A14" s="3362"/>
      <c r="B14" s="135" t="s">
        <v>11780</v>
      </c>
      <c r="C14" s="135"/>
      <c r="D14" s="140" t="s">
        <v>11781</v>
      </c>
      <c r="E14" s="143">
        <v>0</v>
      </c>
      <c r="F14" s="135" t="s">
        <v>9550</v>
      </c>
      <c r="G14" s="3362"/>
      <c r="M14" s="3362"/>
      <c r="N14" s="3362"/>
      <c r="O14" s="3362"/>
    </row>
    <row r="15" spans="1:15" ht="18.75">
      <c r="B15" s="52"/>
      <c r="C15" s="52"/>
      <c r="D15" s="53"/>
      <c r="E15" s="54"/>
      <c r="F15" s="52"/>
      <c r="M15" s="3362"/>
      <c r="N15" s="3362"/>
      <c r="O15" s="3362"/>
    </row>
    <row r="16" spans="1:15">
      <c r="A16" s="3362" t="s">
        <v>11782</v>
      </c>
      <c r="B16" s="144"/>
      <c r="C16" s="144"/>
      <c r="D16" s="144"/>
      <c r="E16" s="144"/>
      <c r="F16" s="145"/>
      <c r="G16" s="145"/>
      <c r="H16" s="145"/>
      <c r="I16" s="145"/>
      <c r="J16" s="145"/>
      <c r="K16" s="158"/>
      <c r="M16" s="3362"/>
      <c r="N16" s="3362"/>
      <c r="O16" s="3362"/>
    </row>
    <row r="17" spans="1:15">
      <c r="A17" s="3362"/>
      <c r="B17" s="3362" t="s">
        <v>6120</v>
      </c>
      <c r="C17" s="3362"/>
      <c r="D17" s="57" t="s">
        <v>11783</v>
      </c>
      <c r="E17" s="73" t="s">
        <v>11784</v>
      </c>
      <c r="F17" s="65"/>
      <c r="G17" t="s">
        <v>272</v>
      </c>
      <c r="K17" s="159"/>
      <c r="M17" s="3362"/>
      <c r="N17" s="3362"/>
      <c r="O17" s="3362"/>
    </row>
    <row r="18" spans="1:15">
      <c r="A18" s="3362"/>
      <c r="B18" s="146"/>
      <c r="C18" s="146"/>
      <c r="D18" s="147" t="s">
        <v>5934</v>
      </c>
      <c r="E18" s="148">
        <f>E10*E12</f>
        <v>0.3</v>
      </c>
      <c r="F18" s="149" t="s">
        <v>6085</v>
      </c>
      <c r="G18" s="149"/>
      <c r="H18" s="149"/>
      <c r="I18" s="149"/>
      <c r="J18" s="149"/>
      <c r="K18" s="160"/>
      <c r="M18" s="3362"/>
      <c r="N18" s="3362"/>
      <c r="O18" s="3362"/>
    </row>
    <row r="19" spans="1:15">
      <c r="A19" s="150"/>
      <c r="B19" s="56"/>
      <c r="C19" s="56"/>
      <c r="D19" s="56"/>
      <c r="E19" s="56"/>
      <c r="M19" s="3362"/>
      <c r="N19" s="3362"/>
      <c r="O19" s="3362"/>
    </row>
    <row r="20" spans="1:15" ht="18.75">
      <c r="A20" s="3362" t="s">
        <v>11785</v>
      </c>
      <c r="B20" s="56" t="s">
        <v>11786</v>
      </c>
      <c r="C20" s="56"/>
      <c r="D20" s="57" t="s">
        <v>11787</v>
      </c>
      <c r="E20" s="151">
        <f>2*(E11/E5)/(E18*(E10-E18))</f>
        <v>6.7681895093062598</v>
      </c>
      <c r="F20" t="s">
        <v>11788</v>
      </c>
      <c r="H20" s="75"/>
      <c r="I20" s="157"/>
      <c r="J20" s="157"/>
      <c r="K20" s="165"/>
      <c r="M20" s="3362"/>
      <c r="N20" s="3362"/>
      <c r="O20" s="3362"/>
    </row>
    <row r="21" spans="1:15">
      <c r="A21" s="3362"/>
      <c r="B21" s="56"/>
      <c r="C21" s="56"/>
      <c r="D21" s="57"/>
      <c r="E21" s="58"/>
      <c r="F21" s="65"/>
      <c r="K21" s="159"/>
      <c r="M21" s="3362"/>
      <c r="N21" s="3362"/>
      <c r="O21" s="3362"/>
    </row>
    <row r="22" spans="1:15">
      <c r="A22" s="3362"/>
      <c r="B22" s="56" t="s">
        <v>11789</v>
      </c>
      <c r="C22" s="56"/>
      <c r="D22" s="57" t="s">
        <v>11790</v>
      </c>
      <c r="E22" s="152">
        <f>(E20*E18/(2*J4))*60</f>
        <v>19.3893893505718</v>
      </c>
      <c r="F22" t="s">
        <v>2016</v>
      </c>
      <c r="K22" s="159"/>
    </row>
    <row r="23" spans="1:15">
      <c r="A23" s="3362"/>
      <c r="C23" s="3362"/>
      <c r="D23" s="3362"/>
      <c r="K23" s="159"/>
    </row>
    <row r="24" spans="1:15" ht="18.75">
      <c r="A24" s="3362"/>
      <c r="B24" t="s">
        <v>11791</v>
      </c>
      <c r="D24" s="62" t="s">
        <v>11792</v>
      </c>
      <c r="E24" t="s">
        <v>11793</v>
      </c>
      <c r="K24" s="159"/>
    </row>
    <row r="25" spans="1:15" ht="18">
      <c r="A25" s="3362"/>
      <c r="D25" s="62" t="s">
        <v>5934</v>
      </c>
      <c r="E25" s="153">
        <f>E9*E20</f>
        <v>33.840947546531297</v>
      </c>
      <c r="F25" t="s">
        <v>11788</v>
      </c>
      <c r="K25" s="159"/>
    </row>
    <row r="26" spans="1:15">
      <c r="A26" s="3362"/>
      <c r="K26" s="159"/>
    </row>
    <row r="27" spans="1:15" ht="18.75">
      <c r="A27" s="3362"/>
      <c r="B27" t="s">
        <v>11794</v>
      </c>
      <c r="D27" s="62" t="s">
        <v>11795</v>
      </c>
      <c r="E27" t="s">
        <v>11796</v>
      </c>
      <c r="K27" s="159"/>
    </row>
    <row r="28" spans="1:15">
      <c r="A28" s="3362"/>
      <c r="B28" s="149"/>
      <c r="C28" s="149"/>
      <c r="D28" s="154" t="s">
        <v>5934</v>
      </c>
      <c r="E28" s="155">
        <f>E22*E9</f>
        <v>96.946946752859006</v>
      </c>
      <c r="F28" s="149" t="s">
        <v>2016</v>
      </c>
      <c r="G28" s="149"/>
      <c r="H28" s="149"/>
      <c r="I28" s="149"/>
      <c r="J28" s="149"/>
      <c r="K28" s="160"/>
    </row>
    <row r="30" spans="1:15">
      <c r="A30" s="134"/>
    </row>
    <row r="31" spans="1:15">
      <c r="A31" s="134"/>
    </row>
    <row r="32" spans="1:15" ht="25.15" customHeight="1">
      <c r="A32" s="3362" t="s">
        <v>11797</v>
      </c>
      <c r="B32" s="145" t="s">
        <v>11798</v>
      </c>
      <c r="C32" s="145"/>
      <c r="D32" s="156" t="s">
        <v>6115</v>
      </c>
      <c r="E32" s="145"/>
      <c r="F32" s="145"/>
      <c r="G32" s="145"/>
      <c r="H32" s="145"/>
      <c r="I32" s="145"/>
      <c r="J32" s="145"/>
      <c r="K32" s="158"/>
    </row>
    <row r="33" spans="1:11">
      <c r="A33" s="3362"/>
      <c r="D33" s="62" t="s">
        <v>5934</v>
      </c>
      <c r="E33" s="153">
        <f>E13+E3*J3*(SIN((E14/360)*2*J4)+E4*COS((E14/360)*2*J4))</f>
        <v>0</v>
      </c>
      <c r="F33" t="s">
        <v>6109</v>
      </c>
      <c r="K33" s="159"/>
    </row>
    <row r="34" spans="1:11">
      <c r="A34" s="3362"/>
      <c r="D34" s="62"/>
      <c r="K34" s="159"/>
    </row>
    <row r="35" spans="1:11" ht="18.75">
      <c r="A35" s="3362"/>
      <c r="B35" t="s">
        <v>11799</v>
      </c>
      <c r="D35" s="62" t="s">
        <v>11800</v>
      </c>
      <c r="K35" s="159"/>
    </row>
    <row r="36" spans="1:11">
      <c r="A36" s="3362"/>
      <c r="K36" s="159"/>
    </row>
    <row r="37" spans="1:11">
      <c r="A37" s="3362"/>
      <c r="D37" s="62" t="s">
        <v>5934</v>
      </c>
      <c r="E37" s="153">
        <f>(E33*E5)/(2*E7)</f>
        <v>0</v>
      </c>
      <c r="F37" t="s">
        <v>11801</v>
      </c>
      <c r="K37" s="159"/>
    </row>
    <row r="38" spans="1:11">
      <c r="A38" s="3362"/>
      <c r="K38" s="159"/>
    </row>
    <row r="39" spans="1:11" ht="18.75">
      <c r="A39" s="3362"/>
      <c r="B39" t="s">
        <v>11802</v>
      </c>
      <c r="D39" s="62" t="s">
        <v>11803</v>
      </c>
      <c r="K39" s="159"/>
    </row>
    <row r="40" spans="1:11" ht="18" customHeight="1">
      <c r="A40" s="3362"/>
      <c r="K40" s="159"/>
    </row>
    <row r="41" spans="1:11">
      <c r="A41" s="3362"/>
      <c r="B41" s="149"/>
      <c r="C41" s="149"/>
      <c r="D41" s="154" t="s">
        <v>5934</v>
      </c>
      <c r="E41" s="155">
        <f>E37/(E9*E8)</f>
        <v>0</v>
      </c>
      <c r="F41" s="149" t="s">
        <v>11801</v>
      </c>
      <c r="G41" s="149"/>
      <c r="H41" s="149"/>
      <c r="I41" s="149"/>
      <c r="J41" s="149"/>
      <c r="K41" s="160"/>
    </row>
    <row r="43" spans="1:11">
      <c r="A43" s="3362" t="s">
        <v>11804</v>
      </c>
      <c r="B43" s="157"/>
      <c r="C43" s="157"/>
      <c r="D43" s="157"/>
      <c r="E43" s="157"/>
      <c r="F43" s="157"/>
      <c r="G43" s="157"/>
      <c r="H43" s="157"/>
      <c r="I43" s="157"/>
      <c r="J43" s="157"/>
      <c r="K43" s="165"/>
    </row>
    <row r="44" spans="1:11" ht="18.75">
      <c r="A44" s="3362"/>
      <c r="B44" s="3362" t="s">
        <v>11805</v>
      </c>
      <c r="C44" s="3362"/>
      <c r="D44" s="156" t="s">
        <v>11806</v>
      </c>
      <c r="E44" s="145"/>
      <c r="F44" s="158"/>
      <c r="K44" s="159"/>
    </row>
    <row r="45" spans="1:11">
      <c r="A45" s="3362"/>
      <c r="B45" s="3362"/>
      <c r="C45" s="3362"/>
      <c r="F45" s="159"/>
      <c r="K45" s="159"/>
    </row>
    <row r="46" spans="1:11">
      <c r="A46" s="3362"/>
      <c r="B46" s="3362"/>
      <c r="C46" s="3362"/>
      <c r="F46" s="159"/>
      <c r="K46" s="159"/>
    </row>
    <row r="47" spans="1:11">
      <c r="A47" s="3362"/>
      <c r="B47" s="3362"/>
      <c r="C47" s="3362"/>
      <c r="D47" s="62" t="s">
        <v>5934</v>
      </c>
      <c r="F47" s="159"/>
      <c r="K47" s="159"/>
    </row>
    <row r="48" spans="1:11">
      <c r="A48" s="3362"/>
      <c r="B48" s="3362"/>
      <c r="C48" s="3362"/>
      <c r="F48" s="159"/>
      <c r="K48" s="159"/>
    </row>
    <row r="49" spans="1:11" ht="18">
      <c r="A49" s="3362"/>
      <c r="B49" s="3362"/>
      <c r="C49" s="3362"/>
      <c r="D49" s="154" t="s">
        <v>5934</v>
      </c>
      <c r="E49" s="155">
        <f>E3*(E5/2)^2</f>
        <v>0</v>
      </c>
      <c r="F49" s="160" t="s">
        <v>11807</v>
      </c>
      <c r="K49" s="159"/>
    </row>
    <row r="50" spans="1:11">
      <c r="A50" s="3362"/>
      <c r="K50" s="159"/>
    </row>
    <row r="51" spans="1:11" ht="18.75">
      <c r="A51" s="3362"/>
      <c r="B51" s="3362" t="s">
        <v>11808</v>
      </c>
      <c r="C51" s="3362"/>
      <c r="D51" s="156" t="s">
        <v>11809</v>
      </c>
      <c r="E51" s="145"/>
      <c r="F51" s="158"/>
      <c r="K51" s="159"/>
    </row>
    <row r="52" spans="1:11" ht="18" customHeight="1">
      <c r="A52" s="3362"/>
      <c r="B52" s="3362"/>
      <c r="C52" s="3362"/>
      <c r="F52" s="159"/>
      <c r="K52" s="159"/>
    </row>
    <row r="53" spans="1:11" ht="18">
      <c r="A53" s="3362"/>
      <c r="B53" s="3362"/>
      <c r="C53" s="3362"/>
      <c r="D53" s="154" t="s">
        <v>5934</v>
      </c>
      <c r="E53" s="155">
        <f>(E6*E5^2)/8</f>
        <v>3.1250000000000003E-7</v>
      </c>
      <c r="F53" s="160" t="s">
        <v>11807</v>
      </c>
      <c r="I53" s="65"/>
      <c r="J53" s="84"/>
      <c r="K53" s="159"/>
    </row>
    <row r="54" spans="1:11">
      <c r="A54" s="3362"/>
      <c r="J54" s="84"/>
      <c r="K54" s="159"/>
    </row>
    <row r="55" spans="1:11" ht="18.75">
      <c r="A55" s="3362"/>
      <c r="B55" s="3362" t="s">
        <v>11810</v>
      </c>
      <c r="C55" s="3362"/>
      <c r="D55" s="3362"/>
      <c r="E55" s="62" t="s">
        <v>11811</v>
      </c>
      <c r="K55" s="159"/>
    </row>
    <row r="56" spans="1:11" ht="19.5">
      <c r="A56" s="3362"/>
      <c r="D56" s="62" t="s">
        <v>5934</v>
      </c>
      <c r="E56" s="153">
        <f>E49+2*E53</f>
        <v>6.2500000000000005E-7</v>
      </c>
      <c r="F56" t="s">
        <v>11807</v>
      </c>
      <c r="H56" t="s">
        <v>11812</v>
      </c>
      <c r="I56" s="65" t="s">
        <v>11813</v>
      </c>
      <c r="J56" s="153">
        <v>4.7499999999999999E-3</v>
      </c>
      <c r="K56" s="159" t="s">
        <v>11807</v>
      </c>
    </row>
    <row r="57" spans="1:11">
      <c r="A57" s="3362"/>
      <c r="K57" s="159"/>
    </row>
    <row r="58" spans="1:11">
      <c r="A58" s="3362"/>
      <c r="B58" t="s">
        <v>11814</v>
      </c>
      <c r="D58" s="62" t="s">
        <v>11815</v>
      </c>
      <c r="K58" s="159"/>
    </row>
    <row r="59" spans="1:11">
      <c r="A59" s="3362"/>
      <c r="K59" s="159"/>
    </row>
    <row r="60" spans="1:11" ht="18">
      <c r="A60" s="3362"/>
      <c r="D60" s="62" t="s">
        <v>5934</v>
      </c>
      <c r="E60" s="153">
        <f>E56/(E9^2)+J56</f>
        <v>4.7500249999999997E-3</v>
      </c>
      <c r="F60" t="s">
        <v>11807</v>
      </c>
      <c r="K60" s="159"/>
    </row>
    <row r="61" spans="1:11" ht="33.75" customHeight="1">
      <c r="A61" s="3362"/>
      <c r="B61" t="s">
        <v>11816</v>
      </c>
      <c r="D61" s="161" t="s">
        <v>11817</v>
      </c>
      <c r="K61" s="159"/>
    </row>
    <row r="62" spans="1:11">
      <c r="A62" s="3362"/>
      <c r="B62" s="149"/>
      <c r="C62" s="149"/>
      <c r="D62" s="154" t="s">
        <v>5934</v>
      </c>
      <c r="E62" s="155">
        <f>E60*E25/E8</f>
        <v>0.16074534686971201</v>
      </c>
      <c r="F62" s="149" t="s">
        <v>11801</v>
      </c>
      <c r="G62" s="149"/>
      <c r="H62" s="149"/>
      <c r="I62" s="149"/>
      <c r="J62" s="149"/>
      <c r="K62" s="160"/>
    </row>
    <row r="63" spans="1:11">
      <c r="A63" s="162"/>
      <c r="D63" s="62"/>
      <c r="E63" s="52"/>
    </row>
    <row r="64" spans="1:11">
      <c r="A64" s="3362" t="s">
        <v>11818</v>
      </c>
      <c r="B64" s="157"/>
      <c r="C64" s="157"/>
      <c r="D64" s="157"/>
      <c r="E64" s="157"/>
      <c r="F64" s="157"/>
      <c r="G64" s="157"/>
      <c r="H64" s="157"/>
      <c r="I64" s="157"/>
      <c r="J64" s="157"/>
      <c r="K64" s="165"/>
    </row>
    <row r="65" spans="1:11" ht="21.75">
      <c r="A65" s="3362"/>
      <c r="B65" t="s">
        <v>11819</v>
      </c>
      <c r="D65" s="166" t="s">
        <v>11820</v>
      </c>
      <c r="E65" s="167" t="s">
        <v>11821</v>
      </c>
      <c r="H65" t="s">
        <v>2056</v>
      </c>
      <c r="I65" s="65" t="s">
        <v>10131</v>
      </c>
      <c r="J65" s="45">
        <v>5</v>
      </c>
      <c r="K65" s="159"/>
    </row>
    <row r="66" spans="1:11">
      <c r="A66" s="3362"/>
      <c r="B66" s="149"/>
      <c r="C66" s="149"/>
      <c r="D66" s="154" t="s">
        <v>5934</v>
      </c>
      <c r="E66" s="155">
        <f>(E41+E62)*J65</f>
        <v>0.80372673434856201</v>
      </c>
      <c r="F66" s="149" t="s">
        <v>11801</v>
      </c>
      <c r="G66" s="149"/>
      <c r="H66" s="149"/>
      <c r="I66" s="149"/>
      <c r="J66" s="149"/>
      <c r="K66" s="160"/>
    </row>
    <row r="68" spans="1:11">
      <c r="A68" s="3362" t="s">
        <v>11822</v>
      </c>
      <c r="B68" s="157"/>
      <c r="C68" s="157"/>
      <c r="D68" s="157"/>
      <c r="E68" s="157"/>
      <c r="F68" s="157"/>
      <c r="G68" s="157"/>
      <c r="H68" s="157"/>
      <c r="I68" s="157"/>
      <c r="J68" s="157"/>
      <c r="K68" s="165"/>
    </row>
    <row r="69" spans="1:11">
      <c r="A69" s="3362"/>
      <c r="B69" t="s">
        <v>6447</v>
      </c>
      <c r="D69" s="62" t="s">
        <v>11823</v>
      </c>
      <c r="K69" s="159"/>
    </row>
    <row r="70" spans="1:11">
      <c r="A70" s="3362"/>
      <c r="K70" s="159"/>
    </row>
    <row r="71" spans="1:11">
      <c r="A71" s="3362"/>
      <c r="B71" s="149"/>
      <c r="C71" s="149"/>
      <c r="D71" s="154" t="s">
        <v>5934</v>
      </c>
      <c r="E71" s="155">
        <f>(E56/(E9^2))/J56</f>
        <v>5.2631578947368397E-6</v>
      </c>
      <c r="F71" s="149"/>
      <c r="G71" s="149"/>
      <c r="H71" s="149"/>
      <c r="I71" s="149"/>
      <c r="J71" s="149"/>
      <c r="K71" s="160"/>
    </row>
  </sheetData>
  <mergeCells count="18">
    <mergeCell ref="A64:A66"/>
    <mergeCell ref="A68:A71"/>
    <mergeCell ref="G3:G14"/>
    <mergeCell ref="M10:O21"/>
    <mergeCell ref="B44:C49"/>
    <mergeCell ref="B51:C53"/>
    <mergeCell ref="C23:D23"/>
    <mergeCell ref="B55:D55"/>
    <mergeCell ref="A3:A14"/>
    <mergeCell ref="A16:A18"/>
    <mergeCell ref="A20:A28"/>
    <mergeCell ref="A32:A41"/>
    <mergeCell ref="A43:A62"/>
    <mergeCell ref="A1:L1"/>
    <mergeCell ref="B5:C5"/>
    <mergeCell ref="H5:I5"/>
    <mergeCell ref="B6:C6"/>
    <mergeCell ref="B17:C17"/>
  </mergeCells>
  <phoneticPr fontId="378" type="noConversion"/>
  <hyperlinks>
    <hyperlink ref="L3" location="总目录!A1" display="返回目录"/>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236993" r:id="rId3">
          <objectPr defaultSize="0" altText="" r:id="rId4">
            <anchor moveWithCells="1">
              <from>
                <xdr:col>4</xdr:col>
                <xdr:colOff>133350</xdr:colOff>
                <xdr:row>31</xdr:row>
                <xdr:rowOff>66675</xdr:rowOff>
              </from>
              <to>
                <xdr:col>6</xdr:col>
                <xdr:colOff>200025</xdr:colOff>
                <xdr:row>31</xdr:row>
                <xdr:rowOff>276225</xdr:rowOff>
              </to>
            </anchor>
          </objectPr>
        </oleObject>
      </mc:Choice>
      <mc:Fallback>
        <oleObject progId="Equation.DSMT4" shapeId="1236993" r:id="rId3"/>
      </mc:Fallback>
    </mc:AlternateContent>
    <mc:AlternateContent xmlns:mc="http://schemas.openxmlformats.org/markup-compatibility/2006">
      <mc:Choice Requires="x14">
        <oleObject progId="Equation.DSMT4" shapeId="1236994" r:id="rId5">
          <objectPr defaultSize="0" altText="" r:id="rId6">
            <anchor moveWithCells="1">
              <from>
                <xdr:col>4</xdr:col>
                <xdr:colOff>0</xdr:colOff>
                <xdr:row>34</xdr:row>
                <xdr:rowOff>0</xdr:rowOff>
              </from>
              <to>
                <xdr:col>4</xdr:col>
                <xdr:colOff>400050</xdr:colOff>
                <xdr:row>35</xdr:row>
                <xdr:rowOff>133350</xdr:rowOff>
              </to>
            </anchor>
          </objectPr>
        </oleObject>
      </mc:Choice>
      <mc:Fallback>
        <oleObject progId="Equation.DSMT4" shapeId="1236994" r:id="rId5"/>
      </mc:Fallback>
    </mc:AlternateContent>
    <mc:AlternateContent xmlns:mc="http://schemas.openxmlformats.org/markup-compatibility/2006">
      <mc:Choice Requires="x14">
        <oleObject progId="Equation.DSMT4" shapeId="1236995" r:id="rId7">
          <objectPr defaultSize="0" altText="" r:id="rId8">
            <anchor moveWithCells="1">
              <from>
                <xdr:col>4</xdr:col>
                <xdr:colOff>85725</xdr:colOff>
                <xdr:row>43</xdr:row>
                <xdr:rowOff>28575</xdr:rowOff>
              </from>
              <to>
                <xdr:col>4</xdr:col>
                <xdr:colOff>1104900</xdr:colOff>
                <xdr:row>47</xdr:row>
                <xdr:rowOff>171450</xdr:rowOff>
              </to>
            </anchor>
          </objectPr>
        </oleObject>
      </mc:Choice>
      <mc:Fallback>
        <oleObject progId="Equation.DSMT4" shapeId="1236995" r:id="rId7"/>
      </mc:Fallback>
    </mc:AlternateContent>
    <mc:AlternateContent xmlns:mc="http://schemas.openxmlformats.org/markup-compatibility/2006">
      <mc:Choice Requires="x14">
        <oleObject progId="Equation.DSMT4" shapeId="1236996" r:id="rId9">
          <objectPr defaultSize="0" altText="" r:id="rId10">
            <anchor moveWithCells="1">
              <from>
                <xdr:col>4</xdr:col>
                <xdr:colOff>85725</xdr:colOff>
                <xdr:row>50</xdr:row>
                <xdr:rowOff>28575</xdr:rowOff>
              </from>
              <to>
                <xdr:col>4</xdr:col>
                <xdr:colOff>971550</xdr:colOff>
                <xdr:row>51</xdr:row>
                <xdr:rowOff>200025</xdr:rowOff>
              </to>
            </anchor>
          </objectPr>
        </oleObject>
      </mc:Choice>
      <mc:Fallback>
        <oleObject progId="Equation.DSMT4" shapeId="1236996" r:id="rId9"/>
      </mc:Fallback>
    </mc:AlternateContent>
    <mc:AlternateContent xmlns:mc="http://schemas.openxmlformats.org/markup-compatibility/2006">
      <mc:Choice Requires="x14">
        <oleObject progId="Equation.DSMT4" shapeId="1236997" r:id="rId11">
          <objectPr defaultSize="0" altText="" r:id="rId12">
            <anchor moveWithCells="1">
              <from>
                <xdr:col>4</xdr:col>
                <xdr:colOff>28575</xdr:colOff>
                <xdr:row>37</xdr:row>
                <xdr:rowOff>123825</xdr:rowOff>
              </from>
              <to>
                <xdr:col>4</xdr:col>
                <xdr:colOff>495300</xdr:colOff>
                <xdr:row>39</xdr:row>
                <xdr:rowOff>180975</xdr:rowOff>
              </to>
            </anchor>
          </objectPr>
        </oleObject>
      </mc:Choice>
      <mc:Fallback>
        <oleObject progId="Equation.DSMT4" shapeId="1236997" r:id="rId11"/>
      </mc:Fallback>
    </mc:AlternateContent>
    <mc:AlternateContent xmlns:mc="http://schemas.openxmlformats.org/markup-compatibility/2006">
      <mc:Choice Requires="x14">
        <oleObject progId="Equation.DSMT4" shapeId="1236998" r:id="rId13">
          <objectPr defaultSize="0" altText="" r:id="rId14">
            <anchor moveWithCells="1">
              <from>
                <xdr:col>4</xdr:col>
                <xdr:colOff>28575</xdr:colOff>
                <xdr:row>56</xdr:row>
                <xdr:rowOff>133350</xdr:rowOff>
              </from>
              <to>
                <xdr:col>4</xdr:col>
                <xdr:colOff>752475</xdr:colOff>
                <xdr:row>58</xdr:row>
                <xdr:rowOff>66675</xdr:rowOff>
              </to>
            </anchor>
          </objectPr>
        </oleObject>
      </mc:Choice>
      <mc:Fallback>
        <oleObject progId="Equation.DSMT4" shapeId="1236998" r:id="rId13"/>
      </mc:Fallback>
    </mc:AlternateContent>
    <mc:AlternateContent xmlns:mc="http://schemas.openxmlformats.org/markup-compatibility/2006">
      <mc:Choice Requires="x14">
        <oleObject progId="Equation.DSMT4" shapeId="1236999" r:id="rId15">
          <objectPr defaultSize="0" altText="" r:id="rId16">
            <anchor moveWithCells="1">
              <from>
                <xdr:col>4</xdr:col>
                <xdr:colOff>0</xdr:colOff>
                <xdr:row>67</xdr:row>
                <xdr:rowOff>142875</xdr:rowOff>
              </from>
              <to>
                <xdr:col>4</xdr:col>
                <xdr:colOff>695325</xdr:colOff>
                <xdr:row>69</xdr:row>
                <xdr:rowOff>95250</xdr:rowOff>
              </to>
            </anchor>
          </objectPr>
        </oleObject>
      </mc:Choice>
      <mc:Fallback>
        <oleObject progId="Equation.DSMT4" shapeId="1236999" r:id="rId15"/>
      </mc:Fallback>
    </mc:AlternateContent>
    <mc:AlternateContent xmlns:mc="http://schemas.openxmlformats.org/markup-compatibility/2006">
      <mc:Choice Requires="x14">
        <oleObject progId="Equation.DSMT4" shapeId="1237000" r:id="rId17">
          <objectPr defaultSize="0" altText="" r:id="rId18">
            <anchor moveWithCells="1">
              <from>
                <xdr:col>6</xdr:col>
                <xdr:colOff>47625</xdr:colOff>
                <xdr:row>19</xdr:row>
                <xdr:rowOff>133350</xdr:rowOff>
              </from>
              <to>
                <xdr:col>7</xdr:col>
                <xdr:colOff>542925</xdr:colOff>
                <xdr:row>23</xdr:row>
                <xdr:rowOff>133350</xdr:rowOff>
              </to>
            </anchor>
          </objectPr>
        </oleObject>
      </mc:Choice>
      <mc:Fallback>
        <oleObject progId="Equation.DSMT4" shapeId="1237000" r:id="rId17"/>
      </mc:Fallback>
    </mc:AlternateContent>
    <mc:AlternateContent xmlns:mc="http://schemas.openxmlformats.org/markup-compatibility/2006">
      <mc:Choice Requires="x14">
        <oleObject progId="Equation.DSMT4" shapeId="1237001" r:id="rId19">
          <objectPr defaultSize="0" altText="" r:id="rId20">
            <anchor moveWithCells="1">
              <from>
                <xdr:col>4</xdr:col>
                <xdr:colOff>0</xdr:colOff>
                <xdr:row>60</xdr:row>
                <xdr:rowOff>0</xdr:rowOff>
              </from>
              <to>
                <xdr:col>4</xdr:col>
                <xdr:colOff>609600</xdr:colOff>
                <xdr:row>61</xdr:row>
                <xdr:rowOff>0</xdr:rowOff>
              </to>
            </anchor>
          </objectPr>
        </oleObject>
      </mc:Choice>
      <mc:Fallback>
        <oleObject progId="Equation.DSMT4" shapeId="1237001" r:id="rId19"/>
      </mc:Fallback>
    </mc:AlternateContent>
  </oleObjects>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56"/>
  <sheetViews>
    <sheetView topLeftCell="A25" zoomScale="115" zoomScaleNormal="115" workbookViewId="0">
      <selection activeCell="K3" sqref="K3"/>
    </sheetView>
  </sheetViews>
  <sheetFormatPr defaultColWidth="9" defaultRowHeight="16.5"/>
  <cols>
    <col min="1" max="2" width="9" style="82"/>
    <col min="3" max="3" width="11.25" style="82" customWidth="1"/>
    <col min="4" max="4" width="9" style="82"/>
    <col min="5" max="5" width="12.625" style="82"/>
    <col min="6" max="16384" width="9" style="82"/>
  </cols>
  <sheetData>
    <row r="1" spans="1:15">
      <c r="A1" s="3362"/>
      <c r="B1" s="3362"/>
      <c r="C1" s="3362"/>
      <c r="D1" s="3362"/>
      <c r="E1" s="3362"/>
      <c r="F1" s="3362"/>
      <c r="G1" s="3362"/>
      <c r="H1" s="3362"/>
      <c r="I1" s="3362"/>
      <c r="J1" s="3362"/>
      <c r="K1" s="3362"/>
      <c r="L1" s="3362"/>
    </row>
    <row r="2" spans="1:15">
      <c r="A2" s="82" t="s">
        <v>11824</v>
      </c>
      <c r="K2" s="3162" t="s">
        <v>12704</v>
      </c>
    </row>
    <row r="3" spans="1:15">
      <c r="A3" s="82" t="s">
        <v>11825</v>
      </c>
    </row>
    <row r="4" spans="1:15">
      <c r="B4" s="86" t="s">
        <v>11826</v>
      </c>
      <c r="C4" s="86"/>
      <c r="D4" s="87" t="s">
        <v>6131</v>
      </c>
      <c r="E4" s="88">
        <v>0.154</v>
      </c>
      <c r="F4" s="89" t="s">
        <v>2044</v>
      </c>
      <c r="H4" s="76" t="s">
        <v>11827</v>
      </c>
      <c r="I4" s="76"/>
      <c r="J4" s="76"/>
    </row>
    <row r="5" spans="1:15" ht="18.75">
      <c r="B5" s="86" t="s">
        <v>11762</v>
      </c>
      <c r="C5" s="86"/>
      <c r="D5" s="89" t="s">
        <v>11763</v>
      </c>
      <c r="E5" s="88">
        <v>10</v>
      </c>
      <c r="F5" s="89" t="s">
        <v>6081</v>
      </c>
      <c r="G5" s="82" t="s">
        <v>11828</v>
      </c>
      <c r="H5" s="76"/>
      <c r="I5" s="89" t="s">
        <v>11829</v>
      </c>
      <c r="J5" s="122">
        <v>9.8000000000000007</v>
      </c>
      <c r="K5" s="82" t="s">
        <v>6127</v>
      </c>
    </row>
    <row r="6" spans="1:15">
      <c r="B6" s="86" t="s">
        <v>11765</v>
      </c>
      <c r="C6" s="86"/>
      <c r="D6" s="89" t="s">
        <v>11766</v>
      </c>
      <c r="E6" s="88">
        <v>0.3</v>
      </c>
      <c r="F6" s="89"/>
      <c r="G6" s="82" t="s">
        <v>11828</v>
      </c>
      <c r="H6" s="76"/>
      <c r="I6" s="89" t="s">
        <v>11767</v>
      </c>
      <c r="J6" s="122">
        <v>3.1415999999999999</v>
      </c>
    </row>
    <row r="7" spans="1:15">
      <c r="B7" s="3362" t="s">
        <v>11768</v>
      </c>
      <c r="C7" s="3362"/>
      <c r="D7" s="89" t="s">
        <v>10119</v>
      </c>
      <c r="E7" s="88">
        <v>0.02</v>
      </c>
      <c r="F7" s="89" t="s">
        <v>6088</v>
      </c>
      <c r="G7" s="82" t="s">
        <v>11828</v>
      </c>
      <c r="H7" s="3362"/>
      <c r="I7" s="3362"/>
    </row>
    <row r="8" spans="1:15">
      <c r="B8" s="3362" t="s">
        <v>11769</v>
      </c>
      <c r="C8" s="3362"/>
      <c r="D8" s="89" t="s">
        <v>11830</v>
      </c>
      <c r="E8" s="88">
        <v>1</v>
      </c>
      <c r="F8" s="89" t="s">
        <v>6081</v>
      </c>
      <c r="G8" s="82" t="s">
        <v>11828</v>
      </c>
      <c r="H8" s="90" t="s">
        <v>10025</v>
      </c>
      <c r="I8" s="90"/>
    </row>
    <row r="9" spans="1:15">
      <c r="B9" s="86" t="s">
        <v>11771</v>
      </c>
      <c r="C9" s="86"/>
      <c r="D9" s="89" t="s">
        <v>11772</v>
      </c>
      <c r="E9" s="88">
        <v>0.9</v>
      </c>
      <c r="F9" s="86"/>
      <c r="G9" s="82" t="s">
        <v>11828</v>
      </c>
      <c r="H9" s="91" t="s">
        <v>8068</v>
      </c>
      <c r="I9" s="123">
        <v>50</v>
      </c>
      <c r="J9" s="124" t="s">
        <v>10026</v>
      </c>
    </row>
    <row r="10" spans="1:15">
      <c r="B10" s="86" t="s">
        <v>11773</v>
      </c>
      <c r="C10" s="86"/>
      <c r="D10" s="89" t="s">
        <v>11774</v>
      </c>
      <c r="E10" s="88">
        <v>1</v>
      </c>
      <c r="F10" s="86"/>
      <c r="H10" s="92" t="s">
        <v>6370</v>
      </c>
      <c r="I10" s="125">
        <v>4</v>
      </c>
      <c r="J10" s="126" t="s">
        <v>10027</v>
      </c>
    </row>
    <row r="11" spans="1:15">
      <c r="B11" s="3362" t="s">
        <v>2004</v>
      </c>
      <c r="C11" s="3362"/>
      <c r="D11" s="89" t="s">
        <v>6102</v>
      </c>
      <c r="E11" s="88">
        <v>1</v>
      </c>
      <c r="F11" s="89"/>
      <c r="G11" s="82" t="s">
        <v>11828</v>
      </c>
      <c r="H11" s="92" t="s">
        <v>6569</v>
      </c>
      <c r="I11" s="127">
        <f>60*I9/I10*2</f>
        <v>1500</v>
      </c>
      <c r="J11" s="128" t="s">
        <v>2016</v>
      </c>
    </row>
    <row r="12" spans="1:15" ht="18.75">
      <c r="B12" s="3362" t="s">
        <v>6427</v>
      </c>
      <c r="C12" s="3362"/>
      <c r="D12" s="93" t="s">
        <v>11831</v>
      </c>
      <c r="E12" s="94">
        <v>0</v>
      </c>
      <c r="F12" s="86" t="s">
        <v>6109</v>
      </c>
      <c r="G12" s="82" t="s">
        <v>11828</v>
      </c>
      <c r="H12" s="92" t="s">
        <v>10028</v>
      </c>
      <c r="I12" s="127">
        <v>2950</v>
      </c>
      <c r="J12" s="128" t="s">
        <v>2016</v>
      </c>
      <c r="M12" s="3362"/>
      <c r="N12" s="3362"/>
      <c r="O12" s="3362"/>
    </row>
    <row r="13" spans="1:15" ht="18.75">
      <c r="B13" s="86" t="s">
        <v>11780</v>
      </c>
      <c r="C13" s="86"/>
      <c r="D13" s="93" t="s">
        <v>11781</v>
      </c>
      <c r="E13" s="94">
        <v>0</v>
      </c>
      <c r="F13" s="86" t="s">
        <v>9550</v>
      </c>
      <c r="H13" s="92" t="s">
        <v>10029</v>
      </c>
      <c r="I13" s="127">
        <v>1430</v>
      </c>
      <c r="J13" s="128" t="s">
        <v>2016</v>
      </c>
      <c r="M13" s="3362"/>
      <c r="N13" s="3362"/>
      <c r="O13" s="3362"/>
    </row>
    <row r="14" spans="1:15" ht="18.75">
      <c r="B14" s="95"/>
      <c r="C14" s="95"/>
      <c r="D14" s="96"/>
      <c r="E14" s="97"/>
      <c r="F14" s="95"/>
      <c r="H14" s="92" t="s">
        <v>10030</v>
      </c>
      <c r="I14" s="127">
        <v>860</v>
      </c>
      <c r="J14" s="128" t="s">
        <v>2016</v>
      </c>
      <c r="M14" s="3362"/>
      <c r="N14" s="3362"/>
      <c r="O14" s="3362"/>
    </row>
    <row r="15" spans="1:15">
      <c r="A15" s="59" t="s">
        <v>11832</v>
      </c>
      <c r="B15" s="59"/>
      <c r="C15" s="59"/>
      <c r="D15" s="59"/>
      <c r="E15" s="59"/>
      <c r="H15" s="98" t="s">
        <v>10031</v>
      </c>
      <c r="I15" s="129">
        <v>650</v>
      </c>
      <c r="J15" s="130" t="s">
        <v>2016</v>
      </c>
      <c r="M15" s="3362"/>
      <c r="N15" s="3362"/>
      <c r="O15" s="3362"/>
    </row>
    <row r="16" spans="1:15">
      <c r="A16" s="59"/>
      <c r="B16" s="3362" t="s">
        <v>11789</v>
      </c>
      <c r="C16" s="3362"/>
      <c r="D16" s="3362" t="s">
        <v>10135</v>
      </c>
      <c r="E16" s="99">
        <f>(E4/(J6*E7))</f>
        <v>2.4509803921568598</v>
      </c>
      <c r="F16" s="100" t="s">
        <v>2016</v>
      </c>
    </row>
    <row r="17" spans="1:7">
      <c r="B17" s="3362"/>
      <c r="C17" s="3362"/>
      <c r="D17" s="3362"/>
      <c r="E17" s="101"/>
      <c r="F17" s="102"/>
    </row>
    <row r="18" spans="1:7" ht="18.75">
      <c r="B18" s="3362" t="s">
        <v>11794</v>
      </c>
      <c r="C18" s="3362"/>
      <c r="D18" s="103" t="s">
        <v>11795</v>
      </c>
      <c r="E18" s="104" t="s">
        <v>11796</v>
      </c>
      <c r="F18" s="105"/>
    </row>
    <row r="19" spans="1:7">
      <c r="B19" s="3362"/>
      <c r="C19" s="3362"/>
      <c r="D19" s="106" t="s">
        <v>5934</v>
      </c>
      <c r="E19" s="107">
        <f>E16*E11</f>
        <v>2.4509803921568598</v>
      </c>
      <c r="F19" s="102" t="s">
        <v>2016</v>
      </c>
    </row>
    <row r="21" spans="1:7">
      <c r="A21" s="82" t="s">
        <v>11833</v>
      </c>
    </row>
    <row r="22" spans="1:7">
      <c r="B22" s="3362" t="s">
        <v>11798</v>
      </c>
      <c r="C22" s="3362"/>
      <c r="D22" s="108" t="s">
        <v>6115</v>
      </c>
      <c r="E22" s="109"/>
      <c r="F22" s="109"/>
      <c r="G22" s="100"/>
    </row>
    <row r="23" spans="1:7">
      <c r="B23" s="3362"/>
      <c r="C23" s="3362"/>
      <c r="D23" s="106" t="s">
        <v>5934</v>
      </c>
      <c r="E23" s="107">
        <f>E12+E5*J5*(SIN((E13/360)*2*J6)+E6*COS((E13/360)*2*J6))</f>
        <v>29.4</v>
      </c>
      <c r="F23" s="101" t="s">
        <v>6109</v>
      </c>
      <c r="G23" s="102"/>
    </row>
    <row r="24" spans="1:7">
      <c r="D24" s="60"/>
    </row>
    <row r="25" spans="1:7" ht="18.75">
      <c r="B25" s="3362" t="s">
        <v>11799</v>
      </c>
      <c r="C25" s="3362"/>
      <c r="D25" s="108" t="s">
        <v>11800</v>
      </c>
      <c r="E25" s="109"/>
      <c r="F25" s="100"/>
    </row>
    <row r="26" spans="1:7">
      <c r="B26" s="3362"/>
      <c r="C26" s="3362"/>
      <c r="F26" s="105"/>
    </row>
    <row r="27" spans="1:7">
      <c r="B27" s="3362"/>
      <c r="C27" s="3362"/>
      <c r="D27" s="106" t="s">
        <v>5934</v>
      </c>
      <c r="E27" s="107">
        <f>(E23*E7)/(2*E9)</f>
        <v>0.32666666666666699</v>
      </c>
      <c r="F27" s="102" t="s">
        <v>11801</v>
      </c>
    </row>
    <row r="29" spans="1:7">
      <c r="B29" s="3362" t="s">
        <v>11802</v>
      </c>
      <c r="C29" s="3362"/>
      <c r="D29" s="3362" t="s">
        <v>11834</v>
      </c>
      <c r="E29" s="109"/>
      <c r="F29" s="100"/>
    </row>
    <row r="30" spans="1:7" ht="30" customHeight="1">
      <c r="B30" s="3362"/>
      <c r="C30" s="3362"/>
      <c r="D30" s="3362"/>
      <c r="F30" s="105"/>
    </row>
    <row r="31" spans="1:7">
      <c r="B31" s="3362"/>
      <c r="C31" s="3362"/>
      <c r="D31" s="106" t="s">
        <v>5934</v>
      </c>
      <c r="E31" s="107">
        <f>E27/(E11*E10)</f>
        <v>0.32666666666666699</v>
      </c>
      <c r="F31" s="102" t="s">
        <v>11801</v>
      </c>
    </row>
    <row r="33" spans="1:11">
      <c r="A33" s="82" t="s">
        <v>11835</v>
      </c>
    </row>
    <row r="34" spans="1:11" ht="18.75">
      <c r="B34" s="3362" t="s">
        <v>11805</v>
      </c>
      <c r="C34" s="3362"/>
      <c r="D34" s="108" t="s">
        <v>11806</v>
      </c>
      <c r="E34" s="109"/>
      <c r="F34" s="100"/>
    </row>
    <row r="35" spans="1:11">
      <c r="B35" s="3362"/>
      <c r="C35" s="3362"/>
      <c r="F35" s="105"/>
    </row>
    <row r="36" spans="1:11">
      <c r="B36" s="3362"/>
      <c r="C36" s="3362"/>
      <c r="F36" s="105"/>
    </row>
    <row r="37" spans="1:11">
      <c r="B37" s="3362"/>
      <c r="C37" s="3362"/>
      <c r="D37" s="60" t="s">
        <v>5934</v>
      </c>
      <c r="F37" s="105"/>
    </row>
    <row r="38" spans="1:11">
      <c r="B38" s="3362"/>
      <c r="C38" s="3362"/>
      <c r="F38" s="105"/>
    </row>
    <row r="39" spans="1:11">
      <c r="B39" s="3362"/>
      <c r="C39" s="3362"/>
      <c r="D39" s="106" t="s">
        <v>5934</v>
      </c>
      <c r="E39" s="107">
        <f>E5*(E7/2)^2</f>
        <v>1E-3</v>
      </c>
      <c r="F39" s="102" t="s">
        <v>11807</v>
      </c>
    </row>
    <row r="40" spans="1:11">
      <c r="K40" s="3162" t="s">
        <v>12704</v>
      </c>
    </row>
    <row r="41" spans="1:11" ht="18.75">
      <c r="B41" s="3362" t="s">
        <v>11808</v>
      </c>
      <c r="C41" s="3362"/>
      <c r="D41" s="108" t="s">
        <v>11809</v>
      </c>
      <c r="E41" s="109"/>
      <c r="F41" s="100"/>
    </row>
    <row r="42" spans="1:11">
      <c r="B42" s="3362"/>
      <c r="C42" s="3362"/>
      <c r="F42" s="105"/>
    </row>
    <row r="43" spans="1:11">
      <c r="B43" s="3362"/>
      <c r="C43" s="3362"/>
      <c r="D43" s="106" t="s">
        <v>5934</v>
      </c>
      <c r="E43" s="107">
        <f>(E8*E7^2)/8</f>
        <v>5.0000000000000002E-5</v>
      </c>
      <c r="F43" s="102" t="s">
        <v>11807</v>
      </c>
      <c r="I43" s="120"/>
      <c r="J43" s="131"/>
    </row>
    <row r="44" spans="1:11">
      <c r="J44" s="131"/>
    </row>
    <row r="45" spans="1:11" ht="18.75">
      <c r="B45" s="3362" t="s">
        <v>11810</v>
      </c>
      <c r="C45" s="3362"/>
      <c r="D45" s="3362"/>
      <c r="E45" s="108" t="s">
        <v>11811</v>
      </c>
      <c r="F45" s="100"/>
    </row>
    <row r="46" spans="1:11" ht="18.75">
      <c r="B46" s="110"/>
      <c r="C46" s="101"/>
      <c r="D46" s="106" t="s">
        <v>5934</v>
      </c>
      <c r="E46" s="107">
        <f>E39+2*E43</f>
        <v>1.1000000000000001E-3</v>
      </c>
      <c r="F46" s="102" t="s">
        <v>11807</v>
      </c>
      <c r="H46" s="111" t="s">
        <v>11812</v>
      </c>
      <c r="I46" s="132" t="s">
        <v>11813</v>
      </c>
      <c r="J46" s="133">
        <v>1.1000000000000001E-3</v>
      </c>
      <c r="K46" s="119" t="s">
        <v>11807</v>
      </c>
    </row>
    <row r="48" spans="1:11">
      <c r="A48" s="82" t="s">
        <v>11818</v>
      </c>
    </row>
    <row r="49" spans="1:6" ht="21.75">
      <c r="B49" s="3362" t="s">
        <v>11819</v>
      </c>
      <c r="C49" s="3362"/>
      <c r="D49" s="112" t="s">
        <v>11820</v>
      </c>
      <c r="E49" s="113" t="s">
        <v>11836</v>
      </c>
      <c r="F49" s="100"/>
    </row>
    <row r="50" spans="1:6">
      <c r="B50" s="3362"/>
      <c r="C50" s="3362"/>
      <c r="D50" s="106" t="s">
        <v>5934</v>
      </c>
      <c r="E50" s="107">
        <f>E31*D52</f>
        <v>0.65333333333333299</v>
      </c>
      <c r="F50" s="102" t="s">
        <v>11801</v>
      </c>
    </row>
    <row r="51" spans="1:6">
      <c r="B51" s="114"/>
      <c r="C51" s="115"/>
      <c r="D51" s="106"/>
      <c r="E51" s="116"/>
    </row>
    <row r="52" spans="1:6">
      <c r="B52" s="111" t="s">
        <v>2056</v>
      </c>
      <c r="C52" s="117" t="s">
        <v>10131</v>
      </c>
      <c r="D52" s="118">
        <v>2</v>
      </c>
      <c r="E52" s="119"/>
    </row>
    <row r="53" spans="1:6">
      <c r="A53" s="120" t="s">
        <v>11837</v>
      </c>
    </row>
    <row r="54" spans="1:6">
      <c r="B54" s="3362" t="s">
        <v>6447</v>
      </c>
      <c r="C54" s="3362"/>
      <c r="D54" s="108" t="s">
        <v>11823</v>
      </c>
      <c r="E54" s="100"/>
    </row>
    <row r="55" spans="1:6">
      <c r="B55" s="3362"/>
      <c r="C55" s="3362"/>
      <c r="E55" s="105"/>
    </row>
    <row r="56" spans="1:6">
      <c r="B56" s="3362"/>
      <c r="C56" s="3362"/>
      <c r="D56" s="106" t="s">
        <v>5934</v>
      </c>
      <c r="E56" s="121">
        <f>(E46/(E11^2))/J46</f>
        <v>1</v>
      </c>
    </row>
  </sheetData>
  <mergeCells count="19">
    <mergeCell ref="M12:O15"/>
    <mergeCell ref="B18:C19"/>
    <mergeCell ref="B16:C17"/>
    <mergeCell ref="B22:C23"/>
    <mergeCell ref="B29:C31"/>
    <mergeCell ref="B25:C27"/>
    <mergeCell ref="B12:C12"/>
    <mergeCell ref="B45:D45"/>
    <mergeCell ref="D16:D17"/>
    <mergeCell ref="D29:D30"/>
    <mergeCell ref="B54:C56"/>
    <mergeCell ref="B34:C39"/>
    <mergeCell ref="B41:C43"/>
    <mergeCell ref="B49:C50"/>
    <mergeCell ref="A1:L1"/>
    <mergeCell ref="B7:C7"/>
    <mergeCell ref="H7:I7"/>
    <mergeCell ref="B8:C8"/>
    <mergeCell ref="B11:C11"/>
  </mergeCells>
  <phoneticPr fontId="378" type="noConversion"/>
  <hyperlinks>
    <hyperlink ref="K2" location="总目录!A1" display="返回目录"/>
    <hyperlink ref="K40" location="总目录!A1" display="返回目录"/>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238017" r:id="rId3">
          <objectPr defaultSize="0" autoPict="0" altText="" r:id="rId4">
            <anchor moveWithCells="1">
              <from>
                <xdr:col>4</xdr:col>
                <xdr:colOff>19050</xdr:colOff>
                <xdr:row>21</xdr:row>
                <xdr:rowOff>0</xdr:rowOff>
              </from>
              <to>
                <xdr:col>6</xdr:col>
                <xdr:colOff>323850</xdr:colOff>
                <xdr:row>22</xdr:row>
                <xdr:rowOff>0</xdr:rowOff>
              </to>
            </anchor>
          </objectPr>
        </oleObject>
      </mc:Choice>
      <mc:Fallback>
        <oleObject progId="Equation.DSMT4" shapeId="1238017" r:id="rId3"/>
      </mc:Fallback>
    </mc:AlternateContent>
    <mc:AlternateContent xmlns:mc="http://schemas.openxmlformats.org/markup-compatibility/2006">
      <mc:Choice Requires="x14">
        <oleObject progId="Equation.DSMT4" shapeId="1238018" r:id="rId5">
          <objectPr defaultSize="0" autoPict="0" altText="" r:id="rId6">
            <anchor moveWithCells="1">
              <from>
                <xdr:col>4</xdr:col>
                <xdr:colOff>0</xdr:colOff>
                <xdr:row>24</xdr:row>
                <xdr:rowOff>0</xdr:rowOff>
              </from>
              <to>
                <xdr:col>4</xdr:col>
                <xdr:colOff>400050</xdr:colOff>
                <xdr:row>25</xdr:row>
                <xdr:rowOff>133350</xdr:rowOff>
              </to>
            </anchor>
          </objectPr>
        </oleObject>
      </mc:Choice>
      <mc:Fallback>
        <oleObject progId="Equation.DSMT4" shapeId="1238018" r:id="rId5"/>
      </mc:Fallback>
    </mc:AlternateContent>
    <mc:AlternateContent xmlns:mc="http://schemas.openxmlformats.org/markup-compatibility/2006">
      <mc:Choice Requires="x14">
        <oleObject progId="Equation.DSMT4" shapeId="1238019" r:id="rId7">
          <objectPr defaultSize="0" autoPict="0" altText="" r:id="rId8">
            <anchor moveWithCells="1">
              <from>
                <xdr:col>4</xdr:col>
                <xdr:colOff>28575</xdr:colOff>
                <xdr:row>33</xdr:row>
                <xdr:rowOff>76200</xdr:rowOff>
              </from>
              <to>
                <xdr:col>5</xdr:col>
                <xdr:colOff>28575</xdr:colOff>
                <xdr:row>37</xdr:row>
                <xdr:rowOff>171450</xdr:rowOff>
              </to>
            </anchor>
          </objectPr>
        </oleObject>
      </mc:Choice>
      <mc:Fallback>
        <oleObject progId="Equation.DSMT4" shapeId="1238019" r:id="rId7"/>
      </mc:Fallback>
    </mc:AlternateContent>
    <mc:AlternateContent xmlns:mc="http://schemas.openxmlformats.org/markup-compatibility/2006">
      <mc:Choice Requires="x14">
        <oleObject progId="Equation.DSMT4" shapeId="1238020" r:id="rId9">
          <objectPr defaultSize="0" autoPict="0" altText="" r:id="rId10">
            <anchor moveWithCells="1">
              <from>
                <xdr:col>4</xdr:col>
                <xdr:colOff>19050</xdr:colOff>
                <xdr:row>40</xdr:row>
                <xdr:rowOff>19050</xdr:rowOff>
              </from>
              <to>
                <xdr:col>4</xdr:col>
                <xdr:colOff>904875</xdr:colOff>
                <xdr:row>41</xdr:row>
                <xdr:rowOff>171450</xdr:rowOff>
              </to>
            </anchor>
          </objectPr>
        </oleObject>
      </mc:Choice>
      <mc:Fallback>
        <oleObject progId="Equation.DSMT4" shapeId="1238020" r:id="rId9"/>
      </mc:Fallback>
    </mc:AlternateContent>
    <mc:AlternateContent xmlns:mc="http://schemas.openxmlformats.org/markup-compatibility/2006">
      <mc:Choice Requires="x14">
        <oleObject progId="Equation.DSMT4" shapeId="1238021" r:id="rId11">
          <objectPr defaultSize="0" autoPict="0" altText="" r:id="rId12">
            <anchor moveWithCells="1">
              <from>
                <xdr:col>4</xdr:col>
                <xdr:colOff>47625</xdr:colOff>
                <xdr:row>28</xdr:row>
                <xdr:rowOff>66675</xdr:rowOff>
              </from>
              <to>
                <xdr:col>4</xdr:col>
                <xdr:colOff>514350</xdr:colOff>
                <xdr:row>29</xdr:row>
                <xdr:rowOff>352425</xdr:rowOff>
              </to>
            </anchor>
          </objectPr>
        </oleObject>
      </mc:Choice>
      <mc:Fallback>
        <oleObject progId="Equation.DSMT4" shapeId="1238021" r:id="rId11"/>
      </mc:Fallback>
    </mc:AlternateContent>
    <mc:AlternateContent xmlns:mc="http://schemas.openxmlformats.org/markup-compatibility/2006">
      <mc:Choice Requires="x14">
        <oleObject progId="Equation.DSMT4" shapeId="1238022" r:id="rId13">
          <objectPr defaultSize="0" autoPict="0" altText="" r:id="rId14">
            <anchor moveWithCells="1">
              <from>
                <xdr:col>4</xdr:col>
                <xdr:colOff>95250</xdr:colOff>
                <xdr:row>53</xdr:row>
                <xdr:rowOff>9525</xdr:rowOff>
              </from>
              <to>
                <xdr:col>4</xdr:col>
                <xdr:colOff>781050</xdr:colOff>
                <xdr:row>54</xdr:row>
                <xdr:rowOff>161925</xdr:rowOff>
              </to>
            </anchor>
          </objectPr>
        </oleObject>
      </mc:Choice>
      <mc:Fallback>
        <oleObject progId="Equation.DSMT4" shapeId="1238022" r:id="rId13"/>
      </mc:Fallback>
    </mc:AlternateContent>
  </oleObjects>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P79"/>
  <sheetViews>
    <sheetView workbookViewId="0">
      <selection activeCell="J1" sqref="J1:K1"/>
    </sheetView>
  </sheetViews>
  <sheetFormatPr defaultColWidth="9" defaultRowHeight="16.5"/>
  <cols>
    <col min="4" max="4" width="11.25" customWidth="1"/>
    <col min="6" max="6" width="12.75"/>
    <col min="7" max="7" width="11.5" customWidth="1"/>
  </cols>
  <sheetData>
    <row r="1" spans="2:16" ht="25.5">
      <c r="D1" s="42"/>
      <c r="E1" s="42"/>
      <c r="F1" s="42" t="s">
        <v>12139</v>
      </c>
      <c r="J1" s="3361" t="s">
        <v>12720</v>
      </c>
      <c r="K1" s="3361"/>
    </row>
    <row r="2" spans="2:16">
      <c r="B2" t="s">
        <v>11825</v>
      </c>
    </row>
    <row r="4" spans="2:16" ht="18.75">
      <c r="C4" s="43" t="s">
        <v>11838</v>
      </c>
      <c r="D4" s="43"/>
      <c r="E4" s="44" t="s">
        <v>11839</v>
      </c>
      <c r="F4" s="45">
        <v>0.12</v>
      </c>
      <c r="G4" s="46" t="s">
        <v>6088</v>
      </c>
      <c r="H4" s="43"/>
      <c r="I4" s="43" t="s">
        <v>11827</v>
      </c>
      <c r="J4" s="43"/>
      <c r="K4" s="43"/>
    </row>
    <row r="5" spans="2:16" ht="18.75">
      <c r="C5" s="43" t="s">
        <v>11840</v>
      </c>
      <c r="D5" s="43"/>
      <c r="E5" s="44" t="s">
        <v>11841</v>
      </c>
      <c r="F5" s="45">
        <v>0.02</v>
      </c>
      <c r="G5" s="46" t="s">
        <v>6088</v>
      </c>
      <c r="H5" s="43" t="s">
        <v>11828</v>
      </c>
      <c r="I5" s="43"/>
      <c r="J5" s="46" t="s">
        <v>11829</v>
      </c>
      <c r="K5" s="43">
        <v>9.8000000000000007</v>
      </c>
      <c r="L5" t="s">
        <v>6127</v>
      </c>
    </row>
    <row r="6" spans="2:16" ht="18.75">
      <c r="C6" s="43" t="s">
        <v>11842</v>
      </c>
      <c r="D6" s="43"/>
      <c r="E6" s="44" t="s">
        <v>11843</v>
      </c>
      <c r="F6" s="45">
        <v>0.12</v>
      </c>
      <c r="G6" s="46" t="s">
        <v>6088</v>
      </c>
      <c r="H6" s="43" t="s">
        <v>11828</v>
      </c>
      <c r="I6" s="43"/>
      <c r="J6" s="46" t="s">
        <v>11767</v>
      </c>
      <c r="K6" s="43">
        <v>3.1415999999999999</v>
      </c>
    </row>
    <row r="7" spans="2:16" ht="18.75">
      <c r="C7" s="43" t="s">
        <v>11844</v>
      </c>
      <c r="D7" s="43"/>
      <c r="E7" s="44" t="s">
        <v>11845</v>
      </c>
      <c r="F7" s="45">
        <v>0.2</v>
      </c>
      <c r="G7" s="46" t="s">
        <v>6088</v>
      </c>
      <c r="H7" s="43" t="s">
        <v>11828</v>
      </c>
      <c r="I7" s="3362"/>
      <c r="J7" s="3362"/>
    </row>
    <row r="8" spans="2:16" ht="18.75">
      <c r="C8" s="43" t="s">
        <v>11846</v>
      </c>
      <c r="D8" s="43"/>
      <c r="E8" s="44" t="s">
        <v>11847</v>
      </c>
      <c r="F8" s="45">
        <v>2700</v>
      </c>
      <c r="G8" s="46" t="s">
        <v>10010</v>
      </c>
      <c r="H8" s="43" t="s">
        <v>11828</v>
      </c>
      <c r="I8" s="66"/>
      <c r="J8" s="66"/>
    </row>
    <row r="9" spans="2:16" ht="18" customHeight="1">
      <c r="C9" s="76" t="s">
        <v>11848</v>
      </c>
      <c r="D9" s="43"/>
      <c r="E9" s="77" t="s">
        <v>6100</v>
      </c>
      <c r="F9" s="78">
        <v>25</v>
      </c>
      <c r="G9" s="79" t="s">
        <v>9833</v>
      </c>
      <c r="H9" s="43" t="s">
        <v>11828</v>
      </c>
    </row>
    <row r="10" spans="2:16" ht="30.75" customHeight="1">
      <c r="C10" s="3362" t="s">
        <v>11849</v>
      </c>
      <c r="D10" s="3362"/>
      <c r="E10" s="80" t="s">
        <v>11850</v>
      </c>
      <c r="F10" s="78">
        <v>0.06</v>
      </c>
      <c r="G10" s="76" t="s">
        <v>6088</v>
      </c>
      <c r="H10" s="43"/>
    </row>
    <row r="11" spans="2:16">
      <c r="C11" s="43" t="s">
        <v>11851</v>
      </c>
      <c r="D11" s="43"/>
      <c r="E11" s="44" t="s">
        <v>11852</v>
      </c>
      <c r="F11" s="45">
        <v>72</v>
      </c>
      <c r="G11" s="43" t="s">
        <v>9550</v>
      </c>
      <c r="H11" s="43" t="s">
        <v>11828</v>
      </c>
    </row>
    <row r="12" spans="2:16" ht="18.75">
      <c r="C12" s="43" t="s">
        <v>6083</v>
      </c>
      <c r="D12" s="43"/>
      <c r="E12" s="69" t="s">
        <v>11853</v>
      </c>
      <c r="F12" s="48">
        <v>0.2</v>
      </c>
      <c r="G12" s="43" t="s">
        <v>6085</v>
      </c>
      <c r="H12" s="43" t="s">
        <v>11828</v>
      </c>
      <c r="N12" s="3362"/>
      <c r="O12" s="3362"/>
      <c r="P12" s="3362"/>
    </row>
    <row r="13" spans="2:16" ht="18.75">
      <c r="C13" s="43" t="s">
        <v>11777</v>
      </c>
      <c r="D13" s="43"/>
      <c r="E13" s="69" t="s">
        <v>11778</v>
      </c>
      <c r="F13" s="51">
        <v>0.3</v>
      </c>
      <c r="G13" s="43"/>
      <c r="H13" s="43"/>
      <c r="N13" s="3362"/>
      <c r="O13" s="3362"/>
      <c r="P13" s="3362"/>
    </row>
    <row r="14" spans="2:16" ht="18.75">
      <c r="C14" s="43" t="s">
        <v>11854</v>
      </c>
      <c r="D14" s="43"/>
      <c r="E14" s="69" t="s">
        <v>6102</v>
      </c>
      <c r="F14" s="48">
        <v>1</v>
      </c>
      <c r="G14" s="43"/>
      <c r="H14" s="43"/>
      <c r="N14" s="3362"/>
      <c r="O14" s="3362"/>
      <c r="P14" s="3362"/>
    </row>
    <row r="15" spans="2:16" ht="20.25">
      <c r="C15" s="43" t="s">
        <v>11855</v>
      </c>
      <c r="D15" s="43"/>
      <c r="E15" s="69" t="s">
        <v>11856</v>
      </c>
      <c r="F15" s="48">
        <v>1</v>
      </c>
      <c r="G15" s="43"/>
      <c r="H15" s="43"/>
      <c r="N15" s="3362"/>
      <c r="O15" s="3362"/>
      <c r="P15" s="3362"/>
    </row>
    <row r="16" spans="2:16" ht="18.75">
      <c r="C16" s="52"/>
      <c r="D16" s="52"/>
      <c r="E16" s="53"/>
      <c r="F16" s="54"/>
      <c r="G16" s="52"/>
      <c r="N16" s="3362"/>
      <c r="O16" s="3362"/>
      <c r="P16" s="3362"/>
    </row>
    <row r="17" spans="2:16" ht="18.75">
      <c r="B17" t="s">
        <v>11857</v>
      </c>
      <c r="C17" s="52"/>
      <c r="D17" s="52"/>
      <c r="E17" s="53"/>
      <c r="F17" s="54"/>
      <c r="G17" s="52"/>
      <c r="N17" s="3362"/>
      <c r="O17" s="3362"/>
      <c r="P17" s="3362"/>
    </row>
    <row r="18" spans="2:16" ht="18.75">
      <c r="C18" s="52" t="s">
        <v>11858</v>
      </c>
      <c r="D18" s="52"/>
      <c r="E18" s="53"/>
      <c r="F18" s="54"/>
      <c r="G18" s="52"/>
      <c r="N18" s="3362"/>
      <c r="O18" s="3362"/>
      <c r="P18" s="3362"/>
    </row>
    <row r="19" spans="2:16" ht="20.25">
      <c r="C19" s="52" t="s">
        <v>11859</v>
      </c>
      <c r="D19" s="52"/>
      <c r="E19" s="55" t="s">
        <v>11860</v>
      </c>
      <c r="F19" s="53" t="s">
        <v>11784</v>
      </c>
      <c r="G19" s="52"/>
      <c r="N19" s="3362"/>
      <c r="O19" s="3362"/>
      <c r="P19" s="3362"/>
    </row>
    <row r="20" spans="2:16">
      <c r="C20" s="56"/>
      <c r="D20" s="56"/>
      <c r="E20" s="57" t="s">
        <v>5934</v>
      </c>
      <c r="F20" s="58">
        <f>F12*F13</f>
        <v>0.06</v>
      </c>
      <c r="G20" t="s">
        <v>6085</v>
      </c>
      <c r="N20" s="3362"/>
      <c r="O20" s="3362"/>
      <c r="P20" s="3362"/>
    </row>
    <row r="21" spans="2:16">
      <c r="B21" s="56"/>
      <c r="C21" s="56"/>
      <c r="D21" s="56"/>
      <c r="E21" s="57"/>
      <c r="F21" s="56"/>
      <c r="N21" s="66"/>
      <c r="O21" s="66"/>
      <c r="P21" s="66"/>
    </row>
    <row r="22" spans="2:16">
      <c r="B22" s="56" t="s">
        <v>11785</v>
      </c>
      <c r="C22" s="56"/>
      <c r="D22" s="56"/>
      <c r="E22" s="57"/>
      <c r="F22" s="56"/>
      <c r="N22" s="66"/>
      <c r="O22" s="66"/>
      <c r="P22" s="66"/>
    </row>
    <row r="23" spans="2:16" ht="46.5" customHeight="1">
      <c r="C23" s="59" t="s">
        <v>11786</v>
      </c>
      <c r="E23" s="60" t="s">
        <v>11861</v>
      </c>
    </row>
    <row r="24" spans="2:16" ht="18">
      <c r="C24" s="56"/>
      <c r="E24" s="62" t="s">
        <v>5934</v>
      </c>
      <c r="F24">
        <f>((F11*K6)/180)/(F20*(F12-F20))</f>
        <v>149.6</v>
      </c>
      <c r="G24" t="s">
        <v>11788</v>
      </c>
    </row>
    <row r="25" spans="2:16">
      <c r="B25" s="56"/>
      <c r="C25" s="56"/>
      <c r="D25" s="56"/>
      <c r="E25" s="57"/>
      <c r="F25" s="56"/>
      <c r="N25" s="66"/>
      <c r="O25" s="66"/>
      <c r="P25" s="66"/>
    </row>
    <row r="26" spans="2:16">
      <c r="B26" s="56"/>
      <c r="C26" s="56"/>
      <c r="D26" s="56"/>
      <c r="E26" s="57"/>
      <c r="F26" s="56"/>
      <c r="N26" s="66"/>
      <c r="O26" s="66"/>
      <c r="P26" s="66"/>
    </row>
    <row r="27" spans="2:16">
      <c r="B27" s="56"/>
      <c r="C27" s="56" t="s">
        <v>11862</v>
      </c>
      <c r="D27" s="56"/>
      <c r="E27" s="57" t="s">
        <v>11790</v>
      </c>
      <c r="F27" s="56"/>
    </row>
    <row r="29" spans="2:16">
      <c r="E29" s="62" t="s">
        <v>5934</v>
      </c>
      <c r="F29">
        <f>(F24*F20*60)/(2*K6)</f>
        <v>85.714285714285694</v>
      </c>
      <c r="G29" t="s">
        <v>2016</v>
      </c>
    </row>
    <row r="30" spans="2:16">
      <c r="E30" s="62"/>
    </row>
    <row r="31" spans="2:16" ht="18.75">
      <c r="C31" s="56" t="s">
        <v>11863</v>
      </c>
      <c r="E31" s="62" t="s">
        <v>11864</v>
      </c>
      <c r="F31" s="63" t="s">
        <v>11865</v>
      </c>
    </row>
    <row r="32" spans="2:16" ht="18">
      <c r="E32" s="62" t="s">
        <v>5934</v>
      </c>
      <c r="F32">
        <f>F24*F14</f>
        <v>149.6</v>
      </c>
      <c r="G32" t="s">
        <v>11788</v>
      </c>
    </row>
    <row r="34" spans="2:7" ht="18.75">
      <c r="C34" t="s">
        <v>11794</v>
      </c>
      <c r="E34" s="62" t="s">
        <v>11795</v>
      </c>
      <c r="F34" t="s">
        <v>11796</v>
      </c>
    </row>
    <row r="35" spans="2:7">
      <c r="E35" s="62" t="s">
        <v>5934</v>
      </c>
      <c r="F35">
        <f>F29*F14</f>
        <v>85.714285714285694</v>
      </c>
      <c r="G35" t="s">
        <v>2016</v>
      </c>
    </row>
    <row r="37" spans="2:7">
      <c r="B37" t="s">
        <v>11797</v>
      </c>
    </row>
    <row r="39" spans="2:7" ht="18.75">
      <c r="C39" s="3362" t="s">
        <v>11866</v>
      </c>
      <c r="D39" s="3362"/>
      <c r="E39" s="62" t="s">
        <v>11800</v>
      </c>
      <c r="F39" s="63">
        <v>0</v>
      </c>
      <c r="G39" t="s">
        <v>11801</v>
      </c>
    </row>
    <row r="40" spans="2:7">
      <c r="C40" s="3362"/>
      <c r="D40" s="3362"/>
      <c r="E40" s="62"/>
    </row>
    <row r="42" spans="2:7">
      <c r="B42" t="s">
        <v>11804</v>
      </c>
    </row>
    <row r="44" spans="2:7">
      <c r="C44" t="s">
        <v>11867</v>
      </c>
      <c r="E44" s="62" t="s">
        <v>11868</v>
      </c>
    </row>
    <row r="46" spans="2:7" ht="18">
      <c r="E46" s="62" t="s">
        <v>5934</v>
      </c>
      <c r="F46">
        <f>(K6*F8*F5*F4^4)/32</f>
        <v>1.0993086719999999E-3</v>
      </c>
      <c r="G46" t="s">
        <v>11807</v>
      </c>
    </row>
    <row r="49" spans="2:12" ht="18.75">
      <c r="C49" t="s">
        <v>11869</v>
      </c>
      <c r="E49" s="62" t="s">
        <v>11870</v>
      </c>
    </row>
    <row r="50" spans="2:12">
      <c r="C50" s="3362" t="s">
        <v>11871</v>
      </c>
      <c r="D50" s="3362"/>
    </row>
    <row r="51" spans="2:12" ht="18">
      <c r="C51" s="3362"/>
      <c r="D51" s="3362"/>
      <c r="E51" s="62" t="s">
        <v>5934</v>
      </c>
      <c r="F51">
        <f>(K6*F8*F7*F6^4)/32</f>
        <v>1.099308672E-2</v>
      </c>
      <c r="G51" t="s">
        <v>11807</v>
      </c>
      <c r="J51" s="65"/>
      <c r="K51" s="84"/>
    </row>
    <row r="52" spans="2:12">
      <c r="C52" s="3362"/>
      <c r="D52" s="3362"/>
      <c r="K52" s="84"/>
    </row>
    <row r="53" spans="2:12">
      <c r="C53" s="81"/>
      <c r="D53" s="81"/>
      <c r="K53" s="84"/>
    </row>
    <row r="54" spans="2:12" ht="28.5" customHeight="1">
      <c r="C54" s="82" t="s">
        <v>11872</v>
      </c>
      <c r="D54" s="66"/>
      <c r="E54" s="83" t="s">
        <v>11873</v>
      </c>
      <c r="F54" s="62"/>
    </row>
    <row r="55" spans="2:12" ht="19.5">
      <c r="E55" s="62" t="s">
        <v>5934</v>
      </c>
      <c r="F55">
        <f>(K6*F8*F7*F6^2)/4</f>
        <v>6.1072704</v>
      </c>
      <c r="G55" t="s">
        <v>6081</v>
      </c>
      <c r="I55" t="s">
        <v>11812</v>
      </c>
      <c r="J55" s="65" t="s">
        <v>11813</v>
      </c>
      <c r="K55" s="45">
        <v>2.7E-4</v>
      </c>
      <c r="L55" t="s">
        <v>11807</v>
      </c>
    </row>
    <row r="57" spans="2:12" ht="22.5" customHeight="1">
      <c r="C57" t="s">
        <v>11869</v>
      </c>
      <c r="E57" s="62" t="s">
        <v>11874</v>
      </c>
    </row>
    <row r="58" spans="2:12" ht="18">
      <c r="C58" t="s">
        <v>11875</v>
      </c>
      <c r="E58" s="62" t="s">
        <v>5934</v>
      </c>
      <c r="F58">
        <f>F9*(F51+F55*F10^2)</f>
        <v>0.82448150399999998</v>
      </c>
      <c r="G58" t="s">
        <v>11807</v>
      </c>
    </row>
    <row r="60" spans="2:12" ht="18.75">
      <c r="C60" t="s">
        <v>11814</v>
      </c>
      <c r="E60" s="62" t="s">
        <v>11876</v>
      </c>
      <c r="F60" t="s">
        <v>11877</v>
      </c>
    </row>
    <row r="61" spans="2:12" ht="18">
      <c r="E61" s="62" t="s">
        <v>5934</v>
      </c>
      <c r="F61">
        <f>F46+F58</f>
        <v>0.82558081267200001</v>
      </c>
      <c r="G61" t="s">
        <v>11807</v>
      </c>
    </row>
    <row r="63" spans="2:12">
      <c r="B63" t="s">
        <v>11878</v>
      </c>
    </row>
    <row r="64" spans="2:12">
      <c r="E64" s="62"/>
    </row>
    <row r="65" spans="2:12">
      <c r="C65" s="3362" t="s">
        <v>11879</v>
      </c>
      <c r="D65" s="3362"/>
      <c r="E65" s="3362" t="s">
        <v>11880</v>
      </c>
      <c r="F65" s="3362" t="s">
        <v>11881</v>
      </c>
    </row>
    <row r="66" spans="2:12">
      <c r="C66" s="3362"/>
      <c r="D66" s="3362"/>
      <c r="E66" s="3362"/>
      <c r="F66" s="3362"/>
    </row>
    <row r="67" spans="2:12" ht="18">
      <c r="E67" s="62" t="s">
        <v>5934</v>
      </c>
      <c r="F67">
        <f>F61/(F14^2)</f>
        <v>0.82558081267200001</v>
      </c>
      <c r="G67" t="s">
        <v>11807</v>
      </c>
    </row>
    <row r="68" spans="2:12">
      <c r="E68" s="62"/>
    </row>
    <row r="69" spans="2:12" ht="41.25" customHeight="1">
      <c r="C69" s="3362" t="s">
        <v>11816</v>
      </c>
      <c r="D69" s="3362"/>
      <c r="E69" s="85" t="s">
        <v>11882</v>
      </c>
    </row>
    <row r="70" spans="2:12">
      <c r="E70" s="62" t="s">
        <v>5934</v>
      </c>
      <c r="F70">
        <f>((F67+K55)*F32)/F15</f>
        <v>123.54728157573101</v>
      </c>
      <c r="G70" t="s">
        <v>11801</v>
      </c>
    </row>
    <row r="72" spans="2:12">
      <c r="B72" t="s">
        <v>11883</v>
      </c>
    </row>
    <row r="73" spans="2:12" ht="18.75">
      <c r="C73" t="s">
        <v>11819</v>
      </c>
      <c r="E73" s="62" t="s">
        <v>6097</v>
      </c>
      <c r="F73" t="s">
        <v>11884</v>
      </c>
      <c r="I73" t="s">
        <v>2056</v>
      </c>
      <c r="J73" s="65" t="s">
        <v>10131</v>
      </c>
      <c r="K73" s="45">
        <v>3</v>
      </c>
      <c r="L73" t="s">
        <v>11828</v>
      </c>
    </row>
    <row r="74" spans="2:12">
      <c r="E74" s="62" t="s">
        <v>5934</v>
      </c>
      <c r="F74">
        <f>(F70+F39)*K73</f>
        <v>370.64184472719302</v>
      </c>
      <c r="G74" t="s">
        <v>11801</v>
      </c>
    </row>
    <row r="76" spans="2:12">
      <c r="B76" s="65" t="s">
        <v>11837</v>
      </c>
    </row>
    <row r="77" spans="2:12">
      <c r="C77" t="s">
        <v>6447</v>
      </c>
      <c r="E77" s="62" t="s">
        <v>11823</v>
      </c>
    </row>
    <row r="79" spans="2:12">
      <c r="E79" s="62" t="s">
        <v>5934</v>
      </c>
      <c r="F79">
        <f>(F61/(F14^2))/K55</f>
        <v>3057.7067136000001</v>
      </c>
    </row>
  </sheetData>
  <mergeCells count="10">
    <mergeCell ref="N12:P20"/>
    <mergeCell ref="C39:D40"/>
    <mergeCell ref="C65:D66"/>
    <mergeCell ref="C50:D52"/>
    <mergeCell ref="J1:K1"/>
    <mergeCell ref="I7:J7"/>
    <mergeCell ref="C10:D10"/>
    <mergeCell ref="C69:D69"/>
    <mergeCell ref="E65:E66"/>
    <mergeCell ref="F65:F66"/>
  </mergeCells>
  <phoneticPr fontId="378" type="noConversion"/>
  <hyperlinks>
    <hyperlink ref="J1:K1" location="总目录!A1" display="返回目录 "/>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185792" r:id="rId3">
          <objectPr defaultSize="0" autoPict="0" altText="" r:id="rId4">
            <anchor moveWithCells="1">
              <from>
                <xdr:col>5</xdr:col>
                <xdr:colOff>9525</xdr:colOff>
                <xdr:row>75</xdr:row>
                <xdr:rowOff>161925</xdr:rowOff>
              </from>
              <to>
                <xdr:col>5</xdr:col>
                <xdr:colOff>695325</xdr:colOff>
                <xdr:row>77</xdr:row>
                <xdr:rowOff>95250</xdr:rowOff>
              </to>
            </anchor>
          </objectPr>
        </oleObject>
      </mc:Choice>
      <mc:Fallback>
        <oleObject progId="Equation.DSMT4" shapeId="1185792" r:id="rId3"/>
      </mc:Fallback>
    </mc:AlternateContent>
    <mc:AlternateContent xmlns:mc="http://schemas.openxmlformats.org/markup-compatibility/2006">
      <mc:Choice Requires="x14">
        <oleObject progId="Equation.DSMT4" shapeId="1185793" r:id="rId5">
          <objectPr defaultSize="0" autoPict="0" altText="" r:id="rId6">
            <anchor moveWithCells="1">
              <from>
                <xdr:col>5</xdr:col>
                <xdr:colOff>19050</xdr:colOff>
                <xdr:row>47</xdr:row>
                <xdr:rowOff>123825</xdr:rowOff>
              </from>
              <to>
                <xdr:col>6</xdr:col>
                <xdr:colOff>57150</xdr:colOff>
                <xdr:row>49</xdr:row>
                <xdr:rowOff>95250</xdr:rowOff>
              </to>
            </anchor>
          </objectPr>
        </oleObject>
      </mc:Choice>
      <mc:Fallback>
        <oleObject progId="Equation.DSMT4" shapeId="1185793" r:id="rId5"/>
      </mc:Fallback>
    </mc:AlternateContent>
    <mc:AlternateContent xmlns:mc="http://schemas.openxmlformats.org/markup-compatibility/2006">
      <mc:Choice Requires="x14">
        <oleObject progId="Equation.DSMT4" shapeId="1185794" r:id="rId7">
          <objectPr defaultSize="0" autoPict="0" altText="" r:id="rId8">
            <anchor moveWithCells="1">
              <from>
                <xdr:col>5</xdr:col>
                <xdr:colOff>0</xdr:colOff>
                <xdr:row>42</xdr:row>
                <xdr:rowOff>161925</xdr:rowOff>
              </from>
              <to>
                <xdr:col>6</xdr:col>
                <xdr:colOff>38100</xdr:colOff>
                <xdr:row>44</xdr:row>
                <xdr:rowOff>114300</xdr:rowOff>
              </to>
            </anchor>
          </objectPr>
        </oleObject>
      </mc:Choice>
      <mc:Fallback>
        <oleObject progId="Equation.DSMT4" shapeId="1185794" r:id="rId7"/>
      </mc:Fallback>
    </mc:AlternateContent>
    <mc:AlternateContent xmlns:mc="http://schemas.openxmlformats.org/markup-compatibility/2006">
      <mc:Choice Requires="x14">
        <oleObject progId="Equation.DSMT4" shapeId="1185795" r:id="rId9">
          <objectPr defaultSize="0" autoPict="0" altText="" r:id="rId10">
            <anchor moveWithCells="1">
              <from>
                <xdr:col>5</xdr:col>
                <xdr:colOff>19050</xdr:colOff>
                <xdr:row>53</xdr:row>
                <xdr:rowOff>19050</xdr:rowOff>
              </from>
              <to>
                <xdr:col>5</xdr:col>
                <xdr:colOff>866775</xdr:colOff>
                <xdr:row>53</xdr:row>
                <xdr:rowOff>352425</xdr:rowOff>
              </to>
            </anchor>
          </objectPr>
        </oleObject>
      </mc:Choice>
      <mc:Fallback>
        <oleObject progId="Equation.DSMT4" shapeId="1185795" r:id="rId9"/>
      </mc:Fallback>
    </mc:AlternateContent>
    <mc:AlternateContent xmlns:mc="http://schemas.openxmlformats.org/markup-compatibility/2006">
      <mc:Choice Requires="x14">
        <oleObject progId="Equation.DSMT4" shapeId="1185796" r:id="rId11">
          <objectPr defaultSize="0" autoPict="0" altText="" r:id="rId12">
            <anchor moveWithCells="1">
              <from>
                <xdr:col>5</xdr:col>
                <xdr:colOff>38100</xdr:colOff>
                <xdr:row>55</xdr:row>
                <xdr:rowOff>171450</xdr:rowOff>
              </from>
              <to>
                <xdr:col>6</xdr:col>
                <xdr:colOff>276225</xdr:colOff>
                <xdr:row>56</xdr:row>
                <xdr:rowOff>276225</xdr:rowOff>
              </to>
            </anchor>
          </objectPr>
        </oleObject>
      </mc:Choice>
      <mc:Fallback>
        <oleObject progId="Equation.DSMT4" shapeId="1185796" r:id="rId11"/>
      </mc:Fallback>
    </mc:AlternateContent>
    <mc:AlternateContent xmlns:mc="http://schemas.openxmlformats.org/markup-compatibility/2006">
      <mc:Choice Requires="x14">
        <oleObject progId="Equation.DSMT4" shapeId="1185797" r:id="rId13">
          <objectPr defaultSize="0" autoPict="0" altText="" r:id="rId14">
            <anchor moveWithCells="1">
              <from>
                <xdr:col>5</xdr:col>
                <xdr:colOff>0</xdr:colOff>
                <xdr:row>68</xdr:row>
                <xdr:rowOff>0</xdr:rowOff>
              </from>
              <to>
                <xdr:col>6</xdr:col>
                <xdr:colOff>114300</xdr:colOff>
                <xdr:row>69</xdr:row>
                <xdr:rowOff>0</xdr:rowOff>
              </to>
            </anchor>
          </objectPr>
        </oleObject>
      </mc:Choice>
      <mc:Fallback>
        <oleObject progId="Equation.DSMT4" shapeId="1185797" r:id="rId13"/>
      </mc:Fallback>
    </mc:AlternateContent>
    <mc:AlternateContent xmlns:mc="http://schemas.openxmlformats.org/markup-compatibility/2006">
      <mc:Choice Requires="x14">
        <oleObject progId="Equation.DSMT4" shapeId="1185798" r:id="rId15">
          <objectPr defaultSize="0" autoPict="0" altText="" r:id="rId16">
            <anchor moveWithCells="1">
              <from>
                <xdr:col>5</xdr:col>
                <xdr:colOff>38100</xdr:colOff>
                <xdr:row>22</xdr:row>
                <xdr:rowOff>0</xdr:rowOff>
              </from>
              <to>
                <xdr:col>5</xdr:col>
                <xdr:colOff>866775</xdr:colOff>
                <xdr:row>22</xdr:row>
                <xdr:rowOff>504825</xdr:rowOff>
              </to>
            </anchor>
          </objectPr>
        </oleObject>
      </mc:Choice>
      <mc:Fallback>
        <oleObject progId="Equation.DSMT4" shapeId="1185798" r:id="rId15"/>
      </mc:Fallback>
    </mc:AlternateContent>
    <mc:AlternateContent xmlns:mc="http://schemas.openxmlformats.org/markup-compatibility/2006">
      <mc:Choice Requires="x14">
        <oleObject progId="Equation.DSMT4" shapeId="1185799" r:id="rId17">
          <objectPr defaultSize="0" autoPict="0" altText="" r:id="rId18">
            <anchor moveWithCells="1">
              <from>
                <xdr:col>5</xdr:col>
                <xdr:colOff>38100</xdr:colOff>
                <xdr:row>25</xdr:row>
                <xdr:rowOff>66675</xdr:rowOff>
              </from>
              <to>
                <xdr:col>5</xdr:col>
                <xdr:colOff>876300</xdr:colOff>
                <xdr:row>27</xdr:row>
                <xdr:rowOff>114300</xdr:rowOff>
              </to>
            </anchor>
          </objectPr>
        </oleObject>
      </mc:Choice>
      <mc:Fallback>
        <oleObject progId="Equation.DSMT4" shapeId="1185799" r:id="rId17"/>
      </mc:Fallback>
    </mc:AlternateContent>
  </oleObjects>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3"/>
  <sheetViews>
    <sheetView topLeftCell="A7" zoomScale="75" zoomScaleNormal="75" workbookViewId="0">
      <selection activeCell="K3" sqref="K3"/>
    </sheetView>
  </sheetViews>
  <sheetFormatPr defaultColWidth="9" defaultRowHeight="16.5"/>
  <cols>
    <col min="4" max="4" width="11.25" customWidth="1"/>
    <col min="6" max="6" width="15.875"/>
  </cols>
  <sheetData>
    <row r="1" spans="1:16">
      <c r="A1" s="3362" t="s">
        <v>11885</v>
      </c>
      <c r="B1" s="4306"/>
      <c r="C1" s="4306"/>
      <c r="D1" s="4306"/>
      <c r="E1" s="4306"/>
      <c r="F1" s="4306"/>
      <c r="G1" s="4306"/>
      <c r="H1" s="4306"/>
      <c r="I1" s="4306"/>
      <c r="J1" s="4306"/>
      <c r="K1" s="4306"/>
      <c r="L1" s="4306"/>
      <c r="M1" s="4306"/>
    </row>
    <row r="2" spans="1:16" ht="25.5">
      <c r="A2" s="68"/>
      <c r="B2" s="4396" t="s">
        <v>11886</v>
      </c>
      <c r="C2" s="4396"/>
      <c r="D2" s="4396"/>
      <c r="E2" s="3362"/>
      <c r="F2" s="3362"/>
      <c r="G2" s="67"/>
      <c r="H2" s="67"/>
      <c r="I2" s="67"/>
      <c r="J2" s="67"/>
      <c r="K2" s="67"/>
      <c r="L2" s="67"/>
      <c r="M2" s="67"/>
    </row>
    <row r="3" spans="1:16">
      <c r="B3" t="s">
        <v>11887</v>
      </c>
    </row>
    <row r="5" spans="1:16">
      <c r="C5" s="43" t="s">
        <v>2004</v>
      </c>
      <c r="D5" s="43"/>
      <c r="E5" s="44" t="s">
        <v>6102</v>
      </c>
      <c r="F5" s="45">
        <v>1</v>
      </c>
      <c r="G5" s="46"/>
      <c r="H5" t="s">
        <v>11828</v>
      </c>
      <c r="I5" s="43"/>
      <c r="J5" s="46" t="s">
        <v>11764</v>
      </c>
      <c r="K5" s="43">
        <v>9.8000000000000007</v>
      </c>
      <c r="L5" t="s">
        <v>6127</v>
      </c>
    </row>
    <row r="6" spans="1:16" ht="18.75">
      <c r="C6" s="43" t="s">
        <v>11775</v>
      </c>
      <c r="D6" s="43"/>
      <c r="E6" s="69" t="s">
        <v>6084</v>
      </c>
      <c r="F6" s="48">
        <v>0.2</v>
      </c>
      <c r="G6" s="43" t="s">
        <v>6085</v>
      </c>
      <c r="H6" t="s">
        <v>11828</v>
      </c>
      <c r="I6" s="43"/>
      <c r="J6" s="46" t="s">
        <v>11767</v>
      </c>
      <c r="K6" s="43">
        <v>3.1415999999999999</v>
      </c>
      <c r="N6" s="3362"/>
      <c r="O6" s="3362"/>
      <c r="P6" s="3362"/>
    </row>
    <row r="7" spans="1:16" ht="18.75">
      <c r="C7" s="43" t="s">
        <v>11888</v>
      </c>
      <c r="D7" s="43"/>
      <c r="E7" s="69" t="s">
        <v>6073</v>
      </c>
      <c r="F7" s="48">
        <v>367</v>
      </c>
      <c r="G7" s="43" t="s">
        <v>9550</v>
      </c>
      <c r="H7" t="s">
        <v>11828</v>
      </c>
      <c r="N7" s="3362"/>
      <c r="O7" s="3362"/>
      <c r="P7" s="3362"/>
    </row>
    <row r="8" spans="1:16" ht="18.75">
      <c r="C8" s="43" t="s">
        <v>11777</v>
      </c>
      <c r="D8" s="43"/>
      <c r="E8" s="69" t="s">
        <v>11778</v>
      </c>
      <c r="F8" s="51">
        <v>0.3</v>
      </c>
      <c r="G8" s="43"/>
      <c r="H8" t="s">
        <v>11828</v>
      </c>
      <c r="N8" s="3362"/>
      <c r="O8" s="3362"/>
      <c r="P8" s="3362"/>
    </row>
    <row r="9" spans="1:16" ht="18.75">
      <c r="C9" s="70" t="s">
        <v>11889</v>
      </c>
      <c r="D9" s="70"/>
      <c r="E9" s="71" t="s">
        <v>11815</v>
      </c>
      <c r="F9" s="72">
        <f>0.000096</f>
        <v>9.6000000000000002E-5</v>
      </c>
      <c r="G9" s="70" t="s">
        <v>11890</v>
      </c>
      <c r="N9" s="3362"/>
      <c r="O9" s="3362"/>
      <c r="P9" s="3362"/>
    </row>
    <row r="10" spans="1:16" ht="18.75">
      <c r="C10" s="52"/>
      <c r="D10" s="52"/>
      <c r="E10" s="55"/>
      <c r="F10" s="54"/>
      <c r="G10" s="52"/>
      <c r="N10" s="3362"/>
      <c r="O10" s="3362"/>
      <c r="P10" s="3362"/>
    </row>
    <row r="11" spans="1:16">
      <c r="B11" s="56" t="s">
        <v>11782</v>
      </c>
      <c r="C11" s="56"/>
      <c r="D11" s="56"/>
      <c r="E11" s="56"/>
      <c r="F11" s="56"/>
      <c r="N11" s="3362"/>
      <c r="O11" s="3362"/>
      <c r="P11" s="3362"/>
    </row>
    <row r="12" spans="1:16">
      <c r="B12" s="56"/>
      <c r="C12" s="56" t="s">
        <v>6120</v>
      </c>
      <c r="D12" s="56"/>
      <c r="E12" s="57" t="s">
        <v>11783</v>
      </c>
      <c r="F12" s="73" t="s">
        <v>11784</v>
      </c>
      <c r="G12" s="65"/>
      <c r="H12" t="s">
        <v>272</v>
      </c>
      <c r="N12" s="3362"/>
      <c r="O12" s="3362"/>
      <c r="P12" s="3362"/>
    </row>
    <row r="13" spans="1:16">
      <c r="B13" s="56"/>
      <c r="C13" s="56"/>
      <c r="D13" s="56"/>
      <c r="E13" s="57" t="s">
        <v>5934</v>
      </c>
      <c r="F13" s="74">
        <f>F6*F8</f>
        <v>0.06</v>
      </c>
      <c r="G13" t="s">
        <v>6085</v>
      </c>
      <c r="N13" s="3362"/>
      <c r="O13" s="3362"/>
      <c r="P13" s="3362"/>
    </row>
    <row r="14" spans="1:16">
      <c r="B14" s="56" t="s">
        <v>11785</v>
      </c>
      <c r="C14" s="56"/>
      <c r="D14" s="56"/>
      <c r="E14" s="56"/>
      <c r="F14" s="56"/>
      <c r="N14" s="3362"/>
      <c r="O14" s="3362"/>
      <c r="P14" s="3362"/>
    </row>
    <row r="15" spans="1:16" ht="18.75">
      <c r="B15" s="56"/>
      <c r="C15" s="56" t="s">
        <v>11786</v>
      </c>
      <c r="D15" s="56"/>
      <c r="E15" s="57" t="s">
        <v>11787</v>
      </c>
      <c r="I15" s="75"/>
      <c r="N15" s="3362"/>
      <c r="O15" s="3362"/>
      <c r="P15" s="3362"/>
    </row>
    <row r="16" spans="1:16" ht="18.75">
      <c r="B16" s="56"/>
      <c r="C16" s="56"/>
      <c r="D16" s="56"/>
      <c r="E16" s="57"/>
      <c r="F16" s="75"/>
      <c r="I16" s="75"/>
      <c r="N16" s="3362"/>
      <c r="O16" s="3362"/>
      <c r="P16" s="3362"/>
    </row>
    <row r="17" spans="2:16" ht="18.75">
      <c r="B17" s="56"/>
      <c r="C17" s="56"/>
      <c r="D17" s="56"/>
      <c r="E17" s="57" t="s">
        <v>11891</v>
      </c>
      <c r="F17" s="75">
        <f>(F7*K6)/(180*(F13*(F6-F13)))</f>
        <v>762.54444444444403</v>
      </c>
      <c r="G17" t="s">
        <v>11788</v>
      </c>
      <c r="I17" s="75"/>
      <c r="N17" s="3362"/>
      <c r="O17" s="3362"/>
      <c r="P17" s="3362"/>
    </row>
    <row r="18" spans="2:16">
      <c r="B18" s="56"/>
      <c r="C18" s="56"/>
      <c r="D18" s="56"/>
      <c r="E18" s="57"/>
      <c r="F18" s="58"/>
      <c r="G18" s="65"/>
      <c r="N18" s="3362"/>
      <c r="O18" s="3362"/>
      <c r="P18" s="3362"/>
    </row>
    <row r="19" spans="2:16">
      <c r="B19" s="56"/>
      <c r="C19" s="56" t="s">
        <v>11789</v>
      </c>
      <c r="D19" s="56"/>
      <c r="E19" s="57" t="s">
        <v>11892</v>
      </c>
    </row>
    <row r="20" spans="2:16">
      <c r="B20" s="56"/>
      <c r="C20" s="56"/>
      <c r="D20" s="56"/>
      <c r="E20" s="57"/>
      <c r="F20" s="56"/>
    </row>
    <row r="21" spans="2:16">
      <c r="B21" s="56"/>
      <c r="C21" s="56"/>
      <c r="D21" s="56"/>
      <c r="E21" s="57" t="s">
        <v>11891</v>
      </c>
      <c r="F21" s="56">
        <f>(F17*F13/(2*K6))*60</f>
        <v>436.90476190476198</v>
      </c>
      <c r="G21" t="s">
        <v>2016</v>
      </c>
    </row>
    <row r="22" spans="2:16">
      <c r="B22" s="65"/>
      <c r="D22" s="3362"/>
      <c r="E22" s="3362"/>
    </row>
    <row r="23" spans="2:16" ht="18.75">
      <c r="C23" t="s">
        <v>11791</v>
      </c>
      <c r="E23" s="62" t="s">
        <v>11792</v>
      </c>
      <c r="F23" t="s">
        <v>11793</v>
      </c>
    </row>
    <row r="24" spans="2:16" ht="18">
      <c r="E24" s="62" t="s">
        <v>5934</v>
      </c>
      <c r="F24">
        <f>F5*F17</f>
        <v>762.54444444444403</v>
      </c>
      <c r="G24" t="s">
        <v>11788</v>
      </c>
    </row>
    <row r="26" spans="2:16" ht="18.75">
      <c r="C26" t="s">
        <v>11794</v>
      </c>
      <c r="E26" s="62" t="s">
        <v>11795</v>
      </c>
      <c r="F26" t="s">
        <v>11893</v>
      </c>
    </row>
    <row r="27" spans="2:16">
      <c r="E27" s="62" t="s">
        <v>5934</v>
      </c>
      <c r="F27">
        <f>F21*F5</f>
        <v>436.90476190476198</v>
      </c>
      <c r="G27" t="s">
        <v>2016</v>
      </c>
    </row>
    <row r="29" spans="2:16">
      <c r="C29" t="s">
        <v>11894</v>
      </c>
      <c r="E29" s="62" t="s">
        <v>6097</v>
      </c>
      <c r="F29" t="s">
        <v>11895</v>
      </c>
    </row>
    <row r="30" spans="2:16">
      <c r="E30" s="62" t="s">
        <v>5934</v>
      </c>
      <c r="F30">
        <f>F9*F24</f>
        <v>7.3204266666666698E-2</v>
      </c>
      <c r="G30" t="s">
        <v>11801</v>
      </c>
    </row>
    <row r="32" spans="2:16">
      <c r="E32" s="62" t="s">
        <v>11896</v>
      </c>
      <c r="F32" t="s">
        <v>11897</v>
      </c>
    </row>
    <row r="33" spans="5:7">
      <c r="E33" s="62" t="s">
        <v>5934</v>
      </c>
      <c r="F33">
        <f>2*F30</f>
        <v>0.14640853333333301</v>
      </c>
      <c r="G33" t="s">
        <v>11801</v>
      </c>
    </row>
  </sheetData>
  <mergeCells count="4">
    <mergeCell ref="A1:M1"/>
    <mergeCell ref="B2:F2"/>
    <mergeCell ref="D22:E22"/>
    <mergeCell ref="N6:P18"/>
  </mergeCells>
  <phoneticPr fontId="378" type="noConversion"/>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186816" r:id="rId3">
          <objectPr defaultSize="0" altText="" r:id="rId4">
            <anchor moveWithCells="1">
              <from>
                <xdr:col>5</xdr:col>
                <xdr:colOff>47625</xdr:colOff>
                <xdr:row>13</xdr:row>
                <xdr:rowOff>104775</xdr:rowOff>
              </from>
              <to>
                <xdr:col>5</xdr:col>
                <xdr:colOff>971550</xdr:colOff>
                <xdr:row>15</xdr:row>
                <xdr:rowOff>190500</xdr:rowOff>
              </to>
            </anchor>
          </objectPr>
        </oleObject>
      </mc:Choice>
      <mc:Fallback>
        <oleObject progId="Equation.DSMT4" shapeId="1186816" r:id="rId3"/>
      </mc:Fallback>
    </mc:AlternateContent>
    <mc:AlternateContent xmlns:mc="http://schemas.openxmlformats.org/markup-compatibility/2006">
      <mc:Choice Requires="x14">
        <oleObject progId="Equation.DSMT4" shapeId="1186817" r:id="rId5">
          <objectPr defaultSize="0" altText="" r:id="rId6">
            <anchor moveWithCells="1">
              <from>
                <xdr:col>5</xdr:col>
                <xdr:colOff>38100</xdr:colOff>
                <xdr:row>17</xdr:row>
                <xdr:rowOff>133350</xdr:rowOff>
              </from>
              <to>
                <xdr:col>5</xdr:col>
                <xdr:colOff>942975</xdr:colOff>
                <xdr:row>19</xdr:row>
                <xdr:rowOff>142875</xdr:rowOff>
              </to>
            </anchor>
          </objectPr>
        </oleObject>
      </mc:Choice>
      <mc:Fallback>
        <oleObject progId="Equation.DSMT4" shapeId="1186817" r:id="rId5"/>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8"/>
  <sheetViews>
    <sheetView workbookViewId="0">
      <selection activeCell="K3" sqref="K3"/>
    </sheetView>
  </sheetViews>
  <sheetFormatPr defaultColWidth="9" defaultRowHeight="16.5"/>
  <cols>
    <col min="1" max="1" width="3.625" customWidth="1"/>
  </cols>
  <sheetData>
    <row r="1" spans="1:12">
      <c r="A1" s="3362" t="s">
        <v>11898</v>
      </c>
      <c r="B1" s="3362"/>
      <c r="C1" s="3362"/>
      <c r="D1" s="3362"/>
      <c r="E1" s="3362"/>
      <c r="F1" s="3362"/>
      <c r="G1" s="3362"/>
      <c r="H1" s="3362"/>
      <c r="I1" s="3362"/>
      <c r="J1" s="3362"/>
      <c r="K1" s="3361" t="s">
        <v>12722</v>
      </c>
      <c r="L1" s="3361"/>
    </row>
    <row r="2" spans="1:12">
      <c r="A2" s="3362"/>
      <c r="B2" s="3362"/>
      <c r="C2" s="3362"/>
      <c r="D2" s="3362"/>
      <c r="E2" s="3362"/>
      <c r="F2" s="3362"/>
      <c r="G2" s="3362"/>
      <c r="H2" s="3362"/>
      <c r="I2" s="3362"/>
      <c r="J2" s="3362"/>
      <c r="K2" s="3361"/>
      <c r="L2" s="3361"/>
    </row>
    <row r="3" spans="1:12">
      <c r="A3" t="s">
        <v>11899</v>
      </c>
    </row>
    <row r="4" spans="1:12">
      <c r="B4" t="s">
        <v>11900</v>
      </c>
    </row>
    <row r="5" spans="1:12">
      <c r="B5" t="s">
        <v>11901</v>
      </c>
    </row>
    <row r="6" spans="1:12">
      <c r="B6" t="s">
        <v>11902</v>
      </c>
    </row>
    <row r="8" spans="1:12">
      <c r="B8" t="s">
        <v>11903</v>
      </c>
    </row>
    <row r="9" spans="1:12">
      <c r="B9" t="s">
        <v>11904</v>
      </c>
    </row>
    <row r="10" spans="1:12">
      <c r="B10" t="s">
        <v>11905</v>
      </c>
    </row>
    <row r="11" spans="1:12">
      <c r="B11" t="s">
        <v>11906</v>
      </c>
    </row>
    <row r="13" spans="1:12">
      <c r="A13" t="s">
        <v>11907</v>
      </c>
    </row>
    <row r="15" spans="1:12">
      <c r="B15" t="s">
        <v>11908</v>
      </c>
    </row>
    <row r="16" spans="1:12">
      <c r="B16" t="s">
        <v>11909</v>
      </c>
    </row>
    <row r="17" spans="1:2">
      <c r="B17" t="s">
        <v>11910</v>
      </c>
    </row>
    <row r="18" spans="1:2">
      <c r="B18" t="s">
        <v>11911</v>
      </c>
    </row>
    <row r="19" spans="1:2">
      <c r="B19" t="s">
        <v>11912</v>
      </c>
    </row>
    <row r="23" spans="1:2">
      <c r="A23" t="s">
        <v>11913</v>
      </c>
    </row>
    <row r="24" spans="1:2">
      <c r="A24" t="s">
        <v>11914</v>
      </c>
    </row>
    <row r="25" spans="1:2">
      <c r="A25" t="s">
        <v>11915</v>
      </c>
    </row>
    <row r="26" spans="1:2">
      <c r="A26" t="s">
        <v>11916</v>
      </c>
    </row>
    <row r="27" spans="1:2" ht="18.75">
      <c r="A27" t="s">
        <v>11917</v>
      </c>
    </row>
    <row r="28" spans="1:2">
      <c r="A28" t="s">
        <v>11918</v>
      </c>
    </row>
  </sheetData>
  <mergeCells count="2">
    <mergeCell ref="A1:J2"/>
    <mergeCell ref="K1:L2"/>
  </mergeCells>
  <phoneticPr fontId="378" type="noConversion"/>
  <hyperlinks>
    <hyperlink ref="K1:L2" location="总目录!A1" display="返回目录"/>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progId="Equation.DSMT4" shapeId="1187840" r:id="rId3">
          <objectPr defaultSize="0" autoPict="0" altText="" r:id="rId4">
            <anchor moveWithCells="1">
              <from>
                <xdr:col>2</xdr:col>
                <xdr:colOff>0</xdr:colOff>
                <xdr:row>19</xdr:row>
                <xdr:rowOff>0</xdr:rowOff>
              </from>
              <to>
                <xdr:col>3</xdr:col>
                <xdr:colOff>85725</xdr:colOff>
                <xdr:row>22</xdr:row>
                <xdr:rowOff>0</xdr:rowOff>
              </to>
            </anchor>
          </objectPr>
        </oleObject>
      </mc:Choice>
      <mc:Fallback>
        <oleObject progId="Equation.DSMT4" shapeId="1187840" r:id="rId3"/>
      </mc:Fallback>
    </mc:AlternateContent>
  </oleObject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40"/>
  <sheetViews>
    <sheetView workbookViewId="0">
      <selection activeCell="K1" sqref="K1"/>
    </sheetView>
  </sheetViews>
  <sheetFormatPr defaultColWidth="9" defaultRowHeight="16.5"/>
  <cols>
    <col min="6" max="6" width="12.625"/>
    <col min="8" max="8" width="8.125" customWidth="1"/>
    <col min="11" max="12" width="9.5"/>
  </cols>
  <sheetData>
    <row r="1" spans="2:12" ht="25.5">
      <c r="D1" s="42"/>
      <c r="E1" s="42"/>
      <c r="F1" s="42" t="s">
        <v>11919</v>
      </c>
      <c r="K1" s="3160" t="s">
        <v>12716</v>
      </c>
    </row>
    <row r="2" spans="2:12">
      <c r="B2" t="s">
        <v>11825</v>
      </c>
    </row>
    <row r="4" spans="2:12" ht="18.75">
      <c r="C4" s="43" t="s">
        <v>11920</v>
      </c>
      <c r="D4" s="43"/>
      <c r="E4" s="44" t="s">
        <v>11839</v>
      </c>
      <c r="F4" s="45">
        <v>0.27</v>
      </c>
      <c r="G4" s="46" t="s">
        <v>6088</v>
      </c>
      <c r="H4" s="43" t="s">
        <v>11828</v>
      </c>
      <c r="I4" s="43" t="s">
        <v>11827</v>
      </c>
      <c r="J4" s="46" t="s">
        <v>11829</v>
      </c>
      <c r="K4" s="43">
        <v>9.8000000000000007</v>
      </c>
      <c r="L4" t="s">
        <v>6127</v>
      </c>
    </row>
    <row r="5" spans="2:12" ht="18.75">
      <c r="C5" s="43" t="s">
        <v>11840</v>
      </c>
      <c r="D5" s="43"/>
      <c r="E5" s="44" t="s">
        <v>11841</v>
      </c>
      <c r="F5" s="45">
        <v>0.02</v>
      </c>
      <c r="G5" s="46" t="s">
        <v>6088</v>
      </c>
      <c r="H5" s="43" t="s">
        <v>11828</v>
      </c>
      <c r="I5" s="43"/>
      <c r="J5" s="46" t="s">
        <v>11921</v>
      </c>
      <c r="K5" s="43">
        <v>3.1415999999999999</v>
      </c>
    </row>
    <row r="6" spans="2:12" ht="18.75">
      <c r="C6" s="43" t="s">
        <v>11846</v>
      </c>
      <c r="D6" s="43"/>
      <c r="E6" s="44" t="s">
        <v>11847</v>
      </c>
      <c r="F6" s="45">
        <v>2700</v>
      </c>
      <c r="G6" s="46" t="s">
        <v>10010</v>
      </c>
      <c r="H6" s="43" t="s">
        <v>11828</v>
      </c>
      <c r="I6" s="66"/>
      <c r="J6" s="66"/>
    </row>
    <row r="7" spans="2:12" ht="18.75">
      <c r="C7" s="3362" t="s">
        <v>11922</v>
      </c>
      <c r="D7" s="3362"/>
      <c r="E7" s="47" t="s">
        <v>6407</v>
      </c>
      <c r="F7" s="48">
        <v>12</v>
      </c>
      <c r="G7" s="43" t="s">
        <v>6399</v>
      </c>
      <c r="H7" s="43" t="s">
        <v>11828</v>
      </c>
    </row>
    <row r="8" spans="2:12" ht="18.75">
      <c r="C8" s="49" t="s">
        <v>6469</v>
      </c>
      <c r="D8" s="49"/>
      <c r="E8" s="47" t="s">
        <v>6326</v>
      </c>
      <c r="F8" s="48">
        <v>25</v>
      </c>
      <c r="G8" s="43" t="s">
        <v>11923</v>
      </c>
      <c r="H8" s="43" t="s">
        <v>11828</v>
      </c>
    </row>
    <row r="9" spans="2:12" ht="20.25">
      <c r="C9" s="43" t="s">
        <v>6083</v>
      </c>
      <c r="D9" s="43"/>
      <c r="E9" s="50" t="s">
        <v>11924</v>
      </c>
      <c r="F9" s="45">
        <v>0.2</v>
      </c>
      <c r="G9" s="46" t="s">
        <v>6085</v>
      </c>
      <c r="H9" s="43" t="s">
        <v>11828</v>
      </c>
    </row>
    <row r="10" spans="2:12">
      <c r="C10" s="43" t="s">
        <v>11777</v>
      </c>
      <c r="D10" s="43"/>
      <c r="E10" s="46" t="s">
        <v>11778</v>
      </c>
      <c r="F10" s="51">
        <v>0.1</v>
      </c>
      <c r="G10" s="43"/>
      <c r="H10" s="43" t="s">
        <v>11828</v>
      </c>
    </row>
    <row r="11" spans="2:12" ht="18.75">
      <c r="B11" t="s">
        <v>11857</v>
      </c>
      <c r="C11" s="52"/>
      <c r="D11" s="52"/>
      <c r="E11" s="53"/>
      <c r="F11" s="54"/>
      <c r="G11" s="52"/>
    </row>
    <row r="12" spans="2:12" ht="18.75">
      <c r="C12" s="52" t="s">
        <v>11858</v>
      </c>
      <c r="D12" s="52"/>
      <c r="E12" s="53"/>
      <c r="F12" s="54"/>
      <c r="G12" s="52"/>
    </row>
    <row r="13" spans="2:12" ht="20.25">
      <c r="C13" s="52" t="s">
        <v>11859</v>
      </c>
      <c r="D13" s="52"/>
      <c r="E13" s="55" t="s">
        <v>11860</v>
      </c>
      <c r="F13" s="53" t="s">
        <v>11784</v>
      </c>
      <c r="G13" s="52"/>
    </row>
    <row r="14" spans="2:12">
      <c r="C14" s="56"/>
      <c r="D14" s="56"/>
      <c r="E14" s="57" t="s">
        <v>5934</v>
      </c>
      <c r="F14" s="58">
        <f>F9*F10</f>
        <v>0.02</v>
      </c>
      <c r="G14" t="s">
        <v>6085</v>
      </c>
    </row>
    <row r="15" spans="2:12">
      <c r="B15" s="56"/>
      <c r="C15" s="56"/>
      <c r="D15" s="56"/>
      <c r="E15" s="57"/>
      <c r="F15" s="56"/>
    </row>
    <row r="16" spans="2:12">
      <c r="B16" s="56" t="s">
        <v>11785</v>
      </c>
      <c r="C16" s="56"/>
      <c r="D16" s="56"/>
      <c r="E16" s="57"/>
      <c r="F16" s="56"/>
    </row>
    <row r="17" spans="2:7">
      <c r="C17" s="59" t="s">
        <v>11786</v>
      </c>
      <c r="E17" s="60" t="s">
        <v>11925</v>
      </c>
      <c r="F17" s="61" t="s">
        <v>11926</v>
      </c>
    </row>
    <row r="18" spans="2:7" ht="18">
      <c r="C18" s="56"/>
      <c r="E18" s="62" t="s">
        <v>5934</v>
      </c>
      <c r="F18">
        <f>(2*K5*F8)/60*F14</f>
        <v>5.2359999999999997E-2</v>
      </c>
      <c r="G18" t="s">
        <v>11788</v>
      </c>
    </row>
    <row r="19" spans="2:7">
      <c r="B19" t="s">
        <v>11927</v>
      </c>
    </row>
    <row r="20" spans="2:7">
      <c r="C20" t="s">
        <v>11928</v>
      </c>
      <c r="E20" s="62" t="s">
        <v>11929</v>
      </c>
      <c r="F20" t="s">
        <v>11930</v>
      </c>
    </row>
    <row r="21" spans="2:7" ht="18">
      <c r="F21">
        <f>0.5*F7*F4*F4</f>
        <v>0.43740000000000001</v>
      </c>
      <c r="G21" t="s">
        <v>10261</v>
      </c>
    </row>
    <row r="23" spans="2:7">
      <c r="B23" t="s">
        <v>11797</v>
      </c>
    </row>
    <row r="25" spans="2:7" ht="18.75">
      <c r="C25" s="3362" t="s">
        <v>11866</v>
      </c>
      <c r="D25" s="3362"/>
      <c r="E25" s="62" t="s">
        <v>11800</v>
      </c>
      <c r="F25" s="63">
        <v>0</v>
      </c>
      <c r="G25" t="s">
        <v>11801</v>
      </c>
    </row>
    <row r="26" spans="2:7">
      <c r="C26" s="3362"/>
      <c r="D26" s="3362"/>
      <c r="E26" s="62"/>
    </row>
    <row r="27" spans="2:7">
      <c r="C27" s="3362" t="s">
        <v>11931</v>
      </c>
      <c r="D27" s="3362"/>
      <c r="E27" s="62" t="s">
        <v>11932</v>
      </c>
      <c r="F27" t="s">
        <v>11933</v>
      </c>
    </row>
    <row r="28" spans="2:7">
      <c r="C28" s="64"/>
      <c r="D28" s="64"/>
      <c r="E28" s="62"/>
      <c r="F28">
        <f>(F18+K35)*F21</f>
        <v>2.3383404E-2</v>
      </c>
      <c r="G28" t="s">
        <v>11801</v>
      </c>
    </row>
    <row r="29" spans="2:7">
      <c r="C29" s="64"/>
      <c r="D29" s="64"/>
      <c r="E29" s="62"/>
    </row>
    <row r="30" spans="2:7" ht="18.75">
      <c r="C30" t="s">
        <v>11819</v>
      </c>
      <c r="E30" s="62" t="s">
        <v>6097</v>
      </c>
      <c r="F30" t="s">
        <v>11884</v>
      </c>
    </row>
    <row r="31" spans="2:7">
      <c r="E31" s="62" t="s">
        <v>5934</v>
      </c>
      <c r="F31">
        <f>F28*K37</f>
        <v>4.6766808E-2</v>
      </c>
      <c r="G31" t="s">
        <v>11801</v>
      </c>
    </row>
    <row r="33" spans="2:12">
      <c r="B33" s="65" t="s">
        <v>11837</v>
      </c>
      <c r="E33" s="62" t="s">
        <v>10135</v>
      </c>
      <c r="F33" t="s">
        <v>11934</v>
      </c>
    </row>
    <row r="34" spans="2:12" ht="19.5" customHeight="1">
      <c r="C34" t="s">
        <v>6447</v>
      </c>
      <c r="F34">
        <f>F21/K35</f>
        <v>397.63636363636402</v>
      </c>
    </row>
    <row r="35" spans="2:12" ht="17.25" customHeight="1">
      <c r="I35" t="s">
        <v>11812</v>
      </c>
      <c r="J35" s="65" t="s">
        <v>11813</v>
      </c>
      <c r="K35" s="45">
        <v>1.1000000000000001E-3</v>
      </c>
      <c r="L35" t="s">
        <v>11807</v>
      </c>
    </row>
    <row r="36" spans="2:12">
      <c r="E36" s="62"/>
    </row>
    <row r="37" spans="2:12">
      <c r="I37" t="s">
        <v>2056</v>
      </c>
      <c r="J37" s="65" t="s">
        <v>10131</v>
      </c>
      <c r="K37" s="45">
        <v>2</v>
      </c>
      <c r="L37" t="s">
        <v>11828</v>
      </c>
    </row>
    <row r="38" spans="2:12">
      <c r="B38" t="s">
        <v>11935</v>
      </c>
    </row>
    <row r="40" spans="2:12" ht="18.75">
      <c r="C40" t="s">
        <v>11936</v>
      </c>
      <c r="E40" s="62" t="s">
        <v>11937</v>
      </c>
      <c r="F40">
        <f>F21/(K40*K40*K35)</f>
        <v>11.045454545454501</v>
      </c>
      <c r="I40" t="s">
        <v>11854</v>
      </c>
      <c r="J40" t="s">
        <v>11685</v>
      </c>
      <c r="K40" s="45">
        <v>6</v>
      </c>
    </row>
  </sheetData>
  <mergeCells count="3">
    <mergeCell ref="C7:D7"/>
    <mergeCell ref="C27:D27"/>
    <mergeCell ref="C25:D26"/>
  </mergeCells>
  <phoneticPr fontId="378" type="noConversion"/>
  <hyperlinks>
    <hyperlink ref="K1" location="总目录!A1" display="总目录!A1"/>
  </hyperlinks>
  <pageMargins left="0.75" right="0.75" top="1" bottom="1" header="0.5" footer="0.5"/>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
  <sheetViews>
    <sheetView zoomScale="85" zoomScaleNormal="85" workbookViewId="0">
      <selection activeCell="K2" sqref="K2"/>
    </sheetView>
  </sheetViews>
  <sheetFormatPr defaultColWidth="8.75" defaultRowHeight="16.5"/>
  <cols>
    <col min="12" max="12" width="8.75" customWidth="1"/>
  </cols>
  <sheetData>
    <row r="2" spans="11:11">
      <c r="K2" s="3160" t="s">
        <v>12716</v>
      </c>
    </row>
  </sheetData>
  <phoneticPr fontId="378" type="noConversion"/>
  <hyperlinks>
    <hyperlink ref="K2" location="总目录!A1" display="总目录!A1"/>
  </hyperlinks>
  <pageMargins left="0.75" right="0.75" top="1" bottom="1" header="0.50902777777777797" footer="0.50902777777777797"/>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1"/>
  <sheetViews>
    <sheetView workbookViewId="0">
      <selection activeCell="N7" sqref="N7"/>
    </sheetView>
  </sheetViews>
  <sheetFormatPr defaultColWidth="8.125" defaultRowHeight="13.5"/>
  <cols>
    <col min="1" max="1" width="11.375" style="21" customWidth="1"/>
    <col min="2" max="2" width="14.125" style="21" customWidth="1"/>
    <col min="3" max="3" width="11.5" style="21" customWidth="1"/>
    <col min="4" max="4" width="8.125" style="21"/>
    <col min="5" max="5" width="9.75" style="21" customWidth="1"/>
    <col min="6" max="6" width="16.625" style="21" customWidth="1"/>
    <col min="7" max="7" width="2.5" style="21" customWidth="1"/>
    <col min="8" max="8" width="11.5" style="21" customWidth="1"/>
    <col min="9" max="9" width="22.875" style="21" customWidth="1"/>
    <col min="10" max="10" width="11.5" style="21" customWidth="1"/>
    <col min="11" max="16384" width="8.125" style="21"/>
  </cols>
  <sheetData>
    <row r="1" spans="1:14">
      <c r="A1" s="4569" t="s">
        <v>11938</v>
      </c>
      <c r="B1" s="4569"/>
      <c r="C1" s="4569"/>
      <c r="D1" s="4569"/>
      <c r="E1" s="4569"/>
      <c r="F1" s="4569"/>
      <c r="G1" s="4569"/>
      <c r="H1" s="4569"/>
      <c r="I1" s="4569"/>
      <c r="J1" s="4569"/>
      <c r="K1" s="4569"/>
      <c r="L1" s="4569"/>
      <c r="M1" s="4569"/>
    </row>
    <row r="2" spans="1:14">
      <c r="A2" s="4569"/>
      <c r="B2" s="4569"/>
      <c r="C2" s="4569"/>
      <c r="D2" s="4569"/>
      <c r="E2" s="4569"/>
      <c r="F2" s="4569"/>
      <c r="G2" s="4569"/>
      <c r="H2" s="4569"/>
      <c r="I2" s="4569"/>
      <c r="J2" s="4569"/>
      <c r="K2" s="4569"/>
      <c r="L2" s="4569"/>
      <c r="M2" s="4569"/>
    </row>
    <row r="3" spans="1:14">
      <c r="A3" s="4569"/>
      <c r="B3" s="4569"/>
      <c r="C3" s="4569"/>
      <c r="D3" s="4569"/>
      <c r="E3" s="4569"/>
      <c r="F3" s="4569"/>
      <c r="G3" s="4569"/>
      <c r="H3" s="4569"/>
      <c r="I3" s="4569"/>
      <c r="J3" s="4569"/>
      <c r="K3" s="4569"/>
      <c r="L3" s="4569"/>
      <c r="M3" s="4569"/>
    </row>
    <row r="4" spans="1:14" ht="40.5">
      <c r="A4" s="4570" t="s">
        <v>11939</v>
      </c>
      <c r="B4" s="4570"/>
      <c r="C4" s="4570"/>
      <c r="D4" s="4570"/>
      <c r="E4" s="22" t="s">
        <v>11940</v>
      </c>
      <c r="F4" s="23">
        <v>0.23599999999999999</v>
      </c>
      <c r="H4" s="4571" t="s">
        <v>11941</v>
      </c>
      <c r="I4" s="4571"/>
      <c r="J4" s="4571"/>
      <c r="K4" s="4571"/>
      <c r="L4" s="35" t="s">
        <v>11942</v>
      </c>
      <c r="M4" s="36">
        <v>6.7000000000000004E-2</v>
      </c>
    </row>
    <row r="5" spans="1:14">
      <c r="A5" s="4570"/>
      <c r="B5" s="4570"/>
      <c r="C5" s="4570"/>
      <c r="D5" s="4570"/>
      <c r="E5" s="24" t="s">
        <v>7434</v>
      </c>
      <c r="F5" s="23">
        <v>6</v>
      </c>
      <c r="H5" s="4572"/>
      <c r="I5" s="4572"/>
      <c r="J5" s="4572"/>
      <c r="K5" s="4572"/>
      <c r="L5" s="28" t="s">
        <v>7434</v>
      </c>
      <c r="M5" s="37">
        <v>4</v>
      </c>
    </row>
    <row r="6" spans="1:14">
      <c r="A6" s="25" t="s">
        <v>11943</v>
      </c>
      <c r="B6" s="26">
        <v>50</v>
      </c>
      <c r="C6" s="21" t="s">
        <v>11944</v>
      </c>
      <c r="D6" s="27">
        <v>2.5</v>
      </c>
      <c r="F6" s="23"/>
      <c r="G6" s="23"/>
      <c r="H6" s="28" t="s">
        <v>11945</v>
      </c>
      <c r="I6" s="38">
        <v>12</v>
      </c>
      <c r="J6" s="37" t="s">
        <v>11944</v>
      </c>
      <c r="K6" s="38">
        <v>1.75</v>
      </c>
      <c r="L6" s="37"/>
      <c r="M6" s="37"/>
    </row>
    <row r="7" spans="1:14" ht="16.5">
      <c r="A7" s="28" t="s">
        <v>11946</v>
      </c>
      <c r="B7" s="29">
        <f>C16</f>
        <v>47.293750000000003</v>
      </c>
      <c r="C7" s="3362"/>
      <c r="D7" s="3362"/>
      <c r="E7" s="3362"/>
      <c r="F7" s="3362"/>
      <c r="G7"/>
      <c r="H7" s="28" t="s">
        <v>11947</v>
      </c>
      <c r="I7" s="29">
        <f>J16-2*0.05*K6</f>
        <v>9.9306249999999991</v>
      </c>
      <c r="J7" s="37"/>
      <c r="K7" s="37"/>
      <c r="L7" s="37"/>
      <c r="M7" s="37"/>
      <c r="N7" s="3162" t="s">
        <v>12704</v>
      </c>
    </row>
    <row r="8" spans="1:14" ht="16.5">
      <c r="A8" s="28" t="s">
        <v>11947</v>
      </c>
      <c r="B8" s="29">
        <f>C16+F4</f>
        <v>47.52975</v>
      </c>
      <c r="C8" s="3362"/>
      <c r="D8" s="3362"/>
      <c r="E8" s="3362"/>
      <c r="F8" s="3362"/>
      <c r="G8"/>
      <c r="H8" s="28" t="s">
        <v>11946</v>
      </c>
      <c r="I8" s="29">
        <f>J16-2*0.05*K6-F20</f>
        <v>9.8169600890622206</v>
      </c>
      <c r="J8" s="37"/>
      <c r="K8" s="37"/>
      <c r="L8" s="37"/>
      <c r="M8" s="37"/>
    </row>
    <row r="9" spans="1:14" ht="16.5">
      <c r="A9" s="28" t="s">
        <v>11948</v>
      </c>
      <c r="B9" s="29">
        <f>C17</f>
        <v>48.376249999999999</v>
      </c>
      <c r="C9" s="3362"/>
      <c r="D9" s="3362"/>
      <c r="E9" s="3362"/>
      <c r="F9" s="3362"/>
      <c r="G9"/>
      <c r="H9" s="28" t="s">
        <v>11949</v>
      </c>
      <c r="I9" s="29">
        <f>J17</f>
        <v>10.863375</v>
      </c>
      <c r="J9" s="37"/>
      <c r="K9" s="37"/>
      <c r="L9" s="37"/>
      <c r="M9" s="37"/>
    </row>
    <row r="10" spans="1:14" ht="16.5">
      <c r="A10" s="28" t="s">
        <v>11949</v>
      </c>
      <c r="B10" s="29">
        <f>C17+C21</f>
        <v>48.627991613380303</v>
      </c>
      <c r="C10" s="3362"/>
      <c r="D10" s="3362"/>
      <c r="E10" s="3362"/>
      <c r="F10" s="3362"/>
      <c r="G10"/>
      <c r="H10" s="28" t="s">
        <v>11948</v>
      </c>
      <c r="I10" s="29">
        <f>J17-C22</f>
        <v>10.7724430712498</v>
      </c>
      <c r="J10" s="37"/>
      <c r="K10" s="37"/>
      <c r="L10" s="37"/>
      <c r="M10" s="37"/>
    </row>
    <row r="11" spans="1:14" ht="16.5">
      <c r="A11" s="28" t="s">
        <v>11950</v>
      </c>
      <c r="B11" s="29">
        <f>C20</f>
        <v>50</v>
      </c>
      <c r="C11" s="3362"/>
      <c r="D11" s="3362"/>
      <c r="E11" s="3362"/>
      <c r="F11" s="3362"/>
      <c r="G11"/>
      <c r="H11" s="28" t="s">
        <v>11950</v>
      </c>
      <c r="I11" s="29">
        <f>I6-J18</f>
        <v>11.8368210654465</v>
      </c>
      <c r="J11" s="37"/>
      <c r="K11" s="37"/>
      <c r="L11" s="37"/>
      <c r="M11" s="37"/>
    </row>
    <row r="12" spans="1:14" ht="16.5">
      <c r="A12" s="25"/>
      <c r="C12" s="3362"/>
      <c r="D12" s="3362"/>
      <c r="E12" s="3362"/>
      <c r="F12" s="3362"/>
      <c r="G12"/>
      <c r="H12" s="28" t="s">
        <v>11951</v>
      </c>
      <c r="I12" s="29">
        <f>I6</f>
        <v>12</v>
      </c>
      <c r="J12" s="37"/>
      <c r="K12" s="37"/>
      <c r="L12" s="37"/>
      <c r="M12" s="37"/>
    </row>
    <row r="13" spans="1:14" ht="16.5">
      <c r="A13" s="25"/>
      <c r="C13" s="3362"/>
      <c r="D13" s="3362"/>
      <c r="E13" s="3362"/>
      <c r="F13" s="3362"/>
      <c r="G13"/>
      <c r="H13" s="28"/>
      <c r="I13" s="37"/>
      <c r="J13" s="37"/>
      <c r="K13" s="37"/>
      <c r="L13" s="37"/>
      <c r="M13" s="37"/>
    </row>
    <row r="14" spans="1:14" ht="16.5">
      <c r="A14" s="25"/>
      <c r="C14" s="3362"/>
      <c r="D14" s="3362"/>
      <c r="E14" s="3362"/>
      <c r="F14" s="3362"/>
      <c r="G14"/>
      <c r="H14" s="28"/>
      <c r="I14" s="37"/>
      <c r="J14" s="37"/>
      <c r="K14" s="37"/>
      <c r="L14" s="37"/>
      <c r="M14" s="37"/>
    </row>
    <row r="15" spans="1:14" ht="27">
      <c r="A15" s="25" t="s">
        <v>11952</v>
      </c>
      <c r="C15" s="3362"/>
      <c r="D15" s="3362"/>
      <c r="E15" s="3362"/>
      <c r="F15" s="3362"/>
      <c r="G15"/>
      <c r="H15" s="28"/>
      <c r="I15" s="37"/>
      <c r="J15" s="37"/>
      <c r="K15" s="37"/>
      <c r="L15" s="37"/>
      <c r="M15" s="37"/>
    </row>
    <row r="16" spans="1:14">
      <c r="A16" s="25" t="s">
        <v>11953</v>
      </c>
      <c r="B16" s="21" t="s">
        <v>11954</v>
      </c>
      <c r="C16" s="21">
        <f>B6-1.0825*D6</f>
        <v>47.293750000000003</v>
      </c>
      <c r="F16" s="23"/>
      <c r="G16" s="23"/>
      <c r="H16" s="28" t="s">
        <v>11955</v>
      </c>
      <c r="I16" s="37" t="s">
        <v>11956</v>
      </c>
      <c r="J16" s="37">
        <f>I6-1.0825*K6</f>
        <v>10.105625</v>
      </c>
      <c r="K16" s="37"/>
      <c r="L16" s="37"/>
      <c r="M16" s="37"/>
    </row>
    <row r="17" spans="1:15">
      <c r="A17" s="25" t="s">
        <v>11957</v>
      </c>
      <c r="B17" s="21" t="s">
        <v>11958</v>
      </c>
      <c r="C17" s="21">
        <f>B6-0.6495*D6</f>
        <v>48.376249999999999</v>
      </c>
      <c r="F17" s="23"/>
      <c r="G17" s="23"/>
      <c r="H17" s="28" t="s">
        <v>11959</v>
      </c>
      <c r="I17" s="37" t="s">
        <v>11960</v>
      </c>
      <c r="J17" s="37">
        <f>I6-0.6495*K6</f>
        <v>10.863375</v>
      </c>
      <c r="K17" s="37"/>
      <c r="L17" s="37"/>
      <c r="M17" s="37"/>
    </row>
    <row r="18" spans="1:15" ht="41.25" customHeight="1">
      <c r="A18" s="25" t="s">
        <v>11961</v>
      </c>
      <c r="B18" s="21" t="s">
        <v>11962</v>
      </c>
      <c r="D18" s="24" t="s">
        <v>11963</v>
      </c>
      <c r="E18" s="21" t="s">
        <v>11964</v>
      </c>
      <c r="F18" s="23"/>
      <c r="G18" s="23"/>
      <c r="H18" s="28" t="s">
        <v>6460</v>
      </c>
      <c r="I18" s="37" t="s">
        <v>11965</v>
      </c>
      <c r="J18" s="37">
        <f>IF(M5=4,B24,1)*IF(M5=5,C24,1)*IF(M5=6,D24,1)*IF(M5=7,E24,1)*(180*POWER(K6,0.66666666667)-3.15*POWER(K6,-0.5))*0.001</f>
        <v>0.16317893455346499</v>
      </c>
      <c r="K18" s="37"/>
      <c r="L18" s="37"/>
      <c r="M18" s="37"/>
    </row>
    <row r="19" spans="1:15" ht="26.25" customHeight="1">
      <c r="A19" s="25" t="s">
        <v>11966</v>
      </c>
      <c r="B19" s="21" t="s">
        <v>11967</v>
      </c>
      <c r="C19" s="21">
        <f>I6</f>
        <v>12</v>
      </c>
      <c r="D19" s="24" t="s">
        <v>11968</v>
      </c>
      <c r="E19" s="21" t="s">
        <v>11969</v>
      </c>
      <c r="F19" s="23"/>
      <c r="G19" s="23"/>
      <c r="H19" s="30"/>
      <c r="M19" s="39"/>
    </row>
    <row r="20" spans="1:15" ht="67.5">
      <c r="A20" s="25" t="s">
        <v>11970</v>
      </c>
      <c r="B20" s="21" t="s">
        <v>11971</v>
      </c>
      <c r="C20" s="21">
        <f>B6</f>
        <v>50</v>
      </c>
      <c r="D20" s="24" t="s">
        <v>11972</v>
      </c>
      <c r="E20" s="21" t="s">
        <v>11973</v>
      </c>
      <c r="F20" s="23">
        <f>1.25*C22+0</f>
        <v>0.113664910937776</v>
      </c>
      <c r="G20" s="23"/>
      <c r="H20" s="30"/>
      <c r="M20" s="39"/>
    </row>
    <row r="21" spans="1:15" ht="40.5">
      <c r="A21" s="25" t="s">
        <v>11974</v>
      </c>
      <c r="B21" s="21" t="s">
        <v>11975</v>
      </c>
      <c r="C21" s="21">
        <f>IF(F5=4,B24,1)*IF(F5=5,C24,1)*IF(F5=6,D24,1)*IF(F5=7,E24,1)*118*POWER(D6,0.4)*POWER(B6,0.1)*0.001</f>
        <v>0.25174161338034301</v>
      </c>
      <c r="F21" s="23"/>
      <c r="G21" s="23"/>
      <c r="H21" s="30"/>
      <c r="M21" s="39"/>
    </row>
    <row r="22" spans="1:15" ht="40.5">
      <c r="A22" s="25" t="s">
        <v>11976</v>
      </c>
      <c r="B22" s="21" t="s">
        <v>11977</v>
      </c>
      <c r="C22" s="21">
        <f>IF(M5=4,B24,1)*IF(M5=5,C24,1)*IF(M5=6,D24,1)*IF(M5=7,E24,1)*90*POWER(K6,0.4)*POWER(I6,0.1)*0.001</f>
        <v>9.09319287502207E-2</v>
      </c>
      <c r="F22" s="23"/>
      <c r="G22" s="23"/>
      <c r="H22" s="30"/>
      <c r="J22" s="40"/>
      <c r="M22" s="39"/>
    </row>
    <row r="23" spans="1:15" ht="14.25" customHeight="1">
      <c r="A23" s="25" t="s">
        <v>7434</v>
      </c>
      <c r="B23" s="21">
        <v>4</v>
      </c>
      <c r="C23" s="21">
        <v>5</v>
      </c>
      <c r="D23" s="21">
        <v>6</v>
      </c>
      <c r="E23" s="21">
        <v>7</v>
      </c>
      <c r="F23" s="23"/>
      <c r="G23" s="23"/>
      <c r="H23" s="30"/>
      <c r="M23" s="39"/>
    </row>
    <row r="24" spans="1:15">
      <c r="A24" s="31" t="s">
        <v>11978</v>
      </c>
      <c r="B24" s="32">
        <v>0.63</v>
      </c>
      <c r="C24" s="32">
        <v>0.8</v>
      </c>
      <c r="D24" s="32">
        <v>1</v>
      </c>
      <c r="E24" s="32">
        <v>1.25</v>
      </c>
      <c r="F24" s="32"/>
      <c r="G24" s="32"/>
      <c r="H24" s="33"/>
      <c r="I24" s="32"/>
      <c r="J24" s="32"/>
      <c r="K24" s="32"/>
      <c r="L24" s="32"/>
      <c r="M24" s="41"/>
    </row>
    <row r="26" spans="1:15" ht="27" customHeight="1">
      <c r="A26" s="3362" t="s">
        <v>11979</v>
      </c>
      <c r="B26" s="3362"/>
      <c r="C26" s="3362"/>
      <c r="D26" s="3362"/>
      <c r="E26" s="3362"/>
      <c r="F26" s="3362"/>
      <c r="G26"/>
      <c r="H26" s="34"/>
      <c r="I26" s="3362" t="s">
        <v>11980</v>
      </c>
      <c r="J26" s="3362"/>
      <c r="K26" s="3362"/>
      <c r="L26" s="3362"/>
      <c r="M26" s="3362"/>
      <c r="N26" s="3362"/>
      <c r="O26" s="3362"/>
    </row>
    <row r="27" spans="1:15">
      <c r="H27" s="34"/>
    </row>
    <row r="28" spans="1:15">
      <c r="H28" s="34"/>
    </row>
    <row r="29" spans="1:15">
      <c r="H29" s="34"/>
    </row>
    <row r="30" spans="1:15">
      <c r="H30" s="34"/>
    </row>
    <row r="31" spans="1:15">
      <c r="H31" s="34"/>
    </row>
    <row r="32" spans="1:15">
      <c r="H32" s="34"/>
    </row>
    <row r="33" spans="8:8">
      <c r="H33" s="34"/>
    </row>
    <row r="34" spans="8:8">
      <c r="H34" s="34"/>
    </row>
    <row r="35" spans="8:8">
      <c r="H35" s="34"/>
    </row>
    <row r="36" spans="8:8">
      <c r="H36" s="34"/>
    </row>
    <row r="37" spans="8:8">
      <c r="H37" s="34"/>
    </row>
    <row r="38" spans="8:8">
      <c r="H38" s="34"/>
    </row>
    <row r="39" spans="8:8">
      <c r="H39" s="34"/>
    </row>
    <row r="40" spans="8:8">
      <c r="H40" s="34"/>
    </row>
    <row r="41" spans="8:8">
      <c r="H41" s="34"/>
    </row>
    <row r="42" spans="8:8">
      <c r="H42" s="34"/>
    </row>
    <row r="43" spans="8:8">
      <c r="H43" s="34"/>
    </row>
    <row r="44" spans="8:8">
      <c r="H44" s="34"/>
    </row>
    <row r="45" spans="8:8">
      <c r="H45" s="34"/>
    </row>
    <row r="46" spans="8:8">
      <c r="H46" s="34"/>
    </row>
    <row r="47" spans="8:8">
      <c r="H47" s="34"/>
    </row>
    <row r="48" spans="8:8">
      <c r="H48" s="34"/>
    </row>
    <row r="49" spans="8:15">
      <c r="H49" s="34"/>
    </row>
    <row r="50" spans="8:15">
      <c r="H50" s="34"/>
    </row>
    <row r="51" spans="8:15">
      <c r="H51" s="34"/>
    </row>
    <row r="52" spans="8:15">
      <c r="H52" s="34"/>
    </row>
    <row r="53" spans="8:15">
      <c r="H53" s="34"/>
    </row>
    <row r="54" spans="8:15">
      <c r="H54" s="34"/>
    </row>
    <row r="55" spans="8:15">
      <c r="H55" s="34"/>
    </row>
    <row r="56" spans="8:15">
      <c r="H56" s="34"/>
    </row>
    <row r="57" spans="8:15">
      <c r="H57" s="34"/>
      <c r="O57" s="3162" t="s">
        <v>12704</v>
      </c>
    </row>
    <row r="58" spans="8:15">
      <c r="H58" s="34"/>
    </row>
    <row r="59" spans="8:15">
      <c r="H59" s="34"/>
    </row>
    <row r="60" spans="8:15">
      <c r="H60" s="34"/>
    </row>
    <row r="61" spans="8:15">
      <c r="H61" s="34"/>
    </row>
    <row r="62" spans="8:15">
      <c r="H62" s="34"/>
    </row>
    <row r="63" spans="8:15">
      <c r="H63" s="34"/>
    </row>
    <row r="64" spans="8:15">
      <c r="H64" s="34"/>
    </row>
    <row r="65" spans="8:15">
      <c r="H65" s="34"/>
    </row>
    <row r="66" spans="8:15">
      <c r="H66" s="34"/>
    </row>
    <row r="67" spans="8:15">
      <c r="H67" s="34"/>
    </row>
    <row r="68" spans="8:15">
      <c r="H68" s="34"/>
    </row>
    <row r="69" spans="8:15">
      <c r="H69" s="34"/>
    </row>
    <row r="70" spans="8:15">
      <c r="H70" s="34"/>
    </row>
    <row r="71" spans="8:15">
      <c r="H71" s="34"/>
    </row>
    <row r="72" spans="8:15">
      <c r="H72" s="34"/>
    </row>
    <row r="73" spans="8:15">
      <c r="H73" s="34"/>
    </row>
    <row r="74" spans="8:15">
      <c r="H74" s="34"/>
    </row>
    <row r="75" spans="8:15">
      <c r="H75" s="34"/>
    </row>
    <row r="76" spans="8:15">
      <c r="H76" s="34"/>
    </row>
    <row r="77" spans="8:15">
      <c r="H77" s="34"/>
    </row>
    <row r="78" spans="8:15">
      <c r="H78" s="34"/>
    </row>
    <row r="79" spans="8:15">
      <c r="H79" s="34"/>
    </row>
    <row r="80" spans="8:15">
      <c r="H80" s="34"/>
      <c r="O80" s="3162" t="s">
        <v>12704</v>
      </c>
    </row>
    <row r="81" spans="8:8">
      <c r="H81" s="34"/>
    </row>
  </sheetData>
  <mergeCells count="6">
    <mergeCell ref="A26:F26"/>
    <mergeCell ref="I26:O26"/>
    <mergeCell ref="A1:M3"/>
    <mergeCell ref="A4:D5"/>
    <mergeCell ref="C7:F15"/>
    <mergeCell ref="H4:K5"/>
  </mergeCells>
  <phoneticPr fontId="378" type="noConversion"/>
  <hyperlinks>
    <hyperlink ref="N7" location="总目录!A1" display="返回目录"/>
    <hyperlink ref="O57" location="总目录!A1" display="返回目录"/>
    <hyperlink ref="O80" location="总目录!A1" display="返回目录"/>
  </hyperlinks>
  <pageMargins left="0.75" right="0.75" top="1" bottom="1" header="0.50902777777777797" footer="0.50902777777777797"/>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selection activeCell="K1" sqref="K1"/>
    </sheetView>
  </sheetViews>
  <sheetFormatPr defaultColWidth="8.75" defaultRowHeight="16.5"/>
  <sheetData>
    <row r="1" spans="1:11" ht="42" customHeight="1">
      <c r="A1" s="3362" t="s">
        <v>88</v>
      </c>
      <c r="B1" s="3362"/>
      <c r="C1" s="3362"/>
      <c r="D1" s="3362"/>
      <c r="E1" s="3362"/>
      <c r="F1" s="3362"/>
      <c r="G1" s="3362"/>
      <c r="H1" s="3362"/>
      <c r="I1" s="3362"/>
      <c r="J1" s="3362"/>
      <c r="K1" s="3166" t="s">
        <v>12716</v>
      </c>
    </row>
  </sheetData>
  <mergeCells count="1">
    <mergeCell ref="A1:J1"/>
  </mergeCells>
  <phoneticPr fontId="378" type="noConversion"/>
  <hyperlinks>
    <hyperlink ref="K1" location="总目录!A1" display="总目录!A1"/>
  </hyperlinks>
  <pageMargins left="0.75" right="0.75" top="1" bottom="1" header="0.50902777777777797" footer="0.50902777777777797"/>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R6:R78"/>
  <sheetViews>
    <sheetView topLeftCell="A43" zoomScale="70" zoomScaleNormal="70" workbookViewId="0">
      <selection activeCell="R78" sqref="R78"/>
    </sheetView>
  </sheetViews>
  <sheetFormatPr defaultColWidth="8.75" defaultRowHeight="16.5"/>
  <sheetData>
    <row r="6" spans="18:18">
      <c r="R6" s="3166" t="s">
        <v>12704</v>
      </c>
    </row>
    <row r="55" spans="18:18">
      <c r="R55" s="3166" t="s">
        <v>12704</v>
      </c>
    </row>
    <row r="78" spans="18:18">
      <c r="R78" s="3166" t="s">
        <v>12704</v>
      </c>
    </row>
  </sheetData>
  <phoneticPr fontId="378" type="noConversion"/>
  <hyperlinks>
    <hyperlink ref="R6" location="总目录!A1" display="返回目录"/>
    <hyperlink ref="R55" location="总目录!A1" display="返回目录"/>
    <hyperlink ref="R78" location="总目录!A1" display="返回目录"/>
  </hyperlinks>
  <pageMargins left="0.75" right="0.75" top="1" bottom="1" header="0.50902777777777797" footer="0.50902777777777797"/>
  <pageSetup paperSize="9" scale="54" orientation="portrait"/>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57"/>
  <sheetViews>
    <sheetView workbookViewId="0">
      <selection activeCell="AE2" sqref="AE2:AG3"/>
    </sheetView>
  </sheetViews>
  <sheetFormatPr defaultColWidth="8.125" defaultRowHeight="15.75"/>
  <cols>
    <col min="1" max="1" width="0.375" style="2" customWidth="1"/>
    <col min="2" max="3" width="4.5" style="2" customWidth="1"/>
    <col min="4" max="4" width="5.125" style="2" customWidth="1"/>
    <col min="5" max="6" width="4.25" style="2" customWidth="1"/>
    <col min="7" max="7" width="3.5" style="2" customWidth="1"/>
    <col min="8" max="9" width="4.25" style="2" customWidth="1"/>
    <col min="10" max="10" width="3.5" style="2" customWidth="1"/>
    <col min="11" max="11" width="4.25" style="2" customWidth="1"/>
    <col min="12" max="12" width="2.75" style="2" customWidth="1"/>
    <col min="13" max="13" width="3.5" style="2" customWidth="1"/>
    <col min="14" max="14" width="2.125" style="2" customWidth="1"/>
    <col min="15" max="18" width="3.75" style="2" customWidth="1"/>
    <col min="19" max="19" width="5.25" style="2" customWidth="1"/>
    <col min="20" max="20" width="2.875" style="2" customWidth="1"/>
    <col min="21" max="23" width="3.75" style="2" customWidth="1"/>
    <col min="24" max="26" width="4.5" style="2" customWidth="1"/>
    <col min="27" max="28" width="3.75" style="2" customWidth="1"/>
    <col min="29" max="33" width="4.5" style="2" customWidth="1"/>
    <col min="34" max="16384" width="8.125" style="2"/>
  </cols>
  <sheetData>
    <row r="1" spans="2:33" ht="5.0999999999999996" customHeight="1"/>
    <row r="2" spans="2:33">
      <c r="B2" s="2" t="s">
        <v>11981</v>
      </c>
      <c r="AE2" s="3368" t="s">
        <v>12716</v>
      </c>
      <c r="AF2" s="3368"/>
      <c r="AG2" s="3368"/>
    </row>
    <row r="3" spans="2:33" ht="16.5" thickBot="1">
      <c r="AE3" s="4602"/>
      <c r="AF3" s="4602"/>
      <c r="AG3" s="4602"/>
    </row>
    <row r="4" spans="2:33">
      <c r="B4" s="4603" t="s">
        <v>85</v>
      </c>
      <c r="C4" s="4604"/>
      <c r="D4" s="4604"/>
      <c r="E4" s="4604"/>
      <c r="F4" s="4604"/>
      <c r="G4" s="4604"/>
      <c r="H4" s="4604"/>
      <c r="I4" s="4604"/>
      <c r="J4" s="4604"/>
      <c r="K4" s="4604"/>
      <c r="L4" s="4604"/>
      <c r="M4" s="4604"/>
      <c r="N4" s="4604"/>
      <c r="O4" s="4604"/>
      <c r="P4" s="4604"/>
      <c r="Q4" s="4604"/>
      <c r="R4" s="4604"/>
      <c r="S4" s="4604"/>
      <c r="T4" s="4604"/>
      <c r="U4" s="4604"/>
      <c r="V4" s="4604"/>
      <c r="W4" s="4604"/>
      <c r="X4" s="4604"/>
      <c r="Y4" s="4604"/>
      <c r="Z4" s="4604"/>
      <c r="AA4" s="4604"/>
      <c r="AB4" s="4604"/>
      <c r="AC4" s="4604"/>
      <c r="AD4" s="4604"/>
      <c r="AE4" s="4604"/>
      <c r="AF4" s="4604"/>
      <c r="AG4" s="4605"/>
    </row>
    <row r="5" spans="2:33">
      <c r="B5" s="4606"/>
      <c r="C5" s="4607"/>
      <c r="D5" s="4607"/>
      <c r="E5" s="4607"/>
      <c r="F5" s="4607"/>
      <c r="G5" s="4607"/>
      <c r="H5" s="4607"/>
      <c r="I5" s="4607"/>
      <c r="J5" s="4607"/>
      <c r="K5" s="4607"/>
      <c r="L5" s="4607"/>
      <c r="M5" s="4607"/>
      <c r="N5" s="4607"/>
      <c r="O5" s="4607"/>
      <c r="P5" s="4607"/>
      <c r="Q5" s="4607"/>
      <c r="R5" s="4607"/>
      <c r="S5" s="4607"/>
      <c r="T5" s="4607"/>
      <c r="U5" s="4607"/>
      <c r="V5" s="4607"/>
      <c r="W5" s="4607"/>
      <c r="X5" s="4607"/>
      <c r="Y5" s="4607"/>
      <c r="Z5" s="4607"/>
      <c r="AA5" s="4607"/>
      <c r="AB5" s="4607"/>
      <c r="AC5" s="4607"/>
      <c r="AD5" s="4607"/>
      <c r="AE5" s="4607"/>
      <c r="AF5" s="4607"/>
      <c r="AG5" s="4608"/>
    </row>
    <row r="6" spans="2:33" ht="13.5" customHeight="1">
      <c r="B6" s="4573" t="s">
        <v>7449</v>
      </c>
      <c r="C6" s="4574"/>
      <c r="D6" s="4575" t="s">
        <v>11982</v>
      </c>
      <c r="E6" s="4576"/>
      <c r="F6" s="4576"/>
      <c r="G6" s="4576"/>
      <c r="H6" s="4576"/>
      <c r="I6" s="4576"/>
      <c r="J6" s="4576"/>
      <c r="K6" s="4576"/>
      <c r="L6" s="4576"/>
      <c r="M6" s="4576"/>
      <c r="N6" s="4577"/>
      <c r="O6" s="4575" t="s">
        <v>11983</v>
      </c>
      <c r="P6" s="4576"/>
      <c r="Q6" s="4576"/>
      <c r="R6" s="4576"/>
      <c r="S6" s="4577"/>
      <c r="T6" s="4575" t="s">
        <v>11984</v>
      </c>
      <c r="U6" s="4576"/>
      <c r="V6" s="4576"/>
      <c r="W6" s="4576"/>
      <c r="X6" s="4576"/>
      <c r="Y6" s="4576"/>
      <c r="Z6" s="4576"/>
      <c r="AA6" s="4576"/>
      <c r="AB6" s="4576"/>
      <c r="AC6" s="4576"/>
      <c r="AD6" s="4576"/>
      <c r="AE6" s="4576"/>
      <c r="AF6" s="4576"/>
      <c r="AG6" s="4578"/>
    </row>
    <row r="7" spans="2:33" ht="13.5" customHeight="1">
      <c r="B7" s="4579" t="s">
        <v>11985</v>
      </c>
      <c r="C7" s="4580"/>
      <c r="D7" s="4609" t="s">
        <v>11986</v>
      </c>
      <c r="E7" s="4610"/>
      <c r="F7" s="4610"/>
      <c r="G7" s="4610"/>
      <c r="H7" s="4610"/>
      <c r="I7" s="4610"/>
      <c r="J7" s="4610"/>
      <c r="K7" s="4610"/>
      <c r="L7" s="4610"/>
      <c r="M7" s="4610"/>
      <c r="N7" s="4611"/>
      <c r="O7" s="11" t="s">
        <v>8039</v>
      </c>
      <c r="P7" s="4587" t="s">
        <v>8041</v>
      </c>
      <c r="Q7" s="4587" t="s">
        <v>8042</v>
      </c>
      <c r="R7" s="11" t="s">
        <v>8038</v>
      </c>
      <c r="S7" s="11" t="s">
        <v>11987</v>
      </c>
      <c r="T7" s="4609" t="s">
        <v>11986</v>
      </c>
      <c r="U7" s="4610"/>
      <c r="V7" s="4610"/>
      <c r="W7" s="4610"/>
      <c r="X7" s="4610"/>
      <c r="Y7" s="4610"/>
      <c r="Z7" s="4610"/>
      <c r="AA7" s="4610"/>
      <c r="AB7" s="4610"/>
      <c r="AC7" s="4610"/>
      <c r="AD7" s="4610"/>
      <c r="AE7" s="4610"/>
      <c r="AF7" s="4610"/>
      <c r="AG7" s="4618"/>
    </row>
    <row r="8" spans="2:33">
      <c r="B8" s="4581"/>
      <c r="C8" s="4580"/>
      <c r="D8" s="4612"/>
      <c r="E8" s="4613"/>
      <c r="F8" s="4613"/>
      <c r="G8" s="4613"/>
      <c r="H8" s="4613"/>
      <c r="I8" s="4613"/>
      <c r="J8" s="4613"/>
      <c r="K8" s="4613"/>
      <c r="L8" s="4613"/>
      <c r="M8" s="4613"/>
      <c r="N8" s="4614"/>
      <c r="O8" s="12" t="s">
        <v>11988</v>
      </c>
      <c r="P8" s="4588"/>
      <c r="Q8" s="4588"/>
      <c r="R8" s="12" t="s">
        <v>7343</v>
      </c>
      <c r="S8" s="13" t="s">
        <v>8037</v>
      </c>
      <c r="T8" s="4612"/>
      <c r="U8" s="4613"/>
      <c r="V8" s="4613"/>
      <c r="W8" s="4613"/>
      <c r="X8" s="4613"/>
      <c r="Y8" s="4613"/>
      <c r="Z8" s="4613"/>
      <c r="AA8" s="4613"/>
      <c r="AB8" s="4613"/>
      <c r="AC8" s="4613"/>
      <c r="AD8" s="4613"/>
      <c r="AE8" s="4613"/>
      <c r="AF8" s="4613"/>
      <c r="AG8" s="4619"/>
    </row>
    <row r="9" spans="2:33">
      <c r="B9" s="4582"/>
      <c r="C9" s="4583"/>
      <c r="D9" s="4615"/>
      <c r="E9" s="4616"/>
      <c r="F9" s="4616"/>
      <c r="G9" s="4616"/>
      <c r="H9" s="4616"/>
      <c r="I9" s="4616"/>
      <c r="J9" s="4616"/>
      <c r="K9" s="4616"/>
      <c r="L9" s="4616"/>
      <c r="M9" s="4616"/>
      <c r="N9" s="4617"/>
      <c r="O9" s="14" t="s">
        <v>8040</v>
      </c>
      <c r="P9" s="4589"/>
      <c r="Q9" s="4589"/>
      <c r="R9" s="14" t="s">
        <v>8041</v>
      </c>
      <c r="S9" s="15" t="s">
        <v>11989</v>
      </c>
      <c r="T9" s="4615"/>
      <c r="U9" s="4616"/>
      <c r="V9" s="4616"/>
      <c r="W9" s="4616"/>
      <c r="X9" s="4616"/>
      <c r="Y9" s="4616"/>
      <c r="Z9" s="4616"/>
      <c r="AA9" s="4616"/>
      <c r="AB9" s="4616"/>
      <c r="AC9" s="4616"/>
      <c r="AD9" s="4616"/>
      <c r="AE9" s="4616"/>
      <c r="AF9" s="4616"/>
      <c r="AG9" s="4620"/>
    </row>
    <row r="10" spans="2:33" ht="13.5" customHeight="1">
      <c r="B10" s="3" t="s">
        <v>7342</v>
      </c>
      <c r="C10" s="4" t="s">
        <v>7343</v>
      </c>
      <c r="D10" s="5" t="s">
        <v>5899</v>
      </c>
      <c r="E10" s="5" t="s">
        <v>5900</v>
      </c>
      <c r="F10" s="5" t="s">
        <v>5901</v>
      </c>
      <c r="G10" s="5" t="s">
        <v>11990</v>
      </c>
      <c r="H10" s="5" t="s">
        <v>6565</v>
      </c>
      <c r="I10" s="5" t="s">
        <v>8231</v>
      </c>
      <c r="J10" s="5" t="s">
        <v>11991</v>
      </c>
      <c r="K10" s="5" t="s">
        <v>8068</v>
      </c>
      <c r="L10" s="5" t="s">
        <v>11992</v>
      </c>
      <c r="M10" s="5" t="s">
        <v>6429</v>
      </c>
      <c r="N10" s="5" t="s">
        <v>8104</v>
      </c>
      <c r="O10" s="4584" t="s">
        <v>11993</v>
      </c>
      <c r="P10" s="4585"/>
      <c r="Q10" s="4586"/>
      <c r="R10" s="4584" t="s">
        <v>9142</v>
      </c>
      <c r="S10" s="4586"/>
      <c r="T10" s="5" t="s">
        <v>6088</v>
      </c>
      <c r="U10" s="5" t="s">
        <v>6569</v>
      </c>
      <c r="V10" s="5" t="s">
        <v>6689</v>
      </c>
      <c r="W10" s="5" t="s">
        <v>6035</v>
      </c>
      <c r="X10" s="16" t="s">
        <v>6085</v>
      </c>
      <c r="Y10" s="5" t="s">
        <v>6345</v>
      </c>
      <c r="Z10" s="5" t="s">
        <v>9327</v>
      </c>
      <c r="AA10" s="16" t="s">
        <v>8083</v>
      </c>
      <c r="AB10" s="5" t="s">
        <v>5929</v>
      </c>
      <c r="AC10" s="5" t="s">
        <v>6135</v>
      </c>
      <c r="AD10" s="5" t="s">
        <v>11033</v>
      </c>
      <c r="AE10" s="5" t="s">
        <v>11994</v>
      </c>
      <c r="AF10" s="5" t="s">
        <v>11995</v>
      </c>
      <c r="AG10" s="18" t="s">
        <v>11996</v>
      </c>
    </row>
    <row r="11" spans="2:33">
      <c r="B11" s="6" t="s">
        <v>8075</v>
      </c>
      <c r="C11" s="7">
        <v>3</v>
      </c>
      <c r="D11" s="7">
        <v>-270</v>
      </c>
      <c r="E11" s="7">
        <v>-140</v>
      </c>
      <c r="F11" s="7">
        <v>-60</v>
      </c>
      <c r="G11" s="7">
        <v>-34</v>
      </c>
      <c r="H11" s="7">
        <v>-20</v>
      </c>
      <c r="I11" s="7">
        <v>-14</v>
      </c>
      <c r="J11" s="7">
        <v>-10</v>
      </c>
      <c r="K11" s="7">
        <v>-6</v>
      </c>
      <c r="L11" s="7">
        <v>-4</v>
      </c>
      <c r="M11" s="7">
        <v>-2</v>
      </c>
      <c r="N11" s="7">
        <v>0</v>
      </c>
      <c r="O11" s="7">
        <v>-2</v>
      </c>
      <c r="P11" s="7">
        <v>-4</v>
      </c>
      <c r="Q11" s="7">
        <v>-6</v>
      </c>
      <c r="R11" s="7">
        <v>0</v>
      </c>
      <c r="S11" s="7">
        <v>0</v>
      </c>
      <c r="T11" s="7">
        <v>2</v>
      </c>
      <c r="U11" s="7">
        <v>4</v>
      </c>
      <c r="V11" s="7">
        <v>6</v>
      </c>
      <c r="W11" s="7">
        <v>10</v>
      </c>
      <c r="X11" s="7">
        <v>14</v>
      </c>
      <c r="Y11" s="17"/>
      <c r="Z11" s="7">
        <v>18</v>
      </c>
      <c r="AA11" s="17"/>
      <c r="AB11" s="7">
        <v>20</v>
      </c>
      <c r="AC11" s="17"/>
      <c r="AD11" s="7">
        <v>26</v>
      </c>
      <c r="AE11" s="7">
        <v>32</v>
      </c>
      <c r="AF11" s="7">
        <v>40</v>
      </c>
      <c r="AG11" s="19">
        <v>60</v>
      </c>
    </row>
    <row r="12" spans="2:33">
      <c r="B12" s="8">
        <v>3</v>
      </c>
      <c r="C12" s="7">
        <v>6</v>
      </c>
      <c r="D12" s="7">
        <v>-270</v>
      </c>
      <c r="E12" s="7">
        <v>-140</v>
      </c>
      <c r="F12" s="7">
        <v>-70</v>
      </c>
      <c r="G12" s="7">
        <v>-46</v>
      </c>
      <c r="H12" s="7">
        <v>-30</v>
      </c>
      <c r="I12" s="7">
        <v>-20</v>
      </c>
      <c r="J12" s="7">
        <v>-14</v>
      </c>
      <c r="K12" s="7">
        <v>-10</v>
      </c>
      <c r="L12" s="7">
        <v>-6</v>
      </c>
      <c r="M12" s="7">
        <v>-4</v>
      </c>
      <c r="N12" s="7">
        <v>0</v>
      </c>
      <c r="O12" s="7">
        <v>-2</v>
      </c>
      <c r="P12" s="7">
        <v>-4</v>
      </c>
      <c r="Q12" s="17"/>
      <c r="R12" s="7">
        <v>1</v>
      </c>
      <c r="S12" s="7">
        <v>0</v>
      </c>
      <c r="T12" s="7">
        <v>4</v>
      </c>
      <c r="U12" s="7">
        <v>8</v>
      </c>
      <c r="V12" s="7">
        <v>12</v>
      </c>
      <c r="W12" s="7">
        <v>15</v>
      </c>
      <c r="X12" s="7">
        <v>19</v>
      </c>
      <c r="Y12" s="17"/>
      <c r="Z12" s="7">
        <v>23</v>
      </c>
      <c r="AA12" s="17"/>
      <c r="AB12" s="7">
        <v>28</v>
      </c>
      <c r="AC12" s="17"/>
      <c r="AD12" s="7">
        <v>35</v>
      </c>
      <c r="AE12" s="7">
        <v>42</v>
      </c>
      <c r="AF12" s="7">
        <v>50</v>
      </c>
      <c r="AG12" s="19">
        <v>80</v>
      </c>
    </row>
    <row r="13" spans="2:33">
      <c r="B13" s="8">
        <v>6</v>
      </c>
      <c r="C13" s="7">
        <v>10</v>
      </c>
      <c r="D13" s="7">
        <v>-280</v>
      </c>
      <c r="E13" s="7">
        <v>-150</v>
      </c>
      <c r="F13" s="7">
        <v>-80</v>
      </c>
      <c r="G13" s="7">
        <v>-56</v>
      </c>
      <c r="H13" s="7">
        <v>-40</v>
      </c>
      <c r="I13" s="7">
        <v>-25</v>
      </c>
      <c r="J13" s="7">
        <v>-18</v>
      </c>
      <c r="K13" s="7">
        <v>-13</v>
      </c>
      <c r="L13" s="7">
        <v>-8</v>
      </c>
      <c r="M13" s="7">
        <v>-5</v>
      </c>
      <c r="N13" s="7">
        <v>0</v>
      </c>
      <c r="O13" s="7">
        <v>-2</v>
      </c>
      <c r="P13" s="7">
        <v>-5</v>
      </c>
      <c r="Q13" s="17"/>
      <c r="R13" s="7">
        <v>1</v>
      </c>
      <c r="S13" s="7">
        <v>0</v>
      </c>
      <c r="T13" s="7">
        <v>6</v>
      </c>
      <c r="U13" s="7">
        <v>10</v>
      </c>
      <c r="V13" s="7">
        <v>15</v>
      </c>
      <c r="W13" s="7">
        <v>19</v>
      </c>
      <c r="X13" s="7">
        <v>23</v>
      </c>
      <c r="Y13" s="17"/>
      <c r="Z13" s="7">
        <v>28</v>
      </c>
      <c r="AA13" s="17"/>
      <c r="AB13" s="7">
        <v>34</v>
      </c>
      <c r="AC13" s="17"/>
      <c r="AD13" s="7">
        <v>42</v>
      </c>
      <c r="AE13" s="7" t="s">
        <v>11997</v>
      </c>
      <c r="AF13" s="7">
        <v>67</v>
      </c>
      <c r="AG13" s="19">
        <v>97</v>
      </c>
    </row>
    <row r="14" spans="2:33">
      <c r="B14" s="8">
        <v>10</v>
      </c>
      <c r="C14" s="7">
        <v>14</v>
      </c>
      <c r="D14" s="4596">
        <v>-290</v>
      </c>
      <c r="E14" s="4596">
        <v>-150</v>
      </c>
      <c r="F14" s="4596">
        <v>-95</v>
      </c>
      <c r="G14" s="4598"/>
      <c r="H14" s="4596">
        <v>-50</v>
      </c>
      <c r="I14" s="4596">
        <v>-32</v>
      </c>
      <c r="J14" s="4598"/>
      <c r="K14" s="4596">
        <v>-16</v>
      </c>
      <c r="L14" s="4598"/>
      <c r="M14" s="4596">
        <v>-6</v>
      </c>
      <c r="N14" s="4596">
        <v>0</v>
      </c>
      <c r="O14" s="4596">
        <v>-3</v>
      </c>
      <c r="P14" s="4596">
        <v>-6</v>
      </c>
      <c r="Q14" s="4598"/>
      <c r="R14" s="4596">
        <v>1</v>
      </c>
      <c r="S14" s="4596">
        <v>0</v>
      </c>
      <c r="T14" s="4596">
        <v>7</v>
      </c>
      <c r="U14" s="4596">
        <v>12</v>
      </c>
      <c r="V14" s="4596">
        <v>18</v>
      </c>
      <c r="W14" s="4596">
        <v>23</v>
      </c>
      <c r="X14" s="4596">
        <v>28</v>
      </c>
      <c r="Y14" s="4598"/>
      <c r="Z14" s="4596">
        <v>33</v>
      </c>
      <c r="AA14" s="17"/>
      <c r="AB14" s="7">
        <v>40</v>
      </c>
      <c r="AC14" s="17"/>
      <c r="AD14" s="7">
        <v>50</v>
      </c>
      <c r="AE14" s="7">
        <v>64</v>
      </c>
      <c r="AF14" s="7">
        <v>90</v>
      </c>
      <c r="AG14" s="19">
        <v>130</v>
      </c>
    </row>
    <row r="15" spans="2:33">
      <c r="B15" s="8">
        <v>14</v>
      </c>
      <c r="C15" s="7">
        <v>18</v>
      </c>
      <c r="D15" s="4597"/>
      <c r="E15" s="4597"/>
      <c r="F15" s="4597"/>
      <c r="G15" s="4599"/>
      <c r="H15" s="4597"/>
      <c r="I15" s="4597"/>
      <c r="J15" s="4599"/>
      <c r="K15" s="4597"/>
      <c r="L15" s="4599"/>
      <c r="M15" s="4597"/>
      <c r="N15" s="4597"/>
      <c r="O15" s="4597"/>
      <c r="P15" s="4597"/>
      <c r="Q15" s="4599"/>
      <c r="R15" s="4597"/>
      <c r="S15" s="4597"/>
      <c r="T15" s="4597"/>
      <c r="U15" s="4597"/>
      <c r="V15" s="4597"/>
      <c r="W15" s="4597"/>
      <c r="X15" s="4597"/>
      <c r="Y15" s="4599"/>
      <c r="Z15" s="4597"/>
      <c r="AA15" s="7">
        <v>39</v>
      </c>
      <c r="AB15" s="7">
        <v>45</v>
      </c>
      <c r="AC15" s="17"/>
      <c r="AD15" s="7">
        <v>60</v>
      </c>
      <c r="AE15" s="7">
        <v>77</v>
      </c>
      <c r="AF15" s="7">
        <v>108</v>
      </c>
      <c r="AG15" s="19">
        <v>150</v>
      </c>
    </row>
    <row r="16" spans="2:33">
      <c r="B16" s="8">
        <v>18</v>
      </c>
      <c r="C16" s="7">
        <v>24</v>
      </c>
      <c r="D16" s="4596">
        <v>-300</v>
      </c>
      <c r="E16" s="4596">
        <v>-160</v>
      </c>
      <c r="F16" s="4596">
        <v>-110</v>
      </c>
      <c r="G16" s="4598"/>
      <c r="H16" s="4596">
        <v>-65</v>
      </c>
      <c r="I16" s="4596">
        <v>-40</v>
      </c>
      <c r="J16" s="4598"/>
      <c r="K16" s="4596">
        <v>-20</v>
      </c>
      <c r="L16" s="4598"/>
      <c r="M16" s="4596">
        <v>-7</v>
      </c>
      <c r="N16" s="4596">
        <v>0</v>
      </c>
      <c r="O16" s="4596">
        <v>-4</v>
      </c>
      <c r="P16" s="4596">
        <v>-8</v>
      </c>
      <c r="Q16" s="4598"/>
      <c r="R16" s="4596">
        <v>2</v>
      </c>
      <c r="S16" s="4596">
        <v>0</v>
      </c>
      <c r="T16" s="4596">
        <v>8</v>
      </c>
      <c r="U16" s="4596">
        <v>15</v>
      </c>
      <c r="V16" s="4596">
        <v>22</v>
      </c>
      <c r="W16" s="4596">
        <v>28</v>
      </c>
      <c r="X16" s="4596">
        <v>35</v>
      </c>
      <c r="Y16" s="17"/>
      <c r="Z16" s="7">
        <v>41</v>
      </c>
      <c r="AA16" s="7">
        <v>47</v>
      </c>
      <c r="AB16" s="7">
        <v>54</v>
      </c>
      <c r="AC16" s="7">
        <v>63</v>
      </c>
      <c r="AD16" s="7">
        <v>73</v>
      </c>
      <c r="AE16" s="7">
        <v>98</v>
      </c>
      <c r="AF16" s="7">
        <v>136</v>
      </c>
      <c r="AG16" s="19">
        <v>188</v>
      </c>
    </row>
    <row r="17" spans="2:33">
      <c r="B17" s="8">
        <v>24</v>
      </c>
      <c r="C17" s="7">
        <v>30</v>
      </c>
      <c r="D17" s="4597"/>
      <c r="E17" s="4597"/>
      <c r="F17" s="4597"/>
      <c r="G17" s="4599"/>
      <c r="H17" s="4597"/>
      <c r="I17" s="4597"/>
      <c r="J17" s="4599"/>
      <c r="K17" s="4597"/>
      <c r="L17" s="4599"/>
      <c r="M17" s="4597"/>
      <c r="N17" s="4597"/>
      <c r="O17" s="4597"/>
      <c r="P17" s="4597"/>
      <c r="Q17" s="4599"/>
      <c r="R17" s="4597"/>
      <c r="S17" s="4597"/>
      <c r="T17" s="4597"/>
      <c r="U17" s="4597"/>
      <c r="V17" s="4597"/>
      <c r="W17" s="4597"/>
      <c r="X17" s="4597"/>
      <c r="Y17" s="7">
        <v>41</v>
      </c>
      <c r="Z17" s="7">
        <v>48</v>
      </c>
      <c r="AA17" s="7">
        <v>55</v>
      </c>
      <c r="AB17" s="7">
        <v>64</v>
      </c>
      <c r="AC17" s="7">
        <v>75</v>
      </c>
      <c r="AD17" s="7">
        <v>88</v>
      </c>
      <c r="AE17" s="7">
        <v>118</v>
      </c>
      <c r="AF17" s="7">
        <v>160</v>
      </c>
      <c r="AG17" s="19">
        <v>218</v>
      </c>
    </row>
    <row r="18" spans="2:33">
      <c r="B18" s="8">
        <v>30</v>
      </c>
      <c r="C18" s="7">
        <v>40</v>
      </c>
      <c r="D18" s="7">
        <v>-310</v>
      </c>
      <c r="E18" s="7">
        <v>-170</v>
      </c>
      <c r="F18" s="7">
        <v>-120</v>
      </c>
      <c r="G18" s="4598"/>
      <c r="H18" s="4596">
        <v>-80</v>
      </c>
      <c r="I18" s="4596">
        <v>-50</v>
      </c>
      <c r="J18" s="4598"/>
      <c r="K18" s="4596">
        <v>-25</v>
      </c>
      <c r="L18" s="4598"/>
      <c r="M18" s="4596">
        <v>-9</v>
      </c>
      <c r="N18" s="4596">
        <v>0</v>
      </c>
      <c r="O18" s="4596">
        <v>-5</v>
      </c>
      <c r="P18" s="4596">
        <v>-10</v>
      </c>
      <c r="Q18" s="4598"/>
      <c r="R18" s="4596">
        <v>2</v>
      </c>
      <c r="S18" s="4596">
        <v>0</v>
      </c>
      <c r="T18" s="4596">
        <v>9</v>
      </c>
      <c r="U18" s="4596">
        <v>17</v>
      </c>
      <c r="V18" s="4596">
        <v>26</v>
      </c>
      <c r="W18" s="4596">
        <v>34</v>
      </c>
      <c r="X18" s="4596">
        <v>43</v>
      </c>
      <c r="Y18" s="7">
        <v>48</v>
      </c>
      <c r="Z18" s="7">
        <v>60</v>
      </c>
      <c r="AA18" s="7">
        <v>68</v>
      </c>
      <c r="AB18" s="7">
        <v>80</v>
      </c>
      <c r="AC18" s="7">
        <v>94</v>
      </c>
      <c r="AD18" s="7">
        <v>112</v>
      </c>
      <c r="AE18" s="7">
        <v>148</v>
      </c>
      <c r="AF18" s="7">
        <v>200</v>
      </c>
      <c r="AG18" s="19">
        <v>274</v>
      </c>
    </row>
    <row r="19" spans="2:33">
      <c r="B19" s="8">
        <v>40</v>
      </c>
      <c r="C19" s="7">
        <v>50</v>
      </c>
      <c r="D19" s="7">
        <v>-320</v>
      </c>
      <c r="E19" s="7">
        <v>-180</v>
      </c>
      <c r="F19" s="7">
        <v>-130</v>
      </c>
      <c r="G19" s="4599"/>
      <c r="H19" s="4597"/>
      <c r="I19" s="4597"/>
      <c r="J19" s="4599"/>
      <c r="K19" s="4597"/>
      <c r="L19" s="4599"/>
      <c r="M19" s="4597"/>
      <c r="N19" s="4597"/>
      <c r="O19" s="4597"/>
      <c r="P19" s="4597"/>
      <c r="Q19" s="4599"/>
      <c r="R19" s="4597"/>
      <c r="S19" s="4597"/>
      <c r="T19" s="4597"/>
      <c r="U19" s="4597"/>
      <c r="V19" s="4597"/>
      <c r="W19" s="4597"/>
      <c r="X19" s="4597"/>
      <c r="Y19" s="7">
        <v>54</v>
      </c>
      <c r="Z19" s="7">
        <v>70</v>
      </c>
      <c r="AA19" s="7">
        <v>81</v>
      </c>
      <c r="AB19" s="7">
        <v>97</v>
      </c>
      <c r="AC19" s="7">
        <v>114</v>
      </c>
      <c r="AD19" s="7">
        <v>136</v>
      </c>
      <c r="AE19" s="7">
        <v>180</v>
      </c>
      <c r="AF19" s="7">
        <v>242</v>
      </c>
      <c r="AG19" s="19">
        <v>325</v>
      </c>
    </row>
    <row r="20" spans="2:33">
      <c r="B20" s="8">
        <v>50</v>
      </c>
      <c r="C20" s="7">
        <v>65</v>
      </c>
      <c r="D20" s="7">
        <v>-340</v>
      </c>
      <c r="E20" s="7">
        <v>-190</v>
      </c>
      <c r="F20" s="7">
        <v>-140</v>
      </c>
      <c r="G20" s="4598"/>
      <c r="H20" s="4596">
        <v>-100</v>
      </c>
      <c r="I20" s="4596">
        <v>-60</v>
      </c>
      <c r="J20" s="4598"/>
      <c r="K20" s="4596">
        <v>-30</v>
      </c>
      <c r="L20" s="4598"/>
      <c r="M20" s="4596">
        <v>-10</v>
      </c>
      <c r="N20" s="4596">
        <v>0</v>
      </c>
      <c r="O20" s="4596">
        <v>-7</v>
      </c>
      <c r="P20" s="4596">
        <v>-12</v>
      </c>
      <c r="Q20" s="4598"/>
      <c r="R20" s="4596">
        <v>2</v>
      </c>
      <c r="S20" s="4596">
        <v>0</v>
      </c>
      <c r="T20" s="4596">
        <v>11</v>
      </c>
      <c r="U20" s="4596">
        <v>20</v>
      </c>
      <c r="V20" s="4596">
        <v>32</v>
      </c>
      <c r="W20" s="7">
        <v>41</v>
      </c>
      <c r="X20" s="7">
        <v>53</v>
      </c>
      <c r="Y20" s="7">
        <v>66</v>
      </c>
      <c r="Z20" s="7">
        <v>87</v>
      </c>
      <c r="AA20" s="7">
        <v>102</v>
      </c>
      <c r="AB20" s="7">
        <v>122</v>
      </c>
      <c r="AC20" s="7">
        <v>144</v>
      </c>
      <c r="AD20" s="7">
        <v>172</v>
      </c>
      <c r="AE20" s="7">
        <v>226</v>
      </c>
      <c r="AF20" s="7">
        <v>300</v>
      </c>
      <c r="AG20" s="19">
        <v>405</v>
      </c>
    </row>
    <row r="21" spans="2:33">
      <c r="B21" s="8">
        <v>65</v>
      </c>
      <c r="C21" s="7">
        <v>80</v>
      </c>
      <c r="D21" s="7">
        <v>-360</v>
      </c>
      <c r="E21" s="7">
        <v>-200</v>
      </c>
      <c r="F21" s="7">
        <v>-150</v>
      </c>
      <c r="G21" s="4599"/>
      <c r="H21" s="4597"/>
      <c r="I21" s="4597"/>
      <c r="J21" s="4599"/>
      <c r="K21" s="4597"/>
      <c r="L21" s="4599"/>
      <c r="M21" s="4597"/>
      <c r="N21" s="4597"/>
      <c r="O21" s="4597"/>
      <c r="P21" s="4597"/>
      <c r="Q21" s="4599"/>
      <c r="R21" s="4597"/>
      <c r="S21" s="4597"/>
      <c r="T21" s="4597"/>
      <c r="U21" s="4597"/>
      <c r="V21" s="4597"/>
      <c r="W21" s="7">
        <v>43</v>
      </c>
      <c r="X21" s="7">
        <v>59</v>
      </c>
      <c r="Y21" s="7">
        <v>75</v>
      </c>
      <c r="Z21" s="7">
        <v>102</v>
      </c>
      <c r="AA21" s="7">
        <v>120</v>
      </c>
      <c r="AB21" s="7">
        <v>146</v>
      </c>
      <c r="AC21" s="7">
        <v>174</v>
      </c>
      <c r="AD21" s="7">
        <v>210</v>
      </c>
      <c r="AE21" s="7">
        <v>274</v>
      </c>
      <c r="AF21" s="7">
        <v>360</v>
      </c>
      <c r="AG21" s="19">
        <v>480</v>
      </c>
    </row>
    <row r="22" spans="2:33">
      <c r="B22" s="8">
        <v>80</v>
      </c>
      <c r="C22" s="7">
        <v>100</v>
      </c>
      <c r="D22" s="7">
        <v>-380</v>
      </c>
      <c r="E22" s="7">
        <v>-220</v>
      </c>
      <c r="F22" s="7">
        <v>-170</v>
      </c>
      <c r="G22" s="4598"/>
      <c r="H22" s="4596">
        <v>-120</v>
      </c>
      <c r="I22" s="4596">
        <v>-72</v>
      </c>
      <c r="J22" s="4598"/>
      <c r="K22" s="4596">
        <v>-36</v>
      </c>
      <c r="L22" s="4598"/>
      <c r="M22" s="4596">
        <v>-12</v>
      </c>
      <c r="N22" s="4596">
        <v>0</v>
      </c>
      <c r="O22" s="4596">
        <v>-9</v>
      </c>
      <c r="P22" s="4596">
        <v>-15</v>
      </c>
      <c r="Q22" s="4598"/>
      <c r="R22" s="4596">
        <v>3</v>
      </c>
      <c r="S22" s="4596">
        <v>0</v>
      </c>
      <c r="T22" s="4596">
        <v>13</v>
      </c>
      <c r="U22" s="4596">
        <v>23</v>
      </c>
      <c r="V22" s="4596">
        <v>37</v>
      </c>
      <c r="W22" s="7">
        <v>51</v>
      </c>
      <c r="X22" s="7">
        <v>71</v>
      </c>
      <c r="Y22" s="7">
        <v>91</v>
      </c>
      <c r="Z22" s="7">
        <v>124</v>
      </c>
      <c r="AA22" s="7">
        <v>146</v>
      </c>
      <c r="AB22" s="7">
        <v>178</v>
      </c>
      <c r="AC22" s="7">
        <v>214</v>
      </c>
      <c r="AD22" s="7">
        <v>258</v>
      </c>
      <c r="AE22" s="7">
        <v>335</v>
      </c>
      <c r="AF22" s="7">
        <v>445</v>
      </c>
      <c r="AG22" s="19">
        <v>585</v>
      </c>
    </row>
    <row r="23" spans="2:33">
      <c r="B23" s="8">
        <v>100</v>
      </c>
      <c r="C23" s="7">
        <v>120</v>
      </c>
      <c r="D23" s="7">
        <v>-410</v>
      </c>
      <c r="E23" s="7">
        <v>-240</v>
      </c>
      <c r="F23" s="7">
        <v>-180</v>
      </c>
      <c r="G23" s="4599"/>
      <c r="H23" s="4597"/>
      <c r="I23" s="4597"/>
      <c r="J23" s="4599"/>
      <c r="K23" s="4597"/>
      <c r="L23" s="4599"/>
      <c r="M23" s="4597"/>
      <c r="N23" s="4597"/>
      <c r="O23" s="4597"/>
      <c r="P23" s="4597"/>
      <c r="Q23" s="4599"/>
      <c r="R23" s="4597"/>
      <c r="S23" s="4597"/>
      <c r="T23" s="4597"/>
      <c r="U23" s="4597"/>
      <c r="V23" s="4597"/>
      <c r="W23" s="7">
        <v>54</v>
      </c>
      <c r="X23" s="7">
        <v>79</v>
      </c>
      <c r="Y23" s="7">
        <v>104</v>
      </c>
      <c r="Z23" s="7">
        <v>144</v>
      </c>
      <c r="AA23" s="7">
        <v>172</v>
      </c>
      <c r="AB23" s="7">
        <v>210</v>
      </c>
      <c r="AC23" s="7">
        <v>254</v>
      </c>
      <c r="AD23" s="7">
        <v>310</v>
      </c>
      <c r="AE23" s="7">
        <v>400</v>
      </c>
      <c r="AF23" s="7">
        <v>525</v>
      </c>
      <c r="AG23" s="19">
        <v>690</v>
      </c>
    </row>
    <row r="24" spans="2:33">
      <c r="B24" s="8">
        <v>120</v>
      </c>
      <c r="C24" s="7">
        <v>140</v>
      </c>
      <c r="D24" s="7">
        <v>-460</v>
      </c>
      <c r="E24" s="7">
        <v>-260</v>
      </c>
      <c r="F24" s="7">
        <v>-200</v>
      </c>
      <c r="G24" s="4598"/>
      <c r="H24" s="4596">
        <v>-145</v>
      </c>
      <c r="I24" s="4596">
        <v>-85</v>
      </c>
      <c r="J24" s="4598"/>
      <c r="K24" s="4596">
        <v>-43</v>
      </c>
      <c r="L24" s="4598"/>
      <c r="M24" s="4596">
        <v>-14</v>
      </c>
      <c r="N24" s="4596">
        <v>0</v>
      </c>
      <c r="O24" s="4596">
        <v>-11</v>
      </c>
      <c r="P24" s="4596">
        <v>-18</v>
      </c>
      <c r="Q24" s="4598"/>
      <c r="R24" s="4596">
        <v>3</v>
      </c>
      <c r="S24" s="4596">
        <v>0</v>
      </c>
      <c r="T24" s="4596">
        <v>15</v>
      </c>
      <c r="U24" s="4596">
        <v>27</v>
      </c>
      <c r="V24" s="4596">
        <v>43</v>
      </c>
      <c r="W24" s="7">
        <v>63</v>
      </c>
      <c r="X24" s="7">
        <v>92</v>
      </c>
      <c r="Y24" s="7">
        <v>122</v>
      </c>
      <c r="Z24" s="7">
        <v>170</v>
      </c>
      <c r="AA24" s="7">
        <v>202</v>
      </c>
      <c r="AB24" s="7">
        <v>248</v>
      </c>
      <c r="AC24" s="7">
        <v>300</v>
      </c>
      <c r="AD24" s="7">
        <v>365</v>
      </c>
      <c r="AE24" s="7">
        <v>470</v>
      </c>
      <c r="AF24" s="7">
        <v>620</v>
      </c>
      <c r="AG24" s="19">
        <v>800</v>
      </c>
    </row>
    <row r="25" spans="2:33">
      <c r="B25" s="8">
        <v>140</v>
      </c>
      <c r="C25" s="7">
        <v>160</v>
      </c>
      <c r="D25" s="7">
        <v>-520</v>
      </c>
      <c r="E25" s="7">
        <v>-280</v>
      </c>
      <c r="F25" s="7">
        <v>-210</v>
      </c>
      <c r="G25" s="4600"/>
      <c r="H25" s="4601"/>
      <c r="I25" s="4601"/>
      <c r="J25" s="4600"/>
      <c r="K25" s="4601"/>
      <c r="L25" s="4600"/>
      <c r="M25" s="4601"/>
      <c r="N25" s="4601"/>
      <c r="O25" s="4601"/>
      <c r="P25" s="4601"/>
      <c r="Q25" s="4600"/>
      <c r="R25" s="4601"/>
      <c r="S25" s="4601"/>
      <c r="T25" s="4601"/>
      <c r="U25" s="4601"/>
      <c r="V25" s="4601"/>
      <c r="W25" s="7">
        <v>65</v>
      </c>
      <c r="X25" s="7">
        <v>100</v>
      </c>
      <c r="Y25" s="7">
        <f>+U39</f>
        <v>0</v>
      </c>
      <c r="Z25" s="7">
        <v>190</v>
      </c>
      <c r="AA25" s="7">
        <v>228</v>
      </c>
      <c r="AB25" s="7">
        <v>280</v>
      </c>
      <c r="AC25" s="7">
        <v>340</v>
      </c>
      <c r="AD25" s="7">
        <v>415</v>
      </c>
      <c r="AE25" s="7">
        <v>535</v>
      </c>
      <c r="AF25" s="7">
        <v>700</v>
      </c>
      <c r="AG25" s="19">
        <v>900</v>
      </c>
    </row>
    <row r="26" spans="2:33">
      <c r="B26" s="8">
        <v>160</v>
      </c>
      <c r="C26" s="7">
        <v>180</v>
      </c>
      <c r="D26" s="7">
        <v>-580</v>
      </c>
      <c r="E26" s="7">
        <v>-310</v>
      </c>
      <c r="F26" s="7">
        <v>-230</v>
      </c>
      <c r="G26" s="4599"/>
      <c r="H26" s="4597"/>
      <c r="I26" s="4597"/>
      <c r="J26" s="4599"/>
      <c r="K26" s="4597"/>
      <c r="L26" s="4599"/>
      <c r="M26" s="4597"/>
      <c r="N26" s="4597"/>
      <c r="O26" s="4597"/>
      <c r="P26" s="4597"/>
      <c r="Q26" s="4599"/>
      <c r="R26" s="4597"/>
      <c r="S26" s="4597"/>
      <c r="T26" s="4597"/>
      <c r="U26" s="4597"/>
      <c r="V26" s="4597"/>
      <c r="W26" s="7">
        <v>68</v>
      </c>
      <c r="X26" s="7">
        <v>108</v>
      </c>
      <c r="Y26" s="7">
        <v>146</v>
      </c>
      <c r="Z26" s="7">
        <v>210</v>
      </c>
      <c r="AA26" s="7">
        <v>252</v>
      </c>
      <c r="AB26" s="7">
        <v>310</v>
      </c>
      <c r="AC26" s="7">
        <v>380</v>
      </c>
      <c r="AD26" s="7">
        <v>465</v>
      </c>
      <c r="AE26" s="7">
        <v>600</v>
      </c>
      <c r="AF26" s="7">
        <v>780</v>
      </c>
      <c r="AG26" s="19">
        <v>1000</v>
      </c>
    </row>
    <row r="27" spans="2:33">
      <c r="B27" s="8">
        <v>180</v>
      </c>
      <c r="C27" s="7">
        <v>200</v>
      </c>
      <c r="D27" s="7">
        <v>-660</v>
      </c>
      <c r="E27" s="7">
        <v>-340</v>
      </c>
      <c r="F27" s="7">
        <v>-240</v>
      </c>
      <c r="G27" s="4598"/>
      <c r="H27" s="4596">
        <v>-170</v>
      </c>
      <c r="I27" s="4596">
        <v>-100</v>
      </c>
      <c r="J27" s="4598"/>
      <c r="K27" s="4596">
        <v>-50</v>
      </c>
      <c r="L27" s="4598"/>
      <c r="M27" s="4596">
        <v>-15</v>
      </c>
      <c r="N27" s="4596">
        <v>0</v>
      </c>
      <c r="O27" s="4596">
        <v>-13</v>
      </c>
      <c r="P27" s="4596">
        <v>-21</v>
      </c>
      <c r="Q27" s="4598"/>
      <c r="R27" s="4596">
        <v>4</v>
      </c>
      <c r="S27" s="4596">
        <v>0</v>
      </c>
      <c r="T27" s="4596">
        <v>17</v>
      </c>
      <c r="U27" s="4596">
        <v>31</v>
      </c>
      <c r="V27" s="4596">
        <v>50</v>
      </c>
      <c r="W27" s="7">
        <v>77</v>
      </c>
      <c r="X27" s="7">
        <v>122</v>
      </c>
      <c r="Y27" s="7">
        <v>166</v>
      </c>
      <c r="Z27" s="7">
        <v>236</v>
      </c>
      <c r="AA27" s="7">
        <v>284</v>
      </c>
      <c r="AB27" s="7">
        <v>350</v>
      </c>
      <c r="AC27" s="7">
        <v>425</v>
      </c>
      <c r="AD27" s="7">
        <v>520</v>
      </c>
      <c r="AE27" s="7">
        <v>670</v>
      </c>
      <c r="AF27" s="7">
        <v>880</v>
      </c>
      <c r="AG27" s="19">
        <v>1150</v>
      </c>
    </row>
    <row r="28" spans="2:33">
      <c r="B28" s="8">
        <v>200</v>
      </c>
      <c r="C28" s="7">
        <v>225</v>
      </c>
      <c r="D28" s="7">
        <v>-740</v>
      </c>
      <c r="E28" s="7">
        <v>-380</v>
      </c>
      <c r="F28" s="7">
        <v>-260</v>
      </c>
      <c r="G28" s="4600"/>
      <c r="H28" s="4601"/>
      <c r="I28" s="4601"/>
      <c r="J28" s="4600"/>
      <c r="K28" s="4601"/>
      <c r="L28" s="4600"/>
      <c r="M28" s="4601"/>
      <c r="N28" s="4601"/>
      <c r="O28" s="4601"/>
      <c r="P28" s="4601"/>
      <c r="Q28" s="4600"/>
      <c r="R28" s="4601"/>
      <c r="S28" s="4601"/>
      <c r="T28" s="4601"/>
      <c r="U28" s="4601"/>
      <c r="V28" s="4601"/>
      <c r="W28" s="7">
        <v>80</v>
      </c>
      <c r="X28" s="7">
        <v>130</v>
      </c>
      <c r="Y28" s="7">
        <v>180</v>
      </c>
      <c r="Z28" s="7">
        <v>258</v>
      </c>
      <c r="AA28" s="7">
        <v>310</v>
      </c>
      <c r="AB28" s="7">
        <v>385</v>
      </c>
      <c r="AC28" s="7">
        <v>470</v>
      </c>
      <c r="AD28" s="7">
        <v>575</v>
      </c>
      <c r="AE28" s="7">
        <v>740</v>
      </c>
      <c r="AF28" s="7">
        <v>960</v>
      </c>
      <c r="AG28" s="19">
        <v>1250</v>
      </c>
    </row>
    <row r="29" spans="2:33">
      <c r="B29" s="8">
        <v>225</v>
      </c>
      <c r="C29" s="7">
        <v>250</v>
      </c>
      <c r="D29" s="7">
        <v>-820</v>
      </c>
      <c r="E29" s="7">
        <v>-420</v>
      </c>
      <c r="F29" s="7">
        <v>-280</v>
      </c>
      <c r="G29" s="4599"/>
      <c r="H29" s="4597"/>
      <c r="I29" s="4597"/>
      <c r="J29" s="4599"/>
      <c r="K29" s="4597"/>
      <c r="L29" s="4599"/>
      <c r="M29" s="4597"/>
      <c r="N29" s="4597"/>
      <c r="O29" s="4597"/>
      <c r="P29" s="4597"/>
      <c r="Q29" s="4599"/>
      <c r="R29" s="4597"/>
      <c r="S29" s="4597"/>
      <c r="T29" s="4597"/>
      <c r="U29" s="4597"/>
      <c r="V29" s="4597"/>
      <c r="W29" s="7">
        <v>84</v>
      </c>
      <c r="X29" s="7">
        <v>140</v>
      </c>
      <c r="Y29" s="7">
        <v>196</v>
      </c>
      <c r="Z29" s="7">
        <v>284</v>
      </c>
      <c r="AA29" s="7">
        <v>340</v>
      </c>
      <c r="AB29" s="7">
        <v>425</v>
      </c>
      <c r="AC29" s="7">
        <v>520</v>
      </c>
      <c r="AD29" s="7">
        <v>640</v>
      </c>
      <c r="AE29" s="7">
        <v>820</v>
      </c>
      <c r="AF29" s="7">
        <v>1050</v>
      </c>
      <c r="AG29" s="19">
        <v>1350</v>
      </c>
    </row>
    <row r="30" spans="2:33">
      <c r="B30" s="8">
        <v>250</v>
      </c>
      <c r="C30" s="7">
        <v>280</v>
      </c>
      <c r="D30" s="7">
        <v>-920</v>
      </c>
      <c r="E30" s="7">
        <v>-480</v>
      </c>
      <c r="F30" s="7">
        <v>-300</v>
      </c>
      <c r="G30" s="4598"/>
      <c r="H30" s="4596">
        <v>-190</v>
      </c>
      <c r="I30" s="4596">
        <v>-110</v>
      </c>
      <c r="J30" s="4598"/>
      <c r="K30" s="4596">
        <v>-56</v>
      </c>
      <c r="L30" s="4598"/>
      <c r="M30" s="4596">
        <v>-17</v>
      </c>
      <c r="N30" s="4596">
        <v>0</v>
      </c>
      <c r="O30" s="4596">
        <v>-16</v>
      </c>
      <c r="P30" s="4596">
        <v>-26</v>
      </c>
      <c r="Q30" s="4598"/>
      <c r="R30" s="4596">
        <v>4</v>
      </c>
      <c r="S30" s="4596">
        <v>0</v>
      </c>
      <c r="T30" s="4596">
        <v>20</v>
      </c>
      <c r="U30" s="4596">
        <v>34</v>
      </c>
      <c r="V30" s="4596">
        <v>56</v>
      </c>
      <c r="W30" s="7">
        <v>94</v>
      </c>
      <c r="X30" s="7">
        <v>158</v>
      </c>
      <c r="Y30" s="7">
        <v>218</v>
      </c>
      <c r="Z30" s="7">
        <v>315</v>
      </c>
      <c r="AA30" s="7">
        <v>385</v>
      </c>
      <c r="AB30" s="7">
        <v>475</v>
      </c>
      <c r="AC30" s="7">
        <v>580</v>
      </c>
      <c r="AD30" s="7">
        <v>710</v>
      </c>
      <c r="AE30" s="7">
        <v>920</v>
      </c>
      <c r="AF30" s="7">
        <v>1200</v>
      </c>
      <c r="AG30" s="19">
        <v>1550</v>
      </c>
    </row>
    <row r="31" spans="2:33">
      <c r="B31" s="8">
        <v>280</v>
      </c>
      <c r="C31" s="7">
        <v>315</v>
      </c>
      <c r="D31" s="7">
        <v>-1050</v>
      </c>
      <c r="E31" s="7">
        <v>-540</v>
      </c>
      <c r="F31" s="7">
        <v>-330</v>
      </c>
      <c r="G31" s="4599"/>
      <c r="H31" s="4597"/>
      <c r="I31" s="4597"/>
      <c r="J31" s="4599"/>
      <c r="K31" s="4597"/>
      <c r="L31" s="4599"/>
      <c r="M31" s="4597"/>
      <c r="N31" s="4597"/>
      <c r="O31" s="4597"/>
      <c r="P31" s="4597"/>
      <c r="Q31" s="4599"/>
      <c r="R31" s="4597"/>
      <c r="S31" s="4597"/>
      <c r="T31" s="4597"/>
      <c r="U31" s="4597"/>
      <c r="V31" s="4597"/>
      <c r="W31" s="7">
        <v>98</v>
      </c>
      <c r="X31" s="7">
        <v>170</v>
      </c>
      <c r="Y31" s="7">
        <v>240</v>
      </c>
      <c r="Z31" s="7">
        <v>350</v>
      </c>
      <c r="AA31" s="7">
        <v>425</v>
      </c>
      <c r="AB31" s="7">
        <v>525</v>
      </c>
      <c r="AC31" s="7">
        <v>650</v>
      </c>
      <c r="AD31" s="7">
        <v>790</v>
      </c>
      <c r="AE31" s="7">
        <v>1000</v>
      </c>
      <c r="AF31" s="7">
        <v>1300</v>
      </c>
      <c r="AG31" s="19">
        <v>1700</v>
      </c>
    </row>
    <row r="32" spans="2:33">
      <c r="B32" s="8">
        <v>315</v>
      </c>
      <c r="C32" s="7">
        <v>355</v>
      </c>
      <c r="D32" s="7">
        <v>-1200</v>
      </c>
      <c r="E32" s="7">
        <v>-600</v>
      </c>
      <c r="F32" s="7">
        <v>-360</v>
      </c>
      <c r="G32" s="4598"/>
      <c r="H32" s="4596">
        <v>-210</v>
      </c>
      <c r="I32" s="4596">
        <v>-125</v>
      </c>
      <c r="J32" s="4598"/>
      <c r="K32" s="4596">
        <v>-62</v>
      </c>
      <c r="L32" s="4596"/>
      <c r="M32" s="4596">
        <v>-18</v>
      </c>
      <c r="N32" s="4596">
        <v>0</v>
      </c>
      <c r="O32" s="4596">
        <v>-18</v>
      </c>
      <c r="P32" s="4596">
        <v>-28</v>
      </c>
      <c r="Q32" s="4598"/>
      <c r="R32" s="4596">
        <v>4</v>
      </c>
      <c r="S32" s="4596">
        <v>0</v>
      </c>
      <c r="T32" s="4596">
        <v>21</v>
      </c>
      <c r="U32" s="4596">
        <v>37</v>
      </c>
      <c r="V32" s="4596">
        <v>62</v>
      </c>
      <c r="W32" s="7">
        <v>108</v>
      </c>
      <c r="X32" s="7">
        <v>190</v>
      </c>
      <c r="Y32" s="7">
        <v>268</v>
      </c>
      <c r="Z32" s="7">
        <v>390</v>
      </c>
      <c r="AA32" s="7">
        <v>475</v>
      </c>
      <c r="AB32" s="7">
        <v>590</v>
      </c>
      <c r="AC32" s="7">
        <v>730</v>
      </c>
      <c r="AD32" s="7">
        <v>910</v>
      </c>
      <c r="AE32" s="7">
        <v>1150</v>
      </c>
      <c r="AF32" s="7">
        <v>1500</v>
      </c>
      <c r="AG32" s="19">
        <v>1900</v>
      </c>
    </row>
    <row r="33" spans="2:33">
      <c r="B33" s="8">
        <v>355</v>
      </c>
      <c r="C33" s="7">
        <v>400</v>
      </c>
      <c r="D33" s="7">
        <v>-1350</v>
      </c>
      <c r="E33" s="7">
        <v>-680</v>
      </c>
      <c r="F33" s="7">
        <v>-400</v>
      </c>
      <c r="G33" s="4599"/>
      <c r="H33" s="4597"/>
      <c r="I33" s="4597"/>
      <c r="J33" s="4599"/>
      <c r="K33" s="4597"/>
      <c r="L33" s="4597"/>
      <c r="M33" s="4597"/>
      <c r="N33" s="4597"/>
      <c r="O33" s="4597"/>
      <c r="P33" s="4597"/>
      <c r="Q33" s="4599"/>
      <c r="R33" s="4597"/>
      <c r="S33" s="4597"/>
      <c r="T33" s="4597"/>
      <c r="U33" s="4597"/>
      <c r="V33" s="4597"/>
      <c r="W33" s="7">
        <v>114</v>
      </c>
      <c r="X33" s="7">
        <v>208</v>
      </c>
      <c r="Y33" s="7">
        <v>294</v>
      </c>
      <c r="Z33" s="7">
        <v>435</v>
      </c>
      <c r="AA33" s="7">
        <v>530</v>
      </c>
      <c r="AB33" s="7">
        <v>660</v>
      </c>
      <c r="AC33" s="7">
        <v>820</v>
      </c>
      <c r="AD33" s="7">
        <v>1000</v>
      </c>
      <c r="AE33" s="7">
        <v>1300</v>
      </c>
      <c r="AF33" s="7">
        <v>1650</v>
      </c>
      <c r="AG33" s="19">
        <v>2100</v>
      </c>
    </row>
    <row r="34" spans="2:33">
      <c r="B34" s="8">
        <v>400</v>
      </c>
      <c r="C34" s="7">
        <v>450</v>
      </c>
      <c r="D34" s="7">
        <v>-1500</v>
      </c>
      <c r="E34" s="7">
        <v>-760</v>
      </c>
      <c r="F34" s="7">
        <v>-440</v>
      </c>
      <c r="G34" s="4598"/>
      <c r="H34" s="4596">
        <v>-230</v>
      </c>
      <c r="I34" s="4596">
        <v>-135</v>
      </c>
      <c r="J34" s="4596"/>
      <c r="K34" s="4596">
        <v>-68</v>
      </c>
      <c r="L34" s="4598"/>
      <c r="M34" s="4596">
        <v>-20</v>
      </c>
      <c r="N34" s="4596">
        <v>0</v>
      </c>
      <c r="O34" s="4596">
        <v>-20</v>
      </c>
      <c r="P34" s="4596">
        <v>-32</v>
      </c>
      <c r="Q34" s="4598"/>
      <c r="R34" s="4596">
        <v>5</v>
      </c>
      <c r="S34" s="4596">
        <v>0</v>
      </c>
      <c r="T34" s="4596">
        <v>23</v>
      </c>
      <c r="U34" s="4596">
        <v>40</v>
      </c>
      <c r="V34" s="4596">
        <v>68</v>
      </c>
      <c r="W34" s="7">
        <v>126</v>
      </c>
      <c r="X34" s="7">
        <v>232</v>
      </c>
      <c r="Y34" s="7">
        <v>330</v>
      </c>
      <c r="Z34" s="7">
        <v>490</v>
      </c>
      <c r="AA34" s="7">
        <v>595</v>
      </c>
      <c r="AB34" s="7">
        <v>740</v>
      </c>
      <c r="AC34" s="7">
        <v>920</v>
      </c>
      <c r="AD34" s="7">
        <v>1100</v>
      </c>
      <c r="AE34" s="7">
        <v>1450</v>
      </c>
      <c r="AF34" s="7">
        <v>1850</v>
      </c>
      <c r="AG34" s="19">
        <v>2400</v>
      </c>
    </row>
    <row r="35" spans="2:33">
      <c r="B35" s="8">
        <v>450</v>
      </c>
      <c r="C35" s="7">
        <v>500</v>
      </c>
      <c r="D35" s="7">
        <v>-1650</v>
      </c>
      <c r="E35" s="7">
        <v>-840</v>
      </c>
      <c r="F35" s="7">
        <v>-480</v>
      </c>
      <c r="G35" s="4599"/>
      <c r="H35" s="4597"/>
      <c r="I35" s="4597"/>
      <c r="J35" s="4597"/>
      <c r="K35" s="4597"/>
      <c r="L35" s="4599"/>
      <c r="M35" s="4597"/>
      <c r="N35" s="4597"/>
      <c r="O35" s="4597"/>
      <c r="P35" s="4597"/>
      <c r="Q35" s="4599"/>
      <c r="R35" s="4597"/>
      <c r="S35" s="4597"/>
      <c r="T35" s="4597"/>
      <c r="U35" s="4597"/>
      <c r="V35" s="4597"/>
      <c r="W35" s="7">
        <v>132</v>
      </c>
      <c r="X35" s="7">
        <v>252</v>
      </c>
      <c r="Y35" s="7">
        <v>360</v>
      </c>
      <c r="Z35" s="7">
        <v>540</v>
      </c>
      <c r="AA35" s="7">
        <v>660</v>
      </c>
      <c r="AB35" s="7">
        <v>820</v>
      </c>
      <c r="AC35" s="7">
        <v>1000</v>
      </c>
      <c r="AD35" s="7">
        <v>1250</v>
      </c>
      <c r="AE35" s="7">
        <v>1600</v>
      </c>
      <c r="AF35" s="7">
        <v>2100</v>
      </c>
      <c r="AG35" s="19">
        <v>2600</v>
      </c>
    </row>
    <row r="36" spans="2:33">
      <c r="B36" s="8">
        <v>500</v>
      </c>
      <c r="C36" s="7">
        <v>560</v>
      </c>
      <c r="D36" s="4598"/>
      <c r="E36" s="4598"/>
      <c r="F36" s="4598"/>
      <c r="G36" s="4598"/>
      <c r="H36" s="4596">
        <v>-260</v>
      </c>
      <c r="I36" s="4596">
        <v>-145</v>
      </c>
      <c r="J36" s="4598"/>
      <c r="K36" s="4596">
        <v>-76</v>
      </c>
      <c r="L36" s="4598"/>
      <c r="M36" s="4596">
        <v>-22</v>
      </c>
      <c r="N36" s="4596">
        <v>0</v>
      </c>
      <c r="O36" s="4598"/>
      <c r="P36" s="4598"/>
      <c r="Q36" s="4598"/>
      <c r="R36" s="4596">
        <v>0</v>
      </c>
      <c r="S36" s="4596">
        <v>0</v>
      </c>
      <c r="T36" s="4596">
        <v>26</v>
      </c>
      <c r="U36" s="4596">
        <v>44</v>
      </c>
      <c r="V36" s="4596">
        <v>78</v>
      </c>
      <c r="W36" s="7">
        <v>150</v>
      </c>
      <c r="X36" s="7">
        <v>280</v>
      </c>
      <c r="Y36" s="7">
        <v>400</v>
      </c>
      <c r="Z36" s="7">
        <v>600</v>
      </c>
      <c r="AA36" s="17"/>
      <c r="AB36" s="17"/>
      <c r="AC36" s="17"/>
      <c r="AD36" s="17"/>
      <c r="AE36" s="17"/>
      <c r="AF36" s="17"/>
      <c r="AG36" s="20"/>
    </row>
    <row r="37" spans="2:33">
      <c r="B37" s="8">
        <v>560</v>
      </c>
      <c r="C37" s="7">
        <v>630</v>
      </c>
      <c r="D37" s="4599"/>
      <c r="E37" s="4599"/>
      <c r="F37" s="4599"/>
      <c r="G37" s="4599"/>
      <c r="H37" s="4597"/>
      <c r="I37" s="4597"/>
      <c r="J37" s="4599"/>
      <c r="K37" s="4597"/>
      <c r="L37" s="4599"/>
      <c r="M37" s="4597"/>
      <c r="N37" s="4597"/>
      <c r="O37" s="4599"/>
      <c r="P37" s="4599"/>
      <c r="Q37" s="4599"/>
      <c r="R37" s="4597"/>
      <c r="S37" s="4597"/>
      <c r="T37" s="4597"/>
      <c r="U37" s="4597"/>
      <c r="V37" s="4597"/>
      <c r="W37" s="7">
        <v>155</v>
      </c>
      <c r="X37" s="7">
        <v>310</v>
      </c>
      <c r="Y37" s="7">
        <v>450</v>
      </c>
      <c r="Z37" s="7">
        <v>660</v>
      </c>
      <c r="AA37" s="17"/>
      <c r="AB37" s="17"/>
      <c r="AC37" s="17"/>
      <c r="AD37" s="17"/>
      <c r="AE37" s="17"/>
      <c r="AF37" s="17"/>
      <c r="AG37" s="20"/>
    </row>
    <row r="38" spans="2:33">
      <c r="B38" s="8">
        <v>630</v>
      </c>
      <c r="C38" s="7">
        <v>710</v>
      </c>
      <c r="D38" s="4598"/>
      <c r="E38" s="4598"/>
      <c r="F38" s="4598"/>
      <c r="G38" s="4598"/>
      <c r="H38" s="4596">
        <v>-290</v>
      </c>
      <c r="I38" s="4596">
        <v>-160</v>
      </c>
      <c r="J38" s="4598"/>
      <c r="K38" s="4596">
        <v>-80</v>
      </c>
      <c r="L38" s="4598"/>
      <c r="M38" s="4596">
        <v>-24</v>
      </c>
      <c r="N38" s="4596">
        <v>0</v>
      </c>
      <c r="O38" s="4598"/>
      <c r="P38" s="4598"/>
      <c r="Q38" s="4598"/>
      <c r="R38" s="4596">
        <v>0</v>
      </c>
      <c r="S38" s="4596">
        <v>0</v>
      </c>
      <c r="T38" s="4596">
        <v>30</v>
      </c>
      <c r="U38" s="4596">
        <v>50</v>
      </c>
      <c r="V38" s="4596">
        <v>88</v>
      </c>
      <c r="W38" s="7">
        <v>175</v>
      </c>
      <c r="X38" s="7">
        <v>340</v>
      </c>
      <c r="Y38" s="7">
        <v>500</v>
      </c>
      <c r="Z38" s="7">
        <v>740</v>
      </c>
      <c r="AA38" s="17"/>
      <c r="AB38" s="17"/>
      <c r="AC38" s="17"/>
      <c r="AD38" s="17"/>
      <c r="AE38" s="17"/>
      <c r="AF38" s="17"/>
      <c r="AG38" s="20"/>
    </row>
    <row r="39" spans="2:33">
      <c r="B39" s="8">
        <v>710</v>
      </c>
      <c r="C39" s="7">
        <v>800</v>
      </c>
      <c r="D39" s="4599"/>
      <c r="E39" s="4599"/>
      <c r="F39" s="4599"/>
      <c r="G39" s="4599"/>
      <c r="H39" s="4597"/>
      <c r="I39" s="4597"/>
      <c r="J39" s="4599"/>
      <c r="K39" s="4597"/>
      <c r="L39" s="4599"/>
      <c r="M39" s="4597"/>
      <c r="N39" s="4597"/>
      <c r="O39" s="4599"/>
      <c r="P39" s="4599"/>
      <c r="Q39" s="4599"/>
      <c r="R39" s="4597"/>
      <c r="S39" s="4597"/>
      <c r="T39" s="4597"/>
      <c r="U39" s="4597"/>
      <c r="V39" s="4597"/>
      <c r="W39" s="7">
        <v>185</v>
      </c>
      <c r="X39" s="7">
        <v>380</v>
      </c>
      <c r="Y39" s="7">
        <v>560</v>
      </c>
      <c r="Z39" s="7">
        <v>840</v>
      </c>
      <c r="AA39" s="17"/>
      <c r="AB39" s="17"/>
      <c r="AC39" s="17"/>
      <c r="AD39" s="17"/>
      <c r="AE39" s="17"/>
      <c r="AF39" s="17"/>
      <c r="AG39" s="20"/>
    </row>
    <row r="40" spans="2:33">
      <c r="B40" s="8">
        <v>800</v>
      </c>
      <c r="C40" s="7">
        <v>900</v>
      </c>
      <c r="D40" s="4598"/>
      <c r="E40" s="4598"/>
      <c r="F40" s="4596"/>
      <c r="G40" s="4598"/>
      <c r="H40" s="4596">
        <v>-320</v>
      </c>
      <c r="I40" s="4596">
        <v>-170</v>
      </c>
      <c r="J40" s="4598"/>
      <c r="K40" s="4596">
        <v>-86</v>
      </c>
      <c r="L40" s="4598"/>
      <c r="M40" s="4596">
        <v>-26</v>
      </c>
      <c r="N40" s="4596">
        <v>0</v>
      </c>
      <c r="O40" s="4598"/>
      <c r="P40" s="4598"/>
      <c r="Q40" s="4598"/>
      <c r="R40" s="4596">
        <v>0</v>
      </c>
      <c r="S40" s="4596">
        <v>0</v>
      </c>
      <c r="T40" s="4596">
        <v>34</v>
      </c>
      <c r="U40" s="4596">
        <v>56</v>
      </c>
      <c r="V40" s="4596">
        <v>100</v>
      </c>
      <c r="W40" s="7">
        <v>210</v>
      </c>
      <c r="X40" s="7">
        <v>430</v>
      </c>
      <c r="Y40" s="7">
        <v>620</v>
      </c>
      <c r="Z40" s="7">
        <v>940</v>
      </c>
      <c r="AA40" s="17"/>
      <c r="AB40" s="17"/>
      <c r="AC40" s="17"/>
      <c r="AD40" s="17"/>
      <c r="AE40" s="17"/>
      <c r="AF40" s="17"/>
      <c r="AG40" s="20"/>
    </row>
    <row r="41" spans="2:33">
      <c r="B41" s="8">
        <v>900</v>
      </c>
      <c r="C41" s="7">
        <v>1000</v>
      </c>
      <c r="D41" s="4599"/>
      <c r="E41" s="4599"/>
      <c r="F41" s="4597"/>
      <c r="G41" s="4599"/>
      <c r="H41" s="4597"/>
      <c r="I41" s="4597"/>
      <c r="J41" s="4599"/>
      <c r="K41" s="4597"/>
      <c r="L41" s="4599"/>
      <c r="M41" s="4597"/>
      <c r="N41" s="4597"/>
      <c r="O41" s="4599"/>
      <c r="P41" s="4599"/>
      <c r="Q41" s="4599"/>
      <c r="R41" s="4597"/>
      <c r="S41" s="4597"/>
      <c r="T41" s="4597"/>
      <c r="U41" s="4597"/>
      <c r="V41" s="4597"/>
      <c r="W41" s="7">
        <v>220</v>
      </c>
      <c r="X41" s="7">
        <v>470</v>
      </c>
      <c r="Y41" s="7">
        <v>680</v>
      </c>
      <c r="Z41" s="7">
        <v>1050</v>
      </c>
      <c r="AA41" s="17"/>
      <c r="AB41" s="17"/>
      <c r="AC41" s="17"/>
      <c r="AD41" s="17"/>
      <c r="AE41" s="17"/>
      <c r="AF41" s="17"/>
      <c r="AG41" s="20"/>
    </row>
    <row r="42" spans="2:33">
      <c r="B42" s="8">
        <v>1000</v>
      </c>
      <c r="C42" s="7">
        <v>1120</v>
      </c>
      <c r="D42" s="4598"/>
      <c r="E42" s="4598"/>
      <c r="F42" s="4598"/>
      <c r="G42" s="4598"/>
      <c r="H42" s="4596">
        <v>-350</v>
      </c>
      <c r="I42" s="4596">
        <v>-195</v>
      </c>
      <c r="J42" s="4598"/>
      <c r="K42" s="4596">
        <v>-98</v>
      </c>
      <c r="L42" s="4598"/>
      <c r="M42" s="4596">
        <v>-28</v>
      </c>
      <c r="N42" s="4596">
        <v>0</v>
      </c>
      <c r="O42" s="4598"/>
      <c r="P42" s="4598"/>
      <c r="Q42" s="4598"/>
      <c r="R42" s="4596">
        <v>0</v>
      </c>
      <c r="S42" s="4596">
        <v>0</v>
      </c>
      <c r="T42" s="4596">
        <v>40</v>
      </c>
      <c r="U42" s="4596">
        <v>66</v>
      </c>
      <c r="V42" s="4596">
        <v>120</v>
      </c>
      <c r="W42" s="7">
        <v>250</v>
      </c>
      <c r="X42" s="7">
        <v>520</v>
      </c>
      <c r="Y42" s="7">
        <v>780</v>
      </c>
      <c r="Z42" s="7">
        <v>1150</v>
      </c>
      <c r="AA42" s="17"/>
      <c r="AB42" s="17"/>
      <c r="AC42" s="17"/>
      <c r="AD42" s="17"/>
      <c r="AE42" s="17"/>
      <c r="AF42" s="17"/>
      <c r="AG42" s="20"/>
    </row>
    <row r="43" spans="2:33">
      <c r="B43" s="8">
        <v>1120</v>
      </c>
      <c r="C43" s="7">
        <v>1250</v>
      </c>
      <c r="D43" s="4599"/>
      <c r="E43" s="4599"/>
      <c r="F43" s="4599"/>
      <c r="G43" s="4599"/>
      <c r="H43" s="4597"/>
      <c r="I43" s="4597"/>
      <c r="J43" s="4599"/>
      <c r="K43" s="4597"/>
      <c r="L43" s="4599"/>
      <c r="M43" s="4597"/>
      <c r="N43" s="4597"/>
      <c r="O43" s="4599"/>
      <c r="P43" s="4599"/>
      <c r="Q43" s="4599"/>
      <c r="R43" s="4597"/>
      <c r="S43" s="4597"/>
      <c r="T43" s="4597"/>
      <c r="U43" s="4597"/>
      <c r="V43" s="4597"/>
      <c r="W43" s="7">
        <v>260</v>
      </c>
      <c r="X43" s="7">
        <v>580</v>
      </c>
      <c r="Y43" s="7">
        <v>840</v>
      </c>
      <c r="Z43" s="7">
        <v>1300</v>
      </c>
      <c r="AA43" s="17"/>
      <c r="AB43" s="17"/>
      <c r="AC43" s="17"/>
      <c r="AD43" s="17"/>
      <c r="AE43" s="17"/>
      <c r="AF43" s="17"/>
      <c r="AG43" s="20"/>
    </row>
    <row r="44" spans="2:33">
      <c r="B44" s="8">
        <v>1250</v>
      </c>
      <c r="C44" s="7">
        <v>1400</v>
      </c>
      <c r="D44" s="4598"/>
      <c r="E44" s="4598"/>
      <c r="F44" s="4598"/>
      <c r="G44" s="4598"/>
      <c r="H44" s="4596">
        <v>-390</v>
      </c>
      <c r="I44" s="4596">
        <v>-220</v>
      </c>
      <c r="J44" s="4598"/>
      <c r="K44" s="4596">
        <v>-110</v>
      </c>
      <c r="L44" s="4598"/>
      <c r="M44" s="4596">
        <v>-30</v>
      </c>
      <c r="N44" s="4598"/>
      <c r="O44" s="4598"/>
      <c r="P44" s="4598"/>
      <c r="Q44" s="4598"/>
      <c r="R44" s="4596">
        <v>0</v>
      </c>
      <c r="S44" s="4596">
        <v>0</v>
      </c>
      <c r="T44" s="4596">
        <v>48</v>
      </c>
      <c r="U44" s="4596">
        <v>78</v>
      </c>
      <c r="V44" s="4596">
        <v>140</v>
      </c>
      <c r="W44" s="7">
        <v>300</v>
      </c>
      <c r="X44" s="7">
        <v>640</v>
      </c>
      <c r="Y44" s="7">
        <v>960</v>
      </c>
      <c r="Z44" s="7">
        <v>1450</v>
      </c>
      <c r="AA44" s="17"/>
      <c r="AB44" s="17"/>
      <c r="AC44" s="17"/>
      <c r="AD44" s="17"/>
      <c r="AE44" s="17"/>
      <c r="AF44" s="17"/>
      <c r="AG44" s="20"/>
    </row>
    <row r="45" spans="2:33">
      <c r="B45" s="8">
        <v>1400</v>
      </c>
      <c r="C45" s="7">
        <v>1600</v>
      </c>
      <c r="D45" s="4599"/>
      <c r="E45" s="4599"/>
      <c r="F45" s="4599"/>
      <c r="G45" s="4599"/>
      <c r="H45" s="4597"/>
      <c r="I45" s="4597"/>
      <c r="J45" s="4599"/>
      <c r="K45" s="4597"/>
      <c r="L45" s="4599"/>
      <c r="M45" s="4597"/>
      <c r="N45" s="4599"/>
      <c r="O45" s="4599"/>
      <c r="P45" s="4599"/>
      <c r="Q45" s="4599"/>
      <c r="R45" s="4597"/>
      <c r="S45" s="4597"/>
      <c r="T45" s="4597"/>
      <c r="U45" s="4597"/>
      <c r="V45" s="4597"/>
      <c r="W45" s="7">
        <v>330</v>
      </c>
      <c r="X45" s="7">
        <v>720</v>
      </c>
      <c r="Y45" s="7">
        <v>1050</v>
      </c>
      <c r="Z45" s="7">
        <v>1600</v>
      </c>
      <c r="AA45" s="17"/>
      <c r="AB45" s="17"/>
      <c r="AC45" s="17"/>
      <c r="AD45" s="17"/>
      <c r="AE45" s="17"/>
      <c r="AF45" s="17"/>
      <c r="AG45" s="20"/>
    </row>
    <row r="46" spans="2:33">
      <c r="B46" s="8">
        <v>1600</v>
      </c>
      <c r="C46" s="7">
        <v>1800</v>
      </c>
      <c r="D46" s="4598"/>
      <c r="E46" s="4598"/>
      <c r="F46" s="4598"/>
      <c r="G46" s="4598"/>
      <c r="H46" s="4596">
        <v>-430</v>
      </c>
      <c r="I46" s="4596">
        <v>-240</v>
      </c>
      <c r="J46" s="4598"/>
      <c r="K46" s="4596">
        <v>-120</v>
      </c>
      <c r="L46" s="4598"/>
      <c r="M46" s="4596">
        <v>-32</v>
      </c>
      <c r="N46" s="4596">
        <v>0</v>
      </c>
      <c r="O46" s="4598"/>
      <c r="P46" s="4598"/>
      <c r="Q46" s="4598"/>
      <c r="R46" s="4596">
        <v>0</v>
      </c>
      <c r="S46" s="4596">
        <v>0</v>
      </c>
      <c r="T46" s="4596">
        <v>58</v>
      </c>
      <c r="U46" s="4596">
        <v>92</v>
      </c>
      <c r="V46" s="4596">
        <v>170</v>
      </c>
      <c r="W46" s="7">
        <v>370</v>
      </c>
      <c r="X46" s="7">
        <v>820</v>
      </c>
      <c r="Y46" s="7">
        <v>1200</v>
      </c>
      <c r="Z46" s="7">
        <v>1850</v>
      </c>
      <c r="AA46" s="17"/>
      <c r="AB46" s="17"/>
      <c r="AC46" s="17"/>
      <c r="AD46" s="17"/>
      <c r="AE46" s="17"/>
      <c r="AF46" s="17"/>
      <c r="AG46" s="20"/>
    </row>
    <row r="47" spans="2:33">
      <c r="B47" s="8">
        <v>1800</v>
      </c>
      <c r="C47" s="7">
        <v>2000</v>
      </c>
      <c r="D47" s="4599"/>
      <c r="E47" s="4599"/>
      <c r="F47" s="4599"/>
      <c r="G47" s="4599"/>
      <c r="H47" s="4597"/>
      <c r="I47" s="4597"/>
      <c r="J47" s="4599"/>
      <c r="K47" s="4597"/>
      <c r="L47" s="4599"/>
      <c r="M47" s="4597"/>
      <c r="N47" s="4597"/>
      <c r="O47" s="4599"/>
      <c r="P47" s="4599"/>
      <c r="Q47" s="4599"/>
      <c r="R47" s="4597"/>
      <c r="S47" s="4597"/>
      <c r="T47" s="4597"/>
      <c r="U47" s="4597"/>
      <c r="V47" s="4597"/>
      <c r="W47" s="7">
        <v>400</v>
      </c>
      <c r="X47" s="7">
        <v>920</v>
      </c>
      <c r="Y47" s="7">
        <v>1350</v>
      </c>
      <c r="Z47" s="7">
        <v>2000</v>
      </c>
      <c r="AA47" s="17"/>
      <c r="AB47" s="17"/>
      <c r="AC47" s="17"/>
      <c r="AD47" s="17"/>
      <c r="AE47" s="17"/>
      <c r="AF47" s="17"/>
      <c r="AG47" s="20"/>
    </row>
    <row r="48" spans="2:33">
      <c r="B48" s="8">
        <v>2000</v>
      </c>
      <c r="C48" s="7">
        <v>2240</v>
      </c>
      <c r="D48" s="4598"/>
      <c r="E48" s="4598"/>
      <c r="F48" s="4598"/>
      <c r="G48" s="4598"/>
      <c r="H48" s="4596">
        <v>-480</v>
      </c>
      <c r="I48" s="4596">
        <v>-260</v>
      </c>
      <c r="J48" s="4598"/>
      <c r="K48" s="4596">
        <v>-130</v>
      </c>
      <c r="L48" s="4598"/>
      <c r="M48" s="4596">
        <v>-34</v>
      </c>
      <c r="N48" s="4596">
        <v>0</v>
      </c>
      <c r="O48" s="4598"/>
      <c r="P48" s="4598"/>
      <c r="Q48" s="4598"/>
      <c r="R48" s="4596">
        <v>0</v>
      </c>
      <c r="S48" s="4596">
        <v>0</v>
      </c>
      <c r="T48" s="4596">
        <v>68</v>
      </c>
      <c r="U48" s="4596">
        <v>110</v>
      </c>
      <c r="V48" s="4596">
        <v>195</v>
      </c>
      <c r="W48" s="7">
        <v>440</v>
      </c>
      <c r="X48" s="7">
        <v>1000</v>
      </c>
      <c r="Y48" s="7">
        <v>1500</v>
      </c>
      <c r="Z48" s="7">
        <v>2300</v>
      </c>
      <c r="AA48" s="17"/>
      <c r="AB48" s="17"/>
      <c r="AC48" s="17"/>
      <c r="AD48" s="17"/>
      <c r="AE48" s="17"/>
      <c r="AF48" s="17"/>
      <c r="AG48" s="20"/>
    </row>
    <row r="49" spans="2:33">
      <c r="B49" s="8">
        <v>2240</v>
      </c>
      <c r="C49" s="7">
        <v>2500</v>
      </c>
      <c r="D49" s="4599"/>
      <c r="E49" s="4599"/>
      <c r="F49" s="4599"/>
      <c r="G49" s="4599"/>
      <c r="H49" s="4597"/>
      <c r="I49" s="4597"/>
      <c r="J49" s="4600"/>
      <c r="K49" s="4597"/>
      <c r="L49" s="4600"/>
      <c r="M49" s="4597"/>
      <c r="N49" s="4597"/>
      <c r="O49" s="4599"/>
      <c r="P49" s="4599"/>
      <c r="Q49" s="4599"/>
      <c r="R49" s="4597"/>
      <c r="S49" s="4597"/>
      <c r="T49" s="4597"/>
      <c r="U49" s="4597"/>
      <c r="V49" s="4597"/>
      <c r="W49" s="7">
        <v>460</v>
      </c>
      <c r="X49" s="7">
        <v>1100</v>
      </c>
      <c r="Y49" s="7">
        <v>1650</v>
      </c>
      <c r="Z49" s="7">
        <v>2500</v>
      </c>
      <c r="AA49" s="17"/>
      <c r="AB49" s="17"/>
      <c r="AC49" s="17"/>
      <c r="AD49" s="17"/>
      <c r="AE49" s="17"/>
      <c r="AF49" s="17"/>
      <c r="AG49" s="20"/>
    </row>
    <row r="50" spans="2:33">
      <c r="B50" s="8">
        <v>2500</v>
      </c>
      <c r="C50" s="7">
        <v>2800</v>
      </c>
      <c r="D50" s="4598"/>
      <c r="E50" s="4598"/>
      <c r="F50" s="4598"/>
      <c r="G50" s="4598"/>
      <c r="H50" s="4596">
        <v>-520</v>
      </c>
      <c r="I50" s="4596">
        <v>-290</v>
      </c>
      <c r="J50" s="4600"/>
      <c r="K50" s="4596">
        <v>-145</v>
      </c>
      <c r="L50" s="4600"/>
      <c r="M50" s="4596">
        <v>-38</v>
      </c>
      <c r="N50" s="4596">
        <v>0</v>
      </c>
      <c r="O50" s="4598"/>
      <c r="P50" s="4598"/>
      <c r="Q50" s="4598"/>
      <c r="R50" s="4596">
        <v>0</v>
      </c>
      <c r="S50" s="4596">
        <v>0</v>
      </c>
      <c r="T50" s="4596">
        <v>76</v>
      </c>
      <c r="U50" s="4596">
        <v>135</v>
      </c>
      <c r="V50" s="4596">
        <v>240</v>
      </c>
      <c r="W50" s="7">
        <v>550</v>
      </c>
      <c r="X50" s="7">
        <v>1250</v>
      </c>
      <c r="Y50" s="7">
        <v>1900</v>
      </c>
      <c r="Z50" s="7">
        <v>2900</v>
      </c>
      <c r="AA50" s="17"/>
      <c r="AB50" s="17"/>
      <c r="AC50" s="17"/>
      <c r="AD50" s="17"/>
      <c r="AE50" s="17"/>
      <c r="AF50" s="17"/>
      <c r="AG50" s="20"/>
    </row>
    <row r="51" spans="2:33">
      <c r="B51" s="8">
        <v>2800</v>
      </c>
      <c r="C51" s="7">
        <v>3150</v>
      </c>
      <c r="D51" s="4599"/>
      <c r="E51" s="4599"/>
      <c r="F51" s="4599"/>
      <c r="G51" s="4599"/>
      <c r="H51" s="4597"/>
      <c r="I51" s="4597"/>
      <c r="J51" s="4599"/>
      <c r="K51" s="4597"/>
      <c r="L51" s="4599"/>
      <c r="M51" s="4597"/>
      <c r="N51" s="4597"/>
      <c r="O51" s="4599"/>
      <c r="P51" s="4599"/>
      <c r="Q51" s="4599"/>
      <c r="R51" s="4597"/>
      <c r="S51" s="4597"/>
      <c r="T51" s="4597"/>
      <c r="U51" s="4597"/>
      <c r="V51" s="4597"/>
      <c r="W51" s="7">
        <v>580</v>
      </c>
      <c r="X51" s="7">
        <v>1400</v>
      </c>
      <c r="Y51" s="7">
        <v>2100</v>
      </c>
      <c r="Z51" s="7">
        <v>3200</v>
      </c>
      <c r="AA51" s="17"/>
      <c r="AB51" s="17"/>
      <c r="AC51" s="17"/>
      <c r="AD51" s="17"/>
      <c r="AE51" s="17"/>
      <c r="AF51" s="17"/>
      <c r="AG51" s="20"/>
    </row>
    <row r="52" spans="2:33">
      <c r="B52" s="4590" t="s">
        <v>11998</v>
      </c>
      <c r="C52" s="4591"/>
      <c r="D52" s="4591"/>
      <c r="E52" s="4591"/>
      <c r="F52" s="4591"/>
      <c r="G52" s="4591"/>
      <c r="H52" s="4591"/>
      <c r="I52" s="4591"/>
      <c r="J52" s="4591"/>
      <c r="K52" s="4591"/>
      <c r="L52" s="4591"/>
      <c r="M52" s="4591"/>
      <c r="N52" s="4591"/>
      <c r="O52" s="4591"/>
      <c r="P52" s="4591"/>
      <c r="Q52" s="4591"/>
      <c r="R52" s="4591"/>
      <c r="S52" s="4591"/>
      <c r="T52" s="4591"/>
      <c r="U52" s="4591"/>
      <c r="V52" s="4591"/>
      <c r="W52" s="4591"/>
      <c r="X52" s="4591"/>
      <c r="Y52" s="4591"/>
      <c r="Z52" s="4591"/>
      <c r="AA52" s="4591"/>
      <c r="AB52" s="4591"/>
      <c r="AC52" s="4591"/>
      <c r="AD52" s="4591"/>
      <c r="AE52" s="4591"/>
      <c r="AF52" s="4591"/>
      <c r="AG52" s="4592"/>
    </row>
    <row r="53" spans="2:33" ht="45" customHeight="1">
      <c r="B53" s="4593" t="s">
        <v>11999</v>
      </c>
      <c r="C53" s="4594"/>
      <c r="D53" s="4594"/>
      <c r="E53" s="4594"/>
      <c r="F53" s="4594"/>
      <c r="G53" s="4594"/>
      <c r="H53" s="4594"/>
      <c r="I53" s="4594"/>
      <c r="J53" s="4594"/>
      <c r="K53" s="4594"/>
      <c r="L53" s="4594"/>
      <c r="M53" s="4594"/>
      <c r="N53" s="4594"/>
      <c r="O53" s="4594"/>
      <c r="P53" s="4594"/>
      <c r="Q53" s="4594"/>
      <c r="R53" s="4594"/>
      <c r="S53" s="4594"/>
      <c r="T53" s="4594"/>
      <c r="U53" s="4594"/>
      <c r="V53" s="4594"/>
      <c r="W53" s="4594"/>
      <c r="X53" s="4594"/>
      <c r="Y53" s="4594"/>
      <c r="Z53" s="4594"/>
      <c r="AA53" s="4594"/>
      <c r="AB53" s="4594"/>
      <c r="AC53" s="4594"/>
      <c r="AD53" s="4594"/>
      <c r="AE53" s="4594"/>
      <c r="AF53" s="4594"/>
      <c r="AG53" s="4595"/>
    </row>
    <row r="54" spans="2:33">
      <c r="B54" s="9"/>
    </row>
    <row r="55" spans="2:33">
      <c r="AE55" s="3368" t="s">
        <v>12716</v>
      </c>
      <c r="AF55" s="3368"/>
      <c r="AG55" s="3368"/>
    </row>
    <row r="56" spans="2:33" s="1" customFormat="1" ht="17.25" thickBot="1">
      <c r="B56" s="10"/>
      <c r="AE56" s="4602"/>
      <c r="AF56" s="4602"/>
      <c r="AG56" s="4602"/>
    </row>
    <row r="57" spans="2:33" s="1" customFormat="1" ht="16.5">
      <c r="B57" s="10" t="s">
        <v>1654</v>
      </c>
    </row>
  </sheetData>
  <mergeCells count="342">
    <mergeCell ref="AE2:AG3"/>
    <mergeCell ref="AE55:AG56"/>
    <mergeCell ref="W14:W15"/>
    <mergeCell ref="W16:W17"/>
    <mergeCell ref="W18:W19"/>
    <mergeCell ref="X14:X15"/>
    <mergeCell ref="X16:X17"/>
    <mergeCell ref="X18:X19"/>
    <mergeCell ref="Y14:Y15"/>
    <mergeCell ref="Z14:Z15"/>
    <mergeCell ref="B4:AG5"/>
    <mergeCell ref="D7:N9"/>
    <mergeCell ref="T7:AG9"/>
    <mergeCell ref="V34:V35"/>
    <mergeCell ref="V36:V37"/>
    <mergeCell ref="V38:V39"/>
    <mergeCell ref="V40:V41"/>
    <mergeCell ref="V42:V43"/>
    <mergeCell ref="V44:V45"/>
    <mergeCell ref="V46:V47"/>
    <mergeCell ref="V48:V49"/>
    <mergeCell ref="V50:V51"/>
    <mergeCell ref="V14:V15"/>
    <mergeCell ref="V16:V17"/>
    <mergeCell ref="V18:V19"/>
    <mergeCell ref="V20:V21"/>
    <mergeCell ref="V22:V23"/>
    <mergeCell ref="V24:V26"/>
    <mergeCell ref="V27:V29"/>
    <mergeCell ref="V30:V31"/>
    <mergeCell ref="V32:V33"/>
    <mergeCell ref="U34:U35"/>
    <mergeCell ref="U36:U37"/>
    <mergeCell ref="U38:U39"/>
    <mergeCell ref="U40:U41"/>
    <mergeCell ref="U42:U43"/>
    <mergeCell ref="U44:U45"/>
    <mergeCell ref="U46:U47"/>
    <mergeCell ref="U48:U49"/>
    <mergeCell ref="U50:U51"/>
    <mergeCell ref="U14:U15"/>
    <mergeCell ref="U16:U17"/>
    <mergeCell ref="U18:U19"/>
    <mergeCell ref="U20:U21"/>
    <mergeCell ref="U22:U23"/>
    <mergeCell ref="U24:U26"/>
    <mergeCell ref="U27:U29"/>
    <mergeCell ref="U30:U31"/>
    <mergeCell ref="U32:U33"/>
    <mergeCell ref="T34:T35"/>
    <mergeCell ref="T36:T37"/>
    <mergeCell ref="T38:T39"/>
    <mergeCell ref="T40:T41"/>
    <mergeCell ref="T42:T43"/>
    <mergeCell ref="T44:T45"/>
    <mergeCell ref="T46:T47"/>
    <mergeCell ref="T48:T49"/>
    <mergeCell ref="T50:T51"/>
    <mergeCell ref="T14:T15"/>
    <mergeCell ref="T16:T17"/>
    <mergeCell ref="T18:T19"/>
    <mergeCell ref="T20:T21"/>
    <mergeCell ref="T22:T23"/>
    <mergeCell ref="T24:T26"/>
    <mergeCell ref="T27:T29"/>
    <mergeCell ref="T30:T31"/>
    <mergeCell ref="T32:T33"/>
    <mergeCell ref="S34:S35"/>
    <mergeCell ref="S36:S37"/>
    <mergeCell ref="S38:S39"/>
    <mergeCell ref="S40:S41"/>
    <mergeCell ref="S42:S43"/>
    <mergeCell ref="S44:S45"/>
    <mergeCell ref="S46:S47"/>
    <mergeCell ref="S48:S49"/>
    <mergeCell ref="S50:S51"/>
    <mergeCell ref="S14:S15"/>
    <mergeCell ref="S16:S17"/>
    <mergeCell ref="S18:S19"/>
    <mergeCell ref="S20:S21"/>
    <mergeCell ref="S22:S23"/>
    <mergeCell ref="S24:S26"/>
    <mergeCell ref="S27:S29"/>
    <mergeCell ref="S30:S31"/>
    <mergeCell ref="S32:S33"/>
    <mergeCell ref="R34:R35"/>
    <mergeCell ref="R36:R37"/>
    <mergeCell ref="R38:R39"/>
    <mergeCell ref="R40:R41"/>
    <mergeCell ref="R42:R43"/>
    <mergeCell ref="R44:R45"/>
    <mergeCell ref="R46:R47"/>
    <mergeCell ref="R48:R49"/>
    <mergeCell ref="R50:R51"/>
    <mergeCell ref="R14:R15"/>
    <mergeCell ref="R16:R17"/>
    <mergeCell ref="R18:R19"/>
    <mergeCell ref="R20:R21"/>
    <mergeCell ref="R22:R23"/>
    <mergeCell ref="R24:R26"/>
    <mergeCell ref="R27:R29"/>
    <mergeCell ref="R30:R31"/>
    <mergeCell ref="R32:R33"/>
    <mergeCell ref="Q34:Q35"/>
    <mergeCell ref="Q36:Q37"/>
    <mergeCell ref="Q38:Q39"/>
    <mergeCell ref="Q40:Q41"/>
    <mergeCell ref="Q42:Q43"/>
    <mergeCell ref="Q44:Q45"/>
    <mergeCell ref="Q46:Q47"/>
    <mergeCell ref="Q48:Q49"/>
    <mergeCell ref="Q50:Q51"/>
    <mergeCell ref="Q14:Q15"/>
    <mergeCell ref="Q16:Q17"/>
    <mergeCell ref="Q18:Q19"/>
    <mergeCell ref="Q20:Q21"/>
    <mergeCell ref="Q22:Q23"/>
    <mergeCell ref="Q24:Q26"/>
    <mergeCell ref="Q27:Q29"/>
    <mergeCell ref="Q30:Q31"/>
    <mergeCell ref="Q32:Q33"/>
    <mergeCell ref="P34:P35"/>
    <mergeCell ref="P36:P37"/>
    <mergeCell ref="P38:P39"/>
    <mergeCell ref="P40:P41"/>
    <mergeCell ref="P42:P43"/>
    <mergeCell ref="P44:P45"/>
    <mergeCell ref="P46:P47"/>
    <mergeCell ref="P48:P49"/>
    <mergeCell ref="P50:P51"/>
    <mergeCell ref="P14:P15"/>
    <mergeCell ref="P16:P17"/>
    <mergeCell ref="P18:P19"/>
    <mergeCell ref="P20:P21"/>
    <mergeCell ref="P22:P23"/>
    <mergeCell ref="P24:P26"/>
    <mergeCell ref="P27:P29"/>
    <mergeCell ref="P30:P31"/>
    <mergeCell ref="P32:P33"/>
    <mergeCell ref="O34:O35"/>
    <mergeCell ref="O36:O37"/>
    <mergeCell ref="O38:O39"/>
    <mergeCell ref="O40:O41"/>
    <mergeCell ref="O42:O43"/>
    <mergeCell ref="O44:O45"/>
    <mergeCell ref="O46:O47"/>
    <mergeCell ref="O48:O49"/>
    <mergeCell ref="O50:O51"/>
    <mergeCell ref="O14:O15"/>
    <mergeCell ref="O16:O17"/>
    <mergeCell ref="O18:O19"/>
    <mergeCell ref="O20:O21"/>
    <mergeCell ref="O22:O23"/>
    <mergeCell ref="O24:O26"/>
    <mergeCell ref="O27:O29"/>
    <mergeCell ref="O30:O31"/>
    <mergeCell ref="O32:O33"/>
    <mergeCell ref="N34:N35"/>
    <mergeCell ref="N36:N37"/>
    <mergeCell ref="N38:N39"/>
    <mergeCell ref="N40:N41"/>
    <mergeCell ref="N42:N43"/>
    <mergeCell ref="N44:N45"/>
    <mergeCell ref="N46:N47"/>
    <mergeCell ref="N48:N49"/>
    <mergeCell ref="N50:N51"/>
    <mergeCell ref="N14:N15"/>
    <mergeCell ref="N16:N17"/>
    <mergeCell ref="N18:N19"/>
    <mergeCell ref="N20:N21"/>
    <mergeCell ref="N22:N23"/>
    <mergeCell ref="N24:N26"/>
    <mergeCell ref="N27:N29"/>
    <mergeCell ref="N30:N31"/>
    <mergeCell ref="N32:N33"/>
    <mergeCell ref="M34:M35"/>
    <mergeCell ref="M36:M37"/>
    <mergeCell ref="M38:M39"/>
    <mergeCell ref="M40:M41"/>
    <mergeCell ref="M42:M43"/>
    <mergeCell ref="M44:M45"/>
    <mergeCell ref="M46:M47"/>
    <mergeCell ref="M48:M49"/>
    <mergeCell ref="M50:M51"/>
    <mergeCell ref="M14:M15"/>
    <mergeCell ref="M16:M17"/>
    <mergeCell ref="M18:M19"/>
    <mergeCell ref="M20:M21"/>
    <mergeCell ref="M22:M23"/>
    <mergeCell ref="M24:M26"/>
    <mergeCell ref="M27:M29"/>
    <mergeCell ref="M30:M31"/>
    <mergeCell ref="M32:M33"/>
    <mergeCell ref="K48:K49"/>
    <mergeCell ref="K50:K51"/>
    <mergeCell ref="L14:L15"/>
    <mergeCell ref="L16:L17"/>
    <mergeCell ref="L18:L19"/>
    <mergeCell ref="L20:L21"/>
    <mergeCell ref="L22:L23"/>
    <mergeCell ref="L24:L26"/>
    <mergeCell ref="L27:L29"/>
    <mergeCell ref="L30:L31"/>
    <mergeCell ref="L32:L33"/>
    <mergeCell ref="L34:L35"/>
    <mergeCell ref="L36:L37"/>
    <mergeCell ref="L38:L39"/>
    <mergeCell ref="L40:L41"/>
    <mergeCell ref="L42:L43"/>
    <mergeCell ref="L44:L45"/>
    <mergeCell ref="L46:L47"/>
    <mergeCell ref="L48:L51"/>
    <mergeCell ref="J34:J35"/>
    <mergeCell ref="J36:J37"/>
    <mergeCell ref="J38:J39"/>
    <mergeCell ref="J40:J41"/>
    <mergeCell ref="J42:J43"/>
    <mergeCell ref="J44:J45"/>
    <mergeCell ref="J46:J47"/>
    <mergeCell ref="J48:J51"/>
    <mergeCell ref="K14:K15"/>
    <mergeCell ref="K16:K17"/>
    <mergeCell ref="K18:K19"/>
    <mergeCell ref="K20:K21"/>
    <mergeCell ref="K22:K23"/>
    <mergeCell ref="K24:K26"/>
    <mergeCell ref="K27:K29"/>
    <mergeCell ref="K30:K31"/>
    <mergeCell ref="K32:K33"/>
    <mergeCell ref="K34:K35"/>
    <mergeCell ref="K36:K37"/>
    <mergeCell ref="K38:K39"/>
    <mergeCell ref="K40:K41"/>
    <mergeCell ref="K42:K43"/>
    <mergeCell ref="K44:K45"/>
    <mergeCell ref="K46:K47"/>
    <mergeCell ref="J14:J15"/>
    <mergeCell ref="J16:J17"/>
    <mergeCell ref="J18:J19"/>
    <mergeCell ref="J20:J21"/>
    <mergeCell ref="J22:J23"/>
    <mergeCell ref="J24:J26"/>
    <mergeCell ref="J27:J29"/>
    <mergeCell ref="J30:J31"/>
    <mergeCell ref="J32:J33"/>
    <mergeCell ref="I34:I35"/>
    <mergeCell ref="I36:I37"/>
    <mergeCell ref="I38:I39"/>
    <mergeCell ref="I40:I41"/>
    <mergeCell ref="I42:I43"/>
    <mergeCell ref="I44:I45"/>
    <mergeCell ref="I46:I47"/>
    <mergeCell ref="I48:I49"/>
    <mergeCell ref="I50:I51"/>
    <mergeCell ref="I14:I15"/>
    <mergeCell ref="I16:I17"/>
    <mergeCell ref="I18:I19"/>
    <mergeCell ref="I20:I21"/>
    <mergeCell ref="I22:I23"/>
    <mergeCell ref="I24:I26"/>
    <mergeCell ref="I27:I29"/>
    <mergeCell ref="I30:I31"/>
    <mergeCell ref="I32:I33"/>
    <mergeCell ref="G48:G49"/>
    <mergeCell ref="G50:G51"/>
    <mergeCell ref="H14:H15"/>
    <mergeCell ref="H16:H17"/>
    <mergeCell ref="H18:H19"/>
    <mergeCell ref="H20:H21"/>
    <mergeCell ref="H22:H23"/>
    <mergeCell ref="H24:H26"/>
    <mergeCell ref="H27:H29"/>
    <mergeCell ref="H30:H31"/>
    <mergeCell ref="H32:H33"/>
    <mergeCell ref="H34:H35"/>
    <mergeCell ref="H36:H37"/>
    <mergeCell ref="H38:H39"/>
    <mergeCell ref="H40:H41"/>
    <mergeCell ref="H42:H43"/>
    <mergeCell ref="H44:H45"/>
    <mergeCell ref="H46:H47"/>
    <mergeCell ref="H48:H49"/>
    <mergeCell ref="H50:H51"/>
    <mergeCell ref="F36:F37"/>
    <mergeCell ref="F38:F39"/>
    <mergeCell ref="F40:F41"/>
    <mergeCell ref="F42:F43"/>
    <mergeCell ref="F44:F45"/>
    <mergeCell ref="F46:F47"/>
    <mergeCell ref="F48:F49"/>
    <mergeCell ref="F50:F51"/>
    <mergeCell ref="G14:G15"/>
    <mergeCell ref="G16:G17"/>
    <mergeCell ref="G18:G19"/>
    <mergeCell ref="G20:G21"/>
    <mergeCell ref="G22:G23"/>
    <mergeCell ref="G24:G26"/>
    <mergeCell ref="G27:G29"/>
    <mergeCell ref="G30:G31"/>
    <mergeCell ref="G32:G33"/>
    <mergeCell ref="G34:G35"/>
    <mergeCell ref="G36:G37"/>
    <mergeCell ref="G38:G39"/>
    <mergeCell ref="G40:G41"/>
    <mergeCell ref="G42:G43"/>
    <mergeCell ref="G44:G45"/>
    <mergeCell ref="G46:G47"/>
    <mergeCell ref="B52:AG52"/>
    <mergeCell ref="B53:AG53"/>
    <mergeCell ref="D14:D15"/>
    <mergeCell ref="D16:D17"/>
    <mergeCell ref="D36:D37"/>
    <mergeCell ref="D38:D39"/>
    <mergeCell ref="D40:D41"/>
    <mergeCell ref="D42:D43"/>
    <mergeCell ref="D44:D45"/>
    <mergeCell ref="D46:D47"/>
    <mergeCell ref="D48:D49"/>
    <mergeCell ref="D50:D51"/>
    <mergeCell ref="E14:E15"/>
    <mergeCell ref="E16:E17"/>
    <mergeCell ref="E36:E37"/>
    <mergeCell ref="E38:E39"/>
    <mergeCell ref="E40:E41"/>
    <mergeCell ref="E42:E43"/>
    <mergeCell ref="E44:E45"/>
    <mergeCell ref="E46:E47"/>
    <mergeCell ref="E48:E49"/>
    <mergeCell ref="E50:E51"/>
    <mergeCell ref="F14:F15"/>
    <mergeCell ref="F16:F17"/>
    <mergeCell ref="B6:C6"/>
    <mergeCell ref="D6:N6"/>
    <mergeCell ref="O6:S6"/>
    <mergeCell ref="T6:AG6"/>
    <mergeCell ref="B7:C7"/>
    <mergeCell ref="B8:C8"/>
    <mergeCell ref="B9:C9"/>
    <mergeCell ref="O10:Q10"/>
    <mergeCell ref="R10:S10"/>
    <mergeCell ref="P7:P9"/>
    <mergeCell ref="Q7:Q9"/>
  </mergeCells>
  <phoneticPr fontId="378" type="noConversion"/>
  <hyperlinks>
    <hyperlink ref="AE2:AG3" location="总目录!A1" display="总目录!A1"/>
    <hyperlink ref="AE55:AG56" location="总目录!A1" display="总目录!A1"/>
  </hyperlinks>
  <pageMargins left="0.75" right="0.75" top="1" bottom="1" header="0.51180555555555596" footer="0.51180555555555596"/>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
  <sheetViews>
    <sheetView workbookViewId="0">
      <selection activeCell="O1" sqref="O1"/>
    </sheetView>
  </sheetViews>
  <sheetFormatPr defaultColWidth="8.75" defaultRowHeight="16.5"/>
  <sheetData>
    <row r="1" spans="1:15" ht="51" customHeight="1">
      <c r="A1" s="4621" t="s">
        <v>12000</v>
      </c>
      <c r="B1" s="4621"/>
      <c r="C1" s="4621"/>
      <c r="D1" s="4621"/>
      <c r="E1" s="4621"/>
      <c r="F1" s="4621"/>
      <c r="G1" s="4621"/>
      <c r="H1" s="4621"/>
      <c r="I1" s="4621"/>
      <c r="J1" s="4621"/>
      <c r="K1" s="4621"/>
      <c r="L1" s="4621"/>
      <c r="M1" s="4621"/>
      <c r="N1" s="4621"/>
      <c r="O1" s="3166" t="s">
        <v>12716</v>
      </c>
    </row>
  </sheetData>
  <mergeCells count="1">
    <mergeCell ref="A1:N1"/>
  </mergeCells>
  <phoneticPr fontId="378" type="noConversion"/>
  <hyperlinks>
    <hyperlink ref="O1" location="总目录!A1" display="总目录!A1"/>
  </hyperlinks>
  <pageMargins left="0.75" right="0.75" top="1" bottom="1" header="0.51180555555555596" footer="0.51180555555555596"/>
  <pageSetup paperSize="9" orientation="portrait" r:id="rId1"/>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
  <sheetViews>
    <sheetView workbookViewId="0">
      <selection activeCell="H18" sqref="H18"/>
    </sheetView>
  </sheetViews>
  <sheetFormatPr defaultRowHeight="16.5"/>
  <cols>
    <col min="3" max="11" width="13.75" customWidth="1"/>
  </cols>
  <sheetData>
    <row r="1" spans="1:11" ht="31.5">
      <c r="A1" s="4235"/>
      <c r="B1" s="4236"/>
      <c r="C1" s="4236"/>
      <c r="D1" s="4236"/>
      <c r="E1" s="4236"/>
      <c r="F1" s="4236"/>
      <c r="G1" s="4236"/>
      <c r="H1" s="4236"/>
      <c r="I1" s="4236"/>
      <c r="J1" s="4236"/>
      <c r="K1" s="4237"/>
    </row>
    <row r="2" spans="1:11" ht="20.25">
      <c r="A2" s="4238" t="s">
        <v>9875</v>
      </c>
      <c r="B2" s="4239"/>
      <c r="C2" s="1273" t="s">
        <v>9876</v>
      </c>
      <c r="D2" s="1273" t="s">
        <v>9877</v>
      </c>
      <c r="E2" s="1273" t="s">
        <v>9878</v>
      </c>
      <c r="F2" s="1273" t="s">
        <v>9879</v>
      </c>
      <c r="G2" s="1273" t="s">
        <v>9880</v>
      </c>
      <c r="H2" s="1273" t="s">
        <v>9881</v>
      </c>
      <c r="I2" s="1273" t="s">
        <v>9882</v>
      </c>
      <c r="J2" s="1309" t="s">
        <v>9883</v>
      </c>
      <c r="K2" s="1285" t="s">
        <v>9884</v>
      </c>
    </row>
    <row r="3" spans="1:11" ht="21" thickBot="1">
      <c r="A3" s="4240" t="s">
        <v>9885</v>
      </c>
      <c r="B3" s="4241"/>
      <c r="C3" s="1274">
        <v>2.032</v>
      </c>
      <c r="D3" s="1275">
        <v>100</v>
      </c>
      <c r="E3" s="1275">
        <v>35</v>
      </c>
      <c r="F3" s="1276">
        <v>389</v>
      </c>
      <c r="G3" s="1277">
        <f>2*F3+1.57*(((D3*C3)/3.1415)+((E3*C3)/3.1415))+(((D3*C3)/3.1415)-((E3*C3)/3.1415))*(((D3*C3)/3.1415)-((E3*C3)/3.1415))/(4*F3)</f>
        <v>916.23054056065394</v>
      </c>
      <c r="H3" s="1278">
        <f t="shared" ref="H3:H11" si="0">G3/C3</f>
        <v>450.90085657512498</v>
      </c>
      <c r="I3" s="1275">
        <v>121</v>
      </c>
      <c r="J3" s="1310">
        <f t="shared" ref="J3:J11" si="1">((I3*C3)-((D3*C3/2)+(E3*C3/2)))/2</f>
        <v>54.356000000000009</v>
      </c>
      <c r="K3" s="1311">
        <f t="shared" ref="K3:K11" si="2">H3*1</f>
        <v>450.90085657512498</v>
      </c>
    </row>
    <row r="4" spans="1:11" ht="21" thickBot="1">
      <c r="A4" s="4238" t="s">
        <v>9886</v>
      </c>
      <c r="B4" s="4239"/>
      <c r="C4" s="1279">
        <v>5.08</v>
      </c>
      <c r="D4" s="1280">
        <v>20</v>
      </c>
      <c r="E4" s="1280">
        <v>20</v>
      </c>
      <c r="F4" s="1281">
        <v>100</v>
      </c>
      <c r="G4" s="1277">
        <f t="shared" ref="G4:G11" si="3">2*F4+1.57*(((D4*C4)/3.1415)+((E4*C4)/3.1415))+(((D4*C4)/3.1415)-((E4*C4)/3.1415))*(((D4*C4)/3.1415)-((E4*C4)/3.1415))/(4*F4)</f>
        <v>301.55148814260701</v>
      </c>
      <c r="H4" s="1279">
        <f t="shared" si="0"/>
        <v>59.360529161930515</v>
      </c>
      <c r="I4" s="1280">
        <v>59</v>
      </c>
      <c r="J4" s="1312">
        <f t="shared" si="1"/>
        <v>99.060000000000016</v>
      </c>
      <c r="K4" s="1313">
        <f t="shared" si="2"/>
        <v>59.360529161930515</v>
      </c>
    </row>
    <row r="5" spans="1:11" ht="21" thickBot="1">
      <c r="A5" s="4240" t="s">
        <v>6492</v>
      </c>
      <c r="B5" s="4241"/>
      <c r="C5" s="1278">
        <v>9.5250000000000004</v>
      </c>
      <c r="D5" s="1275">
        <v>20</v>
      </c>
      <c r="E5" s="1275">
        <v>20</v>
      </c>
      <c r="F5" s="1276">
        <v>100</v>
      </c>
      <c r="G5" s="1277">
        <f t="shared" si="3"/>
        <v>390.40904026738815</v>
      </c>
      <c r="H5" s="1278">
        <f t="shared" si="0"/>
        <v>40.987825749857024</v>
      </c>
      <c r="I5" s="1275">
        <v>41</v>
      </c>
      <c r="J5" s="1310">
        <f t="shared" si="1"/>
        <v>100.01250000000002</v>
      </c>
      <c r="K5" s="1311">
        <f t="shared" si="2"/>
        <v>40.987825749857024</v>
      </c>
    </row>
    <row r="6" spans="1:11" ht="21" thickBot="1">
      <c r="A6" s="4238" t="s">
        <v>6556</v>
      </c>
      <c r="B6" s="4239"/>
      <c r="C6" s="1279">
        <v>12.7</v>
      </c>
      <c r="D6" s="1280">
        <v>20</v>
      </c>
      <c r="E6" s="1280">
        <v>20</v>
      </c>
      <c r="F6" s="1281">
        <v>100</v>
      </c>
      <c r="G6" s="1277">
        <f t="shared" si="3"/>
        <v>453.87872035651753</v>
      </c>
      <c r="H6" s="1279">
        <f t="shared" si="0"/>
        <v>35.738481917836026</v>
      </c>
      <c r="I6" s="1280">
        <v>36</v>
      </c>
      <c r="J6" s="1312">
        <f t="shared" si="1"/>
        <v>101.6</v>
      </c>
      <c r="K6" s="1313">
        <f t="shared" si="2"/>
        <v>35.738481917836026</v>
      </c>
    </row>
    <row r="7" spans="1:11" ht="21" thickBot="1">
      <c r="A7" s="4240" t="s">
        <v>9887</v>
      </c>
      <c r="B7" s="4241"/>
      <c r="C7" s="1278">
        <v>22.225000000000001</v>
      </c>
      <c r="D7" s="1275">
        <v>20</v>
      </c>
      <c r="E7" s="1275">
        <v>20</v>
      </c>
      <c r="F7" s="1276">
        <v>100</v>
      </c>
      <c r="G7" s="1277">
        <f t="shared" si="3"/>
        <v>644.2877606239058</v>
      </c>
      <c r="H7" s="1278">
        <f t="shared" si="0"/>
        <v>28.989325562380461</v>
      </c>
      <c r="I7" s="1275">
        <v>29</v>
      </c>
      <c r="J7" s="1310">
        <f t="shared" si="1"/>
        <v>100.01250000000005</v>
      </c>
      <c r="K7" s="1311">
        <f t="shared" si="2"/>
        <v>28.989325562380461</v>
      </c>
    </row>
    <row r="8" spans="1:11" ht="21" thickBot="1">
      <c r="A8" s="4238" t="s">
        <v>9888</v>
      </c>
      <c r="B8" s="4239"/>
      <c r="C8" s="1279">
        <v>31.75</v>
      </c>
      <c r="D8" s="1280">
        <v>20</v>
      </c>
      <c r="E8" s="1280">
        <v>20</v>
      </c>
      <c r="F8" s="1281">
        <v>100</v>
      </c>
      <c r="G8" s="1277">
        <f t="shared" si="3"/>
        <v>834.69680089129395</v>
      </c>
      <c r="H8" s="1279">
        <f t="shared" si="0"/>
        <v>26.289663020198233</v>
      </c>
      <c r="I8" s="1280">
        <v>26</v>
      </c>
      <c r="J8" s="1312">
        <f t="shared" si="1"/>
        <v>95.25</v>
      </c>
      <c r="K8" s="1313">
        <f t="shared" si="2"/>
        <v>26.289663020198233</v>
      </c>
    </row>
    <row r="9" spans="1:11" ht="21" thickBot="1">
      <c r="A9" s="4240" t="s">
        <v>9889</v>
      </c>
      <c r="B9" s="4241"/>
      <c r="C9" s="1278">
        <v>3</v>
      </c>
      <c r="D9" s="1275">
        <v>20</v>
      </c>
      <c r="E9" s="1275">
        <v>20</v>
      </c>
      <c r="F9" s="1276">
        <v>100</v>
      </c>
      <c r="G9" s="1277">
        <f t="shared" si="3"/>
        <v>259.97135126531913</v>
      </c>
      <c r="H9" s="1278">
        <f t="shared" si="0"/>
        <v>86.657117088439705</v>
      </c>
      <c r="I9" s="1275">
        <v>87</v>
      </c>
      <c r="J9" s="1310">
        <f t="shared" si="1"/>
        <v>100.5</v>
      </c>
      <c r="K9" s="1311">
        <f t="shared" si="2"/>
        <v>86.657117088439705</v>
      </c>
    </row>
    <row r="10" spans="1:11" ht="21" thickBot="1">
      <c r="A10" s="4238" t="s">
        <v>9890</v>
      </c>
      <c r="B10" s="4239"/>
      <c r="C10" s="1279">
        <v>5</v>
      </c>
      <c r="D10" s="1280">
        <v>100</v>
      </c>
      <c r="E10" s="1280">
        <v>35</v>
      </c>
      <c r="F10" s="1281">
        <v>389.13</v>
      </c>
      <c r="G10" s="1277">
        <f t="shared" si="3"/>
        <v>1122.474882856548</v>
      </c>
      <c r="H10" s="1279">
        <f t="shared" si="0"/>
        <v>224.49497657130959</v>
      </c>
      <c r="I10" s="1280">
        <v>60</v>
      </c>
      <c r="J10" s="1312">
        <f t="shared" si="1"/>
        <v>-18.75</v>
      </c>
      <c r="K10" s="1313">
        <f t="shared" si="2"/>
        <v>224.49497657130959</v>
      </c>
    </row>
    <row r="11" spans="1:11" ht="21" thickBot="1">
      <c r="A11" s="4244" t="s">
        <v>9891</v>
      </c>
      <c r="B11" s="4245"/>
      <c r="C11" s="1277">
        <v>8</v>
      </c>
      <c r="D11" s="1282">
        <v>100</v>
      </c>
      <c r="E11" s="1282">
        <v>35</v>
      </c>
      <c r="F11" s="1283">
        <v>389.13</v>
      </c>
      <c r="G11" s="1277">
        <f t="shared" si="3"/>
        <v>1335.60480328004</v>
      </c>
      <c r="H11" s="1277">
        <f t="shared" si="0"/>
        <v>166.95060041000499</v>
      </c>
      <c r="I11" s="1282">
        <v>45</v>
      </c>
      <c r="J11" s="1314">
        <f t="shared" si="1"/>
        <v>-90</v>
      </c>
      <c r="K11" s="1315">
        <f t="shared" si="2"/>
        <v>166.95060041000499</v>
      </c>
    </row>
    <row r="12" spans="1:11" ht="17.25" thickBot="1">
      <c r="A12" s="95"/>
      <c r="B12" s="204"/>
      <c r="C12" s="204"/>
      <c r="D12" s="204"/>
      <c r="E12" s="204"/>
      <c r="F12" s="204"/>
      <c r="G12" s="204"/>
      <c r="H12" s="204"/>
      <c r="I12" s="204"/>
      <c r="J12" s="95"/>
      <c r="K12" s="95"/>
    </row>
    <row r="13" spans="1:11" ht="31.5">
      <c r="A13" s="4235" t="s">
        <v>9892</v>
      </c>
      <c r="B13" s="4236"/>
      <c r="C13" s="4236"/>
      <c r="D13" s="4236"/>
      <c r="E13" s="4236"/>
      <c r="F13" s="4237"/>
      <c r="G13" s="1284"/>
      <c r="H13" s="1284"/>
      <c r="I13" s="1284"/>
      <c r="J13" s="95"/>
      <c r="K13" s="95"/>
    </row>
    <row r="14" spans="1:11" ht="20.25">
      <c r="A14" s="4246" t="s">
        <v>9875</v>
      </c>
      <c r="B14" s="4247"/>
      <c r="C14" s="1273" t="s">
        <v>9876</v>
      </c>
      <c r="D14" s="1273" t="s">
        <v>9893</v>
      </c>
      <c r="E14" s="1273" t="s">
        <v>9894</v>
      </c>
      <c r="F14" s="1285" t="s">
        <v>9895</v>
      </c>
      <c r="G14" s="1286"/>
      <c r="H14" s="1286"/>
      <c r="I14" s="1286"/>
      <c r="J14" s="95"/>
      <c r="K14" s="95"/>
    </row>
    <row r="15" spans="1:11" ht="20.25">
      <c r="A15" s="1287">
        <f t="shared" ref="A15:A23" si="4">D15*1</f>
        <v>20</v>
      </c>
      <c r="B15" s="1288" t="s">
        <v>9885</v>
      </c>
      <c r="C15" s="1274">
        <v>2.032</v>
      </c>
      <c r="D15" s="1275">
        <v>20</v>
      </c>
      <c r="E15" s="1278">
        <f t="shared" ref="E15:E23" si="5">(C15*D15)/3.1415926</f>
        <v>12.936113995175567</v>
      </c>
      <c r="F15" s="1289">
        <f>E15-0.51</f>
        <v>12.426113995175568</v>
      </c>
      <c r="G15" s="1290"/>
      <c r="H15" s="1290"/>
      <c r="I15" s="1316"/>
      <c r="J15" s="95"/>
      <c r="K15" s="95"/>
    </row>
    <row r="16" spans="1:11" ht="20.25">
      <c r="A16" s="1291">
        <f t="shared" si="4"/>
        <v>20</v>
      </c>
      <c r="B16" s="1292" t="s">
        <v>9886</v>
      </c>
      <c r="C16" s="1279">
        <v>5.08</v>
      </c>
      <c r="D16" s="1280">
        <v>20</v>
      </c>
      <c r="E16" s="1279">
        <f t="shared" si="5"/>
        <v>32.340284987938915</v>
      </c>
      <c r="F16" s="1293">
        <f>E16-0.51</f>
        <v>31.830284987938914</v>
      </c>
      <c r="G16" s="1290"/>
      <c r="H16" s="1290"/>
      <c r="I16" s="1316"/>
      <c r="J16" s="95"/>
      <c r="K16" s="95"/>
    </row>
    <row r="17" spans="1:11" ht="20.25">
      <c r="A17" s="1287">
        <f t="shared" si="4"/>
        <v>25</v>
      </c>
      <c r="B17" s="1288" t="s">
        <v>6492</v>
      </c>
      <c r="C17" s="1278">
        <v>9.5250000000000004</v>
      </c>
      <c r="D17" s="1275">
        <v>25</v>
      </c>
      <c r="E17" s="1278">
        <f t="shared" si="5"/>
        <v>75.797542940481847</v>
      </c>
      <c r="F17" s="1289">
        <f>E17-0.76</f>
        <v>75.037542940481842</v>
      </c>
      <c r="G17" s="1290"/>
      <c r="H17" s="1290"/>
      <c r="I17" s="1316"/>
      <c r="J17" s="95"/>
      <c r="K17" s="95"/>
    </row>
    <row r="18" spans="1:11" ht="20.25">
      <c r="A18" s="1291">
        <f t="shared" si="4"/>
        <v>20</v>
      </c>
      <c r="B18" s="1292" t="s">
        <v>6556</v>
      </c>
      <c r="C18" s="1279">
        <v>12.7</v>
      </c>
      <c r="D18" s="1280">
        <v>20</v>
      </c>
      <c r="E18" s="1279">
        <f t="shared" si="5"/>
        <v>80.850712469847295</v>
      </c>
      <c r="F18" s="1293">
        <f>E18-1.37</f>
        <v>79.48071246984729</v>
      </c>
      <c r="G18" s="1290"/>
      <c r="H18" s="3166" t="s">
        <v>12704</v>
      </c>
      <c r="I18" s="1316"/>
      <c r="J18" s="95"/>
      <c r="K18" s="95"/>
    </row>
    <row r="19" spans="1:11" ht="20.25">
      <c r="A19" s="1287">
        <f t="shared" si="4"/>
        <v>20</v>
      </c>
      <c r="B19" s="1288" t="s">
        <v>9887</v>
      </c>
      <c r="C19" s="1278">
        <v>22.225000000000001</v>
      </c>
      <c r="D19" s="1275">
        <v>20</v>
      </c>
      <c r="E19" s="1278">
        <f t="shared" si="5"/>
        <v>141.48874682223277</v>
      </c>
      <c r="F19" s="1289">
        <f>E19-2.8</f>
        <v>138.68874682223276</v>
      </c>
      <c r="G19" s="1290"/>
      <c r="H19" s="1290"/>
      <c r="I19" s="1316"/>
      <c r="J19" s="95"/>
      <c r="K19" s="95"/>
    </row>
    <row r="20" spans="1:11" ht="20.25">
      <c r="A20" s="1291">
        <f t="shared" si="4"/>
        <v>20</v>
      </c>
      <c r="B20" s="1292" t="s">
        <v>9888</v>
      </c>
      <c r="C20" s="1279">
        <v>31.75</v>
      </c>
      <c r="D20" s="1280">
        <v>20</v>
      </c>
      <c r="E20" s="1279">
        <f t="shared" si="5"/>
        <v>202.12678117461826</v>
      </c>
      <c r="F20" s="1293">
        <f>E20-3.05</f>
        <v>199.07678117461825</v>
      </c>
      <c r="G20" s="1290"/>
      <c r="H20" s="1290"/>
      <c r="I20" s="1316"/>
      <c r="J20" s="95"/>
      <c r="K20" s="95"/>
    </row>
    <row r="21" spans="1:11" ht="20.25">
      <c r="A21" s="1287">
        <f t="shared" si="4"/>
        <v>20</v>
      </c>
      <c r="B21" s="1288" t="s">
        <v>9896</v>
      </c>
      <c r="C21" s="1278">
        <v>3</v>
      </c>
      <c r="D21" s="1275">
        <v>20</v>
      </c>
      <c r="E21" s="1278">
        <f t="shared" si="5"/>
        <v>19.098593496814324</v>
      </c>
      <c r="F21" s="1289">
        <f>E21-0.76</f>
        <v>18.338593496814322</v>
      </c>
      <c r="G21" s="1290"/>
      <c r="H21" s="1290"/>
      <c r="I21" s="1316"/>
      <c r="J21" s="95"/>
      <c r="K21" s="95"/>
    </row>
    <row r="22" spans="1:11" ht="20.25">
      <c r="A22" s="1291">
        <f t="shared" si="4"/>
        <v>20</v>
      </c>
      <c r="B22" s="1292" t="s">
        <v>9897</v>
      </c>
      <c r="C22" s="1279">
        <v>5</v>
      </c>
      <c r="D22" s="1280">
        <v>20</v>
      </c>
      <c r="E22" s="1279">
        <f t="shared" si="5"/>
        <v>31.830989161357206</v>
      </c>
      <c r="F22" s="1293">
        <f>E22-1.14</f>
        <v>30.690989161357205</v>
      </c>
      <c r="G22" s="1290"/>
      <c r="H22" s="1290"/>
      <c r="I22" s="1316"/>
      <c r="J22" s="95"/>
      <c r="K22" s="95"/>
    </row>
    <row r="23" spans="1:11" ht="21" thickBot="1">
      <c r="A23" s="1294">
        <f t="shared" si="4"/>
        <v>24</v>
      </c>
      <c r="B23" s="1295" t="s">
        <v>9898</v>
      </c>
      <c r="C23" s="1277">
        <v>8</v>
      </c>
      <c r="D23" s="1282">
        <v>24</v>
      </c>
      <c r="E23" s="1277">
        <f t="shared" si="5"/>
        <v>61.115499189805831</v>
      </c>
      <c r="F23" s="1296">
        <f>E23-1.37</f>
        <v>59.745499189805834</v>
      </c>
      <c r="G23" s="1290"/>
      <c r="H23" s="1290"/>
      <c r="I23" s="1316"/>
      <c r="J23" s="95"/>
      <c r="K23" s="95"/>
    </row>
    <row r="24" spans="1:11" ht="17.25" thickBot="1">
      <c r="A24" s="95"/>
      <c r="B24" s="204"/>
      <c r="C24" s="204"/>
      <c r="D24" s="204"/>
      <c r="E24" s="204"/>
      <c r="F24" s="204"/>
      <c r="G24" s="204"/>
      <c r="H24" s="204"/>
      <c r="I24" s="204"/>
      <c r="J24" s="95"/>
      <c r="K24" s="95"/>
    </row>
    <row r="25" spans="1:11" ht="32.25" thickBot="1">
      <c r="A25" s="4248" t="s">
        <v>9899</v>
      </c>
      <c r="B25" s="4249"/>
      <c r="C25" s="4249"/>
      <c r="D25" s="4249"/>
      <c r="E25" s="4249"/>
      <c r="F25" s="4249"/>
      <c r="G25" s="4249"/>
      <c r="H25" s="4249"/>
      <c r="I25" s="4250"/>
      <c r="J25" s="95"/>
      <c r="K25" s="95"/>
    </row>
    <row r="26" spans="1:11" ht="20.25">
      <c r="A26" s="4251" t="s">
        <v>9875</v>
      </c>
      <c r="B26" s="4252"/>
      <c r="C26" s="1297" t="s">
        <v>9876</v>
      </c>
      <c r="D26" s="1297" t="s">
        <v>9900</v>
      </c>
      <c r="E26" s="1297" t="s">
        <v>9901</v>
      </c>
      <c r="F26" s="1297" t="s">
        <v>9893</v>
      </c>
      <c r="G26" s="1297" t="s">
        <v>9902</v>
      </c>
      <c r="H26" s="1297" t="s">
        <v>9903</v>
      </c>
      <c r="I26" s="1317" t="s">
        <v>9904</v>
      </c>
      <c r="J26" s="95"/>
      <c r="K26" s="95"/>
    </row>
    <row r="27" spans="1:11" ht="20.25">
      <c r="A27" s="1298">
        <f>F27/1.25</f>
        <v>34.4</v>
      </c>
      <c r="B27" s="1299" t="s">
        <v>9885</v>
      </c>
      <c r="C27" s="1274">
        <v>2.032</v>
      </c>
      <c r="D27" s="1300" t="s">
        <v>9885</v>
      </c>
      <c r="E27" s="1278">
        <f t="shared" ref="E27:E35" si="6">F27*C27</f>
        <v>87.376000000000005</v>
      </c>
      <c r="F27" s="1275">
        <v>43</v>
      </c>
      <c r="G27" s="1278">
        <v>0.51</v>
      </c>
      <c r="H27" s="1278">
        <v>1.1399999999999999</v>
      </c>
      <c r="I27" s="1318">
        <v>40</v>
      </c>
      <c r="J27" s="1319"/>
      <c r="K27" s="95"/>
    </row>
    <row r="28" spans="1:11" ht="20.25">
      <c r="A28" s="1301">
        <f>F28*2</f>
        <v>86</v>
      </c>
      <c r="B28" s="1302" t="s">
        <v>9886</v>
      </c>
      <c r="C28" s="1279">
        <v>5.08</v>
      </c>
      <c r="D28" s="1303" t="s">
        <v>9886</v>
      </c>
      <c r="E28" s="1279">
        <f t="shared" si="6"/>
        <v>218.44</v>
      </c>
      <c r="F28" s="1280">
        <v>43</v>
      </c>
      <c r="G28" s="1279">
        <v>1.27</v>
      </c>
      <c r="H28" s="1279">
        <v>2.2999999999999998</v>
      </c>
      <c r="I28" s="1320">
        <v>50</v>
      </c>
      <c r="J28" s="95"/>
      <c r="K28" s="95"/>
    </row>
    <row r="29" spans="1:11" ht="20.25">
      <c r="A29" s="1298">
        <f>F29*3.75</f>
        <v>150</v>
      </c>
      <c r="B29" s="1299" t="s">
        <v>6492</v>
      </c>
      <c r="C29" s="1278">
        <v>9.5250000000000004</v>
      </c>
      <c r="D29" s="1300" t="s">
        <v>6492</v>
      </c>
      <c r="E29" s="1278">
        <f t="shared" si="6"/>
        <v>381</v>
      </c>
      <c r="F29" s="1275">
        <v>40</v>
      </c>
      <c r="G29" s="1278">
        <v>1.91</v>
      </c>
      <c r="H29" s="1278">
        <v>3.6</v>
      </c>
      <c r="I29" s="1318">
        <v>40</v>
      </c>
      <c r="J29" s="95"/>
      <c r="K29" s="95"/>
    </row>
    <row r="30" spans="1:11" ht="20.25">
      <c r="A30" s="1301">
        <f>F30*5</f>
        <v>500</v>
      </c>
      <c r="B30" s="1302" t="s">
        <v>6556</v>
      </c>
      <c r="C30" s="1279">
        <v>12.7</v>
      </c>
      <c r="D30" s="1303" t="s">
        <v>6556</v>
      </c>
      <c r="E30" s="1279">
        <f t="shared" si="6"/>
        <v>1270</v>
      </c>
      <c r="F30" s="1280">
        <v>100</v>
      </c>
      <c r="G30" s="1279">
        <v>2.29</v>
      </c>
      <c r="H30" s="1279">
        <v>4.3</v>
      </c>
      <c r="I30" s="1320">
        <v>40</v>
      </c>
      <c r="J30" s="95"/>
      <c r="K30" s="95"/>
    </row>
    <row r="31" spans="1:11" ht="20.25">
      <c r="A31" s="1298">
        <f>F31*8.75</f>
        <v>700</v>
      </c>
      <c r="B31" s="1299" t="s">
        <v>9887</v>
      </c>
      <c r="C31" s="1278">
        <v>22.225000000000001</v>
      </c>
      <c r="D31" s="1300" t="s">
        <v>9887</v>
      </c>
      <c r="E31" s="1278">
        <f t="shared" si="6"/>
        <v>1778</v>
      </c>
      <c r="F31" s="1275">
        <v>80</v>
      </c>
      <c r="G31" s="1278">
        <v>6.35</v>
      </c>
      <c r="H31" s="1278">
        <v>11.2</v>
      </c>
      <c r="I31" s="1318">
        <v>40</v>
      </c>
      <c r="J31" s="95"/>
      <c r="K31" s="95"/>
    </row>
    <row r="32" spans="1:11" ht="20.25">
      <c r="A32" s="1301">
        <f>F32*12.5</f>
        <v>625</v>
      </c>
      <c r="B32" s="1302" t="s">
        <v>9888</v>
      </c>
      <c r="C32" s="1279">
        <v>31.75</v>
      </c>
      <c r="D32" s="1303" t="s">
        <v>9888</v>
      </c>
      <c r="E32" s="1279">
        <f t="shared" si="6"/>
        <v>1587.5</v>
      </c>
      <c r="F32" s="1280">
        <v>50</v>
      </c>
      <c r="G32" s="1279">
        <v>9.5299999999999994</v>
      </c>
      <c r="H32" s="1279">
        <v>15.7</v>
      </c>
      <c r="I32" s="1320">
        <v>40</v>
      </c>
      <c r="J32" s="95"/>
      <c r="K32" s="95"/>
    </row>
    <row r="33" spans="1:11" ht="20.25">
      <c r="A33" s="1298">
        <f>E33*1</f>
        <v>150</v>
      </c>
      <c r="B33" s="1304" t="s">
        <v>9896</v>
      </c>
      <c r="C33" s="1278">
        <v>3</v>
      </c>
      <c r="D33" s="1300" t="s">
        <v>9889</v>
      </c>
      <c r="E33" s="1278">
        <f t="shared" si="6"/>
        <v>150</v>
      </c>
      <c r="F33" s="1275">
        <v>50</v>
      </c>
      <c r="G33" s="1278">
        <v>1.17</v>
      </c>
      <c r="H33" s="1278">
        <v>2.4</v>
      </c>
      <c r="I33" s="1318"/>
      <c r="J33" s="95"/>
      <c r="K33" s="95"/>
    </row>
    <row r="34" spans="1:11" ht="20.25">
      <c r="A34" s="1301">
        <f>E34*1</f>
        <v>250</v>
      </c>
      <c r="B34" s="1305" t="s">
        <v>9897</v>
      </c>
      <c r="C34" s="1279">
        <v>5</v>
      </c>
      <c r="D34" s="1303" t="s">
        <v>9890</v>
      </c>
      <c r="E34" s="1279">
        <f t="shared" si="6"/>
        <v>250</v>
      </c>
      <c r="F34" s="1280">
        <v>50</v>
      </c>
      <c r="G34" s="1279">
        <v>2.06</v>
      </c>
      <c r="H34" s="1279">
        <v>3.8</v>
      </c>
      <c r="I34" s="1320"/>
      <c r="J34" s="95"/>
      <c r="K34" s="95"/>
    </row>
    <row r="35" spans="1:11" ht="21" thickBot="1">
      <c r="A35" s="1306">
        <f>E35*1</f>
        <v>1320</v>
      </c>
      <c r="B35" s="1307" t="s">
        <v>9898</v>
      </c>
      <c r="C35" s="1277">
        <v>8</v>
      </c>
      <c r="D35" s="1308" t="s">
        <v>9891</v>
      </c>
      <c r="E35" s="1277">
        <f t="shared" si="6"/>
        <v>1320</v>
      </c>
      <c r="F35" s="1282">
        <v>165</v>
      </c>
      <c r="G35" s="1277">
        <v>3.36</v>
      </c>
      <c r="H35" s="1277">
        <v>6</v>
      </c>
      <c r="I35" s="1321"/>
      <c r="J35" s="95"/>
      <c r="K35" s="95"/>
    </row>
    <row r="36" spans="1:11">
      <c r="A36" s="95"/>
      <c r="B36" s="95"/>
      <c r="C36" s="95"/>
      <c r="D36" s="95"/>
      <c r="E36" s="95"/>
      <c r="F36" s="95">
        <v>150</v>
      </c>
      <c r="G36" s="95"/>
      <c r="H36" s="95"/>
      <c r="I36" s="95"/>
      <c r="J36" s="95"/>
      <c r="K36" s="95"/>
    </row>
    <row r="37" spans="1:11" ht="31.5">
      <c r="A37" s="4242" t="s">
        <v>9905</v>
      </c>
      <c r="B37" s="4242"/>
      <c r="C37" s="4242"/>
      <c r="D37" s="4242"/>
      <c r="E37" s="4242"/>
      <c r="F37" s="4242"/>
      <c r="G37" s="95"/>
      <c r="H37" s="95"/>
      <c r="I37" s="95"/>
      <c r="J37" s="95"/>
      <c r="K37" s="95"/>
    </row>
    <row r="38" spans="1:11">
      <c r="A38" s="95"/>
      <c r="B38" s="95"/>
      <c r="C38" s="95"/>
      <c r="D38" s="95"/>
      <c r="E38" s="95"/>
      <c r="F38" s="95"/>
      <c r="G38" s="95"/>
      <c r="H38" s="95"/>
      <c r="I38" s="95"/>
      <c r="J38" s="95"/>
      <c r="K38" s="95"/>
    </row>
    <row r="39" spans="1:11">
      <c r="A39" s="4243" t="s">
        <v>12023</v>
      </c>
      <c r="B39" s="4243"/>
      <c r="C39" s="95"/>
      <c r="D39" s="95"/>
      <c r="E39" s="95"/>
      <c r="F39" s="95"/>
      <c r="G39" s="95"/>
      <c r="H39" s="95"/>
      <c r="I39" s="95"/>
      <c r="J39" s="95"/>
      <c r="K39" s="95"/>
    </row>
  </sheetData>
  <mergeCells count="17">
    <mergeCell ref="A14:B14"/>
    <mergeCell ref="A25:I25"/>
    <mergeCell ref="A26:B26"/>
    <mergeCell ref="A37:F37"/>
    <mergeCell ref="A39:B39"/>
    <mergeCell ref="A13:F13"/>
    <mergeCell ref="A1:K1"/>
    <mergeCell ref="A2:B2"/>
    <mergeCell ref="A3:B3"/>
    <mergeCell ref="A4:B4"/>
    <mergeCell ref="A5:B5"/>
    <mergeCell ref="A6:B6"/>
    <mergeCell ref="A7:B7"/>
    <mergeCell ref="A8:B8"/>
    <mergeCell ref="A9:B9"/>
    <mergeCell ref="A10:B10"/>
    <mergeCell ref="A11:B11"/>
  </mergeCells>
  <phoneticPr fontId="378" type="noConversion"/>
  <hyperlinks>
    <hyperlink ref="H18" location="总目录!A1" display="返回目录"/>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workbookViewId="0">
      <selection activeCell="K3" sqref="K3"/>
    </sheetView>
  </sheetViews>
  <sheetFormatPr defaultRowHeight="16.5"/>
  <cols>
    <col min="1" max="11" width="15" customWidth="1"/>
  </cols>
  <sheetData>
    <row r="1" spans="1:11" ht="28.5" thickBot="1">
      <c r="A1" s="4622" t="s">
        <v>12025</v>
      </c>
      <c r="B1" s="4623"/>
      <c r="C1" s="4623"/>
      <c r="D1" s="4623"/>
      <c r="E1" s="4624"/>
      <c r="F1" s="4625" t="s">
        <v>12026</v>
      </c>
      <c r="G1" s="4626"/>
      <c r="H1" s="4626"/>
      <c r="I1" s="4626"/>
      <c r="J1" s="4626"/>
      <c r="K1" s="4627"/>
    </row>
    <row r="2" spans="1:11" ht="23.25" thickBot="1">
      <c r="A2" s="2813" t="s">
        <v>12027</v>
      </c>
      <c r="B2" s="2814" t="s">
        <v>2052</v>
      </c>
      <c r="C2" s="2814" t="s">
        <v>12028</v>
      </c>
      <c r="D2" s="2815" t="s">
        <v>12029</v>
      </c>
      <c r="E2" s="2816" t="s">
        <v>12030</v>
      </c>
      <c r="F2" s="2817" t="s">
        <v>12027</v>
      </c>
      <c r="G2" s="2818" t="s">
        <v>2052</v>
      </c>
      <c r="H2" s="2818" t="s">
        <v>2053</v>
      </c>
      <c r="I2" s="2818" t="s">
        <v>12028</v>
      </c>
      <c r="J2" s="2819" t="s">
        <v>12029</v>
      </c>
      <c r="K2" s="2820" t="s">
        <v>12030</v>
      </c>
    </row>
    <row r="3" spans="1:11" ht="22.5">
      <c r="A3" s="2821">
        <v>0.5</v>
      </c>
      <c r="B3" s="2822">
        <v>16</v>
      </c>
      <c r="C3" s="2822">
        <v>0.6</v>
      </c>
      <c r="D3" s="2823">
        <f t="shared" ref="D3:D11" si="0">A3*1000000/4*3.14*(B3/1000)*(B3/1000)*C3</f>
        <v>60.287999999999997</v>
      </c>
      <c r="E3" s="2824">
        <f t="shared" ref="E3:E11" si="1">D3/9.8</f>
        <v>6.1518367346938767</v>
      </c>
      <c r="F3" s="2825">
        <v>0.5</v>
      </c>
      <c r="G3" s="2826">
        <v>16</v>
      </c>
      <c r="H3" s="2826">
        <v>8</v>
      </c>
      <c r="I3" s="2826">
        <v>0.6</v>
      </c>
      <c r="J3" s="2827">
        <f t="shared" ref="J3:J11" si="2">F3*1000000/4*3.14*((G3/1000)*(G3/1000)-(H3/1000)*(H3/1000))*I3</f>
        <v>45.216000000000001</v>
      </c>
      <c r="K3" s="2828">
        <f t="shared" ref="K3:K11" si="3">J3/9.8</f>
        <v>4.6138775510204075</v>
      </c>
    </row>
    <row r="4" spans="1:11" ht="22.5">
      <c r="A4" s="2829">
        <v>0.6</v>
      </c>
      <c r="B4" s="2830">
        <v>20</v>
      </c>
      <c r="C4" s="2830">
        <v>1</v>
      </c>
      <c r="D4" s="2831">
        <f t="shared" si="0"/>
        <v>188.4</v>
      </c>
      <c r="E4" s="2832">
        <f t="shared" si="1"/>
        <v>19.224489795918366</v>
      </c>
      <c r="F4" s="2833">
        <v>0.5</v>
      </c>
      <c r="G4" s="2834">
        <v>25</v>
      </c>
      <c r="H4" s="2834">
        <v>10</v>
      </c>
      <c r="I4" s="2834">
        <v>0.6</v>
      </c>
      <c r="J4" s="2835">
        <f t="shared" si="2"/>
        <v>123.63750000000002</v>
      </c>
      <c r="K4" s="2836">
        <f t="shared" si="3"/>
        <v>12.616071428571429</v>
      </c>
    </row>
    <row r="5" spans="1:11" ht="22.5">
      <c r="A5" s="2837">
        <v>0.5</v>
      </c>
      <c r="B5" s="2838">
        <v>32</v>
      </c>
      <c r="C5" s="2838">
        <v>0.6</v>
      </c>
      <c r="D5" s="2839">
        <f t="shared" si="0"/>
        <v>241.15199999999999</v>
      </c>
      <c r="E5" s="2840">
        <f t="shared" si="1"/>
        <v>24.607346938775507</v>
      </c>
      <c r="F5" s="2841">
        <v>0.5</v>
      </c>
      <c r="G5" s="2842">
        <v>32</v>
      </c>
      <c r="H5" s="2842">
        <v>12</v>
      </c>
      <c r="I5" s="2842">
        <v>0.6</v>
      </c>
      <c r="J5" s="2843">
        <f t="shared" si="2"/>
        <v>207.23999999999998</v>
      </c>
      <c r="K5" s="2844">
        <f t="shared" si="3"/>
        <v>21.146938775510201</v>
      </c>
    </row>
    <row r="6" spans="1:11" ht="22.5">
      <c r="A6" s="2829">
        <v>0.5</v>
      </c>
      <c r="B6" s="2830">
        <v>40</v>
      </c>
      <c r="C6" s="2830">
        <v>0.8</v>
      </c>
      <c r="D6" s="2831">
        <f t="shared" si="0"/>
        <v>502.40000000000003</v>
      </c>
      <c r="E6" s="2832">
        <f t="shared" si="1"/>
        <v>51.265306122448976</v>
      </c>
      <c r="F6" s="2833">
        <v>5.6</v>
      </c>
      <c r="G6" s="2834">
        <v>40</v>
      </c>
      <c r="H6" s="2834">
        <v>16</v>
      </c>
      <c r="I6" s="2834">
        <v>1</v>
      </c>
      <c r="J6" s="2835">
        <f t="shared" si="2"/>
        <v>5908.2240000000011</v>
      </c>
      <c r="K6" s="2836">
        <f t="shared" si="3"/>
        <v>602.88000000000011</v>
      </c>
    </row>
    <row r="7" spans="1:11" ht="22.5">
      <c r="A7" s="2837">
        <v>0.5</v>
      </c>
      <c r="B7" s="2838">
        <v>50</v>
      </c>
      <c r="C7" s="2838">
        <v>0.5</v>
      </c>
      <c r="D7" s="2839">
        <f t="shared" si="0"/>
        <v>490.625</v>
      </c>
      <c r="E7" s="2840">
        <f t="shared" si="1"/>
        <v>50.063775510204081</v>
      </c>
      <c r="F7" s="2841">
        <v>0.5</v>
      </c>
      <c r="G7" s="2842">
        <v>50</v>
      </c>
      <c r="H7" s="2842">
        <v>20</v>
      </c>
      <c r="I7" s="2842">
        <v>0.5</v>
      </c>
      <c r="J7" s="2843">
        <f t="shared" si="2"/>
        <v>412.12500000000006</v>
      </c>
      <c r="K7" s="2844">
        <f t="shared" si="3"/>
        <v>42.053571428571431</v>
      </c>
    </row>
    <row r="8" spans="1:11" ht="22.5">
      <c r="A8" s="2829">
        <v>0.5</v>
      </c>
      <c r="B8" s="2830">
        <v>63</v>
      </c>
      <c r="C8" s="2830">
        <v>0.8</v>
      </c>
      <c r="D8" s="2831">
        <f t="shared" si="0"/>
        <v>1246.2660000000001</v>
      </c>
      <c r="E8" s="2832">
        <f t="shared" si="1"/>
        <v>127.17</v>
      </c>
      <c r="F8" s="2833">
        <v>0.5</v>
      </c>
      <c r="G8" s="2834">
        <v>63</v>
      </c>
      <c r="H8" s="2834">
        <v>20</v>
      </c>
      <c r="I8" s="2834">
        <v>0.6</v>
      </c>
      <c r="J8" s="2835">
        <f t="shared" si="2"/>
        <v>840.49950000000001</v>
      </c>
      <c r="K8" s="2836">
        <f t="shared" si="3"/>
        <v>85.765255102040811</v>
      </c>
    </row>
    <row r="9" spans="1:11" ht="22.5">
      <c r="A9" s="2837">
        <v>0.6</v>
      </c>
      <c r="B9" s="2838">
        <v>80</v>
      </c>
      <c r="C9" s="2838">
        <v>0.7</v>
      </c>
      <c r="D9" s="2839">
        <f t="shared" si="0"/>
        <v>2110.08</v>
      </c>
      <c r="E9" s="2840">
        <f t="shared" si="1"/>
        <v>215.31428571428569</v>
      </c>
      <c r="F9" s="2841">
        <v>0.5</v>
      </c>
      <c r="G9" s="2842">
        <v>80</v>
      </c>
      <c r="H9" s="2842">
        <v>25</v>
      </c>
      <c r="I9" s="2842">
        <v>0.7</v>
      </c>
      <c r="J9" s="2843">
        <f t="shared" si="2"/>
        <v>1586.6812500000003</v>
      </c>
      <c r="K9" s="2844">
        <f t="shared" si="3"/>
        <v>161.90625000000003</v>
      </c>
    </row>
    <row r="10" spans="1:11" ht="22.5">
      <c r="A10" s="2829">
        <v>0.5</v>
      </c>
      <c r="B10" s="2830">
        <v>100</v>
      </c>
      <c r="C10" s="2830">
        <v>0.9</v>
      </c>
      <c r="D10" s="2831">
        <f t="shared" si="0"/>
        <v>3532.5</v>
      </c>
      <c r="E10" s="2832">
        <f t="shared" si="1"/>
        <v>360.45918367346934</v>
      </c>
      <c r="F10" s="2833">
        <v>0.5</v>
      </c>
      <c r="G10" s="2834">
        <v>100</v>
      </c>
      <c r="H10" s="2834">
        <v>30</v>
      </c>
      <c r="I10" s="2834">
        <v>0.9</v>
      </c>
      <c r="J10" s="2835">
        <f t="shared" si="2"/>
        <v>3214.5750000000007</v>
      </c>
      <c r="K10" s="2836">
        <f t="shared" si="3"/>
        <v>328.01785714285717</v>
      </c>
    </row>
    <row r="11" spans="1:11" ht="23.25" thickBot="1">
      <c r="A11" s="2845">
        <v>0.5</v>
      </c>
      <c r="B11" s="2846">
        <v>125</v>
      </c>
      <c r="C11" s="2846">
        <v>0.6</v>
      </c>
      <c r="D11" s="2847">
        <f t="shared" si="0"/>
        <v>3679.6875</v>
      </c>
      <c r="E11" s="2848">
        <f t="shared" si="1"/>
        <v>375.4783163265306</v>
      </c>
      <c r="F11" s="2849">
        <v>0.5</v>
      </c>
      <c r="G11" s="2850">
        <v>125</v>
      </c>
      <c r="H11" s="2850">
        <v>36</v>
      </c>
      <c r="I11" s="2850">
        <v>0.6</v>
      </c>
      <c r="J11" s="2851">
        <f t="shared" si="2"/>
        <v>3374.4794999999999</v>
      </c>
      <c r="K11" s="2852">
        <f t="shared" si="3"/>
        <v>344.3346428571428</v>
      </c>
    </row>
    <row r="12" spans="1:11">
      <c r="A12" s="204"/>
      <c r="B12" s="204"/>
      <c r="C12" s="204"/>
      <c r="D12" s="2853"/>
      <c r="E12" s="3162" t="s">
        <v>12704</v>
      </c>
      <c r="F12" s="95"/>
      <c r="G12" s="95"/>
      <c r="H12" s="95"/>
      <c r="I12" s="95"/>
      <c r="J12" s="95"/>
      <c r="K12" s="95"/>
    </row>
    <row r="13" spans="1:11">
      <c r="A13" s="204"/>
      <c r="B13" s="204"/>
      <c r="C13" s="204"/>
      <c r="D13" s="2853"/>
      <c r="E13" s="2854"/>
      <c r="F13" s="95"/>
      <c r="G13" s="95"/>
      <c r="H13" s="95"/>
      <c r="I13" s="95"/>
      <c r="J13" s="95"/>
      <c r="K13" s="95"/>
    </row>
  </sheetData>
  <mergeCells count="2">
    <mergeCell ref="A1:E1"/>
    <mergeCell ref="F1:K1"/>
  </mergeCells>
  <phoneticPr fontId="378" type="noConversion"/>
  <hyperlinks>
    <hyperlink ref="E12" location="总目录!A1" display="返回目录"/>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7"/>
  <sheetViews>
    <sheetView workbookViewId="0">
      <selection activeCell="K3" sqref="K3"/>
    </sheetView>
  </sheetViews>
  <sheetFormatPr defaultRowHeight="16.5"/>
  <cols>
    <col min="1" max="8" width="9.75" customWidth="1"/>
    <col min="9" max="9" width="14.375" customWidth="1"/>
  </cols>
  <sheetData>
    <row r="1" spans="1:16" ht="25.5">
      <c r="A1" s="4312" t="s">
        <v>12033</v>
      </c>
      <c r="B1" s="4313"/>
      <c r="C1" s="4313"/>
      <c r="D1" s="4313"/>
      <c r="E1" s="4313"/>
      <c r="F1" s="4313"/>
      <c r="G1" s="4313"/>
      <c r="H1" s="4313"/>
      <c r="I1" s="3162" t="s">
        <v>12704</v>
      </c>
      <c r="J1" s="66"/>
      <c r="K1" s="66"/>
      <c r="L1" s="66"/>
      <c r="M1" s="66"/>
      <c r="N1" s="66"/>
      <c r="O1" s="66"/>
      <c r="P1" s="66"/>
    </row>
    <row r="2" spans="1:16" ht="20.25">
      <c r="A2" s="4314" t="s">
        <v>10043</v>
      </c>
      <c r="B2" s="4314"/>
      <c r="C2" s="4314"/>
      <c r="D2" s="4314"/>
      <c r="E2" s="4314"/>
      <c r="F2" s="4314"/>
      <c r="G2" s="4314"/>
      <c r="H2" s="4314"/>
      <c r="I2" s="1086"/>
      <c r="J2" s="66"/>
      <c r="K2" s="66"/>
      <c r="L2" s="66"/>
      <c r="M2" s="66"/>
      <c r="N2" s="66"/>
      <c r="O2" s="66"/>
      <c r="P2" s="66"/>
    </row>
    <row r="3" spans="1:16">
      <c r="A3" s="1086" t="s">
        <v>10044</v>
      </c>
      <c r="B3" s="1086"/>
      <c r="C3" s="1086"/>
      <c r="D3" s="1086"/>
      <c r="E3" s="1086"/>
      <c r="F3" s="1086"/>
      <c r="G3" s="1086"/>
      <c r="H3" s="1086"/>
      <c r="I3" s="1086"/>
      <c r="J3" s="66"/>
      <c r="K3" s="66"/>
      <c r="L3" s="66"/>
      <c r="M3" s="66"/>
      <c r="N3" s="66"/>
      <c r="O3" s="66"/>
      <c r="P3" s="66"/>
    </row>
    <row r="4" spans="1:16">
      <c r="A4" s="1086" t="s">
        <v>10045</v>
      </c>
      <c r="B4" s="1086"/>
      <c r="C4" s="1086"/>
      <c r="D4" s="1086"/>
      <c r="E4" s="1086"/>
      <c r="F4" s="1086"/>
      <c r="G4" s="1086"/>
      <c r="H4" s="1086"/>
      <c r="I4" s="1099" t="s">
        <v>10046</v>
      </c>
      <c r="J4" s="66"/>
      <c r="K4" s="66"/>
      <c r="L4" s="66"/>
      <c r="M4" s="66"/>
      <c r="N4" s="66"/>
      <c r="O4" s="66"/>
      <c r="P4" s="66"/>
    </row>
    <row r="5" spans="1:16">
      <c r="A5" s="1086"/>
      <c r="B5" s="1086"/>
      <c r="C5" s="1086"/>
      <c r="D5" s="1086"/>
      <c r="E5" s="1086"/>
      <c r="F5" s="1086"/>
      <c r="G5" s="1086"/>
      <c r="H5" s="1086"/>
      <c r="I5" s="1100">
        <v>2</v>
      </c>
      <c r="J5" s="66"/>
      <c r="K5" s="66"/>
      <c r="L5" s="66"/>
      <c r="M5" s="66"/>
      <c r="N5" s="66"/>
      <c r="O5" s="66"/>
      <c r="P5" s="66"/>
    </row>
    <row r="6" spans="1:16">
      <c r="A6" s="1086"/>
      <c r="B6" s="1086"/>
      <c r="C6" s="1086"/>
      <c r="D6" s="1086"/>
      <c r="E6" s="1086"/>
      <c r="F6" s="1086"/>
      <c r="G6" s="1086"/>
      <c r="H6" s="1086"/>
      <c r="I6" s="1100">
        <v>4</v>
      </c>
      <c r="J6" s="66"/>
      <c r="K6" s="66"/>
      <c r="L6" s="66"/>
      <c r="M6" s="66"/>
      <c r="N6" s="66"/>
      <c r="O6" s="66"/>
      <c r="P6" s="66"/>
    </row>
    <row r="7" spans="1:16">
      <c r="A7" s="1086" t="s">
        <v>10047</v>
      </c>
      <c r="B7" s="1086" t="s">
        <v>10048</v>
      </c>
      <c r="C7" s="1086"/>
      <c r="D7" s="1086"/>
      <c r="E7" s="1086"/>
      <c r="F7" s="1086"/>
      <c r="G7" s="1086"/>
      <c r="H7" s="1086"/>
      <c r="I7" s="1100">
        <v>6</v>
      </c>
      <c r="J7" s="66"/>
      <c r="K7" s="66"/>
      <c r="L7" s="66"/>
      <c r="M7" s="66"/>
      <c r="N7" s="66"/>
      <c r="O7" s="66"/>
      <c r="P7" s="66"/>
    </row>
    <row r="8" spans="1:16">
      <c r="A8" s="1086"/>
      <c r="B8" s="1086" t="s">
        <v>10049</v>
      </c>
      <c r="C8" s="1086"/>
      <c r="D8" s="1086"/>
      <c r="E8" s="1086"/>
      <c r="F8" s="1086"/>
      <c r="G8" s="1086"/>
      <c r="H8" s="1086"/>
      <c r="I8" s="1100">
        <v>8</v>
      </c>
      <c r="J8" s="66"/>
      <c r="K8" s="66"/>
      <c r="L8" s="66"/>
      <c r="M8" s="66"/>
      <c r="N8" s="66"/>
      <c r="O8" s="66"/>
      <c r="P8" s="66"/>
    </row>
    <row r="9" spans="1:16">
      <c r="A9" s="1086"/>
      <c r="B9" s="1086" t="s">
        <v>10050</v>
      </c>
      <c r="C9" s="1086"/>
      <c r="D9" s="1086"/>
      <c r="E9" s="1086"/>
      <c r="F9" s="1086"/>
      <c r="G9" s="1086"/>
      <c r="H9" s="1086"/>
      <c r="I9" s="1100">
        <v>10</v>
      </c>
      <c r="J9" s="66"/>
      <c r="K9" s="66"/>
      <c r="L9" s="66"/>
      <c r="M9" s="66"/>
      <c r="N9" s="66"/>
      <c r="O9" s="66"/>
      <c r="P9" s="66"/>
    </row>
    <row r="10" spans="1:16">
      <c r="A10" s="1086"/>
      <c r="B10" s="1086" t="s">
        <v>10051</v>
      </c>
      <c r="C10" s="1086"/>
      <c r="D10" s="1086"/>
      <c r="E10" s="1086"/>
      <c r="F10" s="1086"/>
      <c r="G10" s="1086"/>
      <c r="H10" s="1086"/>
      <c r="I10" s="1100">
        <v>13</v>
      </c>
      <c r="J10" s="66"/>
      <c r="K10" s="66"/>
      <c r="L10" s="66"/>
      <c r="M10" s="66"/>
      <c r="N10" s="66"/>
      <c r="O10" s="66"/>
      <c r="P10" s="66"/>
    </row>
    <row r="11" spans="1:16" ht="20.25">
      <c r="A11" s="1088" t="s">
        <v>10052</v>
      </c>
      <c r="B11" s="1089" t="s">
        <v>10053</v>
      </c>
      <c r="C11" s="1086"/>
      <c r="D11" s="1086"/>
      <c r="E11" s="1086"/>
      <c r="F11" s="1086"/>
      <c r="G11" s="1086"/>
      <c r="H11" s="1086"/>
      <c r="I11" s="1100">
        <v>16</v>
      </c>
      <c r="J11" s="66"/>
      <c r="K11" s="66"/>
      <c r="L11" s="66"/>
      <c r="M11" s="66"/>
      <c r="N11" s="66"/>
      <c r="O11" s="66"/>
      <c r="P11" s="66"/>
    </row>
    <row r="12" spans="1:16">
      <c r="A12" s="1090" t="s">
        <v>7286</v>
      </c>
      <c r="B12" s="1091" t="s">
        <v>10054</v>
      </c>
      <c r="C12" s="1092">
        <v>20</v>
      </c>
      <c r="D12" s="1086" t="s">
        <v>10055</v>
      </c>
      <c r="E12" s="1093">
        <f>C12*9.8</f>
        <v>196</v>
      </c>
      <c r="F12" s="1086" t="s">
        <v>6109</v>
      </c>
      <c r="G12" s="1086"/>
      <c r="H12" s="1086"/>
      <c r="I12" s="1100">
        <v>20</v>
      </c>
      <c r="J12" s="66"/>
      <c r="K12" s="66"/>
      <c r="L12" s="66"/>
      <c r="M12" s="66"/>
      <c r="N12" s="66"/>
      <c r="O12" s="66"/>
      <c r="P12" s="66"/>
    </row>
    <row r="13" spans="1:16">
      <c r="A13" s="1090" t="s">
        <v>7288</v>
      </c>
      <c r="B13" s="1091" t="s">
        <v>10056</v>
      </c>
      <c r="C13" s="1092">
        <v>4</v>
      </c>
      <c r="D13" s="1086"/>
      <c r="E13" s="1086"/>
      <c r="F13" s="1086"/>
      <c r="G13" s="1086"/>
      <c r="H13" s="1086"/>
      <c r="I13" s="1100">
        <v>25</v>
      </c>
      <c r="J13" s="66"/>
      <c r="K13" s="66"/>
      <c r="L13" s="66"/>
      <c r="M13" s="66"/>
      <c r="N13" s="66"/>
      <c r="O13" s="66"/>
      <c r="P13" s="66"/>
    </row>
    <row r="14" spans="1:16">
      <c r="A14" s="1090" t="s">
        <v>7290</v>
      </c>
      <c r="B14" s="1091" t="s">
        <v>10057</v>
      </c>
      <c r="C14" s="1092">
        <v>4</v>
      </c>
      <c r="D14" s="1086"/>
      <c r="E14" s="1086"/>
      <c r="F14" s="1086"/>
      <c r="G14" s="1086"/>
      <c r="H14" s="1086"/>
      <c r="I14" s="1100">
        <v>32</v>
      </c>
      <c r="J14" s="66"/>
      <c r="K14" s="66"/>
      <c r="L14" s="66"/>
      <c r="M14" s="66"/>
      <c r="N14" s="66"/>
      <c r="O14" s="66"/>
      <c r="P14" s="66"/>
    </row>
    <row r="15" spans="1:16">
      <c r="A15" s="1090" t="s">
        <v>7292</v>
      </c>
      <c r="B15" s="1091" t="s">
        <v>10058</v>
      </c>
      <c r="C15" s="1094">
        <v>0.06</v>
      </c>
      <c r="D15" s="1086" t="s">
        <v>966</v>
      </c>
      <c r="E15" s="1086" t="s">
        <v>10059</v>
      </c>
      <c r="F15" s="1086"/>
      <c r="G15" s="1086"/>
      <c r="H15" s="1086"/>
      <c r="I15" s="1100">
        <v>40</v>
      </c>
      <c r="J15" s="66"/>
      <c r="K15" s="66"/>
      <c r="L15" s="66"/>
      <c r="M15" s="66"/>
      <c r="N15" s="66"/>
      <c r="O15" s="66"/>
      <c r="P15" s="66"/>
    </row>
    <row r="16" spans="1:16" ht="20.25">
      <c r="A16" s="1088" t="s">
        <v>10060</v>
      </c>
      <c r="B16" s="1089" t="s">
        <v>10061</v>
      </c>
      <c r="C16" s="1086"/>
      <c r="D16" s="1086"/>
      <c r="E16" s="1086"/>
      <c r="F16" s="1086"/>
      <c r="G16" s="1086"/>
      <c r="H16" s="1086"/>
      <c r="I16" s="1100">
        <v>50</v>
      </c>
      <c r="J16" s="66"/>
      <c r="K16" s="66"/>
      <c r="L16" s="66"/>
      <c r="M16" s="66"/>
      <c r="N16" s="66"/>
      <c r="O16" s="66"/>
      <c r="P16" s="66"/>
    </row>
    <row r="17" spans="1:16">
      <c r="A17" s="1090" t="s">
        <v>7286</v>
      </c>
      <c r="B17" s="1095" t="s">
        <v>10062</v>
      </c>
      <c r="C17" s="1096">
        <f>ROUND(SQRT(4*E12*C13/PI()/C14/C15),0)</f>
        <v>64</v>
      </c>
      <c r="D17" s="1086" t="s">
        <v>2040</v>
      </c>
      <c r="E17" s="1086"/>
      <c r="F17" s="1086"/>
      <c r="G17" s="1086"/>
      <c r="H17" s="1086"/>
      <c r="I17" s="1100">
        <v>63</v>
      </c>
      <c r="J17" s="66"/>
      <c r="K17" s="66"/>
      <c r="L17" s="66"/>
      <c r="M17" s="66"/>
      <c r="N17" s="66"/>
      <c r="O17" s="66"/>
      <c r="P17" s="66"/>
    </row>
    <row r="18" spans="1:16">
      <c r="A18" s="1090" t="s">
        <v>7288</v>
      </c>
      <c r="B18" s="1091" t="s">
        <v>10063</v>
      </c>
      <c r="C18" s="1096">
        <f>VLOOKUP(C17,I5:I20,1,TRUE)</f>
        <v>63</v>
      </c>
      <c r="D18" s="1086" t="s">
        <v>2040</v>
      </c>
      <c r="E18" s="1086"/>
      <c r="F18" s="1086"/>
      <c r="G18" s="1086"/>
      <c r="H18" s="1086"/>
      <c r="I18" s="1100">
        <v>80</v>
      </c>
      <c r="J18" s="66"/>
      <c r="K18" s="66"/>
      <c r="L18" s="66"/>
      <c r="M18" s="66"/>
      <c r="N18" s="66"/>
      <c r="O18" s="66"/>
      <c r="P18" s="66"/>
    </row>
    <row r="19" spans="1:16" ht="20.25">
      <c r="A19" s="1088" t="s">
        <v>10064</v>
      </c>
      <c r="B19" s="1089" t="s">
        <v>10065</v>
      </c>
      <c r="C19" s="1086"/>
      <c r="D19" s="1086"/>
      <c r="E19" s="1086"/>
      <c r="F19" s="1086"/>
      <c r="G19" s="1086"/>
      <c r="H19" s="1086"/>
      <c r="I19" s="1100">
        <v>100</v>
      </c>
      <c r="J19" s="66"/>
      <c r="K19" s="66"/>
      <c r="L19" s="66"/>
      <c r="M19" s="66"/>
      <c r="N19" s="66"/>
      <c r="O19" s="66"/>
      <c r="P19" s="66"/>
    </row>
    <row r="20" spans="1:16">
      <c r="A20" s="1086"/>
      <c r="B20" s="1091" t="s">
        <v>6689</v>
      </c>
      <c r="C20" s="1097">
        <f>ROUND(4*E12*C13/PI()/C18/C18/C14,3)</f>
        <v>6.3E-2</v>
      </c>
      <c r="D20" s="1086" t="s">
        <v>966</v>
      </c>
      <c r="E20" s="1086"/>
      <c r="F20" s="1086"/>
      <c r="G20" s="1086"/>
      <c r="H20" s="1086"/>
      <c r="I20" s="1100">
        <v>125</v>
      </c>
      <c r="J20" s="66"/>
      <c r="K20" s="66"/>
      <c r="L20" s="66"/>
      <c r="M20" s="66"/>
      <c r="N20" s="66"/>
      <c r="O20" s="66"/>
      <c r="P20" s="66"/>
    </row>
    <row r="21" spans="1:16">
      <c r="A21" s="1086"/>
      <c r="B21" s="1086"/>
      <c r="C21" s="1086"/>
      <c r="D21" s="1086"/>
      <c r="E21" s="1086"/>
      <c r="F21" s="1086"/>
      <c r="G21" s="1086"/>
      <c r="H21" s="1086"/>
      <c r="I21" s="1086"/>
      <c r="J21" s="66"/>
      <c r="K21" s="66"/>
      <c r="L21" s="66"/>
      <c r="M21" s="66"/>
      <c r="N21" s="66"/>
      <c r="O21" s="66"/>
      <c r="P21" s="66"/>
    </row>
    <row r="22" spans="1:16" ht="20.25">
      <c r="A22" s="4314" t="s">
        <v>10066</v>
      </c>
      <c r="B22" s="4314"/>
      <c r="C22" s="4314"/>
      <c r="D22" s="4314"/>
      <c r="E22" s="4314"/>
      <c r="F22" s="4314"/>
      <c r="G22" s="4314"/>
      <c r="H22" s="4314"/>
      <c r="I22" s="1086"/>
      <c r="J22" s="66"/>
      <c r="K22" s="66"/>
      <c r="L22" s="66"/>
      <c r="M22" s="66"/>
      <c r="N22" s="66"/>
      <c r="O22" s="66"/>
      <c r="P22" s="66"/>
    </row>
    <row r="23" spans="1:16" ht="20.25">
      <c r="A23" s="1088" t="s">
        <v>10052</v>
      </c>
      <c r="B23" s="1086" t="s">
        <v>10067</v>
      </c>
      <c r="C23" s="1086"/>
      <c r="D23" s="1086"/>
      <c r="E23" s="1086"/>
      <c r="F23" s="1086"/>
      <c r="G23" s="1086"/>
      <c r="H23" s="1086"/>
      <c r="I23" s="1086"/>
      <c r="J23" s="66"/>
      <c r="K23" s="66"/>
      <c r="L23" s="66"/>
      <c r="M23" s="66"/>
      <c r="N23" s="66"/>
      <c r="O23" s="66"/>
      <c r="P23" s="66"/>
    </row>
    <row r="24" spans="1:16">
      <c r="A24" s="1086"/>
      <c r="B24" s="1086" t="s">
        <v>10068</v>
      </c>
      <c r="C24" s="1086"/>
      <c r="D24" s="1086"/>
      <c r="E24" s="1086"/>
      <c r="F24" s="1086"/>
      <c r="G24" s="1086"/>
      <c r="H24" s="1086"/>
      <c r="I24" s="1086"/>
      <c r="J24" s="66"/>
      <c r="K24" s="66"/>
      <c r="L24" s="66"/>
      <c r="M24" s="66"/>
      <c r="N24" s="66"/>
      <c r="O24" s="66"/>
      <c r="P24" s="66"/>
    </row>
    <row r="25" spans="1:16">
      <c r="A25" s="1086" t="s">
        <v>10069</v>
      </c>
      <c r="B25" s="1086"/>
      <c r="C25" s="1086"/>
      <c r="D25" s="1086"/>
      <c r="E25" s="1086"/>
      <c r="F25" s="1086"/>
      <c r="G25" s="1086"/>
      <c r="H25" s="1086"/>
      <c r="I25" s="1086"/>
      <c r="J25" s="66"/>
      <c r="K25" s="66"/>
      <c r="L25" s="66"/>
      <c r="M25" s="66"/>
      <c r="N25" s="66"/>
      <c r="O25" s="66"/>
      <c r="P25" s="66"/>
    </row>
    <row r="26" spans="1:16">
      <c r="A26" s="1086"/>
      <c r="B26" s="1086" t="s">
        <v>10070</v>
      </c>
      <c r="C26" s="1086"/>
      <c r="D26" s="1086"/>
      <c r="E26" s="1086"/>
      <c r="F26" s="1086"/>
      <c r="G26" s="1086"/>
      <c r="H26" s="1086"/>
      <c r="I26" s="1086"/>
      <c r="J26" s="66"/>
      <c r="K26" s="66"/>
      <c r="L26" s="66"/>
      <c r="M26" s="66"/>
      <c r="N26" s="66"/>
      <c r="O26" s="66"/>
      <c r="P26" s="66"/>
    </row>
    <row r="27" spans="1:16">
      <c r="A27" s="1086"/>
      <c r="B27" s="1086"/>
      <c r="C27" s="1086"/>
      <c r="D27" s="1086"/>
      <c r="E27" s="1086"/>
      <c r="F27" s="1086"/>
      <c r="G27" s="1086"/>
      <c r="H27" s="1086"/>
      <c r="I27" s="1086"/>
      <c r="J27" s="66"/>
      <c r="K27" s="66"/>
      <c r="L27" s="66"/>
      <c r="M27" s="66"/>
      <c r="N27" s="66"/>
      <c r="O27" s="66"/>
      <c r="P27" s="66"/>
    </row>
    <row r="28" spans="1:16">
      <c r="A28" s="66"/>
      <c r="B28" s="66"/>
      <c r="C28" s="66"/>
      <c r="D28" s="66"/>
      <c r="E28" s="66"/>
      <c r="F28" s="66"/>
      <c r="G28" s="66"/>
      <c r="H28" s="66"/>
      <c r="I28" s="66"/>
      <c r="J28" s="66"/>
      <c r="K28" s="66"/>
      <c r="L28" s="66"/>
      <c r="M28" s="66"/>
      <c r="N28" s="66"/>
      <c r="O28" s="66"/>
      <c r="P28" s="66"/>
    </row>
    <row r="29" spans="1:16">
      <c r="A29" s="66"/>
      <c r="B29" s="66"/>
      <c r="C29" s="66"/>
      <c r="D29" s="66"/>
      <c r="E29" s="66"/>
      <c r="F29" s="66"/>
      <c r="G29" s="66"/>
      <c r="H29" s="66"/>
      <c r="I29" s="66"/>
      <c r="J29" s="66"/>
      <c r="K29" s="66"/>
      <c r="L29" s="66"/>
      <c r="M29" s="66"/>
      <c r="N29" s="66"/>
      <c r="O29" s="66"/>
      <c r="P29" s="66"/>
    </row>
    <row r="30" spans="1:16">
      <c r="A30" s="66"/>
      <c r="B30" s="66"/>
      <c r="C30" s="66"/>
      <c r="D30" s="66"/>
      <c r="E30" s="66"/>
      <c r="F30" s="66"/>
      <c r="G30" s="66"/>
      <c r="H30" s="66"/>
      <c r="I30" s="66"/>
      <c r="J30" s="66"/>
      <c r="K30" s="66"/>
      <c r="L30" s="66"/>
      <c r="M30" s="66"/>
      <c r="N30" s="66"/>
      <c r="O30" s="66"/>
      <c r="P30" s="66"/>
    </row>
    <row r="31" spans="1:16">
      <c r="A31" s="66"/>
      <c r="B31" s="66"/>
      <c r="C31" s="66"/>
      <c r="D31" s="66"/>
      <c r="E31" s="66"/>
      <c r="F31" s="66"/>
      <c r="G31" s="66"/>
      <c r="H31" s="66"/>
      <c r="I31" s="66"/>
      <c r="J31" s="66"/>
      <c r="K31" s="66"/>
      <c r="L31" s="66"/>
      <c r="M31" s="66"/>
      <c r="N31" s="66"/>
      <c r="O31" s="66"/>
      <c r="P31" s="66"/>
    </row>
    <row r="32" spans="1:16">
      <c r="A32" s="66"/>
      <c r="B32" s="66"/>
      <c r="C32" s="66"/>
      <c r="D32" s="66"/>
      <c r="E32" s="66"/>
      <c r="F32" s="66"/>
      <c r="G32" s="66"/>
      <c r="H32" s="66"/>
      <c r="I32" s="66"/>
      <c r="J32" s="66"/>
      <c r="K32" s="66"/>
      <c r="L32" s="66"/>
      <c r="M32" s="66"/>
      <c r="N32" s="66"/>
      <c r="O32" s="66"/>
      <c r="P32" s="66"/>
    </row>
    <row r="33" spans="1:16">
      <c r="A33" s="66"/>
      <c r="B33" s="66"/>
      <c r="C33" s="66"/>
      <c r="D33" s="66"/>
      <c r="E33" s="66"/>
      <c r="F33" s="66"/>
      <c r="G33" s="66"/>
      <c r="H33" s="66"/>
      <c r="I33" s="66"/>
      <c r="J33" s="66"/>
      <c r="K33" s="66"/>
      <c r="L33" s="66"/>
      <c r="M33" s="66"/>
      <c r="N33" s="66"/>
      <c r="O33" s="66"/>
      <c r="P33" s="66"/>
    </row>
    <row r="34" spans="1:16">
      <c r="A34" s="66"/>
      <c r="B34" s="66"/>
      <c r="C34" s="66"/>
      <c r="D34" s="66"/>
      <c r="E34" s="66"/>
      <c r="F34" s="66"/>
      <c r="G34" s="66"/>
      <c r="H34" s="66"/>
      <c r="I34" s="66"/>
      <c r="J34" s="66"/>
      <c r="K34" s="66"/>
      <c r="L34" s="66"/>
      <c r="M34" s="66"/>
      <c r="N34" s="66"/>
      <c r="O34" s="66"/>
      <c r="P34" s="66"/>
    </row>
    <row r="35" spans="1:16">
      <c r="A35" s="66"/>
      <c r="B35" s="66"/>
      <c r="C35" s="66"/>
      <c r="D35" s="66"/>
      <c r="E35" s="66"/>
      <c r="F35" s="66"/>
      <c r="G35" s="66"/>
      <c r="H35" s="66"/>
      <c r="I35" s="66"/>
      <c r="J35" s="66"/>
      <c r="K35" s="66"/>
      <c r="L35" s="66"/>
      <c r="M35" s="66"/>
      <c r="N35" s="66"/>
      <c r="O35" s="66"/>
      <c r="P35" s="66"/>
    </row>
    <row r="36" spans="1:16">
      <c r="A36" s="66"/>
      <c r="B36" s="66"/>
      <c r="C36" s="66"/>
      <c r="D36" s="66"/>
      <c r="E36" s="66"/>
      <c r="F36" s="66"/>
      <c r="G36" s="66"/>
      <c r="H36" s="66"/>
      <c r="I36" s="66"/>
      <c r="J36" s="66"/>
      <c r="K36" s="66"/>
      <c r="L36" s="66"/>
      <c r="M36" s="66"/>
      <c r="N36" s="66"/>
      <c r="O36" s="66"/>
      <c r="P36" s="66"/>
    </row>
    <row r="37" spans="1:16">
      <c r="A37" s="66"/>
      <c r="B37" s="66"/>
      <c r="C37" s="66"/>
      <c r="D37" s="66"/>
      <c r="E37" s="66"/>
      <c r="F37" s="66"/>
      <c r="G37" s="66"/>
      <c r="H37" s="66"/>
      <c r="I37" s="66"/>
      <c r="J37" s="66"/>
      <c r="K37" s="66"/>
      <c r="L37" s="66"/>
      <c r="M37" s="66"/>
      <c r="N37" s="66"/>
      <c r="O37" s="66"/>
      <c r="P37" s="66"/>
    </row>
    <row r="38" spans="1:16">
      <c r="A38" s="66"/>
      <c r="B38" s="66"/>
      <c r="C38" s="66"/>
      <c r="D38" s="66"/>
      <c r="E38" s="66"/>
      <c r="F38" s="66"/>
      <c r="G38" s="66"/>
      <c r="H38" s="66"/>
      <c r="I38" s="66"/>
      <c r="J38" s="66"/>
      <c r="K38" s="66"/>
      <c r="L38" s="66"/>
      <c r="M38" s="66"/>
      <c r="N38" s="66"/>
      <c r="O38" s="66"/>
      <c r="P38" s="66"/>
    </row>
    <row r="39" spans="1:16">
      <c r="A39" s="66"/>
      <c r="B39" s="66"/>
      <c r="C39" s="66"/>
      <c r="D39" s="66"/>
      <c r="E39" s="66"/>
      <c r="F39" s="66"/>
      <c r="G39" s="66"/>
      <c r="H39" s="66"/>
      <c r="I39" s="66"/>
      <c r="J39" s="66"/>
      <c r="K39" s="66"/>
      <c r="L39" s="66"/>
      <c r="M39" s="66"/>
      <c r="N39" s="66"/>
      <c r="O39" s="66"/>
      <c r="P39" s="66"/>
    </row>
    <row r="40" spans="1:16">
      <c r="A40" s="66"/>
      <c r="B40" s="66"/>
      <c r="C40" s="66"/>
      <c r="D40" s="66"/>
      <c r="E40" s="66"/>
      <c r="F40" s="66"/>
      <c r="G40" s="66"/>
      <c r="H40" s="66"/>
      <c r="I40" s="66"/>
      <c r="J40" s="66"/>
      <c r="K40" s="66"/>
      <c r="L40" s="66"/>
      <c r="M40" s="66"/>
      <c r="N40" s="66"/>
      <c r="O40" s="66"/>
      <c r="P40" s="66"/>
    </row>
    <row r="41" spans="1:16">
      <c r="A41" s="66"/>
      <c r="B41" s="66"/>
      <c r="C41" s="66"/>
      <c r="D41" s="66"/>
      <c r="E41" s="66"/>
      <c r="F41" s="66"/>
      <c r="G41" s="66"/>
      <c r="H41" s="66"/>
      <c r="I41" s="66"/>
      <c r="J41" s="66"/>
      <c r="K41" s="66"/>
      <c r="L41" s="66"/>
      <c r="M41" s="66"/>
      <c r="N41" s="66"/>
      <c r="O41" s="66"/>
      <c r="P41" s="66"/>
    </row>
    <row r="42" spans="1:16">
      <c r="A42" s="66"/>
      <c r="B42" s="66"/>
      <c r="C42" s="66"/>
      <c r="D42" s="66"/>
      <c r="E42" s="66"/>
      <c r="F42" s="66"/>
      <c r="G42" s="66"/>
      <c r="H42" s="66"/>
      <c r="I42" s="66"/>
      <c r="J42" s="66"/>
      <c r="K42" s="66"/>
      <c r="L42" s="66"/>
      <c r="M42" s="66"/>
      <c r="N42" s="66"/>
      <c r="O42" s="66"/>
      <c r="P42" s="66"/>
    </row>
    <row r="43" spans="1:16">
      <c r="A43" s="66"/>
      <c r="B43" s="66"/>
      <c r="C43" s="66"/>
      <c r="D43" s="66"/>
      <c r="E43" s="66"/>
      <c r="F43" s="66"/>
      <c r="G43" s="66"/>
      <c r="H43" s="66"/>
      <c r="I43" s="66"/>
      <c r="J43" s="66"/>
      <c r="K43" s="66"/>
      <c r="L43" s="66"/>
      <c r="M43" s="66"/>
      <c r="N43" s="66"/>
      <c r="O43" s="66"/>
      <c r="P43" s="66"/>
    </row>
    <row r="44" spans="1:16">
      <c r="A44" s="66"/>
      <c r="B44" s="66"/>
      <c r="C44" s="66"/>
      <c r="D44" s="66"/>
      <c r="E44" s="66"/>
      <c r="F44" s="66"/>
      <c r="G44" s="66"/>
      <c r="H44" s="66"/>
      <c r="I44" s="66"/>
      <c r="J44" s="66"/>
      <c r="K44" s="66"/>
      <c r="L44" s="66"/>
      <c r="M44" s="66"/>
      <c r="N44" s="66"/>
      <c r="O44" s="66"/>
      <c r="P44" s="66"/>
    </row>
    <row r="45" spans="1:16">
      <c r="A45" s="66"/>
      <c r="B45" s="66"/>
      <c r="C45" s="66"/>
      <c r="D45" s="66"/>
      <c r="E45" s="66"/>
      <c r="F45" s="66"/>
      <c r="G45" s="66"/>
      <c r="H45" s="66"/>
      <c r="I45" s="66"/>
      <c r="J45" s="66"/>
      <c r="K45" s="66"/>
      <c r="L45" s="66"/>
      <c r="M45" s="66"/>
      <c r="N45" s="66"/>
      <c r="O45" s="66"/>
      <c r="P45" s="66"/>
    </row>
    <row r="46" spans="1:16">
      <c r="A46" s="66"/>
      <c r="B46" s="66"/>
      <c r="C46" s="66"/>
      <c r="D46" s="66"/>
      <c r="E46" s="66"/>
      <c r="F46" s="66"/>
      <c r="G46" s="66"/>
      <c r="H46" s="66"/>
      <c r="I46" s="66"/>
      <c r="J46" s="66"/>
      <c r="K46" s="66"/>
      <c r="L46" s="66"/>
      <c r="M46" s="66"/>
      <c r="N46" s="66"/>
      <c r="O46" s="66"/>
      <c r="P46" s="66"/>
    </row>
    <row r="47" spans="1:16">
      <c r="A47" s="66"/>
      <c r="B47" s="66"/>
      <c r="C47" s="66"/>
      <c r="D47" s="66"/>
      <c r="E47" s="66"/>
      <c r="F47" s="66"/>
      <c r="G47" s="66"/>
      <c r="H47" s="66"/>
      <c r="I47" s="66"/>
      <c r="J47" s="66"/>
      <c r="K47" s="66"/>
      <c r="L47" s="66"/>
      <c r="M47" s="66"/>
      <c r="N47" s="66"/>
      <c r="O47" s="66"/>
      <c r="P47" s="66"/>
    </row>
    <row r="48" spans="1:16">
      <c r="A48" s="66"/>
      <c r="B48" s="66"/>
      <c r="C48" s="66"/>
      <c r="D48" s="66"/>
      <c r="E48" s="66"/>
      <c r="F48" s="66"/>
      <c r="G48" s="66"/>
      <c r="H48" s="66"/>
      <c r="I48" s="66"/>
      <c r="J48" s="66"/>
      <c r="K48" s="66"/>
      <c r="L48" s="66"/>
      <c r="M48" s="66"/>
      <c r="N48" s="66"/>
      <c r="O48" s="66"/>
      <c r="P48" s="66"/>
    </row>
    <row r="49" spans="1:16">
      <c r="A49" s="66"/>
      <c r="B49" s="66"/>
      <c r="C49" s="66"/>
      <c r="D49" s="66"/>
      <c r="E49" s="66"/>
      <c r="F49" s="66"/>
      <c r="G49" s="66"/>
      <c r="H49" s="66"/>
      <c r="I49" s="66"/>
      <c r="J49" s="66"/>
      <c r="K49" s="66"/>
      <c r="L49" s="66"/>
      <c r="M49" s="66"/>
      <c r="N49" s="66"/>
      <c r="O49" s="66"/>
      <c r="P49" s="66"/>
    </row>
    <row r="50" spans="1:16">
      <c r="A50" s="66"/>
      <c r="B50" s="66"/>
      <c r="C50" s="66"/>
      <c r="D50" s="66"/>
      <c r="E50" s="66"/>
      <c r="F50" s="66"/>
      <c r="G50" s="66"/>
      <c r="H50" s="66"/>
      <c r="I50" s="66"/>
      <c r="J50" s="66"/>
      <c r="K50" s="66"/>
      <c r="L50" s="66"/>
      <c r="M50" s="66"/>
      <c r="N50" s="66"/>
      <c r="O50" s="66"/>
      <c r="P50" s="66"/>
    </row>
    <row r="51" spans="1:16">
      <c r="A51" s="66"/>
      <c r="B51" s="66"/>
      <c r="C51" s="66"/>
      <c r="D51" s="66"/>
      <c r="E51" s="66"/>
      <c r="F51" s="66"/>
      <c r="G51" s="66"/>
      <c r="H51" s="66"/>
      <c r="I51" s="66"/>
      <c r="J51" s="66"/>
      <c r="K51" s="66"/>
      <c r="L51" s="66"/>
      <c r="M51" s="66"/>
      <c r="N51" s="66"/>
      <c r="O51" s="66"/>
      <c r="P51" s="66"/>
    </row>
    <row r="52" spans="1:16">
      <c r="A52" s="66"/>
      <c r="B52" s="66"/>
      <c r="C52" s="66"/>
      <c r="D52" s="66"/>
      <c r="E52" s="66"/>
      <c r="F52" s="66"/>
      <c r="G52" s="66"/>
      <c r="H52" s="66"/>
      <c r="I52" s="66"/>
      <c r="J52" s="66"/>
      <c r="K52" s="66"/>
      <c r="L52" s="66"/>
      <c r="M52" s="66"/>
      <c r="N52" s="66"/>
      <c r="O52" s="66"/>
      <c r="P52" s="66"/>
    </row>
    <row r="53" spans="1:16">
      <c r="A53" s="66"/>
      <c r="B53" s="66"/>
      <c r="C53" s="66"/>
      <c r="D53" s="66"/>
      <c r="E53" s="66"/>
      <c r="F53" s="66"/>
      <c r="G53" s="66"/>
      <c r="H53" s="66"/>
      <c r="I53" s="66"/>
      <c r="J53" s="66"/>
      <c r="K53" s="66"/>
      <c r="L53" s="66"/>
      <c r="M53" s="66"/>
      <c r="N53" s="66"/>
      <c r="O53" s="66"/>
      <c r="P53" s="66"/>
    </row>
    <row r="54" spans="1:16">
      <c r="A54" s="66"/>
      <c r="B54" s="66"/>
      <c r="C54" s="66"/>
      <c r="D54" s="66"/>
      <c r="E54" s="66"/>
      <c r="F54" s="66"/>
      <c r="G54" s="66"/>
      <c r="H54" s="66"/>
      <c r="I54" s="66"/>
      <c r="J54" s="66"/>
      <c r="K54" s="66"/>
      <c r="L54" s="66"/>
      <c r="M54" s="66"/>
      <c r="N54" s="66"/>
      <c r="O54" s="66"/>
      <c r="P54" s="66"/>
    </row>
    <row r="55" spans="1:16">
      <c r="A55" s="66"/>
      <c r="B55" s="66"/>
      <c r="C55" s="66"/>
      <c r="D55" s="66"/>
      <c r="E55" s="66"/>
      <c r="F55" s="66"/>
      <c r="G55" s="66"/>
      <c r="H55" s="66"/>
      <c r="I55" s="66"/>
      <c r="J55" s="66"/>
      <c r="K55" s="66"/>
      <c r="L55" s="66"/>
      <c r="M55" s="66"/>
      <c r="N55" s="66"/>
      <c r="O55" s="66"/>
      <c r="P55" s="66"/>
    </row>
    <row r="56" spans="1:16">
      <c r="A56" s="66"/>
      <c r="B56" s="66"/>
      <c r="C56" s="66"/>
      <c r="D56" s="66"/>
      <c r="E56" s="66"/>
      <c r="F56" s="66"/>
      <c r="G56" s="66"/>
      <c r="H56" s="66"/>
      <c r="I56" s="66"/>
      <c r="J56" s="66"/>
      <c r="K56" s="66"/>
      <c r="L56" s="66"/>
      <c r="M56" s="66"/>
      <c r="N56" s="66"/>
      <c r="O56" s="66"/>
      <c r="P56" s="66"/>
    </row>
    <row r="57" spans="1:16">
      <c r="A57" s="66"/>
      <c r="B57" s="66"/>
      <c r="C57" s="66"/>
      <c r="D57" s="66"/>
      <c r="E57" s="66"/>
      <c r="F57" s="66"/>
      <c r="G57" s="66"/>
      <c r="H57" s="66"/>
      <c r="I57" s="66"/>
      <c r="J57" s="66"/>
      <c r="K57" s="66"/>
      <c r="L57" s="66"/>
      <c r="M57" s="66"/>
      <c r="N57" s="66"/>
      <c r="O57" s="66"/>
      <c r="P57" s="66"/>
    </row>
    <row r="58" spans="1:16">
      <c r="A58" s="66"/>
      <c r="B58" s="66"/>
      <c r="C58" s="66"/>
      <c r="D58" s="66"/>
      <c r="E58" s="66"/>
      <c r="F58" s="66"/>
      <c r="G58" s="66"/>
      <c r="H58" s="66"/>
      <c r="I58" s="66"/>
      <c r="J58" s="66"/>
      <c r="K58" s="66"/>
      <c r="L58" s="66"/>
      <c r="M58" s="66"/>
      <c r="N58" s="66"/>
      <c r="O58" s="66"/>
      <c r="P58" s="66"/>
    </row>
    <row r="59" spans="1:16">
      <c r="A59" s="66"/>
      <c r="B59" s="66"/>
      <c r="C59" s="66"/>
      <c r="D59" s="66"/>
      <c r="E59" s="66"/>
      <c r="F59" s="66"/>
      <c r="G59" s="66"/>
      <c r="H59" s="66"/>
      <c r="I59" s="66"/>
      <c r="J59" s="66"/>
      <c r="K59" s="66"/>
      <c r="L59" s="66"/>
      <c r="M59" s="66"/>
      <c r="N59" s="66"/>
      <c r="O59" s="66"/>
      <c r="P59" s="66"/>
    </row>
    <row r="60" spans="1:16">
      <c r="A60" s="66"/>
      <c r="B60" s="66"/>
      <c r="C60" s="66"/>
      <c r="D60" s="66"/>
      <c r="E60" s="66"/>
      <c r="F60" s="66"/>
      <c r="G60" s="66"/>
      <c r="H60" s="66"/>
      <c r="I60" s="66"/>
      <c r="J60" s="66"/>
      <c r="K60" s="66"/>
      <c r="L60" s="66"/>
      <c r="M60" s="66"/>
      <c r="N60" s="66"/>
      <c r="O60" s="66"/>
      <c r="P60" s="66"/>
    </row>
    <row r="61" spans="1:16">
      <c r="A61" s="66"/>
      <c r="B61" s="66"/>
      <c r="C61" s="66"/>
      <c r="D61" s="66"/>
      <c r="E61" s="66"/>
      <c r="F61" s="66"/>
      <c r="G61" s="66"/>
      <c r="H61" s="66"/>
      <c r="I61" s="66"/>
      <c r="J61" s="66"/>
      <c r="K61" s="66"/>
      <c r="L61" s="66"/>
      <c r="M61" s="66"/>
      <c r="N61" s="66"/>
      <c r="O61" s="66"/>
      <c r="P61" s="66"/>
    </row>
    <row r="62" spans="1:16">
      <c r="A62" s="66"/>
      <c r="B62" s="66"/>
      <c r="C62" s="66"/>
      <c r="D62" s="66"/>
      <c r="E62" s="66"/>
      <c r="F62" s="66"/>
      <c r="G62" s="66"/>
      <c r="H62" s="66"/>
      <c r="I62" s="66"/>
      <c r="J62" s="66"/>
      <c r="K62" s="66"/>
      <c r="L62" s="66"/>
      <c r="M62" s="66"/>
      <c r="N62" s="66"/>
      <c r="O62" s="66"/>
      <c r="P62" s="66"/>
    </row>
    <row r="63" spans="1:16">
      <c r="A63" s="66"/>
      <c r="B63" s="66"/>
      <c r="C63" s="66"/>
      <c r="D63" s="66"/>
      <c r="E63" s="66"/>
      <c r="F63" s="66"/>
      <c r="G63" s="66"/>
      <c r="H63" s="66"/>
      <c r="I63" s="66"/>
      <c r="J63" s="66"/>
      <c r="K63" s="66"/>
      <c r="L63" s="66"/>
      <c r="M63" s="66"/>
      <c r="N63" s="66"/>
      <c r="O63" s="66"/>
      <c r="P63" s="66"/>
    </row>
    <row r="64" spans="1:16">
      <c r="A64" s="66"/>
      <c r="B64" s="66"/>
      <c r="C64" s="66"/>
      <c r="D64" s="66"/>
      <c r="E64" s="66"/>
      <c r="F64" s="66"/>
      <c r="G64" s="66"/>
      <c r="H64" s="66"/>
      <c r="I64" s="66"/>
      <c r="J64" s="66"/>
      <c r="K64" s="66"/>
      <c r="L64" s="66"/>
      <c r="M64" s="66"/>
      <c r="N64" s="66"/>
      <c r="O64" s="66"/>
      <c r="P64" s="66"/>
    </row>
    <row r="65" spans="1:16">
      <c r="A65" s="66"/>
      <c r="B65" s="66"/>
      <c r="C65" s="66"/>
      <c r="D65" s="66"/>
      <c r="E65" s="66"/>
      <c r="F65" s="66"/>
      <c r="G65" s="66"/>
      <c r="H65" s="66"/>
      <c r="I65" s="66"/>
      <c r="J65" s="66"/>
      <c r="K65" s="66"/>
      <c r="L65" s="66"/>
      <c r="M65" s="66"/>
      <c r="N65" s="66"/>
      <c r="O65" s="66"/>
      <c r="P65" s="66"/>
    </row>
    <row r="66" spans="1:16">
      <c r="A66" s="66"/>
      <c r="B66" s="66"/>
      <c r="C66" s="66"/>
      <c r="D66" s="66"/>
      <c r="E66" s="66"/>
      <c r="F66" s="66"/>
      <c r="G66" s="66"/>
      <c r="H66" s="66"/>
      <c r="I66" s="66"/>
      <c r="J66" s="66"/>
      <c r="K66" s="66"/>
      <c r="L66" s="66"/>
      <c r="M66" s="66"/>
      <c r="N66" s="66"/>
      <c r="O66" s="66"/>
      <c r="P66" s="66"/>
    </row>
    <row r="67" spans="1:16">
      <c r="A67" s="66"/>
      <c r="B67" s="66"/>
      <c r="C67" s="66"/>
      <c r="D67" s="66"/>
      <c r="E67" s="66"/>
      <c r="F67" s="66"/>
      <c r="G67" s="66"/>
      <c r="H67" s="66"/>
      <c r="I67" s="66"/>
      <c r="J67" s="66"/>
      <c r="K67" s="66"/>
      <c r="L67" s="66"/>
      <c r="M67" s="66"/>
      <c r="N67" s="66"/>
      <c r="O67" s="66"/>
      <c r="P67" s="66"/>
    </row>
    <row r="68" spans="1:16">
      <c r="A68" s="66"/>
      <c r="B68" s="66"/>
      <c r="C68" s="66"/>
      <c r="D68" s="66"/>
      <c r="E68" s="66"/>
      <c r="F68" s="66"/>
      <c r="G68" s="66"/>
      <c r="H68" s="66"/>
      <c r="I68" s="66"/>
      <c r="J68" s="66"/>
      <c r="K68" s="66"/>
      <c r="L68" s="66"/>
      <c r="M68" s="66"/>
      <c r="N68" s="66"/>
      <c r="O68" s="66"/>
      <c r="P68" s="66"/>
    </row>
    <row r="69" spans="1:16">
      <c r="A69" s="66"/>
      <c r="B69" s="66"/>
      <c r="C69" s="66"/>
      <c r="D69" s="66"/>
      <c r="E69" s="66"/>
      <c r="F69" s="66"/>
      <c r="G69" s="66"/>
      <c r="H69" s="66"/>
      <c r="I69" s="66"/>
      <c r="J69" s="66"/>
      <c r="K69" s="66"/>
      <c r="L69" s="66"/>
      <c r="M69" s="66"/>
      <c r="N69" s="66"/>
      <c r="O69" s="66"/>
      <c r="P69" s="66"/>
    </row>
    <row r="70" spans="1:16">
      <c r="A70" s="66"/>
      <c r="B70" s="66"/>
      <c r="C70" s="66"/>
      <c r="D70" s="66"/>
      <c r="E70" s="66"/>
      <c r="F70" s="66"/>
      <c r="G70" s="66"/>
      <c r="H70" s="66"/>
      <c r="I70" s="66"/>
      <c r="J70" s="66"/>
      <c r="K70" s="66"/>
      <c r="L70" s="66"/>
      <c r="M70" s="66"/>
      <c r="N70" s="66"/>
      <c r="O70" s="66"/>
      <c r="P70" s="66"/>
    </row>
    <row r="71" spans="1:16">
      <c r="A71" s="66"/>
      <c r="B71" s="66"/>
      <c r="C71" s="66"/>
      <c r="D71" s="66"/>
      <c r="E71" s="66"/>
      <c r="F71" s="66"/>
      <c r="G71" s="66"/>
      <c r="H71" s="66"/>
      <c r="I71" s="66"/>
      <c r="J71" s="66"/>
      <c r="K71" s="66"/>
      <c r="L71" s="66"/>
      <c r="M71" s="66"/>
      <c r="N71" s="66"/>
      <c r="O71" s="66"/>
      <c r="P71" s="66"/>
    </row>
    <row r="72" spans="1:16">
      <c r="A72" s="66"/>
      <c r="B72" s="66"/>
      <c r="C72" s="66"/>
      <c r="D72" s="66"/>
      <c r="E72" s="66"/>
      <c r="F72" s="66"/>
      <c r="G72" s="66"/>
      <c r="H72" s="66"/>
      <c r="I72" s="66"/>
      <c r="J72" s="66"/>
      <c r="K72" s="66"/>
      <c r="L72" s="66"/>
      <c r="M72" s="66"/>
      <c r="N72" s="66"/>
      <c r="O72" s="66"/>
      <c r="P72" s="66"/>
    </row>
    <row r="73" spans="1:16">
      <c r="A73" s="66"/>
      <c r="B73" s="66"/>
      <c r="C73" s="66"/>
      <c r="D73" s="66"/>
      <c r="E73" s="66"/>
      <c r="F73" s="66"/>
      <c r="G73" s="66"/>
      <c r="H73" s="66"/>
      <c r="I73" s="66"/>
      <c r="J73" s="66"/>
      <c r="K73" s="66"/>
      <c r="L73" s="66"/>
      <c r="M73" s="66"/>
      <c r="N73" s="66"/>
      <c r="O73" s="66"/>
      <c r="P73" s="66"/>
    </row>
    <row r="74" spans="1:16">
      <c r="A74" s="66"/>
      <c r="B74" s="66"/>
      <c r="C74" s="66"/>
      <c r="D74" s="66"/>
      <c r="E74" s="66"/>
      <c r="F74" s="66"/>
      <c r="G74" s="66"/>
      <c r="H74" s="66"/>
      <c r="I74" s="66"/>
      <c r="J74" s="66"/>
      <c r="K74" s="66"/>
      <c r="L74" s="66"/>
      <c r="M74" s="66"/>
      <c r="N74" s="66"/>
      <c r="O74" s="66"/>
      <c r="P74" s="66"/>
    </row>
    <row r="75" spans="1:16">
      <c r="A75" s="66"/>
      <c r="B75" s="66"/>
      <c r="C75" s="66"/>
      <c r="D75" s="66"/>
      <c r="E75" s="66"/>
      <c r="F75" s="66"/>
      <c r="G75" s="66"/>
      <c r="H75" s="66"/>
      <c r="I75" s="66"/>
      <c r="J75" s="66"/>
      <c r="K75" s="66"/>
      <c r="L75" s="66"/>
      <c r="M75" s="66"/>
      <c r="N75" s="66"/>
      <c r="O75" s="66"/>
      <c r="P75" s="66"/>
    </row>
    <row r="76" spans="1:16">
      <c r="A76" s="66"/>
      <c r="B76" s="66"/>
      <c r="C76" s="66"/>
      <c r="D76" s="66"/>
      <c r="E76" s="66"/>
      <c r="F76" s="66"/>
      <c r="G76" s="66"/>
      <c r="H76" s="66"/>
      <c r="I76" s="66"/>
      <c r="J76" s="66"/>
      <c r="K76" s="66"/>
      <c r="L76" s="66"/>
      <c r="M76" s="66"/>
      <c r="N76" s="66"/>
      <c r="O76" s="66"/>
      <c r="P76" s="66"/>
    </row>
    <row r="77" spans="1:16">
      <c r="A77" s="66"/>
      <c r="B77" s="66"/>
      <c r="C77" s="66"/>
      <c r="D77" s="66"/>
      <c r="E77" s="66"/>
      <c r="F77" s="66"/>
      <c r="G77" s="66"/>
      <c r="H77" s="66"/>
      <c r="I77" s="66"/>
      <c r="J77" s="66"/>
      <c r="K77" s="66"/>
      <c r="L77" s="66"/>
      <c r="M77" s="66"/>
      <c r="N77" s="66"/>
      <c r="O77" s="66"/>
      <c r="P77" s="66"/>
    </row>
  </sheetData>
  <mergeCells count="3">
    <mergeCell ref="A1:H1"/>
    <mergeCell ref="A2:H2"/>
    <mergeCell ref="A22:H22"/>
  </mergeCells>
  <phoneticPr fontId="378" type="noConversion"/>
  <dataValidations count="1">
    <dataValidation type="list" allowBlank="1" showInputMessage="1" showErrorMessage="1" sqref="C13">
      <formula1>"4,8"</formula1>
    </dataValidation>
  </dataValidations>
  <hyperlinks>
    <hyperlink ref="I1" location="总目录!A1" display="返回目录"/>
  </hyperlinks>
  <pageMargins left="0.7" right="0.7" top="0.75" bottom="0.75" header="0.3" footer="0.3"/>
  <drawing r:id="rId1"/>
  <legacyDrawing r:id="rId2"/>
  <oleObjects>
    <mc:AlternateContent xmlns:mc="http://schemas.openxmlformats.org/markup-compatibility/2006">
      <mc:Choice Requires="x14">
        <oleObject progId="Equation.3" shapeId="1435649" r:id="rId3">
          <objectPr defaultSize="0" autoPict="0" altText="" r:id="rId4">
            <anchor moveWithCells="1">
              <from>
                <xdr:col>1</xdr:col>
                <xdr:colOff>19050</xdr:colOff>
                <xdr:row>4</xdr:row>
                <xdr:rowOff>28575</xdr:rowOff>
              </from>
              <to>
                <xdr:col>1</xdr:col>
                <xdr:colOff>685800</xdr:colOff>
                <xdr:row>6</xdr:row>
                <xdr:rowOff>0</xdr:rowOff>
              </to>
            </anchor>
          </objectPr>
        </oleObject>
      </mc:Choice>
      <mc:Fallback>
        <oleObject progId="Equation.3" shapeId="1435649" r:id="rId3"/>
      </mc:Fallback>
    </mc:AlternateContent>
    <mc:AlternateContent xmlns:mc="http://schemas.openxmlformats.org/markup-compatibility/2006">
      <mc:Choice Requires="x14">
        <oleObject progId="Equation.3" shapeId="1435650" r:id="rId5">
          <objectPr defaultSize="0" autoPict="0" altText="" r:id="rId6">
            <anchor moveWithCells="1">
              <from>
                <xdr:col>3</xdr:col>
                <xdr:colOff>638175</xdr:colOff>
                <xdr:row>18</xdr:row>
                <xdr:rowOff>228600</xdr:rowOff>
              </from>
              <to>
                <xdr:col>4</xdr:col>
                <xdr:colOff>542925</xdr:colOff>
                <xdr:row>20</xdr:row>
                <xdr:rowOff>85725</xdr:rowOff>
              </to>
            </anchor>
          </objectPr>
        </oleObject>
      </mc:Choice>
      <mc:Fallback>
        <oleObject progId="Equation.3" shapeId="1435650" r:id="rId5"/>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pane ySplit="4" topLeftCell="A5" activePane="bottomLeft" state="frozen"/>
      <selection activeCell="K3" sqref="K3"/>
      <selection pane="bottomLeft" activeCell="I30" sqref="I30"/>
    </sheetView>
  </sheetViews>
  <sheetFormatPr defaultRowHeight="16.5"/>
  <cols>
    <col min="1" max="1" width="19.375" customWidth="1"/>
    <col min="2" max="4" width="12.125" customWidth="1"/>
    <col min="5" max="5" width="21.875" customWidth="1"/>
    <col min="6" max="8" width="12.125" customWidth="1"/>
  </cols>
  <sheetData>
    <row r="1" spans="1:9" ht="23.25" thickBot="1">
      <c r="A1" s="4479" t="s">
        <v>12055</v>
      </c>
      <c r="B1" s="4479"/>
      <c r="C1" s="4479"/>
      <c r="D1" s="4479"/>
      <c r="E1" s="4479"/>
      <c r="F1" s="4479"/>
      <c r="G1" s="4479"/>
      <c r="H1" s="4479"/>
      <c r="I1" s="3166" t="s">
        <v>12704</v>
      </c>
    </row>
    <row r="2" spans="1:9" ht="19.5" thickTop="1">
      <c r="A2" s="4481" t="s">
        <v>12034</v>
      </c>
      <c r="B2" s="4482"/>
      <c r="C2" s="4482"/>
      <c r="D2" s="4628"/>
      <c r="E2" s="4481" t="s">
        <v>12035</v>
      </c>
      <c r="F2" s="4482"/>
      <c r="G2" s="4482"/>
      <c r="H2" s="4483"/>
    </row>
    <row r="3" spans="1:9">
      <c r="A3" s="4486" t="s">
        <v>9875</v>
      </c>
      <c r="B3" s="4158" t="s">
        <v>11120</v>
      </c>
      <c r="C3" s="4158"/>
      <c r="D3" s="4484"/>
      <c r="E3" s="4486" t="s">
        <v>9875</v>
      </c>
      <c r="F3" s="4158" t="s">
        <v>11120</v>
      </c>
      <c r="G3" s="4158"/>
      <c r="H3" s="4485"/>
    </row>
    <row r="4" spans="1:9">
      <c r="A4" s="4486"/>
      <c r="B4" s="942" t="s">
        <v>12036</v>
      </c>
      <c r="C4" s="942" t="s">
        <v>12037</v>
      </c>
      <c r="D4" s="2855" t="s">
        <v>12038</v>
      </c>
      <c r="E4" s="4486"/>
      <c r="F4" s="942" t="s">
        <v>12036</v>
      </c>
      <c r="G4" s="942" t="s">
        <v>12037</v>
      </c>
      <c r="H4" s="821" t="s">
        <v>12038</v>
      </c>
    </row>
    <row r="5" spans="1:9">
      <c r="A5" s="818" t="s">
        <v>10703</v>
      </c>
      <c r="B5" s="822">
        <v>0.86</v>
      </c>
      <c r="C5" s="822">
        <v>0.88</v>
      </c>
      <c r="D5" s="877" t="s">
        <v>8075</v>
      </c>
      <c r="E5" s="818" t="s">
        <v>12039</v>
      </c>
      <c r="F5" s="819">
        <v>1.94</v>
      </c>
      <c r="G5" s="819" t="s">
        <v>8075</v>
      </c>
      <c r="H5" s="820" t="s">
        <v>8075</v>
      </c>
    </row>
    <row r="6" spans="1:9">
      <c r="A6" s="818" t="s">
        <v>10707</v>
      </c>
      <c r="B6" s="822">
        <v>0.96</v>
      </c>
      <c r="C6" s="822">
        <v>0.98</v>
      </c>
      <c r="D6" s="877" t="s">
        <v>8075</v>
      </c>
      <c r="E6" s="818" t="s">
        <v>12040</v>
      </c>
      <c r="F6" s="819">
        <v>2.23</v>
      </c>
      <c r="G6" s="819" t="s">
        <v>8075</v>
      </c>
      <c r="H6" s="820" t="s">
        <v>8075</v>
      </c>
    </row>
    <row r="7" spans="1:9">
      <c r="A7" s="818" t="s">
        <v>10711</v>
      </c>
      <c r="B7" s="822">
        <v>1.06</v>
      </c>
      <c r="C7" s="822">
        <v>1.08</v>
      </c>
      <c r="D7" s="877" t="s">
        <v>8075</v>
      </c>
      <c r="E7" s="818" t="s">
        <v>12041</v>
      </c>
      <c r="F7" s="819">
        <v>2.5</v>
      </c>
      <c r="G7" s="819" t="s">
        <v>8075</v>
      </c>
      <c r="H7" s="820" t="s">
        <v>8075</v>
      </c>
    </row>
    <row r="8" spans="1:9">
      <c r="A8" s="818" t="s">
        <v>10715</v>
      </c>
      <c r="B8" s="822">
        <v>1.24</v>
      </c>
      <c r="C8" s="822">
        <v>1.25</v>
      </c>
      <c r="D8" s="877" t="s">
        <v>8075</v>
      </c>
      <c r="E8" s="818" t="s">
        <v>12042</v>
      </c>
      <c r="F8" s="819">
        <v>2.83</v>
      </c>
      <c r="G8" s="819" t="s">
        <v>8075</v>
      </c>
      <c r="H8" s="820" t="s">
        <v>8075</v>
      </c>
    </row>
    <row r="9" spans="1:9">
      <c r="A9" s="818" t="s">
        <v>10719</v>
      </c>
      <c r="B9" s="822">
        <v>1.41</v>
      </c>
      <c r="C9" s="822">
        <v>1.43</v>
      </c>
      <c r="D9" s="877" t="s">
        <v>8075</v>
      </c>
      <c r="E9" s="818" t="s">
        <v>12043</v>
      </c>
      <c r="F9" s="819">
        <v>3.07</v>
      </c>
      <c r="G9" s="819" t="s">
        <v>8075</v>
      </c>
      <c r="H9" s="820" t="s">
        <v>8075</v>
      </c>
    </row>
    <row r="10" spans="1:9">
      <c r="A10" s="818" t="s">
        <v>10723</v>
      </c>
      <c r="B10" s="822">
        <v>1.51</v>
      </c>
      <c r="C10" s="822">
        <v>1.53</v>
      </c>
      <c r="D10" s="877" t="s">
        <v>8075</v>
      </c>
      <c r="E10" s="818" t="s">
        <v>12044</v>
      </c>
      <c r="F10" s="819">
        <v>3.73</v>
      </c>
      <c r="G10" s="822">
        <v>3.77</v>
      </c>
      <c r="H10" s="820" t="s">
        <v>8075</v>
      </c>
    </row>
    <row r="11" spans="1:9">
      <c r="A11" s="818" t="s">
        <v>10727</v>
      </c>
      <c r="B11" s="822">
        <v>1.61</v>
      </c>
      <c r="C11" s="822">
        <v>1.63</v>
      </c>
      <c r="D11" s="877" t="s">
        <v>8075</v>
      </c>
      <c r="E11" s="818" t="s">
        <v>12045</v>
      </c>
      <c r="F11" s="819">
        <v>4.2430000000000003</v>
      </c>
      <c r="G11" s="822">
        <v>4.3</v>
      </c>
      <c r="H11" s="820" t="s">
        <v>8075</v>
      </c>
    </row>
    <row r="12" spans="1:9">
      <c r="A12" s="818" t="s">
        <v>10731</v>
      </c>
      <c r="B12" s="822">
        <v>1.78</v>
      </c>
      <c r="C12" s="819">
        <v>1.8</v>
      </c>
      <c r="D12" s="877" t="s">
        <v>8075</v>
      </c>
      <c r="E12" s="818" t="s">
        <v>12046</v>
      </c>
      <c r="F12" s="819">
        <v>4.9000000000000004</v>
      </c>
      <c r="G12" s="822">
        <v>4.96</v>
      </c>
      <c r="H12" s="820" t="s">
        <v>8075</v>
      </c>
    </row>
    <row r="13" spans="1:9">
      <c r="A13" s="818" t="s">
        <v>10735</v>
      </c>
      <c r="B13" s="822">
        <v>1.95</v>
      </c>
      <c r="C13" s="819">
        <v>1.98</v>
      </c>
      <c r="D13" s="877" t="s">
        <v>8075</v>
      </c>
      <c r="E13" s="840" t="s">
        <v>10740</v>
      </c>
      <c r="F13" s="819" t="s">
        <v>8075</v>
      </c>
      <c r="G13" s="822">
        <v>5.72</v>
      </c>
      <c r="H13" s="820" t="s">
        <v>8075</v>
      </c>
    </row>
    <row r="14" spans="1:9">
      <c r="A14" s="818" t="s">
        <v>10739</v>
      </c>
      <c r="B14" s="822">
        <v>2.08</v>
      </c>
      <c r="C14" s="819">
        <v>2.1</v>
      </c>
      <c r="D14" s="877" t="s">
        <v>8075</v>
      </c>
      <c r="E14" s="840" t="s">
        <v>10744</v>
      </c>
      <c r="F14" s="819" t="s">
        <v>8075</v>
      </c>
      <c r="G14" s="822">
        <v>7.24</v>
      </c>
      <c r="H14" s="820" t="s">
        <v>8075</v>
      </c>
    </row>
    <row r="15" spans="1:9">
      <c r="A15" s="818" t="s">
        <v>10743</v>
      </c>
      <c r="B15" s="822">
        <v>2.25</v>
      </c>
      <c r="C15" s="819">
        <v>2.2799999999999998</v>
      </c>
      <c r="D15" s="877" t="s">
        <v>8075</v>
      </c>
      <c r="E15" s="840" t="s">
        <v>10748</v>
      </c>
      <c r="F15" s="819" t="s">
        <v>8075</v>
      </c>
      <c r="G15" s="822">
        <v>8.74</v>
      </c>
      <c r="H15" s="817">
        <v>8.81</v>
      </c>
    </row>
    <row r="16" spans="1:9">
      <c r="A16" s="818" t="s">
        <v>10747</v>
      </c>
      <c r="B16" s="822">
        <v>2.35</v>
      </c>
      <c r="C16" s="819">
        <v>2.38</v>
      </c>
      <c r="D16" s="877" t="s">
        <v>8075</v>
      </c>
      <c r="E16" s="840" t="s">
        <v>10752</v>
      </c>
      <c r="F16" s="819" t="s">
        <v>8075</v>
      </c>
      <c r="G16" s="819">
        <v>10.199999999999999</v>
      </c>
      <c r="H16" s="820">
        <v>10.3</v>
      </c>
    </row>
    <row r="17" spans="1:9">
      <c r="A17" s="818" t="s">
        <v>10751</v>
      </c>
      <c r="B17" s="822">
        <v>2.73</v>
      </c>
      <c r="C17" s="819">
        <v>2.75</v>
      </c>
      <c r="D17" s="877" t="s">
        <v>8075</v>
      </c>
      <c r="E17" s="840" t="s">
        <v>10756</v>
      </c>
      <c r="F17" s="819" t="s">
        <v>8075</v>
      </c>
      <c r="G17" s="819">
        <v>11.27</v>
      </c>
      <c r="H17" s="817">
        <v>11.82</v>
      </c>
    </row>
    <row r="18" spans="1:9">
      <c r="A18" s="818" t="s">
        <v>10759</v>
      </c>
      <c r="B18" s="822">
        <v>3.17</v>
      </c>
      <c r="C18" s="819">
        <v>3.2</v>
      </c>
      <c r="D18" s="877" t="s">
        <v>8075</v>
      </c>
      <c r="E18" s="840" t="s">
        <v>12047</v>
      </c>
      <c r="F18" s="819">
        <v>1.97</v>
      </c>
      <c r="G18" s="819" t="s">
        <v>8075</v>
      </c>
      <c r="H18" s="820" t="s">
        <v>8075</v>
      </c>
    </row>
    <row r="19" spans="1:9">
      <c r="A19" s="818" t="s">
        <v>10763</v>
      </c>
      <c r="B19" s="822">
        <v>3.62</v>
      </c>
      <c r="C19" s="819">
        <v>3.65</v>
      </c>
      <c r="D19" s="877">
        <v>3.69</v>
      </c>
      <c r="E19" s="840" t="s">
        <v>12048</v>
      </c>
      <c r="F19" s="819">
        <v>2.27</v>
      </c>
      <c r="G19" s="819" t="s">
        <v>8075</v>
      </c>
      <c r="H19" s="820" t="s">
        <v>8075</v>
      </c>
    </row>
    <row r="20" spans="1:9">
      <c r="A20" s="818" t="s">
        <v>10775</v>
      </c>
      <c r="B20" s="822">
        <v>4.5599999999999996</v>
      </c>
      <c r="C20" s="819">
        <v>4.5999999999999996</v>
      </c>
      <c r="D20" s="877">
        <v>4.6399999999999997</v>
      </c>
      <c r="E20" s="840" t="s">
        <v>12049</v>
      </c>
      <c r="F20" s="819">
        <v>2.56</v>
      </c>
      <c r="G20" s="819" t="s">
        <v>8075</v>
      </c>
      <c r="H20" s="820" t="s">
        <v>8075</v>
      </c>
    </row>
    <row r="21" spans="1:9">
      <c r="A21" s="818" t="s">
        <v>10782</v>
      </c>
      <c r="B21" s="822">
        <v>5.45</v>
      </c>
      <c r="C21" s="819">
        <v>5.5</v>
      </c>
      <c r="D21" s="877">
        <v>5.55</v>
      </c>
      <c r="E21" s="840" t="s">
        <v>12050</v>
      </c>
      <c r="F21" s="819">
        <v>2.86</v>
      </c>
      <c r="G21" s="819" t="s">
        <v>8075</v>
      </c>
      <c r="H21" s="820" t="s">
        <v>8075</v>
      </c>
    </row>
    <row r="22" spans="1:9">
      <c r="A22" s="818" t="s">
        <v>10786</v>
      </c>
      <c r="B22" s="822">
        <v>6.45</v>
      </c>
      <c r="C22" s="819">
        <v>6.5</v>
      </c>
      <c r="D22" s="877">
        <v>6.55</v>
      </c>
      <c r="E22" s="840" t="s">
        <v>12051</v>
      </c>
      <c r="F22" s="819">
        <v>3.16</v>
      </c>
      <c r="G22" s="819" t="s">
        <v>8075</v>
      </c>
      <c r="H22" s="820" t="s">
        <v>8075</v>
      </c>
    </row>
    <row r="23" spans="1:9">
      <c r="A23" s="818" t="s">
        <v>10790</v>
      </c>
      <c r="B23" s="822">
        <v>7.31</v>
      </c>
      <c r="C23" s="819">
        <v>7.38</v>
      </c>
      <c r="D23" s="877">
        <v>7.44</v>
      </c>
      <c r="E23" s="840" t="s">
        <v>12052</v>
      </c>
      <c r="F23" s="819">
        <v>3.78</v>
      </c>
      <c r="G23" s="819" t="s">
        <v>8075</v>
      </c>
      <c r="H23" s="820" t="s">
        <v>8075</v>
      </c>
    </row>
    <row r="24" spans="1:9">
      <c r="A24" s="818" t="s">
        <v>10794</v>
      </c>
      <c r="B24" s="822">
        <v>9.18</v>
      </c>
      <c r="C24" s="819">
        <v>9.25</v>
      </c>
      <c r="D24" s="877">
        <v>9.32</v>
      </c>
      <c r="E24" s="840" t="s">
        <v>12053</v>
      </c>
      <c r="F24" s="819">
        <v>4.3899999999999997</v>
      </c>
      <c r="G24" s="819">
        <v>4.43</v>
      </c>
      <c r="H24" s="820" t="s">
        <v>8075</v>
      </c>
    </row>
    <row r="25" spans="1:9">
      <c r="A25" s="818" t="s">
        <v>10810</v>
      </c>
      <c r="B25" s="822">
        <v>9.31</v>
      </c>
      <c r="C25" s="819">
        <v>9.3800000000000008</v>
      </c>
      <c r="D25" s="877">
        <v>9.44</v>
      </c>
      <c r="E25" s="840" t="s">
        <v>12054</v>
      </c>
      <c r="F25" s="819">
        <v>4.99</v>
      </c>
      <c r="G25" s="819">
        <v>5.04</v>
      </c>
      <c r="H25" s="820" t="s">
        <v>8075</v>
      </c>
    </row>
    <row r="26" spans="1:9">
      <c r="A26" s="818" t="s">
        <v>10797</v>
      </c>
      <c r="B26" s="822">
        <v>11.04</v>
      </c>
      <c r="C26" s="819">
        <v>11.12</v>
      </c>
      <c r="D26" s="877">
        <v>11.21</v>
      </c>
      <c r="E26" s="840" t="s">
        <v>10746</v>
      </c>
      <c r="F26" s="819">
        <v>5.85</v>
      </c>
      <c r="G26" s="819">
        <v>5.9</v>
      </c>
      <c r="H26" s="820" t="s">
        <v>8075</v>
      </c>
    </row>
    <row r="27" spans="1:9">
      <c r="A27" s="818" t="s">
        <v>10820</v>
      </c>
      <c r="B27" s="822">
        <v>11.31</v>
      </c>
      <c r="C27" s="819">
        <v>11.38</v>
      </c>
      <c r="D27" s="877">
        <v>11.44</v>
      </c>
      <c r="E27" s="840" t="s">
        <v>10750</v>
      </c>
      <c r="F27" s="819">
        <v>7.36</v>
      </c>
      <c r="G27" s="819">
        <v>7.41</v>
      </c>
      <c r="H27" s="820" t="s">
        <v>8075</v>
      </c>
    </row>
    <row r="28" spans="1:9">
      <c r="A28" s="816"/>
      <c r="B28" s="822"/>
      <c r="C28" s="822"/>
      <c r="D28" s="877"/>
      <c r="E28" s="840" t="s">
        <v>10754</v>
      </c>
      <c r="F28" s="819" t="s">
        <v>8075</v>
      </c>
      <c r="G28" s="819">
        <v>9</v>
      </c>
      <c r="H28" s="820" t="s">
        <v>8075</v>
      </c>
    </row>
    <row r="29" spans="1:9">
      <c r="A29" s="816"/>
      <c r="B29" s="822"/>
      <c r="C29" s="822"/>
      <c r="D29" s="877"/>
      <c r="E29" s="840" t="s">
        <v>10758</v>
      </c>
      <c r="F29" s="819" t="s">
        <v>8075</v>
      </c>
      <c r="G29" s="819">
        <v>10.48</v>
      </c>
      <c r="H29" s="817">
        <v>10.54</v>
      </c>
    </row>
    <row r="30" spans="1:9" ht="17.25" thickBot="1">
      <c r="A30" s="2856"/>
      <c r="B30" s="2857"/>
      <c r="C30" s="2857"/>
      <c r="D30" s="2858"/>
      <c r="E30" s="2859" t="s">
        <v>10762</v>
      </c>
      <c r="F30" s="2860" t="s">
        <v>8075</v>
      </c>
      <c r="G30" s="2860">
        <v>12.07</v>
      </c>
      <c r="H30" s="2861">
        <v>12.13</v>
      </c>
      <c r="I30" s="3166" t="s">
        <v>12704</v>
      </c>
    </row>
    <row r="31" spans="1:9" ht="17.25" thickTop="1"/>
  </sheetData>
  <mergeCells count="7">
    <mergeCell ref="A1:H1"/>
    <mergeCell ref="A2:D2"/>
    <mergeCell ref="E2:H2"/>
    <mergeCell ref="A3:A4"/>
    <mergeCell ref="B3:D3"/>
    <mergeCell ref="E3:E4"/>
    <mergeCell ref="F3:H3"/>
  </mergeCells>
  <phoneticPr fontId="378" type="noConversion"/>
  <hyperlinks>
    <hyperlink ref="I1" location="总目录!A1" display="返回目录"/>
    <hyperlink ref="I30" location="总目录!A1" display="返回目录"/>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
  <sheetViews>
    <sheetView workbookViewId="0">
      <selection activeCell="M16" sqref="M16"/>
    </sheetView>
  </sheetViews>
  <sheetFormatPr defaultRowHeight="16.5"/>
  <cols>
    <col min="1" max="13" width="12.625" customWidth="1"/>
  </cols>
  <sheetData>
    <row r="1" spans="1:13" ht="27.75" thickBot="1">
      <c r="A1" s="4496" t="s">
        <v>10695</v>
      </c>
      <c r="B1" s="4496"/>
      <c r="C1" s="4496"/>
      <c r="D1" s="4496"/>
      <c r="E1" s="4496"/>
      <c r="F1" s="4496"/>
      <c r="G1" s="4496"/>
      <c r="H1" s="4496"/>
      <c r="I1" s="4496"/>
      <c r="J1" s="4496"/>
      <c r="K1" s="4496"/>
      <c r="L1" s="4496"/>
      <c r="M1" s="4496"/>
    </row>
    <row r="2" spans="1:13" ht="32.25" thickTop="1">
      <c r="A2" s="4629" t="s">
        <v>12057</v>
      </c>
      <c r="B2" s="4630"/>
      <c r="C2" s="4630"/>
      <c r="D2" s="4631"/>
      <c r="E2" s="4629" t="s">
        <v>10889</v>
      </c>
      <c r="F2" s="4630"/>
      <c r="G2" s="4630"/>
      <c r="H2" s="4630"/>
      <c r="I2" s="4631"/>
      <c r="J2" s="4629" t="s">
        <v>10890</v>
      </c>
      <c r="K2" s="4630"/>
      <c r="L2" s="4630"/>
      <c r="M2" s="4631"/>
    </row>
    <row r="3" spans="1:13" ht="18.75">
      <c r="A3" s="4486" t="s">
        <v>9875</v>
      </c>
      <c r="B3" s="4158" t="s">
        <v>10700</v>
      </c>
      <c r="C3" s="4158" t="s">
        <v>6372</v>
      </c>
      <c r="D3" s="4485"/>
      <c r="E3" s="4486" t="s">
        <v>9875</v>
      </c>
      <c r="F3" s="4491" t="s">
        <v>10700</v>
      </c>
      <c r="G3" s="4491"/>
      <c r="H3" s="4499" t="s">
        <v>10891</v>
      </c>
      <c r="I3" s="4500" t="s">
        <v>10892</v>
      </c>
      <c r="J3" s="4486" t="s">
        <v>9875</v>
      </c>
      <c r="K3" s="4158" t="s">
        <v>6372</v>
      </c>
      <c r="L3" s="4158"/>
      <c r="M3" s="4485"/>
    </row>
    <row r="4" spans="1:13" ht="18.75">
      <c r="A4" s="4486"/>
      <c r="B4" s="4158"/>
      <c r="C4" s="4158" t="s">
        <v>8199</v>
      </c>
      <c r="D4" s="4485" t="s">
        <v>8200</v>
      </c>
      <c r="E4" s="4486"/>
      <c r="F4" s="4497" t="s">
        <v>10893</v>
      </c>
      <c r="G4" s="4497" t="s">
        <v>10894</v>
      </c>
      <c r="H4" s="4499"/>
      <c r="I4" s="4500"/>
      <c r="J4" s="4486"/>
      <c r="K4" s="4491" t="s">
        <v>10895</v>
      </c>
      <c r="L4" s="4491"/>
      <c r="M4" s="4485" t="s">
        <v>10896</v>
      </c>
    </row>
    <row r="5" spans="1:13">
      <c r="A5" s="4486"/>
      <c r="B5" s="4158"/>
      <c r="C5" s="4158"/>
      <c r="D5" s="4485"/>
      <c r="E5" s="4486"/>
      <c r="F5" s="4498"/>
      <c r="G5" s="4498"/>
      <c r="H5" s="4499"/>
      <c r="I5" s="4500"/>
      <c r="J5" s="4486"/>
      <c r="K5" s="195" t="s">
        <v>10897</v>
      </c>
      <c r="L5" s="195" t="s">
        <v>10898</v>
      </c>
      <c r="M5" s="4485"/>
    </row>
    <row r="6" spans="1:13" ht="24.75" customHeight="1">
      <c r="A6" s="832" t="s">
        <v>10899</v>
      </c>
      <c r="B6" s="833">
        <v>6.5</v>
      </c>
      <c r="C6" s="195">
        <v>6.6319999999999997</v>
      </c>
      <c r="D6" s="834">
        <v>6.49</v>
      </c>
      <c r="E6" s="832" t="s">
        <v>10900</v>
      </c>
      <c r="F6" s="833">
        <v>6.1</v>
      </c>
      <c r="G6" s="833">
        <v>6.2</v>
      </c>
      <c r="H6" s="195">
        <v>6.2439999999999998</v>
      </c>
      <c r="I6" s="839">
        <v>6.3840000000000003</v>
      </c>
      <c r="J6" s="840" t="s">
        <v>10901</v>
      </c>
      <c r="K6" s="841">
        <v>6.1</v>
      </c>
      <c r="L6" s="841">
        <v>6.25</v>
      </c>
      <c r="M6" s="842">
        <v>6.35</v>
      </c>
    </row>
    <row r="7" spans="1:13" ht="24.75" customHeight="1">
      <c r="A7" s="832" t="s">
        <v>10902</v>
      </c>
      <c r="B7" s="833">
        <v>8.5</v>
      </c>
      <c r="C7" s="195">
        <v>8.6370000000000005</v>
      </c>
      <c r="D7" s="834">
        <v>8.4949999999999992</v>
      </c>
      <c r="E7" s="832" t="s">
        <v>10903</v>
      </c>
      <c r="F7" s="833">
        <v>8.1</v>
      </c>
      <c r="G7" s="833">
        <v>8.1999999999999993</v>
      </c>
      <c r="H7" s="195">
        <v>8.2490000000000006</v>
      </c>
      <c r="I7" s="839">
        <v>8.3879999999999999</v>
      </c>
      <c r="J7" s="840" t="s">
        <v>10904</v>
      </c>
      <c r="K7" s="841">
        <v>8.33</v>
      </c>
      <c r="L7" s="841">
        <v>8.43</v>
      </c>
      <c r="M7" s="842">
        <v>8.74</v>
      </c>
    </row>
    <row r="8" spans="1:13" ht="24.75" customHeight="1">
      <c r="A8" s="832" t="s">
        <v>10905</v>
      </c>
      <c r="B8" s="833">
        <v>11.4</v>
      </c>
      <c r="C8" s="195">
        <v>11.548999999999999</v>
      </c>
      <c r="D8" s="834">
        <v>11.340999999999999</v>
      </c>
      <c r="E8" s="832" t="s">
        <v>10906</v>
      </c>
      <c r="F8" s="833">
        <v>10.7</v>
      </c>
      <c r="G8" s="833">
        <v>11</v>
      </c>
      <c r="H8" s="195">
        <v>10.962</v>
      </c>
      <c r="I8" s="839">
        <v>11.173999999999999</v>
      </c>
      <c r="J8" s="840" t="s">
        <v>10907</v>
      </c>
      <c r="K8" s="841">
        <v>10.72</v>
      </c>
      <c r="L8" s="841">
        <v>11.13</v>
      </c>
      <c r="M8" s="842">
        <v>11.13</v>
      </c>
    </row>
    <row r="9" spans="1:13" ht="24.75" customHeight="1">
      <c r="A9" s="832" t="s">
        <v>10908</v>
      </c>
      <c r="B9" s="833">
        <v>15</v>
      </c>
      <c r="C9" s="195">
        <v>15.054</v>
      </c>
      <c r="D9" s="834">
        <v>14.846</v>
      </c>
      <c r="E9" s="832" t="s">
        <v>10909</v>
      </c>
      <c r="F9" s="833">
        <v>14.2</v>
      </c>
      <c r="G9" s="833">
        <v>14.5</v>
      </c>
      <c r="H9" s="195">
        <v>14.448</v>
      </c>
      <c r="I9" s="839">
        <v>14.657999999999999</v>
      </c>
      <c r="J9" s="840" t="s">
        <v>10910</v>
      </c>
      <c r="K9" s="841">
        <v>14.27</v>
      </c>
      <c r="L9" s="841">
        <v>14.27</v>
      </c>
      <c r="M9" s="842">
        <v>14.68</v>
      </c>
    </row>
    <row r="10" spans="1:13" ht="24.75" customHeight="1">
      <c r="A10" s="832" t="s">
        <v>10911</v>
      </c>
      <c r="B10" s="833">
        <v>18.5</v>
      </c>
      <c r="C10" s="195">
        <v>18.773</v>
      </c>
      <c r="D10" s="834">
        <v>18.489000000000001</v>
      </c>
      <c r="E10" s="832" t="s">
        <v>10912</v>
      </c>
      <c r="F10" s="833">
        <v>17.600000000000001</v>
      </c>
      <c r="G10" s="833">
        <v>18</v>
      </c>
      <c r="H10" s="195">
        <v>17.978999999999999</v>
      </c>
      <c r="I10" s="839">
        <v>18.263000000000002</v>
      </c>
      <c r="J10" s="840" t="s">
        <v>10913</v>
      </c>
      <c r="K10" s="841">
        <v>17.48</v>
      </c>
      <c r="L10" s="841">
        <v>17.86</v>
      </c>
      <c r="M10" s="842">
        <v>18.260000000000002</v>
      </c>
    </row>
    <row r="11" spans="1:13" ht="24.75" customHeight="1">
      <c r="A11" s="832" t="s">
        <v>10914</v>
      </c>
      <c r="B11" s="833">
        <v>24</v>
      </c>
      <c r="C11" s="195">
        <v>24.259</v>
      </c>
      <c r="D11" s="834">
        <v>23.975000000000001</v>
      </c>
      <c r="E11" s="832" t="s">
        <v>10915</v>
      </c>
      <c r="F11" s="833">
        <v>23</v>
      </c>
      <c r="G11" s="833">
        <v>23.5</v>
      </c>
      <c r="H11" s="195">
        <v>23.378</v>
      </c>
      <c r="I11" s="839">
        <v>23.663</v>
      </c>
      <c r="J11" s="840" t="s">
        <v>10916</v>
      </c>
      <c r="K11" s="841">
        <v>22.63</v>
      </c>
      <c r="L11" s="841">
        <v>23.01</v>
      </c>
      <c r="M11" s="842">
        <v>23.42</v>
      </c>
    </row>
    <row r="12" spans="1:13" ht="24.75" customHeight="1">
      <c r="A12" s="832" t="s">
        <v>10917</v>
      </c>
      <c r="B12" s="833">
        <v>30.2</v>
      </c>
      <c r="C12" s="195">
        <v>30.471</v>
      </c>
      <c r="D12" s="834">
        <v>30.111000000000001</v>
      </c>
      <c r="E12" s="832" t="s">
        <v>10918</v>
      </c>
      <c r="F12" s="833">
        <v>29</v>
      </c>
      <c r="G12" s="833">
        <v>29.5</v>
      </c>
      <c r="H12" s="195">
        <v>29.459</v>
      </c>
      <c r="I12" s="839">
        <v>29.821999999999999</v>
      </c>
      <c r="J12" s="840" t="s">
        <v>10919</v>
      </c>
      <c r="K12" s="841">
        <v>28.58</v>
      </c>
      <c r="L12" s="841">
        <v>28.98</v>
      </c>
      <c r="M12" s="842">
        <v>29.36</v>
      </c>
    </row>
    <row r="13" spans="1:13" ht="24.75" customHeight="1">
      <c r="A13" s="832" t="s">
        <v>10920</v>
      </c>
      <c r="B13" s="833">
        <v>38.799999999999997</v>
      </c>
      <c r="C13" s="195">
        <v>39.131999999999998</v>
      </c>
      <c r="D13" s="834">
        <v>38.771999999999998</v>
      </c>
      <c r="E13" s="832" t="s">
        <v>10921</v>
      </c>
      <c r="F13" s="833">
        <v>37.5</v>
      </c>
      <c r="G13" s="833">
        <v>38</v>
      </c>
      <c r="H13" s="195">
        <v>37.975999999999999</v>
      </c>
      <c r="I13" s="839">
        <v>38.338999999999999</v>
      </c>
      <c r="J13" s="840" t="s">
        <v>10922</v>
      </c>
      <c r="K13" s="841">
        <v>37.31</v>
      </c>
      <c r="L13" s="841">
        <v>37.69</v>
      </c>
      <c r="M13" s="842">
        <v>38.1</v>
      </c>
    </row>
    <row r="14" spans="1:13" ht="24.75" customHeight="1">
      <c r="A14" s="832" t="s">
        <v>10923</v>
      </c>
      <c r="B14" s="833">
        <v>44.8</v>
      </c>
      <c r="C14" s="195">
        <v>45.024999999999999</v>
      </c>
      <c r="D14" s="834">
        <v>44.664999999999999</v>
      </c>
      <c r="E14" s="832" t="s">
        <v>10924</v>
      </c>
      <c r="F14" s="833">
        <v>43.4</v>
      </c>
      <c r="G14" s="833">
        <v>44</v>
      </c>
      <c r="H14" s="195">
        <v>43.869</v>
      </c>
      <c r="I14" s="839">
        <v>44.231999999999999</v>
      </c>
      <c r="J14" s="840" t="s">
        <v>10925</v>
      </c>
      <c r="K14" s="841">
        <v>43.66</v>
      </c>
      <c r="L14" s="841">
        <v>44.04</v>
      </c>
      <c r="M14" s="842">
        <v>44.45</v>
      </c>
    </row>
    <row r="15" spans="1:13" ht="24.75" customHeight="1" thickBot="1">
      <c r="A15" s="2862" t="s">
        <v>10926</v>
      </c>
      <c r="B15" s="2863">
        <v>56.5</v>
      </c>
      <c r="C15" s="2864">
        <v>56.835999999999999</v>
      </c>
      <c r="D15" s="2865">
        <v>56.475999999999999</v>
      </c>
      <c r="E15" s="2862" t="s">
        <v>10927</v>
      </c>
      <c r="F15" s="2863">
        <v>54.9</v>
      </c>
      <c r="G15" s="2863">
        <v>55.5</v>
      </c>
      <c r="H15" s="2864">
        <v>55.411999999999999</v>
      </c>
      <c r="I15" s="2866">
        <v>55.844000000000001</v>
      </c>
      <c r="J15" s="2859" t="s">
        <v>10928</v>
      </c>
      <c r="K15" s="2867">
        <v>55.58</v>
      </c>
      <c r="L15" s="2867">
        <v>55.96</v>
      </c>
      <c r="M15" s="2868">
        <v>56.36</v>
      </c>
    </row>
    <row r="16" spans="1:13" ht="17.25" thickTop="1">
      <c r="M16" s="3162" t="s">
        <v>12708</v>
      </c>
    </row>
  </sheetData>
  <mergeCells count="19">
    <mergeCell ref="K3:M3"/>
    <mergeCell ref="C4:C5"/>
    <mergeCell ref="D4:D5"/>
    <mergeCell ref="F4:F5"/>
    <mergeCell ref="G4:G5"/>
    <mergeCell ref="K4:L4"/>
    <mergeCell ref="M4:M5"/>
    <mergeCell ref="A1:M1"/>
    <mergeCell ref="A2:D2"/>
    <mergeCell ref="E2:I2"/>
    <mergeCell ref="J2:M2"/>
    <mergeCell ref="A3:A5"/>
    <mergeCell ref="B3:B5"/>
    <mergeCell ref="C3:D3"/>
    <mergeCell ref="E3:E5"/>
    <mergeCell ref="F3:G3"/>
    <mergeCell ref="H3:H5"/>
    <mergeCell ref="I3:I5"/>
    <mergeCell ref="J3:J5"/>
  </mergeCells>
  <phoneticPr fontId="378" type="noConversion"/>
  <hyperlinks>
    <hyperlink ref="M16" location="总目录!A1" display="返回目录"/>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D30" sqref="D30"/>
    </sheetView>
  </sheetViews>
  <sheetFormatPr defaultRowHeight="16.5"/>
  <cols>
    <col min="1" max="4" width="11.625" style="67" customWidth="1"/>
  </cols>
  <sheetData>
    <row r="1" spans="1:4" ht="27.75" thickBot="1">
      <c r="A1" s="4632" t="s">
        <v>12073</v>
      </c>
      <c r="B1" s="4633"/>
      <c r="C1" s="4633"/>
      <c r="D1" s="4633"/>
    </row>
    <row r="2" spans="1:4" ht="17.25" thickBot="1">
      <c r="A2" s="2869" t="s">
        <v>12060</v>
      </c>
      <c r="B2" s="2870" t="s">
        <v>12061</v>
      </c>
      <c r="C2" s="2871" t="s">
        <v>12062</v>
      </c>
      <c r="D2" s="2872" t="s">
        <v>12063</v>
      </c>
    </row>
    <row r="3" spans="1:4">
      <c r="A3" s="2873" t="s">
        <v>8177</v>
      </c>
      <c r="B3" s="2874">
        <v>10</v>
      </c>
      <c r="C3" s="2874">
        <v>1.2</v>
      </c>
      <c r="D3" s="2874"/>
    </row>
    <row r="4" spans="1:4">
      <c r="A4" s="2875" t="s">
        <v>8178</v>
      </c>
      <c r="B4" s="2876">
        <v>13</v>
      </c>
      <c r="C4" s="2876">
        <v>2.5</v>
      </c>
      <c r="D4" s="2876">
        <v>2.4</v>
      </c>
    </row>
    <row r="5" spans="1:4">
      <c r="A5" s="2875" t="s">
        <v>8179</v>
      </c>
      <c r="B5" s="2876">
        <v>17</v>
      </c>
      <c r="C5" s="2876">
        <v>5.5</v>
      </c>
      <c r="D5" s="2876">
        <v>4.5999999999999996</v>
      </c>
    </row>
    <row r="6" spans="1:4">
      <c r="A6" s="2875" t="s">
        <v>8180</v>
      </c>
      <c r="B6" s="2876">
        <v>19</v>
      </c>
      <c r="C6" s="2876">
        <v>9</v>
      </c>
      <c r="D6" s="2876">
        <v>8</v>
      </c>
    </row>
    <row r="7" spans="1:4">
      <c r="A7" s="2875" t="s">
        <v>8181</v>
      </c>
      <c r="B7" s="2876">
        <v>22</v>
      </c>
      <c r="C7" s="2876">
        <v>14</v>
      </c>
      <c r="D7" s="2876"/>
    </row>
    <row r="8" spans="1:4">
      <c r="A8" s="2875" t="s">
        <v>8182</v>
      </c>
      <c r="B8" s="2876">
        <v>24</v>
      </c>
      <c r="C8" s="2876">
        <v>23.5</v>
      </c>
      <c r="D8" s="2876">
        <v>19.899999999999999</v>
      </c>
    </row>
    <row r="9" spans="1:4">
      <c r="A9" s="2875" t="s">
        <v>8183</v>
      </c>
      <c r="B9" s="2876">
        <v>27</v>
      </c>
      <c r="C9" s="2876">
        <v>32</v>
      </c>
      <c r="D9" s="2876"/>
    </row>
    <row r="10" spans="1:4">
      <c r="A10" s="2875" t="s">
        <v>8184</v>
      </c>
      <c r="B10" s="2876">
        <v>30</v>
      </c>
      <c r="C10" s="2876">
        <v>47</v>
      </c>
      <c r="D10" s="2876">
        <v>38.799999999999997</v>
      </c>
    </row>
    <row r="11" spans="1:4">
      <c r="A11" s="2875" t="s">
        <v>8185</v>
      </c>
      <c r="B11" s="2876">
        <v>32</v>
      </c>
      <c r="C11" s="2876">
        <v>66.5</v>
      </c>
      <c r="D11" s="2876"/>
    </row>
    <row r="12" spans="1:4">
      <c r="A12" s="2875" t="s">
        <v>8186</v>
      </c>
      <c r="B12" s="2876">
        <v>36</v>
      </c>
      <c r="C12" s="2876">
        <v>82.5</v>
      </c>
      <c r="D12" s="2876">
        <v>67</v>
      </c>
    </row>
    <row r="13" spans="1:4">
      <c r="A13" s="2875" t="s">
        <v>8187</v>
      </c>
      <c r="B13" s="2876">
        <v>41</v>
      </c>
      <c r="C13" s="2876">
        <v>120</v>
      </c>
      <c r="D13" s="2876">
        <v>98.3</v>
      </c>
    </row>
    <row r="14" spans="1:4">
      <c r="A14" s="2875" t="s">
        <v>8188</v>
      </c>
      <c r="B14" s="2876">
        <v>46</v>
      </c>
      <c r="C14" s="2876">
        <v>155</v>
      </c>
      <c r="D14" s="2876">
        <v>134</v>
      </c>
    </row>
    <row r="15" spans="1:4">
      <c r="A15" s="2875" t="s">
        <v>12064</v>
      </c>
      <c r="B15" s="2876">
        <v>50</v>
      </c>
      <c r="C15" s="2876">
        <v>200</v>
      </c>
      <c r="D15" s="2876"/>
    </row>
    <row r="16" spans="1:4">
      <c r="A16" s="2875" t="s">
        <v>8189</v>
      </c>
      <c r="B16" s="2876">
        <v>55</v>
      </c>
      <c r="C16" s="2876">
        <v>250</v>
      </c>
      <c r="D16" s="2876">
        <v>233</v>
      </c>
    </row>
    <row r="17" spans="1:4">
      <c r="A17" s="2875" t="s">
        <v>12065</v>
      </c>
      <c r="B17" s="2876">
        <v>60</v>
      </c>
      <c r="C17" s="2876">
        <v>300</v>
      </c>
      <c r="D17" s="2876">
        <v>303</v>
      </c>
    </row>
    <row r="18" spans="1:4">
      <c r="A18" s="2875" t="s">
        <v>812</v>
      </c>
      <c r="B18" s="2876">
        <v>65</v>
      </c>
      <c r="C18" s="2876"/>
      <c r="D18" s="2876">
        <v>373</v>
      </c>
    </row>
    <row r="19" spans="1:4">
      <c r="A19" s="2875" t="s">
        <v>8190</v>
      </c>
      <c r="B19" s="2876">
        <v>75</v>
      </c>
      <c r="C19" s="2876"/>
      <c r="D19" s="2876">
        <v>561</v>
      </c>
    </row>
    <row r="20" spans="1:4">
      <c r="A20" s="2875" t="s">
        <v>12066</v>
      </c>
      <c r="B20" s="2875"/>
      <c r="C20" s="2876"/>
      <c r="D20" s="2876">
        <v>725</v>
      </c>
    </row>
    <row r="21" spans="1:4">
      <c r="A21" s="2875" t="s">
        <v>12067</v>
      </c>
      <c r="B21" s="2875">
        <v>85</v>
      </c>
      <c r="C21" s="2876"/>
      <c r="D21" s="2876">
        <v>907</v>
      </c>
    </row>
    <row r="22" spans="1:4">
      <c r="A22" s="2875" t="s">
        <v>12068</v>
      </c>
      <c r="B22" s="2876"/>
      <c r="C22" s="2876"/>
      <c r="D22" s="2876">
        <v>957</v>
      </c>
    </row>
    <row r="23" spans="1:4">
      <c r="A23" s="2875" t="s">
        <v>12069</v>
      </c>
      <c r="B23" s="2876">
        <v>95</v>
      </c>
      <c r="C23" s="2876"/>
      <c r="D23" s="2876">
        <v>1360</v>
      </c>
    </row>
    <row r="24" spans="1:4">
      <c r="A24" s="2875" t="s">
        <v>12070</v>
      </c>
      <c r="B24" s="2876"/>
      <c r="C24" s="2876"/>
      <c r="D24" s="2876">
        <v>1450</v>
      </c>
    </row>
    <row r="25" spans="1:4">
      <c r="A25" s="2875" t="s">
        <v>1544</v>
      </c>
      <c r="B25" s="2876">
        <v>105</v>
      </c>
      <c r="C25" s="2876"/>
      <c r="D25" s="2876">
        <v>2090</v>
      </c>
    </row>
    <row r="26" spans="1:4">
      <c r="A26" s="2875" t="s">
        <v>12071</v>
      </c>
      <c r="B26" s="2876"/>
      <c r="C26" s="2876"/>
      <c r="D26" s="2876">
        <v>2460</v>
      </c>
    </row>
    <row r="27" spans="1:4">
      <c r="A27" s="2875" t="s">
        <v>1550</v>
      </c>
      <c r="B27" s="2876">
        <v>115</v>
      </c>
      <c r="C27" s="2876"/>
      <c r="D27" s="2876">
        <v>2870</v>
      </c>
    </row>
    <row r="28" spans="1:4">
      <c r="A28" s="2875" t="s">
        <v>1554</v>
      </c>
      <c r="B28" s="2876">
        <v>130</v>
      </c>
      <c r="C28" s="2876"/>
      <c r="D28" s="2876">
        <v>4110</v>
      </c>
    </row>
    <row r="29" spans="1:4">
      <c r="A29" s="2875" t="s">
        <v>12072</v>
      </c>
      <c r="B29" s="2876">
        <v>145</v>
      </c>
      <c r="C29" s="2876"/>
      <c r="D29" s="2876">
        <v>5670</v>
      </c>
    </row>
    <row r="30" spans="1:4">
      <c r="D30" s="3162" t="s">
        <v>12708</v>
      </c>
    </row>
  </sheetData>
  <mergeCells count="1">
    <mergeCell ref="A1:D1"/>
  </mergeCells>
  <phoneticPr fontId="378" type="noConversion"/>
  <hyperlinks>
    <hyperlink ref="D30" location="总目录!A1" display="返回目录"/>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activeCell="H1" sqref="H1"/>
    </sheetView>
  </sheetViews>
  <sheetFormatPr defaultRowHeight="16.5"/>
  <cols>
    <col min="1" max="7" width="18.125" customWidth="1"/>
  </cols>
  <sheetData>
    <row r="1" spans="1:8" ht="32.25" thickBot="1">
      <c r="A1" s="4634" t="s">
        <v>10695</v>
      </c>
      <c r="B1" s="4634"/>
      <c r="C1" s="4634"/>
      <c r="D1" s="4634"/>
      <c r="E1" s="4634"/>
      <c r="F1" s="4634"/>
      <c r="G1" s="4634"/>
      <c r="H1" s="3162" t="s">
        <v>12708</v>
      </c>
    </row>
    <row r="2" spans="1:8" ht="26.25" thickTop="1">
      <c r="A2" s="4635" t="s">
        <v>38</v>
      </c>
      <c r="B2" s="4636"/>
      <c r="C2" s="4637"/>
      <c r="D2" s="4635" t="s">
        <v>10929</v>
      </c>
      <c r="E2" s="4637"/>
      <c r="F2" s="4635" t="s">
        <v>12075</v>
      </c>
      <c r="G2" s="4637"/>
    </row>
    <row r="3" spans="1:8" ht="18.75">
      <c r="A3" s="4493" t="s">
        <v>12074</v>
      </c>
      <c r="B3" s="4491" t="s">
        <v>6372</v>
      </c>
      <c r="C3" s="4492"/>
      <c r="D3" s="4494" t="s">
        <v>9875</v>
      </c>
      <c r="E3" s="4495" t="s">
        <v>10931</v>
      </c>
      <c r="F3" s="4494" t="s">
        <v>9875</v>
      </c>
      <c r="G3" s="4495" t="s">
        <v>10931</v>
      </c>
    </row>
    <row r="4" spans="1:8" ht="18.75">
      <c r="A4" s="4493"/>
      <c r="B4" s="814" t="s">
        <v>6373</v>
      </c>
      <c r="C4" s="815" t="s">
        <v>6374</v>
      </c>
      <c r="D4" s="4494"/>
      <c r="E4" s="4495"/>
      <c r="F4" s="4494"/>
      <c r="G4" s="4495"/>
    </row>
    <row r="5" spans="1:8" ht="25.5" customHeight="1">
      <c r="A5" s="818" t="s">
        <v>10932</v>
      </c>
      <c r="B5" s="819">
        <v>2.65</v>
      </c>
      <c r="C5" s="820">
        <v>2.6</v>
      </c>
      <c r="D5" s="818" t="s">
        <v>10933</v>
      </c>
      <c r="E5" s="821" t="s">
        <v>10934</v>
      </c>
      <c r="F5" s="818" t="s">
        <v>10935</v>
      </c>
      <c r="G5" s="821" t="s">
        <v>10936</v>
      </c>
    </row>
    <row r="6" spans="1:8" ht="25.5" customHeight="1">
      <c r="A6" s="818" t="s">
        <v>10937</v>
      </c>
      <c r="B6" s="819">
        <v>3.25</v>
      </c>
      <c r="C6" s="820">
        <v>3.2</v>
      </c>
      <c r="D6" s="818" t="s">
        <v>10755</v>
      </c>
      <c r="E6" s="821" t="s">
        <v>10938</v>
      </c>
      <c r="F6" s="818" t="s">
        <v>10939</v>
      </c>
      <c r="G6" s="821" t="s">
        <v>10940</v>
      </c>
    </row>
    <row r="7" spans="1:8" ht="25.5" customHeight="1">
      <c r="A7" s="818" t="s">
        <v>10941</v>
      </c>
      <c r="B7" s="819">
        <v>3.75</v>
      </c>
      <c r="C7" s="820">
        <v>3.7</v>
      </c>
      <c r="D7" s="818" t="s">
        <v>10759</v>
      </c>
      <c r="E7" s="821" t="s">
        <v>10942</v>
      </c>
      <c r="F7" s="818" t="s">
        <v>10943</v>
      </c>
      <c r="G7" s="821" t="s">
        <v>10944</v>
      </c>
    </row>
    <row r="8" spans="1:8" ht="25.5" customHeight="1">
      <c r="A8" s="818" t="s">
        <v>10945</v>
      </c>
      <c r="B8" s="819">
        <v>5.0999999999999996</v>
      </c>
      <c r="C8" s="820">
        <v>5</v>
      </c>
      <c r="D8" s="818" t="s">
        <v>10763</v>
      </c>
      <c r="E8" s="821" t="s">
        <v>10946</v>
      </c>
      <c r="F8" s="818" t="s">
        <v>10947</v>
      </c>
      <c r="G8" s="821" t="s">
        <v>10948</v>
      </c>
    </row>
    <row r="9" spans="1:8" ht="25.5" customHeight="1">
      <c r="A9" s="818" t="s">
        <v>10949</v>
      </c>
      <c r="B9" s="819">
        <v>6.6</v>
      </c>
      <c r="C9" s="820">
        <v>6.5</v>
      </c>
      <c r="D9" s="818" t="s">
        <v>10767</v>
      </c>
      <c r="E9" s="821" t="s">
        <v>10950</v>
      </c>
      <c r="F9" s="818" t="s">
        <v>10951</v>
      </c>
      <c r="G9" s="821" t="s">
        <v>10952</v>
      </c>
    </row>
    <row r="10" spans="1:8" ht="25.5" customHeight="1">
      <c r="A10" s="818" t="s">
        <v>10953</v>
      </c>
      <c r="B10" s="819">
        <v>8</v>
      </c>
      <c r="C10" s="820">
        <v>7.9</v>
      </c>
      <c r="D10" s="818" t="s">
        <v>10771</v>
      </c>
      <c r="E10" s="821" t="s">
        <v>10954</v>
      </c>
      <c r="F10" s="818" t="s">
        <v>10955</v>
      </c>
      <c r="G10" s="821" t="s">
        <v>10956</v>
      </c>
    </row>
    <row r="11" spans="1:8" ht="25.5" customHeight="1">
      <c r="A11" s="818" t="s">
        <v>10957</v>
      </c>
      <c r="B11" s="819">
        <v>9.4</v>
      </c>
      <c r="C11" s="820">
        <v>9.3000000000000007</v>
      </c>
      <c r="D11" s="818" t="s">
        <v>10775</v>
      </c>
      <c r="E11" s="821" t="s">
        <v>10958</v>
      </c>
      <c r="F11" s="818" t="s">
        <v>10959</v>
      </c>
      <c r="G11" s="821" t="s">
        <v>10960</v>
      </c>
    </row>
    <row r="12" spans="1:8" ht="25.5" customHeight="1">
      <c r="A12" s="818" t="s">
        <v>10961</v>
      </c>
      <c r="B12" s="819">
        <v>10.7</v>
      </c>
      <c r="C12" s="820">
        <v>10.5</v>
      </c>
      <c r="D12" s="818" t="s">
        <v>10778</v>
      </c>
      <c r="E12" s="821" t="s">
        <v>10962</v>
      </c>
      <c r="F12" s="818" t="s">
        <v>10963</v>
      </c>
      <c r="G12" s="821" t="s">
        <v>10964</v>
      </c>
    </row>
    <row r="13" spans="1:8" ht="25.5" customHeight="1">
      <c r="A13" s="818" t="s">
        <v>10965</v>
      </c>
      <c r="B13" s="819">
        <v>12.3</v>
      </c>
      <c r="C13" s="820">
        <v>12</v>
      </c>
      <c r="D13" s="818" t="s">
        <v>10782</v>
      </c>
      <c r="E13" s="821" t="s">
        <v>10966</v>
      </c>
      <c r="F13" s="818" t="s">
        <v>10967</v>
      </c>
      <c r="G13" s="821" t="s">
        <v>10968</v>
      </c>
    </row>
    <row r="14" spans="1:8" ht="25.5" customHeight="1">
      <c r="A14" s="818" t="s">
        <v>10969</v>
      </c>
      <c r="B14" s="819">
        <v>13.7</v>
      </c>
      <c r="C14" s="820">
        <v>13.5</v>
      </c>
      <c r="D14" s="818" t="s">
        <v>10786</v>
      </c>
      <c r="E14" s="821" t="s">
        <v>10970</v>
      </c>
      <c r="F14" s="818" t="s">
        <v>10971</v>
      </c>
      <c r="G14" s="821" t="s">
        <v>10972</v>
      </c>
    </row>
    <row r="15" spans="1:8" ht="25.5" customHeight="1">
      <c r="A15" s="818" t="s">
        <v>10973</v>
      </c>
      <c r="B15" s="819">
        <v>16.7</v>
      </c>
      <c r="C15" s="820">
        <v>16.5</v>
      </c>
      <c r="D15" s="818" t="s">
        <v>10798</v>
      </c>
      <c r="E15" s="821" t="s">
        <v>10974</v>
      </c>
      <c r="F15" s="818" t="s">
        <v>10975</v>
      </c>
      <c r="G15" s="821" t="s">
        <v>10976</v>
      </c>
    </row>
    <row r="16" spans="1:8" ht="25.5" customHeight="1">
      <c r="A16" s="818" t="s">
        <v>10977</v>
      </c>
      <c r="B16" s="819">
        <v>19.5</v>
      </c>
      <c r="C16" s="820">
        <v>19.3</v>
      </c>
      <c r="D16" s="818" t="s">
        <v>10790</v>
      </c>
      <c r="E16" s="821" t="s">
        <v>10978</v>
      </c>
      <c r="F16" s="818" t="s">
        <v>10979</v>
      </c>
      <c r="G16" s="821" t="s">
        <v>10980</v>
      </c>
    </row>
    <row r="17" spans="1:7" ht="25.5" customHeight="1">
      <c r="A17" s="818" t="s">
        <v>10981</v>
      </c>
      <c r="B17" s="819">
        <v>22.4</v>
      </c>
      <c r="C17" s="820">
        <v>22</v>
      </c>
      <c r="D17" s="816"/>
      <c r="E17" s="817"/>
      <c r="F17" s="818" t="s">
        <v>10982</v>
      </c>
      <c r="G17" s="821" t="s">
        <v>10983</v>
      </c>
    </row>
    <row r="18" spans="1:7" ht="25.5" customHeight="1">
      <c r="A18" s="818" t="s">
        <v>10984</v>
      </c>
      <c r="B18" s="819">
        <v>25</v>
      </c>
      <c r="C18" s="820">
        <v>24.8</v>
      </c>
      <c r="D18" s="816"/>
      <c r="E18" s="817"/>
      <c r="F18" s="818" t="s">
        <v>10985</v>
      </c>
      <c r="G18" s="821" t="s">
        <v>10986</v>
      </c>
    </row>
    <row r="19" spans="1:7" ht="25.5" customHeight="1">
      <c r="A19" s="818" t="s">
        <v>10987</v>
      </c>
      <c r="B19" s="819">
        <v>28.3</v>
      </c>
      <c r="C19" s="820">
        <v>28</v>
      </c>
      <c r="D19" s="816"/>
      <c r="E19" s="817"/>
      <c r="F19" s="818" t="s">
        <v>10988</v>
      </c>
      <c r="G19" s="821" t="s">
        <v>10989</v>
      </c>
    </row>
    <row r="20" spans="1:7" ht="25.5" customHeight="1">
      <c r="A20" s="816"/>
      <c r="B20" s="822"/>
      <c r="C20" s="817"/>
      <c r="D20" s="816"/>
      <c r="E20" s="817"/>
      <c r="F20" s="818" t="s">
        <v>10990</v>
      </c>
      <c r="G20" s="821" t="s">
        <v>10991</v>
      </c>
    </row>
    <row r="21" spans="1:7" ht="25.5" customHeight="1" thickBot="1">
      <c r="A21" s="2856"/>
      <c r="B21" s="2857"/>
      <c r="C21" s="2861"/>
      <c r="D21" s="2856"/>
      <c r="E21" s="2861"/>
      <c r="F21" s="2877" t="s">
        <v>10992</v>
      </c>
      <c r="G21" s="2878" t="s">
        <v>10993</v>
      </c>
    </row>
    <row r="22" spans="1:7" ht="17.25" thickTop="1"/>
  </sheetData>
  <mergeCells count="10">
    <mergeCell ref="A1:G1"/>
    <mergeCell ref="A2:C2"/>
    <mergeCell ref="D2:E2"/>
    <mergeCell ref="F2:G2"/>
    <mergeCell ref="A3:A4"/>
    <mergeCell ref="B3:C3"/>
    <mergeCell ref="D3:D4"/>
    <mergeCell ref="E3:E4"/>
    <mergeCell ref="F3:F4"/>
    <mergeCell ref="G3:G4"/>
  </mergeCells>
  <phoneticPr fontId="378" type="noConversion"/>
  <hyperlinks>
    <hyperlink ref="H1" location="总目录!A1" display="返回目录"/>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E1" sqref="E1"/>
    </sheetView>
  </sheetViews>
  <sheetFormatPr defaultRowHeight="16.5"/>
  <cols>
    <col min="1" max="1" width="44.75" customWidth="1"/>
    <col min="2" max="4" width="20.875" customWidth="1"/>
  </cols>
  <sheetData>
    <row r="1" spans="1:5" ht="25.5">
      <c r="A1" s="4638" t="s">
        <v>12077</v>
      </c>
      <c r="B1" s="4638"/>
      <c r="C1" s="4638"/>
      <c r="D1" s="4638"/>
      <c r="E1" s="3162" t="s">
        <v>12708</v>
      </c>
    </row>
    <row r="2" spans="1:5" ht="25.5">
      <c r="A2" s="2879"/>
      <c r="B2" s="2879"/>
      <c r="C2" s="2879"/>
      <c r="D2" s="2879"/>
    </row>
    <row r="3" spans="1:5" ht="18.75">
      <c r="A3" s="760" t="s">
        <v>10466</v>
      </c>
      <c r="B3" s="760" t="s">
        <v>12079</v>
      </c>
      <c r="C3" s="760" t="s">
        <v>10469</v>
      </c>
      <c r="D3" s="760" t="s">
        <v>12080</v>
      </c>
    </row>
    <row r="4" spans="1:5" ht="46.5" customHeight="1">
      <c r="A4" s="2880" t="s">
        <v>12081</v>
      </c>
      <c r="B4" s="918" t="s">
        <v>10493</v>
      </c>
      <c r="C4" s="918" t="s">
        <v>12082</v>
      </c>
      <c r="D4" s="2881" t="s">
        <v>12083</v>
      </c>
    </row>
    <row r="5" spans="1:5" ht="46.5" customHeight="1">
      <c r="A5" s="2880" t="s">
        <v>12084</v>
      </c>
      <c r="B5" s="918" t="s">
        <v>12085</v>
      </c>
      <c r="C5" s="918" t="s">
        <v>12086</v>
      </c>
      <c r="D5" s="2881" t="s">
        <v>12083</v>
      </c>
    </row>
    <row r="6" spans="1:5" ht="46.5" customHeight="1">
      <c r="A6" s="2880" t="s">
        <v>12087</v>
      </c>
      <c r="B6" s="918" t="s">
        <v>10515</v>
      </c>
      <c r="C6" s="918" t="s">
        <v>12088</v>
      </c>
      <c r="D6" s="2881" t="s">
        <v>12083</v>
      </c>
    </row>
    <row r="7" spans="1:5" ht="46.5" customHeight="1">
      <c r="A7" s="2882" t="s">
        <v>12089</v>
      </c>
      <c r="B7" s="918" t="s">
        <v>10515</v>
      </c>
      <c r="C7" s="918" t="s">
        <v>12090</v>
      </c>
      <c r="D7" s="918" t="s">
        <v>12091</v>
      </c>
    </row>
    <row r="8" spans="1:5" ht="18.75">
      <c r="A8" s="753"/>
      <c r="B8" s="753"/>
      <c r="C8" s="753"/>
      <c r="D8" s="753"/>
    </row>
  </sheetData>
  <mergeCells count="1">
    <mergeCell ref="A1:D1"/>
  </mergeCells>
  <phoneticPr fontId="378" type="noConversion"/>
  <hyperlinks>
    <hyperlink ref="E1" location="总目录!A1" display="返回目录"/>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4"/>
  <sheetViews>
    <sheetView workbookViewId="0">
      <selection activeCell="F24" sqref="F24"/>
    </sheetView>
  </sheetViews>
  <sheetFormatPr defaultRowHeight="16.5"/>
  <cols>
    <col min="3" max="3" width="15.25" customWidth="1"/>
    <col min="4" max="4" width="25.5" customWidth="1"/>
    <col min="5" max="5" width="14.375" customWidth="1"/>
  </cols>
  <sheetData>
    <row r="1" spans="1:6">
      <c r="A1" s="2883" t="s">
        <v>9471</v>
      </c>
      <c r="B1" s="2884" t="s">
        <v>9472</v>
      </c>
      <c r="C1" s="2884" t="s">
        <v>9473</v>
      </c>
      <c r="D1" s="2885" t="s">
        <v>9729</v>
      </c>
      <c r="E1" s="2885" t="s">
        <v>9730</v>
      </c>
      <c r="F1" s="2886" t="s">
        <v>6394</v>
      </c>
    </row>
    <row r="2" spans="1:6">
      <c r="A2" s="1377"/>
      <c r="B2" s="1378" t="s">
        <v>9731</v>
      </c>
      <c r="C2" s="1378" t="s">
        <v>9732</v>
      </c>
      <c r="D2" s="1379"/>
      <c r="E2" s="2887"/>
      <c r="F2" s="1380"/>
    </row>
    <row r="3" spans="1:6">
      <c r="A3" s="2807" t="s">
        <v>6704</v>
      </c>
      <c r="B3" s="2888" t="s">
        <v>11033</v>
      </c>
      <c r="C3" s="2888" t="s">
        <v>12093</v>
      </c>
      <c r="D3" s="1338"/>
      <c r="E3" s="2889">
        <v>29</v>
      </c>
      <c r="F3" s="1339"/>
    </row>
    <row r="4" spans="1:6">
      <c r="A4" s="2807" t="s">
        <v>7334</v>
      </c>
      <c r="B4" s="2888" t="s">
        <v>12094</v>
      </c>
      <c r="C4" s="2888" t="s">
        <v>12095</v>
      </c>
      <c r="D4" s="2888" t="s">
        <v>12096</v>
      </c>
      <c r="E4" s="2889">
        <v>15.88</v>
      </c>
      <c r="F4" s="1339"/>
    </row>
    <row r="5" spans="1:6">
      <c r="A5" s="2807" t="s">
        <v>7335</v>
      </c>
      <c r="B5" s="2888" t="s">
        <v>6689</v>
      </c>
      <c r="C5" s="2888" t="s">
        <v>9762</v>
      </c>
      <c r="D5" s="2888"/>
      <c r="E5" s="2889">
        <v>25.4</v>
      </c>
      <c r="F5" s="2890" t="s">
        <v>2040</v>
      </c>
    </row>
    <row r="6" spans="1:6">
      <c r="A6" s="2807" t="s">
        <v>7336</v>
      </c>
      <c r="B6" s="2888" t="s">
        <v>6652</v>
      </c>
      <c r="C6" s="2888" t="s">
        <v>12097</v>
      </c>
      <c r="D6" s="2888" t="s">
        <v>12096</v>
      </c>
      <c r="E6" s="2889">
        <v>31.88</v>
      </c>
      <c r="F6" s="2890" t="s">
        <v>2040</v>
      </c>
    </row>
    <row r="7" spans="1:6">
      <c r="A7" s="1377"/>
      <c r="B7" s="1378" t="s">
        <v>9757</v>
      </c>
      <c r="C7" s="1378" t="s">
        <v>9758</v>
      </c>
      <c r="D7" s="1379"/>
      <c r="E7" s="2887"/>
      <c r="F7" s="1380"/>
    </row>
    <row r="8" spans="1:6">
      <c r="A8" s="2807" t="s">
        <v>7337</v>
      </c>
      <c r="B8" s="2888" t="s">
        <v>6565</v>
      </c>
      <c r="C8" s="2888" t="s">
        <v>12098</v>
      </c>
      <c r="D8" s="2888" t="s">
        <v>12099</v>
      </c>
      <c r="E8" s="2888">
        <f>E5/SIN(PI()/E3)</f>
        <v>234.92629113968582</v>
      </c>
      <c r="F8" s="2890" t="s">
        <v>2040</v>
      </c>
    </row>
    <row r="9" spans="1:6">
      <c r="A9" s="2807" t="s">
        <v>7338</v>
      </c>
      <c r="B9" s="2888" t="s">
        <v>6661</v>
      </c>
      <c r="C9" s="2888" t="s">
        <v>12100</v>
      </c>
      <c r="D9" s="2888" t="s">
        <v>12101</v>
      </c>
      <c r="E9" s="2888">
        <f>E5*(0.54+1/(TAN(PI()/E3)))</f>
        <v>247.26514315545759</v>
      </c>
      <c r="F9" s="2890" t="s">
        <v>2040</v>
      </c>
    </row>
    <row r="10" spans="1:6">
      <c r="A10" s="2807" t="s">
        <v>7339</v>
      </c>
      <c r="B10" s="2888" t="s">
        <v>6666</v>
      </c>
      <c r="C10" s="2888" t="s">
        <v>12102</v>
      </c>
      <c r="D10" s="2888" t="s">
        <v>6667</v>
      </c>
      <c r="E10" s="2888">
        <f>E8-E4</f>
        <v>219.04629113968582</v>
      </c>
      <c r="F10" s="2890" t="s">
        <v>2040</v>
      </c>
    </row>
    <row r="11" spans="1:6">
      <c r="A11" s="2807" t="s">
        <v>6000</v>
      </c>
      <c r="B11" s="2888" t="s">
        <v>11036</v>
      </c>
      <c r="C11" s="2888" t="s">
        <v>12103</v>
      </c>
      <c r="D11" s="2888" t="s">
        <v>12104</v>
      </c>
      <c r="E11" s="2888">
        <f>0.27*E5</f>
        <v>6.8579999999999997</v>
      </c>
      <c r="F11" s="2890" t="s">
        <v>2040</v>
      </c>
    </row>
    <row r="12" spans="1:6">
      <c r="A12" s="2807" t="s">
        <v>6003</v>
      </c>
      <c r="B12" s="2888" t="s">
        <v>6656</v>
      </c>
      <c r="C12" s="2888" t="s">
        <v>12105</v>
      </c>
      <c r="D12" s="2888" t="s">
        <v>12096</v>
      </c>
      <c r="E12" s="2888">
        <v>21.08</v>
      </c>
      <c r="F12" s="2890" t="s">
        <v>2040</v>
      </c>
    </row>
    <row r="13" spans="1:6" ht="19.5">
      <c r="A13" s="2807" t="s">
        <v>287</v>
      </c>
      <c r="B13" s="2888" t="s">
        <v>6669</v>
      </c>
      <c r="C13" s="2888" t="s">
        <v>12106</v>
      </c>
      <c r="D13" s="2888" t="s">
        <v>12107</v>
      </c>
      <c r="E13" s="2888">
        <f>E5*1/(TAN(PI()/E3))-1.04*E12-0.76</f>
        <v>210.86594315545759</v>
      </c>
      <c r="F13" s="2890" t="s">
        <v>2040</v>
      </c>
    </row>
    <row r="14" spans="1:6">
      <c r="A14" s="2807" t="s">
        <v>7340</v>
      </c>
      <c r="B14" s="2888" t="s">
        <v>6163</v>
      </c>
      <c r="C14" s="2888"/>
      <c r="D14" s="2888" t="s">
        <v>12108</v>
      </c>
      <c r="E14" s="2888">
        <v>9.5</v>
      </c>
      <c r="F14" s="2890"/>
    </row>
    <row r="15" spans="1:6">
      <c r="A15" s="2807" t="s">
        <v>7341</v>
      </c>
      <c r="B15" s="2888" t="s">
        <v>9768</v>
      </c>
      <c r="C15" s="2888"/>
      <c r="D15" s="2888"/>
      <c r="E15" s="2888">
        <v>90</v>
      </c>
      <c r="F15" s="2890"/>
    </row>
    <row r="16" spans="1:6">
      <c r="A16" s="2807" t="s">
        <v>7397</v>
      </c>
      <c r="B16" s="2888" t="s">
        <v>8104</v>
      </c>
      <c r="C16" s="2888" t="s">
        <v>12109</v>
      </c>
      <c r="D16" s="2888" t="s">
        <v>12110</v>
      </c>
      <c r="E16" s="2888">
        <f>E14+E15/6+0.01*E8</f>
        <v>26.84926291139686</v>
      </c>
      <c r="F16" s="2890" t="s">
        <v>2040</v>
      </c>
    </row>
    <row r="17" spans="1:6" ht="19.5">
      <c r="A17" s="2807" t="s">
        <v>7389</v>
      </c>
      <c r="B17" s="2888" t="s">
        <v>9858</v>
      </c>
      <c r="C17" s="2888" t="s">
        <v>12111</v>
      </c>
      <c r="D17" s="2888" t="s">
        <v>12112</v>
      </c>
      <c r="E17" s="2888">
        <f>2.6*E16</f>
        <v>69.808083569631833</v>
      </c>
      <c r="F17" s="2890" t="s">
        <v>2040</v>
      </c>
    </row>
    <row r="18" spans="1:6">
      <c r="A18" s="2807" t="s">
        <v>292</v>
      </c>
      <c r="B18" s="2891" t="s">
        <v>12113</v>
      </c>
      <c r="C18" s="2891" t="s">
        <v>12114</v>
      </c>
      <c r="D18" s="2891" t="s">
        <v>12115</v>
      </c>
      <c r="E18" s="2891">
        <f>E14+2*E15</f>
        <v>189.5</v>
      </c>
      <c r="F18" s="2892" t="s">
        <v>2040</v>
      </c>
    </row>
    <row r="19" spans="1:6" ht="19.5">
      <c r="A19" s="2807" t="s">
        <v>7355</v>
      </c>
      <c r="B19" s="2891"/>
      <c r="C19" s="2891"/>
      <c r="D19" s="2891" t="s">
        <v>12116</v>
      </c>
      <c r="E19" s="2891">
        <v>200</v>
      </c>
      <c r="F19" s="2892"/>
    </row>
    <row r="20" spans="1:6">
      <c r="A20" s="2807" t="s">
        <v>7699</v>
      </c>
      <c r="B20" s="2891" t="s">
        <v>6654</v>
      </c>
      <c r="C20" s="2891" t="s">
        <v>12117</v>
      </c>
      <c r="D20" s="2891" t="s">
        <v>12118</v>
      </c>
      <c r="E20" s="2891">
        <v>17.02</v>
      </c>
      <c r="F20" s="2892" t="s">
        <v>2040</v>
      </c>
    </row>
    <row r="21" spans="1:6">
      <c r="A21" s="2807" t="s">
        <v>7390</v>
      </c>
      <c r="B21" s="2891" t="s">
        <v>12119</v>
      </c>
      <c r="C21" s="2891" t="s">
        <v>12120</v>
      </c>
      <c r="D21" s="2893" t="s">
        <v>12121</v>
      </c>
      <c r="E21" s="2891">
        <f>0.95*E20</f>
        <v>16.169</v>
      </c>
      <c r="F21" s="2892" t="s">
        <v>2040</v>
      </c>
    </row>
    <row r="22" spans="1:6" ht="19.5">
      <c r="A22" s="2807" t="s">
        <v>7403</v>
      </c>
      <c r="B22" s="2891" t="s">
        <v>12122</v>
      </c>
      <c r="C22" s="2891" t="s">
        <v>12123</v>
      </c>
      <c r="D22" s="2891" t="s">
        <v>12124</v>
      </c>
      <c r="E22" s="2891">
        <f>E8*COS(PI()/(2*E3))+E4</f>
        <v>250.46175149509349</v>
      </c>
      <c r="F22" s="2892"/>
    </row>
    <row r="23" spans="1:6" ht="19.5">
      <c r="A23" s="2807" t="s">
        <v>298</v>
      </c>
      <c r="B23" s="2891" t="s">
        <v>12125</v>
      </c>
      <c r="C23" s="2891" t="s">
        <v>12126</v>
      </c>
      <c r="D23" s="2891"/>
      <c r="E23" s="2891">
        <v>15.88</v>
      </c>
      <c r="F23" s="2892" t="s">
        <v>2040</v>
      </c>
    </row>
    <row r="24" spans="1:6">
      <c r="F24" s="3162" t="s">
        <v>12708</v>
      </c>
    </row>
  </sheetData>
  <phoneticPr fontId="378" type="noConversion"/>
  <hyperlinks>
    <hyperlink ref="F24" location="总目录!A1" display="返回目录"/>
  </hyperlinks>
  <pageMargins left="0.7" right="0.7" top="0.75" bottom="0.75" header="0.3" footer="0.3"/>
  <legacy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D1" sqref="D1"/>
    </sheetView>
  </sheetViews>
  <sheetFormatPr defaultRowHeight="16.5"/>
  <cols>
    <col min="1" max="3" width="17.125" customWidth="1"/>
  </cols>
  <sheetData>
    <row r="1" spans="1:4" ht="26.25" thickBot="1">
      <c r="A1" s="4392" t="s">
        <v>12137</v>
      </c>
      <c r="B1" s="4393"/>
      <c r="C1" s="4393"/>
      <c r="D1" s="3162" t="s">
        <v>12708</v>
      </c>
    </row>
    <row r="2" spans="1:4" ht="24" customHeight="1" thickTop="1">
      <c r="A2" s="954" t="s">
        <v>1904</v>
      </c>
      <c r="B2" s="822" t="s">
        <v>10343</v>
      </c>
      <c r="C2" s="940" t="s">
        <v>10344</v>
      </c>
    </row>
    <row r="3" spans="1:4" ht="24" customHeight="1">
      <c r="A3" s="941" t="s">
        <v>12130</v>
      </c>
      <c r="B3" s="942" t="s">
        <v>10348</v>
      </c>
      <c r="C3" s="958" t="s">
        <v>10349</v>
      </c>
    </row>
    <row r="4" spans="1:4" ht="24" customHeight="1">
      <c r="A4" s="941" t="s">
        <v>12131</v>
      </c>
      <c r="B4" s="822">
        <v>0.11</v>
      </c>
      <c r="C4" s="940">
        <v>7.0000000000000007E-2</v>
      </c>
    </row>
    <row r="5" spans="1:4" ht="24" customHeight="1">
      <c r="A5" s="941" t="s">
        <v>12132</v>
      </c>
      <c r="B5" s="822">
        <v>0.1</v>
      </c>
      <c r="C5" s="940">
        <v>0.08</v>
      </c>
    </row>
    <row r="6" spans="1:4" ht="24" customHeight="1">
      <c r="A6" s="941" t="s">
        <v>12133</v>
      </c>
      <c r="B6" s="822">
        <v>0.11</v>
      </c>
      <c r="C6" s="940">
        <v>7.0000000000000007E-2</v>
      </c>
    </row>
    <row r="7" spans="1:4" ht="24" customHeight="1">
      <c r="A7" s="941" t="s">
        <v>12134</v>
      </c>
      <c r="B7" s="942" t="s">
        <v>10359</v>
      </c>
      <c r="C7" s="958" t="s">
        <v>10360</v>
      </c>
    </row>
    <row r="8" spans="1:4" ht="24" customHeight="1">
      <c r="A8" s="941" t="s">
        <v>12135</v>
      </c>
      <c r="B8" s="942" t="s">
        <v>10363</v>
      </c>
      <c r="C8" s="958" t="s">
        <v>10364</v>
      </c>
    </row>
    <row r="9" spans="1:4" ht="24" customHeight="1" thickBot="1">
      <c r="A9" s="2894" t="s">
        <v>12136</v>
      </c>
      <c r="B9" s="2895" t="s">
        <v>10367</v>
      </c>
      <c r="C9" s="2896" t="s">
        <v>10364</v>
      </c>
    </row>
    <row r="10" spans="1:4" ht="17.25" thickTop="1"/>
  </sheetData>
  <mergeCells count="1">
    <mergeCell ref="A1:C1"/>
  </mergeCells>
  <phoneticPr fontId="378" type="noConversion"/>
  <hyperlinks>
    <hyperlink ref="D1" location="总目录!A1" display="返回目录"/>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9"/>
  <sheetViews>
    <sheetView workbookViewId="0">
      <selection activeCell="P20" sqref="P20"/>
    </sheetView>
  </sheetViews>
  <sheetFormatPr defaultRowHeight="16.5"/>
  <sheetData>
    <row r="1" spans="1:16">
      <c r="A1" s="4642" t="s">
        <v>12140</v>
      </c>
      <c r="B1" s="4642"/>
      <c r="C1" s="4642"/>
      <c r="D1" s="4642"/>
      <c r="E1" s="4642"/>
      <c r="F1" s="4642"/>
      <c r="G1" s="4642"/>
      <c r="H1" s="4642"/>
      <c r="I1" s="4642"/>
      <c r="J1" s="4642"/>
      <c r="K1" s="4642"/>
      <c r="L1" s="4642"/>
      <c r="M1" s="4642"/>
      <c r="N1" s="4642"/>
      <c r="O1" s="4642"/>
      <c r="P1" s="2897"/>
    </row>
    <row r="2" spans="1:16">
      <c r="A2" s="2898" t="s">
        <v>12141</v>
      </c>
      <c r="B2" s="2899">
        <v>4.8860000000000001</v>
      </c>
      <c r="C2" s="2898" t="s">
        <v>12142</v>
      </c>
      <c r="D2" s="2900">
        <v>11.042999999999999</v>
      </c>
      <c r="E2" s="2898" t="s">
        <v>12143</v>
      </c>
      <c r="F2" s="2899">
        <v>21.315999999999999</v>
      </c>
      <c r="G2" s="2898" t="s">
        <v>12144</v>
      </c>
      <c r="H2" s="2899">
        <v>33.729999999999997</v>
      </c>
      <c r="I2" s="2898" t="s">
        <v>12145</v>
      </c>
      <c r="J2" s="2899">
        <v>54.847999999999999</v>
      </c>
      <c r="K2" s="2898" t="s">
        <v>12146</v>
      </c>
      <c r="L2" s="2899">
        <v>77.352999999999994</v>
      </c>
      <c r="M2" s="2898" t="s">
        <v>12147</v>
      </c>
      <c r="N2" s="2900">
        <v>151.59899999999999</v>
      </c>
      <c r="O2" s="2898" t="s">
        <v>12148</v>
      </c>
      <c r="P2" s="2900">
        <v>277.084</v>
      </c>
    </row>
    <row r="3" spans="1:16">
      <c r="A3" s="2901" t="s">
        <v>12149</v>
      </c>
      <c r="B3" s="2902">
        <v>5.2430000000000003</v>
      </c>
      <c r="C3" s="2901" t="s">
        <v>12150</v>
      </c>
      <c r="D3" s="2903">
        <v>11.742000000000001</v>
      </c>
      <c r="E3" s="2901" t="s">
        <v>12151</v>
      </c>
      <c r="F3" s="2902">
        <v>23.291</v>
      </c>
      <c r="G3" s="2901" t="s">
        <v>12152</v>
      </c>
      <c r="H3" s="2902">
        <v>37.366</v>
      </c>
      <c r="I3" s="2901" t="s">
        <v>12153</v>
      </c>
      <c r="J3" s="2902">
        <v>60.072000000000003</v>
      </c>
      <c r="K3" s="2901" t="s">
        <v>12154</v>
      </c>
      <c r="L3" s="2902">
        <v>84.302000000000007</v>
      </c>
      <c r="M3" s="2901" t="s">
        <v>12155</v>
      </c>
      <c r="N3" s="2903">
        <v>162.089</v>
      </c>
      <c r="O3" s="2901" t="s">
        <v>12156</v>
      </c>
      <c r="P3" s="2903">
        <v>293.24900000000002</v>
      </c>
    </row>
    <row r="4" spans="1:16">
      <c r="A4" s="2901" t="s">
        <v>12157</v>
      </c>
      <c r="B4" s="2902">
        <v>5.601</v>
      </c>
      <c r="C4" s="2901" t="s">
        <v>12158</v>
      </c>
      <c r="D4" s="2903">
        <v>12.349</v>
      </c>
      <c r="E4" s="2901" t="s">
        <v>12159</v>
      </c>
      <c r="F4" s="2902">
        <v>25.882999999999999</v>
      </c>
      <c r="G4" s="2901" t="s">
        <v>12160</v>
      </c>
      <c r="H4" s="2902">
        <v>41.268999999999998</v>
      </c>
      <c r="I4" s="2901" t="s">
        <v>12161</v>
      </c>
      <c r="J4" s="2902">
        <v>64.888000000000005</v>
      </c>
      <c r="K4" s="2901" t="s">
        <v>12162</v>
      </c>
      <c r="L4" s="2902">
        <v>90.78</v>
      </c>
      <c r="M4" s="2901" t="s">
        <v>12163</v>
      </c>
      <c r="N4" s="2903">
        <v>172.57900000000001</v>
      </c>
      <c r="O4" s="2901" t="s">
        <v>12164</v>
      </c>
      <c r="P4" s="2903">
        <v>307.82400000000001</v>
      </c>
    </row>
    <row r="5" spans="1:16">
      <c r="A5" s="2901" t="s">
        <v>12165</v>
      </c>
      <c r="B5" s="2902">
        <v>5.9580000000000002</v>
      </c>
      <c r="C5" s="2901" t="s">
        <v>12166</v>
      </c>
      <c r="D5" s="2903">
        <v>13.656000000000001</v>
      </c>
      <c r="E5" s="2901" t="s">
        <v>12167</v>
      </c>
      <c r="F5" s="2902">
        <v>28.475000000000001</v>
      </c>
      <c r="G5" s="2901" t="s">
        <v>12168</v>
      </c>
      <c r="H5" s="2902">
        <v>44.905000000000001</v>
      </c>
      <c r="I5" s="2901" t="s">
        <v>12169</v>
      </c>
      <c r="J5" s="2902">
        <v>70.113</v>
      </c>
      <c r="K5" s="2901" t="s">
        <v>12170</v>
      </c>
      <c r="L5" s="2902">
        <v>97.728999999999999</v>
      </c>
      <c r="M5" s="2901" t="s">
        <v>12171</v>
      </c>
      <c r="N5" s="2903">
        <v>183.06800000000001</v>
      </c>
      <c r="O5" s="2901" t="s">
        <v>12172</v>
      </c>
      <c r="P5" s="2903">
        <v>322.399</v>
      </c>
    </row>
    <row r="6" spans="1:16">
      <c r="A6" s="2901" t="s">
        <v>12173</v>
      </c>
      <c r="B6" s="2902">
        <v>6.673</v>
      </c>
      <c r="C6" s="2901" t="s">
        <v>12174</v>
      </c>
      <c r="D6" s="2903">
        <v>15.266</v>
      </c>
      <c r="E6" s="2901" t="s">
        <v>12175</v>
      </c>
      <c r="F6" s="2902">
        <v>30.902999999999999</v>
      </c>
      <c r="G6" s="2901" t="s">
        <v>12176</v>
      </c>
      <c r="H6" s="2902">
        <v>48.54</v>
      </c>
      <c r="I6" s="2901" t="s">
        <v>12177</v>
      </c>
      <c r="J6" s="2902">
        <v>74.927999999999997</v>
      </c>
      <c r="K6" s="2901" t="s">
        <v>12178</v>
      </c>
      <c r="L6" s="2902">
        <v>104.206</v>
      </c>
      <c r="M6" s="2901" t="s">
        <v>12179</v>
      </c>
      <c r="N6" s="2903">
        <v>193.55799999999999</v>
      </c>
      <c r="O6" s="2901" t="s">
        <v>12180</v>
      </c>
      <c r="P6" s="2903">
        <v>338.56400000000002</v>
      </c>
    </row>
    <row r="7" spans="1:16">
      <c r="A7" s="2901" t="s">
        <v>12181</v>
      </c>
      <c r="B7" s="2902">
        <v>7.5659999999999998</v>
      </c>
      <c r="C7" s="2901" t="s">
        <v>12182</v>
      </c>
      <c r="D7" s="2903">
        <v>16.876999999999999</v>
      </c>
      <c r="E7" s="2901" t="s">
        <v>12183</v>
      </c>
      <c r="F7" s="2902">
        <v>33.494999999999997</v>
      </c>
      <c r="G7" s="2901" t="s">
        <v>12184</v>
      </c>
      <c r="H7" s="2902">
        <v>52.176000000000002</v>
      </c>
      <c r="I7" s="2901" t="s">
        <v>12185</v>
      </c>
      <c r="J7" s="2902">
        <v>80.153000000000006</v>
      </c>
      <c r="K7" s="2901" t="s">
        <v>12186</v>
      </c>
      <c r="L7" s="2902">
        <v>111.15600000000001</v>
      </c>
      <c r="M7" s="2901" t="s">
        <v>12187</v>
      </c>
      <c r="N7" s="2903">
        <v>204.048</v>
      </c>
      <c r="O7" s="2901" t="s">
        <v>12188</v>
      </c>
      <c r="P7" s="2903">
        <v>353.13900000000001</v>
      </c>
    </row>
    <row r="8" spans="1:16">
      <c r="A8" s="2901" t="s">
        <v>12189</v>
      </c>
      <c r="B8" s="2902">
        <v>8.4600000000000009</v>
      </c>
      <c r="C8" s="2901" t="s">
        <v>12190</v>
      </c>
      <c r="D8" s="2903">
        <v>18.486999999999998</v>
      </c>
      <c r="E8" s="2901" t="s">
        <v>12191</v>
      </c>
      <c r="F8" s="2902">
        <v>35.963999999999999</v>
      </c>
      <c r="G8" s="2901" t="s">
        <v>12192</v>
      </c>
      <c r="H8" s="2902">
        <v>55.712000000000003</v>
      </c>
      <c r="I8" s="2901" t="s">
        <v>12193</v>
      </c>
      <c r="J8" s="2902">
        <v>84.968999999999994</v>
      </c>
      <c r="K8" s="2901" t="s">
        <v>12194</v>
      </c>
      <c r="L8" s="2902">
        <v>117.633</v>
      </c>
      <c r="M8" s="2901" t="s">
        <v>12195</v>
      </c>
      <c r="N8" s="2903">
        <v>214.53700000000001</v>
      </c>
      <c r="O8" s="2901" t="s">
        <v>12196</v>
      </c>
      <c r="P8" s="2903">
        <v>367.714</v>
      </c>
    </row>
    <row r="9" spans="1:16">
      <c r="A9" s="2901" t="s">
        <v>12197</v>
      </c>
      <c r="B9" s="2902">
        <v>9.3230000000000004</v>
      </c>
      <c r="C9" s="2901" t="s">
        <v>12198</v>
      </c>
      <c r="D9" s="2903">
        <v>20.029</v>
      </c>
      <c r="E9" s="2901" t="s">
        <v>12199</v>
      </c>
      <c r="F9" s="2902">
        <v>38.517000000000003</v>
      </c>
      <c r="G9" s="2901" t="s">
        <v>12200</v>
      </c>
      <c r="H9" s="2902">
        <v>59.408000000000001</v>
      </c>
      <c r="I9" s="2901" t="s">
        <v>12201</v>
      </c>
      <c r="J9" s="2902">
        <v>89.988</v>
      </c>
      <c r="K9" s="2901" t="s">
        <v>12202</v>
      </c>
      <c r="L9" s="2902">
        <v>124.32899999999999</v>
      </c>
      <c r="M9" s="2901" t="s">
        <v>12203</v>
      </c>
      <c r="N9" s="2903">
        <v>225.02699999999999</v>
      </c>
      <c r="O9" s="2901" t="s">
        <v>12204</v>
      </c>
      <c r="P9" s="2903">
        <v>398.45499999999998</v>
      </c>
    </row>
    <row r="10" spans="1:16">
      <c r="A10" s="2901" t="s">
        <v>12205</v>
      </c>
      <c r="B10" s="2902">
        <v>10.222</v>
      </c>
      <c r="C10" s="2901" t="s">
        <v>12206</v>
      </c>
      <c r="D10" s="2903">
        <v>21.65</v>
      </c>
      <c r="E10" s="2901" t="s">
        <v>12207</v>
      </c>
      <c r="F10" s="2902">
        <v>41.069000000000003</v>
      </c>
      <c r="G10" s="2901" t="s">
        <v>12208</v>
      </c>
      <c r="H10" s="2902">
        <v>63.103999999999999</v>
      </c>
      <c r="I10" s="2901" t="s">
        <v>12209</v>
      </c>
      <c r="J10" s="2902">
        <v>95.037999999999997</v>
      </c>
      <c r="K10" s="2901" t="s">
        <v>12210</v>
      </c>
      <c r="L10" s="2902">
        <v>131.08099999999999</v>
      </c>
      <c r="M10" s="2901" t="s">
        <v>12211</v>
      </c>
      <c r="N10" s="2903">
        <v>234.99100000000001</v>
      </c>
      <c r="O10" s="2901" t="s">
        <v>12212</v>
      </c>
      <c r="P10" s="2903">
        <v>428.44799999999998</v>
      </c>
    </row>
    <row r="11" spans="1:16">
      <c r="A11" s="2901" t="s">
        <v>12213</v>
      </c>
      <c r="B11" s="2902">
        <v>11.121</v>
      </c>
      <c r="C11" s="2901" t="s">
        <v>12214</v>
      </c>
      <c r="D11" s="2903">
        <v>23.27</v>
      </c>
      <c r="E11" s="2901" t="s">
        <v>12215</v>
      </c>
      <c r="F11" s="2902">
        <v>43.622</v>
      </c>
      <c r="G11" s="2901" t="s">
        <v>12216</v>
      </c>
      <c r="H11" s="2902">
        <v>66.801000000000002</v>
      </c>
      <c r="I11" s="2901" t="s">
        <v>12217</v>
      </c>
      <c r="J11" s="2902">
        <v>100.089</v>
      </c>
      <c r="K11" s="2901" t="s">
        <v>12218</v>
      </c>
      <c r="L11" s="2902">
        <v>137.834</v>
      </c>
      <c r="M11" s="2901" t="s">
        <v>12219</v>
      </c>
      <c r="N11" s="2903">
        <v>256.09199999999998</v>
      </c>
      <c r="O11" s="2901" t="s">
        <v>12220</v>
      </c>
      <c r="P11" s="2903">
        <v>458.83300000000003</v>
      </c>
    </row>
    <row r="12" spans="1:16">
      <c r="A12" s="2901" t="s">
        <v>12221</v>
      </c>
      <c r="B12" s="2902">
        <v>12.02</v>
      </c>
      <c r="C12" s="2901" t="s">
        <v>12222</v>
      </c>
      <c r="D12" s="2903">
        <v>24.89</v>
      </c>
      <c r="E12" s="2901" t="s">
        <v>12223</v>
      </c>
      <c r="F12" s="2902">
        <v>46.174999999999997</v>
      </c>
      <c r="G12" s="2901" t="s">
        <v>12224</v>
      </c>
      <c r="H12" s="2902">
        <v>70.497</v>
      </c>
      <c r="I12" s="2901" t="s">
        <v>12225</v>
      </c>
      <c r="J12" s="2902">
        <v>110.19</v>
      </c>
      <c r="K12" s="2901" t="s">
        <v>12226</v>
      </c>
      <c r="L12" s="2902">
        <v>151.339</v>
      </c>
      <c r="M12" s="2901" t="s">
        <v>12227</v>
      </c>
      <c r="N12" s="2903">
        <v>277.19299999999998</v>
      </c>
      <c r="O12" s="2901" t="s">
        <v>12228</v>
      </c>
      <c r="P12" s="2903">
        <v>489.21800000000002</v>
      </c>
    </row>
    <row r="13" spans="1:16">
      <c r="A13" s="2901" t="s">
        <v>12229</v>
      </c>
      <c r="B13" s="2902">
        <v>12.919</v>
      </c>
      <c r="C13" s="2901" t="s">
        <v>12230</v>
      </c>
      <c r="D13" s="2903">
        <v>26.510999999999999</v>
      </c>
      <c r="E13" s="2901" t="s">
        <v>12231</v>
      </c>
      <c r="F13" s="2902">
        <v>48.728000000000002</v>
      </c>
      <c r="G13" s="2901" t="s">
        <v>12232</v>
      </c>
      <c r="H13" s="2902">
        <v>77.888999999999996</v>
      </c>
      <c r="I13" s="2901" t="s">
        <v>12233</v>
      </c>
      <c r="J13" s="2902">
        <v>120.292</v>
      </c>
      <c r="K13" s="2901" t="s">
        <v>12234</v>
      </c>
      <c r="L13" s="2902">
        <v>164.84299999999999</v>
      </c>
      <c r="M13" s="2901" t="s">
        <v>12235</v>
      </c>
      <c r="N13" s="2903">
        <v>298.29399999999998</v>
      </c>
      <c r="O13" s="2901" t="s">
        <v>12236</v>
      </c>
      <c r="P13" s="2903">
        <v>519.60400000000004</v>
      </c>
    </row>
    <row r="14" spans="1:16">
      <c r="A14" s="2904" t="s">
        <v>12237</v>
      </c>
      <c r="B14" s="2905">
        <v>13.818</v>
      </c>
      <c r="C14" s="2901" t="s">
        <v>12238</v>
      </c>
      <c r="D14" s="2903">
        <v>28.131</v>
      </c>
      <c r="E14" s="2901" t="s">
        <v>12239</v>
      </c>
      <c r="F14" s="2902">
        <v>53.832999999999998</v>
      </c>
      <c r="G14" s="2901" t="s">
        <v>12240</v>
      </c>
      <c r="H14" s="2902">
        <v>85.281999999999996</v>
      </c>
      <c r="I14" s="2901" t="s">
        <v>12241</v>
      </c>
      <c r="J14" s="2902">
        <v>130.393</v>
      </c>
      <c r="K14" s="2901" t="s">
        <v>12242</v>
      </c>
      <c r="L14" s="2902">
        <v>178.34800000000001</v>
      </c>
      <c r="M14" s="2901" t="s">
        <v>12243</v>
      </c>
      <c r="N14" s="2903">
        <v>319.39499999999998</v>
      </c>
      <c r="O14" s="2901" t="s">
        <v>12244</v>
      </c>
      <c r="P14" s="2903">
        <v>549.98900000000003</v>
      </c>
    </row>
    <row r="15" spans="1:16">
      <c r="A15" s="4643"/>
      <c r="B15" s="4644"/>
      <c r="C15" s="2901" t="s">
        <v>12245</v>
      </c>
      <c r="D15" s="2903">
        <v>29.751000000000001</v>
      </c>
      <c r="E15" s="2901" t="s">
        <v>12246</v>
      </c>
      <c r="F15" s="2902">
        <v>58.939</v>
      </c>
      <c r="G15" s="2901" t="s">
        <v>12247</v>
      </c>
      <c r="H15" s="2902">
        <v>92.674000000000007</v>
      </c>
      <c r="I15" s="2901" t="s">
        <v>12248</v>
      </c>
      <c r="J15" s="2902">
        <v>140.494</v>
      </c>
      <c r="K15" s="2901" t="s">
        <v>12249</v>
      </c>
      <c r="L15" s="2902">
        <v>191.852</v>
      </c>
      <c r="M15" s="2901" t="s">
        <v>12250</v>
      </c>
      <c r="N15" s="2903">
        <v>340.49599999999998</v>
      </c>
      <c r="O15" s="2901" t="s">
        <v>12251</v>
      </c>
      <c r="P15" s="2903">
        <v>580.375</v>
      </c>
    </row>
    <row r="16" spans="1:16">
      <c r="A16" s="4642"/>
      <c r="B16" s="4645"/>
      <c r="C16" s="2904" t="s">
        <v>12252</v>
      </c>
      <c r="D16" s="2906">
        <v>32.991999999999997</v>
      </c>
      <c r="E16" s="2904" t="s">
        <v>12253</v>
      </c>
      <c r="F16" s="2905">
        <v>64.043999999999997</v>
      </c>
      <c r="G16" s="2901" t="s">
        <v>12254</v>
      </c>
      <c r="H16" s="2902">
        <v>100.06699999999999</v>
      </c>
      <c r="I16" s="2901" t="s">
        <v>12255</v>
      </c>
      <c r="J16" s="2902">
        <v>150.596</v>
      </c>
      <c r="K16" s="2901" t="s">
        <v>12256</v>
      </c>
      <c r="L16" s="2902">
        <v>205.357</v>
      </c>
      <c r="M16" s="2901" t="s">
        <v>12257</v>
      </c>
      <c r="N16" s="2903">
        <v>361.59699999999998</v>
      </c>
      <c r="O16" s="2901" t="s">
        <v>12258</v>
      </c>
      <c r="P16" s="2903">
        <v>610.76</v>
      </c>
    </row>
    <row r="17" spans="1:16">
      <c r="A17" s="4646" t="s">
        <v>12259</v>
      </c>
      <c r="B17" s="4643"/>
      <c r="C17" s="4643"/>
      <c r="D17" s="4643"/>
      <c r="E17" s="4643"/>
      <c r="F17" s="4644"/>
      <c r="G17" s="2907" t="s">
        <v>12260</v>
      </c>
      <c r="H17" s="2908">
        <v>107.459</v>
      </c>
      <c r="I17" s="2901" t="s">
        <v>12261</v>
      </c>
      <c r="J17" s="2902">
        <v>160.697</v>
      </c>
      <c r="K17" s="2901" t="s">
        <v>12262</v>
      </c>
      <c r="L17" s="2902">
        <v>218.86199999999999</v>
      </c>
      <c r="M17" s="2901" t="s">
        <v>12263</v>
      </c>
      <c r="N17" s="2903">
        <v>382.69799999999998</v>
      </c>
      <c r="O17" s="2901" t="s">
        <v>12264</v>
      </c>
      <c r="P17" s="2903">
        <v>641.14599999999996</v>
      </c>
    </row>
    <row r="18" spans="1:16">
      <c r="A18" s="2909" t="s">
        <v>12265</v>
      </c>
      <c r="B18" s="2910" t="s">
        <v>12266</v>
      </c>
      <c r="C18" s="2911" t="s">
        <v>12267</v>
      </c>
      <c r="D18" s="2910" t="s">
        <v>12268</v>
      </c>
      <c r="E18" s="2911" t="s">
        <v>12269</v>
      </c>
      <c r="F18" s="2912" t="s">
        <v>12270</v>
      </c>
      <c r="G18" s="4646"/>
      <c r="H18" s="4643"/>
      <c r="I18" s="2913" t="s">
        <v>12271</v>
      </c>
      <c r="J18" s="2908">
        <v>170.79900000000001</v>
      </c>
      <c r="K18" s="2901" t="s">
        <v>12272</v>
      </c>
      <c r="L18" s="2902">
        <v>232.36600000000001</v>
      </c>
      <c r="M18" s="2901" t="s">
        <v>12273</v>
      </c>
      <c r="N18" s="2903">
        <v>403.79899999999998</v>
      </c>
      <c r="O18" s="2901" t="s">
        <v>12274</v>
      </c>
      <c r="P18" s="2903">
        <v>701.91600000000005</v>
      </c>
    </row>
    <row r="19" spans="1:16">
      <c r="A19" s="2914" t="s">
        <v>8175</v>
      </c>
      <c r="B19" s="2915">
        <v>0.80100000000000005</v>
      </c>
      <c r="C19" s="2915">
        <v>0.88800000000000001</v>
      </c>
      <c r="D19" s="2915">
        <v>0.308</v>
      </c>
      <c r="E19" s="2915">
        <v>0.34200000000000003</v>
      </c>
      <c r="F19" s="2916">
        <v>0.14899999999999999</v>
      </c>
      <c r="G19" s="4647"/>
      <c r="H19" s="4648"/>
      <c r="I19" s="4643"/>
      <c r="J19" s="4644"/>
      <c r="K19" s="2901" t="s">
        <v>12275</v>
      </c>
      <c r="L19" s="2902">
        <v>245.87100000000001</v>
      </c>
      <c r="M19" s="2901" t="s">
        <v>12276</v>
      </c>
      <c r="N19" s="2903">
        <v>424.9</v>
      </c>
      <c r="O19" s="2913" t="s">
        <v>12277</v>
      </c>
      <c r="P19" s="2917">
        <v>762.68700000000001</v>
      </c>
    </row>
    <row r="20" spans="1:16">
      <c r="A20" s="2914" t="s">
        <v>8176</v>
      </c>
      <c r="B20" s="2915">
        <v>1.4390000000000001</v>
      </c>
      <c r="C20" s="2915">
        <v>1.595</v>
      </c>
      <c r="D20" s="2915">
        <v>0.443</v>
      </c>
      <c r="E20" s="2915">
        <v>0.49099999999999999</v>
      </c>
      <c r="F20" s="2916">
        <v>0.25700000000000001</v>
      </c>
      <c r="G20" s="4649"/>
      <c r="H20" s="4642"/>
      <c r="I20" s="4642"/>
      <c r="J20" s="4645"/>
      <c r="K20" s="2904" t="s">
        <v>12278</v>
      </c>
      <c r="L20" s="2905">
        <v>259.37599999999998</v>
      </c>
      <c r="M20" s="2901" t="s">
        <v>12279</v>
      </c>
      <c r="N20" s="2903">
        <v>467.10300000000001</v>
      </c>
      <c r="O20" s="2918"/>
      <c r="P20" s="3162" t="s">
        <v>12708</v>
      </c>
    </row>
    <row r="21" spans="1:16">
      <c r="A21" s="2914" t="s">
        <v>8177</v>
      </c>
      <c r="B21" s="2915">
        <v>2.573</v>
      </c>
      <c r="C21" s="2919">
        <v>2.85</v>
      </c>
      <c r="D21" s="2915">
        <v>1.016</v>
      </c>
      <c r="E21" s="2915">
        <v>1.127</v>
      </c>
      <c r="F21" s="2916">
        <v>0.46700000000000003</v>
      </c>
      <c r="G21" s="4639" t="s">
        <v>12280</v>
      </c>
      <c r="H21" s="4640"/>
      <c r="I21" s="4640"/>
      <c r="J21" s="4640"/>
      <c r="K21" s="4640"/>
      <c r="L21" s="4641"/>
      <c r="M21" s="2913" t="s">
        <v>12281</v>
      </c>
      <c r="N21" s="2917">
        <v>509.30399999999997</v>
      </c>
      <c r="O21" s="2918"/>
      <c r="P21" s="2897"/>
    </row>
    <row r="22" spans="1:16">
      <c r="A22" s="2914" t="s">
        <v>8178</v>
      </c>
      <c r="B22" s="2915">
        <v>5.57</v>
      </c>
      <c r="C22" s="2915">
        <v>6.173</v>
      </c>
      <c r="D22" s="2915">
        <v>1.829</v>
      </c>
      <c r="E22" s="2915">
        <v>2.0270000000000001</v>
      </c>
      <c r="F22" s="2916">
        <v>1.0669999999999999</v>
      </c>
      <c r="G22" s="2920" t="s">
        <v>12282</v>
      </c>
      <c r="H22" s="2921">
        <v>40.5</v>
      </c>
      <c r="I22" s="2922">
        <v>0.16</v>
      </c>
      <c r="J22" s="2920" t="s">
        <v>8189</v>
      </c>
      <c r="K22" s="2923">
        <v>1998</v>
      </c>
      <c r="L22" s="2924">
        <v>4</v>
      </c>
      <c r="M22" s="4650" t="s">
        <v>12283</v>
      </c>
      <c r="N22" s="4652"/>
      <c r="O22" s="2918"/>
      <c r="P22" s="2897"/>
    </row>
    <row r="23" spans="1:16">
      <c r="A23" s="2914" t="s">
        <v>8179</v>
      </c>
      <c r="B23" s="2915">
        <v>10.282</v>
      </c>
      <c r="C23" s="2915">
        <v>11.395</v>
      </c>
      <c r="D23" s="2915">
        <v>3.573</v>
      </c>
      <c r="E23" s="2915">
        <v>3.96</v>
      </c>
      <c r="F23" s="2916">
        <v>2.0539999999999998</v>
      </c>
      <c r="G23" s="2925" t="s">
        <v>12284</v>
      </c>
      <c r="H23" s="2926">
        <v>77.900000000000006</v>
      </c>
      <c r="I23" s="2927">
        <v>0.25</v>
      </c>
      <c r="J23" s="2925" t="s">
        <v>812</v>
      </c>
      <c r="K23" s="2928">
        <v>3070</v>
      </c>
      <c r="L23" s="2929">
        <v>6.3</v>
      </c>
      <c r="M23" s="2930" t="s">
        <v>12285</v>
      </c>
      <c r="N23" s="2931">
        <v>5</v>
      </c>
      <c r="O23" s="2918"/>
      <c r="P23" s="2897"/>
    </row>
    <row r="24" spans="1:16">
      <c r="A24" s="2914" t="s">
        <v>8180</v>
      </c>
      <c r="B24" s="2915">
        <v>15.709</v>
      </c>
      <c r="C24" s="2915">
        <v>17.41</v>
      </c>
      <c r="D24" s="2915">
        <v>6.2729999999999997</v>
      </c>
      <c r="E24" s="2915">
        <v>6.9530000000000003</v>
      </c>
      <c r="F24" s="2916">
        <v>3.49</v>
      </c>
      <c r="G24" s="2925" t="s">
        <v>12286</v>
      </c>
      <c r="H24" s="2926">
        <v>131.69999999999999</v>
      </c>
      <c r="I24" s="2927">
        <v>0.4</v>
      </c>
      <c r="J24" s="2925" t="s">
        <v>8190</v>
      </c>
      <c r="K24" s="2928">
        <v>4947</v>
      </c>
      <c r="L24" s="2929">
        <v>8</v>
      </c>
      <c r="M24" s="2932" t="s">
        <v>12287</v>
      </c>
      <c r="N24" s="2933">
        <v>13.4</v>
      </c>
      <c r="O24" s="2918"/>
      <c r="P24" s="2897"/>
    </row>
    <row r="25" spans="1:16">
      <c r="A25" s="2914" t="s">
        <v>8181</v>
      </c>
      <c r="B25" s="2915">
        <v>25.288</v>
      </c>
      <c r="C25" s="2915">
        <v>28.026</v>
      </c>
      <c r="D25" s="2915">
        <v>8.6159999999999997</v>
      </c>
      <c r="E25" s="2915">
        <v>9.5489999999999995</v>
      </c>
      <c r="F25" s="2916">
        <v>5.4770000000000003</v>
      </c>
      <c r="G25" s="2925" t="s">
        <v>12288</v>
      </c>
      <c r="H25" s="2926">
        <v>233.7</v>
      </c>
      <c r="I25" s="2927">
        <v>0.63</v>
      </c>
      <c r="J25" s="2925" t="s">
        <v>12067</v>
      </c>
      <c r="K25" s="2928">
        <v>7155</v>
      </c>
      <c r="L25" s="2929">
        <v>10</v>
      </c>
      <c r="M25" s="2932" t="s">
        <v>6700</v>
      </c>
      <c r="N25" s="2933">
        <v>22.6</v>
      </c>
      <c r="O25" s="2918"/>
      <c r="P25" s="2897"/>
    </row>
    <row r="26" spans="1:16">
      <c r="A26" s="2914" t="s">
        <v>8182</v>
      </c>
      <c r="B26" s="2915">
        <v>37.758000000000003</v>
      </c>
      <c r="C26" s="2915">
        <v>41.845999999999997</v>
      </c>
      <c r="D26" s="2915">
        <v>11.301</v>
      </c>
      <c r="E26" s="2915">
        <v>12.525</v>
      </c>
      <c r="F26" s="2916">
        <v>8.1020000000000003</v>
      </c>
      <c r="G26" s="2925" t="s">
        <v>8184</v>
      </c>
      <c r="H26" s="2926">
        <v>385.2</v>
      </c>
      <c r="I26" s="2927">
        <v>1</v>
      </c>
      <c r="J26" s="2925" t="s">
        <v>12069</v>
      </c>
      <c r="K26" s="2928">
        <v>10382</v>
      </c>
      <c r="L26" s="2929">
        <v>16</v>
      </c>
      <c r="M26" s="2932" t="s">
        <v>6701</v>
      </c>
      <c r="N26" s="2933">
        <v>45.2</v>
      </c>
      <c r="O26" s="2918"/>
      <c r="P26" s="2897"/>
    </row>
    <row r="27" spans="1:16">
      <c r="A27" s="2914" t="s">
        <v>8184</v>
      </c>
      <c r="B27" s="2915">
        <v>71.739999999999995</v>
      </c>
      <c r="C27" s="2915">
        <v>79.507999999999996</v>
      </c>
      <c r="D27" s="2915">
        <v>17.164000000000001</v>
      </c>
      <c r="E27" s="2915">
        <v>19.023</v>
      </c>
      <c r="F27" s="2916">
        <v>14.968</v>
      </c>
      <c r="G27" s="2925" t="s">
        <v>8186</v>
      </c>
      <c r="H27" s="2926">
        <v>705.3</v>
      </c>
      <c r="I27" s="2927">
        <v>1.6</v>
      </c>
      <c r="J27" s="2925" t="s">
        <v>12289</v>
      </c>
      <c r="K27" s="2928">
        <v>17758</v>
      </c>
      <c r="L27" s="2929">
        <v>20</v>
      </c>
      <c r="M27" s="2932" t="s">
        <v>6703</v>
      </c>
      <c r="N27" s="2933">
        <v>79.2</v>
      </c>
      <c r="O27" s="2918"/>
      <c r="P27" s="2897"/>
    </row>
    <row r="28" spans="1:16">
      <c r="A28" s="2934" t="s">
        <v>8186</v>
      </c>
      <c r="B28" s="2935">
        <v>123.423</v>
      </c>
      <c r="C28" s="2935">
        <v>136.78800000000001</v>
      </c>
      <c r="D28" s="2935">
        <v>32.331000000000003</v>
      </c>
      <c r="E28" s="2935">
        <v>35.832000000000001</v>
      </c>
      <c r="F28" s="2936">
        <v>26.094999999999999</v>
      </c>
      <c r="G28" s="2937" t="s">
        <v>8188</v>
      </c>
      <c r="H28" s="2938">
        <v>1205</v>
      </c>
      <c r="I28" s="2939">
        <v>2.5</v>
      </c>
      <c r="J28" s="2937" t="s">
        <v>12290</v>
      </c>
      <c r="K28" s="2938">
        <v>25892</v>
      </c>
      <c r="L28" s="2940">
        <v>25</v>
      </c>
      <c r="M28" s="2941">
        <v>1</v>
      </c>
      <c r="N28" s="2917"/>
      <c r="O28" s="2918"/>
      <c r="P28" s="2897"/>
    </row>
    <row r="29" spans="1:16">
      <c r="A29" s="4654" t="s">
        <v>12291</v>
      </c>
      <c r="B29" s="4655"/>
      <c r="C29" s="4655"/>
      <c r="D29" s="4655"/>
      <c r="E29" s="4655"/>
      <c r="F29" s="4655"/>
      <c r="G29" s="4655"/>
      <c r="H29" s="4655"/>
      <c r="I29" s="4655"/>
      <c r="J29" s="4655"/>
      <c r="K29" s="4655"/>
      <c r="L29" s="4655"/>
      <c r="M29" s="4655"/>
      <c r="N29" s="4656"/>
      <c r="O29" s="2918"/>
      <c r="P29" s="2897"/>
    </row>
    <row r="30" spans="1:16">
      <c r="A30" s="2898" t="s">
        <v>12158</v>
      </c>
      <c r="B30" s="2931">
        <v>11.2</v>
      </c>
      <c r="C30" s="2898" t="s">
        <v>12151</v>
      </c>
      <c r="D30" s="2931">
        <v>21.3</v>
      </c>
      <c r="E30" s="2898" t="s">
        <v>12292</v>
      </c>
      <c r="F30" s="2931">
        <v>35.200000000000003</v>
      </c>
      <c r="G30" s="2898" t="s">
        <v>12293</v>
      </c>
      <c r="H30" s="2931">
        <v>60.5</v>
      </c>
      <c r="I30" s="2898" t="s">
        <v>12294</v>
      </c>
      <c r="J30" s="2931">
        <v>86.2</v>
      </c>
      <c r="K30" s="2898" t="s">
        <v>12295</v>
      </c>
      <c r="L30" s="2931">
        <v>160.9</v>
      </c>
      <c r="M30" s="2898" t="s">
        <v>12296</v>
      </c>
      <c r="N30" s="2931">
        <v>283.60000000000002</v>
      </c>
      <c r="O30" s="2918"/>
      <c r="P30" s="2897"/>
    </row>
    <row r="31" spans="1:16">
      <c r="A31" s="2901" t="s">
        <v>12297</v>
      </c>
      <c r="B31" s="2933">
        <v>12.6</v>
      </c>
      <c r="C31" s="2901" t="s">
        <v>12298</v>
      </c>
      <c r="D31" s="2933">
        <v>23.9</v>
      </c>
      <c r="E31" s="2901" t="s">
        <v>12299</v>
      </c>
      <c r="F31" s="2933">
        <v>38.799999999999997</v>
      </c>
      <c r="G31" s="2901" t="s">
        <v>12300</v>
      </c>
      <c r="H31" s="2933">
        <v>65.900000000000006</v>
      </c>
      <c r="I31" s="2901" t="s">
        <v>12301</v>
      </c>
      <c r="J31" s="2933">
        <v>93.1</v>
      </c>
      <c r="K31" s="2901" t="s">
        <v>12302</v>
      </c>
      <c r="L31" s="2933">
        <v>171.4</v>
      </c>
      <c r="M31" s="2901" t="s">
        <v>12303</v>
      </c>
      <c r="N31" s="2933">
        <f>N30+15</f>
        <v>298.60000000000002</v>
      </c>
      <c r="O31" s="2942"/>
      <c r="P31" s="2897"/>
    </row>
    <row r="32" spans="1:16">
      <c r="A32" s="2901" t="s">
        <v>12304</v>
      </c>
      <c r="B32" s="2933">
        <v>14.2</v>
      </c>
      <c r="C32" s="2901" t="s">
        <v>12305</v>
      </c>
      <c r="D32" s="2933">
        <v>26.5</v>
      </c>
      <c r="E32" s="2901" t="s">
        <v>12306</v>
      </c>
      <c r="F32" s="2933">
        <v>42.4</v>
      </c>
      <c r="G32" s="2901" t="s">
        <v>12307</v>
      </c>
      <c r="H32" s="2933">
        <v>71.7</v>
      </c>
      <c r="I32" s="2901" t="s">
        <v>12308</v>
      </c>
      <c r="J32" s="2933">
        <v>99.6</v>
      </c>
      <c r="K32" s="2901" t="s">
        <v>12309</v>
      </c>
      <c r="L32" s="2933">
        <v>181.9</v>
      </c>
      <c r="M32" s="2901" t="s">
        <v>12310</v>
      </c>
      <c r="N32" s="2933">
        <f>N31+15</f>
        <v>313.60000000000002</v>
      </c>
      <c r="O32" s="2942"/>
      <c r="P32" s="2897"/>
    </row>
    <row r="33" spans="1:16">
      <c r="A33" s="2901" t="s">
        <v>12311</v>
      </c>
      <c r="B33" s="2933">
        <v>15.8</v>
      </c>
      <c r="C33" s="2901" t="s">
        <v>12312</v>
      </c>
      <c r="D33" s="2933">
        <v>29.1</v>
      </c>
      <c r="E33" s="2901" t="s">
        <v>12313</v>
      </c>
      <c r="F33" s="2933">
        <v>46</v>
      </c>
      <c r="G33" s="2901" t="s">
        <v>12314</v>
      </c>
      <c r="H33" s="2933">
        <v>77.2</v>
      </c>
      <c r="I33" s="2901" t="s">
        <v>12315</v>
      </c>
      <c r="J33" s="2933">
        <v>106.6</v>
      </c>
      <c r="K33" s="2901" t="s">
        <v>12316</v>
      </c>
      <c r="L33" s="2933">
        <f>L32+10.5</f>
        <v>192.4</v>
      </c>
      <c r="M33" s="2901" t="s">
        <v>12317</v>
      </c>
      <c r="N33" s="2933">
        <f>N32+15</f>
        <v>328.6</v>
      </c>
      <c r="O33" s="2942"/>
      <c r="P33" s="2897"/>
    </row>
    <row r="34" spans="1:16">
      <c r="A34" s="2901" t="s">
        <v>12318</v>
      </c>
      <c r="B34" s="2933">
        <v>17.399999999999999</v>
      </c>
      <c r="C34" s="2901" t="s">
        <v>12319</v>
      </c>
      <c r="D34" s="2933">
        <v>31.7</v>
      </c>
      <c r="E34" s="2901" t="s">
        <v>12320</v>
      </c>
      <c r="F34" s="2933">
        <v>49.6</v>
      </c>
      <c r="G34" s="2901" t="s">
        <v>12321</v>
      </c>
      <c r="H34" s="2933">
        <v>83.2</v>
      </c>
      <c r="I34" s="2901" t="s">
        <v>12322</v>
      </c>
      <c r="J34" s="2933">
        <v>113</v>
      </c>
      <c r="K34" s="2901" t="s">
        <v>12323</v>
      </c>
      <c r="L34" s="2933">
        <f>L33+10.5</f>
        <v>202.9</v>
      </c>
      <c r="M34" s="2901" t="s">
        <v>12324</v>
      </c>
      <c r="N34" s="2933">
        <f>N33+15</f>
        <v>343.6</v>
      </c>
      <c r="O34" s="2918"/>
      <c r="P34" s="2897"/>
    </row>
    <row r="35" spans="1:16">
      <c r="A35" s="2901" t="s">
        <v>12325</v>
      </c>
      <c r="B35" s="2933">
        <v>19</v>
      </c>
      <c r="C35" s="2901" t="s">
        <v>12326</v>
      </c>
      <c r="D35" s="2933">
        <v>34.299999999999997</v>
      </c>
      <c r="E35" s="2901" t="s">
        <v>12327</v>
      </c>
      <c r="F35" s="2933">
        <v>56.8</v>
      </c>
      <c r="G35" s="2901" t="s">
        <v>12328</v>
      </c>
      <c r="H35" s="2933">
        <v>94.3</v>
      </c>
      <c r="I35" s="2901" t="s">
        <v>12329</v>
      </c>
      <c r="J35" s="2933">
        <v>120</v>
      </c>
      <c r="K35" s="2901" t="s">
        <v>12330</v>
      </c>
      <c r="L35" s="2933">
        <f>L34+10.5</f>
        <v>213.4</v>
      </c>
      <c r="M35" s="2901" t="s">
        <v>12331</v>
      </c>
      <c r="N35" s="2933">
        <f>N34+30</f>
        <v>373.6</v>
      </c>
      <c r="O35" s="2918"/>
      <c r="P35" s="2897"/>
    </row>
    <row r="36" spans="1:16">
      <c r="A36" s="2913" t="s">
        <v>12332</v>
      </c>
      <c r="B36" s="2943">
        <v>20.6</v>
      </c>
      <c r="C36" s="2901" t="s">
        <v>12333</v>
      </c>
      <c r="D36" s="2933">
        <v>36.9</v>
      </c>
      <c r="E36" s="2901" t="s">
        <v>12334</v>
      </c>
      <c r="F36" s="2933">
        <v>64</v>
      </c>
      <c r="G36" s="2901" t="s">
        <v>12335</v>
      </c>
      <c r="H36" s="2933">
        <v>105.6</v>
      </c>
      <c r="I36" s="2901" t="s">
        <v>12336</v>
      </c>
      <c r="J36" s="2933">
        <v>126.5</v>
      </c>
      <c r="K36" s="2901" t="s">
        <v>12337</v>
      </c>
      <c r="L36" s="2933">
        <f>L35+10.5</f>
        <v>223.9</v>
      </c>
      <c r="M36" s="2901" t="s">
        <v>12338</v>
      </c>
      <c r="N36" s="2933">
        <f>N35+30</f>
        <v>403.6</v>
      </c>
      <c r="O36" s="2918"/>
      <c r="P36" s="2897"/>
    </row>
    <row r="37" spans="1:16">
      <c r="A37" s="4643"/>
      <c r="B37" s="4643"/>
      <c r="C37" s="2913" t="s">
        <v>12339</v>
      </c>
      <c r="D37" s="2943">
        <v>42.1</v>
      </c>
      <c r="E37" s="2901" t="s">
        <v>12340</v>
      </c>
      <c r="F37" s="2933">
        <v>71.2</v>
      </c>
      <c r="G37" s="2901" t="s">
        <v>12341</v>
      </c>
      <c r="H37" s="2933">
        <v>116.8</v>
      </c>
      <c r="I37" s="2901" t="s">
        <v>12342</v>
      </c>
      <c r="J37" s="2933">
        <v>133.4</v>
      </c>
      <c r="K37" s="2901" t="s">
        <v>12343</v>
      </c>
      <c r="L37" s="2933">
        <f>L36+21</f>
        <v>244.9</v>
      </c>
      <c r="M37" s="2913" t="s">
        <v>12344</v>
      </c>
      <c r="N37" s="2943">
        <f>N36+30</f>
        <v>433.6</v>
      </c>
      <c r="O37" s="2918"/>
      <c r="P37" s="2897"/>
    </row>
    <row r="38" spans="1:16">
      <c r="A38" s="4642"/>
      <c r="B38" s="4642"/>
      <c r="C38" s="4651"/>
      <c r="D38" s="4652"/>
      <c r="E38" s="2901" t="s">
        <v>12345</v>
      </c>
      <c r="F38" s="2933">
        <v>78.400000000000006</v>
      </c>
      <c r="G38" s="2901" t="s">
        <v>12346</v>
      </c>
      <c r="H38" s="2933">
        <v>128</v>
      </c>
      <c r="I38" s="2901" t="s">
        <v>12347</v>
      </c>
      <c r="J38" s="2933">
        <v>146.80000000000001</v>
      </c>
      <c r="K38" s="2901" t="s">
        <v>12348</v>
      </c>
      <c r="L38" s="2933">
        <f>L37+21</f>
        <v>265.89999999999998</v>
      </c>
      <c r="M38" s="4646"/>
      <c r="N38" s="4643"/>
      <c r="O38" s="2918"/>
      <c r="P38" s="2897"/>
    </row>
    <row r="39" spans="1:16">
      <c r="A39" s="4657" t="s">
        <v>12349</v>
      </c>
      <c r="B39" s="4651"/>
      <c r="C39" s="4651"/>
      <c r="D39" s="4652"/>
      <c r="E39" s="2901" t="s">
        <v>12350</v>
      </c>
      <c r="F39" s="2933">
        <v>85.6</v>
      </c>
      <c r="G39" s="2901" t="s">
        <v>12351</v>
      </c>
      <c r="H39" s="2933">
        <v>139.19999999999999</v>
      </c>
      <c r="I39" s="2901" t="s">
        <v>12352</v>
      </c>
      <c r="J39" s="2933">
        <v>160.30000000000001</v>
      </c>
      <c r="K39" s="2904" t="s">
        <v>12353</v>
      </c>
      <c r="L39" s="2944">
        <f>L38+21</f>
        <v>286.89999999999998</v>
      </c>
      <c r="M39" s="4649"/>
      <c r="N39" s="4642"/>
      <c r="O39" s="2918"/>
      <c r="P39" s="3162" t="s">
        <v>12708</v>
      </c>
    </row>
    <row r="40" spans="1:16">
      <c r="A40" s="2945" t="s">
        <v>8178</v>
      </c>
      <c r="B40" s="2931">
        <v>10.1</v>
      </c>
      <c r="C40" s="2945" t="s">
        <v>8182</v>
      </c>
      <c r="D40" s="2931">
        <v>51.6</v>
      </c>
      <c r="E40" s="2907" t="s">
        <v>12354</v>
      </c>
      <c r="F40" s="2943">
        <v>92.8</v>
      </c>
      <c r="G40" s="2901" t="s">
        <v>12355</v>
      </c>
      <c r="H40" s="2933">
        <v>150.4</v>
      </c>
      <c r="I40" s="2913" t="s">
        <v>12356</v>
      </c>
      <c r="J40" s="2943">
        <v>173.7</v>
      </c>
      <c r="K40" s="4650" t="s">
        <v>12357</v>
      </c>
      <c r="L40" s="4651"/>
      <c r="M40" s="4651"/>
      <c r="N40" s="4652"/>
      <c r="O40" s="2918"/>
      <c r="P40" s="2897"/>
    </row>
    <row r="41" spans="1:16">
      <c r="A41" s="2946" t="s">
        <v>8179</v>
      </c>
      <c r="B41" s="2933">
        <v>17.8</v>
      </c>
      <c r="C41" s="2946" t="s">
        <v>8184</v>
      </c>
      <c r="D41" s="2933">
        <v>93.4</v>
      </c>
      <c r="E41" s="4646"/>
      <c r="F41" s="4644"/>
      <c r="G41" s="2901" t="s">
        <v>12358</v>
      </c>
      <c r="H41" s="2933">
        <v>161.6</v>
      </c>
      <c r="I41" s="4646"/>
      <c r="J41" s="4644"/>
      <c r="K41" s="2947" t="s">
        <v>8188</v>
      </c>
      <c r="L41" s="2948">
        <v>365.4</v>
      </c>
      <c r="M41" s="2949" t="s">
        <v>8190</v>
      </c>
      <c r="N41" s="2931">
        <v>1497.8</v>
      </c>
      <c r="O41" s="2918"/>
      <c r="P41" s="2897"/>
    </row>
    <row r="42" spans="1:16">
      <c r="A42" s="2946" t="s">
        <v>8180</v>
      </c>
      <c r="B42" s="2933">
        <v>25.7</v>
      </c>
      <c r="C42" s="2946" t="s">
        <v>8186</v>
      </c>
      <c r="D42" s="2933">
        <v>168.1</v>
      </c>
      <c r="E42" s="4647"/>
      <c r="F42" s="4653"/>
      <c r="G42" s="2901" t="s">
        <v>12359</v>
      </c>
      <c r="H42" s="2933">
        <v>172.8</v>
      </c>
      <c r="I42" s="4647"/>
      <c r="J42" s="4653"/>
      <c r="K42" s="2950" t="s">
        <v>8189</v>
      </c>
      <c r="L42" s="2951">
        <v>639.6</v>
      </c>
      <c r="M42" s="2952" t="s">
        <v>12067</v>
      </c>
      <c r="N42" s="2933">
        <v>2235.5</v>
      </c>
      <c r="O42" s="2918"/>
      <c r="P42" s="2897"/>
    </row>
    <row r="43" spans="1:16">
      <c r="A43" s="2953" t="s">
        <v>8181</v>
      </c>
      <c r="B43" s="2943">
        <v>37.200000000000003</v>
      </c>
      <c r="C43" s="2913"/>
      <c r="D43" s="2917"/>
      <c r="E43" s="4649"/>
      <c r="F43" s="4645"/>
      <c r="G43" s="2904" t="s">
        <v>12360</v>
      </c>
      <c r="H43" s="2944">
        <v>184</v>
      </c>
      <c r="I43" s="4649"/>
      <c r="J43" s="4645"/>
      <c r="K43" s="2954" t="s">
        <v>812</v>
      </c>
      <c r="L43" s="2955">
        <v>991.3</v>
      </c>
      <c r="M43" s="2956" t="s">
        <v>12069</v>
      </c>
      <c r="N43" s="2943">
        <v>3061.5</v>
      </c>
      <c r="O43" s="2918"/>
      <c r="P43" s="2897"/>
    </row>
    <row r="44" spans="1:16">
      <c r="A44" s="4654" t="s">
        <v>12361</v>
      </c>
      <c r="B44" s="4655"/>
      <c r="C44" s="4655"/>
      <c r="D44" s="4655"/>
      <c r="E44" s="4655"/>
      <c r="F44" s="4655"/>
      <c r="G44" s="4655"/>
      <c r="H44" s="4655"/>
      <c r="I44" s="4655"/>
      <c r="J44" s="4655"/>
      <c r="K44" s="4655"/>
      <c r="L44" s="4655"/>
      <c r="M44" s="4655"/>
      <c r="N44" s="4656"/>
      <c r="O44" s="2918"/>
      <c r="P44" s="2897"/>
    </row>
    <row r="45" spans="1:16">
      <c r="A45" s="2898" t="s">
        <v>12318</v>
      </c>
      <c r="B45" s="2931">
        <v>17.5</v>
      </c>
      <c r="C45" s="2898" t="s">
        <v>12319</v>
      </c>
      <c r="D45" s="2931">
        <v>32.9</v>
      </c>
      <c r="E45" s="2898" t="s">
        <v>12320</v>
      </c>
      <c r="F45" s="2931">
        <v>51.6</v>
      </c>
      <c r="G45" s="2898" t="s">
        <v>12328</v>
      </c>
      <c r="H45" s="2948">
        <v>87.4</v>
      </c>
      <c r="I45" s="2898" t="s">
        <v>12322</v>
      </c>
      <c r="J45" s="2931">
        <v>113.5</v>
      </c>
      <c r="K45" s="2898" t="s">
        <v>12330</v>
      </c>
      <c r="L45" s="2931">
        <v>214</v>
      </c>
      <c r="M45" s="2898" t="s">
        <v>12331</v>
      </c>
      <c r="N45" s="2931">
        <v>375.8</v>
      </c>
      <c r="O45" s="2918"/>
      <c r="P45" s="2897"/>
    </row>
    <row r="46" spans="1:16">
      <c r="A46" s="2901" t="s">
        <v>12325</v>
      </c>
      <c r="B46" s="2933">
        <v>19.2</v>
      </c>
      <c r="C46" s="2901" t="s">
        <v>12326</v>
      </c>
      <c r="D46" s="2933">
        <v>35.9</v>
      </c>
      <c r="E46" s="2901" t="s">
        <v>12327</v>
      </c>
      <c r="F46" s="2933">
        <v>56.1</v>
      </c>
      <c r="G46" s="2901" t="s">
        <v>12362</v>
      </c>
      <c r="H46" s="2951">
        <v>92.5</v>
      </c>
      <c r="I46" s="2901" t="s">
        <v>12202</v>
      </c>
      <c r="J46" s="2933">
        <v>120.4</v>
      </c>
      <c r="K46" s="2901" t="s">
        <v>12337</v>
      </c>
      <c r="L46" s="2933">
        <v>224.7</v>
      </c>
      <c r="M46" s="2901" t="s">
        <v>12338</v>
      </c>
      <c r="N46" s="2933">
        <v>406.5</v>
      </c>
      <c r="O46" s="2918"/>
      <c r="P46" s="2897"/>
    </row>
    <row r="47" spans="1:16">
      <c r="A47" s="2901" t="s">
        <v>12332</v>
      </c>
      <c r="B47" s="2933">
        <v>20.9</v>
      </c>
      <c r="C47" s="2901" t="s">
        <v>12333</v>
      </c>
      <c r="D47" s="2933">
        <v>39</v>
      </c>
      <c r="E47" s="2901" t="s">
        <v>12334</v>
      </c>
      <c r="F47" s="2933">
        <v>64.900000000000006</v>
      </c>
      <c r="G47" s="2901" t="s">
        <v>12335</v>
      </c>
      <c r="H47" s="2951">
        <v>97.6</v>
      </c>
      <c r="I47" s="2901" t="s">
        <v>12336</v>
      </c>
      <c r="J47" s="2933">
        <v>127.3</v>
      </c>
      <c r="K47" s="2901" t="s">
        <v>12343</v>
      </c>
      <c r="L47" s="2933">
        <v>246.1</v>
      </c>
      <c r="M47" s="2901" t="s">
        <v>12344</v>
      </c>
      <c r="N47" s="2933">
        <v>437.2</v>
      </c>
      <c r="O47" s="2918"/>
      <c r="P47" s="2897"/>
    </row>
    <row r="48" spans="1:16">
      <c r="A48" s="2901" t="s">
        <v>12363</v>
      </c>
      <c r="B48" s="2933">
        <v>24.3</v>
      </c>
      <c r="C48" s="2901" t="s">
        <v>12339</v>
      </c>
      <c r="D48" s="2933">
        <v>45.2</v>
      </c>
      <c r="E48" s="2901" t="s">
        <v>12340</v>
      </c>
      <c r="F48" s="2933">
        <v>73.8</v>
      </c>
      <c r="G48" s="2901" t="s">
        <v>12341</v>
      </c>
      <c r="H48" s="2951">
        <v>107.9</v>
      </c>
      <c r="I48" s="2901" t="s">
        <v>12218</v>
      </c>
      <c r="J48" s="2933">
        <v>134.19999999999999</v>
      </c>
      <c r="K48" s="2901" t="s">
        <v>12348</v>
      </c>
      <c r="L48" s="2933">
        <v>267.5</v>
      </c>
      <c r="M48" s="2901" t="s">
        <v>12364</v>
      </c>
      <c r="N48" s="2933">
        <v>467.9</v>
      </c>
      <c r="O48" s="2918"/>
      <c r="P48" s="2897"/>
    </row>
    <row r="49" spans="1:16">
      <c r="A49" s="2901" t="s">
        <v>12365</v>
      </c>
      <c r="B49" s="2933">
        <v>27.7</v>
      </c>
      <c r="C49" s="2901" t="s">
        <v>12366</v>
      </c>
      <c r="D49" s="2933">
        <v>51.4</v>
      </c>
      <c r="E49" s="2901" t="s">
        <v>12345</v>
      </c>
      <c r="F49" s="2933">
        <v>82.7</v>
      </c>
      <c r="G49" s="2901" t="s">
        <v>12346</v>
      </c>
      <c r="H49" s="2951">
        <f>H48+10.3</f>
        <v>118.2</v>
      </c>
      <c r="I49" s="2901" t="s">
        <v>12226</v>
      </c>
      <c r="J49" s="2933">
        <v>147.9</v>
      </c>
      <c r="K49" s="2901" t="s">
        <v>12353</v>
      </c>
      <c r="L49" s="2933">
        <v>288.89999999999998</v>
      </c>
      <c r="M49" s="2901" t="s">
        <v>12367</v>
      </c>
      <c r="N49" s="2933">
        <v>498.6</v>
      </c>
      <c r="O49" s="2918"/>
      <c r="P49" s="2897"/>
    </row>
    <row r="50" spans="1:16">
      <c r="A50" s="2901" t="s">
        <v>12368</v>
      </c>
      <c r="B50" s="2933">
        <v>31.1</v>
      </c>
      <c r="C50" s="2901" t="s">
        <v>12369</v>
      </c>
      <c r="D50" s="2933">
        <v>57.5</v>
      </c>
      <c r="E50" s="2901" t="s">
        <v>12350</v>
      </c>
      <c r="F50" s="2933">
        <v>91.6</v>
      </c>
      <c r="G50" s="2901" t="s">
        <v>12351</v>
      </c>
      <c r="H50" s="2951">
        <v>128.5</v>
      </c>
      <c r="I50" s="2901" t="s">
        <v>12234</v>
      </c>
      <c r="J50" s="2933">
        <v>161.6</v>
      </c>
      <c r="K50" s="2901" t="s">
        <v>12370</v>
      </c>
      <c r="L50" s="2933">
        <v>310.3</v>
      </c>
      <c r="M50" s="2901" t="s">
        <v>12371</v>
      </c>
      <c r="N50" s="2933">
        <v>529.20000000000005</v>
      </c>
      <c r="O50" s="2918"/>
      <c r="P50" s="2897"/>
    </row>
    <row r="51" spans="1:16">
      <c r="A51" s="2913" t="s">
        <v>12372</v>
      </c>
      <c r="B51" s="2943">
        <v>34.5</v>
      </c>
      <c r="C51" s="2901" t="s">
        <v>12373</v>
      </c>
      <c r="D51" s="2933">
        <v>63.7</v>
      </c>
      <c r="E51" s="2901" t="s">
        <v>12354</v>
      </c>
      <c r="F51" s="2933">
        <v>100.5</v>
      </c>
      <c r="G51" s="2901" t="s">
        <v>12355</v>
      </c>
      <c r="H51" s="2951">
        <v>138.80000000000001</v>
      </c>
      <c r="I51" s="2901" t="s">
        <v>12242</v>
      </c>
      <c r="J51" s="2933">
        <v>175.4</v>
      </c>
      <c r="K51" s="2901" t="s">
        <v>12374</v>
      </c>
      <c r="L51" s="2933">
        <v>331.7</v>
      </c>
      <c r="M51" s="2901" t="s">
        <v>12375</v>
      </c>
      <c r="N51" s="2933">
        <v>559.9</v>
      </c>
      <c r="O51" s="2918"/>
      <c r="P51" s="2897"/>
    </row>
    <row r="52" spans="1:16">
      <c r="A52" s="2918"/>
      <c r="B52" s="2897"/>
      <c r="C52" s="2913" t="s">
        <v>12376</v>
      </c>
      <c r="D52" s="2943">
        <v>69.900000000000006</v>
      </c>
      <c r="E52" s="2901" t="s">
        <v>12377</v>
      </c>
      <c r="F52" s="2933">
        <v>109.3</v>
      </c>
      <c r="G52" s="2901" t="s">
        <v>12358</v>
      </c>
      <c r="H52" s="2951">
        <v>149.1</v>
      </c>
      <c r="I52" s="2901" t="s">
        <v>12249</v>
      </c>
      <c r="J52" s="2933">
        <v>189.1</v>
      </c>
      <c r="K52" s="2901" t="s">
        <v>12378</v>
      </c>
      <c r="L52" s="2933">
        <v>352.2</v>
      </c>
      <c r="M52" s="2901" t="s">
        <v>12379</v>
      </c>
      <c r="N52" s="2933">
        <v>590.6</v>
      </c>
      <c r="O52" s="2918"/>
      <c r="P52" s="2897"/>
    </row>
    <row r="53" spans="1:16">
      <c r="A53" s="2918"/>
      <c r="B53" s="2897"/>
      <c r="C53" s="2918"/>
      <c r="D53" s="2897"/>
      <c r="E53" s="2913" t="s">
        <v>12380</v>
      </c>
      <c r="F53" s="2943">
        <v>118.2</v>
      </c>
      <c r="G53" s="2901" t="s">
        <v>12359</v>
      </c>
      <c r="H53" s="2951">
        <v>159.30000000000001</v>
      </c>
      <c r="I53" s="2901" t="s">
        <v>12256</v>
      </c>
      <c r="J53" s="2933">
        <v>202.8</v>
      </c>
      <c r="K53" s="2901" t="s">
        <v>12381</v>
      </c>
      <c r="L53" s="2933">
        <v>373.6</v>
      </c>
      <c r="M53" s="2901" t="s">
        <v>12382</v>
      </c>
      <c r="N53" s="2933">
        <v>621.29999999999995</v>
      </c>
      <c r="O53" s="2918"/>
      <c r="P53" s="2897"/>
    </row>
    <row r="54" spans="1:16">
      <c r="A54" s="2918"/>
      <c r="B54" s="2897"/>
      <c r="C54" s="2918"/>
      <c r="D54" s="2897"/>
      <c r="E54" s="2918"/>
      <c r="F54" s="2897"/>
      <c r="G54" s="2913" t="s">
        <v>12360</v>
      </c>
      <c r="H54" s="2955">
        <v>169.6</v>
      </c>
      <c r="I54" s="2901" t="s">
        <v>12262</v>
      </c>
      <c r="J54" s="2933">
        <v>216.4</v>
      </c>
      <c r="K54" s="2901" t="s">
        <v>12383</v>
      </c>
      <c r="L54" s="2933">
        <v>595</v>
      </c>
      <c r="M54" s="2901" t="s">
        <v>12384</v>
      </c>
      <c r="N54" s="2933">
        <v>683</v>
      </c>
      <c r="O54" s="2918"/>
      <c r="P54" s="2897"/>
    </row>
    <row r="55" spans="1:16">
      <c r="A55" s="2918"/>
      <c r="B55" s="2897"/>
      <c r="C55" s="2918"/>
      <c r="D55" s="2897"/>
      <c r="E55" s="2918"/>
      <c r="F55" s="2897"/>
      <c r="G55" s="2918"/>
      <c r="H55" s="2897"/>
      <c r="I55" s="2901" t="s">
        <v>12272</v>
      </c>
      <c r="J55" s="2933">
        <v>230.1</v>
      </c>
      <c r="K55" s="2901" t="s">
        <v>12385</v>
      </c>
      <c r="L55" s="2933">
        <v>616.4</v>
      </c>
      <c r="M55" s="2901" t="s">
        <v>12386</v>
      </c>
      <c r="N55" s="2933">
        <v>744.4</v>
      </c>
      <c r="O55" s="2918"/>
      <c r="P55" s="2897"/>
    </row>
    <row r="56" spans="1:16">
      <c r="A56" s="2918"/>
      <c r="B56" s="2897"/>
      <c r="C56" s="2918"/>
      <c r="D56" s="2897"/>
      <c r="E56" s="2918"/>
      <c r="F56" s="2897"/>
      <c r="G56" s="2918"/>
      <c r="H56" s="2897"/>
      <c r="I56" s="2901" t="s">
        <v>12275</v>
      </c>
      <c r="J56" s="2933">
        <v>243.8</v>
      </c>
      <c r="K56" s="2901" t="s">
        <v>12387</v>
      </c>
      <c r="L56" s="2933">
        <v>637.79999999999995</v>
      </c>
      <c r="M56" s="2901" t="s">
        <v>12388</v>
      </c>
      <c r="N56" s="2933">
        <v>805.3</v>
      </c>
      <c r="O56" s="2918"/>
      <c r="P56" s="2897"/>
    </row>
    <row r="57" spans="1:16">
      <c r="A57" s="2918"/>
      <c r="B57" s="2897"/>
      <c r="C57" s="2918"/>
      <c r="D57" s="2897"/>
      <c r="E57" s="2918"/>
      <c r="F57" s="2897"/>
      <c r="G57" s="2918"/>
      <c r="H57" s="2897"/>
      <c r="I57" s="2913" t="s">
        <v>12278</v>
      </c>
      <c r="J57" s="2943">
        <v>257.5</v>
      </c>
      <c r="K57" s="2901" t="s">
        <v>12389</v>
      </c>
      <c r="L57" s="2933">
        <v>659.2</v>
      </c>
      <c r="M57" s="2913" t="s">
        <v>12390</v>
      </c>
      <c r="N57" s="2943">
        <v>866.7</v>
      </c>
      <c r="O57" s="2918"/>
      <c r="P57" s="2897"/>
    </row>
    <row r="58" spans="1:16">
      <c r="A58" s="2918"/>
      <c r="B58" s="2897"/>
      <c r="C58" s="2918"/>
      <c r="D58" s="2897"/>
      <c r="E58" s="2918"/>
      <c r="F58" s="2897"/>
      <c r="G58" s="2918"/>
      <c r="H58" s="2897"/>
      <c r="I58" s="2918"/>
      <c r="J58" s="2897"/>
      <c r="K58" s="2901" t="s">
        <v>12391</v>
      </c>
      <c r="L58" s="2933">
        <v>680.6</v>
      </c>
      <c r="M58" s="2918"/>
      <c r="N58" s="2897"/>
      <c r="O58" s="2918"/>
      <c r="P58" s="2897"/>
    </row>
    <row r="59" spans="1:16">
      <c r="A59" s="2918"/>
      <c r="B59" s="2897"/>
      <c r="C59" s="2918"/>
      <c r="D59" s="2897"/>
      <c r="E59" s="2918"/>
      <c r="F59" s="2897"/>
      <c r="G59" s="2918"/>
      <c r="H59" s="2897"/>
      <c r="I59" s="2918"/>
      <c r="J59" s="2897"/>
      <c r="K59" s="2913" t="s">
        <v>12392</v>
      </c>
      <c r="L59" s="2943">
        <v>701</v>
      </c>
      <c r="M59" s="2918"/>
      <c r="N59" s="2897"/>
      <c r="O59" s="2918"/>
      <c r="P59" s="3162" t="s">
        <v>12708</v>
      </c>
    </row>
  </sheetData>
  <mergeCells count="16">
    <mergeCell ref="K40:N40"/>
    <mergeCell ref="E41:F43"/>
    <mergeCell ref="I41:J43"/>
    <mergeCell ref="A44:N44"/>
    <mergeCell ref="M22:N22"/>
    <mergeCell ref="A29:N29"/>
    <mergeCell ref="A37:B38"/>
    <mergeCell ref="C38:D38"/>
    <mergeCell ref="M38:N39"/>
    <mergeCell ref="A39:D39"/>
    <mergeCell ref="G21:L21"/>
    <mergeCell ref="A1:O1"/>
    <mergeCell ref="A15:B16"/>
    <mergeCell ref="A17:F17"/>
    <mergeCell ref="G18:H20"/>
    <mergeCell ref="I19:J20"/>
  </mergeCells>
  <phoneticPr fontId="378" type="noConversion"/>
  <hyperlinks>
    <hyperlink ref="P20" location="总目录!A1" display="返回目录"/>
    <hyperlink ref="P39" location="总目录!A1" display="返回目录"/>
    <hyperlink ref="P59" location="总目录!A1" display="返回目录"/>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7"/>
  <sheetViews>
    <sheetView workbookViewId="0">
      <selection activeCell="O1" sqref="O1"/>
    </sheetView>
  </sheetViews>
  <sheetFormatPr defaultRowHeight="16.5"/>
  <sheetData>
    <row r="1" spans="1:15" ht="25.5">
      <c r="A1" s="2957" t="s">
        <v>12393</v>
      </c>
      <c r="B1" s="2958"/>
      <c r="C1" s="2958"/>
      <c r="D1" s="2958"/>
      <c r="E1" s="2958"/>
      <c r="F1" s="2958"/>
      <c r="G1" s="2958"/>
      <c r="H1" s="2958"/>
      <c r="I1" s="2958"/>
      <c r="J1" s="2958"/>
      <c r="K1" s="2958"/>
      <c r="L1" s="2958"/>
      <c r="M1" s="2958"/>
      <c r="O1" s="3162" t="s">
        <v>12708</v>
      </c>
    </row>
    <row r="2" spans="1:15" ht="45.75">
      <c r="A2" s="2959" t="s">
        <v>12394</v>
      </c>
      <c r="B2" s="2958"/>
      <c r="C2" s="2959"/>
      <c r="D2" s="2959"/>
      <c r="E2" s="2959"/>
      <c r="F2" s="2959"/>
      <c r="G2" s="2960"/>
      <c r="H2" s="2960"/>
      <c r="I2" s="2960"/>
      <c r="J2" s="2960"/>
      <c r="K2" s="2960"/>
      <c r="L2" s="2960"/>
      <c r="M2" s="2960"/>
    </row>
    <row r="3" spans="1:15" ht="20.25">
      <c r="A3" s="2961" t="s">
        <v>12395</v>
      </c>
      <c r="B3" s="2962">
        <v>2</v>
      </c>
      <c r="C3" s="2963"/>
      <c r="D3" s="2963"/>
      <c r="E3" s="2963"/>
      <c r="F3" s="2963"/>
      <c r="G3" s="2964"/>
      <c r="H3" s="2964"/>
      <c r="I3" s="2964"/>
      <c r="J3" s="2964"/>
      <c r="K3" s="2964"/>
      <c r="L3" s="2964"/>
      <c r="M3" s="2964"/>
    </row>
    <row r="4" spans="1:15" ht="20.25">
      <c r="A4" s="2961" t="s">
        <v>12396</v>
      </c>
      <c r="B4" s="2962">
        <v>100</v>
      </c>
      <c r="C4" s="2963"/>
      <c r="D4" s="2963"/>
      <c r="E4" s="2963"/>
      <c r="F4" s="2963"/>
      <c r="G4" s="2964"/>
      <c r="H4" s="2964"/>
      <c r="I4" s="2964"/>
      <c r="J4" s="2964"/>
      <c r="K4" s="2964"/>
      <c r="L4" s="2964"/>
      <c r="M4" s="2964"/>
    </row>
    <row r="5" spans="1:15" ht="20.25">
      <c r="A5" s="2964" t="s">
        <v>12397</v>
      </c>
      <c r="B5" s="2962">
        <v>20</v>
      </c>
      <c r="C5" s="2963"/>
      <c r="D5" s="2963"/>
      <c r="E5" s="2963"/>
      <c r="F5" s="2963"/>
      <c r="G5" s="2964"/>
      <c r="H5" s="2964"/>
      <c r="I5" s="2964"/>
      <c r="J5" s="2964"/>
      <c r="K5" s="2964"/>
      <c r="L5" s="2964"/>
      <c r="M5" s="2964"/>
    </row>
    <row r="6" spans="1:15" ht="23.25">
      <c r="A6" s="2961" t="s">
        <v>12398</v>
      </c>
      <c r="B6" s="2965">
        <f>B3*B4^2/2/100+B3*B5^2/100</f>
        <v>108</v>
      </c>
      <c r="C6" s="2963"/>
      <c r="D6" s="2963"/>
      <c r="E6" s="2963"/>
      <c r="F6" s="2963"/>
      <c r="G6" s="2964"/>
      <c r="H6" s="2964"/>
      <c r="I6" s="2964"/>
      <c r="J6" s="2964"/>
      <c r="K6" s="2964"/>
      <c r="L6" s="2964"/>
      <c r="M6" s="2964"/>
    </row>
    <row r="7" spans="1:15" ht="45">
      <c r="A7" s="2959" t="s">
        <v>12399</v>
      </c>
      <c r="B7" s="2966"/>
      <c r="C7" s="2959"/>
      <c r="D7" s="2959"/>
      <c r="E7" s="2959"/>
      <c r="F7" s="2959"/>
      <c r="G7" s="2960"/>
      <c r="H7" s="2960"/>
      <c r="I7" s="2960"/>
      <c r="J7" s="2960"/>
      <c r="K7" s="2960"/>
      <c r="L7" s="2960"/>
      <c r="M7" s="2960"/>
    </row>
    <row r="8" spans="1:15" ht="20.25">
      <c r="A8" s="2961" t="s">
        <v>12395</v>
      </c>
      <c r="B8" s="2962">
        <v>1</v>
      </c>
      <c r="C8" s="2967"/>
      <c r="D8" s="2967"/>
      <c r="E8" s="2967"/>
      <c r="F8" s="2967"/>
      <c r="G8" s="2960"/>
      <c r="H8" s="2960"/>
      <c r="I8" s="2960"/>
      <c r="J8" s="2960"/>
      <c r="K8" s="2960"/>
      <c r="L8" s="2960"/>
      <c r="M8" s="2960"/>
    </row>
    <row r="9" spans="1:15" ht="20.25">
      <c r="A9" s="2961" t="s">
        <v>12400</v>
      </c>
      <c r="B9" s="2962">
        <v>100</v>
      </c>
      <c r="C9" s="2967"/>
      <c r="D9" s="2967"/>
      <c r="E9" s="2967"/>
      <c r="F9" s="2967"/>
      <c r="G9" s="2960"/>
      <c r="H9" s="2960"/>
      <c r="I9" s="2960"/>
      <c r="J9" s="2960"/>
      <c r="K9" s="2960"/>
      <c r="L9" s="2960"/>
      <c r="M9" s="2960"/>
    </row>
    <row r="10" spans="1:15" ht="20.25">
      <c r="A10" s="2961" t="s">
        <v>12401</v>
      </c>
      <c r="B10" s="2962">
        <v>80</v>
      </c>
      <c r="C10" s="2967"/>
      <c r="D10" s="2967"/>
      <c r="E10" s="2967"/>
      <c r="F10" s="2967"/>
      <c r="G10" s="2960"/>
      <c r="H10" s="2960"/>
      <c r="I10" s="2960"/>
      <c r="J10" s="2960"/>
      <c r="K10" s="2960"/>
      <c r="L10" s="2960"/>
      <c r="M10" s="2960"/>
    </row>
    <row r="11" spans="1:15" ht="20.25">
      <c r="A11" s="2964" t="s">
        <v>12397</v>
      </c>
      <c r="B11" s="2962">
        <v>20</v>
      </c>
      <c r="C11" s="2967"/>
      <c r="D11" s="2967"/>
      <c r="E11" s="2967"/>
      <c r="F11" s="2967"/>
      <c r="G11" s="2960"/>
      <c r="H11" s="2960"/>
      <c r="I11" s="2960"/>
      <c r="J11" s="2960"/>
      <c r="K11" s="2960"/>
      <c r="L11" s="2960"/>
      <c r="M11" s="2960"/>
    </row>
    <row r="12" spans="1:15" ht="23.25">
      <c r="A12" s="2961" t="s">
        <v>12398</v>
      </c>
      <c r="B12" s="2965">
        <f>B8*(B9^2+B10^2)/2/100+B8*B11^2/100</f>
        <v>86</v>
      </c>
      <c r="C12" s="2967"/>
      <c r="D12" s="2967"/>
      <c r="E12" s="2967"/>
      <c r="F12" s="2967"/>
      <c r="G12" s="2960"/>
      <c r="H12" s="2960"/>
      <c r="I12" s="2960"/>
      <c r="J12" s="2960"/>
      <c r="K12" s="2960"/>
      <c r="L12" s="2960"/>
      <c r="M12" s="2960"/>
    </row>
    <row r="13" spans="1:15" ht="22.5">
      <c r="A13" s="2959" t="s">
        <v>12402</v>
      </c>
      <c r="B13" s="2966"/>
      <c r="C13" s="2959"/>
      <c r="D13" s="2959"/>
      <c r="E13" s="2959"/>
      <c r="F13" s="2959"/>
      <c r="G13" s="2960"/>
      <c r="H13" s="2960"/>
      <c r="I13" s="2960"/>
      <c r="J13" s="2960"/>
      <c r="K13" s="2960"/>
      <c r="L13" s="2960"/>
      <c r="M13" s="2960"/>
    </row>
    <row r="14" spans="1:15" ht="20.25">
      <c r="A14" s="2961" t="s">
        <v>12395</v>
      </c>
      <c r="B14" s="2962">
        <v>0.15</v>
      </c>
      <c r="C14" s="2967"/>
      <c r="D14" s="2967"/>
      <c r="E14" s="2967"/>
      <c r="F14" s="2967"/>
      <c r="G14" s="2960"/>
      <c r="H14" s="2960"/>
      <c r="I14" s="2960"/>
      <c r="J14" s="2960"/>
      <c r="K14" s="2960"/>
      <c r="L14" s="2960"/>
      <c r="M14" s="2960"/>
    </row>
    <row r="15" spans="1:15" ht="20.25">
      <c r="A15" s="2961" t="s">
        <v>12403</v>
      </c>
      <c r="B15" s="2962">
        <v>100</v>
      </c>
      <c r="C15" s="2967"/>
      <c r="D15" s="2967"/>
      <c r="E15" s="2967"/>
      <c r="F15" s="2967"/>
      <c r="G15" s="2960"/>
      <c r="H15" s="2960"/>
      <c r="I15" s="2960"/>
      <c r="J15" s="2960"/>
      <c r="K15" s="2960"/>
      <c r="L15" s="2960"/>
      <c r="M15" s="2960"/>
    </row>
    <row r="16" spans="1:15" ht="20.25">
      <c r="A16" s="2961" t="s">
        <v>12404</v>
      </c>
      <c r="B16" s="2962">
        <v>80</v>
      </c>
      <c r="C16" s="2967"/>
      <c r="D16" s="2967"/>
      <c r="E16" s="2967"/>
      <c r="F16" s="2967"/>
      <c r="G16" s="2960"/>
      <c r="H16" s="2960"/>
      <c r="I16" s="2960"/>
      <c r="J16" s="2960"/>
      <c r="K16" s="2960"/>
      <c r="L16" s="2960"/>
      <c r="M16" s="2960"/>
    </row>
    <row r="17" spans="1:13" ht="20.25">
      <c r="A17" s="2964" t="s">
        <v>12397</v>
      </c>
      <c r="B17" s="2962">
        <v>20</v>
      </c>
      <c r="C17" s="2967"/>
      <c r="D17" s="2967"/>
      <c r="E17" s="2967"/>
      <c r="F17" s="2967"/>
      <c r="G17" s="2960"/>
      <c r="H17" s="2960"/>
      <c r="I17" s="2960"/>
      <c r="J17" s="2960"/>
      <c r="K17" s="2960"/>
      <c r="L17" s="2960"/>
      <c r="M17" s="2960"/>
    </row>
    <row r="18" spans="1:13" ht="23.25">
      <c r="A18" s="2961" t="s">
        <v>12398</v>
      </c>
      <c r="B18" s="2965">
        <f>B14*(B15*B15+B16*B16)/12/100+B14*B17^2/100</f>
        <v>2.65</v>
      </c>
      <c r="C18" s="2967"/>
      <c r="D18" s="2967"/>
      <c r="E18" s="2967"/>
      <c r="F18" s="2967"/>
      <c r="G18" s="2960"/>
      <c r="H18" s="2960"/>
      <c r="I18" s="2960"/>
      <c r="J18" s="2960"/>
      <c r="K18" s="2960"/>
      <c r="L18" s="2960"/>
      <c r="M18" s="2960"/>
    </row>
    <row r="19" spans="1:13" ht="45">
      <c r="A19" s="2959" t="s">
        <v>12405</v>
      </c>
      <c r="B19" s="2966"/>
      <c r="C19" s="2959"/>
      <c r="D19" s="2959"/>
      <c r="E19" s="2959"/>
      <c r="F19" s="2959"/>
      <c r="G19" s="2960"/>
      <c r="H19" s="2960"/>
      <c r="I19" s="2960"/>
      <c r="J19" s="2960"/>
      <c r="K19" s="2960"/>
      <c r="L19" s="2960"/>
      <c r="M19" s="2960"/>
    </row>
    <row r="20" spans="1:13" ht="20.25">
      <c r="A20" s="2961" t="s">
        <v>12395</v>
      </c>
      <c r="B20" s="2962">
        <v>0.15</v>
      </c>
      <c r="C20" s="2967"/>
      <c r="D20" s="2967"/>
      <c r="E20" s="2967"/>
      <c r="F20" s="2967"/>
      <c r="G20" s="2960"/>
      <c r="H20" s="2960"/>
      <c r="I20" s="2960"/>
      <c r="J20" s="2960"/>
      <c r="K20" s="2960"/>
      <c r="L20" s="2960"/>
      <c r="M20" s="2960"/>
    </row>
    <row r="21" spans="1:13" ht="20.25">
      <c r="A21" s="2961" t="s">
        <v>12406</v>
      </c>
      <c r="B21" s="2962">
        <v>100</v>
      </c>
      <c r="C21" s="2967"/>
      <c r="D21" s="2967"/>
      <c r="E21" s="2967"/>
      <c r="F21" s="2967"/>
      <c r="G21" s="2960"/>
      <c r="H21" s="2960"/>
      <c r="I21" s="2960"/>
      <c r="J21" s="2960"/>
      <c r="K21" s="2960"/>
      <c r="L21" s="2960"/>
      <c r="M21" s="2960"/>
    </row>
    <row r="22" spans="1:13" ht="20.25">
      <c r="A22" s="2961" t="s">
        <v>12407</v>
      </c>
      <c r="B22" s="2962">
        <v>80</v>
      </c>
      <c r="C22" s="2967"/>
      <c r="D22" s="2967"/>
      <c r="E22" s="2967"/>
      <c r="F22" s="2967"/>
      <c r="G22" s="2960"/>
      <c r="H22" s="2960"/>
      <c r="I22" s="2960"/>
      <c r="J22" s="2960"/>
      <c r="K22" s="2960"/>
      <c r="L22" s="2960"/>
      <c r="M22" s="2960"/>
    </row>
    <row r="23" spans="1:13" ht="20.25">
      <c r="A23" s="2964" t="s">
        <v>12397</v>
      </c>
      <c r="B23" s="2962">
        <v>0</v>
      </c>
      <c r="C23" s="2967"/>
      <c r="D23" s="2967"/>
      <c r="E23" s="2967"/>
      <c r="F23" s="2967"/>
      <c r="G23" s="2960"/>
      <c r="H23" s="2960"/>
      <c r="I23" s="2960"/>
      <c r="J23" s="2960"/>
      <c r="K23" s="2960"/>
      <c r="L23" s="2960"/>
      <c r="M23" s="2960"/>
    </row>
    <row r="24" spans="1:13" ht="23.25">
      <c r="A24" s="2961" t="s">
        <v>12398</v>
      </c>
      <c r="B24" s="2965">
        <f>B20*(3*B21^2+B22^2)/12/100+B20*B23^2/100</f>
        <v>4.55</v>
      </c>
      <c r="C24" s="2967"/>
      <c r="D24" s="2967"/>
      <c r="E24" s="2967"/>
      <c r="F24" s="2967"/>
      <c r="G24" s="2960"/>
      <c r="H24" s="2960"/>
      <c r="I24" s="2960"/>
      <c r="J24" s="2960"/>
      <c r="K24" s="2960"/>
      <c r="L24" s="2960"/>
      <c r="M24" s="2960"/>
    </row>
    <row r="25" spans="1:13" ht="45">
      <c r="A25" s="2959" t="s">
        <v>12408</v>
      </c>
      <c r="B25" s="2966"/>
      <c r="C25" s="2959"/>
      <c r="D25" s="2959"/>
      <c r="E25" s="2959"/>
      <c r="F25" s="2959"/>
      <c r="G25" s="2960"/>
      <c r="H25" s="2960"/>
      <c r="I25" s="2960"/>
      <c r="J25" s="2960"/>
      <c r="K25" s="2960"/>
      <c r="L25" s="2960"/>
      <c r="M25" s="2960"/>
    </row>
    <row r="26" spans="1:13" ht="20.25">
      <c r="A26" s="2961" t="s">
        <v>12395</v>
      </c>
      <c r="B26" s="2962">
        <v>0.15</v>
      </c>
      <c r="C26" s="2967"/>
      <c r="D26" s="2967"/>
      <c r="E26" s="2967"/>
      <c r="F26" s="2967"/>
      <c r="G26" s="2960"/>
      <c r="H26" s="2960"/>
      <c r="I26" s="2960"/>
      <c r="J26" s="2960"/>
      <c r="K26" s="2960"/>
      <c r="L26" s="2960"/>
      <c r="M26" s="2960"/>
    </row>
    <row r="27" spans="1:13" ht="20.25">
      <c r="A27" s="2961" t="s">
        <v>12406</v>
      </c>
      <c r="B27" s="2962">
        <v>100</v>
      </c>
      <c r="C27" s="2967"/>
      <c r="D27" s="2967"/>
      <c r="E27" s="2967"/>
      <c r="F27" s="2967"/>
      <c r="G27" s="2960"/>
      <c r="H27" s="2960"/>
      <c r="I27" s="2960"/>
      <c r="J27" s="2960"/>
      <c r="K27" s="2960"/>
      <c r="L27" s="2960"/>
      <c r="M27" s="2960"/>
    </row>
    <row r="28" spans="1:13" ht="20.25">
      <c r="A28" s="2961" t="s">
        <v>12409</v>
      </c>
      <c r="B28" s="2962">
        <v>80</v>
      </c>
      <c r="C28" s="2967"/>
      <c r="D28" s="2967"/>
      <c r="E28" s="2967"/>
      <c r="F28" s="2967"/>
      <c r="G28" s="2960"/>
      <c r="H28" s="2960"/>
      <c r="I28" s="2960"/>
      <c r="J28" s="2960"/>
      <c r="K28" s="2960"/>
      <c r="L28" s="2960"/>
      <c r="M28" s="2960"/>
    </row>
    <row r="29" spans="1:13" ht="20.25">
      <c r="A29" s="2961" t="s">
        <v>12407</v>
      </c>
      <c r="B29" s="2962">
        <v>80</v>
      </c>
      <c r="C29" s="2967"/>
      <c r="D29" s="2967"/>
      <c r="E29" s="2967"/>
      <c r="F29" s="2967"/>
      <c r="G29" s="2960"/>
      <c r="H29" s="2960"/>
      <c r="I29" s="2960"/>
      <c r="J29" s="2960"/>
      <c r="K29" s="2960"/>
      <c r="L29" s="2960"/>
      <c r="M29" s="2960"/>
    </row>
    <row r="30" spans="1:13" ht="20.25">
      <c r="A30" s="2964" t="s">
        <v>12397</v>
      </c>
      <c r="B30" s="2962">
        <v>20</v>
      </c>
      <c r="C30" s="2967"/>
      <c r="D30" s="2967"/>
      <c r="E30" s="2967"/>
      <c r="F30" s="2967"/>
      <c r="G30" s="2960"/>
      <c r="H30" s="2960"/>
      <c r="I30" s="2960"/>
      <c r="J30" s="2960"/>
      <c r="K30" s="2960"/>
      <c r="L30" s="2960"/>
      <c r="M30" s="2960"/>
    </row>
    <row r="31" spans="1:13" ht="23.25">
      <c r="A31" s="2961" t="s">
        <v>12398</v>
      </c>
      <c r="B31" s="2965">
        <f>B26*(B27^2+B28^2+B29^2/3)/4/100+B26*B30^2/100</f>
        <v>7.5499999999999989</v>
      </c>
      <c r="C31" s="2967"/>
      <c r="D31" s="2967"/>
      <c r="E31" s="2967"/>
      <c r="F31" s="2967"/>
      <c r="G31" s="2960"/>
      <c r="H31" s="2960"/>
      <c r="I31" s="2960"/>
      <c r="J31" s="2960"/>
      <c r="K31" s="2960"/>
      <c r="L31" s="2960"/>
      <c r="M31" s="2960"/>
    </row>
    <row r="32" spans="1:13">
      <c r="A32" s="2968"/>
      <c r="B32" s="2969"/>
      <c r="C32" s="2967"/>
      <c r="D32" s="2967"/>
      <c r="E32" s="2967"/>
      <c r="F32" s="2967"/>
      <c r="G32" s="2960"/>
      <c r="H32" s="2960"/>
      <c r="I32" s="2960"/>
      <c r="J32" s="2960"/>
      <c r="K32" s="2960"/>
      <c r="L32" s="2960"/>
      <c r="M32" s="2960"/>
    </row>
    <row r="33" spans="1:13">
      <c r="A33" s="2968"/>
      <c r="B33" s="2969"/>
      <c r="C33" s="2967"/>
      <c r="D33" s="2967"/>
      <c r="E33" s="2967"/>
      <c r="F33" s="2967"/>
      <c r="G33" s="2960"/>
      <c r="H33" s="2960"/>
      <c r="I33" s="2960"/>
      <c r="J33" s="2960"/>
      <c r="K33" s="2960"/>
      <c r="L33" s="2960"/>
      <c r="M33" s="2960"/>
    </row>
    <row r="34" spans="1:13">
      <c r="A34" s="2968"/>
      <c r="B34" s="2969"/>
      <c r="C34" s="2967"/>
      <c r="D34" s="2967"/>
      <c r="E34" s="2967"/>
      <c r="F34" s="2967"/>
      <c r="G34" s="2960"/>
      <c r="H34" s="2960"/>
      <c r="I34" s="2960"/>
      <c r="J34" s="2960"/>
      <c r="K34" s="2960"/>
      <c r="L34" s="2960"/>
      <c r="M34" s="2960"/>
    </row>
    <row r="35" spans="1:13">
      <c r="A35" s="2968"/>
      <c r="B35" s="2969"/>
      <c r="C35" s="2967"/>
      <c r="D35" s="2967"/>
      <c r="E35" s="2967"/>
      <c r="F35" s="2967"/>
      <c r="G35" s="2960"/>
      <c r="H35" s="2960"/>
      <c r="I35" s="2960"/>
      <c r="J35" s="2960"/>
      <c r="K35" s="2960"/>
      <c r="L35" s="2960"/>
      <c r="M35" s="2960"/>
    </row>
    <row r="36" spans="1:13">
      <c r="A36" s="2968"/>
      <c r="B36" s="2969"/>
      <c r="C36" s="2967"/>
      <c r="D36" s="2967"/>
      <c r="E36" s="2967"/>
      <c r="F36" s="2967"/>
      <c r="G36" s="2960"/>
      <c r="H36" s="2960"/>
      <c r="I36" s="2960"/>
      <c r="J36" s="2960"/>
      <c r="K36" s="2960"/>
      <c r="L36" s="2960"/>
      <c r="M36" s="2960"/>
    </row>
    <row r="37" spans="1:13">
      <c r="A37" s="2968"/>
      <c r="B37" s="2969"/>
      <c r="C37" s="2967"/>
      <c r="D37" s="2967"/>
      <c r="E37" s="2967"/>
      <c r="F37" s="2967"/>
      <c r="G37" s="2960"/>
      <c r="H37" s="2960"/>
      <c r="I37" s="2960"/>
      <c r="J37" s="2960"/>
      <c r="K37" s="2960"/>
      <c r="L37" s="2960"/>
      <c r="M37" s="2960"/>
    </row>
  </sheetData>
  <phoneticPr fontId="378" type="noConversion"/>
  <hyperlinks>
    <hyperlink ref="O1" location="总目录!A1" display="返回目录"/>
  </hyperlink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workbookViewId="0">
      <selection activeCell="F1" sqref="F1"/>
    </sheetView>
  </sheetViews>
  <sheetFormatPr defaultRowHeight="16.5"/>
  <cols>
    <col min="2" max="2" width="19" customWidth="1"/>
    <col min="3" max="3" width="50.625" customWidth="1"/>
    <col min="4" max="4" width="25.375" customWidth="1"/>
  </cols>
  <sheetData>
    <row r="1" spans="1:6" ht="17.25" thickBot="1">
      <c r="F1" s="3162" t="s">
        <v>12708</v>
      </c>
    </row>
    <row r="2" spans="1:6">
      <c r="A2" s="2970" t="s">
        <v>9471</v>
      </c>
      <c r="B2" s="2971" t="s">
        <v>9472</v>
      </c>
      <c r="C2" s="2971" t="s">
        <v>9473</v>
      </c>
      <c r="D2" s="2971" t="s">
        <v>9474</v>
      </c>
      <c r="E2" s="2971" t="s">
        <v>9475</v>
      </c>
      <c r="F2" s="2972" t="s">
        <v>9476</v>
      </c>
    </row>
    <row r="3" spans="1:6">
      <c r="A3" s="2973"/>
      <c r="B3" s="2974" t="s">
        <v>9477</v>
      </c>
      <c r="C3" s="2974" t="s">
        <v>9478</v>
      </c>
      <c r="D3" s="2975"/>
      <c r="E3" s="2975"/>
      <c r="F3" s="2976"/>
    </row>
    <row r="4" spans="1:6" ht="22.5" customHeight="1">
      <c r="A4" s="2977" t="s">
        <v>6704</v>
      </c>
      <c r="B4" s="2978" t="s">
        <v>12413</v>
      </c>
      <c r="C4" s="2978" t="s">
        <v>9618</v>
      </c>
      <c r="D4" s="2978"/>
      <c r="E4" s="2978">
        <v>295</v>
      </c>
      <c r="F4" s="2979" t="s">
        <v>2040</v>
      </c>
    </row>
    <row r="5" spans="1:6" ht="22.5" customHeight="1">
      <c r="A5" s="2977" t="s">
        <v>7334</v>
      </c>
      <c r="B5" s="2978" t="s">
        <v>12414</v>
      </c>
      <c r="C5" s="2978" t="s">
        <v>9620</v>
      </c>
      <c r="D5" s="2978"/>
      <c r="E5" s="2978">
        <v>100</v>
      </c>
      <c r="F5" s="2979" t="s">
        <v>2040</v>
      </c>
    </row>
    <row r="6" spans="1:6" ht="22.5" customHeight="1">
      <c r="A6" s="2977" t="s">
        <v>7335</v>
      </c>
      <c r="B6" s="2978" t="s">
        <v>12415</v>
      </c>
      <c r="C6" s="2978" t="s">
        <v>9622</v>
      </c>
      <c r="D6" s="2978"/>
      <c r="E6" s="2978">
        <v>0</v>
      </c>
      <c r="F6" s="2979" t="s">
        <v>2040</v>
      </c>
    </row>
    <row r="7" spans="1:6" ht="22.5" customHeight="1">
      <c r="A7" s="2977" t="s">
        <v>7336</v>
      </c>
      <c r="B7" s="2978" t="s">
        <v>12416</v>
      </c>
      <c r="C7" s="2978" t="s">
        <v>9624</v>
      </c>
      <c r="D7" s="2978"/>
      <c r="E7" s="2978">
        <v>50</v>
      </c>
      <c r="F7" s="2979" t="s">
        <v>2040</v>
      </c>
    </row>
    <row r="8" spans="1:6" ht="22.5" customHeight="1">
      <c r="A8" s="2977" t="s">
        <v>7337</v>
      </c>
      <c r="B8" s="2978" t="s">
        <v>9625</v>
      </c>
      <c r="C8" s="2978" t="s">
        <v>9626</v>
      </c>
      <c r="D8" s="2978" t="s">
        <v>9627</v>
      </c>
      <c r="E8" s="2978">
        <v>0.14000000000000001</v>
      </c>
      <c r="F8" s="2979"/>
    </row>
    <row r="9" spans="1:6" ht="22.5" customHeight="1">
      <c r="A9" s="2977" t="s">
        <v>7338</v>
      </c>
      <c r="B9" s="2978" t="s">
        <v>12417</v>
      </c>
      <c r="C9" s="2978" t="s">
        <v>9629</v>
      </c>
      <c r="D9" s="2978"/>
      <c r="E9" s="2978">
        <v>200000</v>
      </c>
      <c r="F9" s="2979" t="s">
        <v>9493</v>
      </c>
    </row>
    <row r="10" spans="1:6" ht="22.5" customHeight="1">
      <c r="A10" s="2977" t="s">
        <v>7339</v>
      </c>
      <c r="B10" s="2978" t="s">
        <v>12418</v>
      </c>
      <c r="C10" s="2978" t="s">
        <v>9631</v>
      </c>
      <c r="D10" s="2978"/>
      <c r="E10" s="2978">
        <v>200000</v>
      </c>
      <c r="F10" s="2979" t="s">
        <v>9493</v>
      </c>
    </row>
    <row r="11" spans="1:6" ht="22.5" customHeight="1">
      <c r="A11" s="2977" t="s">
        <v>6000</v>
      </c>
      <c r="B11" s="2978" t="s">
        <v>12419</v>
      </c>
      <c r="C11" s="2978" t="s">
        <v>9633</v>
      </c>
      <c r="D11" s="2978"/>
      <c r="E11" s="2978">
        <v>0.3</v>
      </c>
      <c r="F11" s="2979"/>
    </row>
    <row r="12" spans="1:6" ht="22.5" customHeight="1">
      <c r="A12" s="2977" t="s">
        <v>6003</v>
      </c>
      <c r="B12" s="2978" t="s">
        <v>12420</v>
      </c>
      <c r="C12" s="2978" t="s">
        <v>9635</v>
      </c>
      <c r="D12" s="2978"/>
      <c r="E12" s="2978">
        <v>0.3</v>
      </c>
      <c r="F12" s="2979"/>
    </row>
    <row r="13" spans="1:6" ht="22.5" customHeight="1">
      <c r="A13" s="2977" t="s">
        <v>287</v>
      </c>
      <c r="B13" s="2978" t="s">
        <v>12421</v>
      </c>
      <c r="C13" s="2978" t="s">
        <v>9637</v>
      </c>
      <c r="D13" s="2978"/>
      <c r="E13" s="2978">
        <v>295</v>
      </c>
      <c r="F13" s="2979" t="s">
        <v>9493</v>
      </c>
    </row>
    <row r="14" spans="1:6" ht="22.5" customHeight="1">
      <c r="A14" s="2977" t="s">
        <v>7340</v>
      </c>
      <c r="B14" s="2978" t="s">
        <v>12422</v>
      </c>
      <c r="C14" s="2978" t="s">
        <v>9639</v>
      </c>
      <c r="D14" s="2978"/>
      <c r="E14" s="2978">
        <v>275</v>
      </c>
      <c r="F14" s="2979" t="s">
        <v>9493</v>
      </c>
    </row>
    <row r="15" spans="1:6" ht="22.5" customHeight="1">
      <c r="A15" s="2977" t="s">
        <v>7341</v>
      </c>
      <c r="B15" s="2978" t="s">
        <v>6109</v>
      </c>
      <c r="C15" s="2978" t="s">
        <v>9640</v>
      </c>
      <c r="D15" s="2978"/>
      <c r="E15" s="2978">
        <v>11</v>
      </c>
      <c r="F15" s="2979" t="s">
        <v>9577</v>
      </c>
    </row>
    <row r="16" spans="1:6" ht="22.5" customHeight="1">
      <c r="A16" s="2977" t="s">
        <v>7397</v>
      </c>
      <c r="B16" s="2978" t="s">
        <v>12423</v>
      </c>
      <c r="C16" s="2978" t="s">
        <v>9642</v>
      </c>
      <c r="D16" s="2978"/>
      <c r="E16" s="2978">
        <v>2.5</v>
      </c>
      <c r="F16" s="2979"/>
    </row>
    <row r="17" spans="1:6" ht="22.5" customHeight="1">
      <c r="A17" s="2977" t="s">
        <v>7389</v>
      </c>
      <c r="B17" s="2978" t="s">
        <v>6569</v>
      </c>
      <c r="C17" s="2978" t="s">
        <v>9600</v>
      </c>
      <c r="D17" s="2978"/>
      <c r="E17" s="2978">
        <v>159.16</v>
      </c>
      <c r="F17" s="2979" t="s">
        <v>1997</v>
      </c>
    </row>
    <row r="18" spans="1:6" ht="22.5" customHeight="1">
      <c r="A18" s="2973"/>
      <c r="B18" s="2974" t="s">
        <v>9495</v>
      </c>
      <c r="C18" s="2974" t="s">
        <v>9496</v>
      </c>
      <c r="D18" s="2975"/>
      <c r="E18" s="2975"/>
      <c r="F18" s="2976"/>
    </row>
    <row r="19" spans="1:6" ht="22.5" customHeight="1">
      <c r="A19" s="2977" t="s">
        <v>6704</v>
      </c>
      <c r="B19" s="2978" t="s">
        <v>6436</v>
      </c>
      <c r="C19" s="2978" t="s">
        <v>9643</v>
      </c>
      <c r="D19" s="2978" t="s">
        <v>12424</v>
      </c>
      <c r="E19" s="2978">
        <f>9550*E16*E15/E17</f>
        <v>1650.0691128424228</v>
      </c>
      <c r="F19" s="2979" t="s">
        <v>9574</v>
      </c>
    </row>
    <row r="20" spans="1:6" ht="22.5" customHeight="1">
      <c r="A20" s="2977" t="s">
        <v>7334</v>
      </c>
      <c r="B20" s="2978" t="s">
        <v>12425</v>
      </c>
      <c r="C20" s="2978" t="s">
        <v>9646</v>
      </c>
      <c r="D20" s="2978" t="s">
        <v>12426</v>
      </c>
      <c r="E20" s="2978">
        <f>2*E19*10^3/(PI()*E5^2*E7*E8)</f>
        <v>15.006666042978857</v>
      </c>
      <c r="F20" s="2979" t="s">
        <v>9493</v>
      </c>
    </row>
    <row r="21" spans="1:6" ht="22.5" customHeight="1">
      <c r="A21" s="2977" t="s">
        <v>7335</v>
      </c>
      <c r="B21" s="2978" t="s">
        <v>12427</v>
      </c>
      <c r="C21" s="2978" t="s">
        <v>9649</v>
      </c>
      <c r="D21" s="2978" t="s">
        <v>12428</v>
      </c>
      <c r="E21" s="2978">
        <f>E5/E4</f>
        <v>0.33898305084745761</v>
      </c>
      <c r="F21" s="2979"/>
    </row>
    <row r="22" spans="1:6" ht="22.5" customHeight="1">
      <c r="A22" s="2977" t="s">
        <v>7336</v>
      </c>
      <c r="B22" s="2978" t="s">
        <v>12429</v>
      </c>
      <c r="C22" s="2978" t="s">
        <v>9652</v>
      </c>
      <c r="D22" s="2978" t="s">
        <v>12430</v>
      </c>
      <c r="E22" s="2978">
        <f>E6/E5</f>
        <v>0</v>
      </c>
      <c r="F22" s="2979"/>
    </row>
    <row r="23" spans="1:6" ht="22.5" customHeight="1">
      <c r="A23" s="2977" t="s">
        <v>7337</v>
      </c>
      <c r="B23" s="2978" t="s">
        <v>12431</v>
      </c>
      <c r="C23" s="2978" t="s">
        <v>9655</v>
      </c>
      <c r="D23" s="2978" t="s">
        <v>9656</v>
      </c>
      <c r="E23" s="2978">
        <v>1.579</v>
      </c>
      <c r="F23" s="2979"/>
    </row>
    <row r="24" spans="1:6" ht="22.5" customHeight="1">
      <c r="A24" s="2977" t="s">
        <v>7338</v>
      </c>
      <c r="B24" s="2978" t="s">
        <v>12432</v>
      </c>
      <c r="C24" s="2978" t="s">
        <v>9655</v>
      </c>
      <c r="D24" s="2978" t="s">
        <v>9656</v>
      </c>
      <c r="E24" s="2978">
        <v>0.7</v>
      </c>
      <c r="F24" s="2979"/>
    </row>
    <row r="25" spans="1:6" ht="22.5" customHeight="1">
      <c r="A25" s="2977" t="s">
        <v>7339</v>
      </c>
      <c r="B25" s="2978" t="s">
        <v>12433</v>
      </c>
      <c r="C25" s="2978" t="s">
        <v>9659</v>
      </c>
      <c r="D25" s="2978" t="s">
        <v>12434</v>
      </c>
      <c r="E25" s="2978">
        <f>E20*E5*E23/E9</f>
        <v>1.1847762840931806E-2</v>
      </c>
      <c r="F25" s="2979" t="s">
        <v>2040</v>
      </c>
    </row>
    <row r="26" spans="1:6" ht="22.5" customHeight="1">
      <c r="A26" s="2977" t="s">
        <v>6000</v>
      </c>
      <c r="B26" s="2978" t="s">
        <v>12435</v>
      </c>
      <c r="C26" s="2978" t="s">
        <v>9662</v>
      </c>
      <c r="D26" s="2978" t="s">
        <v>12436</v>
      </c>
      <c r="E26" s="2978">
        <f>E20*E5*E24/E10</f>
        <v>5.2523331150426001E-3</v>
      </c>
      <c r="F26" s="2979" t="s">
        <v>2040</v>
      </c>
    </row>
    <row r="27" spans="1:6" ht="22.5" customHeight="1">
      <c r="A27" s="2977" t="s">
        <v>6003</v>
      </c>
      <c r="B27" s="2978" t="s">
        <v>12437</v>
      </c>
      <c r="C27" s="2978" t="s">
        <v>9665</v>
      </c>
      <c r="D27" s="2978" t="s">
        <v>12438</v>
      </c>
      <c r="E27" s="2980">
        <f>E25+E26</f>
        <v>1.7100095955974406E-2</v>
      </c>
      <c r="F27" s="2981" t="s">
        <v>2040</v>
      </c>
    </row>
    <row r="28" spans="1:6" ht="22.5" customHeight="1">
      <c r="A28" s="2977" t="s">
        <v>7341</v>
      </c>
      <c r="B28" s="2978" t="s">
        <v>12439</v>
      </c>
      <c r="C28" s="2978" t="s">
        <v>9668</v>
      </c>
      <c r="D28" s="2978" t="s">
        <v>12440</v>
      </c>
      <c r="E28" s="2978">
        <f>E27</f>
        <v>1.7100095955974406E-2</v>
      </c>
      <c r="F28" s="2979" t="s">
        <v>2040</v>
      </c>
    </row>
    <row r="29" spans="1:6" ht="22.5" customHeight="1">
      <c r="A29" s="2977" t="s">
        <v>7397</v>
      </c>
      <c r="B29" s="2978" t="s">
        <v>5899</v>
      </c>
      <c r="C29" s="2978"/>
      <c r="D29" s="2978" t="s">
        <v>9670</v>
      </c>
      <c r="E29" s="2978">
        <v>0.52</v>
      </c>
      <c r="F29" s="2979"/>
    </row>
    <row r="30" spans="1:6" ht="22.5" customHeight="1">
      <c r="A30" s="2977" t="s">
        <v>7389</v>
      </c>
      <c r="B30" s="2978" t="s">
        <v>5901</v>
      </c>
      <c r="C30" s="2978"/>
      <c r="D30" s="2978" t="s">
        <v>9670</v>
      </c>
      <c r="E30" s="2978">
        <v>0.5</v>
      </c>
      <c r="F30" s="2979"/>
    </row>
    <row r="31" spans="1:6" ht="22.5" customHeight="1">
      <c r="A31" s="2977" t="s">
        <v>292</v>
      </c>
      <c r="B31" s="2978" t="s">
        <v>12441</v>
      </c>
      <c r="C31" s="2978" t="s">
        <v>9672</v>
      </c>
      <c r="D31" s="2978" t="s">
        <v>12442</v>
      </c>
      <c r="E31" s="2978">
        <f>E29*E13</f>
        <v>153.4</v>
      </c>
      <c r="F31" s="2979" t="s">
        <v>9493</v>
      </c>
    </row>
    <row r="32" spans="1:6" ht="22.5" customHeight="1">
      <c r="A32" s="2977" t="s">
        <v>7355</v>
      </c>
      <c r="B32" s="2978" t="s">
        <v>12443</v>
      </c>
      <c r="C32" s="2978" t="s">
        <v>9672</v>
      </c>
      <c r="D32" s="2978" t="s">
        <v>9675</v>
      </c>
      <c r="E32" s="2978">
        <f>E30*E14</f>
        <v>137.5</v>
      </c>
      <c r="F32" s="2979" t="s">
        <v>9493</v>
      </c>
    </row>
    <row r="33" spans="1:6" ht="22.5" customHeight="1">
      <c r="A33" s="2977" t="s">
        <v>7699</v>
      </c>
      <c r="B33" s="2978" t="s">
        <v>12444</v>
      </c>
      <c r="C33" s="2978" t="s">
        <v>9677</v>
      </c>
      <c r="D33" s="2978"/>
      <c r="E33" s="2978">
        <f>E32</f>
        <v>137.5</v>
      </c>
      <c r="F33" s="2979" t="s">
        <v>9493</v>
      </c>
    </row>
    <row r="34" spans="1:6" ht="22.5" customHeight="1">
      <c r="A34" s="2977" t="s">
        <v>7390</v>
      </c>
      <c r="B34" s="2978" t="s">
        <v>12445</v>
      </c>
      <c r="C34" s="2978" t="s">
        <v>9679</v>
      </c>
      <c r="D34" s="2978" t="s">
        <v>12446</v>
      </c>
      <c r="E34" s="2978">
        <f>E33*PI()*E5*E7*E8</f>
        <v>302378.29290801764</v>
      </c>
      <c r="F34" s="2979" t="s">
        <v>6109</v>
      </c>
    </row>
    <row r="35" spans="1:6" ht="22.5" customHeight="1">
      <c r="A35" s="2977" t="s">
        <v>7403</v>
      </c>
      <c r="B35" s="2978" t="s">
        <v>12447</v>
      </c>
      <c r="C35" s="2978" t="s">
        <v>9682</v>
      </c>
      <c r="D35" s="2978" t="s">
        <v>12448</v>
      </c>
      <c r="E35" s="2978">
        <f>E33*E5*E23/E9</f>
        <v>0.10855625000000001</v>
      </c>
      <c r="F35" s="2979" t="s">
        <v>2040</v>
      </c>
    </row>
    <row r="36" spans="1:6" ht="22.5" customHeight="1">
      <c r="A36" s="2977" t="s">
        <v>298</v>
      </c>
      <c r="B36" s="2978" t="s">
        <v>12449</v>
      </c>
      <c r="C36" s="2978" t="s">
        <v>9685</v>
      </c>
      <c r="D36" s="2978" t="s">
        <v>12450</v>
      </c>
      <c r="E36" s="2978">
        <f>E33*E5*E24/E10</f>
        <v>4.8125000000000001E-2</v>
      </c>
      <c r="F36" s="2979" t="s">
        <v>2040</v>
      </c>
    </row>
    <row r="37" spans="1:6" ht="22.5" customHeight="1">
      <c r="A37" s="2977" t="s">
        <v>7398</v>
      </c>
      <c r="B37" s="2978" t="s">
        <v>12451</v>
      </c>
      <c r="C37" s="2978" t="s">
        <v>9688</v>
      </c>
      <c r="D37" s="2978" t="s">
        <v>12452</v>
      </c>
      <c r="E37" s="2982">
        <f>E35+E36</f>
        <v>0.15668124999999999</v>
      </c>
      <c r="F37" s="2983" t="s">
        <v>2040</v>
      </c>
    </row>
    <row r="38" spans="1:6" ht="22.5" customHeight="1">
      <c r="A38" s="2977" t="s">
        <v>7392</v>
      </c>
      <c r="B38" s="2978" t="s">
        <v>12453</v>
      </c>
      <c r="C38" s="2978" t="s">
        <v>9691</v>
      </c>
      <c r="D38" s="2978" t="s">
        <v>12454</v>
      </c>
      <c r="E38" s="2978"/>
      <c r="F38" s="2979"/>
    </row>
    <row r="39" spans="1:6" ht="22.5" customHeight="1">
      <c r="A39" s="2977" t="s">
        <v>7415</v>
      </c>
      <c r="B39" s="2978" t="s">
        <v>12455</v>
      </c>
      <c r="C39" s="2978" t="s">
        <v>9691</v>
      </c>
      <c r="D39" s="2978" t="s">
        <v>12456</v>
      </c>
      <c r="E39" s="2978"/>
      <c r="F39" s="2979"/>
    </row>
    <row r="40" spans="1:6" ht="22.5" customHeight="1">
      <c r="A40" s="2977" t="s">
        <v>7542</v>
      </c>
      <c r="B40" s="2978" t="s">
        <v>12457</v>
      </c>
      <c r="C40" s="2978" t="s">
        <v>9696</v>
      </c>
      <c r="D40" s="2978" t="s">
        <v>12458</v>
      </c>
      <c r="E40" s="2978">
        <f>(E27+E37)/2</f>
        <v>8.6890672977987193E-2</v>
      </c>
      <c r="F40" s="2979" t="s">
        <v>2040</v>
      </c>
    </row>
    <row r="41" spans="1:6" ht="22.5" customHeight="1">
      <c r="A41" s="2977" t="s">
        <v>304</v>
      </c>
      <c r="B41" s="2978"/>
      <c r="C41" s="2978" t="s">
        <v>9698</v>
      </c>
      <c r="D41" s="2978" t="s">
        <v>9699</v>
      </c>
      <c r="E41" s="2978" t="s">
        <v>6345</v>
      </c>
      <c r="F41" s="2979"/>
    </row>
    <row r="42" spans="1:6" ht="22.5" customHeight="1">
      <c r="A42" s="2977" t="s">
        <v>7700</v>
      </c>
      <c r="B42" s="2978"/>
      <c r="C42" s="2978" t="s">
        <v>9700</v>
      </c>
      <c r="D42" s="2978" t="s">
        <v>9701</v>
      </c>
      <c r="E42" s="2978"/>
      <c r="F42" s="2979"/>
    </row>
    <row r="43" spans="1:6" ht="22.5" customHeight="1">
      <c r="A43" s="2977" t="s">
        <v>7395</v>
      </c>
      <c r="B43" s="2978"/>
      <c r="C43" s="2978" t="s">
        <v>9702</v>
      </c>
      <c r="D43" s="2978" t="s">
        <v>12459</v>
      </c>
      <c r="E43" s="2978"/>
      <c r="F43" s="2979"/>
    </row>
    <row r="44" spans="1:6" ht="22.5" customHeight="1">
      <c r="A44" s="2977" t="s">
        <v>7842</v>
      </c>
      <c r="B44" s="2978"/>
      <c r="C44" s="2978"/>
      <c r="D44" s="2978" t="s">
        <v>9704</v>
      </c>
      <c r="E44" s="2978"/>
      <c r="F44" s="2979"/>
    </row>
    <row r="45" spans="1:6" ht="22.5" customHeight="1">
      <c r="A45" s="2977" t="s">
        <v>7411</v>
      </c>
      <c r="B45" s="2978" t="s">
        <v>9705</v>
      </c>
      <c r="C45" s="2978" t="s">
        <v>12460</v>
      </c>
      <c r="D45" s="2978" t="s">
        <v>9707</v>
      </c>
      <c r="E45" s="2978">
        <v>0.124</v>
      </c>
      <c r="F45" s="2979" t="s">
        <v>2040</v>
      </c>
    </row>
    <row r="46" spans="1:6" ht="22.5" customHeight="1">
      <c r="A46" s="2977" t="s">
        <v>309</v>
      </c>
      <c r="B46" s="2978" t="s">
        <v>8041</v>
      </c>
      <c r="C46" s="2978"/>
      <c r="D46" s="2978"/>
      <c r="E46" s="2978">
        <v>3.5000000000000003E-2</v>
      </c>
      <c r="F46" s="2979" t="s">
        <v>2040</v>
      </c>
    </row>
    <row r="47" spans="1:6" ht="22.5" customHeight="1">
      <c r="A47" s="2977" t="s">
        <v>9556</v>
      </c>
      <c r="B47" s="2978" t="s">
        <v>8040</v>
      </c>
      <c r="C47" s="2978"/>
      <c r="D47" s="2978"/>
      <c r="E47" s="2978">
        <v>2.1999999999999999E-2</v>
      </c>
      <c r="F47" s="2979" t="s">
        <v>2040</v>
      </c>
    </row>
    <row r="48" spans="1:6" ht="22.5" customHeight="1">
      <c r="A48" s="2977" t="s">
        <v>7416</v>
      </c>
      <c r="B48" s="2978" t="s">
        <v>12453</v>
      </c>
      <c r="C48" s="2978" t="s">
        <v>9691</v>
      </c>
      <c r="D48" s="2978" t="s">
        <v>12461</v>
      </c>
      <c r="E48" s="2982">
        <f>E45-E46</f>
        <v>8.8999999999999996E-2</v>
      </c>
      <c r="F48" s="2983" t="s">
        <v>2040</v>
      </c>
    </row>
    <row r="49" spans="1:6" ht="22.5" customHeight="1">
      <c r="A49" s="2984"/>
      <c r="B49" s="2978"/>
      <c r="C49" s="2978"/>
      <c r="D49" s="2978"/>
      <c r="E49" s="2982" t="s">
        <v>9709</v>
      </c>
      <c r="F49" s="2983" t="s">
        <v>2040</v>
      </c>
    </row>
    <row r="50" spans="1:6" ht="22.5" customHeight="1">
      <c r="A50" s="2977" t="s">
        <v>7399</v>
      </c>
      <c r="B50" s="2978" t="s">
        <v>12455</v>
      </c>
      <c r="C50" s="2978" t="s">
        <v>9691</v>
      </c>
      <c r="D50" s="2978" t="s">
        <v>12462</v>
      </c>
      <c r="E50" s="2982">
        <f>E45+E47</f>
        <v>0.14599999999999999</v>
      </c>
      <c r="F50" s="2983" t="s">
        <v>2040</v>
      </c>
    </row>
    <row r="51" spans="1:6" ht="22.5" customHeight="1">
      <c r="A51" s="2984"/>
      <c r="B51" s="2978"/>
      <c r="C51" s="2978"/>
      <c r="D51" s="2978"/>
      <c r="E51" s="2982" t="s">
        <v>9711</v>
      </c>
      <c r="F51" s="2983" t="s">
        <v>2040</v>
      </c>
    </row>
    <row r="52" spans="1:6" ht="22.5" customHeight="1">
      <c r="A52" s="2985"/>
      <c r="B52" s="2986"/>
      <c r="C52" s="2987"/>
      <c r="D52" s="2986"/>
      <c r="E52" s="2986"/>
      <c r="F52" s="2988"/>
    </row>
    <row r="53" spans="1:6" ht="22.5" customHeight="1">
      <c r="A53" s="2989"/>
      <c r="B53" s="2990" t="s">
        <v>9553</v>
      </c>
      <c r="C53" s="2990" t="s">
        <v>9554</v>
      </c>
      <c r="D53" s="2991"/>
      <c r="E53" s="2991"/>
      <c r="F53" s="2992"/>
    </row>
    <row r="54" spans="1:6" ht="22.5" customHeight="1">
      <c r="A54" s="2985"/>
      <c r="B54" s="2986" t="s">
        <v>9712</v>
      </c>
      <c r="C54" s="2987"/>
      <c r="D54" s="2986"/>
      <c r="E54" s="2986"/>
      <c r="F54" s="2988"/>
    </row>
    <row r="55" spans="1:6">
      <c r="F55" s="3162" t="s">
        <v>12708</v>
      </c>
    </row>
  </sheetData>
  <phoneticPr fontId="378" type="noConversion"/>
  <hyperlinks>
    <hyperlink ref="F1" location="总目录!A1" display="返回目录"/>
    <hyperlink ref="F55" location="总目录!A1" display="返回目录"/>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
  <sheetViews>
    <sheetView zoomScale="85" zoomScaleNormal="85" workbookViewId="0">
      <selection activeCell="P21" sqref="P21"/>
    </sheetView>
  </sheetViews>
  <sheetFormatPr defaultRowHeight="16.5"/>
  <cols>
    <col min="3" max="14" width="4.875" customWidth="1"/>
    <col min="15" max="15" width="4.5" customWidth="1"/>
  </cols>
  <sheetData>
    <row r="1" spans="1:15" ht="20.25">
      <c r="A1" s="4660" t="s">
        <v>12463</v>
      </c>
      <c r="B1" s="4660"/>
      <c r="C1" s="4661" t="s">
        <v>12464</v>
      </c>
      <c r="D1" s="4661"/>
      <c r="E1" s="4661"/>
      <c r="F1" s="4661"/>
      <c r="G1" s="4661"/>
      <c r="H1" s="4661"/>
      <c r="I1" s="4661"/>
      <c r="J1" s="4661"/>
      <c r="K1" s="4661"/>
      <c r="L1" s="4661"/>
      <c r="M1" s="4661"/>
      <c r="N1" s="4661"/>
      <c r="O1" s="1989"/>
    </row>
    <row r="2" spans="1:15">
      <c r="A2" s="4660"/>
      <c r="B2" s="4660"/>
      <c r="C2" s="2993">
        <v>1</v>
      </c>
      <c r="D2" s="2993">
        <v>2</v>
      </c>
      <c r="E2" s="2993">
        <v>3</v>
      </c>
      <c r="F2" s="2993">
        <v>4</v>
      </c>
      <c r="G2" s="2993">
        <v>5</v>
      </c>
      <c r="H2" s="2993">
        <v>6</v>
      </c>
      <c r="I2" s="2993">
        <v>7</v>
      </c>
      <c r="J2" s="2993">
        <v>8</v>
      </c>
      <c r="K2" s="2993">
        <v>9</v>
      </c>
      <c r="L2" s="2993">
        <v>10</v>
      </c>
      <c r="M2" s="2993">
        <v>11</v>
      </c>
      <c r="N2" s="2993">
        <v>12</v>
      </c>
      <c r="O2" s="1989"/>
    </row>
    <row r="3" spans="1:15">
      <c r="A3" s="4659" t="s">
        <v>12465</v>
      </c>
      <c r="B3" s="2994" t="s">
        <v>12466</v>
      </c>
      <c r="C3" s="2995"/>
      <c r="D3" s="2995"/>
      <c r="E3" s="2995"/>
      <c r="F3" s="2995"/>
      <c r="G3" s="2995"/>
      <c r="H3" s="2995"/>
      <c r="I3" s="2995"/>
      <c r="J3" s="2995"/>
      <c r="K3" s="2995"/>
      <c r="L3" s="2995"/>
      <c r="M3" s="2996" t="s">
        <v>12467</v>
      </c>
      <c r="N3" s="2996" t="s">
        <v>12467</v>
      </c>
      <c r="O3" s="1989"/>
    </row>
    <row r="4" spans="1:15">
      <c r="A4" s="4659"/>
      <c r="B4" s="2994" t="s">
        <v>12468</v>
      </c>
      <c r="C4" s="2995"/>
      <c r="D4" s="2995"/>
      <c r="E4" s="2995"/>
      <c r="F4" s="2995"/>
      <c r="G4" s="2995"/>
      <c r="H4" s="2995"/>
      <c r="I4" s="2995"/>
      <c r="J4" s="2995"/>
      <c r="K4" s="2997" t="s">
        <v>12467</v>
      </c>
      <c r="L4" s="2997" t="s">
        <v>12467</v>
      </c>
      <c r="M4" s="2995"/>
      <c r="N4" s="2995"/>
      <c r="O4" s="1989"/>
    </row>
    <row r="5" spans="1:15">
      <c r="A5" s="4659"/>
      <c r="B5" s="2994" t="s">
        <v>12469</v>
      </c>
      <c r="C5" s="2995"/>
      <c r="D5" s="2995"/>
      <c r="E5" s="2995"/>
      <c r="F5" s="2995"/>
      <c r="G5" s="2998" t="s">
        <v>12467</v>
      </c>
      <c r="H5" s="2998" t="s">
        <v>12467</v>
      </c>
      <c r="I5" s="2998" t="s">
        <v>12467</v>
      </c>
      <c r="J5" s="2998" t="s">
        <v>12467</v>
      </c>
      <c r="K5" s="2995"/>
      <c r="L5" s="2995"/>
      <c r="M5" s="2995"/>
      <c r="N5" s="2995"/>
      <c r="O5" s="1989"/>
    </row>
    <row r="6" spans="1:15">
      <c r="A6" s="4662" t="s">
        <v>12470</v>
      </c>
      <c r="B6" s="2999" t="s">
        <v>12466</v>
      </c>
      <c r="C6" s="3000"/>
      <c r="D6" s="3000"/>
      <c r="E6" s="3000"/>
      <c r="F6" s="3000"/>
      <c r="G6" s="3000"/>
      <c r="H6" s="3000"/>
      <c r="I6" s="3000"/>
      <c r="J6" s="3000"/>
      <c r="K6" s="3000"/>
      <c r="L6" s="3000"/>
      <c r="M6" s="3001" t="s">
        <v>12467</v>
      </c>
      <c r="N6" s="3001" t="s">
        <v>12467</v>
      </c>
      <c r="O6" s="1989"/>
    </row>
    <row r="7" spans="1:15">
      <c r="A7" s="4662"/>
      <c r="B7" s="2999" t="s">
        <v>12468</v>
      </c>
      <c r="C7" s="3000"/>
      <c r="D7" s="3000"/>
      <c r="E7" s="3000"/>
      <c r="F7" s="3000"/>
      <c r="G7" s="3000"/>
      <c r="H7" s="3000"/>
      <c r="I7" s="3000"/>
      <c r="J7" s="3000"/>
      <c r="K7" s="3002"/>
      <c r="L7" s="3002" t="s">
        <v>12467</v>
      </c>
      <c r="M7" s="3002" t="s">
        <v>12467</v>
      </c>
      <c r="N7" s="3000"/>
      <c r="O7" s="1989"/>
    </row>
    <row r="8" spans="1:15">
      <c r="A8" s="4662"/>
      <c r="B8" s="2999" t="s">
        <v>12469</v>
      </c>
      <c r="C8" s="3000"/>
      <c r="D8" s="3000"/>
      <c r="E8" s="3000"/>
      <c r="F8" s="3000"/>
      <c r="G8" s="3003"/>
      <c r="H8" s="3003" t="s">
        <v>12467</v>
      </c>
      <c r="I8" s="3003" t="s">
        <v>12467</v>
      </c>
      <c r="J8" s="3003" t="s">
        <v>12467</v>
      </c>
      <c r="K8" s="3003" t="s">
        <v>12467</v>
      </c>
      <c r="L8" s="3000"/>
      <c r="M8" s="3000"/>
      <c r="N8" s="3000"/>
      <c r="O8" s="1989"/>
    </row>
    <row r="9" spans="1:15">
      <c r="A9" s="4663" t="s">
        <v>12471</v>
      </c>
      <c r="B9" s="3004" t="s">
        <v>12466</v>
      </c>
      <c r="C9" s="3005"/>
      <c r="D9" s="3005"/>
      <c r="E9" s="3005"/>
      <c r="F9" s="3005"/>
      <c r="G9" s="3005"/>
      <c r="H9" s="3005"/>
      <c r="I9" s="3005"/>
      <c r="J9" s="3005"/>
      <c r="K9" s="3005"/>
      <c r="L9" s="3005"/>
      <c r="M9" s="3006" t="s">
        <v>12467</v>
      </c>
      <c r="N9" s="3006" t="s">
        <v>12467</v>
      </c>
      <c r="O9" s="1989"/>
    </row>
    <row r="10" spans="1:15">
      <c r="A10" s="4663"/>
      <c r="B10" s="3004" t="s">
        <v>12468</v>
      </c>
      <c r="C10" s="3005"/>
      <c r="D10" s="3005"/>
      <c r="E10" s="3005"/>
      <c r="F10" s="3005"/>
      <c r="G10" s="3005"/>
      <c r="H10" s="3005"/>
      <c r="I10" s="3005"/>
      <c r="J10" s="3005"/>
      <c r="K10" s="3007" t="s">
        <v>12467</v>
      </c>
      <c r="L10" s="3007" t="s">
        <v>12467</v>
      </c>
      <c r="M10" s="3008"/>
      <c r="N10" s="3005"/>
      <c r="O10" s="1989"/>
    </row>
    <row r="11" spans="1:15">
      <c r="A11" s="4663"/>
      <c r="B11" s="3004" t="s">
        <v>12469</v>
      </c>
      <c r="C11" s="3005"/>
      <c r="D11" s="3005"/>
      <c r="E11" s="3005"/>
      <c r="F11" s="3005"/>
      <c r="G11" s="3005"/>
      <c r="H11" s="3009"/>
      <c r="I11" s="3009" t="s">
        <v>12467</v>
      </c>
      <c r="J11" s="3009" t="s">
        <v>12467</v>
      </c>
      <c r="K11" s="3009" t="s">
        <v>12467</v>
      </c>
      <c r="L11" s="3005"/>
      <c r="M11" s="3005"/>
      <c r="N11" s="3005"/>
      <c r="O11" s="1989"/>
    </row>
    <row r="12" spans="1:15">
      <c r="A12" s="4659" t="s">
        <v>12472</v>
      </c>
      <c r="B12" s="2994" t="s">
        <v>12466</v>
      </c>
      <c r="C12" s="2995"/>
      <c r="D12" s="2995"/>
      <c r="E12" s="2995"/>
      <c r="F12" s="2995"/>
      <c r="G12" s="2995"/>
      <c r="H12" s="2995"/>
      <c r="I12" s="2995"/>
      <c r="J12" s="2995"/>
      <c r="K12" s="2996" t="s">
        <v>12467</v>
      </c>
      <c r="L12" s="2996" t="s">
        <v>12467</v>
      </c>
      <c r="M12" s="2996" t="s">
        <v>12467</v>
      </c>
      <c r="N12" s="2995"/>
      <c r="O12" s="1989"/>
    </row>
    <row r="13" spans="1:15">
      <c r="A13" s="4659"/>
      <c r="B13" s="2994" t="s">
        <v>12468</v>
      </c>
      <c r="C13" s="2995"/>
      <c r="D13" s="2995"/>
      <c r="E13" s="2995"/>
      <c r="F13" s="2995"/>
      <c r="G13" s="2995"/>
      <c r="H13" s="2995"/>
      <c r="I13" s="2997" t="s">
        <v>12467</v>
      </c>
      <c r="J13" s="2997" t="s">
        <v>12467</v>
      </c>
      <c r="K13" s="2997" t="s">
        <v>12467</v>
      </c>
      <c r="L13" s="3010"/>
      <c r="M13" s="2995"/>
      <c r="N13" s="2995"/>
      <c r="O13" s="1989"/>
    </row>
    <row r="14" spans="1:15">
      <c r="A14" s="4659"/>
      <c r="B14" s="2994" t="s">
        <v>12469</v>
      </c>
      <c r="C14" s="2995"/>
      <c r="D14" s="2998" t="s">
        <v>12467</v>
      </c>
      <c r="E14" s="2998" t="s">
        <v>12467</v>
      </c>
      <c r="F14" s="2998" t="s">
        <v>12467</v>
      </c>
      <c r="G14" s="2998" t="s">
        <v>12467</v>
      </c>
      <c r="H14" s="2998" t="s">
        <v>12467</v>
      </c>
      <c r="I14" s="2998" t="s">
        <v>12467</v>
      </c>
      <c r="J14" s="2998"/>
      <c r="K14" s="2995"/>
      <c r="L14" s="2995"/>
      <c r="M14" s="2995"/>
      <c r="N14" s="2995"/>
      <c r="O14" s="1989"/>
    </row>
    <row r="15" spans="1:15">
      <c r="A15" s="4665" t="s">
        <v>12473</v>
      </c>
      <c r="B15" s="3011" t="s">
        <v>12466</v>
      </c>
      <c r="C15" s="3012"/>
      <c r="D15" s="3012"/>
      <c r="E15" s="3012"/>
      <c r="F15" s="3013" t="s">
        <v>12467</v>
      </c>
      <c r="G15" s="3013" t="s">
        <v>12467</v>
      </c>
      <c r="H15" s="3012"/>
      <c r="I15" s="3012"/>
      <c r="J15" s="3012"/>
      <c r="K15" s="3012"/>
      <c r="L15" s="3012"/>
      <c r="M15" s="3013"/>
      <c r="N15" s="3013"/>
      <c r="O15" s="1989"/>
    </row>
    <row r="16" spans="1:15">
      <c r="A16" s="4665"/>
      <c r="B16" s="3011" t="s">
        <v>12468</v>
      </c>
      <c r="C16" s="3012"/>
      <c r="D16" s="3012"/>
      <c r="E16" s="3014" t="s">
        <v>12467</v>
      </c>
      <c r="F16" s="3012"/>
      <c r="G16" s="3012"/>
      <c r="H16" s="3012"/>
      <c r="I16" s="3012"/>
      <c r="J16" s="3012"/>
      <c r="K16" s="3014"/>
      <c r="L16" s="3014"/>
      <c r="M16" s="3014"/>
      <c r="N16" s="3012"/>
      <c r="O16" s="1989"/>
    </row>
    <row r="17" spans="1:16">
      <c r="A17" s="4665"/>
      <c r="B17" s="3011" t="s">
        <v>12469</v>
      </c>
      <c r="C17" s="3015" t="s">
        <v>12467</v>
      </c>
      <c r="D17" s="3015" t="s">
        <v>12467</v>
      </c>
      <c r="E17" s="3012"/>
      <c r="F17" s="3012"/>
      <c r="G17" s="3012"/>
      <c r="H17" s="3012"/>
      <c r="I17" s="3015"/>
      <c r="J17" s="3015"/>
      <c r="K17" s="3015"/>
      <c r="L17" s="3012"/>
      <c r="M17" s="3012"/>
      <c r="N17" s="3012"/>
      <c r="O17" s="1989"/>
    </row>
    <row r="18" spans="1:16">
      <c r="A18" s="4662" t="s">
        <v>12474</v>
      </c>
      <c r="B18" s="2999" t="s">
        <v>12466</v>
      </c>
      <c r="C18" s="3000"/>
      <c r="D18" s="3000"/>
      <c r="E18" s="3000"/>
      <c r="F18" s="3000"/>
      <c r="G18" s="3000"/>
      <c r="H18" s="3001" t="s">
        <v>12467</v>
      </c>
      <c r="I18" s="3001" t="s">
        <v>12467</v>
      </c>
      <c r="J18" s="3000"/>
      <c r="K18" s="3000"/>
      <c r="L18" s="3000"/>
      <c r="M18" s="3000"/>
      <c r="N18" s="3000"/>
      <c r="O18" s="1989"/>
    </row>
    <row r="19" spans="1:16">
      <c r="A19" s="4662"/>
      <c r="B19" s="2999" t="s">
        <v>12468</v>
      </c>
      <c r="C19" s="3000"/>
      <c r="D19" s="3000"/>
      <c r="E19" s="3000"/>
      <c r="F19" s="3016" t="s">
        <v>12467</v>
      </c>
      <c r="G19" s="3016" t="s">
        <v>12467</v>
      </c>
      <c r="H19" s="3000"/>
      <c r="I19" s="3000"/>
      <c r="J19" s="3000"/>
      <c r="K19" s="3000"/>
      <c r="L19" s="3000"/>
      <c r="M19" s="3002"/>
      <c r="N19" s="3000"/>
      <c r="O19" s="1989"/>
    </row>
    <row r="20" spans="1:16">
      <c r="A20" s="4662"/>
      <c r="B20" s="2999" t="s">
        <v>12469</v>
      </c>
      <c r="C20" s="3003" t="s">
        <v>12467</v>
      </c>
      <c r="D20" s="3003" t="s">
        <v>12467</v>
      </c>
      <c r="E20" s="3003" t="s">
        <v>12467</v>
      </c>
      <c r="F20" s="3000"/>
      <c r="G20" s="3000"/>
      <c r="H20" s="3000"/>
      <c r="I20" s="3000"/>
      <c r="J20" s="3000"/>
      <c r="K20" s="3000"/>
      <c r="L20" s="3000"/>
      <c r="M20" s="3000"/>
      <c r="N20" s="3000"/>
      <c r="O20" s="1989"/>
    </row>
    <row r="21" spans="1:16">
      <c r="A21" s="589"/>
      <c r="B21" s="1225"/>
      <c r="C21" s="3017"/>
      <c r="D21" s="3017"/>
      <c r="E21" s="3017"/>
      <c r="F21" s="1220"/>
      <c r="G21" s="1220"/>
      <c r="H21" s="1220"/>
      <c r="I21" s="1220"/>
      <c r="J21" s="1220"/>
      <c r="K21" s="1220"/>
      <c r="L21" s="1220"/>
      <c r="M21" s="1220"/>
      <c r="N21" s="1220"/>
      <c r="O21" s="1989"/>
      <c r="P21" s="3162" t="s">
        <v>12708</v>
      </c>
    </row>
    <row r="22" spans="1:16">
      <c r="A22" s="1989"/>
      <c r="B22" s="1989"/>
      <c r="C22" s="1989"/>
      <c r="D22" s="1989"/>
      <c r="E22" s="1989"/>
      <c r="F22" s="1989"/>
      <c r="G22" s="1989"/>
      <c r="H22" s="1989"/>
      <c r="I22" s="1989"/>
      <c r="J22" s="1989"/>
      <c r="K22" s="1989"/>
      <c r="L22" s="1989"/>
      <c r="M22" s="1989"/>
      <c r="N22" s="1989"/>
      <c r="O22" s="1989"/>
    </row>
    <row r="23" spans="1:16" ht="20.25">
      <c r="A23" s="4666" t="s">
        <v>12475</v>
      </c>
      <c r="B23" s="4667" t="s">
        <v>12463</v>
      </c>
      <c r="C23" s="4667"/>
      <c r="D23" s="4658" t="s">
        <v>12476</v>
      </c>
      <c r="E23" s="4658"/>
      <c r="F23" s="4658"/>
      <c r="G23" s="4658"/>
      <c r="H23" s="4658"/>
      <c r="I23" s="4658"/>
      <c r="J23" s="4658"/>
      <c r="K23" s="4658"/>
      <c r="L23" s="4658"/>
      <c r="M23" s="4658"/>
      <c r="N23" s="4658"/>
      <c r="O23" s="4658"/>
    </row>
    <row r="24" spans="1:16">
      <c r="A24" s="4666"/>
      <c r="B24" s="4667"/>
      <c r="C24" s="4667"/>
      <c r="D24" s="2993">
        <v>1</v>
      </c>
      <c r="E24" s="2993">
        <v>2</v>
      </c>
      <c r="F24" s="2993">
        <v>3</v>
      </c>
      <c r="G24" s="2993">
        <v>4</v>
      </c>
      <c r="H24" s="2993">
        <v>5</v>
      </c>
      <c r="I24" s="2993">
        <v>6</v>
      </c>
      <c r="J24" s="2993">
        <v>7</v>
      </c>
      <c r="K24" s="2993">
        <v>8</v>
      </c>
      <c r="L24" s="2993">
        <v>9</v>
      </c>
      <c r="M24" s="2993">
        <v>10</v>
      </c>
      <c r="N24" s="2993">
        <v>11</v>
      </c>
      <c r="O24" s="2993">
        <v>12</v>
      </c>
    </row>
    <row r="25" spans="1:16">
      <c r="A25" s="4668" t="s">
        <v>614</v>
      </c>
      <c r="B25" s="3018" t="s">
        <v>12477</v>
      </c>
      <c r="C25" s="3018"/>
      <c r="D25" s="3018"/>
      <c r="E25" s="3018"/>
      <c r="F25" s="3018" t="s">
        <v>12467</v>
      </c>
      <c r="G25" s="3018" t="s">
        <v>12467</v>
      </c>
      <c r="H25" s="3018" t="s">
        <v>12467</v>
      </c>
      <c r="I25" s="3018"/>
      <c r="J25" s="3019"/>
      <c r="K25" s="3018"/>
      <c r="L25" s="3018"/>
      <c r="M25" s="3018"/>
      <c r="N25" s="3018"/>
      <c r="O25" s="3018"/>
    </row>
    <row r="26" spans="1:16">
      <c r="A26" s="4668"/>
      <c r="B26" s="3018" t="s">
        <v>12478</v>
      </c>
      <c r="C26" s="3018"/>
      <c r="D26" s="3018"/>
      <c r="E26" s="3018"/>
      <c r="F26" s="3018"/>
      <c r="G26" s="3018"/>
      <c r="H26" s="3018" t="s">
        <v>12467</v>
      </c>
      <c r="I26" s="3018" t="s">
        <v>12467</v>
      </c>
      <c r="J26" s="3019" t="s">
        <v>12467</v>
      </c>
      <c r="K26" s="3018" t="s">
        <v>12467</v>
      </c>
      <c r="L26" s="3018" t="s">
        <v>12467</v>
      </c>
      <c r="M26" s="3018" t="s">
        <v>12467</v>
      </c>
      <c r="N26" s="3018"/>
      <c r="O26" s="3018"/>
    </row>
    <row r="27" spans="1:16">
      <c r="A27" s="4668"/>
      <c r="B27" s="4664" t="s">
        <v>12479</v>
      </c>
      <c r="C27" s="3018" t="s">
        <v>12466</v>
      </c>
      <c r="D27" s="3018"/>
      <c r="E27" s="3018"/>
      <c r="F27" s="3018"/>
      <c r="G27" s="3018"/>
      <c r="H27" s="3018" t="s">
        <v>12467</v>
      </c>
      <c r="I27" s="3018" t="s">
        <v>12467</v>
      </c>
      <c r="J27" s="3019" t="s">
        <v>12467</v>
      </c>
      <c r="K27" s="3018"/>
      <c r="L27" s="3018"/>
      <c r="M27" s="3018"/>
      <c r="N27" s="3018"/>
      <c r="O27" s="3018"/>
    </row>
    <row r="28" spans="1:16">
      <c r="A28" s="4668"/>
      <c r="B28" s="4664"/>
      <c r="C28" s="3000" t="s">
        <v>12468</v>
      </c>
      <c r="D28" s="3000"/>
      <c r="E28" s="3000"/>
      <c r="F28" s="3000"/>
      <c r="G28" s="3000"/>
      <c r="H28" s="3000"/>
      <c r="I28" s="3000" t="s">
        <v>12467</v>
      </c>
      <c r="J28" s="3019" t="s">
        <v>12467</v>
      </c>
      <c r="K28" s="3000" t="s">
        <v>12467</v>
      </c>
      <c r="L28" s="3000" t="s">
        <v>12467</v>
      </c>
      <c r="M28" s="3000" t="s">
        <v>12467</v>
      </c>
      <c r="N28" s="3000"/>
      <c r="O28" s="3000"/>
    </row>
    <row r="29" spans="1:16">
      <c r="A29" s="4668"/>
      <c r="B29" s="4664" t="s">
        <v>12480</v>
      </c>
      <c r="C29" s="3018" t="s">
        <v>12466</v>
      </c>
      <c r="D29" s="3018"/>
      <c r="E29" s="3018"/>
      <c r="F29" s="3018"/>
      <c r="G29" s="3018"/>
      <c r="H29" s="3018"/>
      <c r="I29" s="3018"/>
      <c r="J29" s="3019"/>
      <c r="K29" s="3018" t="s">
        <v>12467</v>
      </c>
      <c r="L29" s="3018" t="s">
        <v>12467</v>
      </c>
      <c r="M29" s="3018"/>
      <c r="N29" s="3018"/>
      <c r="O29" s="3018"/>
    </row>
    <row r="30" spans="1:16">
      <c r="A30" s="4668"/>
      <c r="B30" s="4675"/>
      <c r="C30" s="3000" t="s">
        <v>12468</v>
      </c>
      <c r="D30" s="3000"/>
      <c r="E30" s="3000"/>
      <c r="F30" s="3000"/>
      <c r="G30" s="3000"/>
      <c r="H30" s="3000"/>
      <c r="I30" s="3000"/>
      <c r="J30" s="3019" t="s">
        <v>12467</v>
      </c>
      <c r="K30" s="3000" t="s">
        <v>12467</v>
      </c>
      <c r="L30" s="3000"/>
      <c r="M30" s="3000"/>
      <c r="N30" s="3000"/>
      <c r="O30" s="3000"/>
    </row>
    <row r="31" spans="1:16">
      <c r="A31" s="4668"/>
      <c r="B31" s="4675"/>
      <c r="C31" s="3020" t="s">
        <v>12469</v>
      </c>
      <c r="D31" s="3020"/>
      <c r="E31" s="3020"/>
      <c r="F31" s="3020"/>
      <c r="G31" s="3020"/>
      <c r="H31" s="3020"/>
      <c r="I31" s="3020" t="s">
        <v>12467</v>
      </c>
      <c r="J31" s="3021" t="s">
        <v>12467</v>
      </c>
      <c r="K31" s="3018"/>
      <c r="L31" s="3018"/>
      <c r="M31" s="3018"/>
      <c r="N31" s="3018"/>
      <c r="O31" s="3018"/>
    </row>
    <row r="32" spans="1:16">
      <c r="A32" s="4668"/>
      <c r="B32" s="4664" t="s">
        <v>12481</v>
      </c>
      <c r="C32" s="3018" t="s">
        <v>12466</v>
      </c>
      <c r="D32" s="3018"/>
      <c r="E32" s="3018"/>
      <c r="F32" s="3018"/>
      <c r="G32" s="3018"/>
      <c r="H32" s="3018" t="s">
        <v>12467</v>
      </c>
      <c r="I32" s="3018" t="s">
        <v>12467</v>
      </c>
      <c r="J32" s="3019" t="s">
        <v>12467</v>
      </c>
      <c r="K32" s="3018"/>
      <c r="L32" s="3018"/>
      <c r="M32" s="3018"/>
      <c r="N32" s="3018"/>
      <c r="O32" s="3018"/>
    </row>
    <row r="33" spans="1:15">
      <c r="A33" s="4668"/>
      <c r="B33" s="4675"/>
      <c r="C33" s="3000" t="s">
        <v>12468</v>
      </c>
      <c r="D33" s="3000"/>
      <c r="E33" s="3000"/>
      <c r="F33" s="3000" t="s">
        <v>12467</v>
      </c>
      <c r="G33" s="3000" t="s">
        <v>12467</v>
      </c>
      <c r="H33" s="3000" t="s">
        <v>12467</v>
      </c>
      <c r="I33" s="3000"/>
      <c r="J33" s="3019"/>
      <c r="K33" s="3000"/>
      <c r="L33" s="3000"/>
      <c r="M33" s="3000"/>
      <c r="N33" s="3000"/>
      <c r="O33" s="3000"/>
    </row>
    <row r="34" spans="1:15">
      <c r="A34" s="4668"/>
      <c r="B34" s="4675"/>
      <c r="C34" s="3020" t="s">
        <v>12469</v>
      </c>
      <c r="D34" s="3020" t="s">
        <v>12467</v>
      </c>
      <c r="E34" s="3020" t="s">
        <v>12467</v>
      </c>
      <c r="F34" s="3020" t="s">
        <v>12467</v>
      </c>
      <c r="G34" s="3018"/>
      <c r="H34" s="3018"/>
      <c r="I34" s="3018"/>
      <c r="J34" s="3019"/>
      <c r="K34" s="3018"/>
      <c r="L34" s="3018"/>
      <c r="M34" s="3018"/>
      <c r="N34" s="3018"/>
      <c r="O34" s="3018"/>
    </row>
    <row r="35" spans="1:15">
      <c r="A35" s="4668"/>
      <c r="B35" s="4664" t="s">
        <v>12482</v>
      </c>
      <c r="C35" s="3018" t="s">
        <v>12466</v>
      </c>
      <c r="D35" s="3018"/>
      <c r="E35" s="3018"/>
      <c r="F35" s="3018"/>
      <c r="G35" s="3018"/>
      <c r="H35" s="3018"/>
      <c r="I35" s="3018"/>
      <c r="J35" s="3019"/>
      <c r="K35" s="3018" t="s">
        <v>12467</v>
      </c>
      <c r="L35" s="3018" t="s">
        <v>12467</v>
      </c>
      <c r="M35" s="3018"/>
      <c r="N35" s="3018"/>
      <c r="O35" s="3018"/>
    </row>
    <row r="36" spans="1:15">
      <c r="A36" s="4668"/>
      <c r="B36" s="4664"/>
      <c r="C36" s="3000" t="s">
        <v>12468</v>
      </c>
      <c r="D36" s="3000"/>
      <c r="E36" s="3000" t="s">
        <v>12467</v>
      </c>
      <c r="F36" s="3000" t="s">
        <v>12467</v>
      </c>
      <c r="G36" s="3000" t="s">
        <v>12467</v>
      </c>
      <c r="H36" s="3000" t="s">
        <v>12467</v>
      </c>
      <c r="I36" s="3000"/>
      <c r="J36" s="3019"/>
      <c r="K36" s="3000"/>
      <c r="L36" s="3000"/>
      <c r="M36" s="3000"/>
      <c r="N36" s="3000"/>
      <c r="O36" s="3000"/>
    </row>
    <row r="37" spans="1:15">
      <c r="A37" s="4668"/>
      <c r="B37" s="4666" t="s">
        <v>12473</v>
      </c>
      <c r="C37" s="4666"/>
      <c r="D37" s="3018"/>
      <c r="E37" s="3018" t="s">
        <v>12467</v>
      </c>
      <c r="F37" s="3018" t="s">
        <v>12467</v>
      </c>
      <c r="G37" s="3018" t="s">
        <v>12467</v>
      </c>
      <c r="H37" s="3018" t="s">
        <v>12467</v>
      </c>
      <c r="I37" s="3018"/>
      <c r="J37" s="3019"/>
      <c r="K37" s="3018"/>
      <c r="L37" s="3018"/>
      <c r="M37" s="3018"/>
      <c r="N37" s="3018"/>
      <c r="O37" s="3018"/>
    </row>
    <row r="38" spans="1:15">
      <c r="A38" s="4668"/>
      <c r="B38" s="4666" t="s">
        <v>12483</v>
      </c>
      <c r="C38" s="4666"/>
      <c r="D38" s="3018" t="s">
        <v>12467</v>
      </c>
      <c r="E38" s="3018" t="s">
        <v>12467</v>
      </c>
      <c r="F38" s="3018"/>
      <c r="G38" s="3018"/>
      <c r="H38" s="3018"/>
      <c r="I38" s="3018"/>
      <c r="J38" s="3019"/>
      <c r="K38" s="3018"/>
      <c r="L38" s="3018"/>
      <c r="M38" s="3018"/>
      <c r="N38" s="3018"/>
      <c r="O38" s="3018"/>
    </row>
    <row r="39" spans="1:15">
      <c r="A39" s="4668"/>
      <c r="B39" s="4666" t="s">
        <v>12484</v>
      </c>
      <c r="C39" s="4666"/>
      <c r="D39" s="3018"/>
      <c r="E39" s="3018"/>
      <c r="F39" s="3018"/>
      <c r="G39" s="3018"/>
      <c r="H39" s="3018"/>
      <c r="I39" s="3018"/>
      <c r="J39" s="3019" t="s">
        <v>12467</v>
      </c>
      <c r="K39" s="3018" t="s">
        <v>12467</v>
      </c>
      <c r="L39" s="3018" t="s">
        <v>12467</v>
      </c>
      <c r="M39" s="3018" t="s">
        <v>12467</v>
      </c>
      <c r="N39" s="3018" t="s">
        <v>12467</v>
      </c>
      <c r="O39" s="3018" t="s">
        <v>12467</v>
      </c>
    </row>
    <row r="40" spans="1:15">
      <c r="A40" s="4668" t="s">
        <v>12485</v>
      </c>
      <c r="B40" s="4671" t="s">
        <v>12486</v>
      </c>
      <c r="C40" s="3022" t="s">
        <v>12466</v>
      </c>
      <c r="D40" s="3022"/>
      <c r="E40" s="3022"/>
      <c r="F40" s="3022"/>
      <c r="G40" s="3022"/>
      <c r="H40" s="3022"/>
      <c r="I40" s="3022"/>
      <c r="J40" s="3019" t="s">
        <v>12467</v>
      </c>
      <c r="K40" s="3022" t="s">
        <v>12467</v>
      </c>
      <c r="L40" s="3022" t="s">
        <v>12467</v>
      </c>
      <c r="M40" s="3022" t="s">
        <v>12467</v>
      </c>
      <c r="N40" s="3022"/>
      <c r="O40" s="3022"/>
    </row>
    <row r="41" spans="1:15">
      <c r="A41" s="4668"/>
      <c r="B41" s="4672"/>
      <c r="C41" s="3000" t="s">
        <v>12468</v>
      </c>
      <c r="D41" s="3000"/>
      <c r="E41" s="3000"/>
      <c r="F41" s="3000"/>
      <c r="G41" s="3000"/>
      <c r="H41" s="3000" t="s">
        <v>12467</v>
      </c>
      <c r="I41" s="3000" t="s">
        <v>12467</v>
      </c>
      <c r="J41" s="3019" t="s">
        <v>12467</v>
      </c>
      <c r="K41" s="3000" t="s">
        <v>12467</v>
      </c>
      <c r="L41" s="3000"/>
      <c r="M41" s="3000"/>
      <c r="N41" s="3000"/>
      <c r="O41" s="3000"/>
    </row>
    <row r="42" spans="1:15">
      <c r="A42" s="4668"/>
      <c r="B42" s="4672"/>
      <c r="C42" s="3023" t="s">
        <v>12469</v>
      </c>
      <c r="D42" s="3023"/>
      <c r="E42" s="3023"/>
      <c r="F42" s="3023"/>
      <c r="G42" s="3023" t="s">
        <v>12467</v>
      </c>
      <c r="H42" s="3023" t="s">
        <v>12467</v>
      </c>
      <c r="I42" s="3022"/>
      <c r="J42" s="3019"/>
      <c r="K42" s="3022"/>
      <c r="L42" s="3022"/>
      <c r="M42" s="3022"/>
      <c r="N42" s="3022"/>
      <c r="O42" s="3022"/>
    </row>
    <row r="43" spans="1:15">
      <c r="A43" s="4668"/>
      <c r="B43" s="4673" t="s">
        <v>12487</v>
      </c>
      <c r="C43" s="3000" t="s">
        <v>12468</v>
      </c>
      <c r="D43" s="3000"/>
      <c r="E43" s="3000"/>
      <c r="F43" s="3000" t="s">
        <v>12467</v>
      </c>
      <c r="G43" s="3000" t="s">
        <v>12467</v>
      </c>
      <c r="H43" s="3000"/>
      <c r="I43" s="3000"/>
      <c r="J43" s="3019"/>
      <c r="K43" s="3000"/>
      <c r="L43" s="3000"/>
      <c r="M43" s="3000"/>
      <c r="N43" s="3000"/>
      <c r="O43" s="3000"/>
    </row>
    <row r="44" spans="1:15">
      <c r="A44" s="4668"/>
      <c r="B44" s="4674"/>
      <c r="C44" s="3023" t="s">
        <v>12469</v>
      </c>
      <c r="D44" s="3023" t="s">
        <v>12467</v>
      </c>
      <c r="E44" s="3023" t="s">
        <v>12467</v>
      </c>
      <c r="F44" s="3023" t="s">
        <v>12467</v>
      </c>
      <c r="G44" s="3023"/>
      <c r="H44" s="3022"/>
      <c r="I44" s="3022"/>
      <c r="J44" s="3019"/>
      <c r="K44" s="3022"/>
      <c r="L44" s="3022"/>
      <c r="M44" s="3022"/>
      <c r="N44" s="3022"/>
      <c r="O44" s="3022"/>
    </row>
    <row r="45" spans="1:15">
      <c r="A45" s="4668"/>
      <c r="B45" s="4672" t="s">
        <v>12488</v>
      </c>
      <c r="C45" s="4672"/>
      <c r="D45" s="3022"/>
      <c r="E45" s="3022"/>
      <c r="F45" s="3022"/>
      <c r="G45" s="3022"/>
      <c r="H45" s="3022" t="s">
        <v>12467</v>
      </c>
      <c r="I45" s="3022" t="s">
        <v>12467</v>
      </c>
      <c r="J45" s="3019" t="s">
        <v>12467</v>
      </c>
      <c r="K45" s="3022"/>
      <c r="L45" s="3022"/>
      <c r="M45" s="3022"/>
      <c r="N45" s="3022"/>
      <c r="O45" s="3022"/>
    </row>
    <row r="46" spans="1:15">
      <c r="A46" s="4668"/>
      <c r="B46" s="4672" t="s">
        <v>12489</v>
      </c>
      <c r="C46" s="4672"/>
      <c r="D46" s="3022"/>
      <c r="E46" s="3022"/>
      <c r="F46" s="3022"/>
      <c r="G46" s="3022"/>
      <c r="H46" s="3022" t="s">
        <v>12467</v>
      </c>
      <c r="I46" s="3022" t="s">
        <v>12467</v>
      </c>
      <c r="J46" s="3019" t="s">
        <v>12467</v>
      </c>
      <c r="K46" s="3022"/>
      <c r="L46" s="3022"/>
      <c r="M46" s="3022"/>
      <c r="N46" s="3022"/>
      <c r="O46" s="3022"/>
    </row>
    <row r="47" spans="1:15">
      <c r="A47" s="4668"/>
      <c r="B47" s="4673" t="s">
        <v>12490</v>
      </c>
      <c r="C47" s="3000" t="s">
        <v>12468</v>
      </c>
      <c r="D47" s="3000"/>
      <c r="E47" s="3000"/>
      <c r="F47" s="3000"/>
      <c r="G47" s="3000" t="s">
        <v>12467</v>
      </c>
      <c r="H47" s="3000" t="s">
        <v>12467</v>
      </c>
      <c r="I47" s="3000"/>
      <c r="J47" s="3019"/>
      <c r="K47" s="3000"/>
      <c r="L47" s="3000"/>
      <c r="M47" s="3000"/>
      <c r="N47" s="3000"/>
      <c r="O47" s="3000"/>
    </row>
    <row r="48" spans="1:15">
      <c r="A48" s="4668"/>
      <c r="B48" s="4674"/>
      <c r="C48" s="3023" t="s">
        <v>12469</v>
      </c>
      <c r="D48" s="3023"/>
      <c r="E48" s="3023"/>
      <c r="F48" s="3023" t="s">
        <v>12467</v>
      </c>
      <c r="G48" s="3023" t="s">
        <v>12467</v>
      </c>
      <c r="H48" s="3022"/>
      <c r="I48" s="3022"/>
      <c r="J48" s="3019"/>
      <c r="K48" s="3022"/>
      <c r="L48" s="3022"/>
      <c r="M48" s="3022"/>
      <c r="N48" s="3022"/>
      <c r="O48" s="3022"/>
    </row>
    <row r="49" spans="1:16">
      <c r="A49" s="4668"/>
      <c r="B49" s="4673" t="s">
        <v>12491</v>
      </c>
      <c r="C49" s="3000" t="s">
        <v>12468</v>
      </c>
      <c r="D49" s="3000"/>
      <c r="E49" s="3000"/>
      <c r="F49" s="3000"/>
      <c r="G49" s="3000" t="s">
        <v>12467</v>
      </c>
      <c r="H49" s="3000" t="s">
        <v>12467</v>
      </c>
      <c r="I49" s="3000" t="s">
        <v>12467</v>
      </c>
      <c r="J49" s="3019"/>
      <c r="K49" s="3000"/>
      <c r="L49" s="3000"/>
      <c r="M49" s="3000"/>
      <c r="N49" s="3000"/>
      <c r="O49" s="3000"/>
    </row>
    <row r="50" spans="1:16">
      <c r="A50" s="4668"/>
      <c r="B50" s="4674"/>
      <c r="C50" s="3023" t="s">
        <v>12469</v>
      </c>
      <c r="D50" s="3023" t="s">
        <v>12467</v>
      </c>
      <c r="E50" s="3023" t="s">
        <v>12467</v>
      </c>
      <c r="F50" s="3023" t="s">
        <v>12467</v>
      </c>
      <c r="G50" s="3023" t="s">
        <v>12467</v>
      </c>
      <c r="H50" s="3023"/>
      <c r="I50" s="3022"/>
      <c r="J50" s="3019"/>
      <c r="K50" s="3022"/>
      <c r="L50" s="3022"/>
      <c r="M50" s="3022"/>
      <c r="N50" s="3022"/>
      <c r="O50" s="3022"/>
    </row>
    <row r="51" spans="1:16">
      <c r="A51" s="4668"/>
      <c r="B51" s="4672" t="s">
        <v>12492</v>
      </c>
      <c r="C51" s="4672"/>
      <c r="D51" s="3022"/>
      <c r="E51" s="3022"/>
      <c r="F51" s="3022"/>
      <c r="G51" s="3022"/>
      <c r="H51" s="3022" t="s">
        <v>12467</v>
      </c>
      <c r="I51" s="3022" t="s">
        <v>12467</v>
      </c>
      <c r="J51" s="3019" t="s">
        <v>12467</v>
      </c>
      <c r="K51" s="3022"/>
      <c r="L51" s="3022"/>
      <c r="M51" s="3022"/>
      <c r="N51" s="3022"/>
      <c r="O51" s="3022"/>
      <c r="P51" s="3162" t="s">
        <v>12708</v>
      </c>
    </row>
    <row r="52" spans="1:16">
      <c r="A52" s="1989"/>
      <c r="B52" s="1989"/>
      <c r="C52" s="1989"/>
      <c r="D52" s="1989"/>
      <c r="E52" s="1989"/>
      <c r="F52" s="1989"/>
      <c r="G52" s="1989"/>
      <c r="H52" s="1989"/>
      <c r="I52" s="1989"/>
      <c r="J52" s="1989"/>
      <c r="K52" s="1989"/>
      <c r="L52" s="1989"/>
      <c r="M52" s="1989"/>
      <c r="N52" s="1989"/>
      <c r="O52" s="1989"/>
    </row>
    <row r="53" spans="1:16" ht="20.25">
      <c r="A53" s="4677" t="s">
        <v>12463</v>
      </c>
      <c r="B53" s="4677"/>
      <c r="C53" s="4661" t="s">
        <v>12493</v>
      </c>
      <c r="D53" s="4661"/>
      <c r="E53" s="4661"/>
      <c r="F53" s="4661"/>
      <c r="G53" s="4661"/>
      <c r="H53" s="4661"/>
      <c r="I53" s="4661"/>
      <c r="J53" s="4661"/>
      <c r="K53" s="4661"/>
      <c r="L53" s="4661"/>
      <c r="M53" s="4661"/>
      <c r="N53" s="4661"/>
      <c r="O53" s="3024"/>
    </row>
    <row r="54" spans="1:16">
      <c r="A54" s="4677"/>
      <c r="B54" s="4677"/>
      <c r="C54" s="2993">
        <v>1</v>
      </c>
      <c r="D54" s="2993">
        <v>2</v>
      </c>
      <c r="E54" s="2993">
        <v>3</v>
      </c>
      <c r="F54" s="2993">
        <v>4</v>
      </c>
      <c r="G54" s="2993">
        <v>5</v>
      </c>
      <c r="H54" s="2993">
        <v>6</v>
      </c>
      <c r="I54" s="2993">
        <v>7</v>
      </c>
      <c r="J54" s="2993">
        <v>8</v>
      </c>
      <c r="K54" s="2993">
        <v>9</v>
      </c>
      <c r="L54" s="2993">
        <v>10</v>
      </c>
      <c r="M54" s="2993">
        <v>11</v>
      </c>
      <c r="N54" s="2993">
        <v>12</v>
      </c>
      <c r="O54" s="1989"/>
    </row>
    <row r="55" spans="1:16">
      <c r="A55" s="4676" t="s">
        <v>12494</v>
      </c>
      <c r="B55" s="4676"/>
      <c r="C55" s="4676"/>
      <c r="D55" s="4676"/>
      <c r="E55" s="4676"/>
      <c r="F55" s="4676"/>
      <c r="G55" s="4676"/>
      <c r="H55" s="4676"/>
      <c r="I55" s="4676"/>
      <c r="J55" s="4676"/>
      <c r="K55" s="4676"/>
      <c r="L55" s="4676"/>
      <c r="M55" s="4676"/>
      <c r="N55" s="4676"/>
      <c r="O55" s="1989"/>
    </row>
    <row r="56" spans="1:16">
      <c r="A56" s="4672" t="s">
        <v>12473</v>
      </c>
      <c r="B56" s="4672"/>
      <c r="C56" s="3025" t="s">
        <v>12467</v>
      </c>
      <c r="D56" s="3025" t="s">
        <v>12467</v>
      </c>
      <c r="E56" s="3025" t="s">
        <v>12467</v>
      </c>
      <c r="F56" s="3025" t="s">
        <v>12467</v>
      </c>
      <c r="G56" s="3025"/>
      <c r="H56" s="3025"/>
      <c r="I56" s="3025"/>
      <c r="J56" s="3025"/>
      <c r="K56" s="3025"/>
      <c r="L56" s="3025"/>
      <c r="M56" s="3025"/>
      <c r="N56" s="3025"/>
      <c r="O56" s="1989"/>
    </row>
    <row r="57" spans="1:16">
      <c r="A57" s="4672" t="s">
        <v>12495</v>
      </c>
      <c r="B57" s="4672"/>
      <c r="C57" s="3025" t="s">
        <v>12467</v>
      </c>
      <c r="D57" s="3025" t="s">
        <v>12467</v>
      </c>
      <c r="E57" s="3025" t="s">
        <v>12467</v>
      </c>
      <c r="F57" s="3025" t="s">
        <v>12467</v>
      </c>
      <c r="G57" s="3025" t="s">
        <v>12467</v>
      </c>
      <c r="H57" s="3025" t="s">
        <v>12467</v>
      </c>
      <c r="I57" s="3025"/>
      <c r="J57" s="3025"/>
      <c r="K57" s="3025"/>
      <c r="L57" s="3025"/>
      <c r="M57" s="3025"/>
      <c r="N57" s="3025"/>
      <c r="O57" s="1989"/>
    </row>
    <row r="58" spans="1:16">
      <c r="A58" s="4668" t="s">
        <v>12472</v>
      </c>
      <c r="B58" s="3026" t="s">
        <v>12466</v>
      </c>
      <c r="C58" s="3027"/>
      <c r="D58" s="3027"/>
      <c r="E58" s="3027"/>
      <c r="F58" s="3027"/>
      <c r="G58" s="3027" t="s">
        <v>12467</v>
      </c>
      <c r="H58" s="3027" t="s">
        <v>12467</v>
      </c>
      <c r="I58" s="3027" t="s">
        <v>12467</v>
      </c>
      <c r="J58" s="3027" t="s">
        <v>12467</v>
      </c>
      <c r="K58" s="3027"/>
      <c r="L58" s="3027"/>
      <c r="M58" s="3027"/>
      <c r="N58" s="3027"/>
      <c r="O58" s="1989"/>
    </row>
    <row r="59" spans="1:16">
      <c r="A59" s="4668"/>
      <c r="B59" s="3026" t="s">
        <v>12468</v>
      </c>
      <c r="C59" s="3027"/>
      <c r="D59" s="3027"/>
      <c r="E59" s="3027"/>
      <c r="F59" s="3027" t="s">
        <v>12467</v>
      </c>
      <c r="G59" s="3027" t="s">
        <v>12467</v>
      </c>
      <c r="H59" s="3027" t="s">
        <v>12467</v>
      </c>
      <c r="I59" s="3027"/>
      <c r="J59" s="3027"/>
      <c r="K59" s="3027"/>
      <c r="L59" s="3027"/>
      <c r="M59" s="3027"/>
      <c r="N59" s="3027"/>
      <c r="O59" s="1989"/>
    </row>
    <row r="60" spans="1:16">
      <c r="A60" s="4668"/>
      <c r="B60" s="3026" t="s">
        <v>12469</v>
      </c>
      <c r="C60" s="3027"/>
      <c r="D60" s="3027" t="s">
        <v>12467</v>
      </c>
      <c r="E60" s="3027" t="s">
        <v>12467</v>
      </c>
      <c r="F60" s="3027" t="s">
        <v>12467</v>
      </c>
      <c r="G60" s="3027"/>
      <c r="H60" s="3027"/>
      <c r="I60" s="3027"/>
      <c r="J60" s="3027"/>
      <c r="K60" s="3027"/>
      <c r="L60" s="3027"/>
      <c r="M60" s="3027"/>
      <c r="N60" s="3027"/>
      <c r="O60" s="1989"/>
    </row>
    <row r="61" spans="1:16">
      <c r="A61" s="4672" t="s">
        <v>12470</v>
      </c>
      <c r="B61" s="4672"/>
      <c r="C61" s="3025"/>
      <c r="D61" s="3025"/>
      <c r="E61" s="3025"/>
      <c r="F61" s="3025"/>
      <c r="G61" s="3025"/>
      <c r="H61" s="3028" t="s">
        <v>12467</v>
      </c>
      <c r="I61" s="3028" t="s">
        <v>12467</v>
      </c>
      <c r="J61" s="3028" t="s">
        <v>12467</v>
      </c>
      <c r="K61" s="3028" t="s">
        <v>12467</v>
      </c>
      <c r="L61" s="3028" t="s">
        <v>12467</v>
      </c>
      <c r="M61" s="3028" t="s">
        <v>12467</v>
      </c>
      <c r="N61" s="3025"/>
      <c r="O61" s="1989"/>
    </row>
    <row r="62" spans="1:16">
      <c r="A62" s="4672" t="s">
        <v>12471</v>
      </c>
      <c r="B62" s="4672"/>
      <c r="C62" s="3025"/>
      <c r="D62" s="3025"/>
      <c r="E62" s="3025"/>
      <c r="F62" s="3025"/>
      <c r="G62" s="3025"/>
      <c r="H62" s="3028"/>
      <c r="I62" s="3028" t="s">
        <v>12467</v>
      </c>
      <c r="J62" s="3028" t="s">
        <v>12467</v>
      </c>
      <c r="K62" s="3028" t="s">
        <v>12467</v>
      </c>
      <c r="L62" s="3028" t="s">
        <v>12467</v>
      </c>
      <c r="M62" s="3028" t="s">
        <v>12467</v>
      </c>
      <c r="N62" s="3025"/>
      <c r="O62" s="1989"/>
    </row>
    <row r="63" spans="1:16">
      <c r="A63" s="4672" t="s">
        <v>12496</v>
      </c>
      <c r="B63" s="4672"/>
      <c r="C63" s="3025"/>
      <c r="D63" s="3025"/>
      <c r="E63" s="3025"/>
      <c r="F63" s="3025"/>
      <c r="G63" s="3025"/>
      <c r="H63" s="3028"/>
      <c r="I63" s="3028" t="s">
        <v>12467</v>
      </c>
      <c r="J63" s="3028" t="s">
        <v>12467</v>
      </c>
      <c r="K63" s="3028" t="s">
        <v>12467</v>
      </c>
      <c r="L63" s="3028"/>
      <c r="M63" s="3028"/>
      <c r="N63" s="3025"/>
      <c r="O63" s="1989"/>
    </row>
    <row r="64" spans="1:16">
      <c r="A64" s="4672" t="s">
        <v>12497</v>
      </c>
      <c r="B64" s="4672"/>
      <c r="C64" s="3025"/>
      <c r="D64" s="3025"/>
      <c r="E64" s="3025"/>
      <c r="F64" s="3025"/>
      <c r="G64" s="3025"/>
      <c r="H64" s="3028"/>
      <c r="I64" s="3028" t="s">
        <v>12467</v>
      </c>
      <c r="J64" s="3028" t="s">
        <v>12467</v>
      </c>
      <c r="K64" s="3028"/>
      <c r="L64" s="3028"/>
      <c r="M64" s="3028"/>
      <c r="N64" s="3025"/>
      <c r="O64" s="1989"/>
    </row>
    <row r="65" spans="1:16">
      <c r="A65" s="4676" t="s">
        <v>12498</v>
      </c>
      <c r="B65" s="4676"/>
      <c r="C65" s="4676"/>
      <c r="D65" s="4676"/>
      <c r="E65" s="4676"/>
      <c r="F65" s="4676"/>
      <c r="G65" s="4676"/>
      <c r="H65" s="4676"/>
      <c r="I65" s="4676"/>
      <c r="J65" s="4676"/>
      <c r="K65" s="4676"/>
      <c r="L65" s="4676"/>
      <c r="M65" s="4676"/>
      <c r="N65" s="4676"/>
      <c r="O65" s="1989"/>
    </row>
    <row r="66" spans="1:16">
      <c r="A66" s="4668" t="s">
        <v>12472</v>
      </c>
      <c r="B66" s="3022"/>
      <c r="C66" s="3025"/>
      <c r="D66" s="3025"/>
      <c r="E66" s="3025"/>
      <c r="F66" s="3025"/>
      <c r="G66" s="3025"/>
      <c r="H66" s="3025"/>
      <c r="I66" s="3025" t="s">
        <v>12467</v>
      </c>
      <c r="J66" s="3025" t="s">
        <v>12467</v>
      </c>
      <c r="K66" s="3025"/>
      <c r="L66" s="3025"/>
      <c r="M66" s="3025"/>
      <c r="N66" s="3025"/>
      <c r="O66" s="1989"/>
    </row>
    <row r="67" spans="1:16">
      <c r="A67" s="4668"/>
      <c r="B67" s="3022"/>
      <c r="C67" s="3025"/>
      <c r="D67" s="3025"/>
      <c r="E67" s="3025"/>
      <c r="F67" s="3025" t="s">
        <v>12467</v>
      </c>
      <c r="G67" s="3025" t="s">
        <v>12467</v>
      </c>
      <c r="H67" s="3025" t="s">
        <v>12467</v>
      </c>
      <c r="I67" s="3025" t="s">
        <v>12467</v>
      </c>
      <c r="J67" s="3025"/>
      <c r="K67" s="3025"/>
      <c r="L67" s="3025"/>
      <c r="M67" s="3025"/>
      <c r="N67" s="3025"/>
      <c r="O67" s="1989"/>
    </row>
    <row r="68" spans="1:16">
      <c r="A68" s="4669" t="s">
        <v>12499</v>
      </c>
      <c r="B68" s="3000"/>
      <c r="C68" s="2999"/>
      <c r="D68" s="2999"/>
      <c r="E68" s="2999"/>
      <c r="F68" s="2999"/>
      <c r="G68" s="2999"/>
      <c r="H68" s="2999"/>
      <c r="I68" s="2999"/>
      <c r="J68" s="2999" t="s">
        <v>12467</v>
      </c>
      <c r="K68" s="2999" t="s">
        <v>12467</v>
      </c>
      <c r="L68" s="2999" t="s">
        <v>12467</v>
      </c>
      <c r="M68" s="2999"/>
      <c r="N68" s="2999"/>
      <c r="O68" s="1989"/>
    </row>
    <row r="69" spans="1:16">
      <c r="A69" s="4670"/>
      <c r="B69" s="3000"/>
      <c r="C69" s="2999"/>
      <c r="D69" s="2999"/>
      <c r="E69" s="2999"/>
      <c r="F69" s="2999"/>
      <c r="G69" s="2999"/>
      <c r="H69" s="2999"/>
      <c r="I69" s="2999" t="s">
        <v>12467</v>
      </c>
      <c r="J69" s="2999" t="s">
        <v>12467</v>
      </c>
      <c r="K69" s="2999"/>
      <c r="L69" s="2999"/>
      <c r="M69" s="2999"/>
      <c r="N69" s="2999"/>
      <c r="O69" s="1989"/>
    </row>
    <row r="70" spans="1:16">
      <c r="A70" s="4418"/>
      <c r="B70" s="3000"/>
      <c r="C70" s="2999"/>
      <c r="D70" s="2999"/>
      <c r="E70" s="2999"/>
      <c r="F70" s="2999"/>
      <c r="G70" s="2999"/>
      <c r="H70" s="2999" t="s">
        <v>12467</v>
      </c>
      <c r="I70" s="2999" t="s">
        <v>12467</v>
      </c>
      <c r="J70" s="2999"/>
      <c r="K70" s="2999"/>
      <c r="L70" s="2999"/>
      <c r="M70" s="2999"/>
      <c r="N70" s="2999"/>
      <c r="O70" s="1989"/>
    </row>
    <row r="71" spans="1:16">
      <c r="A71" s="4678" t="s">
        <v>12500</v>
      </c>
      <c r="B71" s="4679"/>
      <c r="C71" s="3025"/>
      <c r="D71" s="3025"/>
      <c r="E71" s="3025"/>
      <c r="F71" s="3025" t="s">
        <v>12467</v>
      </c>
      <c r="G71" s="3025" t="s">
        <v>12467</v>
      </c>
      <c r="H71" s="3025" t="s">
        <v>12467</v>
      </c>
      <c r="I71" s="3025"/>
      <c r="J71" s="3025"/>
      <c r="K71" s="3025"/>
      <c r="L71" s="3025"/>
      <c r="M71" s="3025"/>
      <c r="N71" s="3025"/>
      <c r="O71" s="1989"/>
    </row>
    <row r="72" spans="1:16">
      <c r="A72" s="4668" t="s">
        <v>12465</v>
      </c>
      <c r="B72" s="3000" t="s">
        <v>12466</v>
      </c>
      <c r="C72" s="2999"/>
      <c r="D72" s="2999"/>
      <c r="E72" s="2999"/>
      <c r="F72" s="2999"/>
      <c r="G72" s="2999"/>
      <c r="H72" s="2999"/>
      <c r="I72" s="2999"/>
      <c r="J72" s="2999"/>
      <c r="K72" s="2999"/>
      <c r="L72" s="2999" t="s">
        <v>12467</v>
      </c>
      <c r="M72" s="2999" t="s">
        <v>12467</v>
      </c>
      <c r="N72" s="2999"/>
      <c r="O72" s="1989"/>
    </row>
    <row r="73" spans="1:16">
      <c r="A73" s="4668"/>
      <c r="B73" s="3000" t="s">
        <v>12468</v>
      </c>
      <c r="C73" s="2999"/>
      <c r="D73" s="2999"/>
      <c r="E73" s="2999"/>
      <c r="F73" s="2999"/>
      <c r="G73" s="2999"/>
      <c r="H73" s="2999"/>
      <c r="I73" s="2999" t="s">
        <v>12467</v>
      </c>
      <c r="J73" s="2999" t="s">
        <v>12467</v>
      </c>
      <c r="K73" s="2999" t="s">
        <v>12467</v>
      </c>
      <c r="L73" s="2999" t="s">
        <v>12467</v>
      </c>
      <c r="M73" s="2999"/>
      <c r="N73" s="2999"/>
      <c r="O73" s="1989"/>
    </row>
    <row r="74" spans="1:16">
      <c r="A74" s="4672" t="s">
        <v>12470</v>
      </c>
      <c r="B74" s="4672"/>
      <c r="C74" s="3025"/>
      <c r="D74" s="3025"/>
      <c r="E74" s="3025"/>
      <c r="F74" s="3025"/>
      <c r="G74" s="3025"/>
      <c r="H74" s="3025" t="s">
        <v>12467</v>
      </c>
      <c r="I74" s="3025" t="s">
        <v>12467</v>
      </c>
      <c r="J74" s="3025" t="s">
        <v>12467</v>
      </c>
      <c r="K74" s="3025" t="s">
        <v>12467</v>
      </c>
      <c r="L74" s="3025" t="s">
        <v>12467</v>
      </c>
      <c r="M74" s="3025"/>
      <c r="N74" s="3025"/>
      <c r="O74" s="1989"/>
    </row>
    <row r="75" spans="1:16">
      <c r="A75" s="4672" t="s">
        <v>12484</v>
      </c>
      <c r="B75" s="4672"/>
      <c r="C75" s="3025"/>
      <c r="D75" s="3025"/>
      <c r="E75" s="3025"/>
      <c r="F75" s="3025"/>
      <c r="G75" s="3025"/>
      <c r="H75" s="3025"/>
      <c r="I75" s="3025"/>
      <c r="J75" s="3025"/>
      <c r="K75" s="3025" t="s">
        <v>12467</v>
      </c>
      <c r="L75" s="3025" t="s">
        <v>12467</v>
      </c>
      <c r="M75" s="3025" t="s">
        <v>12467</v>
      </c>
      <c r="N75" s="3025" t="s">
        <v>12467</v>
      </c>
      <c r="O75" s="1989"/>
      <c r="P75" s="3162" t="s">
        <v>12708</v>
      </c>
    </row>
    <row r="76" spans="1:16">
      <c r="A76" s="1989"/>
      <c r="B76" s="1989"/>
      <c r="C76" s="1989"/>
      <c r="D76" s="1989"/>
      <c r="E76" s="1989"/>
      <c r="F76" s="1989"/>
      <c r="G76" s="1989"/>
      <c r="H76" s="1989"/>
      <c r="I76" s="1989"/>
      <c r="J76" s="1989"/>
      <c r="K76" s="1989"/>
      <c r="L76" s="1989"/>
      <c r="M76" s="1989"/>
      <c r="N76" s="1989"/>
      <c r="O76" s="1989"/>
    </row>
    <row r="77" spans="1:16" ht="20.25">
      <c r="A77" s="4680" t="s">
        <v>12463</v>
      </c>
      <c r="B77" s="4681"/>
      <c r="C77" s="4682"/>
      <c r="D77" s="4661" t="s">
        <v>12501</v>
      </c>
      <c r="E77" s="4661"/>
      <c r="F77" s="4661"/>
      <c r="G77" s="4661"/>
      <c r="H77" s="4661"/>
      <c r="I77" s="4661"/>
      <c r="J77" s="4661"/>
      <c r="K77" s="4661"/>
      <c r="L77" s="4661"/>
      <c r="M77" s="4661"/>
      <c r="N77" s="4661"/>
      <c r="O77" s="1989"/>
    </row>
    <row r="78" spans="1:16">
      <c r="A78" s="4683"/>
      <c r="B78" s="4684"/>
      <c r="C78" s="4685"/>
      <c r="D78" s="2993">
        <v>1</v>
      </c>
      <c r="E78" s="2993">
        <v>2</v>
      </c>
      <c r="F78" s="2993">
        <v>3</v>
      </c>
      <c r="G78" s="2993">
        <v>4</v>
      </c>
      <c r="H78" s="2993">
        <v>5</v>
      </c>
      <c r="I78" s="2993">
        <v>6</v>
      </c>
      <c r="J78" s="2993">
        <v>7</v>
      </c>
      <c r="K78" s="2993">
        <v>8</v>
      </c>
      <c r="L78" s="2993">
        <v>9</v>
      </c>
      <c r="M78" s="2993">
        <v>10</v>
      </c>
      <c r="N78" s="2993">
        <v>11</v>
      </c>
      <c r="O78" s="1989"/>
    </row>
    <row r="79" spans="1:16">
      <c r="A79" s="4669" t="s">
        <v>12502</v>
      </c>
      <c r="B79" s="4686" t="s">
        <v>12503</v>
      </c>
      <c r="C79" s="4686"/>
      <c r="D79" s="2999"/>
      <c r="E79" s="2999"/>
      <c r="F79" s="2999"/>
      <c r="G79" s="2999" t="s">
        <v>12467</v>
      </c>
      <c r="H79" s="2999" t="s">
        <v>12467</v>
      </c>
      <c r="I79" s="2999" t="s">
        <v>12467</v>
      </c>
      <c r="J79" s="2999" t="s">
        <v>12467</v>
      </c>
      <c r="K79" s="2999" t="s">
        <v>12467</v>
      </c>
      <c r="L79" s="2999" t="s">
        <v>12467</v>
      </c>
      <c r="M79" s="2999"/>
      <c r="N79" s="2999"/>
      <c r="O79" s="1989"/>
    </row>
    <row r="80" spans="1:16">
      <c r="A80" s="4670"/>
      <c r="B80" s="4686" t="s">
        <v>12504</v>
      </c>
      <c r="C80" s="4686"/>
      <c r="D80" s="2999"/>
      <c r="E80" s="2999"/>
      <c r="F80" s="2999" t="s">
        <v>12467</v>
      </c>
      <c r="G80" s="2999" t="s">
        <v>12467</v>
      </c>
      <c r="H80" s="2999" t="s">
        <v>12467</v>
      </c>
      <c r="I80" s="2999" t="s">
        <v>12467</v>
      </c>
      <c r="J80" s="2999" t="s">
        <v>12467</v>
      </c>
      <c r="K80" s="2999" t="s">
        <v>12467</v>
      </c>
      <c r="L80" s="2999"/>
      <c r="M80" s="2999"/>
      <c r="N80" s="2999"/>
      <c r="O80" s="1989"/>
    </row>
    <row r="81" spans="1:15">
      <c r="A81" s="4672" t="s">
        <v>12505</v>
      </c>
      <c r="B81" s="4672"/>
      <c r="C81" s="4672"/>
      <c r="D81" s="3025"/>
      <c r="E81" s="3025"/>
      <c r="F81" s="3025"/>
      <c r="G81" s="3025"/>
      <c r="H81" s="3028" t="s">
        <v>12467</v>
      </c>
      <c r="I81" s="3028" t="s">
        <v>12467</v>
      </c>
      <c r="J81" s="3028" t="s">
        <v>12467</v>
      </c>
      <c r="K81" s="3025"/>
      <c r="L81" s="3025"/>
      <c r="M81" s="3025"/>
      <c r="N81" s="3025"/>
      <c r="O81" s="1989"/>
    </row>
    <row r="82" spans="1:15">
      <c r="A82" s="4668" t="s">
        <v>12472</v>
      </c>
      <c r="B82" s="4687" t="s">
        <v>12485</v>
      </c>
      <c r="C82" s="4687"/>
      <c r="D82" s="3027"/>
      <c r="E82" s="3027" t="s">
        <v>12467</v>
      </c>
      <c r="F82" s="3027" t="s">
        <v>12467</v>
      </c>
      <c r="G82" s="3027" t="s">
        <v>12467</v>
      </c>
      <c r="H82" s="3027" t="s">
        <v>12467</v>
      </c>
      <c r="I82" s="3027" t="s">
        <v>12467</v>
      </c>
      <c r="J82" s="3027" t="s">
        <v>12467</v>
      </c>
      <c r="K82" s="3027"/>
      <c r="L82" s="3027"/>
      <c r="M82" s="3027"/>
      <c r="N82" s="3027"/>
      <c r="O82" s="1989"/>
    </row>
    <row r="83" spans="1:15">
      <c r="A83" s="4668"/>
      <c r="B83" s="4687" t="s">
        <v>614</v>
      </c>
      <c r="C83" s="4687"/>
      <c r="D83" s="3027" t="s">
        <v>12467</v>
      </c>
      <c r="E83" s="3027" t="s">
        <v>12467</v>
      </c>
      <c r="F83" s="3027" t="s">
        <v>12467</v>
      </c>
      <c r="G83" s="3027" t="s">
        <v>12467</v>
      </c>
      <c r="H83" s="3027" t="s">
        <v>12467</v>
      </c>
      <c r="I83" s="3027" t="s">
        <v>12467</v>
      </c>
      <c r="J83" s="3027"/>
      <c r="K83" s="3027"/>
      <c r="L83" s="3027"/>
      <c r="M83" s="3027"/>
      <c r="N83" s="3027"/>
      <c r="O83" s="1989"/>
    </row>
    <row r="84" spans="1:15">
      <c r="A84" s="4672" t="s">
        <v>12506</v>
      </c>
      <c r="B84" s="4672"/>
      <c r="C84" s="4672"/>
      <c r="D84" s="3025"/>
      <c r="E84" s="3025" t="s">
        <v>12467</v>
      </c>
      <c r="F84" s="3025" t="s">
        <v>12467</v>
      </c>
      <c r="G84" s="3025" t="s">
        <v>12467</v>
      </c>
      <c r="H84" s="3025"/>
      <c r="I84" s="3025"/>
      <c r="J84" s="3025"/>
      <c r="K84" s="3025"/>
      <c r="L84" s="3025"/>
      <c r="M84" s="3025"/>
      <c r="N84" s="3025"/>
      <c r="O84" s="1989"/>
    </row>
    <row r="85" spans="1:15">
      <c r="A85" s="4672" t="s">
        <v>12507</v>
      </c>
      <c r="B85" s="4672"/>
      <c r="C85" s="4672"/>
      <c r="D85" s="3025" t="s">
        <v>12467</v>
      </c>
      <c r="E85" s="3025" t="s">
        <v>12467</v>
      </c>
      <c r="F85" s="3025" t="s">
        <v>12467</v>
      </c>
      <c r="G85" s="3025"/>
      <c r="H85" s="3025"/>
      <c r="I85" s="3025"/>
      <c r="J85" s="3025"/>
      <c r="K85" s="3025"/>
      <c r="L85" s="3025"/>
      <c r="M85" s="3025"/>
      <c r="N85" s="3025"/>
      <c r="O85" s="1989"/>
    </row>
    <row r="86" spans="1:15">
      <c r="A86" s="1989"/>
      <c r="B86" s="1989"/>
      <c r="C86" s="1989"/>
      <c r="D86" s="1989"/>
      <c r="E86" s="1989"/>
      <c r="F86" s="1989"/>
      <c r="G86" s="1989"/>
      <c r="H86" s="1989"/>
      <c r="I86" s="1989"/>
      <c r="J86" s="1989"/>
      <c r="K86" s="1989"/>
      <c r="L86" s="1989"/>
      <c r="M86" s="1989"/>
      <c r="N86" s="1989"/>
      <c r="O86" s="1989"/>
    </row>
  </sheetData>
  <mergeCells count="55">
    <mergeCell ref="D77:N77"/>
    <mergeCell ref="A79:A80"/>
    <mergeCell ref="B79:C79"/>
    <mergeCell ref="B80:C80"/>
    <mergeCell ref="A82:A83"/>
    <mergeCell ref="B82:C82"/>
    <mergeCell ref="B83:C83"/>
    <mergeCell ref="A81:C81"/>
    <mergeCell ref="A71:B71"/>
    <mergeCell ref="A72:A73"/>
    <mergeCell ref="A74:B74"/>
    <mergeCell ref="A84:C84"/>
    <mergeCell ref="A85:C85"/>
    <mergeCell ref="A75:B75"/>
    <mergeCell ref="A77:C78"/>
    <mergeCell ref="A65:N65"/>
    <mergeCell ref="B51:C51"/>
    <mergeCell ref="A53:B54"/>
    <mergeCell ref="C53:N53"/>
    <mergeCell ref="A55:N55"/>
    <mergeCell ref="A56:B56"/>
    <mergeCell ref="A57:B57"/>
    <mergeCell ref="A58:A60"/>
    <mergeCell ref="A61:B61"/>
    <mergeCell ref="A62:B62"/>
    <mergeCell ref="A63:B63"/>
    <mergeCell ref="A64:B64"/>
    <mergeCell ref="A66:A67"/>
    <mergeCell ref="A68:A70"/>
    <mergeCell ref="B37:C37"/>
    <mergeCell ref="B38:C38"/>
    <mergeCell ref="B39:C39"/>
    <mergeCell ref="A40:A51"/>
    <mergeCell ref="B40:B42"/>
    <mergeCell ref="B43:B44"/>
    <mergeCell ref="B45:C45"/>
    <mergeCell ref="B46:C46"/>
    <mergeCell ref="B47:B48"/>
    <mergeCell ref="B49:B50"/>
    <mergeCell ref="A25:A39"/>
    <mergeCell ref="B27:B28"/>
    <mergeCell ref="B29:B31"/>
    <mergeCell ref="B32:B34"/>
    <mergeCell ref="B35:B36"/>
    <mergeCell ref="A15:A17"/>
    <mergeCell ref="A18:A20"/>
    <mergeCell ref="A23:A24"/>
    <mergeCell ref="B23:C24"/>
    <mergeCell ref="D23:O23"/>
    <mergeCell ref="A12:A14"/>
    <mergeCell ref="A1:B2"/>
    <mergeCell ref="C1:N1"/>
    <mergeCell ref="A3:A5"/>
    <mergeCell ref="A6:A8"/>
    <mergeCell ref="A9:A11"/>
  </mergeCells>
  <phoneticPr fontId="378" type="noConversion"/>
  <hyperlinks>
    <hyperlink ref="P21" location="总目录!A1" display="返回目录"/>
    <hyperlink ref="P51" location="总目录!A1" display="返回目录"/>
    <hyperlink ref="P75" location="总目录!A1" display="返回目录"/>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election activeCell="K3" sqref="K3"/>
    </sheetView>
  </sheetViews>
  <sheetFormatPr defaultRowHeight="16.5"/>
  <cols>
    <col min="1" max="2" width="13.5" customWidth="1"/>
    <col min="3" max="3" width="16.875" customWidth="1"/>
  </cols>
  <sheetData>
    <row r="1" spans="1:4" ht="18.75">
      <c r="A1" s="3029" t="s">
        <v>1904</v>
      </c>
      <c r="B1" s="3030" t="s">
        <v>12509</v>
      </c>
      <c r="C1" s="3031" t="s">
        <v>12510</v>
      </c>
      <c r="D1" s="3032" t="s">
        <v>12511</v>
      </c>
    </row>
    <row r="2" spans="1:4">
      <c r="A2" s="3033" t="s">
        <v>12512</v>
      </c>
      <c r="B2" s="3034">
        <v>9240</v>
      </c>
      <c r="C2" s="3035"/>
      <c r="D2" s="1839"/>
    </row>
    <row r="3" spans="1:4">
      <c r="A3" s="2914" t="s">
        <v>368</v>
      </c>
      <c r="B3" s="2919">
        <v>7850</v>
      </c>
      <c r="C3" s="3036">
        <v>0.46050000000000002</v>
      </c>
      <c r="D3" s="3037"/>
    </row>
    <row r="4" spans="1:4">
      <c r="A4" s="2914" t="s">
        <v>8296</v>
      </c>
      <c r="B4" s="2919">
        <v>7900</v>
      </c>
      <c r="C4" s="3036">
        <v>0.50239999999999996</v>
      </c>
      <c r="D4" s="3037"/>
    </row>
    <row r="5" spans="1:4">
      <c r="A5" s="2914" t="s">
        <v>12513</v>
      </c>
      <c r="B5" s="2919">
        <v>7220</v>
      </c>
      <c r="C5" s="3036">
        <v>0.50239999999999996</v>
      </c>
      <c r="D5" s="3037"/>
    </row>
    <row r="6" spans="1:4">
      <c r="A6" s="2914" t="s">
        <v>12514</v>
      </c>
      <c r="B6" s="2919">
        <v>8800</v>
      </c>
      <c r="C6" s="3036">
        <v>0.40620000000000001</v>
      </c>
      <c r="D6" s="3037"/>
    </row>
    <row r="7" spans="1:4">
      <c r="A7" s="2914" t="s">
        <v>10342</v>
      </c>
      <c r="B7" s="2919">
        <v>8000</v>
      </c>
      <c r="C7" s="3036">
        <v>0.38100000000000001</v>
      </c>
      <c r="D7" s="3037"/>
    </row>
    <row r="8" spans="1:4">
      <c r="A8" s="2914" t="s">
        <v>1914</v>
      </c>
      <c r="B8" s="2919">
        <v>8600</v>
      </c>
      <c r="C8" s="3036">
        <v>0.37680000000000002</v>
      </c>
      <c r="D8" s="3037"/>
    </row>
    <row r="9" spans="1:4">
      <c r="A9" s="2914" t="s">
        <v>163</v>
      </c>
      <c r="B9" s="2919">
        <v>2670</v>
      </c>
      <c r="C9" s="3036">
        <v>0.92110000000000003</v>
      </c>
      <c r="D9" s="3037"/>
    </row>
    <row r="10" spans="1:4">
      <c r="A10" s="2914" t="s">
        <v>12515</v>
      </c>
      <c r="B10" s="2919">
        <v>9000</v>
      </c>
      <c r="C10" s="3036">
        <v>0.46050000000000002</v>
      </c>
      <c r="D10" s="3037"/>
    </row>
    <row r="11" spans="1:4">
      <c r="A11" s="2914" t="s">
        <v>12516</v>
      </c>
      <c r="B11" s="2919">
        <v>11400</v>
      </c>
      <c r="C11" s="3036">
        <v>0.1298</v>
      </c>
      <c r="D11" s="3037"/>
    </row>
    <row r="12" spans="1:4">
      <c r="A12" s="2914" t="s">
        <v>12517</v>
      </c>
      <c r="B12" s="3038" t="s">
        <v>12518</v>
      </c>
      <c r="C12" s="3039" t="s">
        <v>12519</v>
      </c>
      <c r="D12" s="3037"/>
    </row>
    <row r="13" spans="1:4">
      <c r="A13" s="2914" t="s">
        <v>12520</v>
      </c>
      <c r="B13" s="3038" t="s">
        <v>12521</v>
      </c>
      <c r="C13" s="3039" t="s">
        <v>12519</v>
      </c>
      <c r="D13" s="3037"/>
    </row>
    <row r="14" spans="1:4">
      <c r="A14" s="2914" t="s">
        <v>12522</v>
      </c>
      <c r="B14" s="3038" t="s">
        <v>12523</v>
      </c>
      <c r="C14" s="3036">
        <v>1.8422000000000001</v>
      </c>
      <c r="D14" s="3037"/>
    </row>
    <row r="15" spans="1:4">
      <c r="A15" s="2914" t="s">
        <v>12524</v>
      </c>
      <c r="B15" s="3038" t="s">
        <v>12525</v>
      </c>
      <c r="C15" s="3036">
        <v>1.3398000000000001</v>
      </c>
      <c r="D15" s="3037"/>
    </row>
    <row r="16" spans="1:4">
      <c r="A16" s="2914" t="s">
        <v>12526</v>
      </c>
      <c r="B16" s="2919">
        <v>940</v>
      </c>
      <c r="C16" s="3036">
        <v>2.5539000000000001</v>
      </c>
      <c r="D16" s="3037"/>
    </row>
    <row r="17" spans="1:4">
      <c r="A17" s="3040" t="s">
        <v>12527</v>
      </c>
      <c r="B17" s="3041">
        <v>920</v>
      </c>
      <c r="C17" s="3042">
        <v>2.2189999999999999</v>
      </c>
      <c r="D17" s="3037"/>
    </row>
    <row r="18" spans="1:4">
      <c r="A18" s="3043" t="s">
        <v>12528</v>
      </c>
      <c r="B18" s="3044" t="s">
        <v>12529</v>
      </c>
      <c r="C18" s="3045">
        <v>0.79549999999999998</v>
      </c>
      <c r="D18" s="3037"/>
    </row>
    <row r="19" spans="1:4">
      <c r="A19" s="3046" t="s">
        <v>12530</v>
      </c>
      <c r="B19" s="3038" t="s">
        <v>12531</v>
      </c>
      <c r="C19" s="3047" t="s">
        <v>12532</v>
      </c>
      <c r="D19" s="3037"/>
    </row>
    <row r="20" spans="1:4">
      <c r="A20" s="3046" t="s">
        <v>12533</v>
      </c>
      <c r="B20" s="3038" t="s">
        <v>12534</v>
      </c>
      <c r="C20" s="3036">
        <v>0.92110000000000003</v>
      </c>
      <c r="D20" s="3037"/>
    </row>
    <row r="21" spans="1:4">
      <c r="A21" s="3046" t="s">
        <v>12535</v>
      </c>
      <c r="B21" s="2919">
        <v>1840</v>
      </c>
      <c r="C21" s="3039" t="s">
        <v>12536</v>
      </c>
      <c r="D21" s="3037"/>
    </row>
    <row r="22" spans="1:4">
      <c r="A22" s="3046" t="s">
        <v>12537</v>
      </c>
      <c r="B22" s="3038" t="s">
        <v>12538</v>
      </c>
      <c r="C22" s="3036">
        <v>0.83740000000000003</v>
      </c>
      <c r="D22" s="3037"/>
    </row>
    <row r="23" spans="1:4">
      <c r="A23" s="3046" t="s">
        <v>12539</v>
      </c>
      <c r="B23" s="3038" t="s">
        <v>12540</v>
      </c>
      <c r="C23" s="3047" t="s">
        <v>12541</v>
      </c>
      <c r="D23" s="3037"/>
    </row>
    <row r="24" spans="1:4">
      <c r="A24" s="3046" t="s">
        <v>12542</v>
      </c>
      <c r="B24" s="3038" t="s">
        <v>12543</v>
      </c>
      <c r="C24" s="3036">
        <v>0.96299999999999997</v>
      </c>
      <c r="D24" s="3037"/>
    </row>
    <row r="25" spans="1:4">
      <c r="A25" s="3046" t="s">
        <v>12544</v>
      </c>
      <c r="B25" s="2919">
        <v>7700</v>
      </c>
      <c r="C25" s="3036">
        <v>0.81640000000000001</v>
      </c>
      <c r="D25" s="3037"/>
    </row>
    <row r="26" spans="1:4">
      <c r="A26" s="3046" t="s">
        <v>12545</v>
      </c>
      <c r="B26" s="2919">
        <v>2500</v>
      </c>
      <c r="C26" s="3036">
        <v>0.66990000000000005</v>
      </c>
      <c r="D26" s="3037"/>
    </row>
    <row r="27" spans="1:4">
      <c r="A27" s="3046" t="s">
        <v>12546</v>
      </c>
      <c r="B27" s="3038" t="s">
        <v>12547</v>
      </c>
      <c r="C27" s="3039" t="s">
        <v>12548</v>
      </c>
      <c r="D27" s="3037"/>
    </row>
    <row r="28" spans="1:4">
      <c r="A28" s="3046" t="s">
        <v>12549</v>
      </c>
      <c r="B28" s="3038" t="s">
        <v>12550</v>
      </c>
      <c r="C28" s="3039" t="s">
        <v>12551</v>
      </c>
      <c r="D28" s="3037"/>
    </row>
    <row r="29" spans="1:4">
      <c r="A29" s="3046" t="s">
        <v>12552</v>
      </c>
      <c r="B29" s="3038" t="s">
        <v>12553</v>
      </c>
      <c r="C29" s="3036"/>
      <c r="D29" s="3037"/>
    </row>
    <row r="30" spans="1:4">
      <c r="A30" s="3048" t="s">
        <v>12554</v>
      </c>
      <c r="B30" s="3049" t="s">
        <v>12555</v>
      </c>
      <c r="C30" s="3042"/>
      <c r="D30" s="3050"/>
    </row>
    <row r="31" spans="1:4">
      <c r="D31" s="3162" t="s">
        <v>12708</v>
      </c>
    </row>
  </sheetData>
  <phoneticPr fontId="378" type="noConversion"/>
  <hyperlinks>
    <hyperlink ref="D31" location="总目录!A1" display="返回目录"/>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88"/>
  <sheetViews>
    <sheetView topLeftCell="A103" workbookViewId="0">
      <selection activeCell="K3" sqref="K3"/>
    </sheetView>
  </sheetViews>
  <sheetFormatPr defaultRowHeight="16.5"/>
  <cols>
    <col min="1" max="1" width="2.625" style="2918" customWidth="1"/>
    <col min="2" max="2" width="8.625" style="2918" customWidth="1"/>
    <col min="3" max="3" width="7.375" style="2918" customWidth="1"/>
    <col min="4" max="4" width="5.875" style="2918" customWidth="1"/>
    <col min="5" max="9" width="6.625" style="3051" customWidth="1"/>
    <col min="10" max="10" width="3.375" style="2918" hidden="1" customWidth="1"/>
    <col min="11" max="11" width="7.625" style="2918" customWidth="1"/>
    <col min="12" max="16" width="8.625" style="2918" customWidth="1"/>
    <col min="17" max="256" width="9" style="2918"/>
    <col min="257" max="257" width="2.625" style="2918" customWidth="1"/>
    <col min="258" max="258" width="8.625" style="2918" customWidth="1"/>
    <col min="259" max="259" width="7.375" style="2918" customWidth="1"/>
    <col min="260" max="260" width="5.875" style="2918" customWidth="1"/>
    <col min="261" max="265" width="6.625" style="2918" customWidth="1"/>
    <col min="266" max="266" width="0" style="2918" hidden="1" customWidth="1"/>
    <col min="267" max="267" width="7.625" style="2918" customWidth="1"/>
    <col min="268" max="272" width="8.625" style="2918" customWidth="1"/>
    <col min="273" max="512" width="9" style="2918"/>
    <col min="513" max="513" width="2.625" style="2918" customWidth="1"/>
    <col min="514" max="514" width="8.625" style="2918" customWidth="1"/>
    <col min="515" max="515" width="7.375" style="2918" customWidth="1"/>
    <col min="516" max="516" width="5.875" style="2918" customWidth="1"/>
    <col min="517" max="521" width="6.625" style="2918" customWidth="1"/>
    <col min="522" max="522" width="0" style="2918" hidden="1" customWidth="1"/>
    <col min="523" max="523" width="7.625" style="2918" customWidth="1"/>
    <col min="524" max="528" width="8.625" style="2918" customWidth="1"/>
    <col min="529" max="768" width="9" style="2918"/>
    <col min="769" max="769" width="2.625" style="2918" customWidth="1"/>
    <col min="770" max="770" width="8.625" style="2918" customWidth="1"/>
    <col min="771" max="771" width="7.375" style="2918" customWidth="1"/>
    <col min="772" max="772" width="5.875" style="2918" customWidth="1"/>
    <col min="773" max="777" width="6.625" style="2918" customWidth="1"/>
    <col min="778" max="778" width="0" style="2918" hidden="1" customWidth="1"/>
    <col min="779" max="779" width="7.625" style="2918" customWidth="1"/>
    <col min="780" max="784" width="8.625" style="2918" customWidth="1"/>
    <col min="785" max="1024" width="9" style="2918"/>
    <col min="1025" max="1025" width="2.625" style="2918" customWidth="1"/>
    <col min="1026" max="1026" width="8.625" style="2918" customWidth="1"/>
    <col min="1027" max="1027" width="7.375" style="2918" customWidth="1"/>
    <col min="1028" max="1028" width="5.875" style="2918" customWidth="1"/>
    <col min="1029" max="1033" width="6.625" style="2918" customWidth="1"/>
    <col min="1034" max="1034" width="0" style="2918" hidden="1" customWidth="1"/>
    <col min="1035" max="1035" width="7.625" style="2918" customWidth="1"/>
    <col min="1036" max="1040" width="8.625" style="2918" customWidth="1"/>
    <col min="1041" max="1280" width="9" style="2918"/>
    <col min="1281" max="1281" width="2.625" style="2918" customWidth="1"/>
    <col min="1282" max="1282" width="8.625" style="2918" customWidth="1"/>
    <col min="1283" max="1283" width="7.375" style="2918" customWidth="1"/>
    <col min="1284" max="1284" width="5.875" style="2918" customWidth="1"/>
    <col min="1285" max="1289" width="6.625" style="2918" customWidth="1"/>
    <col min="1290" max="1290" width="0" style="2918" hidden="1" customWidth="1"/>
    <col min="1291" max="1291" width="7.625" style="2918" customWidth="1"/>
    <col min="1292" max="1296" width="8.625" style="2918" customWidth="1"/>
    <col min="1297" max="1536" width="9" style="2918"/>
    <col min="1537" max="1537" width="2.625" style="2918" customWidth="1"/>
    <col min="1538" max="1538" width="8.625" style="2918" customWidth="1"/>
    <col min="1539" max="1539" width="7.375" style="2918" customWidth="1"/>
    <col min="1540" max="1540" width="5.875" style="2918" customWidth="1"/>
    <col min="1541" max="1545" width="6.625" style="2918" customWidth="1"/>
    <col min="1546" max="1546" width="0" style="2918" hidden="1" customWidth="1"/>
    <col min="1547" max="1547" width="7.625" style="2918" customWidth="1"/>
    <col min="1548" max="1552" width="8.625" style="2918" customWidth="1"/>
    <col min="1553" max="1792" width="9" style="2918"/>
    <col min="1793" max="1793" width="2.625" style="2918" customWidth="1"/>
    <col min="1794" max="1794" width="8.625" style="2918" customWidth="1"/>
    <col min="1795" max="1795" width="7.375" style="2918" customWidth="1"/>
    <col min="1796" max="1796" width="5.875" style="2918" customWidth="1"/>
    <col min="1797" max="1801" width="6.625" style="2918" customWidth="1"/>
    <col min="1802" max="1802" width="0" style="2918" hidden="1" customWidth="1"/>
    <col min="1803" max="1803" width="7.625" style="2918" customWidth="1"/>
    <col min="1804" max="1808" width="8.625" style="2918" customWidth="1"/>
    <col min="1809" max="2048" width="9" style="2918"/>
    <col min="2049" max="2049" width="2.625" style="2918" customWidth="1"/>
    <col min="2050" max="2050" width="8.625" style="2918" customWidth="1"/>
    <col min="2051" max="2051" width="7.375" style="2918" customWidth="1"/>
    <col min="2052" max="2052" width="5.875" style="2918" customWidth="1"/>
    <col min="2053" max="2057" width="6.625" style="2918" customWidth="1"/>
    <col min="2058" max="2058" width="0" style="2918" hidden="1" customWidth="1"/>
    <col min="2059" max="2059" width="7.625" style="2918" customWidth="1"/>
    <col min="2060" max="2064" width="8.625" style="2918" customWidth="1"/>
    <col min="2065" max="2304" width="9" style="2918"/>
    <col min="2305" max="2305" width="2.625" style="2918" customWidth="1"/>
    <col min="2306" max="2306" width="8.625" style="2918" customWidth="1"/>
    <col min="2307" max="2307" width="7.375" style="2918" customWidth="1"/>
    <col min="2308" max="2308" width="5.875" style="2918" customWidth="1"/>
    <col min="2309" max="2313" width="6.625" style="2918" customWidth="1"/>
    <col min="2314" max="2314" width="0" style="2918" hidden="1" customWidth="1"/>
    <col min="2315" max="2315" width="7.625" style="2918" customWidth="1"/>
    <col min="2316" max="2320" width="8.625" style="2918" customWidth="1"/>
    <col min="2321" max="2560" width="9" style="2918"/>
    <col min="2561" max="2561" width="2.625" style="2918" customWidth="1"/>
    <col min="2562" max="2562" width="8.625" style="2918" customWidth="1"/>
    <col min="2563" max="2563" width="7.375" style="2918" customWidth="1"/>
    <col min="2564" max="2564" width="5.875" style="2918" customWidth="1"/>
    <col min="2565" max="2569" width="6.625" style="2918" customWidth="1"/>
    <col min="2570" max="2570" width="0" style="2918" hidden="1" customWidth="1"/>
    <col min="2571" max="2571" width="7.625" style="2918" customWidth="1"/>
    <col min="2572" max="2576" width="8.625" style="2918" customWidth="1"/>
    <col min="2577" max="2816" width="9" style="2918"/>
    <col min="2817" max="2817" width="2.625" style="2918" customWidth="1"/>
    <col min="2818" max="2818" width="8.625" style="2918" customWidth="1"/>
    <col min="2819" max="2819" width="7.375" style="2918" customWidth="1"/>
    <col min="2820" max="2820" width="5.875" style="2918" customWidth="1"/>
    <col min="2821" max="2825" width="6.625" style="2918" customWidth="1"/>
    <col min="2826" max="2826" width="0" style="2918" hidden="1" customWidth="1"/>
    <col min="2827" max="2827" width="7.625" style="2918" customWidth="1"/>
    <col min="2828" max="2832" width="8.625" style="2918" customWidth="1"/>
    <col min="2833" max="3072" width="9" style="2918"/>
    <col min="3073" max="3073" width="2.625" style="2918" customWidth="1"/>
    <col min="3074" max="3074" width="8.625" style="2918" customWidth="1"/>
    <col min="3075" max="3075" width="7.375" style="2918" customWidth="1"/>
    <col min="3076" max="3076" width="5.875" style="2918" customWidth="1"/>
    <col min="3077" max="3081" width="6.625" style="2918" customWidth="1"/>
    <col min="3082" max="3082" width="0" style="2918" hidden="1" customWidth="1"/>
    <col min="3083" max="3083" width="7.625" style="2918" customWidth="1"/>
    <col min="3084" max="3088" width="8.625" style="2918" customWidth="1"/>
    <col min="3089" max="3328" width="9" style="2918"/>
    <col min="3329" max="3329" width="2.625" style="2918" customWidth="1"/>
    <col min="3330" max="3330" width="8.625" style="2918" customWidth="1"/>
    <col min="3331" max="3331" width="7.375" style="2918" customWidth="1"/>
    <col min="3332" max="3332" width="5.875" style="2918" customWidth="1"/>
    <col min="3333" max="3337" width="6.625" style="2918" customWidth="1"/>
    <col min="3338" max="3338" width="0" style="2918" hidden="1" customWidth="1"/>
    <col min="3339" max="3339" width="7.625" style="2918" customWidth="1"/>
    <col min="3340" max="3344" width="8.625" style="2918" customWidth="1"/>
    <col min="3345" max="3584" width="9" style="2918"/>
    <col min="3585" max="3585" width="2.625" style="2918" customWidth="1"/>
    <col min="3586" max="3586" width="8.625" style="2918" customWidth="1"/>
    <col min="3587" max="3587" width="7.375" style="2918" customWidth="1"/>
    <col min="3588" max="3588" width="5.875" style="2918" customWidth="1"/>
    <col min="3589" max="3593" width="6.625" style="2918" customWidth="1"/>
    <col min="3594" max="3594" width="0" style="2918" hidden="1" customWidth="1"/>
    <col min="3595" max="3595" width="7.625" style="2918" customWidth="1"/>
    <col min="3596" max="3600" width="8.625" style="2918" customWidth="1"/>
    <col min="3601" max="3840" width="9" style="2918"/>
    <col min="3841" max="3841" width="2.625" style="2918" customWidth="1"/>
    <col min="3842" max="3842" width="8.625" style="2918" customWidth="1"/>
    <col min="3843" max="3843" width="7.375" style="2918" customWidth="1"/>
    <col min="3844" max="3844" width="5.875" style="2918" customWidth="1"/>
    <col min="3845" max="3849" width="6.625" style="2918" customWidth="1"/>
    <col min="3850" max="3850" width="0" style="2918" hidden="1" customWidth="1"/>
    <col min="3851" max="3851" width="7.625" style="2918" customWidth="1"/>
    <col min="3852" max="3856" width="8.625" style="2918" customWidth="1"/>
    <col min="3857" max="4096" width="9" style="2918"/>
    <col min="4097" max="4097" width="2.625" style="2918" customWidth="1"/>
    <col min="4098" max="4098" width="8.625" style="2918" customWidth="1"/>
    <col min="4099" max="4099" width="7.375" style="2918" customWidth="1"/>
    <col min="4100" max="4100" width="5.875" style="2918" customWidth="1"/>
    <col min="4101" max="4105" width="6.625" style="2918" customWidth="1"/>
    <col min="4106" max="4106" width="0" style="2918" hidden="1" customWidth="1"/>
    <col min="4107" max="4107" width="7.625" style="2918" customWidth="1"/>
    <col min="4108" max="4112" width="8.625" style="2918" customWidth="1"/>
    <col min="4113" max="4352" width="9" style="2918"/>
    <col min="4353" max="4353" width="2.625" style="2918" customWidth="1"/>
    <col min="4354" max="4354" width="8.625" style="2918" customWidth="1"/>
    <col min="4355" max="4355" width="7.375" style="2918" customWidth="1"/>
    <col min="4356" max="4356" width="5.875" style="2918" customWidth="1"/>
    <col min="4357" max="4361" width="6.625" style="2918" customWidth="1"/>
    <col min="4362" max="4362" width="0" style="2918" hidden="1" customWidth="1"/>
    <col min="4363" max="4363" width="7.625" style="2918" customWidth="1"/>
    <col min="4364" max="4368" width="8.625" style="2918" customWidth="1"/>
    <col min="4369" max="4608" width="9" style="2918"/>
    <col min="4609" max="4609" width="2.625" style="2918" customWidth="1"/>
    <col min="4610" max="4610" width="8.625" style="2918" customWidth="1"/>
    <col min="4611" max="4611" width="7.375" style="2918" customWidth="1"/>
    <col min="4612" max="4612" width="5.875" style="2918" customWidth="1"/>
    <col min="4613" max="4617" width="6.625" style="2918" customWidth="1"/>
    <col min="4618" max="4618" width="0" style="2918" hidden="1" customWidth="1"/>
    <col min="4619" max="4619" width="7.625" style="2918" customWidth="1"/>
    <col min="4620" max="4624" width="8.625" style="2918" customWidth="1"/>
    <col min="4625" max="4864" width="9" style="2918"/>
    <col min="4865" max="4865" width="2.625" style="2918" customWidth="1"/>
    <col min="4866" max="4866" width="8.625" style="2918" customWidth="1"/>
    <col min="4867" max="4867" width="7.375" style="2918" customWidth="1"/>
    <col min="4868" max="4868" width="5.875" style="2918" customWidth="1"/>
    <col min="4869" max="4873" width="6.625" style="2918" customWidth="1"/>
    <col min="4874" max="4874" width="0" style="2918" hidden="1" customWidth="1"/>
    <col min="4875" max="4875" width="7.625" style="2918" customWidth="1"/>
    <col min="4876" max="4880" width="8.625" style="2918" customWidth="1"/>
    <col min="4881" max="5120" width="9" style="2918"/>
    <col min="5121" max="5121" width="2.625" style="2918" customWidth="1"/>
    <col min="5122" max="5122" width="8.625" style="2918" customWidth="1"/>
    <col min="5123" max="5123" width="7.375" style="2918" customWidth="1"/>
    <col min="5124" max="5124" width="5.875" style="2918" customWidth="1"/>
    <col min="5125" max="5129" width="6.625" style="2918" customWidth="1"/>
    <col min="5130" max="5130" width="0" style="2918" hidden="1" customWidth="1"/>
    <col min="5131" max="5131" width="7.625" style="2918" customWidth="1"/>
    <col min="5132" max="5136" width="8.625" style="2918" customWidth="1"/>
    <col min="5137" max="5376" width="9" style="2918"/>
    <col min="5377" max="5377" width="2.625" style="2918" customWidth="1"/>
    <col min="5378" max="5378" width="8.625" style="2918" customWidth="1"/>
    <col min="5379" max="5379" width="7.375" style="2918" customWidth="1"/>
    <col min="5380" max="5380" width="5.875" style="2918" customWidth="1"/>
    <col min="5381" max="5385" width="6.625" style="2918" customWidth="1"/>
    <col min="5386" max="5386" width="0" style="2918" hidden="1" customWidth="1"/>
    <col min="5387" max="5387" width="7.625" style="2918" customWidth="1"/>
    <col min="5388" max="5392" width="8.625" style="2918" customWidth="1"/>
    <col min="5393" max="5632" width="9" style="2918"/>
    <col min="5633" max="5633" width="2.625" style="2918" customWidth="1"/>
    <col min="5634" max="5634" width="8.625" style="2918" customWidth="1"/>
    <col min="5635" max="5635" width="7.375" style="2918" customWidth="1"/>
    <col min="5636" max="5636" width="5.875" style="2918" customWidth="1"/>
    <col min="5637" max="5641" width="6.625" style="2918" customWidth="1"/>
    <col min="5642" max="5642" width="0" style="2918" hidden="1" customWidth="1"/>
    <col min="5643" max="5643" width="7.625" style="2918" customWidth="1"/>
    <col min="5644" max="5648" width="8.625" style="2918" customWidth="1"/>
    <col min="5649" max="5888" width="9" style="2918"/>
    <col min="5889" max="5889" width="2.625" style="2918" customWidth="1"/>
    <col min="5890" max="5890" width="8.625" style="2918" customWidth="1"/>
    <col min="5891" max="5891" width="7.375" style="2918" customWidth="1"/>
    <col min="5892" max="5892" width="5.875" style="2918" customWidth="1"/>
    <col min="5893" max="5897" width="6.625" style="2918" customWidth="1"/>
    <col min="5898" max="5898" width="0" style="2918" hidden="1" customWidth="1"/>
    <col min="5899" max="5899" width="7.625" style="2918" customWidth="1"/>
    <col min="5900" max="5904" width="8.625" style="2918" customWidth="1"/>
    <col min="5905" max="6144" width="9" style="2918"/>
    <col min="6145" max="6145" width="2.625" style="2918" customWidth="1"/>
    <col min="6146" max="6146" width="8.625" style="2918" customWidth="1"/>
    <col min="6147" max="6147" width="7.375" style="2918" customWidth="1"/>
    <col min="6148" max="6148" width="5.875" style="2918" customWidth="1"/>
    <col min="6149" max="6153" width="6.625" style="2918" customWidth="1"/>
    <col min="6154" max="6154" width="0" style="2918" hidden="1" customWidth="1"/>
    <col min="6155" max="6155" width="7.625" style="2918" customWidth="1"/>
    <col min="6156" max="6160" width="8.625" style="2918" customWidth="1"/>
    <col min="6161" max="6400" width="9" style="2918"/>
    <col min="6401" max="6401" width="2.625" style="2918" customWidth="1"/>
    <col min="6402" max="6402" width="8.625" style="2918" customWidth="1"/>
    <col min="6403" max="6403" width="7.375" style="2918" customWidth="1"/>
    <col min="6404" max="6404" width="5.875" style="2918" customWidth="1"/>
    <col min="6405" max="6409" width="6.625" style="2918" customWidth="1"/>
    <col min="6410" max="6410" width="0" style="2918" hidden="1" customWidth="1"/>
    <col min="6411" max="6411" width="7.625" style="2918" customWidth="1"/>
    <col min="6412" max="6416" width="8.625" style="2918" customWidth="1"/>
    <col min="6417" max="6656" width="9" style="2918"/>
    <col min="6657" max="6657" width="2.625" style="2918" customWidth="1"/>
    <col min="6658" max="6658" width="8.625" style="2918" customWidth="1"/>
    <col min="6659" max="6659" width="7.375" style="2918" customWidth="1"/>
    <col min="6660" max="6660" width="5.875" style="2918" customWidth="1"/>
    <col min="6661" max="6665" width="6.625" style="2918" customWidth="1"/>
    <col min="6666" max="6666" width="0" style="2918" hidden="1" customWidth="1"/>
    <col min="6667" max="6667" width="7.625" style="2918" customWidth="1"/>
    <col min="6668" max="6672" width="8.625" style="2918" customWidth="1"/>
    <col min="6673" max="6912" width="9" style="2918"/>
    <col min="6913" max="6913" width="2.625" style="2918" customWidth="1"/>
    <col min="6914" max="6914" width="8.625" style="2918" customWidth="1"/>
    <col min="6915" max="6915" width="7.375" style="2918" customWidth="1"/>
    <col min="6916" max="6916" width="5.875" style="2918" customWidth="1"/>
    <col min="6917" max="6921" width="6.625" style="2918" customWidth="1"/>
    <col min="6922" max="6922" width="0" style="2918" hidden="1" customWidth="1"/>
    <col min="6923" max="6923" width="7.625" style="2918" customWidth="1"/>
    <col min="6924" max="6928" width="8.625" style="2918" customWidth="1"/>
    <col min="6929" max="7168" width="9" style="2918"/>
    <col min="7169" max="7169" width="2.625" style="2918" customWidth="1"/>
    <col min="7170" max="7170" width="8.625" style="2918" customWidth="1"/>
    <col min="7171" max="7171" width="7.375" style="2918" customWidth="1"/>
    <col min="7172" max="7172" width="5.875" style="2918" customWidth="1"/>
    <col min="7173" max="7177" width="6.625" style="2918" customWidth="1"/>
    <col min="7178" max="7178" width="0" style="2918" hidden="1" customWidth="1"/>
    <col min="7179" max="7179" width="7.625" style="2918" customWidth="1"/>
    <col min="7180" max="7184" width="8.625" style="2918" customWidth="1"/>
    <col min="7185" max="7424" width="9" style="2918"/>
    <col min="7425" max="7425" width="2.625" style="2918" customWidth="1"/>
    <col min="7426" max="7426" width="8.625" style="2918" customWidth="1"/>
    <col min="7427" max="7427" width="7.375" style="2918" customWidth="1"/>
    <col min="7428" max="7428" width="5.875" style="2918" customWidth="1"/>
    <col min="7429" max="7433" width="6.625" style="2918" customWidth="1"/>
    <col min="7434" max="7434" width="0" style="2918" hidden="1" customWidth="1"/>
    <col min="7435" max="7435" width="7.625" style="2918" customWidth="1"/>
    <col min="7436" max="7440" width="8.625" style="2918" customWidth="1"/>
    <col min="7441" max="7680" width="9" style="2918"/>
    <col min="7681" max="7681" width="2.625" style="2918" customWidth="1"/>
    <col min="7682" max="7682" width="8.625" style="2918" customWidth="1"/>
    <col min="7683" max="7683" width="7.375" style="2918" customWidth="1"/>
    <col min="7684" max="7684" width="5.875" style="2918" customWidth="1"/>
    <col min="7685" max="7689" width="6.625" style="2918" customWidth="1"/>
    <col min="7690" max="7690" width="0" style="2918" hidden="1" customWidth="1"/>
    <col min="7691" max="7691" width="7.625" style="2918" customWidth="1"/>
    <col min="7692" max="7696" width="8.625" style="2918" customWidth="1"/>
    <col min="7697" max="7936" width="9" style="2918"/>
    <col min="7937" max="7937" width="2.625" style="2918" customWidth="1"/>
    <col min="7938" max="7938" width="8.625" style="2918" customWidth="1"/>
    <col min="7939" max="7939" width="7.375" style="2918" customWidth="1"/>
    <col min="7940" max="7940" width="5.875" style="2918" customWidth="1"/>
    <col min="7941" max="7945" width="6.625" style="2918" customWidth="1"/>
    <col min="7946" max="7946" width="0" style="2918" hidden="1" customWidth="1"/>
    <col min="7947" max="7947" width="7.625" style="2918" customWidth="1"/>
    <col min="7948" max="7952" width="8.625" style="2918" customWidth="1"/>
    <col min="7953" max="8192" width="9" style="2918"/>
    <col min="8193" max="8193" width="2.625" style="2918" customWidth="1"/>
    <col min="8194" max="8194" width="8.625" style="2918" customWidth="1"/>
    <col min="8195" max="8195" width="7.375" style="2918" customWidth="1"/>
    <col min="8196" max="8196" width="5.875" style="2918" customWidth="1"/>
    <col min="8197" max="8201" width="6.625" style="2918" customWidth="1"/>
    <col min="8202" max="8202" width="0" style="2918" hidden="1" customWidth="1"/>
    <col min="8203" max="8203" width="7.625" style="2918" customWidth="1"/>
    <col min="8204" max="8208" width="8.625" style="2918" customWidth="1"/>
    <col min="8209" max="8448" width="9" style="2918"/>
    <col min="8449" max="8449" width="2.625" style="2918" customWidth="1"/>
    <col min="8450" max="8450" width="8.625" style="2918" customWidth="1"/>
    <col min="8451" max="8451" width="7.375" style="2918" customWidth="1"/>
    <col min="8452" max="8452" width="5.875" style="2918" customWidth="1"/>
    <col min="8453" max="8457" width="6.625" style="2918" customWidth="1"/>
    <col min="8458" max="8458" width="0" style="2918" hidden="1" customWidth="1"/>
    <col min="8459" max="8459" width="7.625" style="2918" customWidth="1"/>
    <col min="8460" max="8464" width="8.625" style="2918" customWidth="1"/>
    <col min="8465" max="8704" width="9" style="2918"/>
    <col min="8705" max="8705" width="2.625" style="2918" customWidth="1"/>
    <col min="8706" max="8706" width="8.625" style="2918" customWidth="1"/>
    <col min="8707" max="8707" width="7.375" style="2918" customWidth="1"/>
    <col min="8708" max="8708" width="5.875" style="2918" customWidth="1"/>
    <col min="8709" max="8713" width="6.625" style="2918" customWidth="1"/>
    <col min="8714" max="8714" width="0" style="2918" hidden="1" customWidth="1"/>
    <col min="8715" max="8715" width="7.625" style="2918" customWidth="1"/>
    <col min="8716" max="8720" width="8.625" style="2918" customWidth="1"/>
    <col min="8721" max="8960" width="9" style="2918"/>
    <col min="8961" max="8961" width="2.625" style="2918" customWidth="1"/>
    <col min="8962" max="8962" width="8.625" style="2918" customWidth="1"/>
    <col min="8963" max="8963" width="7.375" style="2918" customWidth="1"/>
    <col min="8964" max="8964" width="5.875" style="2918" customWidth="1"/>
    <col min="8965" max="8969" width="6.625" style="2918" customWidth="1"/>
    <col min="8970" max="8970" width="0" style="2918" hidden="1" customWidth="1"/>
    <col min="8971" max="8971" width="7.625" style="2918" customWidth="1"/>
    <col min="8972" max="8976" width="8.625" style="2918" customWidth="1"/>
    <col min="8977" max="9216" width="9" style="2918"/>
    <col min="9217" max="9217" width="2.625" style="2918" customWidth="1"/>
    <col min="9218" max="9218" width="8.625" style="2918" customWidth="1"/>
    <col min="9219" max="9219" width="7.375" style="2918" customWidth="1"/>
    <col min="9220" max="9220" width="5.875" style="2918" customWidth="1"/>
    <col min="9221" max="9225" width="6.625" style="2918" customWidth="1"/>
    <col min="9226" max="9226" width="0" style="2918" hidden="1" customWidth="1"/>
    <col min="9227" max="9227" width="7.625" style="2918" customWidth="1"/>
    <col min="9228" max="9232" width="8.625" style="2918" customWidth="1"/>
    <col min="9233" max="9472" width="9" style="2918"/>
    <col min="9473" max="9473" width="2.625" style="2918" customWidth="1"/>
    <col min="9474" max="9474" width="8.625" style="2918" customWidth="1"/>
    <col min="9475" max="9475" width="7.375" style="2918" customWidth="1"/>
    <col min="9476" max="9476" width="5.875" style="2918" customWidth="1"/>
    <col min="9477" max="9481" width="6.625" style="2918" customWidth="1"/>
    <col min="9482" max="9482" width="0" style="2918" hidden="1" customWidth="1"/>
    <col min="9483" max="9483" width="7.625" style="2918" customWidth="1"/>
    <col min="9484" max="9488" width="8.625" style="2918" customWidth="1"/>
    <col min="9489" max="9728" width="9" style="2918"/>
    <col min="9729" max="9729" width="2.625" style="2918" customWidth="1"/>
    <col min="9730" max="9730" width="8.625" style="2918" customWidth="1"/>
    <col min="9731" max="9731" width="7.375" style="2918" customWidth="1"/>
    <col min="9732" max="9732" width="5.875" style="2918" customWidth="1"/>
    <col min="9733" max="9737" width="6.625" style="2918" customWidth="1"/>
    <col min="9738" max="9738" width="0" style="2918" hidden="1" customWidth="1"/>
    <col min="9739" max="9739" width="7.625" style="2918" customWidth="1"/>
    <col min="9740" max="9744" width="8.625" style="2918" customWidth="1"/>
    <col min="9745" max="9984" width="9" style="2918"/>
    <col min="9985" max="9985" width="2.625" style="2918" customWidth="1"/>
    <col min="9986" max="9986" width="8.625" style="2918" customWidth="1"/>
    <col min="9987" max="9987" width="7.375" style="2918" customWidth="1"/>
    <col min="9988" max="9988" width="5.875" style="2918" customWidth="1"/>
    <col min="9989" max="9993" width="6.625" style="2918" customWidth="1"/>
    <col min="9994" max="9994" width="0" style="2918" hidden="1" customWidth="1"/>
    <col min="9995" max="9995" width="7.625" style="2918" customWidth="1"/>
    <col min="9996" max="10000" width="8.625" style="2918" customWidth="1"/>
    <col min="10001" max="10240" width="9" style="2918"/>
    <col min="10241" max="10241" width="2.625" style="2918" customWidth="1"/>
    <col min="10242" max="10242" width="8.625" style="2918" customWidth="1"/>
    <col min="10243" max="10243" width="7.375" style="2918" customWidth="1"/>
    <col min="10244" max="10244" width="5.875" style="2918" customWidth="1"/>
    <col min="10245" max="10249" width="6.625" style="2918" customWidth="1"/>
    <col min="10250" max="10250" width="0" style="2918" hidden="1" customWidth="1"/>
    <col min="10251" max="10251" width="7.625" style="2918" customWidth="1"/>
    <col min="10252" max="10256" width="8.625" style="2918" customWidth="1"/>
    <col min="10257" max="10496" width="9" style="2918"/>
    <col min="10497" max="10497" width="2.625" style="2918" customWidth="1"/>
    <col min="10498" max="10498" width="8.625" style="2918" customWidth="1"/>
    <col min="10499" max="10499" width="7.375" style="2918" customWidth="1"/>
    <col min="10500" max="10500" width="5.875" style="2918" customWidth="1"/>
    <col min="10501" max="10505" width="6.625" style="2918" customWidth="1"/>
    <col min="10506" max="10506" width="0" style="2918" hidden="1" customWidth="1"/>
    <col min="10507" max="10507" width="7.625" style="2918" customWidth="1"/>
    <col min="10508" max="10512" width="8.625" style="2918" customWidth="1"/>
    <col min="10513" max="10752" width="9" style="2918"/>
    <col min="10753" max="10753" width="2.625" style="2918" customWidth="1"/>
    <col min="10754" max="10754" width="8.625" style="2918" customWidth="1"/>
    <col min="10755" max="10755" width="7.375" style="2918" customWidth="1"/>
    <col min="10756" max="10756" width="5.875" style="2918" customWidth="1"/>
    <col min="10757" max="10761" width="6.625" style="2918" customWidth="1"/>
    <col min="10762" max="10762" width="0" style="2918" hidden="1" customWidth="1"/>
    <col min="10763" max="10763" width="7.625" style="2918" customWidth="1"/>
    <col min="10764" max="10768" width="8.625" style="2918" customWidth="1"/>
    <col min="10769" max="11008" width="9" style="2918"/>
    <col min="11009" max="11009" width="2.625" style="2918" customWidth="1"/>
    <col min="11010" max="11010" width="8.625" style="2918" customWidth="1"/>
    <col min="11011" max="11011" width="7.375" style="2918" customWidth="1"/>
    <col min="11012" max="11012" width="5.875" style="2918" customWidth="1"/>
    <col min="11013" max="11017" width="6.625" style="2918" customWidth="1"/>
    <col min="11018" max="11018" width="0" style="2918" hidden="1" customWidth="1"/>
    <col min="11019" max="11019" width="7.625" style="2918" customWidth="1"/>
    <col min="11020" max="11024" width="8.625" style="2918" customWidth="1"/>
    <col min="11025" max="11264" width="9" style="2918"/>
    <col min="11265" max="11265" width="2.625" style="2918" customWidth="1"/>
    <col min="11266" max="11266" width="8.625" style="2918" customWidth="1"/>
    <col min="11267" max="11267" width="7.375" style="2918" customWidth="1"/>
    <col min="11268" max="11268" width="5.875" style="2918" customWidth="1"/>
    <col min="11269" max="11273" width="6.625" style="2918" customWidth="1"/>
    <col min="11274" max="11274" width="0" style="2918" hidden="1" customWidth="1"/>
    <col min="11275" max="11275" width="7.625" style="2918" customWidth="1"/>
    <col min="11276" max="11280" width="8.625" style="2918" customWidth="1"/>
    <col min="11281" max="11520" width="9" style="2918"/>
    <col min="11521" max="11521" width="2.625" style="2918" customWidth="1"/>
    <col min="11522" max="11522" width="8.625" style="2918" customWidth="1"/>
    <col min="11523" max="11523" width="7.375" style="2918" customWidth="1"/>
    <col min="11524" max="11524" width="5.875" style="2918" customWidth="1"/>
    <col min="11525" max="11529" width="6.625" style="2918" customWidth="1"/>
    <col min="11530" max="11530" width="0" style="2918" hidden="1" customWidth="1"/>
    <col min="11531" max="11531" width="7.625" style="2918" customWidth="1"/>
    <col min="11532" max="11536" width="8.625" style="2918" customWidth="1"/>
    <col min="11537" max="11776" width="9" style="2918"/>
    <col min="11777" max="11777" width="2.625" style="2918" customWidth="1"/>
    <col min="11778" max="11778" width="8.625" style="2918" customWidth="1"/>
    <col min="11779" max="11779" width="7.375" style="2918" customWidth="1"/>
    <col min="11780" max="11780" width="5.875" style="2918" customWidth="1"/>
    <col min="11781" max="11785" width="6.625" style="2918" customWidth="1"/>
    <col min="11786" max="11786" width="0" style="2918" hidden="1" customWidth="1"/>
    <col min="11787" max="11787" width="7.625" style="2918" customWidth="1"/>
    <col min="11788" max="11792" width="8.625" style="2918" customWidth="1"/>
    <col min="11793" max="12032" width="9" style="2918"/>
    <col min="12033" max="12033" width="2.625" style="2918" customWidth="1"/>
    <col min="12034" max="12034" width="8.625" style="2918" customWidth="1"/>
    <col min="12035" max="12035" width="7.375" style="2918" customWidth="1"/>
    <col min="12036" max="12036" width="5.875" style="2918" customWidth="1"/>
    <col min="12037" max="12041" width="6.625" style="2918" customWidth="1"/>
    <col min="12042" max="12042" width="0" style="2918" hidden="1" customWidth="1"/>
    <col min="12043" max="12043" width="7.625" style="2918" customWidth="1"/>
    <col min="12044" max="12048" width="8.625" style="2918" customWidth="1"/>
    <col min="12049" max="12288" width="9" style="2918"/>
    <col min="12289" max="12289" width="2.625" style="2918" customWidth="1"/>
    <col min="12290" max="12290" width="8.625" style="2918" customWidth="1"/>
    <col min="12291" max="12291" width="7.375" style="2918" customWidth="1"/>
    <col min="12292" max="12292" width="5.875" style="2918" customWidth="1"/>
    <col min="12293" max="12297" width="6.625" style="2918" customWidth="1"/>
    <col min="12298" max="12298" width="0" style="2918" hidden="1" customWidth="1"/>
    <col min="12299" max="12299" width="7.625" style="2918" customWidth="1"/>
    <col min="12300" max="12304" width="8.625" style="2918" customWidth="1"/>
    <col min="12305" max="12544" width="9" style="2918"/>
    <col min="12545" max="12545" width="2.625" style="2918" customWidth="1"/>
    <col min="12546" max="12546" width="8.625" style="2918" customWidth="1"/>
    <col min="12547" max="12547" width="7.375" style="2918" customWidth="1"/>
    <col min="12548" max="12548" width="5.875" style="2918" customWidth="1"/>
    <col min="12549" max="12553" width="6.625" style="2918" customWidth="1"/>
    <col min="12554" max="12554" width="0" style="2918" hidden="1" customWidth="1"/>
    <col min="12555" max="12555" width="7.625" style="2918" customWidth="1"/>
    <col min="12556" max="12560" width="8.625" style="2918" customWidth="1"/>
    <col min="12561" max="12800" width="9" style="2918"/>
    <col min="12801" max="12801" width="2.625" style="2918" customWidth="1"/>
    <col min="12802" max="12802" width="8.625" style="2918" customWidth="1"/>
    <col min="12803" max="12803" width="7.375" style="2918" customWidth="1"/>
    <col min="12804" max="12804" width="5.875" style="2918" customWidth="1"/>
    <col min="12805" max="12809" width="6.625" style="2918" customWidth="1"/>
    <col min="12810" max="12810" width="0" style="2918" hidden="1" customWidth="1"/>
    <col min="12811" max="12811" width="7.625" style="2918" customWidth="1"/>
    <col min="12812" max="12816" width="8.625" style="2918" customWidth="1"/>
    <col min="12817" max="13056" width="9" style="2918"/>
    <col min="13057" max="13057" width="2.625" style="2918" customWidth="1"/>
    <col min="13058" max="13058" width="8.625" style="2918" customWidth="1"/>
    <col min="13059" max="13059" width="7.375" style="2918" customWidth="1"/>
    <col min="13060" max="13060" width="5.875" style="2918" customWidth="1"/>
    <col min="13061" max="13065" width="6.625" style="2918" customWidth="1"/>
    <col min="13066" max="13066" width="0" style="2918" hidden="1" customWidth="1"/>
    <col min="13067" max="13067" width="7.625" style="2918" customWidth="1"/>
    <col min="13068" max="13072" width="8.625" style="2918" customWidth="1"/>
    <col min="13073" max="13312" width="9" style="2918"/>
    <col min="13313" max="13313" width="2.625" style="2918" customWidth="1"/>
    <col min="13314" max="13314" width="8.625" style="2918" customWidth="1"/>
    <col min="13315" max="13315" width="7.375" style="2918" customWidth="1"/>
    <col min="13316" max="13316" width="5.875" style="2918" customWidth="1"/>
    <col min="13317" max="13321" width="6.625" style="2918" customWidth="1"/>
    <col min="13322" max="13322" width="0" style="2918" hidden="1" customWidth="1"/>
    <col min="13323" max="13323" width="7.625" style="2918" customWidth="1"/>
    <col min="13324" max="13328" width="8.625" style="2918" customWidth="1"/>
    <col min="13329" max="13568" width="9" style="2918"/>
    <col min="13569" max="13569" width="2.625" style="2918" customWidth="1"/>
    <col min="13570" max="13570" width="8.625" style="2918" customWidth="1"/>
    <col min="13571" max="13571" width="7.375" style="2918" customWidth="1"/>
    <col min="13572" max="13572" width="5.875" style="2918" customWidth="1"/>
    <col min="13573" max="13577" width="6.625" style="2918" customWidth="1"/>
    <col min="13578" max="13578" width="0" style="2918" hidden="1" customWidth="1"/>
    <col min="13579" max="13579" width="7.625" style="2918" customWidth="1"/>
    <col min="13580" max="13584" width="8.625" style="2918" customWidth="1"/>
    <col min="13585" max="13824" width="9" style="2918"/>
    <col min="13825" max="13825" width="2.625" style="2918" customWidth="1"/>
    <col min="13826" max="13826" width="8.625" style="2918" customWidth="1"/>
    <col min="13827" max="13827" width="7.375" style="2918" customWidth="1"/>
    <col min="13828" max="13828" width="5.875" style="2918" customWidth="1"/>
    <col min="13829" max="13833" width="6.625" style="2918" customWidth="1"/>
    <col min="13834" max="13834" width="0" style="2918" hidden="1" customWidth="1"/>
    <col min="13835" max="13835" width="7.625" style="2918" customWidth="1"/>
    <col min="13836" max="13840" width="8.625" style="2918" customWidth="1"/>
    <col min="13841" max="14080" width="9" style="2918"/>
    <col min="14081" max="14081" width="2.625" style="2918" customWidth="1"/>
    <col min="14082" max="14082" width="8.625" style="2918" customWidth="1"/>
    <col min="14083" max="14083" width="7.375" style="2918" customWidth="1"/>
    <col min="14084" max="14084" width="5.875" style="2918" customWidth="1"/>
    <col min="14085" max="14089" width="6.625" style="2918" customWidth="1"/>
    <col min="14090" max="14090" width="0" style="2918" hidden="1" customWidth="1"/>
    <col min="14091" max="14091" width="7.625" style="2918" customWidth="1"/>
    <col min="14092" max="14096" width="8.625" style="2918" customWidth="1"/>
    <col min="14097" max="14336" width="9" style="2918"/>
    <col min="14337" max="14337" width="2.625" style="2918" customWidth="1"/>
    <col min="14338" max="14338" width="8.625" style="2918" customWidth="1"/>
    <col min="14339" max="14339" width="7.375" style="2918" customWidth="1"/>
    <col min="14340" max="14340" width="5.875" style="2918" customWidth="1"/>
    <col min="14341" max="14345" width="6.625" style="2918" customWidth="1"/>
    <col min="14346" max="14346" width="0" style="2918" hidden="1" customWidth="1"/>
    <col min="14347" max="14347" width="7.625" style="2918" customWidth="1"/>
    <col min="14348" max="14352" width="8.625" style="2918" customWidth="1"/>
    <col min="14353" max="14592" width="9" style="2918"/>
    <col min="14593" max="14593" width="2.625" style="2918" customWidth="1"/>
    <col min="14594" max="14594" width="8.625" style="2918" customWidth="1"/>
    <col min="14595" max="14595" width="7.375" style="2918" customWidth="1"/>
    <col min="14596" max="14596" width="5.875" style="2918" customWidth="1"/>
    <col min="14597" max="14601" width="6.625" style="2918" customWidth="1"/>
    <col min="14602" max="14602" width="0" style="2918" hidden="1" customWidth="1"/>
    <col min="14603" max="14603" width="7.625" style="2918" customWidth="1"/>
    <col min="14604" max="14608" width="8.625" style="2918" customWidth="1"/>
    <col min="14609" max="14848" width="9" style="2918"/>
    <col min="14849" max="14849" width="2.625" style="2918" customWidth="1"/>
    <col min="14850" max="14850" width="8.625" style="2918" customWidth="1"/>
    <col min="14851" max="14851" width="7.375" style="2918" customWidth="1"/>
    <col min="14852" max="14852" width="5.875" style="2918" customWidth="1"/>
    <col min="14853" max="14857" width="6.625" style="2918" customWidth="1"/>
    <col min="14858" max="14858" width="0" style="2918" hidden="1" customWidth="1"/>
    <col min="14859" max="14859" width="7.625" style="2918" customWidth="1"/>
    <col min="14860" max="14864" width="8.625" style="2918" customWidth="1"/>
    <col min="14865" max="15104" width="9" style="2918"/>
    <col min="15105" max="15105" width="2.625" style="2918" customWidth="1"/>
    <col min="15106" max="15106" width="8.625" style="2918" customWidth="1"/>
    <col min="15107" max="15107" width="7.375" style="2918" customWidth="1"/>
    <col min="15108" max="15108" width="5.875" style="2918" customWidth="1"/>
    <col min="15109" max="15113" width="6.625" style="2918" customWidth="1"/>
    <col min="15114" max="15114" width="0" style="2918" hidden="1" customWidth="1"/>
    <col min="15115" max="15115" width="7.625" style="2918" customWidth="1"/>
    <col min="15116" max="15120" width="8.625" style="2918" customWidth="1"/>
    <col min="15121" max="15360" width="9" style="2918"/>
    <col min="15361" max="15361" width="2.625" style="2918" customWidth="1"/>
    <col min="15362" max="15362" width="8.625" style="2918" customWidth="1"/>
    <col min="15363" max="15363" width="7.375" style="2918" customWidth="1"/>
    <col min="15364" max="15364" width="5.875" style="2918" customWidth="1"/>
    <col min="15365" max="15369" width="6.625" style="2918" customWidth="1"/>
    <col min="15370" max="15370" width="0" style="2918" hidden="1" customWidth="1"/>
    <col min="15371" max="15371" width="7.625" style="2918" customWidth="1"/>
    <col min="15372" max="15376" width="8.625" style="2918" customWidth="1"/>
    <col min="15377" max="15616" width="9" style="2918"/>
    <col min="15617" max="15617" width="2.625" style="2918" customWidth="1"/>
    <col min="15618" max="15618" width="8.625" style="2918" customWidth="1"/>
    <col min="15619" max="15619" width="7.375" style="2918" customWidth="1"/>
    <col min="15620" max="15620" width="5.875" style="2918" customWidth="1"/>
    <col min="15621" max="15625" width="6.625" style="2918" customWidth="1"/>
    <col min="15626" max="15626" width="0" style="2918" hidden="1" customWidth="1"/>
    <col min="15627" max="15627" width="7.625" style="2918" customWidth="1"/>
    <col min="15628" max="15632" width="8.625" style="2918" customWidth="1"/>
    <col min="15633" max="15872" width="9" style="2918"/>
    <col min="15873" max="15873" width="2.625" style="2918" customWidth="1"/>
    <col min="15874" max="15874" width="8.625" style="2918" customWidth="1"/>
    <col min="15875" max="15875" width="7.375" style="2918" customWidth="1"/>
    <col min="15876" max="15876" width="5.875" style="2918" customWidth="1"/>
    <col min="15877" max="15881" width="6.625" style="2918" customWidth="1"/>
    <col min="15882" max="15882" width="0" style="2918" hidden="1" customWidth="1"/>
    <col min="15883" max="15883" width="7.625" style="2918" customWidth="1"/>
    <col min="15884" max="15888" width="8.625" style="2918" customWidth="1"/>
    <col min="15889" max="16128" width="9" style="2918"/>
    <col min="16129" max="16129" width="2.625" style="2918" customWidth="1"/>
    <col min="16130" max="16130" width="8.625" style="2918" customWidth="1"/>
    <col min="16131" max="16131" width="7.375" style="2918" customWidth="1"/>
    <col min="16132" max="16132" width="5.875" style="2918" customWidth="1"/>
    <col min="16133" max="16137" width="6.625" style="2918" customWidth="1"/>
    <col min="16138" max="16138" width="0" style="2918" hidden="1" customWidth="1"/>
    <col min="16139" max="16139" width="7.625" style="2918" customWidth="1"/>
    <col min="16140" max="16144" width="8.625" style="2918" customWidth="1"/>
    <col min="16145" max="16384" width="9" style="2918"/>
  </cols>
  <sheetData>
    <row r="1" spans="1:256" customFormat="1">
      <c r="A1" s="4688" t="s">
        <v>12561</v>
      </c>
      <c r="B1" s="4688"/>
      <c r="C1" s="4688"/>
      <c r="D1" s="4688"/>
      <c r="E1" s="4688"/>
      <c r="F1" s="4688"/>
      <c r="G1" s="4688"/>
      <c r="H1" s="4688"/>
      <c r="I1" s="4688"/>
      <c r="J1" s="2918"/>
      <c r="K1" s="2918"/>
      <c r="L1" s="2918"/>
      <c r="M1" s="2918"/>
      <c r="N1" s="2918"/>
      <c r="O1" s="2918"/>
      <c r="P1" s="2918"/>
      <c r="Q1" s="2918"/>
      <c r="R1" s="3162" t="s">
        <v>12708</v>
      </c>
      <c r="S1" s="2918"/>
      <c r="T1" s="2918"/>
      <c r="U1" s="2918"/>
      <c r="V1" s="2918"/>
      <c r="W1" s="2918"/>
      <c r="X1" s="2918"/>
      <c r="Y1" s="2918"/>
      <c r="Z1" s="2918"/>
      <c r="AA1" s="2918"/>
      <c r="AB1" s="2918"/>
      <c r="AC1" s="2918"/>
      <c r="AD1" s="2918"/>
      <c r="AE1" s="2918"/>
      <c r="AF1" s="2918"/>
      <c r="AG1" s="2918"/>
      <c r="AH1" s="2918"/>
      <c r="AI1" s="2918"/>
      <c r="AJ1" s="2918"/>
      <c r="AK1" s="2918"/>
      <c r="AL1" s="2918"/>
      <c r="AM1" s="2918"/>
      <c r="AN1" s="2918"/>
      <c r="AO1" s="2918"/>
      <c r="AP1" s="2918"/>
      <c r="AQ1" s="2918"/>
      <c r="AR1" s="2918"/>
      <c r="AS1" s="2918"/>
      <c r="AT1" s="2918"/>
      <c r="AU1" s="2918"/>
      <c r="AV1" s="2918"/>
      <c r="AW1" s="2918"/>
      <c r="AX1" s="2918"/>
      <c r="AY1" s="2918"/>
      <c r="AZ1" s="2918"/>
      <c r="BA1" s="2918"/>
      <c r="BB1" s="2918"/>
      <c r="BC1" s="2918"/>
      <c r="BD1" s="2918"/>
      <c r="BE1" s="2918"/>
      <c r="BF1" s="2918"/>
      <c r="BG1" s="2918"/>
      <c r="BH1" s="2918"/>
      <c r="BI1" s="2918"/>
      <c r="BJ1" s="2918"/>
      <c r="BK1" s="2918"/>
      <c r="BL1" s="2918"/>
      <c r="BM1" s="2918"/>
      <c r="BN1" s="2918"/>
      <c r="BO1" s="2918"/>
      <c r="BP1" s="2918"/>
      <c r="BQ1" s="2918"/>
      <c r="BR1" s="2918"/>
      <c r="BS1" s="2918"/>
      <c r="BT1" s="2918"/>
      <c r="BU1" s="2918"/>
      <c r="BV1" s="2918"/>
      <c r="BW1" s="2918"/>
      <c r="BX1" s="2918"/>
      <c r="BY1" s="2918"/>
      <c r="BZ1" s="2918"/>
      <c r="CA1" s="2918"/>
      <c r="CB1" s="2918"/>
      <c r="CC1" s="2918"/>
      <c r="CD1" s="2918"/>
      <c r="CE1" s="2918"/>
      <c r="CF1" s="2918"/>
      <c r="CG1" s="2918"/>
      <c r="CH1" s="2918"/>
      <c r="CI1" s="2918"/>
      <c r="CJ1" s="2918"/>
      <c r="CK1" s="2918"/>
      <c r="CL1" s="2918"/>
      <c r="CM1" s="2918"/>
      <c r="CN1" s="2918"/>
      <c r="CO1" s="2918"/>
      <c r="CP1" s="2918"/>
      <c r="CQ1" s="2918"/>
      <c r="CR1" s="2918"/>
      <c r="CS1" s="2918"/>
      <c r="CT1" s="2918"/>
      <c r="CU1" s="2918"/>
      <c r="CV1" s="2918"/>
      <c r="CW1" s="2918"/>
      <c r="CX1" s="2918"/>
      <c r="CY1" s="2918"/>
      <c r="CZ1" s="2918"/>
      <c r="DA1" s="2918"/>
      <c r="DB1" s="2918"/>
      <c r="DC1" s="2918"/>
      <c r="DD1" s="2918"/>
      <c r="DE1" s="2918"/>
      <c r="DF1" s="2918"/>
      <c r="DG1" s="2918"/>
      <c r="DH1" s="2918"/>
      <c r="DI1" s="2918"/>
      <c r="DJ1" s="2918"/>
      <c r="DK1" s="2918"/>
      <c r="DL1" s="2918"/>
      <c r="DM1" s="2918"/>
      <c r="DN1" s="2918"/>
      <c r="DO1" s="2918"/>
      <c r="DP1" s="2918"/>
      <c r="DQ1" s="2918"/>
      <c r="DR1" s="2918"/>
      <c r="DS1" s="2918"/>
      <c r="DT1" s="2918"/>
      <c r="DU1" s="2918"/>
      <c r="DV1" s="2918"/>
      <c r="DW1" s="2918"/>
      <c r="DX1" s="2918"/>
      <c r="DY1" s="2918"/>
      <c r="DZ1" s="2918"/>
      <c r="EA1" s="2918"/>
      <c r="EB1" s="2918"/>
      <c r="EC1" s="2918"/>
      <c r="ED1" s="2918"/>
      <c r="EE1" s="2918"/>
      <c r="EF1" s="2918"/>
      <c r="EG1" s="2918"/>
      <c r="EH1" s="2918"/>
      <c r="EI1" s="2918"/>
      <c r="EJ1" s="2918"/>
      <c r="EK1" s="2918"/>
      <c r="EL1" s="2918"/>
      <c r="EM1" s="2918"/>
      <c r="EN1" s="2918"/>
      <c r="EO1" s="2918"/>
      <c r="EP1" s="2918"/>
      <c r="EQ1" s="2918"/>
      <c r="ER1" s="2918"/>
      <c r="ES1" s="2918"/>
      <c r="ET1" s="2918"/>
      <c r="EU1" s="2918"/>
      <c r="EV1" s="2918"/>
      <c r="EW1" s="2918"/>
      <c r="EX1" s="2918"/>
      <c r="EY1" s="2918"/>
      <c r="EZ1" s="2918"/>
      <c r="FA1" s="2918"/>
      <c r="FB1" s="2918"/>
      <c r="FC1" s="2918"/>
      <c r="FD1" s="2918"/>
      <c r="FE1" s="2918"/>
      <c r="FF1" s="2918"/>
      <c r="FG1" s="2918"/>
      <c r="FH1" s="2918"/>
      <c r="FI1" s="2918"/>
      <c r="FJ1" s="2918"/>
      <c r="FK1" s="2918"/>
      <c r="FL1" s="2918"/>
      <c r="FM1" s="2918"/>
      <c r="FN1" s="2918"/>
      <c r="FO1" s="2918"/>
      <c r="FP1" s="2918"/>
      <c r="FQ1" s="2918"/>
      <c r="FR1" s="2918"/>
      <c r="FS1" s="2918"/>
      <c r="FT1" s="2918"/>
      <c r="FU1" s="2918"/>
      <c r="FV1" s="2918"/>
      <c r="FW1" s="2918"/>
      <c r="FX1" s="2918"/>
      <c r="FY1" s="2918"/>
      <c r="FZ1" s="2918"/>
      <c r="GA1" s="2918"/>
      <c r="GB1" s="2918"/>
      <c r="GC1" s="2918"/>
      <c r="GD1" s="2918"/>
      <c r="GE1" s="2918"/>
      <c r="GF1" s="2918"/>
      <c r="GG1" s="2918"/>
      <c r="GH1" s="2918"/>
      <c r="GI1" s="2918"/>
      <c r="GJ1" s="2918"/>
      <c r="GK1" s="2918"/>
      <c r="GL1" s="2918"/>
      <c r="GM1" s="2918"/>
      <c r="GN1" s="2918"/>
      <c r="GO1" s="2918"/>
      <c r="GP1" s="2918"/>
      <c r="GQ1" s="2918"/>
      <c r="GR1" s="2918"/>
      <c r="GS1" s="2918"/>
      <c r="GT1" s="2918"/>
      <c r="GU1" s="2918"/>
      <c r="GV1" s="2918"/>
      <c r="GW1" s="2918"/>
      <c r="GX1" s="2918"/>
      <c r="GY1" s="2918"/>
      <c r="GZ1" s="2918"/>
      <c r="HA1" s="2918"/>
      <c r="HB1" s="2918"/>
      <c r="HC1" s="2918"/>
      <c r="HD1" s="2918"/>
      <c r="HE1" s="2918"/>
      <c r="HF1" s="2918"/>
      <c r="HG1" s="2918"/>
      <c r="HH1" s="2918"/>
      <c r="HI1" s="2918"/>
      <c r="HJ1" s="2918"/>
      <c r="HK1" s="2918"/>
      <c r="HL1" s="2918"/>
      <c r="HM1" s="2918"/>
      <c r="HN1" s="2918"/>
      <c r="HO1" s="2918"/>
      <c r="HP1" s="2918"/>
      <c r="HQ1" s="2918"/>
      <c r="HR1" s="2918"/>
      <c r="HS1" s="2918"/>
      <c r="HT1" s="2918"/>
      <c r="HU1" s="2918"/>
      <c r="HV1" s="2918"/>
      <c r="HW1" s="2918"/>
      <c r="HX1" s="2918"/>
      <c r="HY1" s="2918"/>
      <c r="HZ1" s="2918"/>
      <c r="IA1" s="2918"/>
      <c r="IB1" s="2918"/>
      <c r="IC1" s="2918"/>
      <c r="ID1" s="2918"/>
      <c r="IE1" s="2918"/>
      <c r="IF1" s="2918"/>
      <c r="IG1" s="2918"/>
      <c r="IH1" s="2918"/>
      <c r="II1" s="2918"/>
      <c r="IJ1" s="2918"/>
      <c r="IK1" s="2918"/>
      <c r="IL1" s="2918"/>
      <c r="IM1" s="2918"/>
      <c r="IN1" s="2918"/>
      <c r="IO1" s="2918"/>
      <c r="IP1" s="2918"/>
      <c r="IQ1" s="2918"/>
      <c r="IR1" s="2918"/>
      <c r="IS1" s="2918"/>
      <c r="IT1" s="2918"/>
      <c r="IU1" s="2918"/>
      <c r="IV1" s="2918"/>
    </row>
    <row r="2" spans="1:256">
      <c r="A2" s="4689" t="s">
        <v>12562</v>
      </c>
      <c r="B2" s="3706"/>
      <c r="C2" s="4690" t="s">
        <v>6650</v>
      </c>
      <c r="D2" s="4691"/>
      <c r="E2" s="4692" t="s">
        <v>6691</v>
      </c>
      <c r="F2" s="4693"/>
      <c r="G2" s="4693"/>
      <c r="H2" s="4693"/>
      <c r="I2" s="4694"/>
      <c r="J2" s="3051"/>
      <c r="K2" s="3051"/>
      <c r="L2" s="4642" t="s">
        <v>12563</v>
      </c>
      <c r="M2" s="4642"/>
      <c r="N2" s="4642"/>
      <c r="O2" s="4642"/>
      <c r="P2" s="4642"/>
      <c r="Q2" s="4642"/>
      <c r="R2" s="4642"/>
    </row>
    <row r="3" spans="1:256">
      <c r="A3" s="4689"/>
      <c r="B3" s="3706"/>
      <c r="C3" s="4695" t="s">
        <v>2060</v>
      </c>
      <c r="D3" s="4697" t="s">
        <v>78</v>
      </c>
      <c r="E3" s="3052">
        <v>1.8</v>
      </c>
      <c r="F3" s="3053">
        <v>2.65</v>
      </c>
      <c r="G3" s="3053">
        <v>3.55</v>
      </c>
      <c r="H3" s="3053">
        <v>5.3</v>
      </c>
      <c r="I3" s="3054">
        <v>7</v>
      </c>
      <c r="J3" s="3051"/>
      <c r="K3" s="3051"/>
      <c r="L3" s="4699" t="s">
        <v>2061</v>
      </c>
      <c r="M3" s="3055">
        <v>1.9</v>
      </c>
      <c r="N3" s="3055">
        <v>2.4</v>
      </c>
      <c r="O3" s="3055">
        <v>3.1</v>
      </c>
      <c r="P3" s="3055">
        <v>3.5</v>
      </c>
      <c r="Q3" s="3055">
        <v>5.7</v>
      </c>
      <c r="R3" s="3056">
        <v>8.6</v>
      </c>
    </row>
    <row r="4" spans="1:256">
      <c r="A4" s="4689"/>
      <c r="B4" s="3706"/>
      <c r="C4" s="4696"/>
      <c r="D4" s="4698"/>
      <c r="E4" s="3057" t="s">
        <v>8811</v>
      </c>
      <c r="F4" s="3057" t="s">
        <v>8812</v>
      </c>
      <c r="G4" s="3057" t="s">
        <v>8070</v>
      </c>
      <c r="H4" s="3057" t="s">
        <v>12564</v>
      </c>
      <c r="I4" s="3058" t="s">
        <v>8071</v>
      </c>
      <c r="J4" s="3059"/>
      <c r="K4" s="3059"/>
      <c r="L4" s="4700"/>
      <c r="M4" s="3060" t="s">
        <v>12565</v>
      </c>
      <c r="N4" s="3060" t="s">
        <v>12566</v>
      </c>
      <c r="O4" s="3060" t="s">
        <v>12567</v>
      </c>
      <c r="P4" s="3060" t="s">
        <v>12568</v>
      </c>
      <c r="Q4" s="3060" t="s">
        <v>12569</v>
      </c>
      <c r="R4" s="3061" t="s">
        <v>12570</v>
      </c>
    </row>
    <row r="5" spans="1:256" ht="15.75" customHeight="1">
      <c r="A5" s="4648"/>
      <c r="B5" s="4653"/>
      <c r="C5" s="2901">
        <v>1.8</v>
      </c>
      <c r="D5" s="3062" t="s">
        <v>12564</v>
      </c>
      <c r="E5" s="3063">
        <f t="shared" ref="E5:E50" si="0">$E$3^2*PI()/4*(C5+$E$3)*PI()*1.1*10^-3</f>
        <v>3.1657743076934232E-2</v>
      </c>
      <c r="F5" s="3064"/>
      <c r="G5" s="3064"/>
      <c r="H5" s="3064"/>
      <c r="I5" s="3061"/>
      <c r="J5" s="3059"/>
      <c r="K5" s="3059"/>
      <c r="L5" s="3065">
        <v>5</v>
      </c>
      <c r="M5" s="3064" t="s">
        <v>11828</v>
      </c>
      <c r="N5" s="3064"/>
      <c r="O5" s="3064"/>
      <c r="P5" s="3064"/>
      <c r="Q5" s="3064"/>
      <c r="R5" s="3061"/>
    </row>
    <row r="6" spans="1:256">
      <c r="A6" s="4648"/>
      <c r="B6" s="4653"/>
      <c r="C6" s="2901">
        <v>2</v>
      </c>
      <c r="D6" s="3062" t="s">
        <v>12564</v>
      </c>
      <c r="E6" s="3063">
        <f t="shared" si="0"/>
        <v>3.3416506581208351E-2</v>
      </c>
      <c r="F6" s="3064"/>
      <c r="G6" s="3064"/>
      <c r="H6" s="3064"/>
      <c r="I6" s="3061"/>
      <c r="J6" s="3066"/>
      <c r="L6" s="3065">
        <v>6</v>
      </c>
      <c r="M6" s="3064" t="s">
        <v>11828</v>
      </c>
      <c r="N6" s="3064"/>
      <c r="O6" s="3064"/>
      <c r="P6" s="3064"/>
      <c r="Q6" s="3064"/>
      <c r="R6" s="3061"/>
    </row>
    <row r="7" spans="1:256">
      <c r="A7" s="4648"/>
      <c r="B7" s="4653"/>
      <c r="C7" s="2901">
        <v>2.2400000000000002</v>
      </c>
      <c r="D7" s="3062" t="s">
        <v>12564</v>
      </c>
      <c r="E7" s="3063">
        <f t="shared" si="0"/>
        <v>3.5527022786337306E-2</v>
      </c>
      <c r="F7" s="3064"/>
      <c r="G7" s="3064"/>
      <c r="H7" s="3064"/>
      <c r="I7" s="3061"/>
      <c r="L7" s="3065">
        <v>7</v>
      </c>
      <c r="M7" s="3064" t="s">
        <v>11828</v>
      </c>
      <c r="N7" s="3064"/>
      <c r="O7" s="3064"/>
      <c r="P7" s="3064"/>
      <c r="Q7" s="3064"/>
      <c r="R7" s="3061"/>
    </row>
    <row r="8" spans="1:256">
      <c r="A8" s="4648"/>
      <c r="B8" s="4653"/>
      <c r="C8" s="2901">
        <v>2.5</v>
      </c>
      <c r="D8" s="3062" t="s">
        <v>12564</v>
      </c>
      <c r="E8" s="3063">
        <f t="shared" si="0"/>
        <v>3.7813415341893669E-2</v>
      </c>
      <c r="F8" s="3064"/>
      <c r="G8" s="3064"/>
      <c r="H8" s="3064"/>
      <c r="I8" s="3061"/>
      <c r="L8" s="3065">
        <v>8</v>
      </c>
      <c r="M8" s="3064" t="s">
        <v>11828</v>
      </c>
      <c r="N8" s="3064"/>
      <c r="O8" s="3064"/>
      <c r="P8" s="3064"/>
      <c r="Q8" s="3064"/>
      <c r="R8" s="3061"/>
    </row>
    <row r="9" spans="1:256">
      <c r="A9" s="4648"/>
      <c r="B9" s="4653"/>
      <c r="C9" s="2901">
        <v>2.8</v>
      </c>
      <c r="D9" s="3062" t="s">
        <v>12564</v>
      </c>
      <c r="E9" s="3063">
        <f t="shared" si="0"/>
        <v>4.0451560598304848E-2</v>
      </c>
      <c r="F9" s="3064"/>
      <c r="G9" s="3064"/>
      <c r="H9" s="3064"/>
      <c r="I9" s="3061"/>
      <c r="L9" s="3065">
        <v>9</v>
      </c>
      <c r="M9" s="3064" t="s">
        <v>11828</v>
      </c>
      <c r="N9" s="3064"/>
      <c r="O9" s="3064"/>
      <c r="P9" s="3064"/>
      <c r="Q9" s="3064"/>
      <c r="R9" s="3061"/>
    </row>
    <row r="10" spans="1:256">
      <c r="A10" s="4648"/>
      <c r="B10" s="4653"/>
      <c r="C10" s="2901">
        <v>3.15</v>
      </c>
      <c r="D10" s="3062" t="s">
        <v>12564</v>
      </c>
      <c r="E10" s="3063">
        <f t="shared" si="0"/>
        <v>4.352939673078457E-2</v>
      </c>
      <c r="F10" s="3064"/>
      <c r="G10" s="3064"/>
      <c r="H10" s="3064"/>
      <c r="I10" s="3061"/>
      <c r="L10" s="3065">
        <v>10</v>
      </c>
      <c r="M10" s="3064" t="s">
        <v>11828</v>
      </c>
      <c r="N10" s="3064"/>
      <c r="O10" s="3064"/>
      <c r="P10" s="3064"/>
      <c r="Q10" s="3064"/>
      <c r="R10" s="3061"/>
    </row>
    <row r="11" spans="1:256" ht="14.25" customHeight="1">
      <c r="A11" s="4648"/>
      <c r="B11" s="4653"/>
      <c r="C11" s="2901">
        <v>3.55</v>
      </c>
      <c r="D11" s="3062" t="s">
        <v>12564</v>
      </c>
      <c r="E11" s="3063">
        <f t="shared" si="0"/>
        <v>4.7046923739332808E-2</v>
      </c>
      <c r="F11" s="3064"/>
      <c r="G11" s="3064"/>
      <c r="H11" s="3064"/>
      <c r="I11" s="3061"/>
      <c r="L11" s="3065">
        <v>11</v>
      </c>
      <c r="M11" s="3064" t="s">
        <v>11828</v>
      </c>
      <c r="N11" s="3064"/>
      <c r="O11" s="3064"/>
      <c r="P11" s="3064"/>
      <c r="Q11" s="3064"/>
      <c r="R11" s="3061"/>
    </row>
    <row r="12" spans="1:256">
      <c r="A12" s="4648"/>
      <c r="B12" s="4653"/>
      <c r="C12" s="2901">
        <v>3.75</v>
      </c>
      <c r="D12" s="3062" t="s">
        <v>12564</v>
      </c>
      <c r="E12" s="3063">
        <f t="shared" si="0"/>
        <v>4.8805687243606934E-2</v>
      </c>
      <c r="F12" s="3064"/>
      <c r="G12" s="3064"/>
      <c r="H12" s="3064"/>
      <c r="I12" s="3061"/>
      <c r="L12" s="3065">
        <v>12</v>
      </c>
      <c r="M12" s="3064" t="s">
        <v>11828</v>
      </c>
      <c r="N12" s="3064"/>
      <c r="O12" s="3064"/>
      <c r="P12" s="3064"/>
      <c r="Q12" s="3064"/>
      <c r="R12" s="3061"/>
    </row>
    <row r="13" spans="1:256">
      <c r="A13" s="4648"/>
      <c r="B13" s="4653"/>
      <c r="C13" s="2901">
        <v>4</v>
      </c>
      <c r="D13" s="3062" t="s">
        <v>12564</v>
      </c>
      <c r="E13" s="3063">
        <f t="shared" si="0"/>
        <v>5.1004141623949589E-2</v>
      </c>
      <c r="F13" s="3064"/>
      <c r="G13" s="3064"/>
      <c r="H13" s="3064"/>
      <c r="I13" s="3061"/>
      <c r="L13" s="3065">
        <v>13</v>
      </c>
      <c r="M13" s="3064" t="s">
        <v>11828</v>
      </c>
      <c r="N13" s="3064"/>
      <c r="O13" s="3064"/>
      <c r="P13" s="3064"/>
      <c r="Q13" s="3064"/>
      <c r="R13" s="3061"/>
    </row>
    <row r="14" spans="1:256">
      <c r="A14" s="4648"/>
      <c r="B14" s="4653"/>
      <c r="C14" s="2901">
        <v>4.5</v>
      </c>
      <c r="D14" s="3062" t="s">
        <v>12564</v>
      </c>
      <c r="E14" s="3063">
        <f t="shared" si="0"/>
        <v>5.5401050384634908E-2</v>
      </c>
      <c r="F14" s="3064"/>
      <c r="G14" s="3064"/>
      <c r="H14" s="3064"/>
      <c r="I14" s="3061"/>
      <c r="L14" s="3065">
        <v>14</v>
      </c>
      <c r="M14" s="3064" t="s">
        <v>11828</v>
      </c>
      <c r="N14" s="3064" t="s">
        <v>11828</v>
      </c>
      <c r="O14" s="3064"/>
      <c r="P14" s="3064"/>
      <c r="Q14" s="3064"/>
      <c r="R14" s="3061"/>
    </row>
    <row r="15" spans="1:256">
      <c r="A15" s="4648"/>
      <c r="B15" s="4653"/>
      <c r="C15" s="2901">
        <v>4.87</v>
      </c>
      <c r="D15" s="3062" t="s">
        <v>12564</v>
      </c>
      <c r="E15" s="3063">
        <f t="shared" si="0"/>
        <v>5.8654762867542037E-2</v>
      </c>
      <c r="F15" s="3064"/>
      <c r="G15" s="3064"/>
      <c r="H15" s="3064"/>
      <c r="I15" s="3061"/>
      <c r="L15" s="3065">
        <v>15</v>
      </c>
      <c r="M15" s="3064"/>
      <c r="N15" s="3064" t="s">
        <v>11828</v>
      </c>
      <c r="O15" s="3064"/>
      <c r="P15" s="3064"/>
      <c r="Q15" s="3064"/>
      <c r="R15" s="3061"/>
    </row>
    <row r="16" spans="1:256">
      <c r="A16" s="4648"/>
      <c r="B16" s="4653"/>
      <c r="C16" s="2901">
        <v>5</v>
      </c>
      <c r="D16" s="3062" t="s">
        <v>12564</v>
      </c>
      <c r="E16" s="3063">
        <f t="shared" si="0"/>
        <v>5.9797959145320205E-2</v>
      </c>
      <c r="F16" s="3064"/>
      <c r="G16" s="3064"/>
      <c r="H16" s="3064"/>
      <c r="I16" s="3061"/>
      <c r="L16" s="3065">
        <v>16</v>
      </c>
      <c r="M16" s="3064"/>
      <c r="N16" s="3064" t="s">
        <v>11828</v>
      </c>
      <c r="O16" s="3064"/>
      <c r="P16" s="3064"/>
      <c r="Q16" s="3064"/>
      <c r="R16" s="3061"/>
    </row>
    <row r="17" spans="1:18">
      <c r="A17" s="4648"/>
      <c r="B17" s="4653"/>
      <c r="C17" s="2901">
        <v>5.15</v>
      </c>
      <c r="D17" s="3062" t="s">
        <v>12564</v>
      </c>
      <c r="E17" s="3063">
        <f t="shared" si="0"/>
        <v>6.1117031773525815E-2</v>
      </c>
      <c r="F17" s="3064"/>
      <c r="G17" s="3064"/>
      <c r="H17" s="3064"/>
      <c r="I17" s="3061"/>
      <c r="L17" s="3065">
        <v>17</v>
      </c>
      <c r="M17" s="3064"/>
      <c r="N17" s="3064" t="s">
        <v>11828</v>
      </c>
      <c r="O17" s="3064"/>
      <c r="P17" s="3064"/>
      <c r="Q17" s="3064"/>
      <c r="R17" s="3061"/>
    </row>
    <row r="18" spans="1:18">
      <c r="A18" s="4648"/>
      <c r="B18" s="4653"/>
      <c r="C18" s="2901">
        <v>5.3</v>
      </c>
      <c r="D18" s="3062" t="s">
        <v>12564</v>
      </c>
      <c r="E18" s="3063">
        <f t="shared" si="0"/>
        <v>6.243610440173139E-2</v>
      </c>
      <c r="F18" s="3064"/>
      <c r="G18" s="3064"/>
      <c r="H18" s="3064"/>
      <c r="I18" s="3061"/>
      <c r="L18" s="3065">
        <v>18</v>
      </c>
      <c r="M18" s="3064"/>
      <c r="N18" s="3064" t="s">
        <v>11828</v>
      </c>
      <c r="O18" s="3064"/>
      <c r="P18" s="3064"/>
      <c r="Q18" s="3064"/>
      <c r="R18" s="3061"/>
    </row>
    <row r="19" spans="1:18">
      <c r="A19" s="4648"/>
      <c r="B19" s="4653"/>
      <c r="C19" s="2901">
        <v>5.6</v>
      </c>
      <c r="D19" s="3062" t="s">
        <v>12564</v>
      </c>
      <c r="E19" s="3063">
        <f t="shared" si="0"/>
        <v>6.5074249658142583E-2</v>
      </c>
      <c r="F19" s="3064"/>
      <c r="G19" s="3064"/>
      <c r="H19" s="3064"/>
      <c r="I19" s="3061"/>
      <c r="L19" s="3065">
        <v>19</v>
      </c>
      <c r="M19" s="3064"/>
      <c r="N19" s="3064" t="s">
        <v>11828</v>
      </c>
      <c r="O19" s="3064"/>
      <c r="P19" s="3064"/>
      <c r="Q19" s="3064"/>
      <c r="R19" s="3061"/>
    </row>
    <row r="20" spans="1:18" ht="14.25" customHeight="1">
      <c r="A20" s="4648"/>
      <c r="B20" s="4653"/>
      <c r="C20" s="2901">
        <v>6</v>
      </c>
      <c r="D20" s="3062" t="s">
        <v>12564</v>
      </c>
      <c r="E20" s="3063">
        <f t="shared" si="0"/>
        <v>6.8591776666690835E-2</v>
      </c>
      <c r="F20" s="3064"/>
      <c r="G20" s="3064"/>
      <c r="H20" s="3064"/>
      <c r="I20" s="3061"/>
      <c r="L20" s="3065">
        <v>20</v>
      </c>
      <c r="M20" s="3064"/>
      <c r="N20" s="3064" t="s">
        <v>11828</v>
      </c>
      <c r="O20" s="3064"/>
      <c r="P20" s="3064"/>
      <c r="Q20" s="3064"/>
      <c r="R20" s="3061"/>
    </row>
    <row r="21" spans="1:18">
      <c r="A21" s="4648"/>
      <c r="B21" s="4653"/>
      <c r="C21" s="2901">
        <v>6.3</v>
      </c>
      <c r="D21" s="3062" t="s">
        <v>12571</v>
      </c>
      <c r="E21" s="3063">
        <f t="shared" si="0"/>
        <v>7.1229921923102013E-2</v>
      </c>
      <c r="F21" s="3064"/>
      <c r="G21" s="3064"/>
      <c r="H21" s="3064"/>
      <c r="I21" s="3061"/>
      <c r="L21" s="3065">
        <v>22</v>
      </c>
      <c r="M21" s="3064"/>
      <c r="N21" s="3064" t="s">
        <v>11828</v>
      </c>
      <c r="O21" s="3064"/>
      <c r="P21" s="3064"/>
      <c r="Q21" s="3064"/>
      <c r="R21" s="3061"/>
    </row>
    <row r="22" spans="1:18">
      <c r="A22" s="4648"/>
      <c r="B22" s="4653"/>
      <c r="C22" s="2901">
        <v>6.7</v>
      </c>
      <c r="D22" s="3062" t="s">
        <v>12571</v>
      </c>
      <c r="E22" s="3063">
        <f t="shared" si="0"/>
        <v>7.4747448931650265E-2</v>
      </c>
      <c r="F22" s="3064"/>
      <c r="G22" s="3064"/>
      <c r="H22" s="3064"/>
      <c r="I22" s="3061"/>
      <c r="L22" s="3065">
        <v>24</v>
      </c>
      <c r="M22" s="3064"/>
      <c r="N22" s="3064" t="s">
        <v>11828</v>
      </c>
      <c r="O22" s="3064"/>
      <c r="P22" s="3064"/>
      <c r="Q22" s="3064"/>
      <c r="R22" s="3061"/>
    </row>
    <row r="23" spans="1:18">
      <c r="A23" s="4648"/>
      <c r="B23" s="4653"/>
      <c r="C23" s="2901">
        <v>6.9</v>
      </c>
      <c r="D23" s="3062" t="s">
        <v>12571</v>
      </c>
      <c r="E23" s="3063">
        <f t="shared" si="0"/>
        <v>7.6506212435924412E-2</v>
      </c>
      <c r="F23" s="3064"/>
      <c r="G23" s="3064"/>
      <c r="H23" s="3064"/>
      <c r="I23" s="3061"/>
      <c r="L23" s="3065">
        <v>25</v>
      </c>
      <c r="M23" s="3064"/>
      <c r="N23" s="3064" t="s">
        <v>11828</v>
      </c>
      <c r="O23" s="3064"/>
      <c r="P23" s="3064"/>
      <c r="Q23" s="3064"/>
      <c r="R23" s="3061"/>
    </row>
    <row r="24" spans="1:18">
      <c r="A24" s="4648"/>
      <c r="B24" s="4653"/>
      <c r="C24" s="2901">
        <v>7.1</v>
      </c>
      <c r="D24" s="3062" t="s">
        <v>12571</v>
      </c>
      <c r="E24" s="3063">
        <f t="shared" si="0"/>
        <v>7.8264975940198531E-2</v>
      </c>
      <c r="F24" s="3064"/>
      <c r="G24" s="3064"/>
      <c r="H24" s="3064"/>
      <c r="I24" s="3061"/>
      <c r="L24" s="3065">
        <v>26</v>
      </c>
      <c r="M24" s="3064"/>
      <c r="N24" s="3064" t="s">
        <v>11828</v>
      </c>
      <c r="O24" s="3064"/>
      <c r="P24" s="3064"/>
      <c r="Q24" s="3064"/>
      <c r="R24" s="3061"/>
    </row>
    <row r="25" spans="1:18">
      <c r="A25" s="4648"/>
      <c r="B25" s="4653"/>
      <c r="C25" s="2901">
        <v>7.5</v>
      </c>
      <c r="D25" s="3062" t="s">
        <v>12571</v>
      </c>
      <c r="E25" s="3063">
        <f t="shared" si="0"/>
        <v>8.1782502948746769E-2</v>
      </c>
      <c r="F25" s="3064"/>
      <c r="G25" s="3064"/>
      <c r="H25" s="3064"/>
      <c r="I25" s="3061"/>
      <c r="L25" s="3065">
        <v>28</v>
      </c>
      <c r="M25" s="3064"/>
      <c r="N25" s="3064"/>
      <c r="O25" s="3064" t="s">
        <v>11828</v>
      </c>
      <c r="P25" s="3064" t="s">
        <v>11828</v>
      </c>
      <c r="Q25" s="3064"/>
      <c r="R25" s="3061"/>
    </row>
    <row r="26" spans="1:18">
      <c r="A26" s="4648"/>
      <c r="B26" s="4653"/>
      <c r="C26" s="2901">
        <v>8</v>
      </c>
      <c r="D26" s="3062" t="s">
        <v>12571</v>
      </c>
      <c r="E26" s="3063">
        <f t="shared" si="0"/>
        <v>8.6179411709432094E-2</v>
      </c>
      <c r="F26" s="3064"/>
      <c r="G26" s="3064"/>
      <c r="H26" s="3064"/>
      <c r="I26" s="3061"/>
      <c r="L26" s="3065">
        <v>30</v>
      </c>
      <c r="M26" s="3064"/>
      <c r="N26" s="3064"/>
      <c r="O26" s="3064" t="s">
        <v>11828</v>
      </c>
      <c r="P26" s="3064" t="s">
        <v>11828</v>
      </c>
      <c r="Q26" s="3064"/>
      <c r="R26" s="3061"/>
    </row>
    <row r="27" spans="1:18">
      <c r="A27" s="4648"/>
      <c r="B27" s="4653"/>
      <c r="C27" s="2901">
        <v>8.5</v>
      </c>
      <c r="D27" s="3062" t="s">
        <v>12571</v>
      </c>
      <c r="E27" s="3063">
        <f t="shared" si="0"/>
        <v>9.0576320470117377E-2</v>
      </c>
      <c r="F27" s="3064"/>
      <c r="G27" s="3064"/>
      <c r="H27" s="3064"/>
      <c r="I27" s="3061"/>
      <c r="L27" s="3065">
        <v>31</v>
      </c>
      <c r="M27" s="3064"/>
      <c r="N27" s="3064"/>
      <c r="O27" s="3064"/>
      <c r="P27" s="3064" t="s">
        <v>11828</v>
      </c>
      <c r="Q27" s="3064"/>
      <c r="R27" s="3061"/>
    </row>
    <row r="28" spans="1:18">
      <c r="A28" s="4648"/>
      <c r="B28" s="4653"/>
      <c r="C28" s="2901">
        <v>8.75</v>
      </c>
      <c r="D28" s="3062" t="s">
        <v>12571</v>
      </c>
      <c r="E28" s="3063">
        <f t="shared" si="0"/>
        <v>9.2774774850460054E-2</v>
      </c>
      <c r="F28" s="3064"/>
      <c r="G28" s="3064"/>
      <c r="H28" s="3064"/>
      <c r="I28" s="3061"/>
      <c r="L28" s="3065">
        <v>32</v>
      </c>
      <c r="M28" s="3064"/>
      <c r="N28" s="3064"/>
      <c r="O28" s="3064" t="s">
        <v>11828</v>
      </c>
      <c r="P28" s="3064" t="s">
        <v>11828</v>
      </c>
      <c r="Q28" s="3064"/>
      <c r="R28" s="3061"/>
    </row>
    <row r="29" spans="1:18">
      <c r="A29" s="4648"/>
      <c r="B29" s="4653"/>
      <c r="C29" s="2901">
        <v>9</v>
      </c>
      <c r="D29" s="3062" t="s">
        <v>12571</v>
      </c>
      <c r="E29" s="3063">
        <f t="shared" si="0"/>
        <v>9.4973229230802689E-2</v>
      </c>
      <c r="F29" s="3064"/>
      <c r="G29" s="3064"/>
      <c r="H29" s="3064"/>
      <c r="I29" s="3061"/>
      <c r="L29" s="3065">
        <v>34</v>
      </c>
      <c r="M29" s="3064"/>
      <c r="N29" s="3064"/>
      <c r="O29" s="3064"/>
      <c r="P29" s="3064" t="s">
        <v>11828</v>
      </c>
      <c r="Q29" s="3064"/>
      <c r="R29" s="3061"/>
    </row>
    <row r="30" spans="1:18">
      <c r="A30" s="4648"/>
      <c r="B30" s="4653"/>
      <c r="C30" s="2901">
        <v>10</v>
      </c>
      <c r="D30" s="3062" t="s">
        <v>12571</v>
      </c>
      <c r="E30" s="3063">
        <f t="shared" si="0"/>
        <v>0.10376704675217331</v>
      </c>
      <c r="F30" s="3064"/>
      <c r="G30" s="3064"/>
      <c r="H30" s="3064"/>
      <c r="I30" s="3061"/>
      <c r="L30" s="3065">
        <v>35</v>
      </c>
      <c r="M30" s="3064"/>
      <c r="N30" s="3064"/>
      <c r="O30" s="3064" t="s">
        <v>11828</v>
      </c>
      <c r="P30" s="3064" t="s">
        <v>11828</v>
      </c>
      <c r="Q30" s="3064"/>
      <c r="R30" s="3061"/>
    </row>
    <row r="31" spans="1:18">
      <c r="A31" s="4648"/>
      <c r="B31" s="4653"/>
      <c r="C31" s="2901">
        <v>10.6</v>
      </c>
      <c r="D31" s="3062" t="s">
        <v>12572</v>
      </c>
      <c r="E31" s="3063">
        <f t="shared" si="0"/>
        <v>0.1090433372649957</v>
      </c>
      <c r="F31" s="3063">
        <f t="shared" ref="F31:H75" si="1">F$3^2*PI()/4*($C31+F$3)*PI()*1.1*10^-3</f>
        <v>0.25254575060360601</v>
      </c>
      <c r="G31" s="3060"/>
      <c r="H31" s="3060"/>
      <c r="I31" s="3061"/>
      <c r="L31" s="3065">
        <v>36</v>
      </c>
      <c r="M31" s="3064"/>
      <c r="N31" s="3064"/>
      <c r="O31" s="3064"/>
      <c r="P31" s="3064" t="s">
        <v>11828</v>
      </c>
      <c r="Q31" s="3064"/>
      <c r="R31" s="3061"/>
    </row>
    <row r="32" spans="1:18">
      <c r="A32" s="4648"/>
      <c r="B32" s="4653"/>
      <c r="C32" s="2901">
        <v>11.2</v>
      </c>
      <c r="D32" s="3062" t="s">
        <v>12572</v>
      </c>
      <c r="E32" s="3063">
        <f t="shared" si="0"/>
        <v>0.11431962777781807</v>
      </c>
      <c r="F32" s="3063">
        <f t="shared" si="1"/>
        <v>0.26398178459320326</v>
      </c>
      <c r="G32" s="3064"/>
      <c r="H32" s="3064"/>
      <c r="I32" s="3061"/>
      <c r="L32" s="3065">
        <v>37</v>
      </c>
      <c r="M32" s="3064"/>
      <c r="N32" s="3064"/>
      <c r="O32" s="3064" t="s">
        <v>11828</v>
      </c>
      <c r="P32" s="3064" t="s">
        <v>11828</v>
      </c>
      <c r="Q32" s="3064"/>
      <c r="R32" s="3061"/>
    </row>
    <row r="33" spans="1:18">
      <c r="A33" s="4648"/>
      <c r="B33" s="4653"/>
      <c r="C33" s="2901">
        <v>11.8</v>
      </c>
      <c r="D33" s="3062" t="s">
        <v>12572</v>
      </c>
      <c r="E33" s="3063">
        <f t="shared" si="0"/>
        <v>0.11959591829064044</v>
      </c>
      <c r="F33" s="3063">
        <f t="shared" si="1"/>
        <v>0.27541781858280051</v>
      </c>
      <c r="G33" s="3064"/>
      <c r="H33" s="3064"/>
      <c r="I33" s="3061"/>
      <c r="L33" s="3065">
        <v>38</v>
      </c>
      <c r="M33" s="3064"/>
      <c r="N33" s="3064"/>
      <c r="O33" s="3064"/>
      <c r="P33" s="3064" t="s">
        <v>11828</v>
      </c>
      <c r="Q33" s="3064"/>
      <c r="R33" s="3061"/>
    </row>
    <row r="34" spans="1:18">
      <c r="A34" s="4648"/>
      <c r="B34" s="4653"/>
      <c r="C34" s="2901">
        <v>12.5</v>
      </c>
      <c r="D34" s="3062" t="s">
        <v>12572</v>
      </c>
      <c r="E34" s="3063">
        <f t="shared" si="0"/>
        <v>0.12575159055559987</v>
      </c>
      <c r="F34" s="3063">
        <f t="shared" si="1"/>
        <v>0.28875985823733069</v>
      </c>
      <c r="G34" s="3064"/>
      <c r="H34" s="3064"/>
      <c r="I34" s="3061"/>
      <c r="L34" s="3065">
        <v>40</v>
      </c>
      <c r="M34" s="3064"/>
      <c r="N34" s="3064"/>
      <c r="O34" s="3064" t="s">
        <v>11828</v>
      </c>
      <c r="P34" s="3064" t="s">
        <v>11828</v>
      </c>
      <c r="Q34" s="3064"/>
      <c r="R34" s="3061"/>
    </row>
    <row r="35" spans="1:18">
      <c r="A35" s="4648"/>
      <c r="B35" s="4653"/>
      <c r="C35" s="2901">
        <v>13.2</v>
      </c>
      <c r="D35" s="3062" t="s">
        <v>12572</v>
      </c>
      <c r="E35" s="3063">
        <f t="shared" si="0"/>
        <v>0.13190726282055928</v>
      </c>
      <c r="F35" s="3063">
        <f t="shared" si="1"/>
        <v>0.30210189789186076</v>
      </c>
      <c r="G35" s="3064"/>
      <c r="H35" s="3064"/>
      <c r="I35" s="3061"/>
      <c r="L35" s="3065">
        <v>41</v>
      </c>
      <c r="M35" s="3064"/>
      <c r="N35" s="3064"/>
      <c r="O35" s="3064"/>
      <c r="P35" s="3064" t="s">
        <v>11828</v>
      </c>
      <c r="Q35" s="3064"/>
      <c r="R35" s="3061"/>
    </row>
    <row r="36" spans="1:18">
      <c r="A36" s="4648"/>
      <c r="B36" s="4653"/>
      <c r="C36" s="2901">
        <v>14</v>
      </c>
      <c r="D36" s="3062" t="s">
        <v>12572</v>
      </c>
      <c r="E36" s="3063">
        <f t="shared" si="0"/>
        <v>0.13894231683765579</v>
      </c>
      <c r="F36" s="3063">
        <f t="shared" si="1"/>
        <v>0.3173499432113237</v>
      </c>
      <c r="G36" s="3064"/>
      <c r="H36" s="3064"/>
      <c r="I36" s="3061"/>
      <c r="L36" s="3065">
        <v>42</v>
      </c>
      <c r="M36" s="3064"/>
      <c r="N36" s="3064"/>
      <c r="O36" s="3064"/>
      <c r="P36" s="3064" t="s">
        <v>11828</v>
      </c>
      <c r="Q36" s="3064"/>
      <c r="R36" s="3061"/>
    </row>
    <row r="37" spans="1:18">
      <c r="A37" s="4648"/>
      <c r="B37" s="4653"/>
      <c r="C37" s="2901">
        <v>15</v>
      </c>
      <c r="D37" s="3062" t="s">
        <v>12572</v>
      </c>
      <c r="E37" s="3063">
        <f t="shared" si="0"/>
        <v>0.14773613435902641</v>
      </c>
      <c r="F37" s="3063">
        <f t="shared" si="1"/>
        <v>0.33640999986065256</v>
      </c>
      <c r="G37" s="3064"/>
      <c r="H37" s="3064"/>
      <c r="I37" s="3061"/>
      <c r="L37" s="3065">
        <v>44</v>
      </c>
      <c r="M37" s="3064"/>
      <c r="N37" s="3064"/>
      <c r="O37" s="3064"/>
      <c r="P37" s="3064" t="s">
        <v>11828</v>
      </c>
      <c r="Q37" s="3064"/>
      <c r="R37" s="3061"/>
    </row>
    <row r="38" spans="1:18">
      <c r="A38" s="4648"/>
      <c r="B38" s="4653"/>
      <c r="C38" s="2901">
        <v>16</v>
      </c>
      <c r="D38" s="3062" t="s">
        <v>12572</v>
      </c>
      <c r="E38" s="3063">
        <f t="shared" si="0"/>
        <v>0.15652995188039706</v>
      </c>
      <c r="F38" s="3063">
        <f t="shared" si="1"/>
        <v>0.35547005650998126</v>
      </c>
      <c r="G38" s="3064"/>
      <c r="H38" s="3064"/>
      <c r="I38" s="3061"/>
      <c r="L38" s="3065">
        <v>45</v>
      </c>
      <c r="M38" s="3064"/>
      <c r="N38" s="3064"/>
      <c r="O38" s="3064" t="s">
        <v>11828</v>
      </c>
      <c r="P38" s="3064" t="s">
        <v>11828</v>
      </c>
      <c r="Q38" s="3064"/>
      <c r="R38" s="3061"/>
    </row>
    <row r="39" spans="1:18">
      <c r="A39" s="4648"/>
      <c r="B39" s="4653"/>
      <c r="C39" s="2901">
        <v>17</v>
      </c>
      <c r="D39" s="3062" t="s">
        <v>12572</v>
      </c>
      <c r="E39" s="3063">
        <f t="shared" si="0"/>
        <v>0.16532376940176763</v>
      </c>
      <c r="F39" s="3063">
        <f t="shared" si="1"/>
        <v>0.37453011315930995</v>
      </c>
      <c r="G39" s="3064"/>
      <c r="H39" s="3064"/>
      <c r="I39" s="3061"/>
      <c r="L39" s="3065">
        <v>46</v>
      </c>
      <c r="M39" s="3064"/>
      <c r="N39" s="3064"/>
      <c r="O39" s="3064"/>
      <c r="P39" s="3064" t="s">
        <v>11828</v>
      </c>
      <c r="Q39" s="3064"/>
      <c r="R39" s="3061"/>
    </row>
    <row r="40" spans="1:18">
      <c r="A40" s="4648"/>
      <c r="B40" s="4653"/>
      <c r="C40" s="2901">
        <v>18</v>
      </c>
      <c r="D40" s="3062" t="s">
        <v>12572</v>
      </c>
      <c r="E40" s="3063">
        <f t="shared" si="0"/>
        <v>0.17411758692313828</v>
      </c>
      <c r="F40" s="3063">
        <f t="shared" si="1"/>
        <v>0.39359016980863881</v>
      </c>
      <c r="G40" s="3063">
        <f t="shared" si="1"/>
        <v>0.73711698719034813</v>
      </c>
      <c r="H40" s="3064"/>
      <c r="I40" s="3061"/>
      <c r="L40" s="3065">
        <v>48</v>
      </c>
      <c r="M40" s="3064"/>
      <c r="N40" s="3064"/>
      <c r="O40" s="3064"/>
      <c r="P40" s="3064" t="s">
        <v>11828</v>
      </c>
      <c r="Q40" s="3064"/>
      <c r="R40" s="3061"/>
    </row>
    <row r="41" spans="1:18">
      <c r="A41" s="4648"/>
      <c r="B41" s="4653"/>
      <c r="C41" s="2901">
        <v>19</v>
      </c>
      <c r="D41" s="3062" t="s">
        <v>12573</v>
      </c>
      <c r="E41" s="3063">
        <f t="shared" si="0"/>
        <v>0.1829114044445089</v>
      </c>
      <c r="F41" s="3063">
        <f t="shared" si="1"/>
        <v>0.41265022645796751</v>
      </c>
      <c r="G41" s="3063">
        <f t="shared" si="1"/>
        <v>0.77132195179314855</v>
      </c>
      <c r="H41" s="3064"/>
      <c r="I41" s="3061"/>
      <c r="L41" s="3065">
        <v>50</v>
      </c>
      <c r="M41" s="3064"/>
      <c r="N41" s="3064"/>
      <c r="O41" s="3064" t="s">
        <v>11828</v>
      </c>
      <c r="P41" s="3064" t="s">
        <v>11828</v>
      </c>
      <c r="Q41" s="3064" t="s">
        <v>11828</v>
      </c>
      <c r="R41" s="3061"/>
    </row>
    <row r="42" spans="1:18">
      <c r="A42" s="4648"/>
      <c r="B42" s="4653"/>
      <c r="C42" s="2901">
        <v>20</v>
      </c>
      <c r="D42" s="3062" t="s">
        <v>12573</v>
      </c>
      <c r="E42" s="3063">
        <f t="shared" si="0"/>
        <v>0.1917052219658795</v>
      </c>
      <c r="F42" s="3063">
        <f t="shared" si="1"/>
        <v>0.43171028310729631</v>
      </c>
      <c r="G42" s="3063">
        <f t="shared" si="1"/>
        <v>0.80552691639594887</v>
      </c>
      <c r="H42" s="3064"/>
      <c r="I42" s="3061"/>
      <c r="L42" s="3065">
        <v>51</v>
      </c>
      <c r="M42" s="3064"/>
      <c r="N42" s="3064"/>
      <c r="O42" s="3064"/>
      <c r="P42" s="3064" t="s">
        <v>11828</v>
      </c>
      <c r="Q42" s="3064"/>
      <c r="R42" s="3061"/>
    </row>
    <row r="43" spans="1:18">
      <c r="A43" s="4648"/>
      <c r="B43" s="4653"/>
      <c r="C43" s="2901">
        <v>21.2</v>
      </c>
      <c r="D43" s="3062" t="s">
        <v>12573</v>
      </c>
      <c r="E43" s="3063">
        <f t="shared" si="0"/>
        <v>0.20225780299152427</v>
      </c>
      <c r="F43" s="3063">
        <f t="shared" si="1"/>
        <v>0.45458235108649081</v>
      </c>
      <c r="G43" s="3063">
        <f t="shared" si="1"/>
        <v>0.84657287391930935</v>
      </c>
      <c r="H43" s="3064"/>
      <c r="I43" s="3061"/>
      <c r="L43" s="3065">
        <v>54</v>
      </c>
      <c r="M43" s="3064"/>
      <c r="N43" s="3064"/>
      <c r="O43" s="3064"/>
      <c r="P43" s="3064" t="s">
        <v>11828</v>
      </c>
      <c r="Q43" s="3064"/>
      <c r="R43" s="3061"/>
    </row>
    <row r="44" spans="1:18">
      <c r="A44" s="4648"/>
      <c r="B44" s="4653"/>
      <c r="C44" s="2901">
        <v>22.4</v>
      </c>
      <c r="D44" s="3062" t="s">
        <v>12573</v>
      </c>
      <c r="E44" s="3063">
        <f t="shared" si="0"/>
        <v>0.21281038401716898</v>
      </c>
      <c r="F44" s="3063">
        <f t="shared" si="1"/>
        <v>0.47745441906568536</v>
      </c>
      <c r="G44" s="3063">
        <f t="shared" si="1"/>
        <v>0.88761883144266984</v>
      </c>
      <c r="H44" s="3064"/>
      <c r="I44" s="3061"/>
      <c r="L44" s="3065">
        <v>55</v>
      </c>
      <c r="M44" s="3064"/>
      <c r="N44" s="3064"/>
      <c r="O44" s="3064" t="s">
        <v>11828</v>
      </c>
      <c r="P44" s="3064" t="s">
        <v>11828</v>
      </c>
      <c r="Q44" s="3064" t="s">
        <v>11828</v>
      </c>
      <c r="R44" s="3061"/>
    </row>
    <row r="45" spans="1:18">
      <c r="A45" s="4648"/>
      <c r="B45" s="4653"/>
      <c r="C45" s="2901">
        <v>23.6</v>
      </c>
      <c r="D45" s="3062" t="s">
        <v>12573</v>
      </c>
      <c r="E45" s="3063">
        <f t="shared" si="0"/>
        <v>0.22336296504281375</v>
      </c>
      <c r="F45" s="3063">
        <f t="shared" si="1"/>
        <v>0.50032648704487992</v>
      </c>
      <c r="G45" s="3063">
        <f t="shared" si="1"/>
        <v>0.92866478896603022</v>
      </c>
      <c r="H45" s="3064"/>
      <c r="I45" s="3061"/>
      <c r="L45" s="3065">
        <v>56</v>
      </c>
      <c r="M45" s="3064"/>
      <c r="N45" s="3064"/>
      <c r="O45" s="3064"/>
      <c r="P45" s="3064" t="s">
        <v>11828</v>
      </c>
      <c r="Q45" s="3064"/>
      <c r="R45" s="3061"/>
    </row>
    <row r="46" spans="1:18">
      <c r="A46" s="4648"/>
      <c r="B46" s="4653"/>
      <c r="C46" s="2901">
        <v>25</v>
      </c>
      <c r="D46" s="3062" t="s">
        <v>12573</v>
      </c>
      <c r="E46" s="3063">
        <f t="shared" si="0"/>
        <v>0.23567430957273264</v>
      </c>
      <c r="F46" s="3063">
        <f t="shared" si="1"/>
        <v>0.52701056635394006</v>
      </c>
      <c r="G46" s="3063">
        <f t="shared" si="1"/>
        <v>0.97655173940995077</v>
      </c>
      <c r="H46" s="3064"/>
      <c r="I46" s="3061"/>
      <c r="L46" s="3065">
        <v>60</v>
      </c>
      <c r="M46" s="3064"/>
      <c r="N46" s="3064"/>
      <c r="O46" s="3064" t="s">
        <v>11828</v>
      </c>
      <c r="P46" s="3064"/>
      <c r="Q46" s="3064" t="s">
        <v>11828</v>
      </c>
      <c r="R46" s="3061"/>
    </row>
    <row r="47" spans="1:18">
      <c r="A47" s="4648"/>
      <c r="B47" s="4653"/>
      <c r="C47" s="2901">
        <v>25.8</v>
      </c>
      <c r="D47" s="3062" t="s">
        <v>12573</v>
      </c>
      <c r="E47" s="3063">
        <f t="shared" si="0"/>
        <v>0.24270936358982914</v>
      </c>
      <c r="F47" s="3063">
        <f t="shared" si="1"/>
        <v>0.54225861167340306</v>
      </c>
      <c r="G47" s="3063">
        <f t="shared" si="1"/>
        <v>1.0039157110921912</v>
      </c>
      <c r="H47" s="3064"/>
      <c r="I47" s="3061"/>
      <c r="L47" s="3065">
        <v>63</v>
      </c>
      <c r="M47" s="3064"/>
      <c r="N47" s="3064"/>
      <c r="O47" s="3064" t="s">
        <v>11828</v>
      </c>
      <c r="P47" s="3064"/>
      <c r="Q47" s="3064" t="s">
        <v>11828</v>
      </c>
      <c r="R47" s="3061"/>
    </row>
    <row r="48" spans="1:18">
      <c r="A48" s="4648"/>
      <c r="B48" s="4653"/>
      <c r="C48" s="2901">
        <v>26.5</v>
      </c>
      <c r="D48" s="3062" t="s">
        <v>12573</v>
      </c>
      <c r="E48" s="3063">
        <f t="shared" si="0"/>
        <v>0.24886503585478853</v>
      </c>
      <c r="F48" s="3063">
        <f t="shared" si="1"/>
        <v>0.55560065132793324</v>
      </c>
      <c r="G48" s="3063">
        <f t="shared" si="1"/>
        <v>1.0278591863141515</v>
      </c>
      <c r="H48" s="3064"/>
      <c r="I48" s="3061"/>
      <c r="L48" s="3065">
        <v>65</v>
      </c>
      <c r="M48" s="3064"/>
      <c r="N48" s="3064"/>
      <c r="O48" s="3064" t="s">
        <v>11828</v>
      </c>
      <c r="P48" s="3064"/>
      <c r="Q48" s="3064" t="s">
        <v>11828</v>
      </c>
      <c r="R48" s="3061"/>
    </row>
    <row r="49" spans="1:18">
      <c r="A49" s="4648"/>
      <c r="B49" s="4653"/>
      <c r="C49" s="2901">
        <v>28</v>
      </c>
      <c r="D49" s="3062" t="s">
        <v>12573</v>
      </c>
      <c r="E49" s="3063">
        <f t="shared" si="0"/>
        <v>0.26205576213684445</v>
      </c>
      <c r="F49" s="3063">
        <f t="shared" si="1"/>
        <v>0.58419073630192631</v>
      </c>
      <c r="G49" s="3063">
        <f t="shared" si="1"/>
        <v>1.0791666332183518</v>
      </c>
      <c r="H49" s="3064"/>
      <c r="I49" s="3061"/>
      <c r="L49" s="3065">
        <v>68</v>
      </c>
      <c r="M49" s="3064"/>
      <c r="N49" s="3064"/>
      <c r="O49" s="3064" t="s">
        <v>11828</v>
      </c>
      <c r="P49" s="3064"/>
      <c r="Q49" s="3064"/>
      <c r="R49" s="3061"/>
    </row>
    <row r="50" spans="1:18">
      <c r="A50" s="4648"/>
      <c r="B50" s="4653"/>
      <c r="C50" s="2901">
        <v>30</v>
      </c>
      <c r="D50" s="3062" t="s">
        <v>12573</v>
      </c>
      <c r="E50" s="3063">
        <f t="shared" si="0"/>
        <v>0.2796433971795857</v>
      </c>
      <c r="F50" s="3063">
        <f t="shared" si="1"/>
        <v>0.62231084960058392</v>
      </c>
      <c r="G50" s="3063">
        <f t="shared" si="1"/>
        <v>1.1475765624239527</v>
      </c>
      <c r="H50" s="3067"/>
      <c r="I50" s="3061"/>
      <c r="L50" s="3065">
        <v>70</v>
      </c>
      <c r="M50" s="3064"/>
      <c r="N50" s="3064"/>
      <c r="O50" s="3064" t="s">
        <v>11828</v>
      </c>
      <c r="P50" s="3064"/>
      <c r="Q50" s="3064" t="s">
        <v>11828</v>
      </c>
      <c r="R50" s="3061"/>
    </row>
    <row r="51" spans="1:18">
      <c r="A51" s="4648"/>
      <c r="B51" s="4653"/>
      <c r="C51" s="2901">
        <v>31.5</v>
      </c>
      <c r="D51" s="3062" t="s">
        <v>8073</v>
      </c>
      <c r="E51" s="3063"/>
      <c r="F51" s="3063">
        <f t="shared" si="1"/>
        <v>0.65090093457457698</v>
      </c>
      <c r="G51" s="3063">
        <f t="shared" si="1"/>
        <v>1.1988840093281532</v>
      </c>
      <c r="H51" s="3064"/>
      <c r="I51" s="3061"/>
      <c r="L51" s="3065">
        <v>73</v>
      </c>
      <c r="M51" s="3064"/>
      <c r="N51" s="3064"/>
      <c r="O51" s="3064"/>
      <c r="P51" s="3064"/>
      <c r="Q51" s="3064" t="s">
        <v>11828</v>
      </c>
      <c r="R51" s="3061"/>
    </row>
    <row r="52" spans="1:18">
      <c r="A52" s="4648"/>
      <c r="B52" s="4653"/>
      <c r="C52" s="2901">
        <v>32.5</v>
      </c>
      <c r="D52" s="3062" t="s">
        <v>8073</v>
      </c>
      <c r="E52" s="3063">
        <f>$E$3^2*PI()/4*(C52+$E$3)*PI()*1.1*10^-3</f>
        <v>0.30162794098301221</v>
      </c>
      <c r="F52" s="3063">
        <f t="shared" si="1"/>
        <v>0.66996099122390584</v>
      </c>
      <c r="G52" s="3063">
        <f t="shared" si="1"/>
        <v>1.2330889739309536</v>
      </c>
      <c r="H52" s="3064"/>
      <c r="I52" s="3061"/>
      <c r="L52" s="3065">
        <v>75</v>
      </c>
      <c r="M52" s="3064"/>
      <c r="N52" s="3064"/>
      <c r="O52" s="3064" t="s">
        <v>11828</v>
      </c>
      <c r="P52" s="3064"/>
      <c r="Q52" s="3064" t="s">
        <v>11828</v>
      </c>
      <c r="R52" s="3061"/>
    </row>
    <row r="53" spans="1:18">
      <c r="A53" s="4648"/>
      <c r="B53" s="4653"/>
      <c r="C53" s="2901">
        <v>33.5</v>
      </c>
      <c r="D53" s="3062" t="s">
        <v>8073</v>
      </c>
      <c r="E53" s="3063"/>
      <c r="F53" s="3063">
        <f t="shared" si="1"/>
        <v>0.68902104787323459</v>
      </c>
      <c r="G53" s="3063">
        <f t="shared" si="1"/>
        <v>1.2672939385337538</v>
      </c>
      <c r="H53" s="3064"/>
      <c r="I53" s="3061"/>
      <c r="L53" s="3065">
        <v>80</v>
      </c>
      <c r="M53" s="3064"/>
      <c r="N53" s="3064"/>
      <c r="O53" s="3064" t="s">
        <v>11828</v>
      </c>
      <c r="P53" s="3064"/>
      <c r="Q53" s="3064" t="s">
        <v>11828</v>
      </c>
      <c r="R53" s="3061"/>
    </row>
    <row r="54" spans="1:18">
      <c r="A54" s="4648"/>
      <c r="B54" s="4653"/>
      <c r="C54" s="2901">
        <v>34.5</v>
      </c>
      <c r="D54" s="3062" t="s">
        <v>8073</v>
      </c>
      <c r="E54" s="3063">
        <f>$E$3^2*PI()/4*(C54+$E$3)*PI()*1.1*10^-3</f>
        <v>0.31921557602575351</v>
      </c>
      <c r="F54" s="3063">
        <f t="shared" si="1"/>
        <v>0.70808110452256323</v>
      </c>
      <c r="G54" s="3063">
        <f t="shared" si="1"/>
        <v>1.3014989031365543</v>
      </c>
      <c r="H54" s="3064"/>
      <c r="I54" s="3061"/>
      <c r="L54" s="3065">
        <v>85</v>
      </c>
      <c r="M54" s="3064"/>
      <c r="N54" s="3064"/>
      <c r="O54" s="3064" t="s">
        <v>11828</v>
      </c>
      <c r="P54" s="3064"/>
      <c r="Q54" s="3064" t="s">
        <v>11828</v>
      </c>
      <c r="R54" s="3061"/>
    </row>
    <row r="55" spans="1:18">
      <c r="A55" s="4648"/>
      <c r="B55" s="4653"/>
      <c r="C55" s="2901">
        <v>35.5</v>
      </c>
      <c r="D55" s="3062" t="s">
        <v>8073</v>
      </c>
      <c r="E55" s="3063"/>
      <c r="F55" s="3063">
        <f t="shared" si="1"/>
        <v>0.72714116117189198</v>
      </c>
      <c r="G55" s="3063">
        <f t="shared" si="1"/>
        <v>1.3357038677393549</v>
      </c>
      <c r="H55" s="3064"/>
      <c r="I55" s="3061"/>
      <c r="L55" s="3065">
        <v>90</v>
      </c>
      <c r="M55" s="3064"/>
      <c r="N55" s="3064"/>
      <c r="O55" s="3064" t="s">
        <v>11828</v>
      </c>
      <c r="P55" s="3064"/>
      <c r="Q55" s="3064" t="s">
        <v>11828</v>
      </c>
      <c r="R55" s="3061"/>
    </row>
    <row r="56" spans="1:18">
      <c r="A56" s="4648"/>
      <c r="B56" s="4653"/>
      <c r="C56" s="2901">
        <v>36.5</v>
      </c>
      <c r="D56" s="3062" t="s">
        <v>8073</v>
      </c>
      <c r="E56" s="3063">
        <f>$E$3^2*PI()/4*(C56+$E$3)*PI()*1.1*10^-3</f>
        <v>0.33680321106849465</v>
      </c>
      <c r="F56" s="3063">
        <f t="shared" si="1"/>
        <v>0.74620121782122084</v>
      </c>
      <c r="G56" s="3063">
        <f t="shared" si="1"/>
        <v>1.3699088323421551</v>
      </c>
      <c r="H56" s="3064"/>
      <c r="I56" s="3061"/>
      <c r="L56" s="3065">
        <v>95</v>
      </c>
      <c r="M56" s="3064"/>
      <c r="N56" s="3064"/>
      <c r="O56" s="3064" t="s">
        <v>11828</v>
      </c>
      <c r="P56" s="3064"/>
      <c r="Q56" s="3064" t="s">
        <v>11828</v>
      </c>
      <c r="R56" s="3061"/>
    </row>
    <row r="57" spans="1:18">
      <c r="A57" s="4648"/>
      <c r="B57" s="4653"/>
      <c r="C57" s="2901">
        <v>37.5</v>
      </c>
      <c r="D57" s="3062" t="s">
        <v>8073</v>
      </c>
      <c r="E57" s="3063"/>
      <c r="F57" s="3063">
        <f t="shared" si="1"/>
        <v>0.76526127447054948</v>
      </c>
      <c r="G57" s="3063">
        <f t="shared" si="1"/>
        <v>1.4041137969449553</v>
      </c>
      <c r="H57" s="3064"/>
      <c r="I57" s="3061"/>
      <c r="L57" s="3065">
        <v>100</v>
      </c>
      <c r="M57" s="3064"/>
      <c r="N57" s="3064"/>
      <c r="O57" s="3064" t="s">
        <v>11828</v>
      </c>
      <c r="P57" s="3064"/>
      <c r="Q57" s="3064" t="s">
        <v>11828</v>
      </c>
      <c r="R57" s="3061"/>
    </row>
    <row r="58" spans="1:18">
      <c r="A58" s="4648"/>
      <c r="B58" s="4653"/>
      <c r="C58" s="2901">
        <v>38.700000000000003</v>
      </c>
      <c r="D58" s="3062" t="s">
        <v>8073</v>
      </c>
      <c r="E58" s="3063">
        <f>$E$3^2*PI()/4*(C58+$E$3)*PI()*1.1*10^-3</f>
        <v>0.35614960961551012</v>
      </c>
      <c r="F58" s="3063">
        <f t="shared" si="1"/>
        <v>0.78813334244974409</v>
      </c>
      <c r="G58" s="3063">
        <f t="shared" si="1"/>
        <v>1.4451597544683159</v>
      </c>
      <c r="H58" s="3064"/>
      <c r="I58" s="3061"/>
      <c r="L58" s="3065">
        <v>105</v>
      </c>
      <c r="M58" s="3064"/>
      <c r="N58" s="3064"/>
      <c r="O58" s="3064" t="s">
        <v>11828</v>
      </c>
      <c r="P58" s="3064"/>
      <c r="Q58" s="3064" t="s">
        <v>11828</v>
      </c>
      <c r="R58" s="3061"/>
    </row>
    <row r="59" spans="1:18">
      <c r="A59" s="4648"/>
      <c r="B59" s="4653"/>
      <c r="C59" s="2901">
        <v>40</v>
      </c>
      <c r="D59" s="3062" t="s">
        <v>8073</v>
      </c>
      <c r="E59" s="3063"/>
      <c r="F59" s="3063">
        <f t="shared" si="1"/>
        <v>0.81291141609387152</v>
      </c>
      <c r="G59" s="3063">
        <f t="shared" si="1"/>
        <v>1.4896262084519563</v>
      </c>
      <c r="H59" s="3068">
        <f t="shared" si="1"/>
        <v>3.4536822648583705</v>
      </c>
      <c r="I59" s="3061"/>
      <c r="L59" s="3065">
        <v>110</v>
      </c>
      <c r="M59" s="3064"/>
      <c r="N59" s="3064"/>
      <c r="O59" s="3064" t="s">
        <v>11828</v>
      </c>
      <c r="P59" s="3064"/>
      <c r="Q59" s="3064" t="s">
        <v>11828</v>
      </c>
      <c r="R59" s="3061"/>
    </row>
    <row r="60" spans="1:18">
      <c r="A60" s="4648"/>
      <c r="B60" s="4653"/>
      <c r="C60" s="2901">
        <v>41.2</v>
      </c>
      <c r="D60" s="3062" t="s">
        <v>12574</v>
      </c>
      <c r="E60" s="3063"/>
      <c r="F60" s="3063">
        <f t="shared" si="1"/>
        <v>0.83578348407306602</v>
      </c>
      <c r="G60" s="3063">
        <f t="shared" si="1"/>
        <v>1.5306721659753171</v>
      </c>
      <c r="H60" s="3068">
        <f t="shared" si="1"/>
        <v>3.5451705367751494</v>
      </c>
      <c r="I60" s="3061"/>
      <c r="L60" s="3065">
        <v>115</v>
      </c>
      <c r="M60" s="3064"/>
      <c r="N60" s="3064"/>
      <c r="O60" s="3064" t="s">
        <v>11828</v>
      </c>
      <c r="P60" s="3064"/>
      <c r="Q60" s="3064" t="s">
        <v>11828</v>
      </c>
      <c r="R60" s="3061"/>
    </row>
    <row r="61" spans="1:18">
      <c r="A61" s="4648"/>
      <c r="B61" s="4653"/>
      <c r="C61" s="2901">
        <v>42.5</v>
      </c>
      <c r="D61" s="3062" t="s">
        <v>12574</v>
      </c>
      <c r="E61" s="3063">
        <f>$E$3^2*PI()/4*(C61+$E$3)*PI()*1.1*10^-3</f>
        <v>0.38956611619671844</v>
      </c>
      <c r="F61" s="3063">
        <f t="shared" si="1"/>
        <v>0.86056155771719334</v>
      </c>
      <c r="G61" s="3063">
        <f t="shared" si="1"/>
        <v>1.575138619958957</v>
      </c>
      <c r="H61" s="3068">
        <f t="shared" si="1"/>
        <v>3.6442828313516578</v>
      </c>
      <c r="I61" s="3061"/>
      <c r="L61" s="3065">
        <v>120</v>
      </c>
      <c r="M61" s="3064"/>
      <c r="N61" s="3064"/>
      <c r="O61" s="3064" t="s">
        <v>11828</v>
      </c>
      <c r="P61" s="3064"/>
      <c r="Q61" s="3064" t="s">
        <v>11828</v>
      </c>
      <c r="R61" s="3061"/>
    </row>
    <row r="62" spans="1:18">
      <c r="A62" s="4648"/>
      <c r="B62" s="4653"/>
      <c r="C62" s="2901">
        <v>43.7</v>
      </c>
      <c r="D62" s="3062" t="s">
        <v>12574</v>
      </c>
      <c r="E62" s="3063"/>
      <c r="F62" s="3063">
        <f t="shared" si="1"/>
        <v>0.88343362569638784</v>
      </c>
      <c r="G62" s="3063">
        <f t="shared" si="1"/>
        <v>1.6161845774823178</v>
      </c>
      <c r="H62" s="3068">
        <f t="shared" si="1"/>
        <v>3.7357711032684366</v>
      </c>
      <c r="I62" s="3061"/>
      <c r="L62" s="3065">
        <v>125</v>
      </c>
      <c r="M62" s="3064"/>
      <c r="N62" s="3064"/>
      <c r="O62" s="3064" t="s">
        <v>11828</v>
      </c>
      <c r="P62" s="3064"/>
      <c r="Q62" s="3064" t="s">
        <v>11828</v>
      </c>
      <c r="R62" s="3061"/>
    </row>
    <row r="63" spans="1:18">
      <c r="A63" s="4648"/>
      <c r="B63" s="4653"/>
      <c r="C63" s="2901">
        <v>45</v>
      </c>
      <c r="D63" s="3062" t="s">
        <v>12574</v>
      </c>
      <c r="E63" s="3063"/>
      <c r="F63" s="3063">
        <f t="shared" si="1"/>
        <v>0.90821169934051538</v>
      </c>
      <c r="G63" s="3063">
        <f t="shared" si="1"/>
        <v>1.6606510314659584</v>
      </c>
      <c r="H63" s="3068">
        <f t="shared" si="1"/>
        <v>3.8348833978449455</v>
      </c>
      <c r="I63" s="3061"/>
      <c r="L63" s="3065">
        <v>130</v>
      </c>
      <c r="M63" s="3064"/>
      <c r="N63" s="3064"/>
      <c r="O63" s="3064" t="s">
        <v>11828</v>
      </c>
      <c r="P63" s="3064"/>
      <c r="Q63" s="3064" t="s">
        <v>11828</v>
      </c>
      <c r="R63" s="3061"/>
    </row>
    <row r="64" spans="1:18">
      <c r="A64" s="4648"/>
      <c r="B64" s="4653"/>
      <c r="C64" s="2901">
        <v>46.2</v>
      </c>
      <c r="D64" s="3062" t="s">
        <v>12574</v>
      </c>
      <c r="E64" s="3063">
        <f>$E$3^2*PI()/4*(C64+$E$3)*PI()*1.1*10^-3</f>
        <v>0.42210324102578972</v>
      </c>
      <c r="F64" s="3063">
        <f t="shared" si="1"/>
        <v>0.93108376731970977</v>
      </c>
      <c r="G64" s="3063">
        <f t="shared" si="1"/>
        <v>1.7016969889893188</v>
      </c>
      <c r="H64" s="3068">
        <f t="shared" si="1"/>
        <v>3.9263716697617239</v>
      </c>
      <c r="I64" s="3061"/>
      <c r="L64" s="3065">
        <v>135</v>
      </c>
      <c r="M64" s="3064"/>
      <c r="N64" s="3064"/>
      <c r="O64" s="3064" t="s">
        <v>11828</v>
      </c>
      <c r="P64" s="3064"/>
      <c r="Q64" s="3064" t="s">
        <v>11828</v>
      </c>
      <c r="R64" s="3061"/>
    </row>
    <row r="65" spans="1:18">
      <c r="A65" s="4648"/>
      <c r="B65" s="4653"/>
      <c r="C65" s="2901">
        <v>47.5</v>
      </c>
      <c r="D65" s="3062" t="s">
        <v>12574</v>
      </c>
      <c r="E65" s="3063"/>
      <c r="F65" s="3063">
        <f t="shared" si="1"/>
        <v>0.95586184096383719</v>
      </c>
      <c r="G65" s="3063">
        <f t="shared" si="1"/>
        <v>1.7461634429729593</v>
      </c>
      <c r="H65" s="3068">
        <f t="shared" si="1"/>
        <v>4.0254839643382327</v>
      </c>
      <c r="I65" s="3061"/>
      <c r="L65" s="3065">
        <v>140</v>
      </c>
      <c r="M65" s="3064"/>
      <c r="N65" s="3064"/>
      <c r="O65" s="3064" t="s">
        <v>11828</v>
      </c>
      <c r="P65" s="3064"/>
      <c r="Q65" s="3064" t="s">
        <v>11828</v>
      </c>
      <c r="R65" s="3061"/>
    </row>
    <row r="66" spans="1:18">
      <c r="A66" s="4648"/>
      <c r="B66" s="4653"/>
      <c r="C66" s="2901">
        <v>48.7</v>
      </c>
      <c r="D66" s="3062" t="s">
        <v>12574</v>
      </c>
      <c r="E66" s="3063"/>
      <c r="F66" s="3063">
        <f t="shared" si="1"/>
        <v>0.97873390894303158</v>
      </c>
      <c r="G66" s="3063">
        <f t="shared" si="1"/>
        <v>1.7872094004963199</v>
      </c>
      <c r="H66" s="3068">
        <f t="shared" si="1"/>
        <v>4.1169722362550107</v>
      </c>
      <c r="I66" s="3061"/>
      <c r="L66" s="3065">
        <v>145</v>
      </c>
      <c r="M66" s="3064"/>
      <c r="N66" s="3064"/>
      <c r="O66" s="3064" t="s">
        <v>11828</v>
      </c>
      <c r="P66" s="3064"/>
      <c r="Q66" s="3064" t="s">
        <v>11828</v>
      </c>
      <c r="R66" s="3061"/>
    </row>
    <row r="67" spans="1:18">
      <c r="A67" s="4648"/>
      <c r="B67" s="4653"/>
      <c r="C67" s="2901">
        <v>50</v>
      </c>
      <c r="D67" s="3062" t="s">
        <v>12574</v>
      </c>
      <c r="E67" s="3063">
        <f>$E$3^2*PI()/4*(C67+$E$3)*PI()*1.1*10^-3</f>
        <v>0.45551974760699809</v>
      </c>
      <c r="F67" s="3063">
        <f t="shared" si="1"/>
        <v>1.003511982587159</v>
      </c>
      <c r="G67" s="3063">
        <f t="shared" si="1"/>
        <v>1.8316758544799601</v>
      </c>
      <c r="H67" s="3068">
        <f t="shared" si="1"/>
        <v>4.2160845308315205</v>
      </c>
      <c r="I67" s="3061"/>
      <c r="L67" s="3065">
        <v>150</v>
      </c>
      <c r="M67" s="3064"/>
      <c r="N67" s="3064"/>
      <c r="O67" s="3064" t="s">
        <v>11828</v>
      </c>
      <c r="P67" s="3064"/>
      <c r="Q67" s="3064" t="s">
        <v>11828</v>
      </c>
      <c r="R67" s="3061"/>
    </row>
    <row r="68" spans="1:18">
      <c r="A68" s="4648"/>
      <c r="B68" s="4653"/>
      <c r="C68" s="2901">
        <v>51.5</v>
      </c>
      <c r="D68" s="3062" t="s">
        <v>12575</v>
      </c>
      <c r="E68" s="3064"/>
      <c r="F68" s="3063">
        <f t="shared" si="1"/>
        <v>1.0321020675611521</v>
      </c>
      <c r="G68" s="3063">
        <f t="shared" si="1"/>
        <v>1.8829833013841606</v>
      </c>
      <c r="H68" s="3068">
        <f t="shared" si="1"/>
        <v>4.3304448707274927</v>
      </c>
      <c r="I68" s="3061"/>
      <c r="L68" s="3065">
        <v>155</v>
      </c>
      <c r="M68" s="3064"/>
      <c r="N68" s="3064"/>
      <c r="O68" s="3064" t="s">
        <v>11828</v>
      </c>
      <c r="P68" s="3064"/>
      <c r="Q68" s="3064" t="s">
        <v>11828</v>
      </c>
      <c r="R68" s="3061"/>
    </row>
    <row r="69" spans="1:18">
      <c r="A69" s="4648"/>
      <c r="B69" s="4653"/>
      <c r="C69" s="2901">
        <v>53</v>
      </c>
      <c r="D69" s="3062" t="s">
        <v>12575</v>
      </c>
      <c r="E69" s="3064"/>
      <c r="F69" s="3063">
        <f t="shared" si="1"/>
        <v>1.0606921525351454</v>
      </c>
      <c r="G69" s="3063">
        <f t="shared" si="1"/>
        <v>1.9342907482883613</v>
      </c>
      <c r="H69" s="3068">
        <f t="shared" si="1"/>
        <v>4.4448052106234659</v>
      </c>
      <c r="I69" s="3061"/>
      <c r="L69" s="3065">
        <v>160</v>
      </c>
      <c r="M69" s="3064"/>
      <c r="N69" s="3064"/>
      <c r="O69" s="3064" t="s">
        <v>11828</v>
      </c>
      <c r="P69" s="3064"/>
      <c r="Q69" s="3064" t="s">
        <v>11828</v>
      </c>
      <c r="R69" s="3061"/>
    </row>
    <row r="70" spans="1:18">
      <c r="A70" s="4648"/>
      <c r="B70" s="4653"/>
      <c r="C70" s="2901">
        <v>54.5</v>
      </c>
      <c r="D70" s="3062" t="s">
        <v>12575</v>
      </c>
      <c r="E70" s="3064"/>
      <c r="F70" s="3063">
        <f t="shared" si="1"/>
        <v>1.0892822375091384</v>
      </c>
      <c r="G70" s="3063">
        <f t="shared" si="1"/>
        <v>1.9855981951925616</v>
      </c>
      <c r="H70" s="3068">
        <f t="shared" si="1"/>
        <v>4.5591655505194382</v>
      </c>
      <c r="I70" s="3061"/>
      <c r="L70" s="3065">
        <v>165</v>
      </c>
      <c r="M70" s="3064"/>
      <c r="N70" s="3064"/>
      <c r="O70" s="3064" t="s">
        <v>11828</v>
      </c>
      <c r="P70" s="3064"/>
      <c r="Q70" s="3064" t="s">
        <v>11828</v>
      </c>
      <c r="R70" s="3061"/>
    </row>
    <row r="71" spans="1:18">
      <c r="A71" s="4648"/>
      <c r="B71" s="4653"/>
      <c r="C71" s="2901">
        <v>56</v>
      </c>
      <c r="D71" s="3062" t="s">
        <v>12575</v>
      </c>
      <c r="E71" s="3064"/>
      <c r="F71" s="3063">
        <f t="shared" si="1"/>
        <v>1.1178723224831315</v>
      </c>
      <c r="G71" s="3063">
        <f t="shared" si="1"/>
        <v>2.0369056420967624</v>
      </c>
      <c r="H71" s="3068">
        <f t="shared" si="1"/>
        <v>4.6735258904154104</v>
      </c>
      <c r="I71" s="3061"/>
      <c r="L71" s="3065">
        <v>170</v>
      </c>
      <c r="M71" s="3064"/>
      <c r="N71" s="3064"/>
      <c r="O71" s="3064"/>
      <c r="P71" s="3064"/>
      <c r="Q71" s="3064" t="s">
        <v>11828</v>
      </c>
      <c r="R71" s="3061" t="s">
        <v>11828</v>
      </c>
    </row>
    <row r="72" spans="1:18">
      <c r="A72" s="4648"/>
      <c r="B72" s="4653"/>
      <c r="C72" s="2901">
        <v>58</v>
      </c>
      <c r="D72" s="3062" t="s">
        <v>12575</v>
      </c>
      <c r="E72" s="3064"/>
      <c r="F72" s="3063">
        <f t="shared" si="1"/>
        <v>1.155992435781789</v>
      </c>
      <c r="G72" s="3063">
        <f t="shared" si="1"/>
        <v>2.1053155713023628</v>
      </c>
      <c r="H72" s="3068">
        <f t="shared" si="1"/>
        <v>4.8260063436100413</v>
      </c>
      <c r="I72" s="3061"/>
      <c r="L72" s="3065">
        <v>175</v>
      </c>
      <c r="M72" s="3064"/>
      <c r="N72" s="3064"/>
      <c r="O72" s="3064"/>
      <c r="P72" s="3064"/>
      <c r="Q72" s="3064" t="s">
        <v>11828</v>
      </c>
      <c r="R72" s="3061" t="s">
        <v>11828</v>
      </c>
    </row>
    <row r="73" spans="1:18">
      <c r="A73" s="4648"/>
      <c r="B73" s="4653"/>
      <c r="C73" s="2901">
        <v>60</v>
      </c>
      <c r="D73" s="3062" t="s">
        <v>12575</v>
      </c>
      <c r="E73" s="3064"/>
      <c r="F73" s="3063">
        <f t="shared" si="1"/>
        <v>1.1941125490804465</v>
      </c>
      <c r="G73" s="3063">
        <f t="shared" si="1"/>
        <v>2.1737255005079636</v>
      </c>
      <c r="H73" s="3068">
        <f t="shared" si="1"/>
        <v>4.9784867968046713</v>
      </c>
      <c r="I73" s="3061"/>
      <c r="L73" s="3065">
        <v>180</v>
      </c>
      <c r="M73" s="3064"/>
      <c r="N73" s="3064"/>
      <c r="O73" s="3064"/>
      <c r="P73" s="3064"/>
      <c r="Q73" s="3064" t="s">
        <v>11828</v>
      </c>
      <c r="R73" s="3061" t="s">
        <v>11828</v>
      </c>
    </row>
    <row r="74" spans="1:18">
      <c r="A74" s="4648"/>
      <c r="B74" s="4653"/>
      <c r="C74" s="2901">
        <v>61.5</v>
      </c>
      <c r="D74" s="3062" t="s">
        <v>12575</v>
      </c>
      <c r="E74" s="3064"/>
      <c r="F74" s="3063">
        <f t="shared" si="1"/>
        <v>1.2227026340544396</v>
      </c>
      <c r="G74" s="3063">
        <f t="shared" si="1"/>
        <v>2.2250329474121644</v>
      </c>
      <c r="H74" s="3068">
        <f t="shared" si="1"/>
        <v>5.0928471367006436</v>
      </c>
      <c r="I74" s="3061"/>
      <c r="L74" s="3065">
        <v>185</v>
      </c>
      <c r="M74" s="3064"/>
      <c r="N74" s="3064"/>
      <c r="O74" s="3064"/>
      <c r="P74" s="3064"/>
      <c r="Q74" s="3064" t="s">
        <v>11828</v>
      </c>
      <c r="R74" s="3061" t="s">
        <v>11828</v>
      </c>
    </row>
    <row r="75" spans="1:18">
      <c r="A75" s="4648"/>
      <c r="B75" s="4653"/>
      <c r="C75" s="2901">
        <v>63</v>
      </c>
      <c r="D75" s="3062" t="s">
        <v>12576</v>
      </c>
      <c r="E75" s="3064"/>
      <c r="F75" s="3063">
        <f t="shared" si="1"/>
        <v>1.2512927190284329</v>
      </c>
      <c r="G75" s="3063">
        <f t="shared" si="1"/>
        <v>2.2763403943163647</v>
      </c>
      <c r="H75" s="3068">
        <f t="shared" si="1"/>
        <v>5.2072074765966159</v>
      </c>
      <c r="I75" s="3061"/>
      <c r="L75" s="3065">
        <v>190</v>
      </c>
      <c r="M75" s="3064"/>
      <c r="N75" s="3064"/>
      <c r="O75" s="3064"/>
      <c r="P75" s="3064"/>
      <c r="Q75" s="3064" t="s">
        <v>11828</v>
      </c>
      <c r="R75" s="3061" t="s">
        <v>11828</v>
      </c>
    </row>
    <row r="76" spans="1:18">
      <c r="A76" s="4648"/>
      <c r="B76" s="4653"/>
      <c r="C76" s="2901">
        <v>65</v>
      </c>
      <c r="D76" s="3062" t="s">
        <v>12576</v>
      </c>
      <c r="E76" s="3064"/>
      <c r="F76" s="3063"/>
      <c r="G76" s="3063">
        <f t="shared" ref="G76:I107" si="2">G$3^2*PI()/4*($C76+G$3)*PI()*1.1*10^-3</f>
        <v>2.344750323521966</v>
      </c>
      <c r="H76" s="3068">
        <f t="shared" si="2"/>
        <v>5.3596879297912468</v>
      </c>
      <c r="I76" s="3061"/>
      <c r="L76" s="3065">
        <v>200</v>
      </c>
      <c r="M76" s="3064"/>
      <c r="N76" s="3064"/>
      <c r="O76" s="3064"/>
      <c r="P76" s="3064"/>
      <c r="Q76" s="3064" t="s">
        <v>11828</v>
      </c>
      <c r="R76" s="3061" t="s">
        <v>11828</v>
      </c>
    </row>
    <row r="77" spans="1:18">
      <c r="A77" s="4648"/>
      <c r="B77" s="4653"/>
      <c r="C77" s="2901">
        <v>67</v>
      </c>
      <c r="D77" s="3062" t="s">
        <v>12576</v>
      </c>
      <c r="E77" s="3064"/>
      <c r="F77" s="3063">
        <f>F$3^2*PI()/4*($C77+F$3)*PI()*1.1*10^-3</f>
        <v>1.3275329456257481</v>
      </c>
      <c r="G77" s="3063">
        <f t="shared" si="2"/>
        <v>2.4131602527275668</v>
      </c>
      <c r="H77" s="3068">
        <f t="shared" si="2"/>
        <v>5.5121683829858767</v>
      </c>
      <c r="I77" s="3061"/>
      <c r="L77" s="3065">
        <v>205</v>
      </c>
      <c r="M77" s="3064"/>
      <c r="N77" s="3064"/>
      <c r="O77" s="3064"/>
      <c r="P77" s="3064"/>
      <c r="Q77" s="3064" t="s">
        <v>11828</v>
      </c>
      <c r="R77" s="3061" t="s">
        <v>11828</v>
      </c>
    </row>
    <row r="78" spans="1:18">
      <c r="A78" s="4648"/>
      <c r="B78" s="4653"/>
      <c r="C78" s="2901">
        <v>69</v>
      </c>
      <c r="D78" s="3062" t="s">
        <v>12576</v>
      </c>
      <c r="E78" s="3064"/>
      <c r="F78" s="3063"/>
      <c r="G78" s="3063">
        <f t="shared" si="2"/>
        <v>2.4815701819331673</v>
      </c>
      <c r="H78" s="3068">
        <f t="shared" si="2"/>
        <v>5.6646488361805059</v>
      </c>
      <c r="I78" s="3061"/>
      <c r="L78" s="3065">
        <v>210</v>
      </c>
      <c r="M78" s="3064"/>
      <c r="N78" s="3064"/>
      <c r="O78" s="3064"/>
      <c r="P78" s="3064"/>
      <c r="Q78" s="3064" t="s">
        <v>11828</v>
      </c>
      <c r="R78" s="3061" t="s">
        <v>11828</v>
      </c>
    </row>
    <row r="79" spans="1:18">
      <c r="A79" s="4648"/>
      <c r="B79" s="4653"/>
      <c r="C79" s="2901">
        <v>71</v>
      </c>
      <c r="D79" s="3062" t="s">
        <v>12576</v>
      </c>
      <c r="E79" s="3064"/>
      <c r="F79" s="3063">
        <f>F$3^2*PI()/4*($C79+F$3)*PI()*1.1*10^-3</f>
        <v>1.4037731722230631</v>
      </c>
      <c r="G79" s="3063">
        <f t="shared" si="2"/>
        <v>2.5499801111387677</v>
      </c>
      <c r="H79" s="3068">
        <f t="shared" si="2"/>
        <v>5.8171292893751358</v>
      </c>
      <c r="I79" s="3061"/>
      <c r="L79" s="3065">
        <v>215</v>
      </c>
      <c r="M79" s="3064"/>
      <c r="N79" s="3064"/>
      <c r="O79" s="3064"/>
      <c r="P79" s="3064"/>
      <c r="Q79" s="3064"/>
      <c r="R79" s="3061" t="s">
        <v>11828</v>
      </c>
    </row>
    <row r="80" spans="1:18">
      <c r="A80" s="4648"/>
      <c r="B80" s="4653"/>
      <c r="C80" s="2901">
        <v>73</v>
      </c>
      <c r="D80" s="3062" t="s">
        <v>12576</v>
      </c>
      <c r="E80" s="3064"/>
      <c r="F80" s="3063"/>
      <c r="G80" s="3063">
        <f t="shared" si="2"/>
        <v>2.6183900403443685</v>
      </c>
      <c r="H80" s="3068">
        <f t="shared" si="2"/>
        <v>5.9696097425697667</v>
      </c>
      <c r="I80" s="3061"/>
      <c r="L80" s="3065">
        <v>220</v>
      </c>
      <c r="M80" s="3064"/>
      <c r="N80" s="3064"/>
      <c r="O80" s="3064"/>
      <c r="P80" s="3064"/>
      <c r="Q80" s="3064" t="s">
        <v>11828</v>
      </c>
      <c r="R80" s="3061" t="s">
        <v>11828</v>
      </c>
    </row>
    <row r="81" spans="1:18">
      <c r="A81" s="4648"/>
      <c r="B81" s="4653"/>
      <c r="C81" s="2901">
        <v>75</v>
      </c>
      <c r="D81" s="3062" t="s">
        <v>12576</v>
      </c>
      <c r="E81" s="3064"/>
      <c r="F81" s="3063">
        <f>F$3^2*PI()/4*($C81+F$3)*PI()*1.1*10^-3</f>
        <v>1.4800133988203781</v>
      </c>
      <c r="G81" s="3063">
        <f t="shared" si="2"/>
        <v>2.6867999695499698</v>
      </c>
      <c r="H81" s="3068">
        <f t="shared" si="2"/>
        <v>6.1220901957643958</v>
      </c>
      <c r="I81" s="3061"/>
      <c r="L81" s="3065">
        <v>225</v>
      </c>
      <c r="M81" s="3064"/>
      <c r="N81" s="3064"/>
      <c r="O81" s="3064"/>
      <c r="P81" s="3064"/>
      <c r="Q81" s="3064"/>
      <c r="R81" s="3061" t="s">
        <v>11828</v>
      </c>
    </row>
    <row r="82" spans="1:18">
      <c r="A82" s="4648"/>
      <c r="B82" s="4653"/>
      <c r="C82" s="2901">
        <v>77</v>
      </c>
      <c r="D82" s="3062" t="s">
        <v>12576</v>
      </c>
      <c r="E82" s="3064"/>
      <c r="F82" s="3063"/>
      <c r="G82" s="3063">
        <f t="shared" si="2"/>
        <v>2.7552098987555702</v>
      </c>
      <c r="H82" s="3068">
        <f t="shared" si="2"/>
        <v>6.2745706489590267</v>
      </c>
      <c r="I82" s="3061"/>
      <c r="L82" s="3065">
        <v>230</v>
      </c>
      <c r="M82" s="3064"/>
      <c r="N82" s="3064"/>
      <c r="O82" s="3064"/>
      <c r="P82" s="3064"/>
      <c r="Q82" s="3064" t="s">
        <v>11828</v>
      </c>
      <c r="R82" s="3061" t="s">
        <v>11828</v>
      </c>
    </row>
    <row r="83" spans="1:18">
      <c r="A83" s="4648"/>
      <c r="B83" s="4653"/>
      <c r="C83" s="2901">
        <v>80</v>
      </c>
      <c r="D83" s="3062" t="s">
        <v>12576</v>
      </c>
      <c r="E83" s="3067"/>
      <c r="F83" s="3063">
        <f>F$3^2*PI()/4*($C83+F$3)*PI()*1.1*10^-3</f>
        <v>1.5753136820670217</v>
      </c>
      <c r="G83" s="3063">
        <f t="shared" si="2"/>
        <v>2.8578247925639717</v>
      </c>
      <c r="H83" s="3068">
        <f t="shared" si="2"/>
        <v>6.5032913287509722</v>
      </c>
      <c r="I83" s="3061"/>
      <c r="L83" s="3065">
        <v>235</v>
      </c>
      <c r="M83" s="3064"/>
      <c r="N83" s="3064"/>
      <c r="O83" s="3064"/>
      <c r="P83" s="3064"/>
      <c r="Q83" s="3064"/>
      <c r="R83" s="3061" t="s">
        <v>11828</v>
      </c>
    </row>
    <row r="84" spans="1:18">
      <c r="A84" s="4648"/>
      <c r="B84" s="4653"/>
      <c r="C84" s="2901">
        <v>82.5</v>
      </c>
      <c r="D84" s="3062" t="s">
        <v>8830</v>
      </c>
      <c r="E84" s="3064"/>
      <c r="F84" s="3063"/>
      <c r="G84" s="3063">
        <f t="shared" si="2"/>
        <v>2.9433372040709727</v>
      </c>
      <c r="H84" s="3068">
        <f t="shared" si="2"/>
        <v>6.693891895244259</v>
      </c>
      <c r="I84" s="3061"/>
      <c r="L84" s="3065">
        <v>240</v>
      </c>
      <c r="M84" s="3064"/>
      <c r="N84" s="3064"/>
      <c r="O84" s="3064"/>
      <c r="P84" s="3064"/>
      <c r="Q84" s="3064" t="s">
        <v>11828</v>
      </c>
      <c r="R84" s="3061" t="s">
        <v>11828</v>
      </c>
    </row>
    <row r="85" spans="1:18">
      <c r="A85" s="4648"/>
      <c r="B85" s="4653"/>
      <c r="C85" s="2901">
        <v>85</v>
      </c>
      <c r="D85" s="3062" t="s">
        <v>8830</v>
      </c>
      <c r="E85" s="3064"/>
      <c r="F85" s="3063">
        <f>F$3^2*PI()/4*($C85+F$3)*PI()*1.1*10^-3</f>
        <v>1.6706139653136656</v>
      </c>
      <c r="G85" s="3063">
        <f t="shared" si="2"/>
        <v>3.0288496155779732</v>
      </c>
      <c r="H85" s="3068">
        <f t="shared" si="2"/>
        <v>6.8844924617375467</v>
      </c>
      <c r="I85" s="3061"/>
      <c r="L85" s="3065">
        <v>245</v>
      </c>
      <c r="M85" s="3064"/>
      <c r="N85" s="3064"/>
      <c r="O85" s="3064"/>
      <c r="P85" s="3064"/>
      <c r="Q85" s="3064"/>
      <c r="R85" s="3061" t="s">
        <v>11828</v>
      </c>
    </row>
    <row r="86" spans="1:18">
      <c r="A86" s="4648"/>
      <c r="B86" s="4653"/>
      <c r="C86" s="2901">
        <v>87.5</v>
      </c>
      <c r="D86" s="3062" t="s">
        <v>8830</v>
      </c>
      <c r="E86" s="3064"/>
      <c r="F86" s="3063"/>
      <c r="G86" s="3063">
        <f t="shared" si="2"/>
        <v>3.1143620270849746</v>
      </c>
      <c r="H86" s="3068">
        <f t="shared" si="2"/>
        <v>7.0750930282308344</v>
      </c>
      <c r="I86" s="3061"/>
      <c r="L86" s="3065">
        <v>250</v>
      </c>
      <c r="M86" s="3064"/>
      <c r="N86" s="3064"/>
      <c r="O86" s="3064"/>
      <c r="P86" s="3064"/>
      <c r="Q86" s="3064" t="s">
        <v>11828</v>
      </c>
      <c r="R86" s="3061" t="s">
        <v>11828</v>
      </c>
    </row>
    <row r="87" spans="1:18">
      <c r="A87" s="4648"/>
      <c r="B87" s="4653"/>
      <c r="C87" s="2901">
        <v>90</v>
      </c>
      <c r="D87" s="3062" t="s">
        <v>8830</v>
      </c>
      <c r="E87" s="3064"/>
      <c r="F87" s="3063">
        <f>F$3^2*PI()/4*($C87+F$3)*PI()*1.1*10^-3</f>
        <v>1.7659142485603092</v>
      </c>
      <c r="G87" s="3063">
        <f t="shared" si="2"/>
        <v>3.1998744385919751</v>
      </c>
      <c r="H87" s="3068">
        <f t="shared" si="2"/>
        <v>7.265693594724123</v>
      </c>
      <c r="I87" s="3061"/>
      <c r="L87" s="3065">
        <v>255</v>
      </c>
      <c r="M87" s="3064"/>
      <c r="N87" s="3064"/>
      <c r="O87" s="3064"/>
      <c r="P87" s="3064"/>
      <c r="Q87" s="3064"/>
      <c r="R87" s="3061" t="s">
        <v>11828</v>
      </c>
    </row>
    <row r="88" spans="1:18">
      <c r="A88" s="4648"/>
      <c r="B88" s="4653"/>
      <c r="C88" s="2901">
        <v>92.5</v>
      </c>
      <c r="D88" s="3062" t="s">
        <v>8830</v>
      </c>
      <c r="E88" s="3064"/>
      <c r="F88" s="3064"/>
      <c r="G88" s="3063">
        <f t="shared" si="2"/>
        <v>3.285386850098976</v>
      </c>
      <c r="H88" s="3068">
        <f t="shared" si="2"/>
        <v>7.456294161217409</v>
      </c>
      <c r="I88" s="3061"/>
      <c r="L88" s="3065">
        <v>260</v>
      </c>
      <c r="M88" s="3064"/>
      <c r="N88" s="3064"/>
      <c r="O88" s="3064"/>
      <c r="P88" s="3064"/>
      <c r="Q88" s="3064" t="s">
        <v>11828</v>
      </c>
      <c r="R88" s="3061" t="s">
        <v>11828</v>
      </c>
    </row>
    <row r="89" spans="1:18">
      <c r="A89" s="4648"/>
      <c r="B89" s="4653"/>
      <c r="C89" s="2901">
        <v>95</v>
      </c>
      <c r="D89" s="3062" t="s">
        <v>8830</v>
      </c>
      <c r="E89" s="3064"/>
      <c r="F89" s="3063">
        <f>F$3^2*PI()/4*($C89+F$3)*PI()*1.1*10^-3</f>
        <v>1.8612145318069528</v>
      </c>
      <c r="G89" s="3063">
        <f t="shared" si="2"/>
        <v>3.370899261605977</v>
      </c>
      <c r="H89" s="3068">
        <f t="shared" si="2"/>
        <v>7.6468947277106976</v>
      </c>
      <c r="I89" s="3061"/>
      <c r="L89" s="3065">
        <v>265</v>
      </c>
      <c r="M89" s="3064"/>
      <c r="N89" s="3064"/>
      <c r="O89" s="3064"/>
      <c r="P89" s="3064"/>
      <c r="Q89" s="3064"/>
      <c r="R89" s="3061" t="s">
        <v>11828</v>
      </c>
    </row>
    <row r="90" spans="1:18">
      <c r="A90" s="4648"/>
      <c r="B90" s="4653"/>
      <c r="C90" s="2901">
        <v>97.5</v>
      </c>
      <c r="D90" s="3062" t="s">
        <v>8830</v>
      </c>
      <c r="E90" s="3064"/>
      <c r="F90" s="3063"/>
      <c r="G90" s="3063">
        <f t="shared" si="2"/>
        <v>3.4564116731129779</v>
      </c>
      <c r="H90" s="3068">
        <f t="shared" si="2"/>
        <v>7.8374952942039835</v>
      </c>
      <c r="I90" s="3061"/>
      <c r="L90" s="3065">
        <v>270</v>
      </c>
      <c r="M90" s="3064"/>
      <c r="N90" s="3064"/>
      <c r="O90" s="3064"/>
      <c r="P90" s="3064"/>
      <c r="Q90" s="3064" t="s">
        <v>11828</v>
      </c>
      <c r="R90" s="3061" t="s">
        <v>11828</v>
      </c>
    </row>
    <row r="91" spans="1:18">
      <c r="A91" s="4648"/>
      <c r="B91" s="4653"/>
      <c r="C91" s="2901">
        <v>100</v>
      </c>
      <c r="D91" s="3062" t="s">
        <v>8830</v>
      </c>
      <c r="E91" s="3064"/>
      <c r="F91" s="3063">
        <f>F$3^2*PI()/4*($C91+F$3)*PI()*1.1*10^-3</f>
        <v>1.9565148150535969</v>
      </c>
      <c r="G91" s="3063">
        <f t="shared" si="2"/>
        <v>3.5419240846199789</v>
      </c>
      <c r="H91" s="3068">
        <f t="shared" si="2"/>
        <v>8.0280958606972721</v>
      </c>
      <c r="I91" s="3061"/>
      <c r="L91" s="3065">
        <v>275</v>
      </c>
      <c r="M91" s="3064"/>
      <c r="N91" s="3064"/>
      <c r="O91" s="3064"/>
      <c r="P91" s="3064"/>
      <c r="Q91" s="3064"/>
      <c r="R91" s="3061" t="s">
        <v>11828</v>
      </c>
    </row>
    <row r="92" spans="1:18">
      <c r="A92" s="4648"/>
      <c r="B92" s="4653"/>
      <c r="C92" s="2901">
        <v>103</v>
      </c>
      <c r="D92" s="3062" t="s">
        <v>8830</v>
      </c>
      <c r="E92" s="3064"/>
      <c r="F92" s="3063"/>
      <c r="G92" s="3063">
        <f t="shared" si="2"/>
        <v>3.6445389784283804</v>
      </c>
      <c r="H92" s="3068">
        <f t="shared" si="2"/>
        <v>8.2568165404892166</v>
      </c>
      <c r="I92" s="3061"/>
      <c r="L92" s="3065">
        <v>280</v>
      </c>
      <c r="M92" s="3064"/>
      <c r="N92" s="3064"/>
      <c r="O92" s="3064"/>
      <c r="P92" s="3064"/>
      <c r="Q92" s="3064" t="s">
        <v>11828</v>
      </c>
      <c r="R92" s="3061" t="s">
        <v>11828</v>
      </c>
    </row>
    <row r="93" spans="1:18">
      <c r="A93" s="4648"/>
      <c r="B93" s="4653"/>
      <c r="C93" s="2901">
        <v>106</v>
      </c>
      <c r="D93" s="3062" t="s">
        <v>8830</v>
      </c>
      <c r="E93" s="3064"/>
      <c r="F93" s="3063">
        <f>F$3^2*PI()/4*($C93+F$3)*PI()*1.1*10^-3</f>
        <v>2.0708751549495696</v>
      </c>
      <c r="G93" s="3063">
        <f t="shared" si="2"/>
        <v>3.7471538722367814</v>
      </c>
      <c r="H93" s="3068">
        <f t="shared" si="2"/>
        <v>8.485537220281163</v>
      </c>
      <c r="I93" s="3061"/>
      <c r="L93" s="3065">
        <v>290</v>
      </c>
      <c r="M93" s="3064"/>
      <c r="N93" s="3064"/>
      <c r="O93" s="3064"/>
      <c r="P93" s="3064"/>
      <c r="Q93" s="3064" t="s">
        <v>11828</v>
      </c>
      <c r="R93" s="3061" t="s">
        <v>11828</v>
      </c>
    </row>
    <row r="94" spans="1:18">
      <c r="A94" s="4648"/>
      <c r="B94" s="4653"/>
      <c r="C94" s="2901">
        <v>109</v>
      </c>
      <c r="D94" s="3062" t="s">
        <v>8830</v>
      </c>
      <c r="E94" s="3064"/>
      <c r="F94" s="3063"/>
      <c r="G94" s="3063">
        <f t="shared" si="2"/>
        <v>3.849768766045182</v>
      </c>
      <c r="H94" s="3068">
        <f t="shared" si="2"/>
        <v>8.7142579000731075</v>
      </c>
      <c r="I94" s="3069">
        <f t="shared" si="2"/>
        <v>15.427178639342774</v>
      </c>
      <c r="L94" s="3065">
        <v>295</v>
      </c>
      <c r="M94" s="3064"/>
      <c r="N94" s="3064"/>
      <c r="O94" s="3064"/>
      <c r="P94" s="3064"/>
      <c r="Q94" s="3064"/>
      <c r="R94" s="3061" t="s">
        <v>11828</v>
      </c>
    </row>
    <row r="95" spans="1:18">
      <c r="A95" s="4648"/>
      <c r="B95" s="4653"/>
      <c r="C95" s="2901">
        <v>112</v>
      </c>
      <c r="D95" s="3062" t="s">
        <v>8830</v>
      </c>
      <c r="E95" s="3064"/>
      <c r="F95" s="3063">
        <f>F$3^2*PI()/4*($C95+F$3)*PI()*1.1*10^-3</f>
        <v>2.1852354948455424</v>
      </c>
      <c r="G95" s="3063">
        <f t="shared" si="2"/>
        <v>3.952383659853584</v>
      </c>
      <c r="H95" s="3068">
        <f t="shared" si="2"/>
        <v>8.9429785798650521</v>
      </c>
      <c r="I95" s="3069">
        <f t="shared" si="2"/>
        <v>15.826157397256813</v>
      </c>
      <c r="L95" s="3065">
        <v>300</v>
      </c>
      <c r="M95" s="3064"/>
      <c r="N95" s="3064"/>
      <c r="O95" s="3064"/>
      <c r="P95" s="3064"/>
      <c r="Q95" s="3064" t="s">
        <v>11828</v>
      </c>
      <c r="R95" s="3061" t="s">
        <v>11828</v>
      </c>
    </row>
    <row r="96" spans="1:18">
      <c r="A96" s="4648"/>
      <c r="B96" s="4653"/>
      <c r="C96" s="2901">
        <v>115</v>
      </c>
      <c r="D96" s="3062" t="s">
        <v>8830</v>
      </c>
      <c r="E96" s="3064"/>
      <c r="F96" s="3063"/>
      <c r="G96" s="3063">
        <f t="shared" si="2"/>
        <v>4.0549985536619841</v>
      </c>
      <c r="H96" s="3068">
        <f t="shared" si="2"/>
        <v>9.1716992596569984</v>
      </c>
      <c r="I96" s="3069">
        <f t="shared" si="2"/>
        <v>16.225136155170851</v>
      </c>
      <c r="L96" s="3065">
        <v>305</v>
      </c>
      <c r="M96" s="3064"/>
      <c r="N96" s="3064"/>
      <c r="O96" s="3064"/>
      <c r="P96" s="3064"/>
      <c r="Q96" s="3064"/>
      <c r="R96" s="3061" t="s">
        <v>11828</v>
      </c>
    </row>
    <row r="97" spans="1:18">
      <c r="A97" s="4648"/>
      <c r="B97" s="4653"/>
      <c r="C97" s="2901">
        <v>118</v>
      </c>
      <c r="D97" s="3062" t="s">
        <v>8830</v>
      </c>
      <c r="E97" s="3064"/>
      <c r="F97" s="3063">
        <f>F$3^2*PI()/4*($C97+F$3)*PI()*1.1*10^-3</f>
        <v>2.2995958347415146</v>
      </c>
      <c r="G97" s="3063">
        <f t="shared" si="2"/>
        <v>4.1576134474703856</v>
      </c>
      <c r="H97" s="3068">
        <f t="shared" si="2"/>
        <v>9.4004199394489429</v>
      </c>
      <c r="I97" s="3069">
        <f t="shared" si="2"/>
        <v>16.624114913084892</v>
      </c>
      <c r="L97" s="3065">
        <v>315</v>
      </c>
      <c r="M97" s="3064"/>
      <c r="N97" s="3064"/>
      <c r="O97" s="3064"/>
      <c r="P97" s="3064"/>
      <c r="Q97" s="3064"/>
      <c r="R97" s="3061" t="s">
        <v>11828</v>
      </c>
    </row>
    <row r="98" spans="1:18">
      <c r="A98" s="4648"/>
      <c r="B98" s="4653"/>
      <c r="C98" s="2901">
        <v>122</v>
      </c>
      <c r="D98" s="3062" t="s">
        <v>12577</v>
      </c>
      <c r="E98" s="3064"/>
      <c r="F98" s="3063"/>
      <c r="G98" s="3063">
        <f t="shared" si="2"/>
        <v>4.2944333058815873</v>
      </c>
      <c r="H98" s="3068">
        <f t="shared" si="2"/>
        <v>9.7053808458382029</v>
      </c>
      <c r="I98" s="3069">
        <f t="shared" si="2"/>
        <v>17.156086590303602</v>
      </c>
      <c r="L98" s="3065">
        <v>320</v>
      </c>
      <c r="M98" s="3064"/>
      <c r="N98" s="3064"/>
      <c r="O98" s="3064"/>
      <c r="P98" s="3064"/>
      <c r="Q98" s="3064"/>
      <c r="R98" s="3061" t="s">
        <v>11828</v>
      </c>
    </row>
    <row r="99" spans="1:18">
      <c r="A99" s="4648"/>
      <c r="B99" s="4653"/>
      <c r="C99" s="2901">
        <v>125</v>
      </c>
      <c r="D99" s="3062" t="s">
        <v>12577</v>
      </c>
      <c r="E99" s="3064"/>
      <c r="F99" s="3063">
        <f>F$3^2*PI()/4*($C99+F$3)*PI()*1.1*10^-3</f>
        <v>2.4330162312868162</v>
      </c>
      <c r="G99" s="3063">
        <f t="shared" si="2"/>
        <v>4.3970481996899888</v>
      </c>
      <c r="H99" s="3068">
        <f t="shared" si="2"/>
        <v>9.9341015256301493</v>
      </c>
      <c r="I99" s="3069">
        <f t="shared" si="2"/>
        <v>17.555065348217642</v>
      </c>
      <c r="L99" s="3065">
        <v>330</v>
      </c>
      <c r="M99" s="3064"/>
      <c r="N99" s="3064"/>
      <c r="O99" s="3064"/>
      <c r="P99" s="3064"/>
      <c r="Q99" s="3064"/>
      <c r="R99" s="3061" t="s">
        <v>11828</v>
      </c>
    </row>
    <row r="100" spans="1:18">
      <c r="A100" s="4648"/>
      <c r="B100" s="4653"/>
      <c r="C100" s="2901">
        <v>128</v>
      </c>
      <c r="D100" s="3062" t="s">
        <v>12577</v>
      </c>
      <c r="E100" s="3064"/>
      <c r="F100" s="3063"/>
      <c r="G100" s="3063">
        <f t="shared" si="2"/>
        <v>4.4996630934983894</v>
      </c>
      <c r="H100" s="3068">
        <f t="shared" si="2"/>
        <v>10.162822205422094</v>
      </c>
      <c r="I100" s="3069">
        <f t="shared" si="2"/>
        <v>17.954044106131679</v>
      </c>
      <c r="L100" s="3065">
        <v>335</v>
      </c>
      <c r="M100" s="3064"/>
      <c r="N100" s="3064"/>
      <c r="O100" s="3064"/>
      <c r="P100" s="3064"/>
      <c r="Q100" s="3064"/>
      <c r="R100" s="3061" t="s">
        <v>11828</v>
      </c>
    </row>
    <row r="101" spans="1:18">
      <c r="A101" s="4648"/>
      <c r="B101" s="4653"/>
      <c r="C101" s="2901">
        <v>132</v>
      </c>
      <c r="D101" s="3062" t="s">
        <v>12577</v>
      </c>
      <c r="E101" s="3064"/>
      <c r="F101" s="3063">
        <f>F$3^2*PI()/4*($C101+F$3)*PI()*1.1*10^-3</f>
        <v>2.5664366278321173</v>
      </c>
      <c r="G101" s="3063">
        <f t="shared" si="2"/>
        <v>4.636482951909592</v>
      </c>
      <c r="H101" s="3068">
        <f t="shared" si="2"/>
        <v>10.467783111811354</v>
      </c>
      <c r="I101" s="3069">
        <f t="shared" si="2"/>
        <v>18.4860157833504</v>
      </c>
      <c r="L101" s="3065">
        <v>350</v>
      </c>
      <c r="M101" s="3064"/>
      <c r="N101" s="3064"/>
      <c r="O101" s="3064"/>
      <c r="P101" s="3064"/>
      <c r="Q101" s="3064"/>
      <c r="R101" s="3061" t="s">
        <v>11828</v>
      </c>
    </row>
    <row r="102" spans="1:18">
      <c r="A102" s="4648"/>
      <c r="B102" s="4653"/>
      <c r="C102" s="2901">
        <v>136</v>
      </c>
      <c r="D102" s="3062" t="s">
        <v>12577</v>
      </c>
      <c r="E102" s="3064"/>
      <c r="F102" s="3063"/>
      <c r="G102" s="3063">
        <f t="shared" si="2"/>
        <v>4.7733028103207928</v>
      </c>
      <c r="H102" s="3068">
        <f t="shared" si="2"/>
        <v>10.772744018200614</v>
      </c>
      <c r="I102" s="3069">
        <f t="shared" si="2"/>
        <v>19.017987460569117</v>
      </c>
      <c r="L102" s="3065">
        <v>355</v>
      </c>
      <c r="M102" s="3064"/>
      <c r="N102" s="3064"/>
      <c r="O102" s="3064"/>
      <c r="P102" s="3064"/>
      <c r="Q102" s="3064"/>
      <c r="R102" s="3061" t="s">
        <v>11828</v>
      </c>
    </row>
    <row r="103" spans="1:18">
      <c r="A103" s="4648"/>
      <c r="B103" s="4653"/>
      <c r="C103" s="2901">
        <v>140</v>
      </c>
      <c r="D103" s="3062" t="s">
        <v>12577</v>
      </c>
      <c r="E103" s="3064"/>
      <c r="F103" s="3063">
        <f>F$3^2*PI()/4*($C103+F$3)*PI()*1.1*10^-3</f>
        <v>2.7189170810267469</v>
      </c>
      <c r="G103" s="3063">
        <f t="shared" si="2"/>
        <v>4.9101226687319945</v>
      </c>
      <c r="H103" s="3068">
        <f t="shared" si="2"/>
        <v>11.077704924589874</v>
      </c>
      <c r="I103" s="3069">
        <f t="shared" si="2"/>
        <v>19.549959137787827</v>
      </c>
      <c r="L103" s="3065">
        <v>360</v>
      </c>
      <c r="M103" s="3064"/>
      <c r="N103" s="3064"/>
      <c r="O103" s="3064"/>
      <c r="P103" s="3064"/>
      <c r="Q103" s="3064"/>
      <c r="R103" s="3061" t="s">
        <v>11828</v>
      </c>
    </row>
    <row r="104" spans="1:18">
      <c r="A104" s="4648"/>
      <c r="B104" s="4653"/>
      <c r="C104" s="2901">
        <v>145</v>
      </c>
      <c r="D104" s="3062" t="s">
        <v>12577</v>
      </c>
      <c r="E104" s="3064"/>
      <c r="F104" s="3063"/>
      <c r="G104" s="3063">
        <f t="shared" si="2"/>
        <v>5.0811474917459964</v>
      </c>
      <c r="H104" s="3068">
        <f t="shared" si="2"/>
        <v>11.458906057576451</v>
      </c>
      <c r="I104" s="3069">
        <f t="shared" si="2"/>
        <v>20.21492373431122</v>
      </c>
      <c r="L104" s="3065">
        <v>370</v>
      </c>
      <c r="M104" s="3064"/>
      <c r="N104" s="3064"/>
      <c r="O104" s="3064"/>
      <c r="P104" s="3064"/>
      <c r="Q104" s="3064"/>
      <c r="R104" s="3061" t="s">
        <v>11828</v>
      </c>
    </row>
    <row r="105" spans="1:18">
      <c r="A105" s="4648"/>
      <c r="B105" s="4653"/>
      <c r="C105" s="2901">
        <v>150</v>
      </c>
      <c r="D105" s="3062" t="s">
        <v>12577</v>
      </c>
      <c r="E105" s="3064"/>
      <c r="F105" s="3063">
        <f>F$3^2*PI()/4*($C105+F$3)*PI()*1.1*10^-3</f>
        <v>2.9095176475200346</v>
      </c>
      <c r="G105" s="3063">
        <f t="shared" si="2"/>
        <v>5.2521723147599975</v>
      </c>
      <c r="H105" s="3068">
        <f t="shared" si="2"/>
        <v>11.840107190563025</v>
      </c>
      <c r="I105" s="3069">
        <f t="shared" si="2"/>
        <v>20.879888330834621</v>
      </c>
      <c r="L105" s="3065">
        <v>380</v>
      </c>
      <c r="M105" s="3064"/>
      <c r="N105" s="3064"/>
      <c r="O105" s="3064"/>
      <c r="P105" s="3064"/>
      <c r="Q105" s="3064"/>
      <c r="R105" s="3061" t="s">
        <v>11828</v>
      </c>
    </row>
    <row r="106" spans="1:18">
      <c r="A106" s="4648"/>
      <c r="B106" s="4653"/>
      <c r="C106" s="2901">
        <v>155</v>
      </c>
      <c r="D106" s="3062" t="s">
        <v>12577</v>
      </c>
      <c r="E106" s="3064"/>
      <c r="F106" s="3063"/>
      <c r="G106" s="3063">
        <f t="shared" si="2"/>
        <v>5.4231971377740003</v>
      </c>
      <c r="H106" s="3068">
        <f t="shared" si="2"/>
        <v>12.2213083235496</v>
      </c>
      <c r="I106" s="3069">
        <f t="shared" si="2"/>
        <v>21.544852927358015</v>
      </c>
      <c r="L106" s="3065">
        <v>390</v>
      </c>
      <c r="M106" s="3064"/>
      <c r="N106" s="3064"/>
      <c r="O106" s="3064"/>
      <c r="P106" s="3064"/>
      <c r="Q106" s="3064"/>
      <c r="R106" s="3061" t="s">
        <v>11828</v>
      </c>
    </row>
    <row r="107" spans="1:18">
      <c r="A107" s="4648"/>
      <c r="B107" s="4653"/>
      <c r="C107" s="2901">
        <v>160</v>
      </c>
      <c r="D107" s="3062" t="s">
        <v>12577</v>
      </c>
      <c r="E107" s="3064"/>
      <c r="F107" s="3063">
        <f>F$3^2*PI()/4*($C107+F$3)*PI()*1.1*10^-3</f>
        <v>3.1001182140133219</v>
      </c>
      <c r="G107" s="3063">
        <f t="shared" si="2"/>
        <v>5.5942219607880022</v>
      </c>
      <c r="H107" s="3068">
        <f t="shared" si="2"/>
        <v>12.602509456536174</v>
      </c>
      <c r="I107" s="3069">
        <f t="shared" si="2"/>
        <v>22.209817523881412</v>
      </c>
      <c r="L107" s="3065">
        <v>395</v>
      </c>
      <c r="M107" s="3064"/>
      <c r="N107" s="3064"/>
      <c r="O107" s="3064"/>
      <c r="P107" s="3064"/>
      <c r="Q107" s="3064"/>
      <c r="R107" s="3061" t="s">
        <v>11828</v>
      </c>
    </row>
    <row r="108" spans="1:18">
      <c r="A108" s="4648"/>
      <c r="B108" s="4653"/>
      <c r="C108" s="2901">
        <v>165</v>
      </c>
      <c r="D108" s="3062" t="s">
        <v>12577</v>
      </c>
      <c r="E108" s="3064"/>
      <c r="F108" s="3063"/>
      <c r="G108" s="3063">
        <f t="shared" ref="G108:I123" si="3">G$3^2*PI()/4*($C108+G$3)*PI()*1.1*10^-3</f>
        <v>5.7652467838020041</v>
      </c>
      <c r="H108" s="3068">
        <f t="shared" si="3"/>
        <v>12.983710589522749</v>
      </c>
      <c r="I108" s="3069">
        <f t="shared" si="3"/>
        <v>22.874782120404806</v>
      </c>
      <c r="L108" s="3065">
        <v>400</v>
      </c>
      <c r="M108" s="3064"/>
      <c r="N108" s="3064"/>
      <c r="O108" s="3064"/>
      <c r="P108" s="3064"/>
      <c r="Q108" s="3064"/>
      <c r="R108" s="3061" t="s">
        <v>11828</v>
      </c>
    </row>
    <row r="109" spans="1:18">
      <c r="A109" s="4648"/>
      <c r="B109" s="4653"/>
      <c r="C109" s="2901">
        <v>170</v>
      </c>
      <c r="D109" s="3062" t="s">
        <v>12577</v>
      </c>
      <c r="E109" s="3064"/>
      <c r="F109" s="3063">
        <f>F$3^2*PI()/4*($C109+F$3)*PI()*1.1*10^-3</f>
        <v>3.29071878050661</v>
      </c>
      <c r="G109" s="3063">
        <f t="shared" si="3"/>
        <v>5.936271606816006</v>
      </c>
      <c r="H109" s="3068">
        <f t="shared" si="3"/>
        <v>13.364911722509325</v>
      </c>
      <c r="I109" s="3069">
        <f t="shared" si="3"/>
        <v>23.5397467169282</v>
      </c>
      <c r="L109" s="3065">
        <v>415</v>
      </c>
      <c r="M109" s="3064"/>
      <c r="N109" s="3064"/>
      <c r="O109" s="3064"/>
      <c r="P109" s="3064"/>
      <c r="Q109" s="3064"/>
      <c r="R109" s="3061" t="s">
        <v>11828</v>
      </c>
    </row>
    <row r="110" spans="1:18">
      <c r="A110" s="4648"/>
      <c r="B110" s="4653"/>
      <c r="C110" s="2901">
        <v>175</v>
      </c>
      <c r="D110" s="3062" t="s">
        <v>12577</v>
      </c>
      <c r="E110" s="3064"/>
      <c r="F110" s="3063"/>
      <c r="G110" s="3063">
        <f t="shared" si="3"/>
        <v>6.1072964298300088</v>
      </c>
      <c r="H110" s="3068">
        <f t="shared" si="3"/>
        <v>13.7461128554959</v>
      </c>
      <c r="I110" s="3069">
        <f t="shared" si="3"/>
        <v>24.204711313451597</v>
      </c>
      <c r="L110" s="3065">
        <v>420</v>
      </c>
      <c r="M110" s="3064"/>
      <c r="N110" s="3064"/>
      <c r="O110" s="3064"/>
      <c r="P110" s="3064"/>
      <c r="Q110" s="3064"/>
      <c r="R110" s="3061" t="s">
        <v>11828</v>
      </c>
    </row>
    <row r="111" spans="1:18">
      <c r="A111" s="4648"/>
      <c r="B111" s="4653"/>
      <c r="C111" s="2901">
        <v>180</v>
      </c>
      <c r="D111" s="3062" t="s">
        <v>12577</v>
      </c>
      <c r="E111" s="3064"/>
      <c r="F111" s="3063"/>
      <c r="G111" s="3063">
        <f t="shared" si="3"/>
        <v>6.2783212528440089</v>
      </c>
      <c r="H111" s="3068">
        <f t="shared" si="3"/>
        <v>14.127313988482474</v>
      </c>
      <c r="I111" s="3069">
        <f t="shared" si="3"/>
        <v>24.869675909974994</v>
      </c>
      <c r="L111" s="3065">
        <v>450</v>
      </c>
      <c r="M111" s="3064"/>
      <c r="N111" s="3064"/>
      <c r="O111" s="3064"/>
      <c r="P111" s="3064"/>
      <c r="Q111" s="3064"/>
      <c r="R111" s="3061" t="s">
        <v>11828</v>
      </c>
    </row>
    <row r="112" spans="1:18">
      <c r="A112" s="4648"/>
      <c r="B112" s="4653"/>
      <c r="C112" s="2901">
        <v>185</v>
      </c>
      <c r="D112" s="3062" t="s">
        <v>8079</v>
      </c>
      <c r="E112" s="3064"/>
      <c r="F112" s="3063">
        <f>F$3^2*PI()/4*($C112+F$3)*PI()*1.1*10^-3</f>
        <v>3.5766196302465412</v>
      </c>
      <c r="G112" s="3063">
        <f t="shared" si="3"/>
        <v>6.4493460758580117</v>
      </c>
      <c r="H112" s="3068">
        <f t="shared" si="3"/>
        <v>14.508515121469049</v>
      </c>
      <c r="I112" s="3069">
        <f t="shared" si="3"/>
        <v>25.534640506498384</v>
      </c>
      <c r="L112" s="3065">
        <v>480</v>
      </c>
      <c r="M112" s="3064"/>
      <c r="N112" s="3064"/>
      <c r="O112" s="3064"/>
      <c r="P112" s="3064"/>
      <c r="Q112" s="3064"/>
      <c r="R112" s="3061" t="s">
        <v>11828</v>
      </c>
    </row>
    <row r="113" spans="1:256">
      <c r="A113" s="4648"/>
      <c r="B113" s="4653"/>
      <c r="C113" s="2901">
        <v>190</v>
      </c>
      <c r="D113" s="3062" t="s">
        <v>8079</v>
      </c>
      <c r="E113" s="3064"/>
      <c r="F113" s="3063">
        <f>F$3^2*PI()/4*($C113+F$3)*PI()*1.1*10^-3</f>
        <v>3.671919913493185</v>
      </c>
      <c r="G113" s="3063">
        <f t="shared" si="3"/>
        <v>6.6203708988720136</v>
      </c>
      <c r="H113" s="3068">
        <f t="shared" si="3"/>
        <v>14.889716254455623</v>
      </c>
      <c r="I113" s="3069">
        <f t="shared" si="3"/>
        <v>26.199605103021781</v>
      </c>
      <c r="L113" s="3070">
        <v>500</v>
      </c>
      <c r="M113" s="3071"/>
      <c r="N113" s="3071"/>
      <c r="O113" s="3071"/>
      <c r="P113" s="3071"/>
      <c r="Q113" s="3071"/>
      <c r="R113" s="3072" t="s">
        <v>11828</v>
      </c>
    </row>
    <row r="114" spans="1:256" customFormat="1">
      <c r="A114" s="4648"/>
      <c r="B114" s="4653"/>
      <c r="C114" s="2901">
        <v>195</v>
      </c>
      <c r="D114" s="3062" t="s">
        <v>8079</v>
      </c>
      <c r="E114" s="3064"/>
      <c r="F114" s="3063">
        <f>F$3^2*PI()/4*($C114+F$3)*PI()*1.1*10^-3</f>
        <v>3.7672201967398289</v>
      </c>
      <c r="G114" s="3063">
        <f t="shared" si="3"/>
        <v>6.7913957218860155</v>
      </c>
      <c r="H114" s="3068">
        <f t="shared" si="3"/>
        <v>15.270917387442202</v>
      </c>
      <c r="I114" s="3069">
        <f t="shared" si="3"/>
        <v>26.864569699545179</v>
      </c>
      <c r="J114" s="2918"/>
      <c r="K114" s="2918"/>
      <c r="L114" s="2918"/>
      <c r="M114" s="2918"/>
      <c r="N114" s="2918"/>
      <c r="O114" s="2918"/>
      <c r="P114" s="2918"/>
      <c r="Q114" s="2918"/>
      <c r="R114" s="3162" t="s">
        <v>12708</v>
      </c>
      <c r="S114" s="2918"/>
      <c r="T114" s="2918"/>
      <c r="U114" s="2918"/>
      <c r="V114" s="2918"/>
      <c r="W114" s="2918"/>
      <c r="X114" s="2918"/>
      <c r="Y114" s="2918"/>
      <c r="Z114" s="2918"/>
      <c r="AA114" s="2918"/>
      <c r="AB114" s="2918"/>
      <c r="AC114" s="2918"/>
      <c r="AD114" s="2918"/>
      <c r="AE114" s="2918"/>
      <c r="AF114" s="2918"/>
      <c r="AG114" s="2918"/>
      <c r="AH114" s="2918"/>
      <c r="AI114" s="2918"/>
      <c r="AJ114" s="2918"/>
      <c r="AK114" s="2918"/>
      <c r="AL114" s="2918"/>
      <c r="AM114" s="2918"/>
      <c r="AN114" s="2918"/>
      <c r="AO114" s="2918"/>
      <c r="AP114" s="2918"/>
      <c r="AQ114" s="2918"/>
      <c r="AR114" s="2918"/>
      <c r="AS114" s="2918"/>
      <c r="AT114" s="2918"/>
      <c r="AU114" s="2918"/>
      <c r="AV114" s="2918"/>
      <c r="AW114" s="2918"/>
      <c r="AX114" s="2918"/>
      <c r="AY114" s="2918"/>
      <c r="AZ114" s="2918"/>
      <c r="BA114" s="2918"/>
      <c r="BB114" s="2918"/>
      <c r="BC114" s="2918"/>
      <c r="BD114" s="2918"/>
      <c r="BE114" s="2918"/>
      <c r="BF114" s="2918"/>
      <c r="BG114" s="2918"/>
      <c r="BH114" s="2918"/>
      <c r="BI114" s="2918"/>
      <c r="BJ114" s="2918"/>
      <c r="BK114" s="2918"/>
      <c r="BL114" s="2918"/>
      <c r="BM114" s="2918"/>
      <c r="BN114" s="2918"/>
      <c r="BO114" s="2918"/>
      <c r="BP114" s="2918"/>
      <c r="BQ114" s="2918"/>
      <c r="BR114" s="2918"/>
      <c r="BS114" s="2918"/>
      <c r="BT114" s="2918"/>
      <c r="BU114" s="2918"/>
      <c r="BV114" s="2918"/>
      <c r="BW114" s="2918"/>
      <c r="BX114" s="2918"/>
      <c r="BY114" s="2918"/>
      <c r="BZ114" s="2918"/>
      <c r="CA114" s="2918"/>
      <c r="CB114" s="2918"/>
      <c r="CC114" s="2918"/>
      <c r="CD114" s="2918"/>
      <c r="CE114" s="2918"/>
      <c r="CF114" s="2918"/>
      <c r="CG114" s="2918"/>
      <c r="CH114" s="2918"/>
      <c r="CI114" s="2918"/>
      <c r="CJ114" s="2918"/>
      <c r="CK114" s="2918"/>
      <c r="CL114" s="2918"/>
      <c r="CM114" s="2918"/>
      <c r="CN114" s="2918"/>
      <c r="CO114" s="2918"/>
      <c r="CP114" s="2918"/>
      <c r="CQ114" s="2918"/>
      <c r="CR114" s="2918"/>
      <c r="CS114" s="2918"/>
      <c r="CT114" s="2918"/>
      <c r="CU114" s="2918"/>
      <c r="CV114" s="2918"/>
      <c r="CW114" s="2918"/>
      <c r="CX114" s="2918"/>
      <c r="CY114" s="2918"/>
      <c r="CZ114" s="2918"/>
      <c r="DA114" s="2918"/>
      <c r="DB114" s="2918"/>
      <c r="DC114" s="2918"/>
      <c r="DD114" s="2918"/>
      <c r="DE114" s="2918"/>
      <c r="DF114" s="2918"/>
      <c r="DG114" s="2918"/>
      <c r="DH114" s="2918"/>
      <c r="DI114" s="2918"/>
      <c r="DJ114" s="2918"/>
      <c r="DK114" s="2918"/>
      <c r="DL114" s="2918"/>
      <c r="DM114" s="2918"/>
      <c r="DN114" s="2918"/>
      <c r="DO114" s="2918"/>
      <c r="DP114" s="2918"/>
      <c r="DQ114" s="2918"/>
      <c r="DR114" s="2918"/>
      <c r="DS114" s="2918"/>
      <c r="DT114" s="2918"/>
      <c r="DU114" s="2918"/>
      <c r="DV114" s="2918"/>
      <c r="DW114" s="2918"/>
      <c r="DX114" s="2918"/>
      <c r="DY114" s="2918"/>
      <c r="DZ114" s="2918"/>
      <c r="EA114" s="2918"/>
      <c r="EB114" s="2918"/>
      <c r="EC114" s="2918"/>
      <c r="ED114" s="2918"/>
      <c r="EE114" s="2918"/>
      <c r="EF114" s="2918"/>
      <c r="EG114" s="2918"/>
      <c r="EH114" s="2918"/>
      <c r="EI114" s="2918"/>
      <c r="EJ114" s="2918"/>
      <c r="EK114" s="2918"/>
      <c r="EL114" s="2918"/>
      <c r="EM114" s="2918"/>
      <c r="EN114" s="2918"/>
      <c r="EO114" s="2918"/>
      <c r="EP114" s="2918"/>
      <c r="EQ114" s="2918"/>
      <c r="ER114" s="2918"/>
      <c r="ES114" s="2918"/>
      <c r="ET114" s="2918"/>
      <c r="EU114" s="2918"/>
      <c r="EV114" s="2918"/>
      <c r="EW114" s="2918"/>
      <c r="EX114" s="2918"/>
      <c r="EY114" s="2918"/>
      <c r="EZ114" s="2918"/>
      <c r="FA114" s="2918"/>
      <c r="FB114" s="2918"/>
      <c r="FC114" s="2918"/>
      <c r="FD114" s="2918"/>
      <c r="FE114" s="2918"/>
      <c r="FF114" s="2918"/>
      <c r="FG114" s="2918"/>
      <c r="FH114" s="2918"/>
      <c r="FI114" s="2918"/>
      <c r="FJ114" s="2918"/>
      <c r="FK114" s="2918"/>
      <c r="FL114" s="2918"/>
      <c r="FM114" s="2918"/>
      <c r="FN114" s="2918"/>
      <c r="FO114" s="2918"/>
      <c r="FP114" s="2918"/>
      <c r="FQ114" s="2918"/>
      <c r="FR114" s="2918"/>
      <c r="FS114" s="2918"/>
      <c r="FT114" s="2918"/>
      <c r="FU114" s="2918"/>
      <c r="FV114" s="2918"/>
      <c r="FW114" s="2918"/>
      <c r="FX114" s="2918"/>
      <c r="FY114" s="2918"/>
      <c r="FZ114" s="2918"/>
      <c r="GA114" s="2918"/>
      <c r="GB114" s="2918"/>
      <c r="GC114" s="2918"/>
      <c r="GD114" s="2918"/>
      <c r="GE114" s="2918"/>
      <c r="GF114" s="2918"/>
      <c r="GG114" s="2918"/>
      <c r="GH114" s="2918"/>
      <c r="GI114" s="2918"/>
      <c r="GJ114" s="2918"/>
      <c r="GK114" s="2918"/>
      <c r="GL114" s="2918"/>
      <c r="GM114" s="2918"/>
      <c r="GN114" s="2918"/>
      <c r="GO114" s="2918"/>
      <c r="GP114" s="2918"/>
      <c r="GQ114" s="2918"/>
      <c r="GR114" s="2918"/>
      <c r="GS114" s="2918"/>
      <c r="GT114" s="2918"/>
      <c r="GU114" s="2918"/>
      <c r="GV114" s="2918"/>
      <c r="GW114" s="2918"/>
      <c r="GX114" s="2918"/>
      <c r="GY114" s="2918"/>
      <c r="GZ114" s="2918"/>
      <c r="HA114" s="2918"/>
      <c r="HB114" s="2918"/>
      <c r="HC114" s="2918"/>
      <c r="HD114" s="2918"/>
      <c r="HE114" s="2918"/>
      <c r="HF114" s="2918"/>
      <c r="HG114" s="2918"/>
      <c r="HH114" s="2918"/>
      <c r="HI114" s="2918"/>
      <c r="HJ114" s="2918"/>
      <c r="HK114" s="2918"/>
      <c r="HL114" s="2918"/>
      <c r="HM114" s="2918"/>
      <c r="HN114" s="2918"/>
      <c r="HO114" s="2918"/>
      <c r="HP114" s="2918"/>
      <c r="HQ114" s="2918"/>
      <c r="HR114" s="2918"/>
      <c r="HS114" s="2918"/>
      <c r="HT114" s="2918"/>
      <c r="HU114" s="2918"/>
      <c r="HV114" s="2918"/>
      <c r="HW114" s="2918"/>
      <c r="HX114" s="2918"/>
      <c r="HY114" s="2918"/>
      <c r="HZ114" s="2918"/>
      <c r="IA114" s="2918"/>
      <c r="IB114" s="2918"/>
      <c r="IC114" s="2918"/>
      <c r="ID114" s="2918"/>
      <c r="IE114" s="2918"/>
      <c r="IF114" s="2918"/>
      <c r="IG114" s="2918"/>
      <c r="IH114" s="2918"/>
      <c r="II114" s="2918"/>
      <c r="IJ114" s="2918"/>
      <c r="IK114" s="2918"/>
      <c r="IL114" s="2918"/>
      <c r="IM114" s="2918"/>
      <c r="IN114" s="2918"/>
      <c r="IO114" s="2918"/>
      <c r="IP114" s="2918"/>
      <c r="IQ114" s="2918"/>
      <c r="IR114" s="2918"/>
      <c r="IS114" s="2918"/>
      <c r="IT114" s="2918"/>
      <c r="IU114" s="2918"/>
      <c r="IV114" s="2918"/>
    </row>
    <row r="115" spans="1:256" customFormat="1">
      <c r="A115" s="4648"/>
      <c r="B115" s="4653"/>
      <c r="C115" s="2901">
        <v>200</v>
      </c>
      <c r="D115" s="3062" t="s">
        <v>8079</v>
      </c>
      <c r="E115" s="3064"/>
      <c r="F115" s="3063">
        <f>F$3^2*PI()/4*($C115+F$3)*PI()*1.1*10^-3</f>
        <v>3.8625204799864727</v>
      </c>
      <c r="G115" s="3063">
        <f t="shared" si="3"/>
        <v>6.9624205449000174</v>
      </c>
      <c r="H115" s="3068">
        <f t="shared" si="3"/>
        <v>15.652118520428775</v>
      </c>
      <c r="I115" s="3069">
        <f t="shared" si="3"/>
        <v>27.529534296068576</v>
      </c>
      <c r="J115" s="2918"/>
      <c r="K115" s="2918"/>
      <c r="L115" s="2918"/>
      <c r="M115" s="2918"/>
      <c r="N115" s="2918"/>
      <c r="O115" s="2918"/>
      <c r="P115" s="2918"/>
      <c r="Q115" s="2918"/>
      <c r="R115" s="2918"/>
      <c r="S115" s="2918"/>
      <c r="T115" s="2918"/>
      <c r="U115" s="2918"/>
      <c r="V115" s="2918"/>
      <c r="W115" s="2918"/>
      <c r="X115" s="2918"/>
      <c r="Y115" s="2918"/>
      <c r="Z115" s="2918"/>
      <c r="AA115" s="2918"/>
      <c r="AB115" s="2918"/>
      <c r="AC115" s="2918"/>
      <c r="AD115" s="2918"/>
      <c r="AE115" s="2918"/>
      <c r="AF115" s="2918"/>
      <c r="AG115" s="2918"/>
      <c r="AH115" s="2918"/>
      <c r="AI115" s="2918"/>
      <c r="AJ115" s="2918"/>
      <c r="AK115" s="2918"/>
      <c r="AL115" s="2918"/>
      <c r="AM115" s="2918"/>
      <c r="AN115" s="2918"/>
      <c r="AO115" s="2918"/>
      <c r="AP115" s="2918"/>
      <c r="AQ115" s="2918"/>
      <c r="AR115" s="2918"/>
      <c r="AS115" s="2918"/>
      <c r="AT115" s="2918"/>
      <c r="AU115" s="2918"/>
      <c r="AV115" s="2918"/>
      <c r="AW115" s="2918"/>
      <c r="AX115" s="2918"/>
      <c r="AY115" s="2918"/>
      <c r="AZ115" s="2918"/>
      <c r="BA115" s="2918"/>
      <c r="BB115" s="2918"/>
      <c r="BC115" s="2918"/>
      <c r="BD115" s="2918"/>
      <c r="BE115" s="2918"/>
      <c r="BF115" s="2918"/>
      <c r="BG115" s="2918"/>
      <c r="BH115" s="2918"/>
      <c r="BI115" s="2918"/>
      <c r="BJ115" s="2918"/>
      <c r="BK115" s="2918"/>
      <c r="BL115" s="2918"/>
      <c r="BM115" s="2918"/>
      <c r="BN115" s="2918"/>
      <c r="BO115" s="2918"/>
      <c r="BP115" s="2918"/>
      <c r="BQ115" s="2918"/>
      <c r="BR115" s="2918"/>
      <c r="BS115" s="2918"/>
      <c r="BT115" s="2918"/>
      <c r="BU115" s="2918"/>
      <c r="BV115" s="2918"/>
      <c r="BW115" s="2918"/>
      <c r="BX115" s="2918"/>
      <c r="BY115" s="2918"/>
      <c r="BZ115" s="2918"/>
      <c r="CA115" s="2918"/>
      <c r="CB115" s="2918"/>
      <c r="CC115" s="2918"/>
      <c r="CD115" s="2918"/>
      <c r="CE115" s="2918"/>
      <c r="CF115" s="2918"/>
      <c r="CG115" s="2918"/>
      <c r="CH115" s="2918"/>
      <c r="CI115" s="2918"/>
      <c r="CJ115" s="2918"/>
      <c r="CK115" s="2918"/>
      <c r="CL115" s="2918"/>
      <c r="CM115" s="2918"/>
      <c r="CN115" s="2918"/>
      <c r="CO115" s="2918"/>
      <c r="CP115" s="2918"/>
      <c r="CQ115" s="2918"/>
      <c r="CR115" s="2918"/>
      <c r="CS115" s="2918"/>
      <c r="CT115" s="2918"/>
      <c r="CU115" s="2918"/>
      <c r="CV115" s="2918"/>
      <c r="CW115" s="2918"/>
      <c r="CX115" s="2918"/>
      <c r="CY115" s="2918"/>
      <c r="CZ115" s="2918"/>
      <c r="DA115" s="2918"/>
      <c r="DB115" s="2918"/>
      <c r="DC115" s="2918"/>
      <c r="DD115" s="2918"/>
      <c r="DE115" s="2918"/>
      <c r="DF115" s="2918"/>
      <c r="DG115" s="2918"/>
      <c r="DH115" s="2918"/>
      <c r="DI115" s="2918"/>
      <c r="DJ115" s="2918"/>
      <c r="DK115" s="2918"/>
      <c r="DL115" s="2918"/>
      <c r="DM115" s="2918"/>
      <c r="DN115" s="2918"/>
      <c r="DO115" s="2918"/>
      <c r="DP115" s="2918"/>
      <c r="DQ115" s="2918"/>
      <c r="DR115" s="2918"/>
      <c r="DS115" s="2918"/>
      <c r="DT115" s="2918"/>
      <c r="DU115" s="2918"/>
      <c r="DV115" s="2918"/>
      <c r="DW115" s="2918"/>
      <c r="DX115" s="2918"/>
      <c r="DY115" s="2918"/>
      <c r="DZ115" s="2918"/>
      <c r="EA115" s="2918"/>
      <c r="EB115" s="2918"/>
      <c r="EC115" s="2918"/>
      <c r="ED115" s="2918"/>
      <c r="EE115" s="2918"/>
      <c r="EF115" s="2918"/>
      <c r="EG115" s="2918"/>
      <c r="EH115" s="2918"/>
      <c r="EI115" s="2918"/>
      <c r="EJ115" s="2918"/>
      <c r="EK115" s="2918"/>
      <c r="EL115" s="2918"/>
      <c r="EM115" s="2918"/>
      <c r="EN115" s="2918"/>
      <c r="EO115" s="2918"/>
      <c r="EP115" s="2918"/>
      <c r="EQ115" s="2918"/>
      <c r="ER115" s="2918"/>
      <c r="ES115" s="2918"/>
      <c r="ET115" s="2918"/>
      <c r="EU115" s="2918"/>
      <c r="EV115" s="2918"/>
      <c r="EW115" s="2918"/>
      <c r="EX115" s="2918"/>
      <c r="EY115" s="2918"/>
      <c r="EZ115" s="2918"/>
      <c r="FA115" s="2918"/>
      <c r="FB115" s="2918"/>
      <c r="FC115" s="2918"/>
      <c r="FD115" s="2918"/>
      <c r="FE115" s="2918"/>
      <c r="FF115" s="2918"/>
      <c r="FG115" s="2918"/>
      <c r="FH115" s="2918"/>
      <c r="FI115" s="2918"/>
      <c r="FJ115" s="2918"/>
      <c r="FK115" s="2918"/>
      <c r="FL115" s="2918"/>
      <c r="FM115" s="2918"/>
      <c r="FN115" s="2918"/>
      <c r="FO115" s="2918"/>
      <c r="FP115" s="2918"/>
      <c r="FQ115" s="2918"/>
      <c r="FR115" s="2918"/>
      <c r="FS115" s="2918"/>
      <c r="FT115" s="2918"/>
      <c r="FU115" s="2918"/>
      <c r="FV115" s="2918"/>
      <c r="FW115" s="2918"/>
      <c r="FX115" s="2918"/>
      <c r="FY115" s="2918"/>
      <c r="FZ115" s="2918"/>
      <c r="GA115" s="2918"/>
      <c r="GB115" s="2918"/>
      <c r="GC115" s="2918"/>
      <c r="GD115" s="2918"/>
      <c r="GE115" s="2918"/>
      <c r="GF115" s="2918"/>
      <c r="GG115" s="2918"/>
      <c r="GH115" s="2918"/>
      <c r="GI115" s="2918"/>
      <c r="GJ115" s="2918"/>
      <c r="GK115" s="2918"/>
      <c r="GL115" s="2918"/>
      <c r="GM115" s="2918"/>
      <c r="GN115" s="2918"/>
      <c r="GO115" s="2918"/>
      <c r="GP115" s="2918"/>
      <c r="GQ115" s="2918"/>
      <c r="GR115" s="2918"/>
      <c r="GS115" s="2918"/>
      <c r="GT115" s="2918"/>
      <c r="GU115" s="2918"/>
      <c r="GV115" s="2918"/>
      <c r="GW115" s="2918"/>
      <c r="GX115" s="2918"/>
      <c r="GY115" s="2918"/>
      <c r="GZ115" s="2918"/>
      <c r="HA115" s="2918"/>
      <c r="HB115" s="2918"/>
      <c r="HC115" s="2918"/>
      <c r="HD115" s="2918"/>
      <c r="HE115" s="2918"/>
      <c r="HF115" s="2918"/>
      <c r="HG115" s="2918"/>
      <c r="HH115" s="2918"/>
      <c r="HI115" s="2918"/>
      <c r="HJ115" s="2918"/>
      <c r="HK115" s="2918"/>
      <c r="HL115" s="2918"/>
      <c r="HM115" s="2918"/>
      <c r="HN115" s="2918"/>
      <c r="HO115" s="2918"/>
      <c r="HP115" s="2918"/>
      <c r="HQ115" s="2918"/>
      <c r="HR115" s="2918"/>
      <c r="HS115" s="2918"/>
      <c r="HT115" s="2918"/>
      <c r="HU115" s="2918"/>
      <c r="HV115" s="2918"/>
      <c r="HW115" s="2918"/>
      <c r="HX115" s="2918"/>
      <c r="HY115" s="2918"/>
      <c r="HZ115" s="2918"/>
      <c r="IA115" s="2918"/>
      <c r="IB115" s="2918"/>
      <c r="IC115" s="2918"/>
      <c r="ID115" s="2918"/>
      <c r="IE115" s="2918"/>
      <c r="IF115" s="2918"/>
      <c r="IG115" s="2918"/>
      <c r="IH115" s="2918"/>
      <c r="II115" s="2918"/>
      <c r="IJ115" s="2918"/>
      <c r="IK115" s="2918"/>
      <c r="IL115" s="2918"/>
      <c r="IM115" s="2918"/>
      <c r="IN115" s="2918"/>
      <c r="IO115" s="2918"/>
      <c r="IP115" s="2918"/>
      <c r="IQ115" s="2918"/>
      <c r="IR115" s="2918"/>
      <c r="IS115" s="2918"/>
      <c r="IT115" s="2918"/>
      <c r="IU115" s="2918"/>
      <c r="IV115" s="2918"/>
    </row>
    <row r="116" spans="1:256" customFormat="1">
      <c r="A116" s="4648"/>
      <c r="B116" s="4653"/>
      <c r="C116" s="2901">
        <v>206</v>
      </c>
      <c r="D116" s="3062" t="s">
        <v>8079</v>
      </c>
      <c r="E116" s="3064"/>
      <c r="F116" s="3064"/>
      <c r="G116" s="3064"/>
      <c r="H116" s="3068">
        <f t="shared" si="3"/>
        <v>16.109559880012664</v>
      </c>
      <c r="I116" s="3069">
        <f t="shared" si="3"/>
        <v>28.327491811896646</v>
      </c>
      <c r="J116" s="2918"/>
      <c r="K116" s="2918"/>
      <c r="L116" s="2918"/>
      <c r="M116" s="2918"/>
      <c r="N116" s="2918"/>
      <c r="O116" s="2918"/>
      <c r="P116" s="2918"/>
      <c r="Q116" s="2918"/>
      <c r="R116" s="2918"/>
      <c r="S116" s="2918"/>
      <c r="T116" s="2918"/>
      <c r="U116" s="2918"/>
      <c r="V116" s="2918"/>
      <c r="W116" s="2918"/>
      <c r="X116" s="2918"/>
      <c r="Y116" s="2918"/>
      <c r="Z116" s="2918"/>
      <c r="AA116" s="2918"/>
      <c r="AB116" s="2918"/>
      <c r="AC116" s="2918"/>
      <c r="AD116" s="2918"/>
      <c r="AE116" s="2918"/>
      <c r="AF116" s="2918"/>
      <c r="AG116" s="2918"/>
      <c r="AH116" s="2918"/>
      <c r="AI116" s="2918"/>
      <c r="AJ116" s="2918"/>
      <c r="AK116" s="2918"/>
      <c r="AL116" s="2918"/>
      <c r="AM116" s="2918"/>
      <c r="AN116" s="2918"/>
      <c r="AO116" s="2918"/>
      <c r="AP116" s="2918"/>
      <c r="AQ116" s="2918"/>
      <c r="AR116" s="2918"/>
      <c r="AS116" s="2918"/>
      <c r="AT116" s="2918"/>
      <c r="AU116" s="2918"/>
      <c r="AV116" s="2918"/>
      <c r="AW116" s="2918"/>
      <c r="AX116" s="2918"/>
      <c r="AY116" s="2918"/>
      <c r="AZ116" s="2918"/>
      <c r="BA116" s="2918"/>
      <c r="BB116" s="2918"/>
      <c r="BC116" s="2918"/>
      <c r="BD116" s="2918"/>
      <c r="BE116" s="2918"/>
      <c r="BF116" s="2918"/>
      <c r="BG116" s="2918"/>
      <c r="BH116" s="2918"/>
      <c r="BI116" s="2918"/>
      <c r="BJ116" s="2918"/>
      <c r="BK116" s="2918"/>
      <c r="BL116" s="2918"/>
      <c r="BM116" s="2918"/>
      <c r="BN116" s="2918"/>
      <c r="BO116" s="2918"/>
      <c r="BP116" s="2918"/>
      <c r="BQ116" s="2918"/>
      <c r="BR116" s="2918"/>
      <c r="BS116" s="2918"/>
      <c r="BT116" s="2918"/>
      <c r="BU116" s="2918"/>
      <c r="BV116" s="2918"/>
      <c r="BW116" s="2918"/>
      <c r="BX116" s="2918"/>
      <c r="BY116" s="2918"/>
      <c r="BZ116" s="2918"/>
      <c r="CA116" s="2918"/>
      <c r="CB116" s="2918"/>
      <c r="CC116" s="2918"/>
      <c r="CD116" s="2918"/>
      <c r="CE116" s="2918"/>
      <c r="CF116" s="2918"/>
      <c r="CG116" s="2918"/>
      <c r="CH116" s="2918"/>
      <c r="CI116" s="2918"/>
      <c r="CJ116" s="2918"/>
      <c r="CK116" s="2918"/>
      <c r="CL116" s="2918"/>
      <c r="CM116" s="2918"/>
      <c r="CN116" s="2918"/>
      <c r="CO116" s="2918"/>
      <c r="CP116" s="2918"/>
      <c r="CQ116" s="2918"/>
      <c r="CR116" s="2918"/>
      <c r="CS116" s="2918"/>
      <c r="CT116" s="2918"/>
      <c r="CU116" s="2918"/>
      <c r="CV116" s="2918"/>
      <c r="CW116" s="2918"/>
      <c r="CX116" s="2918"/>
      <c r="CY116" s="2918"/>
      <c r="CZ116" s="2918"/>
      <c r="DA116" s="2918"/>
      <c r="DB116" s="2918"/>
      <c r="DC116" s="2918"/>
      <c r="DD116" s="2918"/>
      <c r="DE116" s="2918"/>
      <c r="DF116" s="2918"/>
      <c r="DG116" s="2918"/>
      <c r="DH116" s="2918"/>
      <c r="DI116" s="2918"/>
      <c r="DJ116" s="2918"/>
      <c r="DK116" s="2918"/>
      <c r="DL116" s="2918"/>
      <c r="DM116" s="2918"/>
      <c r="DN116" s="2918"/>
      <c r="DO116" s="2918"/>
      <c r="DP116" s="2918"/>
      <c r="DQ116" s="2918"/>
      <c r="DR116" s="2918"/>
      <c r="DS116" s="2918"/>
      <c r="DT116" s="2918"/>
      <c r="DU116" s="2918"/>
      <c r="DV116" s="2918"/>
      <c r="DW116" s="2918"/>
      <c r="DX116" s="2918"/>
      <c r="DY116" s="2918"/>
      <c r="DZ116" s="2918"/>
      <c r="EA116" s="2918"/>
      <c r="EB116" s="2918"/>
      <c r="EC116" s="2918"/>
      <c r="ED116" s="2918"/>
      <c r="EE116" s="2918"/>
      <c r="EF116" s="2918"/>
      <c r="EG116" s="2918"/>
      <c r="EH116" s="2918"/>
      <c r="EI116" s="2918"/>
      <c r="EJ116" s="2918"/>
      <c r="EK116" s="2918"/>
      <c r="EL116" s="2918"/>
      <c r="EM116" s="2918"/>
      <c r="EN116" s="2918"/>
      <c r="EO116" s="2918"/>
      <c r="EP116" s="2918"/>
      <c r="EQ116" s="2918"/>
      <c r="ER116" s="2918"/>
      <c r="ES116" s="2918"/>
      <c r="ET116" s="2918"/>
      <c r="EU116" s="2918"/>
      <c r="EV116" s="2918"/>
      <c r="EW116" s="2918"/>
      <c r="EX116" s="2918"/>
      <c r="EY116" s="2918"/>
      <c r="EZ116" s="2918"/>
      <c r="FA116" s="2918"/>
      <c r="FB116" s="2918"/>
      <c r="FC116" s="2918"/>
      <c r="FD116" s="2918"/>
      <c r="FE116" s="2918"/>
      <c r="FF116" s="2918"/>
      <c r="FG116" s="2918"/>
      <c r="FH116" s="2918"/>
      <c r="FI116" s="2918"/>
      <c r="FJ116" s="2918"/>
      <c r="FK116" s="2918"/>
      <c r="FL116" s="2918"/>
      <c r="FM116" s="2918"/>
      <c r="FN116" s="2918"/>
      <c r="FO116" s="2918"/>
      <c r="FP116" s="2918"/>
      <c r="FQ116" s="2918"/>
      <c r="FR116" s="2918"/>
      <c r="FS116" s="2918"/>
      <c r="FT116" s="2918"/>
      <c r="FU116" s="2918"/>
      <c r="FV116" s="2918"/>
      <c r="FW116" s="2918"/>
      <c r="FX116" s="2918"/>
      <c r="FY116" s="2918"/>
      <c r="FZ116" s="2918"/>
      <c r="GA116" s="2918"/>
      <c r="GB116" s="2918"/>
      <c r="GC116" s="2918"/>
      <c r="GD116" s="2918"/>
      <c r="GE116" s="2918"/>
      <c r="GF116" s="2918"/>
      <c r="GG116" s="2918"/>
      <c r="GH116" s="2918"/>
      <c r="GI116" s="2918"/>
      <c r="GJ116" s="2918"/>
      <c r="GK116" s="2918"/>
      <c r="GL116" s="2918"/>
      <c r="GM116" s="2918"/>
      <c r="GN116" s="2918"/>
      <c r="GO116" s="2918"/>
      <c r="GP116" s="2918"/>
      <c r="GQ116" s="2918"/>
      <c r="GR116" s="2918"/>
      <c r="GS116" s="2918"/>
      <c r="GT116" s="2918"/>
      <c r="GU116" s="2918"/>
      <c r="GV116" s="2918"/>
      <c r="GW116" s="2918"/>
      <c r="GX116" s="2918"/>
      <c r="GY116" s="2918"/>
      <c r="GZ116" s="2918"/>
      <c r="HA116" s="2918"/>
      <c r="HB116" s="2918"/>
      <c r="HC116" s="2918"/>
      <c r="HD116" s="2918"/>
      <c r="HE116" s="2918"/>
      <c r="HF116" s="2918"/>
      <c r="HG116" s="2918"/>
      <c r="HH116" s="2918"/>
      <c r="HI116" s="2918"/>
      <c r="HJ116" s="2918"/>
      <c r="HK116" s="2918"/>
      <c r="HL116" s="2918"/>
      <c r="HM116" s="2918"/>
      <c r="HN116" s="2918"/>
      <c r="HO116" s="2918"/>
      <c r="HP116" s="2918"/>
      <c r="HQ116" s="2918"/>
      <c r="HR116" s="2918"/>
      <c r="HS116" s="2918"/>
      <c r="HT116" s="2918"/>
      <c r="HU116" s="2918"/>
      <c r="HV116" s="2918"/>
      <c r="HW116" s="2918"/>
      <c r="HX116" s="2918"/>
      <c r="HY116" s="2918"/>
      <c r="HZ116" s="2918"/>
      <c r="IA116" s="2918"/>
      <c r="IB116" s="2918"/>
      <c r="IC116" s="2918"/>
      <c r="ID116" s="2918"/>
      <c r="IE116" s="2918"/>
      <c r="IF116" s="2918"/>
      <c r="IG116" s="2918"/>
      <c r="IH116" s="2918"/>
      <c r="II116" s="2918"/>
      <c r="IJ116" s="2918"/>
      <c r="IK116" s="2918"/>
      <c r="IL116" s="2918"/>
      <c r="IM116" s="2918"/>
      <c r="IN116" s="2918"/>
      <c r="IO116" s="2918"/>
      <c r="IP116" s="2918"/>
      <c r="IQ116" s="2918"/>
      <c r="IR116" s="2918"/>
      <c r="IS116" s="2918"/>
      <c r="IT116" s="2918"/>
      <c r="IU116" s="2918"/>
      <c r="IV116" s="2918"/>
    </row>
    <row r="117" spans="1:256" customFormat="1">
      <c r="A117" s="4648"/>
      <c r="B117" s="4653"/>
      <c r="C117" s="2901">
        <v>212</v>
      </c>
      <c r="D117" s="3062" t="s">
        <v>8079</v>
      </c>
      <c r="E117" s="3064"/>
      <c r="F117" s="3064"/>
      <c r="G117" s="3064"/>
      <c r="H117" s="3068">
        <f t="shared" si="3"/>
        <v>16.567001239596557</v>
      </c>
      <c r="I117" s="3069">
        <f t="shared" si="3"/>
        <v>29.125449327724724</v>
      </c>
      <c r="J117" s="2918"/>
      <c r="K117" s="2918"/>
      <c r="L117" s="2918"/>
      <c r="M117" s="2918"/>
      <c r="N117" s="2918"/>
      <c r="O117" s="2918"/>
      <c r="P117" s="2918"/>
      <c r="Q117" s="2918"/>
      <c r="R117" s="2918"/>
      <c r="S117" s="2918"/>
      <c r="T117" s="2918"/>
      <c r="U117" s="2918"/>
      <c r="V117" s="2918"/>
      <c r="W117" s="2918"/>
      <c r="X117" s="2918"/>
      <c r="Y117" s="2918"/>
      <c r="Z117" s="2918"/>
      <c r="AA117" s="2918"/>
      <c r="AB117" s="2918"/>
      <c r="AC117" s="2918"/>
      <c r="AD117" s="2918"/>
      <c r="AE117" s="2918"/>
      <c r="AF117" s="2918"/>
      <c r="AG117" s="2918"/>
      <c r="AH117" s="2918"/>
      <c r="AI117" s="2918"/>
      <c r="AJ117" s="2918"/>
      <c r="AK117" s="2918"/>
      <c r="AL117" s="2918"/>
      <c r="AM117" s="2918"/>
      <c r="AN117" s="2918"/>
      <c r="AO117" s="2918"/>
      <c r="AP117" s="2918"/>
      <c r="AQ117" s="2918"/>
      <c r="AR117" s="2918"/>
      <c r="AS117" s="2918"/>
      <c r="AT117" s="2918"/>
      <c r="AU117" s="2918"/>
      <c r="AV117" s="2918"/>
      <c r="AW117" s="2918"/>
      <c r="AX117" s="2918"/>
      <c r="AY117" s="2918"/>
      <c r="AZ117" s="2918"/>
      <c r="BA117" s="2918"/>
      <c r="BB117" s="2918"/>
      <c r="BC117" s="2918"/>
      <c r="BD117" s="2918"/>
      <c r="BE117" s="2918"/>
      <c r="BF117" s="2918"/>
      <c r="BG117" s="2918"/>
      <c r="BH117" s="2918"/>
      <c r="BI117" s="2918"/>
      <c r="BJ117" s="2918"/>
      <c r="BK117" s="2918"/>
      <c r="BL117" s="2918"/>
      <c r="BM117" s="2918"/>
      <c r="BN117" s="2918"/>
      <c r="BO117" s="2918"/>
      <c r="BP117" s="2918"/>
      <c r="BQ117" s="2918"/>
      <c r="BR117" s="2918"/>
      <c r="BS117" s="2918"/>
      <c r="BT117" s="2918"/>
      <c r="BU117" s="2918"/>
      <c r="BV117" s="2918"/>
      <c r="BW117" s="2918"/>
      <c r="BX117" s="2918"/>
      <c r="BY117" s="2918"/>
      <c r="BZ117" s="2918"/>
      <c r="CA117" s="2918"/>
      <c r="CB117" s="2918"/>
      <c r="CC117" s="2918"/>
      <c r="CD117" s="2918"/>
      <c r="CE117" s="2918"/>
      <c r="CF117" s="2918"/>
      <c r="CG117" s="2918"/>
      <c r="CH117" s="2918"/>
      <c r="CI117" s="2918"/>
      <c r="CJ117" s="2918"/>
      <c r="CK117" s="2918"/>
      <c r="CL117" s="2918"/>
      <c r="CM117" s="2918"/>
      <c r="CN117" s="2918"/>
      <c r="CO117" s="2918"/>
      <c r="CP117" s="2918"/>
      <c r="CQ117" s="2918"/>
      <c r="CR117" s="2918"/>
      <c r="CS117" s="2918"/>
      <c r="CT117" s="2918"/>
      <c r="CU117" s="2918"/>
      <c r="CV117" s="2918"/>
      <c r="CW117" s="2918"/>
      <c r="CX117" s="2918"/>
      <c r="CY117" s="2918"/>
      <c r="CZ117" s="2918"/>
      <c r="DA117" s="2918"/>
      <c r="DB117" s="2918"/>
      <c r="DC117" s="2918"/>
      <c r="DD117" s="2918"/>
      <c r="DE117" s="2918"/>
      <c r="DF117" s="2918"/>
      <c r="DG117" s="2918"/>
      <c r="DH117" s="2918"/>
      <c r="DI117" s="2918"/>
      <c r="DJ117" s="2918"/>
      <c r="DK117" s="2918"/>
      <c r="DL117" s="2918"/>
      <c r="DM117" s="2918"/>
      <c r="DN117" s="2918"/>
      <c r="DO117" s="2918"/>
      <c r="DP117" s="2918"/>
      <c r="DQ117" s="2918"/>
      <c r="DR117" s="2918"/>
      <c r="DS117" s="2918"/>
      <c r="DT117" s="2918"/>
      <c r="DU117" s="2918"/>
      <c r="DV117" s="2918"/>
      <c r="DW117" s="2918"/>
      <c r="DX117" s="2918"/>
      <c r="DY117" s="2918"/>
      <c r="DZ117" s="2918"/>
      <c r="EA117" s="2918"/>
      <c r="EB117" s="2918"/>
      <c r="EC117" s="2918"/>
      <c r="ED117" s="2918"/>
      <c r="EE117" s="2918"/>
      <c r="EF117" s="2918"/>
      <c r="EG117" s="2918"/>
      <c r="EH117" s="2918"/>
      <c r="EI117" s="2918"/>
      <c r="EJ117" s="2918"/>
      <c r="EK117" s="2918"/>
      <c r="EL117" s="2918"/>
      <c r="EM117" s="2918"/>
      <c r="EN117" s="2918"/>
      <c r="EO117" s="2918"/>
      <c r="EP117" s="2918"/>
      <c r="EQ117" s="2918"/>
      <c r="ER117" s="2918"/>
      <c r="ES117" s="2918"/>
      <c r="ET117" s="2918"/>
      <c r="EU117" s="2918"/>
      <c r="EV117" s="2918"/>
      <c r="EW117" s="2918"/>
      <c r="EX117" s="2918"/>
      <c r="EY117" s="2918"/>
      <c r="EZ117" s="2918"/>
      <c r="FA117" s="2918"/>
      <c r="FB117" s="2918"/>
      <c r="FC117" s="2918"/>
      <c r="FD117" s="2918"/>
      <c r="FE117" s="2918"/>
      <c r="FF117" s="2918"/>
      <c r="FG117" s="2918"/>
      <c r="FH117" s="2918"/>
      <c r="FI117" s="2918"/>
      <c r="FJ117" s="2918"/>
      <c r="FK117" s="2918"/>
      <c r="FL117" s="2918"/>
      <c r="FM117" s="2918"/>
      <c r="FN117" s="2918"/>
      <c r="FO117" s="2918"/>
      <c r="FP117" s="2918"/>
      <c r="FQ117" s="2918"/>
      <c r="FR117" s="2918"/>
      <c r="FS117" s="2918"/>
      <c r="FT117" s="2918"/>
      <c r="FU117" s="2918"/>
      <c r="FV117" s="2918"/>
      <c r="FW117" s="2918"/>
      <c r="FX117" s="2918"/>
      <c r="FY117" s="2918"/>
      <c r="FZ117" s="2918"/>
      <c r="GA117" s="2918"/>
      <c r="GB117" s="2918"/>
      <c r="GC117" s="2918"/>
      <c r="GD117" s="2918"/>
      <c r="GE117" s="2918"/>
      <c r="GF117" s="2918"/>
      <c r="GG117" s="2918"/>
      <c r="GH117" s="2918"/>
      <c r="GI117" s="2918"/>
      <c r="GJ117" s="2918"/>
      <c r="GK117" s="2918"/>
      <c r="GL117" s="2918"/>
      <c r="GM117" s="2918"/>
      <c r="GN117" s="2918"/>
      <c r="GO117" s="2918"/>
      <c r="GP117" s="2918"/>
      <c r="GQ117" s="2918"/>
      <c r="GR117" s="2918"/>
      <c r="GS117" s="2918"/>
      <c r="GT117" s="2918"/>
      <c r="GU117" s="2918"/>
      <c r="GV117" s="2918"/>
      <c r="GW117" s="2918"/>
      <c r="GX117" s="2918"/>
      <c r="GY117" s="2918"/>
      <c r="GZ117" s="2918"/>
      <c r="HA117" s="2918"/>
      <c r="HB117" s="2918"/>
      <c r="HC117" s="2918"/>
      <c r="HD117" s="2918"/>
      <c r="HE117" s="2918"/>
      <c r="HF117" s="2918"/>
      <c r="HG117" s="2918"/>
      <c r="HH117" s="2918"/>
      <c r="HI117" s="2918"/>
      <c r="HJ117" s="2918"/>
      <c r="HK117" s="2918"/>
      <c r="HL117" s="2918"/>
      <c r="HM117" s="2918"/>
      <c r="HN117" s="2918"/>
      <c r="HO117" s="2918"/>
      <c r="HP117" s="2918"/>
      <c r="HQ117" s="2918"/>
      <c r="HR117" s="2918"/>
      <c r="HS117" s="2918"/>
      <c r="HT117" s="2918"/>
      <c r="HU117" s="2918"/>
      <c r="HV117" s="2918"/>
      <c r="HW117" s="2918"/>
      <c r="HX117" s="2918"/>
      <c r="HY117" s="2918"/>
      <c r="HZ117" s="2918"/>
      <c r="IA117" s="2918"/>
      <c r="IB117" s="2918"/>
      <c r="IC117" s="2918"/>
      <c r="ID117" s="2918"/>
      <c r="IE117" s="2918"/>
      <c r="IF117" s="2918"/>
      <c r="IG117" s="2918"/>
      <c r="IH117" s="2918"/>
      <c r="II117" s="2918"/>
      <c r="IJ117" s="2918"/>
      <c r="IK117" s="2918"/>
      <c r="IL117" s="2918"/>
      <c r="IM117" s="2918"/>
      <c r="IN117" s="2918"/>
      <c r="IO117" s="2918"/>
      <c r="IP117" s="2918"/>
      <c r="IQ117" s="2918"/>
      <c r="IR117" s="2918"/>
      <c r="IS117" s="2918"/>
      <c r="IT117" s="2918"/>
      <c r="IU117" s="2918"/>
      <c r="IV117" s="2918"/>
    </row>
    <row r="118" spans="1:256" customFormat="1">
      <c r="A118" s="4648"/>
      <c r="B118" s="4653"/>
      <c r="C118" s="2901">
        <v>218</v>
      </c>
      <c r="D118" s="3062" t="s">
        <v>8079</v>
      </c>
      <c r="E118" s="3064"/>
      <c r="F118" s="3064"/>
      <c r="G118" s="3064"/>
      <c r="H118" s="3068">
        <f t="shared" si="3"/>
        <v>17.024442599180446</v>
      </c>
      <c r="I118" s="3069">
        <f t="shared" si="3"/>
        <v>29.923406843552801</v>
      </c>
      <c r="J118" s="2918"/>
      <c r="K118" s="2918"/>
      <c r="L118" s="2918"/>
      <c r="M118" s="2918"/>
      <c r="N118" s="2918"/>
      <c r="O118" s="2918"/>
      <c r="P118" s="2918"/>
      <c r="Q118" s="2918"/>
      <c r="R118" s="2918"/>
      <c r="S118" s="2918"/>
      <c r="T118" s="2918"/>
      <c r="U118" s="2918"/>
      <c r="V118" s="2918"/>
      <c r="W118" s="2918"/>
      <c r="X118" s="2918"/>
      <c r="Y118" s="2918"/>
      <c r="Z118" s="2918"/>
      <c r="AA118" s="2918"/>
      <c r="AB118" s="2918"/>
      <c r="AC118" s="2918"/>
      <c r="AD118" s="2918"/>
      <c r="AE118" s="2918"/>
      <c r="AF118" s="2918"/>
      <c r="AG118" s="2918"/>
      <c r="AH118" s="2918"/>
      <c r="AI118" s="2918"/>
      <c r="AJ118" s="2918"/>
      <c r="AK118" s="2918"/>
      <c r="AL118" s="2918"/>
      <c r="AM118" s="2918"/>
      <c r="AN118" s="2918"/>
      <c r="AO118" s="2918"/>
      <c r="AP118" s="2918"/>
      <c r="AQ118" s="2918"/>
      <c r="AR118" s="2918"/>
      <c r="AS118" s="2918"/>
      <c r="AT118" s="2918"/>
      <c r="AU118" s="2918"/>
      <c r="AV118" s="2918"/>
      <c r="AW118" s="2918"/>
      <c r="AX118" s="2918"/>
      <c r="AY118" s="2918"/>
      <c r="AZ118" s="2918"/>
      <c r="BA118" s="2918"/>
      <c r="BB118" s="2918"/>
      <c r="BC118" s="2918"/>
      <c r="BD118" s="2918"/>
      <c r="BE118" s="2918"/>
      <c r="BF118" s="2918"/>
      <c r="BG118" s="2918"/>
      <c r="BH118" s="2918"/>
      <c r="BI118" s="2918"/>
      <c r="BJ118" s="2918"/>
      <c r="BK118" s="2918"/>
      <c r="BL118" s="2918"/>
      <c r="BM118" s="2918"/>
      <c r="BN118" s="2918"/>
      <c r="BO118" s="2918"/>
      <c r="BP118" s="2918"/>
      <c r="BQ118" s="2918"/>
      <c r="BR118" s="2918"/>
      <c r="BS118" s="2918"/>
      <c r="BT118" s="2918"/>
      <c r="BU118" s="2918"/>
      <c r="BV118" s="2918"/>
      <c r="BW118" s="2918"/>
      <c r="BX118" s="2918"/>
      <c r="BY118" s="2918"/>
      <c r="BZ118" s="2918"/>
      <c r="CA118" s="2918"/>
      <c r="CB118" s="2918"/>
      <c r="CC118" s="2918"/>
      <c r="CD118" s="2918"/>
      <c r="CE118" s="2918"/>
      <c r="CF118" s="2918"/>
      <c r="CG118" s="2918"/>
      <c r="CH118" s="2918"/>
      <c r="CI118" s="2918"/>
      <c r="CJ118" s="2918"/>
      <c r="CK118" s="2918"/>
      <c r="CL118" s="2918"/>
      <c r="CM118" s="2918"/>
      <c r="CN118" s="2918"/>
      <c r="CO118" s="2918"/>
      <c r="CP118" s="2918"/>
      <c r="CQ118" s="2918"/>
      <c r="CR118" s="2918"/>
      <c r="CS118" s="2918"/>
      <c r="CT118" s="2918"/>
      <c r="CU118" s="2918"/>
      <c r="CV118" s="2918"/>
      <c r="CW118" s="2918"/>
      <c r="CX118" s="2918"/>
      <c r="CY118" s="2918"/>
      <c r="CZ118" s="2918"/>
      <c r="DA118" s="2918"/>
      <c r="DB118" s="2918"/>
      <c r="DC118" s="2918"/>
      <c r="DD118" s="2918"/>
      <c r="DE118" s="2918"/>
      <c r="DF118" s="2918"/>
      <c r="DG118" s="2918"/>
      <c r="DH118" s="2918"/>
      <c r="DI118" s="2918"/>
      <c r="DJ118" s="2918"/>
      <c r="DK118" s="2918"/>
      <c r="DL118" s="2918"/>
      <c r="DM118" s="2918"/>
      <c r="DN118" s="2918"/>
      <c r="DO118" s="2918"/>
      <c r="DP118" s="2918"/>
      <c r="DQ118" s="2918"/>
      <c r="DR118" s="2918"/>
      <c r="DS118" s="2918"/>
      <c r="DT118" s="2918"/>
      <c r="DU118" s="2918"/>
      <c r="DV118" s="2918"/>
      <c r="DW118" s="2918"/>
      <c r="DX118" s="2918"/>
      <c r="DY118" s="2918"/>
      <c r="DZ118" s="2918"/>
      <c r="EA118" s="2918"/>
      <c r="EB118" s="2918"/>
      <c r="EC118" s="2918"/>
      <c r="ED118" s="2918"/>
      <c r="EE118" s="2918"/>
      <c r="EF118" s="2918"/>
      <c r="EG118" s="2918"/>
      <c r="EH118" s="2918"/>
      <c r="EI118" s="2918"/>
      <c r="EJ118" s="2918"/>
      <c r="EK118" s="2918"/>
      <c r="EL118" s="2918"/>
      <c r="EM118" s="2918"/>
      <c r="EN118" s="2918"/>
      <c r="EO118" s="2918"/>
      <c r="EP118" s="2918"/>
      <c r="EQ118" s="2918"/>
      <c r="ER118" s="2918"/>
      <c r="ES118" s="2918"/>
      <c r="ET118" s="2918"/>
      <c r="EU118" s="2918"/>
      <c r="EV118" s="2918"/>
      <c r="EW118" s="2918"/>
      <c r="EX118" s="2918"/>
      <c r="EY118" s="2918"/>
      <c r="EZ118" s="2918"/>
      <c r="FA118" s="2918"/>
      <c r="FB118" s="2918"/>
      <c r="FC118" s="2918"/>
      <c r="FD118" s="2918"/>
      <c r="FE118" s="2918"/>
      <c r="FF118" s="2918"/>
      <c r="FG118" s="2918"/>
      <c r="FH118" s="2918"/>
      <c r="FI118" s="2918"/>
      <c r="FJ118" s="2918"/>
      <c r="FK118" s="2918"/>
      <c r="FL118" s="2918"/>
      <c r="FM118" s="2918"/>
      <c r="FN118" s="2918"/>
      <c r="FO118" s="2918"/>
      <c r="FP118" s="2918"/>
      <c r="FQ118" s="2918"/>
      <c r="FR118" s="2918"/>
      <c r="FS118" s="2918"/>
      <c r="FT118" s="2918"/>
      <c r="FU118" s="2918"/>
      <c r="FV118" s="2918"/>
      <c r="FW118" s="2918"/>
      <c r="FX118" s="2918"/>
      <c r="FY118" s="2918"/>
      <c r="FZ118" s="2918"/>
      <c r="GA118" s="2918"/>
      <c r="GB118" s="2918"/>
      <c r="GC118" s="2918"/>
      <c r="GD118" s="2918"/>
      <c r="GE118" s="2918"/>
      <c r="GF118" s="2918"/>
      <c r="GG118" s="2918"/>
      <c r="GH118" s="2918"/>
      <c r="GI118" s="2918"/>
      <c r="GJ118" s="2918"/>
      <c r="GK118" s="2918"/>
      <c r="GL118" s="2918"/>
      <c r="GM118" s="2918"/>
      <c r="GN118" s="2918"/>
      <c r="GO118" s="2918"/>
      <c r="GP118" s="2918"/>
      <c r="GQ118" s="2918"/>
      <c r="GR118" s="2918"/>
      <c r="GS118" s="2918"/>
      <c r="GT118" s="2918"/>
      <c r="GU118" s="2918"/>
      <c r="GV118" s="2918"/>
      <c r="GW118" s="2918"/>
      <c r="GX118" s="2918"/>
      <c r="GY118" s="2918"/>
      <c r="GZ118" s="2918"/>
      <c r="HA118" s="2918"/>
      <c r="HB118" s="2918"/>
      <c r="HC118" s="2918"/>
      <c r="HD118" s="2918"/>
      <c r="HE118" s="2918"/>
      <c r="HF118" s="2918"/>
      <c r="HG118" s="2918"/>
      <c r="HH118" s="2918"/>
      <c r="HI118" s="2918"/>
      <c r="HJ118" s="2918"/>
      <c r="HK118" s="2918"/>
      <c r="HL118" s="2918"/>
      <c r="HM118" s="2918"/>
      <c r="HN118" s="2918"/>
      <c r="HO118" s="2918"/>
      <c r="HP118" s="2918"/>
      <c r="HQ118" s="2918"/>
      <c r="HR118" s="2918"/>
      <c r="HS118" s="2918"/>
      <c r="HT118" s="2918"/>
      <c r="HU118" s="2918"/>
      <c r="HV118" s="2918"/>
      <c r="HW118" s="2918"/>
      <c r="HX118" s="2918"/>
      <c r="HY118" s="2918"/>
      <c r="HZ118" s="2918"/>
      <c r="IA118" s="2918"/>
      <c r="IB118" s="2918"/>
      <c r="IC118" s="2918"/>
      <c r="ID118" s="2918"/>
      <c r="IE118" s="2918"/>
      <c r="IF118" s="2918"/>
      <c r="IG118" s="2918"/>
      <c r="IH118" s="2918"/>
      <c r="II118" s="2918"/>
      <c r="IJ118" s="2918"/>
      <c r="IK118" s="2918"/>
      <c r="IL118" s="2918"/>
      <c r="IM118" s="2918"/>
      <c r="IN118" s="2918"/>
      <c r="IO118" s="2918"/>
      <c r="IP118" s="2918"/>
      <c r="IQ118" s="2918"/>
      <c r="IR118" s="2918"/>
      <c r="IS118" s="2918"/>
      <c r="IT118" s="2918"/>
      <c r="IU118" s="2918"/>
      <c r="IV118" s="2918"/>
    </row>
    <row r="119" spans="1:256" customFormat="1">
      <c r="A119" s="4648"/>
      <c r="B119" s="4653"/>
      <c r="C119" s="2901">
        <v>224</v>
      </c>
      <c r="D119" s="3062" t="s">
        <v>8079</v>
      </c>
      <c r="E119" s="3064"/>
      <c r="F119" s="3064"/>
      <c r="G119" s="3064"/>
      <c r="H119" s="3068">
        <f t="shared" si="3"/>
        <v>17.481883958764339</v>
      </c>
      <c r="I119" s="3069">
        <f t="shared" si="3"/>
        <v>30.721364359380875</v>
      </c>
      <c r="J119" s="2918"/>
      <c r="K119" s="2918"/>
      <c r="L119" s="2918"/>
      <c r="M119" s="2918"/>
      <c r="N119" s="2918"/>
      <c r="O119" s="2918"/>
      <c r="P119" s="2918"/>
      <c r="Q119" s="2918"/>
      <c r="R119" s="2918"/>
      <c r="S119" s="2918"/>
      <c r="T119" s="2918"/>
      <c r="U119" s="2918"/>
      <c r="V119" s="2918"/>
      <c r="W119" s="2918"/>
      <c r="X119" s="2918"/>
      <c r="Y119" s="2918"/>
      <c r="Z119" s="2918"/>
      <c r="AA119" s="2918"/>
      <c r="AB119" s="2918"/>
      <c r="AC119" s="2918"/>
      <c r="AD119" s="2918"/>
      <c r="AE119" s="2918"/>
      <c r="AF119" s="2918"/>
      <c r="AG119" s="2918"/>
      <c r="AH119" s="2918"/>
      <c r="AI119" s="2918"/>
      <c r="AJ119" s="2918"/>
      <c r="AK119" s="2918"/>
      <c r="AL119" s="2918"/>
      <c r="AM119" s="2918"/>
      <c r="AN119" s="2918"/>
      <c r="AO119" s="2918"/>
      <c r="AP119" s="2918"/>
      <c r="AQ119" s="2918"/>
      <c r="AR119" s="2918"/>
      <c r="AS119" s="2918"/>
      <c r="AT119" s="2918"/>
      <c r="AU119" s="2918"/>
      <c r="AV119" s="2918"/>
      <c r="AW119" s="2918"/>
      <c r="AX119" s="2918"/>
      <c r="AY119" s="2918"/>
      <c r="AZ119" s="2918"/>
      <c r="BA119" s="2918"/>
      <c r="BB119" s="2918"/>
      <c r="BC119" s="2918"/>
      <c r="BD119" s="2918"/>
      <c r="BE119" s="2918"/>
      <c r="BF119" s="2918"/>
      <c r="BG119" s="2918"/>
      <c r="BH119" s="2918"/>
      <c r="BI119" s="2918"/>
      <c r="BJ119" s="2918"/>
      <c r="BK119" s="2918"/>
      <c r="BL119" s="2918"/>
      <c r="BM119" s="2918"/>
      <c r="BN119" s="2918"/>
      <c r="BO119" s="2918"/>
      <c r="BP119" s="2918"/>
      <c r="BQ119" s="2918"/>
      <c r="BR119" s="2918"/>
      <c r="BS119" s="2918"/>
      <c r="BT119" s="2918"/>
      <c r="BU119" s="2918"/>
      <c r="BV119" s="2918"/>
      <c r="BW119" s="2918"/>
      <c r="BX119" s="2918"/>
      <c r="BY119" s="2918"/>
      <c r="BZ119" s="2918"/>
      <c r="CA119" s="2918"/>
      <c r="CB119" s="2918"/>
      <c r="CC119" s="2918"/>
      <c r="CD119" s="2918"/>
      <c r="CE119" s="2918"/>
      <c r="CF119" s="2918"/>
      <c r="CG119" s="2918"/>
      <c r="CH119" s="2918"/>
      <c r="CI119" s="2918"/>
      <c r="CJ119" s="2918"/>
      <c r="CK119" s="2918"/>
      <c r="CL119" s="2918"/>
      <c r="CM119" s="2918"/>
      <c r="CN119" s="2918"/>
      <c r="CO119" s="2918"/>
      <c r="CP119" s="2918"/>
      <c r="CQ119" s="2918"/>
      <c r="CR119" s="2918"/>
      <c r="CS119" s="2918"/>
      <c r="CT119" s="2918"/>
      <c r="CU119" s="2918"/>
      <c r="CV119" s="2918"/>
      <c r="CW119" s="2918"/>
      <c r="CX119" s="2918"/>
      <c r="CY119" s="2918"/>
      <c r="CZ119" s="2918"/>
      <c r="DA119" s="2918"/>
      <c r="DB119" s="2918"/>
      <c r="DC119" s="2918"/>
      <c r="DD119" s="2918"/>
      <c r="DE119" s="2918"/>
      <c r="DF119" s="2918"/>
      <c r="DG119" s="2918"/>
      <c r="DH119" s="2918"/>
      <c r="DI119" s="2918"/>
      <c r="DJ119" s="2918"/>
      <c r="DK119" s="2918"/>
      <c r="DL119" s="2918"/>
      <c r="DM119" s="2918"/>
      <c r="DN119" s="2918"/>
      <c r="DO119" s="2918"/>
      <c r="DP119" s="2918"/>
      <c r="DQ119" s="2918"/>
      <c r="DR119" s="2918"/>
      <c r="DS119" s="2918"/>
      <c r="DT119" s="2918"/>
      <c r="DU119" s="2918"/>
      <c r="DV119" s="2918"/>
      <c r="DW119" s="2918"/>
      <c r="DX119" s="2918"/>
      <c r="DY119" s="2918"/>
      <c r="DZ119" s="2918"/>
      <c r="EA119" s="2918"/>
      <c r="EB119" s="2918"/>
      <c r="EC119" s="2918"/>
      <c r="ED119" s="2918"/>
      <c r="EE119" s="2918"/>
      <c r="EF119" s="2918"/>
      <c r="EG119" s="2918"/>
      <c r="EH119" s="2918"/>
      <c r="EI119" s="2918"/>
      <c r="EJ119" s="2918"/>
      <c r="EK119" s="2918"/>
      <c r="EL119" s="2918"/>
      <c r="EM119" s="2918"/>
      <c r="EN119" s="2918"/>
      <c r="EO119" s="2918"/>
      <c r="EP119" s="2918"/>
      <c r="EQ119" s="2918"/>
      <c r="ER119" s="2918"/>
      <c r="ES119" s="2918"/>
      <c r="ET119" s="2918"/>
      <c r="EU119" s="2918"/>
      <c r="EV119" s="2918"/>
      <c r="EW119" s="2918"/>
      <c r="EX119" s="2918"/>
      <c r="EY119" s="2918"/>
      <c r="EZ119" s="2918"/>
      <c r="FA119" s="2918"/>
      <c r="FB119" s="2918"/>
      <c r="FC119" s="2918"/>
      <c r="FD119" s="2918"/>
      <c r="FE119" s="2918"/>
      <c r="FF119" s="2918"/>
      <c r="FG119" s="2918"/>
      <c r="FH119" s="2918"/>
      <c r="FI119" s="2918"/>
      <c r="FJ119" s="2918"/>
      <c r="FK119" s="2918"/>
      <c r="FL119" s="2918"/>
      <c r="FM119" s="2918"/>
      <c r="FN119" s="2918"/>
      <c r="FO119" s="2918"/>
      <c r="FP119" s="2918"/>
      <c r="FQ119" s="2918"/>
      <c r="FR119" s="2918"/>
      <c r="FS119" s="2918"/>
      <c r="FT119" s="2918"/>
      <c r="FU119" s="2918"/>
      <c r="FV119" s="2918"/>
      <c r="FW119" s="2918"/>
      <c r="FX119" s="2918"/>
      <c r="FY119" s="2918"/>
      <c r="FZ119" s="2918"/>
      <c r="GA119" s="2918"/>
      <c r="GB119" s="2918"/>
      <c r="GC119" s="2918"/>
      <c r="GD119" s="2918"/>
      <c r="GE119" s="2918"/>
      <c r="GF119" s="2918"/>
      <c r="GG119" s="2918"/>
      <c r="GH119" s="2918"/>
      <c r="GI119" s="2918"/>
      <c r="GJ119" s="2918"/>
      <c r="GK119" s="2918"/>
      <c r="GL119" s="2918"/>
      <c r="GM119" s="2918"/>
      <c r="GN119" s="2918"/>
      <c r="GO119" s="2918"/>
      <c r="GP119" s="2918"/>
      <c r="GQ119" s="2918"/>
      <c r="GR119" s="2918"/>
      <c r="GS119" s="2918"/>
      <c r="GT119" s="2918"/>
      <c r="GU119" s="2918"/>
      <c r="GV119" s="2918"/>
      <c r="GW119" s="2918"/>
      <c r="GX119" s="2918"/>
      <c r="GY119" s="2918"/>
      <c r="GZ119" s="2918"/>
      <c r="HA119" s="2918"/>
      <c r="HB119" s="2918"/>
      <c r="HC119" s="2918"/>
      <c r="HD119" s="2918"/>
      <c r="HE119" s="2918"/>
      <c r="HF119" s="2918"/>
      <c r="HG119" s="2918"/>
      <c r="HH119" s="2918"/>
      <c r="HI119" s="2918"/>
      <c r="HJ119" s="2918"/>
      <c r="HK119" s="2918"/>
      <c r="HL119" s="2918"/>
      <c r="HM119" s="2918"/>
      <c r="HN119" s="2918"/>
      <c r="HO119" s="2918"/>
      <c r="HP119" s="2918"/>
      <c r="HQ119" s="2918"/>
      <c r="HR119" s="2918"/>
      <c r="HS119" s="2918"/>
      <c r="HT119" s="2918"/>
      <c r="HU119" s="2918"/>
      <c r="HV119" s="2918"/>
      <c r="HW119" s="2918"/>
      <c r="HX119" s="2918"/>
      <c r="HY119" s="2918"/>
      <c r="HZ119" s="2918"/>
      <c r="IA119" s="2918"/>
      <c r="IB119" s="2918"/>
      <c r="IC119" s="2918"/>
      <c r="ID119" s="2918"/>
      <c r="IE119" s="2918"/>
      <c r="IF119" s="2918"/>
      <c r="IG119" s="2918"/>
      <c r="IH119" s="2918"/>
      <c r="II119" s="2918"/>
      <c r="IJ119" s="2918"/>
      <c r="IK119" s="2918"/>
      <c r="IL119" s="2918"/>
      <c r="IM119" s="2918"/>
      <c r="IN119" s="2918"/>
      <c r="IO119" s="2918"/>
      <c r="IP119" s="2918"/>
      <c r="IQ119" s="2918"/>
      <c r="IR119" s="2918"/>
      <c r="IS119" s="2918"/>
      <c r="IT119" s="2918"/>
      <c r="IU119" s="2918"/>
      <c r="IV119" s="2918"/>
    </row>
    <row r="120" spans="1:256" customFormat="1">
      <c r="A120" s="4648"/>
      <c r="B120" s="4653"/>
      <c r="C120" s="2901">
        <v>230</v>
      </c>
      <c r="D120" s="3062" t="s">
        <v>8079</v>
      </c>
      <c r="E120" s="3064"/>
      <c r="F120" s="3064"/>
      <c r="G120" s="3064"/>
      <c r="H120" s="3068">
        <f t="shared" si="3"/>
        <v>17.939325318348228</v>
      </c>
      <c r="I120" s="3069">
        <f t="shared" si="3"/>
        <v>31.519321875208945</v>
      </c>
      <c r="J120" s="2918"/>
      <c r="K120" s="2918"/>
      <c r="L120" s="2918"/>
      <c r="M120" s="2918"/>
      <c r="N120" s="2918"/>
      <c r="O120" s="2918"/>
      <c r="P120" s="2918"/>
      <c r="Q120" s="2918"/>
      <c r="R120" s="2918"/>
      <c r="S120" s="2918"/>
      <c r="T120" s="2918"/>
      <c r="U120" s="2918"/>
      <c r="V120" s="2918"/>
      <c r="W120" s="2918"/>
      <c r="X120" s="2918"/>
      <c r="Y120" s="2918"/>
      <c r="Z120" s="2918"/>
      <c r="AA120" s="2918"/>
      <c r="AB120" s="2918"/>
      <c r="AC120" s="2918"/>
      <c r="AD120" s="2918"/>
      <c r="AE120" s="2918"/>
      <c r="AF120" s="2918"/>
      <c r="AG120" s="2918"/>
      <c r="AH120" s="2918"/>
      <c r="AI120" s="2918"/>
      <c r="AJ120" s="2918"/>
      <c r="AK120" s="2918"/>
      <c r="AL120" s="2918"/>
      <c r="AM120" s="2918"/>
      <c r="AN120" s="2918"/>
      <c r="AO120" s="2918"/>
      <c r="AP120" s="2918"/>
      <c r="AQ120" s="2918"/>
      <c r="AR120" s="2918"/>
      <c r="AS120" s="2918"/>
      <c r="AT120" s="2918"/>
      <c r="AU120" s="2918"/>
      <c r="AV120" s="2918"/>
      <c r="AW120" s="2918"/>
      <c r="AX120" s="2918"/>
      <c r="AY120" s="2918"/>
      <c r="AZ120" s="2918"/>
      <c r="BA120" s="2918"/>
      <c r="BB120" s="2918"/>
      <c r="BC120" s="2918"/>
      <c r="BD120" s="2918"/>
      <c r="BE120" s="2918"/>
      <c r="BF120" s="2918"/>
      <c r="BG120" s="2918"/>
      <c r="BH120" s="2918"/>
      <c r="BI120" s="2918"/>
      <c r="BJ120" s="2918"/>
      <c r="BK120" s="2918"/>
      <c r="BL120" s="2918"/>
      <c r="BM120" s="2918"/>
      <c r="BN120" s="2918"/>
      <c r="BO120" s="2918"/>
      <c r="BP120" s="2918"/>
      <c r="BQ120" s="2918"/>
      <c r="BR120" s="2918"/>
      <c r="BS120" s="2918"/>
      <c r="BT120" s="2918"/>
      <c r="BU120" s="2918"/>
      <c r="BV120" s="2918"/>
      <c r="BW120" s="2918"/>
      <c r="BX120" s="2918"/>
      <c r="BY120" s="2918"/>
      <c r="BZ120" s="2918"/>
      <c r="CA120" s="2918"/>
      <c r="CB120" s="2918"/>
      <c r="CC120" s="2918"/>
      <c r="CD120" s="2918"/>
      <c r="CE120" s="2918"/>
      <c r="CF120" s="2918"/>
      <c r="CG120" s="2918"/>
      <c r="CH120" s="2918"/>
      <c r="CI120" s="2918"/>
      <c r="CJ120" s="2918"/>
      <c r="CK120" s="2918"/>
      <c r="CL120" s="2918"/>
      <c r="CM120" s="2918"/>
      <c r="CN120" s="2918"/>
      <c r="CO120" s="2918"/>
      <c r="CP120" s="2918"/>
      <c r="CQ120" s="2918"/>
      <c r="CR120" s="2918"/>
      <c r="CS120" s="2918"/>
      <c r="CT120" s="2918"/>
      <c r="CU120" s="2918"/>
      <c r="CV120" s="2918"/>
      <c r="CW120" s="2918"/>
      <c r="CX120" s="2918"/>
      <c r="CY120" s="2918"/>
      <c r="CZ120" s="2918"/>
      <c r="DA120" s="2918"/>
      <c r="DB120" s="2918"/>
      <c r="DC120" s="2918"/>
      <c r="DD120" s="2918"/>
      <c r="DE120" s="2918"/>
      <c r="DF120" s="2918"/>
      <c r="DG120" s="2918"/>
      <c r="DH120" s="2918"/>
      <c r="DI120" s="2918"/>
      <c r="DJ120" s="2918"/>
      <c r="DK120" s="2918"/>
      <c r="DL120" s="2918"/>
      <c r="DM120" s="2918"/>
      <c r="DN120" s="2918"/>
      <c r="DO120" s="2918"/>
      <c r="DP120" s="2918"/>
      <c r="DQ120" s="2918"/>
      <c r="DR120" s="2918"/>
      <c r="DS120" s="2918"/>
      <c r="DT120" s="2918"/>
      <c r="DU120" s="2918"/>
      <c r="DV120" s="2918"/>
      <c r="DW120" s="2918"/>
      <c r="DX120" s="2918"/>
      <c r="DY120" s="2918"/>
      <c r="DZ120" s="2918"/>
      <c r="EA120" s="2918"/>
      <c r="EB120" s="2918"/>
      <c r="EC120" s="2918"/>
      <c r="ED120" s="2918"/>
      <c r="EE120" s="2918"/>
      <c r="EF120" s="2918"/>
      <c r="EG120" s="2918"/>
      <c r="EH120" s="2918"/>
      <c r="EI120" s="2918"/>
      <c r="EJ120" s="2918"/>
      <c r="EK120" s="2918"/>
      <c r="EL120" s="2918"/>
      <c r="EM120" s="2918"/>
      <c r="EN120" s="2918"/>
      <c r="EO120" s="2918"/>
      <c r="EP120" s="2918"/>
      <c r="EQ120" s="2918"/>
      <c r="ER120" s="2918"/>
      <c r="ES120" s="2918"/>
      <c r="ET120" s="2918"/>
      <c r="EU120" s="2918"/>
      <c r="EV120" s="2918"/>
      <c r="EW120" s="2918"/>
      <c r="EX120" s="2918"/>
      <c r="EY120" s="2918"/>
      <c r="EZ120" s="2918"/>
      <c r="FA120" s="2918"/>
      <c r="FB120" s="2918"/>
      <c r="FC120" s="2918"/>
      <c r="FD120" s="2918"/>
      <c r="FE120" s="2918"/>
      <c r="FF120" s="2918"/>
      <c r="FG120" s="2918"/>
      <c r="FH120" s="2918"/>
      <c r="FI120" s="2918"/>
      <c r="FJ120" s="2918"/>
      <c r="FK120" s="2918"/>
      <c r="FL120" s="2918"/>
      <c r="FM120" s="2918"/>
      <c r="FN120" s="2918"/>
      <c r="FO120" s="2918"/>
      <c r="FP120" s="2918"/>
      <c r="FQ120" s="2918"/>
      <c r="FR120" s="2918"/>
      <c r="FS120" s="2918"/>
      <c r="FT120" s="2918"/>
      <c r="FU120" s="2918"/>
      <c r="FV120" s="2918"/>
      <c r="FW120" s="2918"/>
      <c r="FX120" s="2918"/>
      <c r="FY120" s="2918"/>
      <c r="FZ120" s="2918"/>
      <c r="GA120" s="2918"/>
      <c r="GB120" s="2918"/>
      <c r="GC120" s="2918"/>
      <c r="GD120" s="2918"/>
      <c r="GE120" s="2918"/>
      <c r="GF120" s="2918"/>
      <c r="GG120" s="2918"/>
      <c r="GH120" s="2918"/>
      <c r="GI120" s="2918"/>
      <c r="GJ120" s="2918"/>
      <c r="GK120" s="2918"/>
      <c r="GL120" s="2918"/>
      <c r="GM120" s="2918"/>
      <c r="GN120" s="2918"/>
      <c r="GO120" s="2918"/>
      <c r="GP120" s="2918"/>
      <c r="GQ120" s="2918"/>
      <c r="GR120" s="2918"/>
      <c r="GS120" s="2918"/>
      <c r="GT120" s="2918"/>
      <c r="GU120" s="2918"/>
      <c r="GV120" s="2918"/>
      <c r="GW120" s="2918"/>
      <c r="GX120" s="2918"/>
      <c r="GY120" s="2918"/>
      <c r="GZ120" s="2918"/>
      <c r="HA120" s="2918"/>
      <c r="HB120" s="2918"/>
      <c r="HC120" s="2918"/>
      <c r="HD120" s="2918"/>
      <c r="HE120" s="2918"/>
      <c r="HF120" s="2918"/>
      <c r="HG120" s="2918"/>
      <c r="HH120" s="2918"/>
      <c r="HI120" s="2918"/>
      <c r="HJ120" s="2918"/>
      <c r="HK120" s="2918"/>
      <c r="HL120" s="2918"/>
      <c r="HM120" s="2918"/>
      <c r="HN120" s="2918"/>
      <c r="HO120" s="2918"/>
      <c r="HP120" s="2918"/>
      <c r="HQ120" s="2918"/>
      <c r="HR120" s="2918"/>
      <c r="HS120" s="2918"/>
      <c r="HT120" s="2918"/>
      <c r="HU120" s="2918"/>
      <c r="HV120" s="2918"/>
      <c r="HW120" s="2918"/>
      <c r="HX120" s="2918"/>
      <c r="HY120" s="2918"/>
      <c r="HZ120" s="2918"/>
      <c r="IA120" s="2918"/>
      <c r="IB120" s="2918"/>
      <c r="IC120" s="2918"/>
      <c r="ID120" s="2918"/>
      <c r="IE120" s="2918"/>
      <c r="IF120" s="2918"/>
      <c r="IG120" s="2918"/>
      <c r="IH120" s="2918"/>
      <c r="II120" s="2918"/>
      <c r="IJ120" s="2918"/>
      <c r="IK120" s="2918"/>
      <c r="IL120" s="2918"/>
      <c r="IM120" s="2918"/>
      <c r="IN120" s="2918"/>
      <c r="IO120" s="2918"/>
      <c r="IP120" s="2918"/>
      <c r="IQ120" s="2918"/>
      <c r="IR120" s="2918"/>
      <c r="IS120" s="2918"/>
      <c r="IT120" s="2918"/>
      <c r="IU120" s="2918"/>
      <c r="IV120" s="2918"/>
    </row>
    <row r="121" spans="1:256" customFormat="1">
      <c r="A121" s="4648"/>
      <c r="B121" s="4653"/>
      <c r="C121" s="2901">
        <v>236</v>
      </c>
      <c r="D121" s="3062" t="s">
        <v>8079</v>
      </c>
      <c r="E121" s="3064"/>
      <c r="F121" s="3064"/>
      <c r="G121" s="3064"/>
      <c r="H121" s="3068">
        <f t="shared" si="3"/>
        <v>18.396766677932117</v>
      </c>
      <c r="I121" s="3069">
        <f t="shared" si="3"/>
        <v>32.317279391037019</v>
      </c>
      <c r="J121" s="2918"/>
      <c r="K121" s="2918"/>
      <c r="L121" s="2918"/>
      <c r="M121" s="2918"/>
      <c r="N121" s="2918"/>
      <c r="O121" s="2918"/>
      <c r="P121" s="2918"/>
      <c r="Q121" s="2918"/>
      <c r="R121" s="2918"/>
      <c r="S121" s="2918"/>
      <c r="T121" s="2918"/>
      <c r="U121" s="2918"/>
      <c r="V121" s="2918"/>
      <c r="W121" s="2918"/>
      <c r="X121" s="2918"/>
      <c r="Y121" s="2918"/>
      <c r="Z121" s="2918"/>
      <c r="AA121" s="2918"/>
      <c r="AB121" s="2918"/>
      <c r="AC121" s="2918"/>
      <c r="AD121" s="2918"/>
      <c r="AE121" s="2918"/>
      <c r="AF121" s="2918"/>
      <c r="AG121" s="2918"/>
      <c r="AH121" s="2918"/>
      <c r="AI121" s="2918"/>
      <c r="AJ121" s="2918"/>
      <c r="AK121" s="2918"/>
      <c r="AL121" s="2918"/>
      <c r="AM121" s="2918"/>
      <c r="AN121" s="2918"/>
      <c r="AO121" s="2918"/>
      <c r="AP121" s="2918"/>
      <c r="AQ121" s="2918"/>
      <c r="AR121" s="2918"/>
      <c r="AS121" s="2918"/>
      <c r="AT121" s="2918"/>
      <c r="AU121" s="2918"/>
      <c r="AV121" s="2918"/>
      <c r="AW121" s="2918"/>
      <c r="AX121" s="2918"/>
      <c r="AY121" s="2918"/>
      <c r="AZ121" s="2918"/>
      <c r="BA121" s="2918"/>
      <c r="BB121" s="2918"/>
      <c r="BC121" s="2918"/>
      <c r="BD121" s="2918"/>
      <c r="BE121" s="2918"/>
      <c r="BF121" s="2918"/>
      <c r="BG121" s="2918"/>
      <c r="BH121" s="2918"/>
      <c r="BI121" s="2918"/>
      <c r="BJ121" s="2918"/>
      <c r="BK121" s="2918"/>
      <c r="BL121" s="2918"/>
      <c r="BM121" s="2918"/>
      <c r="BN121" s="2918"/>
      <c r="BO121" s="2918"/>
      <c r="BP121" s="2918"/>
      <c r="BQ121" s="2918"/>
      <c r="BR121" s="2918"/>
      <c r="BS121" s="2918"/>
      <c r="BT121" s="2918"/>
      <c r="BU121" s="2918"/>
      <c r="BV121" s="2918"/>
      <c r="BW121" s="2918"/>
      <c r="BX121" s="2918"/>
      <c r="BY121" s="2918"/>
      <c r="BZ121" s="2918"/>
      <c r="CA121" s="2918"/>
      <c r="CB121" s="2918"/>
      <c r="CC121" s="2918"/>
      <c r="CD121" s="2918"/>
      <c r="CE121" s="2918"/>
      <c r="CF121" s="2918"/>
      <c r="CG121" s="2918"/>
      <c r="CH121" s="2918"/>
      <c r="CI121" s="2918"/>
      <c r="CJ121" s="2918"/>
      <c r="CK121" s="2918"/>
      <c r="CL121" s="2918"/>
      <c r="CM121" s="2918"/>
      <c r="CN121" s="2918"/>
      <c r="CO121" s="2918"/>
      <c r="CP121" s="2918"/>
      <c r="CQ121" s="2918"/>
      <c r="CR121" s="2918"/>
      <c r="CS121" s="2918"/>
      <c r="CT121" s="2918"/>
      <c r="CU121" s="2918"/>
      <c r="CV121" s="2918"/>
      <c r="CW121" s="2918"/>
      <c r="CX121" s="2918"/>
      <c r="CY121" s="2918"/>
      <c r="CZ121" s="2918"/>
      <c r="DA121" s="2918"/>
      <c r="DB121" s="2918"/>
      <c r="DC121" s="2918"/>
      <c r="DD121" s="2918"/>
      <c r="DE121" s="2918"/>
      <c r="DF121" s="2918"/>
      <c r="DG121" s="2918"/>
      <c r="DH121" s="2918"/>
      <c r="DI121" s="2918"/>
      <c r="DJ121" s="2918"/>
      <c r="DK121" s="2918"/>
      <c r="DL121" s="2918"/>
      <c r="DM121" s="2918"/>
      <c r="DN121" s="2918"/>
      <c r="DO121" s="2918"/>
      <c r="DP121" s="2918"/>
      <c r="DQ121" s="2918"/>
      <c r="DR121" s="2918"/>
      <c r="DS121" s="2918"/>
      <c r="DT121" s="2918"/>
      <c r="DU121" s="2918"/>
      <c r="DV121" s="2918"/>
      <c r="DW121" s="2918"/>
      <c r="DX121" s="2918"/>
      <c r="DY121" s="2918"/>
      <c r="DZ121" s="2918"/>
      <c r="EA121" s="2918"/>
      <c r="EB121" s="2918"/>
      <c r="EC121" s="2918"/>
      <c r="ED121" s="2918"/>
      <c r="EE121" s="2918"/>
      <c r="EF121" s="2918"/>
      <c r="EG121" s="2918"/>
      <c r="EH121" s="2918"/>
      <c r="EI121" s="2918"/>
      <c r="EJ121" s="2918"/>
      <c r="EK121" s="2918"/>
      <c r="EL121" s="2918"/>
      <c r="EM121" s="2918"/>
      <c r="EN121" s="2918"/>
      <c r="EO121" s="2918"/>
      <c r="EP121" s="2918"/>
      <c r="EQ121" s="2918"/>
      <c r="ER121" s="2918"/>
      <c r="ES121" s="2918"/>
      <c r="ET121" s="2918"/>
      <c r="EU121" s="2918"/>
      <c r="EV121" s="2918"/>
      <c r="EW121" s="2918"/>
      <c r="EX121" s="2918"/>
      <c r="EY121" s="2918"/>
      <c r="EZ121" s="2918"/>
      <c r="FA121" s="2918"/>
      <c r="FB121" s="2918"/>
      <c r="FC121" s="2918"/>
      <c r="FD121" s="2918"/>
      <c r="FE121" s="2918"/>
      <c r="FF121" s="2918"/>
      <c r="FG121" s="2918"/>
      <c r="FH121" s="2918"/>
      <c r="FI121" s="2918"/>
      <c r="FJ121" s="2918"/>
      <c r="FK121" s="2918"/>
      <c r="FL121" s="2918"/>
      <c r="FM121" s="2918"/>
      <c r="FN121" s="2918"/>
      <c r="FO121" s="2918"/>
      <c r="FP121" s="2918"/>
      <c r="FQ121" s="2918"/>
      <c r="FR121" s="2918"/>
      <c r="FS121" s="2918"/>
      <c r="FT121" s="2918"/>
      <c r="FU121" s="2918"/>
      <c r="FV121" s="2918"/>
      <c r="FW121" s="2918"/>
      <c r="FX121" s="2918"/>
      <c r="FY121" s="2918"/>
      <c r="FZ121" s="2918"/>
      <c r="GA121" s="2918"/>
      <c r="GB121" s="2918"/>
      <c r="GC121" s="2918"/>
      <c r="GD121" s="2918"/>
      <c r="GE121" s="2918"/>
      <c r="GF121" s="2918"/>
      <c r="GG121" s="2918"/>
      <c r="GH121" s="2918"/>
      <c r="GI121" s="2918"/>
      <c r="GJ121" s="2918"/>
      <c r="GK121" s="2918"/>
      <c r="GL121" s="2918"/>
      <c r="GM121" s="2918"/>
      <c r="GN121" s="2918"/>
      <c r="GO121" s="2918"/>
      <c r="GP121" s="2918"/>
      <c r="GQ121" s="2918"/>
      <c r="GR121" s="2918"/>
      <c r="GS121" s="2918"/>
      <c r="GT121" s="2918"/>
      <c r="GU121" s="2918"/>
      <c r="GV121" s="2918"/>
      <c r="GW121" s="2918"/>
      <c r="GX121" s="2918"/>
      <c r="GY121" s="2918"/>
      <c r="GZ121" s="2918"/>
      <c r="HA121" s="2918"/>
      <c r="HB121" s="2918"/>
      <c r="HC121" s="2918"/>
      <c r="HD121" s="2918"/>
      <c r="HE121" s="2918"/>
      <c r="HF121" s="2918"/>
      <c r="HG121" s="2918"/>
      <c r="HH121" s="2918"/>
      <c r="HI121" s="2918"/>
      <c r="HJ121" s="2918"/>
      <c r="HK121" s="2918"/>
      <c r="HL121" s="2918"/>
      <c r="HM121" s="2918"/>
      <c r="HN121" s="2918"/>
      <c r="HO121" s="2918"/>
      <c r="HP121" s="2918"/>
      <c r="HQ121" s="2918"/>
      <c r="HR121" s="2918"/>
      <c r="HS121" s="2918"/>
      <c r="HT121" s="2918"/>
      <c r="HU121" s="2918"/>
      <c r="HV121" s="2918"/>
      <c r="HW121" s="2918"/>
      <c r="HX121" s="2918"/>
      <c r="HY121" s="2918"/>
      <c r="HZ121" s="2918"/>
      <c r="IA121" s="2918"/>
      <c r="IB121" s="2918"/>
      <c r="IC121" s="2918"/>
      <c r="ID121" s="2918"/>
      <c r="IE121" s="2918"/>
      <c r="IF121" s="2918"/>
      <c r="IG121" s="2918"/>
      <c r="IH121" s="2918"/>
      <c r="II121" s="2918"/>
      <c r="IJ121" s="2918"/>
      <c r="IK121" s="2918"/>
      <c r="IL121" s="2918"/>
      <c r="IM121" s="2918"/>
      <c r="IN121" s="2918"/>
      <c r="IO121" s="2918"/>
      <c r="IP121" s="2918"/>
      <c r="IQ121" s="2918"/>
      <c r="IR121" s="2918"/>
      <c r="IS121" s="2918"/>
      <c r="IT121" s="2918"/>
      <c r="IU121" s="2918"/>
      <c r="IV121" s="2918"/>
    </row>
    <row r="122" spans="1:256" customFormat="1">
      <c r="A122" s="4648"/>
      <c r="B122" s="4653"/>
      <c r="C122" s="2901">
        <v>243</v>
      </c>
      <c r="D122" s="3062" t="s">
        <v>8079</v>
      </c>
      <c r="E122" s="3064"/>
      <c r="F122" s="3064"/>
      <c r="G122" s="3064"/>
      <c r="H122" s="3068">
        <f t="shared" si="3"/>
        <v>18.930448264113327</v>
      </c>
      <c r="I122" s="3069">
        <f t="shared" si="3"/>
        <v>33.248229826169784</v>
      </c>
      <c r="J122" s="2918"/>
      <c r="K122" s="2918"/>
      <c r="L122" s="2918"/>
      <c r="M122" s="2918"/>
      <c r="N122" s="2918"/>
      <c r="O122" s="2918"/>
      <c r="P122" s="2918"/>
      <c r="Q122" s="2918"/>
      <c r="R122" s="2918"/>
      <c r="S122" s="2918"/>
      <c r="T122" s="2918"/>
      <c r="U122" s="2918"/>
      <c r="V122" s="2918"/>
      <c r="W122" s="2918"/>
      <c r="X122" s="2918"/>
      <c r="Y122" s="2918"/>
      <c r="Z122" s="2918"/>
      <c r="AA122" s="2918"/>
      <c r="AB122" s="2918"/>
      <c r="AC122" s="2918"/>
      <c r="AD122" s="2918"/>
      <c r="AE122" s="2918"/>
      <c r="AF122" s="2918"/>
      <c r="AG122" s="2918"/>
      <c r="AH122" s="2918"/>
      <c r="AI122" s="2918"/>
      <c r="AJ122" s="2918"/>
      <c r="AK122" s="2918"/>
      <c r="AL122" s="2918"/>
      <c r="AM122" s="2918"/>
      <c r="AN122" s="2918"/>
      <c r="AO122" s="2918"/>
      <c r="AP122" s="2918"/>
      <c r="AQ122" s="2918"/>
      <c r="AR122" s="2918"/>
      <c r="AS122" s="2918"/>
      <c r="AT122" s="2918"/>
      <c r="AU122" s="2918"/>
      <c r="AV122" s="2918"/>
      <c r="AW122" s="2918"/>
      <c r="AX122" s="2918"/>
      <c r="AY122" s="2918"/>
      <c r="AZ122" s="2918"/>
      <c r="BA122" s="2918"/>
      <c r="BB122" s="2918"/>
      <c r="BC122" s="2918"/>
      <c r="BD122" s="2918"/>
      <c r="BE122" s="2918"/>
      <c r="BF122" s="2918"/>
      <c r="BG122" s="2918"/>
      <c r="BH122" s="2918"/>
      <c r="BI122" s="2918"/>
      <c r="BJ122" s="2918"/>
      <c r="BK122" s="2918"/>
      <c r="BL122" s="2918"/>
      <c r="BM122" s="2918"/>
      <c r="BN122" s="2918"/>
      <c r="BO122" s="2918"/>
      <c r="BP122" s="2918"/>
      <c r="BQ122" s="2918"/>
      <c r="BR122" s="2918"/>
      <c r="BS122" s="2918"/>
      <c r="BT122" s="2918"/>
      <c r="BU122" s="2918"/>
      <c r="BV122" s="2918"/>
      <c r="BW122" s="2918"/>
      <c r="BX122" s="2918"/>
      <c r="BY122" s="2918"/>
      <c r="BZ122" s="2918"/>
      <c r="CA122" s="2918"/>
      <c r="CB122" s="2918"/>
      <c r="CC122" s="2918"/>
      <c r="CD122" s="2918"/>
      <c r="CE122" s="2918"/>
      <c r="CF122" s="2918"/>
      <c r="CG122" s="2918"/>
      <c r="CH122" s="2918"/>
      <c r="CI122" s="2918"/>
      <c r="CJ122" s="2918"/>
      <c r="CK122" s="2918"/>
      <c r="CL122" s="2918"/>
      <c r="CM122" s="2918"/>
      <c r="CN122" s="2918"/>
      <c r="CO122" s="2918"/>
      <c r="CP122" s="2918"/>
      <c r="CQ122" s="2918"/>
      <c r="CR122" s="2918"/>
      <c r="CS122" s="2918"/>
      <c r="CT122" s="2918"/>
      <c r="CU122" s="2918"/>
      <c r="CV122" s="2918"/>
      <c r="CW122" s="2918"/>
      <c r="CX122" s="2918"/>
      <c r="CY122" s="2918"/>
      <c r="CZ122" s="2918"/>
      <c r="DA122" s="2918"/>
      <c r="DB122" s="2918"/>
      <c r="DC122" s="2918"/>
      <c r="DD122" s="2918"/>
      <c r="DE122" s="2918"/>
      <c r="DF122" s="2918"/>
      <c r="DG122" s="2918"/>
      <c r="DH122" s="2918"/>
      <c r="DI122" s="2918"/>
      <c r="DJ122" s="2918"/>
      <c r="DK122" s="2918"/>
      <c r="DL122" s="2918"/>
      <c r="DM122" s="2918"/>
      <c r="DN122" s="2918"/>
      <c r="DO122" s="2918"/>
      <c r="DP122" s="2918"/>
      <c r="DQ122" s="2918"/>
      <c r="DR122" s="2918"/>
      <c r="DS122" s="2918"/>
      <c r="DT122" s="2918"/>
      <c r="DU122" s="2918"/>
      <c r="DV122" s="2918"/>
      <c r="DW122" s="2918"/>
      <c r="DX122" s="2918"/>
      <c r="DY122" s="2918"/>
      <c r="DZ122" s="2918"/>
      <c r="EA122" s="2918"/>
      <c r="EB122" s="2918"/>
      <c r="EC122" s="2918"/>
      <c r="ED122" s="2918"/>
      <c r="EE122" s="2918"/>
      <c r="EF122" s="2918"/>
      <c r="EG122" s="2918"/>
      <c r="EH122" s="2918"/>
      <c r="EI122" s="2918"/>
      <c r="EJ122" s="2918"/>
      <c r="EK122" s="2918"/>
      <c r="EL122" s="2918"/>
      <c r="EM122" s="2918"/>
      <c r="EN122" s="2918"/>
      <c r="EO122" s="2918"/>
      <c r="EP122" s="2918"/>
      <c r="EQ122" s="2918"/>
      <c r="ER122" s="2918"/>
      <c r="ES122" s="2918"/>
      <c r="ET122" s="2918"/>
      <c r="EU122" s="2918"/>
      <c r="EV122" s="2918"/>
      <c r="EW122" s="2918"/>
      <c r="EX122" s="2918"/>
      <c r="EY122" s="2918"/>
      <c r="EZ122" s="2918"/>
      <c r="FA122" s="2918"/>
      <c r="FB122" s="2918"/>
      <c r="FC122" s="2918"/>
      <c r="FD122" s="2918"/>
      <c r="FE122" s="2918"/>
      <c r="FF122" s="2918"/>
      <c r="FG122" s="2918"/>
      <c r="FH122" s="2918"/>
      <c r="FI122" s="2918"/>
      <c r="FJ122" s="2918"/>
      <c r="FK122" s="2918"/>
      <c r="FL122" s="2918"/>
      <c r="FM122" s="2918"/>
      <c r="FN122" s="2918"/>
      <c r="FO122" s="2918"/>
      <c r="FP122" s="2918"/>
      <c r="FQ122" s="2918"/>
      <c r="FR122" s="2918"/>
      <c r="FS122" s="2918"/>
      <c r="FT122" s="2918"/>
      <c r="FU122" s="2918"/>
      <c r="FV122" s="2918"/>
      <c r="FW122" s="2918"/>
      <c r="FX122" s="2918"/>
      <c r="FY122" s="2918"/>
      <c r="FZ122" s="2918"/>
      <c r="GA122" s="2918"/>
      <c r="GB122" s="2918"/>
      <c r="GC122" s="2918"/>
      <c r="GD122" s="2918"/>
      <c r="GE122" s="2918"/>
      <c r="GF122" s="2918"/>
      <c r="GG122" s="2918"/>
      <c r="GH122" s="2918"/>
      <c r="GI122" s="2918"/>
      <c r="GJ122" s="2918"/>
      <c r="GK122" s="2918"/>
      <c r="GL122" s="2918"/>
      <c r="GM122" s="2918"/>
      <c r="GN122" s="2918"/>
      <c r="GO122" s="2918"/>
      <c r="GP122" s="2918"/>
      <c r="GQ122" s="2918"/>
      <c r="GR122" s="2918"/>
      <c r="GS122" s="2918"/>
      <c r="GT122" s="2918"/>
      <c r="GU122" s="2918"/>
      <c r="GV122" s="2918"/>
      <c r="GW122" s="2918"/>
      <c r="GX122" s="2918"/>
      <c r="GY122" s="2918"/>
      <c r="GZ122" s="2918"/>
      <c r="HA122" s="2918"/>
      <c r="HB122" s="2918"/>
      <c r="HC122" s="2918"/>
      <c r="HD122" s="2918"/>
      <c r="HE122" s="2918"/>
      <c r="HF122" s="2918"/>
      <c r="HG122" s="2918"/>
      <c r="HH122" s="2918"/>
      <c r="HI122" s="2918"/>
      <c r="HJ122" s="2918"/>
      <c r="HK122" s="2918"/>
      <c r="HL122" s="2918"/>
      <c r="HM122" s="2918"/>
      <c r="HN122" s="2918"/>
      <c r="HO122" s="2918"/>
      <c r="HP122" s="2918"/>
      <c r="HQ122" s="2918"/>
      <c r="HR122" s="2918"/>
      <c r="HS122" s="2918"/>
      <c r="HT122" s="2918"/>
      <c r="HU122" s="2918"/>
      <c r="HV122" s="2918"/>
      <c r="HW122" s="2918"/>
      <c r="HX122" s="2918"/>
      <c r="HY122" s="2918"/>
      <c r="HZ122" s="2918"/>
      <c r="IA122" s="2918"/>
      <c r="IB122" s="2918"/>
      <c r="IC122" s="2918"/>
      <c r="ID122" s="2918"/>
      <c r="IE122" s="2918"/>
      <c r="IF122" s="2918"/>
      <c r="IG122" s="2918"/>
      <c r="IH122" s="2918"/>
      <c r="II122" s="2918"/>
      <c r="IJ122" s="2918"/>
      <c r="IK122" s="2918"/>
      <c r="IL122" s="2918"/>
      <c r="IM122" s="2918"/>
      <c r="IN122" s="2918"/>
      <c r="IO122" s="2918"/>
      <c r="IP122" s="2918"/>
      <c r="IQ122" s="2918"/>
      <c r="IR122" s="2918"/>
      <c r="IS122" s="2918"/>
      <c r="IT122" s="2918"/>
      <c r="IU122" s="2918"/>
      <c r="IV122" s="2918"/>
    </row>
    <row r="123" spans="1:256" customFormat="1">
      <c r="A123" s="4648"/>
      <c r="B123" s="4653"/>
      <c r="C123" s="2901">
        <v>250</v>
      </c>
      <c r="D123" s="3062" t="s">
        <v>8079</v>
      </c>
      <c r="E123" s="3064"/>
      <c r="F123" s="3064"/>
      <c r="G123" s="3064"/>
      <c r="H123" s="3068">
        <f t="shared" si="3"/>
        <v>19.46412985029453</v>
      </c>
      <c r="I123" s="3069">
        <f t="shared" si="3"/>
        <v>34.179180261302527</v>
      </c>
      <c r="J123" s="2918"/>
      <c r="K123" s="2918"/>
      <c r="L123" s="2918"/>
      <c r="M123" s="2918"/>
      <c r="N123" s="2918"/>
      <c r="O123" s="2918"/>
      <c r="P123" s="2918"/>
      <c r="Q123" s="2918"/>
      <c r="R123" s="2918"/>
      <c r="S123" s="2918"/>
      <c r="T123" s="2918"/>
      <c r="U123" s="2918"/>
      <c r="V123" s="2918"/>
      <c r="W123" s="2918"/>
      <c r="X123" s="2918"/>
      <c r="Y123" s="2918"/>
      <c r="Z123" s="2918"/>
      <c r="AA123" s="2918"/>
      <c r="AB123" s="2918"/>
      <c r="AC123" s="2918"/>
      <c r="AD123" s="2918"/>
      <c r="AE123" s="2918"/>
      <c r="AF123" s="2918"/>
      <c r="AG123" s="2918"/>
      <c r="AH123" s="2918"/>
      <c r="AI123" s="2918"/>
      <c r="AJ123" s="2918"/>
      <c r="AK123" s="2918"/>
      <c r="AL123" s="2918"/>
      <c r="AM123" s="2918"/>
      <c r="AN123" s="2918"/>
      <c r="AO123" s="2918"/>
      <c r="AP123" s="2918"/>
      <c r="AQ123" s="2918"/>
      <c r="AR123" s="2918"/>
      <c r="AS123" s="2918"/>
      <c r="AT123" s="2918"/>
      <c r="AU123" s="2918"/>
      <c r="AV123" s="2918"/>
      <c r="AW123" s="2918"/>
      <c r="AX123" s="2918"/>
      <c r="AY123" s="2918"/>
      <c r="AZ123" s="2918"/>
      <c r="BA123" s="2918"/>
      <c r="BB123" s="2918"/>
      <c r="BC123" s="2918"/>
      <c r="BD123" s="2918"/>
      <c r="BE123" s="2918"/>
      <c r="BF123" s="2918"/>
      <c r="BG123" s="2918"/>
      <c r="BH123" s="2918"/>
      <c r="BI123" s="2918"/>
      <c r="BJ123" s="2918"/>
      <c r="BK123" s="2918"/>
      <c r="BL123" s="2918"/>
      <c r="BM123" s="2918"/>
      <c r="BN123" s="2918"/>
      <c r="BO123" s="2918"/>
      <c r="BP123" s="2918"/>
      <c r="BQ123" s="2918"/>
      <c r="BR123" s="2918"/>
      <c r="BS123" s="2918"/>
      <c r="BT123" s="2918"/>
      <c r="BU123" s="2918"/>
      <c r="BV123" s="2918"/>
      <c r="BW123" s="2918"/>
      <c r="BX123" s="2918"/>
      <c r="BY123" s="2918"/>
      <c r="BZ123" s="2918"/>
      <c r="CA123" s="2918"/>
      <c r="CB123" s="2918"/>
      <c r="CC123" s="2918"/>
      <c r="CD123" s="2918"/>
      <c r="CE123" s="2918"/>
      <c r="CF123" s="2918"/>
      <c r="CG123" s="2918"/>
      <c r="CH123" s="2918"/>
      <c r="CI123" s="2918"/>
      <c r="CJ123" s="2918"/>
      <c r="CK123" s="2918"/>
      <c r="CL123" s="2918"/>
      <c r="CM123" s="2918"/>
      <c r="CN123" s="2918"/>
      <c r="CO123" s="2918"/>
      <c r="CP123" s="2918"/>
      <c r="CQ123" s="2918"/>
      <c r="CR123" s="2918"/>
      <c r="CS123" s="2918"/>
      <c r="CT123" s="2918"/>
      <c r="CU123" s="2918"/>
      <c r="CV123" s="2918"/>
      <c r="CW123" s="2918"/>
      <c r="CX123" s="2918"/>
      <c r="CY123" s="2918"/>
      <c r="CZ123" s="2918"/>
      <c r="DA123" s="2918"/>
      <c r="DB123" s="2918"/>
      <c r="DC123" s="2918"/>
      <c r="DD123" s="2918"/>
      <c r="DE123" s="2918"/>
      <c r="DF123" s="2918"/>
      <c r="DG123" s="2918"/>
      <c r="DH123" s="2918"/>
      <c r="DI123" s="2918"/>
      <c r="DJ123" s="2918"/>
      <c r="DK123" s="2918"/>
      <c r="DL123" s="2918"/>
      <c r="DM123" s="2918"/>
      <c r="DN123" s="2918"/>
      <c r="DO123" s="2918"/>
      <c r="DP123" s="2918"/>
      <c r="DQ123" s="2918"/>
      <c r="DR123" s="2918"/>
      <c r="DS123" s="2918"/>
      <c r="DT123" s="2918"/>
      <c r="DU123" s="2918"/>
      <c r="DV123" s="2918"/>
      <c r="DW123" s="2918"/>
      <c r="DX123" s="2918"/>
      <c r="DY123" s="2918"/>
      <c r="DZ123" s="2918"/>
      <c r="EA123" s="2918"/>
      <c r="EB123" s="2918"/>
      <c r="EC123" s="2918"/>
      <c r="ED123" s="2918"/>
      <c r="EE123" s="2918"/>
      <c r="EF123" s="2918"/>
      <c r="EG123" s="2918"/>
      <c r="EH123" s="2918"/>
      <c r="EI123" s="2918"/>
      <c r="EJ123" s="2918"/>
      <c r="EK123" s="2918"/>
      <c r="EL123" s="2918"/>
      <c r="EM123" s="2918"/>
      <c r="EN123" s="2918"/>
      <c r="EO123" s="2918"/>
      <c r="EP123" s="2918"/>
      <c r="EQ123" s="2918"/>
      <c r="ER123" s="2918"/>
      <c r="ES123" s="2918"/>
      <c r="ET123" s="2918"/>
      <c r="EU123" s="2918"/>
      <c r="EV123" s="2918"/>
      <c r="EW123" s="2918"/>
      <c r="EX123" s="2918"/>
      <c r="EY123" s="2918"/>
      <c r="EZ123" s="2918"/>
      <c r="FA123" s="2918"/>
      <c r="FB123" s="2918"/>
      <c r="FC123" s="2918"/>
      <c r="FD123" s="2918"/>
      <c r="FE123" s="2918"/>
      <c r="FF123" s="2918"/>
      <c r="FG123" s="2918"/>
      <c r="FH123" s="2918"/>
      <c r="FI123" s="2918"/>
      <c r="FJ123" s="2918"/>
      <c r="FK123" s="2918"/>
      <c r="FL123" s="2918"/>
      <c r="FM123" s="2918"/>
      <c r="FN123" s="2918"/>
      <c r="FO123" s="2918"/>
      <c r="FP123" s="2918"/>
      <c r="FQ123" s="2918"/>
      <c r="FR123" s="2918"/>
      <c r="FS123" s="2918"/>
      <c r="FT123" s="2918"/>
      <c r="FU123" s="2918"/>
      <c r="FV123" s="2918"/>
      <c r="FW123" s="2918"/>
      <c r="FX123" s="2918"/>
      <c r="FY123" s="2918"/>
      <c r="FZ123" s="2918"/>
      <c r="GA123" s="2918"/>
      <c r="GB123" s="2918"/>
      <c r="GC123" s="2918"/>
      <c r="GD123" s="2918"/>
      <c r="GE123" s="2918"/>
      <c r="GF123" s="2918"/>
      <c r="GG123" s="2918"/>
      <c r="GH123" s="2918"/>
      <c r="GI123" s="2918"/>
      <c r="GJ123" s="2918"/>
      <c r="GK123" s="2918"/>
      <c r="GL123" s="2918"/>
      <c r="GM123" s="2918"/>
      <c r="GN123" s="2918"/>
      <c r="GO123" s="2918"/>
      <c r="GP123" s="2918"/>
      <c r="GQ123" s="2918"/>
      <c r="GR123" s="2918"/>
      <c r="GS123" s="2918"/>
      <c r="GT123" s="2918"/>
      <c r="GU123" s="2918"/>
      <c r="GV123" s="2918"/>
      <c r="GW123" s="2918"/>
      <c r="GX123" s="2918"/>
      <c r="GY123" s="2918"/>
      <c r="GZ123" s="2918"/>
      <c r="HA123" s="2918"/>
      <c r="HB123" s="2918"/>
      <c r="HC123" s="2918"/>
      <c r="HD123" s="2918"/>
      <c r="HE123" s="2918"/>
      <c r="HF123" s="2918"/>
      <c r="HG123" s="2918"/>
      <c r="HH123" s="2918"/>
      <c r="HI123" s="2918"/>
      <c r="HJ123" s="2918"/>
      <c r="HK123" s="2918"/>
      <c r="HL123" s="2918"/>
      <c r="HM123" s="2918"/>
      <c r="HN123" s="2918"/>
      <c r="HO123" s="2918"/>
      <c r="HP123" s="2918"/>
      <c r="HQ123" s="2918"/>
      <c r="HR123" s="2918"/>
      <c r="HS123" s="2918"/>
      <c r="HT123" s="2918"/>
      <c r="HU123" s="2918"/>
      <c r="HV123" s="2918"/>
      <c r="HW123" s="2918"/>
      <c r="HX123" s="2918"/>
      <c r="HY123" s="2918"/>
      <c r="HZ123" s="2918"/>
      <c r="IA123" s="2918"/>
      <c r="IB123" s="2918"/>
      <c r="IC123" s="2918"/>
      <c r="ID123" s="2918"/>
      <c r="IE123" s="2918"/>
      <c r="IF123" s="2918"/>
      <c r="IG123" s="2918"/>
      <c r="IH123" s="2918"/>
      <c r="II123" s="2918"/>
      <c r="IJ123" s="2918"/>
      <c r="IK123" s="2918"/>
      <c r="IL123" s="2918"/>
      <c r="IM123" s="2918"/>
      <c r="IN123" s="2918"/>
      <c r="IO123" s="2918"/>
      <c r="IP123" s="2918"/>
      <c r="IQ123" s="2918"/>
      <c r="IR123" s="2918"/>
      <c r="IS123" s="2918"/>
      <c r="IT123" s="2918"/>
      <c r="IU123" s="2918"/>
      <c r="IV123" s="2918"/>
    </row>
    <row r="124" spans="1:256" customFormat="1">
      <c r="A124" s="4648"/>
      <c r="B124" s="4653"/>
      <c r="C124" s="2901">
        <v>258</v>
      </c>
      <c r="D124" s="3062" t="s">
        <v>12578</v>
      </c>
      <c r="E124" s="3064"/>
      <c r="F124" s="3064"/>
      <c r="G124" s="3064"/>
      <c r="H124" s="3068">
        <f t="shared" ref="H124:I141" si="4">H$3^2*PI()/4*($C124+H$3)*PI()*1.1*10^-3</f>
        <v>20.074051663073046</v>
      </c>
      <c r="I124" s="3069">
        <f t="shared" si="4"/>
        <v>35.243123615739961</v>
      </c>
      <c r="J124" s="2918"/>
      <c r="K124" s="2918"/>
      <c r="L124" s="2918"/>
      <c r="M124" s="2918"/>
      <c r="N124" s="2918"/>
      <c r="O124" s="2918"/>
      <c r="P124" s="2918"/>
      <c r="Q124" s="2918"/>
      <c r="R124" s="2918"/>
      <c r="S124" s="2918"/>
      <c r="T124" s="2918"/>
      <c r="U124" s="2918"/>
      <c r="V124" s="2918"/>
      <c r="W124" s="2918"/>
      <c r="X124" s="2918"/>
      <c r="Y124" s="2918"/>
      <c r="Z124" s="2918"/>
      <c r="AA124" s="2918"/>
      <c r="AB124" s="2918"/>
      <c r="AC124" s="2918"/>
      <c r="AD124" s="2918"/>
      <c r="AE124" s="2918"/>
      <c r="AF124" s="2918"/>
      <c r="AG124" s="2918"/>
      <c r="AH124" s="2918"/>
      <c r="AI124" s="2918"/>
      <c r="AJ124" s="2918"/>
      <c r="AK124" s="2918"/>
      <c r="AL124" s="2918"/>
      <c r="AM124" s="2918"/>
      <c r="AN124" s="2918"/>
      <c r="AO124" s="2918"/>
      <c r="AP124" s="2918"/>
      <c r="AQ124" s="2918"/>
      <c r="AR124" s="2918"/>
      <c r="AS124" s="2918"/>
      <c r="AT124" s="2918"/>
      <c r="AU124" s="2918"/>
      <c r="AV124" s="2918"/>
      <c r="AW124" s="2918"/>
      <c r="AX124" s="2918"/>
      <c r="AY124" s="2918"/>
      <c r="AZ124" s="2918"/>
      <c r="BA124" s="2918"/>
      <c r="BB124" s="2918"/>
      <c r="BC124" s="2918"/>
      <c r="BD124" s="2918"/>
      <c r="BE124" s="2918"/>
      <c r="BF124" s="2918"/>
      <c r="BG124" s="2918"/>
      <c r="BH124" s="2918"/>
      <c r="BI124" s="2918"/>
      <c r="BJ124" s="2918"/>
      <c r="BK124" s="2918"/>
      <c r="BL124" s="2918"/>
      <c r="BM124" s="2918"/>
      <c r="BN124" s="2918"/>
      <c r="BO124" s="2918"/>
      <c r="BP124" s="2918"/>
      <c r="BQ124" s="2918"/>
      <c r="BR124" s="2918"/>
      <c r="BS124" s="2918"/>
      <c r="BT124" s="2918"/>
      <c r="BU124" s="2918"/>
      <c r="BV124" s="2918"/>
      <c r="BW124" s="2918"/>
      <c r="BX124" s="2918"/>
      <c r="BY124" s="2918"/>
      <c r="BZ124" s="2918"/>
      <c r="CA124" s="2918"/>
      <c r="CB124" s="2918"/>
      <c r="CC124" s="2918"/>
      <c r="CD124" s="2918"/>
      <c r="CE124" s="2918"/>
      <c r="CF124" s="2918"/>
      <c r="CG124" s="2918"/>
      <c r="CH124" s="2918"/>
      <c r="CI124" s="2918"/>
      <c r="CJ124" s="2918"/>
      <c r="CK124" s="2918"/>
      <c r="CL124" s="2918"/>
      <c r="CM124" s="2918"/>
      <c r="CN124" s="2918"/>
      <c r="CO124" s="2918"/>
      <c r="CP124" s="2918"/>
      <c r="CQ124" s="2918"/>
      <c r="CR124" s="2918"/>
      <c r="CS124" s="2918"/>
      <c r="CT124" s="2918"/>
      <c r="CU124" s="2918"/>
      <c r="CV124" s="2918"/>
      <c r="CW124" s="2918"/>
      <c r="CX124" s="2918"/>
      <c r="CY124" s="2918"/>
      <c r="CZ124" s="2918"/>
      <c r="DA124" s="2918"/>
      <c r="DB124" s="2918"/>
      <c r="DC124" s="2918"/>
      <c r="DD124" s="2918"/>
      <c r="DE124" s="2918"/>
      <c r="DF124" s="2918"/>
      <c r="DG124" s="2918"/>
      <c r="DH124" s="2918"/>
      <c r="DI124" s="2918"/>
      <c r="DJ124" s="2918"/>
      <c r="DK124" s="2918"/>
      <c r="DL124" s="2918"/>
      <c r="DM124" s="2918"/>
      <c r="DN124" s="2918"/>
      <c r="DO124" s="2918"/>
      <c r="DP124" s="2918"/>
      <c r="DQ124" s="2918"/>
      <c r="DR124" s="2918"/>
      <c r="DS124" s="2918"/>
      <c r="DT124" s="2918"/>
      <c r="DU124" s="2918"/>
      <c r="DV124" s="2918"/>
      <c r="DW124" s="2918"/>
      <c r="DX124" s="2918"/>
      <c r="DY124" s="2918"/>
      <c r="DZ124" s="2918"/>
      <c r="EA124" s="2918"/>
      <c r="EB124" s="2918"/>
      <c r="EC124" s="2918"/>
      <c r="ED124" s="2918"/>
      <c r="EE124" s="2918"/>
      <c r="EF124" s="2918"/>
      <c r="EG124" s="2918"/>
      <c r="EH124" s="2918"/>
      <c r="EI124" s="2918"/>
      <c r="EJ124" s="2918"/>
      <c r="EK124" s="2918"/>
      <c r="EL124" s="2918"/>
      <c r="EM124" s="2918"/>
      <c r="EN124" s="2918"/>
      <c r="EO124" s="2918"/>
      <c r="EP124" s="2918"/>
      <c r="EQ124" s="2918"/>
      <c r="ER124" s="2918"/>
      <c r="ES124" s="2918"/>
      <c r="ET124" s="2918"/>
      <c r="EU124" s="2918"/>
      <c r="EV124" s="2918"/>
      <c r="EW124" s="2918"/>
      <c r="EX124" s="2918"/>
      <c r="EY124" s="2918"/>
      <c r="EZ124" s="2918"/>
      <c r="FA124" s="2918"/>
      <c r="FB124" s="2918"/>
      <c r="FC124" s="2918"/>
      <c r="FD124" s="2918"/>
      <c r="FE124" s="2918"/>
      <c r="FF124" s="2918"/>
      <c r="FG124" s="2918"/>
      <c r="FH124" s="2918"/>
      <c r="FI124" s="2918"/>
      <c r="FJ124" s="2918"/>
      <c r="FK124" s="2918"/>
      <c r="FL124" s="2918"/>
      <c r="FM124" s="2918"/>
      <c r="FN124" s="2918"/>
      <c r="FO124" s="2918"/>
      <c r="FP124" s="2918"/>
      <c r="FQ124" s="2918"/>
      <c r="FR124" s="2918"/>
      <c r="FS124" s="2918"/>
      <c r="FT124" s="2918"/>
      <c r="FU124" s="2918"/>
      <c r="FV124" s="2918"/>
      <c r="FW124" s="2918"/>
      <c r="FX124" s="2918"/>
      <c r="FY124" s="2918"/>
      <c r="FZ124" s="2918"/>
      <c r="GA124" s="2918"/>
      <c r="GB124" s="2918"/>
      <c r="GC124" s="2918"/>
      <c r="GD124" s="2918"/>
      <c r="GE124" s="2918"/>
      <c r="GF124" s="2918"/>
      <c r="GG124" s="2918"/>
      <c r="GH124" s="2918"/>
      <c r="GI124" s="2918"/>
      <c r="GJ124" s="2918"/>
      <c r="GK124" s="2918"/>
      <c r="GL124" s="2918"/>
      <c r="GM124" s="2918"/>
      <c r="GN124" s="2918"/>
      <c r="GO124" s="2918"/>
      <c r="GP124" s="2918"/>
      <c r="GQ124" s="2918"/>
      <c r="GR124" s="2918"/>
      <c r="GS124" s="2918"/>
      <c r="GT124" s="2918"/>
      <c r="GU124" s="2918"/>
      <c r="GV124" s="2918"/>
      <c r="GW124" s="2918"/>
      <c r="GX124" s="2918"/>
      <c r="GY124" s="2918"/>
      <c r="GZ124" s="2918"/>
      <c r="HA124" s="2918"/>
      <c r="HB124" s="2918"/>
      <c r="HC124" s="2918"/>
      <c r="HD124" s="2918"/>
      <c r="HE124" s="2918"/>
      <c r="HF124" s="2918"/>
      <c r="HG124" s="2918"/>
      <c r="HH124" s="2918"/>
      <c r="HI124" s="2918"/>
      <c r="HJ124" s="2918"/>
      <c r="HK124" s="2918"/>
      <c r="HL124" s="2918"/>
      <c r="HM124" s="2918"/>
      <c r="HN124" s="2918"/>
      <c r="HO124" s="2918"/>
      <c r="HP124" s="2918"/>
      <c r="HQ124" s="2918"/>
      <c r="HR124" s="2918"/>
      <c r="HS124" s="2918"/>
      <c r="HT124" s="2918"/>
      <c r="HU124" s="2918"/>
      <c r="HV124" s="2918"/>
      <c r="HW124" s="2918"/>
      <c r="HX124" s="2918"/>
      <c r="HY124" s="2918"/>
      <c r="HZ124" s="2918"/>
      <c r="IA124" s="2918"/>
      <c r="IB124" s="2918"/>
      <c r="IC124" s="2918"/>
      <c r="ID124" s="2918"/>
      <c r="IE124" s="2918"/>
      <c r="IF124" s="2918"/>
      <c r="IG124" s="2918"/>
      <c r="IH124" s="2918"/>
      <c r="II124" s="2918"/>
      <c r="IJ124" s="2918"/>
      <c r="IK124" s="2918"/>
      <c r="IL124" s="2918"/>
      <c r="IM124" s="2918"/>
      <c r="IN124" s="2918"/>
      <c r="IO124" s="2918"/>
      <c r="IP124" s="2918"/>
      <c r="IQ124" s="2918"/>
      <c r="IR124" s="2918"/>
      <c r="IS124" s="2918"/>
      <c r="IT124" s="2918"/>
      <c r="IU124" s="2918"/>
      <c r="IV124" s="2918"/>
    </row>
    <row r="125" spans="1:256" customFormat="1">
      <c r="A125" s="4648"/>
      <c r="B125" s="4653"/>
      <c r="C125" s="2901">
        <v>265</v>
      </c>
      <c r="D125" s="3062" t="s">
        <v>12578</v>
      </c>
      <c r="E125" s="3064"/>
      <c r="F125" s="3064"/>
      <c r="G125" s="3064"/>
      <c r="H125" s="3068">
        <f t="shared" si="4"/>
        <v>20.607733249254252</v>
      </c>
      <c r="I125" s="3069">
        <f t="shared" si="4"/>
        <v>36.174074050872711</v>
      </c>
      <c r="J125" s="2918"/>
      <c r="K125" s="2918"/>
      <c r="L125" s="2918"/>
      <c r="M125" s="2918"/>
      <c r="N125" s="2918"/>
      <c r="O125" s="2918"/>
      <c r="P125" s="2918"/>
      <c r="Q125" s="2918"/>
      <c r="R125" s="2918"/>
      <c r="S125" s="2918"/>
      <c r="T125" s="2918"/>
      <c r="U125" s="2918"/>
      <c r="V125" s="2918"/>
      <c r="W125" s="2918"/>
      <c r="X125" s="2918"/>
      <c r="Y125" s="2918"/>
      <c r="Z125" s="2918"/>
      <c r="AA125" s="2918"/>
      <c r="AB125" s="2918"/>
      <c r="AC125" s="2918"/>
      <c r="AD125" s="2918"/>
      <c r="AE125" s="2918"/>
      <c r="AF125" s="2918"/>
      <c r="AG125" s="2918"/>
      <c r="AH125" s="2918"/>
      <c r="AI125" s="2918"/>
      <c r="AJ125" s="2918"/>
      <c r="AK125" s="2918"/>
      <c r="AL125" s="2918"/>
      <c r="AM125" s="2918"/>
      <c r="AN125" s="2918"/>
      <c r="AO125" s="2918"/>
      <c r="AP125" s="2918"/>
      <c r="AQ125" s="2918"/>
      <c r="AR125" s="2918"/>
      <c r="AS125" s="2918"/>
      <c r="AT125" s="2918"/>
      <c r="AU125" s="2918"/>
      <c r="AV125" s="2918"/>
      <c r="AW125" s="2918"/>
      <c r="AX125" s="2918"/>
      <c r="AY125" s="2918"/>
      <c r="AZ125" s="2918"/>
      <c r="BA125" s="2918"/>
      <c r="BB125" s="2918"/>
      <c r="BC125" s="2918"/>
      <c r="BD125" s="2918"/>
      <c r="BE125" s="2918"/>
      <c r="BF125" s="2918"/>
      <c r="BG125" s="2918"/>
      <c r="BH125" s="2918"/>
      <c r="BI125" s="2918"/>
      <c r="BJ125" s="2918"/>
      <c r="BK125" s="2918"/>
      <c r="BL125" s="2918"/>
      <c r="BM125" s="2918"/>
      <c r="BN125" s="2918"/>
      <c r="BO125" s="2918"/>
      <c r="BP125" s="2918"/>
      <c r="BQ125" s="2918"/>
      <c r="BR125" s="2918"/>
      <c r="BS125" s="2918"/>
      <c r="BT125" s="2918"/>
      <c r="BU125" s="2918"/>
      <c r="BV125" s="2918"/>
      <c r="BW125" s="2918"/>
      <c r="BX125" s="2918"/>
      <c r="BY125" s="2918"/>
      <c r="BZ125" s="2918"/>
      <c r="CA125" s="2918"/>
      <c r="CB125" s="2918"/>
      <c r="CC125" s="2918"/>
      <c r="CD125" s="2918"/>
      <c r="CE125" s="2918"/>
      <c r="CF125" s="2918"/>
      <c r="CG125" s="2918"/>
      <c r="CH125" s="2918"/>
      <c r="CI125" s="2918"/>
      <c r="CJ125" s="2918"/>
      <c r="CK125" s="2918"/>
      <c r="CL125" s="2918"/>
      <c r="CM125" s="2918"/>
      <c r="CN125" s="2918"/>
      <c r="CO125" s="2918"/>
      <c r="CP125" s="2918"/>
      <c r="CQ125" s="2918"/>
      <c r="CR125" s="2918"/>
      <c r="CS125" s="2918"/>
      <c r="CT125" s="2918"/>
      <c r="CU125" s="2918"/>
      <c r="CV125" s="2918"/>
      <c r="CW125" s="2918"/>
      <c r="CX125" s="2918"/>
      <c r="CY125" s="2918"/>
      <c r="CZ125" s="2918"/>
      <c r="DA125" s="2918"/>
      <c r="DB125" s="2918"/>
      <c r="DC125" s="2918"/>
      <c r="DD125" s="2918"/>
      <c r="DE125" s="2918"/>
      <c r="DF125" s="2918"/>
      <c r="DG125" s="2918"/>
      <c r="DH125" s="2918"/>
      <c r="DI125" s="2918"/>
      <c r="DJ125" s="2918"/>
      <c r="DK125" s="2918"/>
      <c r="DL125" s="2918"/>
      <c r="DM125" s="2918"/>
      <c r="DN125" s="2918"/>
      <c r="DO125" s="2918"/>
      <c r="DP125" s="2918"/>
      <c r="DQ125" s="2918"/>
      <c r="DR125" s="2918"/>
      <c r="DS125" s="2918"/>
      <c r="DT125" s="2918"/>
      <c r="DU125" s="2918"/>
      <c r="DV125" s="2918"/>
      <c r="DW125" s="2918"/>
      <c r="DX125" s="2918"/>
      <c r="DY125" s="2918"/>
      <c r="DZ125" s="2918"/>
      <c r="EA125" s="2918"/>
      <c r="EB125" s="2918"/>
      <c r="EC125" s="2918"/>
      <c r="ED125" s="2918"/>
      <c r="EE125" s="2918"/>
      <c r="EF125" s="2918"/>
      <c r="EG125" s="2918"/>
      <c r="EH125" s="2918"/>
      <c r="EI125" s="2918"/>
      <c r="EJ125" s="2918"/>
      <c r="EK125" s="2918"/>
      <c r="EL125" s="2918"/>
      <c r="EM125" s="2918"/>
      <c r="EN125" s="2918"/>
      <c r="EO125" s="2918"/>
      <c r="EP125" s="2918"/>
      <c r="EQ125" s="2918"/>
      <c r="ER125" s="2918"/>
      <c r="ES125" s="2918"/>
      <c r="ET125" s="2918"/>
      <c r="EU125" s="2918"/>
      <c r="EV125" s="2918"/>
      <c r="EW125" s="2918"/>
      <c r="EX125" s="2918"/>
      <c r="EY125" s="2918"/>
      <c r="EZ125" s="2918"/>
      <c r="FA125" s="2918"/>
      <c r="FB125" s="2918"/>
      <c r="FC125" s="2918"/>
      <c r="FD125" s="2918"/>
      <c r="FE125" s="2918"/>
      <c r="FF125" s="2918"/>
      <c r="FG125" s="2918"/>
      <c r="FH125" s="2918"/>
      <c r="FI125" s="2918"/>
      <c r="FJ125" s="2918"/>
      <c r="FK125" s="2918"/>
      <c r="FL125" s="2918"/>
      <c r="FM125" s="2918"/>
      <c r="FN125" s="2918"/>
      <c r="FO125" s="2918"/>
      <c r="FP125" s="2918"/>
      <c r="FQ125" s="2918"/>
      <c r="FR125" s="2918"/>
      <c r="FS125" s="2918"/>
      <c r="FT125" s="2918"/>
      <c r="FU125" s="2918"/>
      <c r="FV125" s="2918"/>
      <c r="FW125" s="2918"/>
      <c r="FX125" s="2918"/>
      <c r="FY125" s="2918"/>
      <c r="FZ125" s="2918"/>
      <c r="GA125" s="2918"/>
      <c r="GB125" s="2918"/>
      <c r="GC125" s="2918"/>
      <c r="GD125" s="2918"/>
      <c r="GE125" s="2918"/>
      <c r="GF125" s="2918"/>
      <c r="GG125" s="2918"/>
      <c r="GH125" s="2918"/>
      <c r="GI125" s="2918"/>
      <c r="GJ125" s="2918"/>
      <c r="GK125" s="2918"/>
      <c r="GL125" s="2918"/>
      <c r="GM125" s="2918"/>
      <c r="GN125" s="2918"/>
      <c r="GO125" s="2918"/>
      <c r="GP125" s="2918"/>
      <c r="GQ125" s="2918"/>
      <c r="GR125" s="2918"/>
      <c r="GS125" s="2918"/>
      <c r="GT125" s="2918"/>
      <c r="GU125" s="2918"/>
      <c r="GV125" s="2918"/>
      <c r="GW125" s="2918"/>
      <c r="GX125" s="2918"/>
      <c r="GY125" s="2918"/>
      <c r="GZ125" s="2918"/>
      <c r="HA125" s="2918"/>
      <c r="HB125" s="2918"/>
      <c r="HC125" s="2918"/>
      <c r="HD125" s="2918"/>
      <c r="HE125" s="2918"/>
      <c r="HF125" s="2918"/>
      <c r="HG125" s="2918"/>
      <c r="HH125" s="2918"/>
      <c r="HI125" s="2918"/>
      <c r="HJ125" s="2918"/>
      <c r="HK125" s="2918"/>
      <c r="HL125" s="2918"/>
      <c r="HM125" s="2918"/>
      <c r="HN125" s="2918"/>
      <c r="HO125" s="2918"/>
      <c r="HP125" s="2918"/>
      <c r="HQ125" s="2918"/>
      <c r="HR125" s="2918"/>
      <c r="HS125" s="2918"/>
      <c r="HT125" s="2918"/>
      <c r="HU125" s="2918"/>
      <c r="HV125" s="2918"/>
      <c r="HW125" s="2918"/>
      <c r="HX125" s="2918"/>
      <c r="HY125" s="2918"/>
      <c r="HZ125" s="2918"/>
      <c r="IA125" s="2918"/>
      <c r="IB125" s="2918"/>
      <c r="IC125" s="2918"/>
      <c r="ID125" s="2918"/>
      <c r="IE125" s="2918"/>
      <c r="IF125" s="2918"/>
      <c r="IG125" s="2918"/>
      <c r="IH125" s="2918"/>
      <c r="II125" s="2918"/>
      <c r="IJ125" s="2918"/>
      <c r="IK125" s="2918"/>
      <c r="IL125" s="2918"/>
      <c r="IM125" s="2918"/>
      <c r="IN125" s="2918"/>
      <c r="IO125" s="2918"/>
      <c r="IP125" s="2918"/>
      <c r="IQ125" s="2918"/>
      <c r="IR125" s="2918"/>
      <c r="IS125" s="2918"/>
      <c r="IT125" s="2918"/>
      <c r="IU125" s="2918"/>
      <c r="IV125" s="2918"/>
    </row>
    <row r="126" spans="1:256" customFormat="1">
      <c r="A126" s="4648"/>
      <c r="B126" s="4653"/>
      <c r="C126" s="2901">
        <v>272</v>
      </c>
      <c r="D126" s="3062" t="s">
        <v>12578</v>
      </c>
      <c r="E126" s="3064"/>
      <c r="F126" s="3064"/>
      <c r="G126" s="3064"/>
      <c r="H126" s="3068">
        <f t="shared" si="4"/>
        <v>21.141414835435455</v>
      </c>
      <c r="I126" s="3069">
        <f t="shared" si="4"/>
        <v>37.105024486005469</v>
      </c>
      <c r="J126" s="2918"/>
      <c r="K126" s="2918"/>
      <c r="L126" s="2918"/>
      <c r="M126" s="2918"/>
      <c r="N126" s="2918"/>
      <c r="O126" s="2918"/>
      <c r="P126" s="2918"/>
      <c r="Q126" s="2918"/>
      <c r="R126" s="2918"/>
      <c r="S126" s="2918"/>
      <c r="T126" s="2918"/>
      <c r="U126" s="2918"/>
      <c r="V126" s="2918"/>
      <c r="W126" s="2918"/>
      <c r="X126" s="2918"/>
      <c r="Y126" s="2918"/>
      <c r="Z126" s="2918"/>
      <c r="AA126" s="2918"/>
      <c r="AB126" s="2918"/>
      <c r="AC126" s="2918"/>
      <c r="AD126" s="2918"/>
      <c r="AE126" s="2918"/>
      <c r="AF126" s="2918"/>
      <c r="AG126" s="2918"/>
      <c r="AH126" s="2918"/>
      <c r="AI126" s="2918"/>
      <c r="AJ126" s="2918"/>
      <c r="AK126" s="2918"/>
      <c r="AL126" s="2918"/>
      <c r="AM126" s="2918"/>
      <c r="AN126" s="2918"/>
      <c r="AO126" s="2918"/>
      <c r="AP126" s="2918"/>
      <c r="AQ126" s="2918"/>
      <c r="AR126" s="2918"/>
      <c r="AS126" s="2918"/>
      <c r="AT126" s="2918"/>
      <c r="AU126" s="2918"/>
      <c r="AV126" s="2918"/>
      <c r="AW126" s="2918"/>
      <c r="AX126" s="2918"/>
      <c r="AY126" s="2918"/>
      <c r="AZ126" s="2918"/>
      <c r="BA126" s="2918"/>
      <c r="BB126" s="2918"/>
      <c r="BC126" s="2918"/>
      <c r="BD126" s="2918"/>
      <c r="BE126" s="2918"/>
      <c r="BF126" s="2918"/>
      <c r="BG126" s="2918"/>
      <c r="BH126" s="2918"/>
      <c r="BI126" s="2918"/>
      <c r="BJ126" s="2918"/>
      <c r="BK126" s="2918"/>
      <c r="BL126" s="2918"/>
      <c r="BM126" s="2918"/>
      <c r="BN126" s="2918"/>
      <c r="BO126" s="2918"/>
      <c r="BP126" s="2918"/>
      <c r="BQ126" s="2918"/>
      <c r="BR126" s="2918"/>
      <c r="BS126" s="2918"/>
      <c r="BT126" s="2918"/>
      <c r="BU126" s="2918"/>
      <c r="BV126" s="2918"/>
      <c r="BW126" s="2918"/>
      <c r="BX126" s="2918"/>
      <c r="BY126" s="2918"/>
      <c r="BZ126" s="2918"/>
      <c r="CA126" s="2918"/>
      <c r="CB126" s="2918"/>
      <c r="CC126" s="2918"/>
      <c r="CD126" s="2918"/>
      <c r="CE126" s="2918"/>
      <c r="CF126" s="2918"/>
      <c r="CG126" s="2918"/>
      <c r="CH126" s="2918"/>
      <c r="CI126" s="2918"/>
      <c r="CJ126" s="2918"/>
      <c r="CK126" s="2918"/>
      <c r="CL126" s="2918"/>
      <c r="CM126" s="2918"/>
      <c r="CN126" s="2918"/>
      <c r="CO126" s="2918"/>
      <c r="CP126" s="2918"/>
      <c r="CQ126" s="2918"/>
      <c r="CR126" s="2918"/>
      <c r="CS126" s="2918"/>
      <c r="CT126" s="2918"/>
      <c r="CU126" s="2918"/>
      <c r="CV126" s="2918"/>
      <c r="CW126" s="2918"/>
      <c r="CX126" s="2918"/>
      <c r="CY126" s="2918"/>
      <c r="CZ126" s="2918"/>
      <c r="DA126" s="2918"/>
      <c r="DB126" s="2918"/>
      <c r="DC126" s="2918"/>
      <c r="DD126" s="2918"/>
      <c r="DE126" s="2918"/>
      <c r="DF126" s="2918"/>
      <c r="DG126" s="2918"/>
      <c r="DH126" s="2918"/>
      <c r="DI126" s="2918"/>
      <c r="DJ126" s="2918"/>
      <c r="DK126" s="2918"/>
      <c r="DL126" s="2918"/>
      <c r="DM126" s="2918"/>
      <c r="DN126" s="2918"/>
      <c r="DO126" s="2918"/>
      <c r="DP126" s="2918"/>
      <c r="DQ126" s="2918"/>
      <c r="DR126" s="2918"/>
      <c r="DS126" s="2918"/>
      <c r="DT126" s="2918"/>
      <c r="DU126" s="2918"/>
      <c r="DV126" s="2918"/>
      <c r="DW126" s="2918"/>
      <c r="DX126" s="2918"/>
      <c r="DY126" s="2918"/>
      <c r="DZ126" s="2918"/>
      <c r="EA126" s="2918"/>
      <c r="EB126" s="2918"/>
      <c r="EC126" s="2918"/>
      <c r="ED126" s="2918"/>
      <c r="EE126" s="2918"/>
      <c r="EF126" s="2918"/>
      <c r="EG126" s="2918"/>
      <c r="EH126" s="2918"/>
      <c r="EI126" s="2918"/>
      <c r="EJ126" s="2918"/>
      <c r="EK126" s="2918"/>
      <c r="EL126" s="2918"/>
      <c r="EM126" s="2918"/>
      <c r="EN126" s="2918"/>
      <c r="EO126" s="2918"/>
      <c r="EP126" s="2918"/>
      <c r="EQ126" s="2918"/>
      <c r="ER126" s="2918"/>
      <c r="ES126" s="2918"/>
      <c r="ET126" s="2918"/>
      <c r="EU126" s="2918"/>
      <c r="EV126" s="2918"/>
      <c r="EW126" s="2918"/>
      <c r="EX126" s="2918"/>
      <c r="EY126" s="2918"/>
      <c r="EZ126" s="2918"/>
      <c r="FA126" s="2918"/>
      <c r="FB126" s="2918"/>
      <c r="FC126" s="2918"/>
      <c r="FD126" s="2918"/>
      <c r="FE126" s="2918"/>
      <c r="FF126" s="2918"/>
      <c r="FG126" s="2918"/>
      <c r="FH126" s="2918"/>
      <c r="FI126" s="2918"/>
      <c r="FJ126" s="2918"/>
      <c r="FK126" s="2918"/>
      <c r="FL126" s="2918"/>
      <c r="FM126" s="2918"/>
      <c r="FN126" s="2918"/>
      <c r="FO126" s="2918"/>
      <c r="FP126" s="2918"/>
      <c r="FQ126" s="2918"/>
      <c r="FR126" s="2918"/>
      <c r="FS126" s="2918"/>
      <c r="FT126" s="2918"/>
      <c r="FU126" s="2918"/>
      <c r="FV126" s="2918"/>
      <c r="FW126" s="2918"/>
      <c r="FX126" s="2918"/>
      <c r="FY126" s="2918"/>
      <c r="FZ126" s="2918"/>
      <c r="GA126" s="2918"/>
      <c r="GB126" s="2918"/>
      <c r="GC126" s="2918"/>
      <c r="GD126" s="2918"/>
      <c r="GE126" s="2918"/>
      <c r="GF126" s="2918"/>
      <c r="GG126" s="2918"/>
      <c r="GH126" s="2918"/>
      <c r="GI126" s="2918"/>
      <c r="GJ126" s="2918"/>
      <c r="GK126" s="2918"/>
      <c r="GL126" s="2918"/>
      <c r="GM126" s="2918"/>
      <c r="GN126" s="2918"/>
      <c r="GO126" s="2918"/>
      <c r="GP126" s="2918"/>
      <c r="GQ126" s="2918"/>
      <c r="GR126" s="2918"/>
      <c r="GS126" s="2918"/>
      <c r="GT126" s="2918"/>
      <c r="GU126" s="2918"/>
      <c r="GV126" s="2918"/>
      <c r="GW126" s="2918"/>
      <c r="GX126" s="2918"/>
      <c r="GY126" s="2918"/>
      <c r="GZ126" s="2918"/>
      <c r="HA126" s="2918"/>
      <c r="HB126" s="2918"/>
      <c r="HC126" s="2918"/>
      <c r="HD126" s="2918"/>
      <c r="HE126" s="2918"/>
      <c r="HF126" s="2918"/>
      <c r="HG126" s="2918"/>
      <c r="HH126" s="2918"/>
      <c r="HI126" s="2918"/>
      <c r="HJ126" s="2918"/>
      <c r="HK126" s="2918"/>
      <c r="HL126" s="2918"/>
      <c r="HM126" s="2918"/>
      <c r="HN126" s="2918"/>
      <c r="HO126" s="2918"/>
      <c r="HP126" s="2918"/>
      <c r="HQ126" s="2918"/>
      <c r="HR126" s="2918"/>
      <c r="HS126" s="2918"/>
      <c r="HT126" s="2918"/>
      <c r="HU126" s="2918"/>
      <c r="HV126" s="2918"/>
      <c r="HW126" s="2918"/>
      <c r="HX126" s="2918"/>
      <c r="HY126" s="2918"/>
      <c r="HZ126" s="2918"/>
      <c r="IA126" s="2918"/>
      <c r="IB126" s="2918"/>
      <c r="IC126" s="2918"/>
      <c r="ID126" s="2918"/>
      <c r="IE126" s="2918"/>
      <c r="IF126" s="2918"/>
      <c r="IG126" s="2918"/>
      <c r="IH126" s="2918"/>
      <c r="II126" s="2918"/>
      <c r="IJ126" s="2918"/>
      <c r="IK126" s="2918"/>
      <c r="IL126" s="2918"/>
      <c r="IM126" s="2918"/>
      <c r="IN126" s="2918"/>
      <c r="IO126" s="2918"/>
      <c r="IP126" s="2918"/>
      <c r="IQ126" s="2918"/>
      <c r="IR126" s="2918"/>
      <c r="IS126" s="2918"/>
      <c r="IT126" s="2918"/>
      <c r="IU126" s="2918"/>
      <c r="IV126" s="2918"/>
    </row>
    <row r="127" spans="1:256" customFormat="1">
      <c r="A127" s="4648"/>
      <c r="B127" s="4653"/>
      <c r="C127" s="2901">
        <v>280</v>
      </c>
      <c r="D127" s="3062" t="s">
        <v>12578</v>
      </c>
      <c r="E127" s="3064"/>
      <c r="F127" s="3064"/>
      <c r="G127" s="3064"/>
      <c r="H127" s="3068">
        <f t="shared" si="4"/>
        <v>21.751336648213975</v>
      </c>
      <c r="I127" s="3069">
        <f t="shared" si="4"/>
        <v>38.168967840442903</v>
      </c>
      <c r="J127" s="2918"/>
      <c r="K127" s="2918"/>
      <c r="L127" s="2918"/>
      <c r="M127" s="2918"/>
      <c r="N127" s="2918"/>
      <c r="O127" s="2918"/>
      <c r="P127" s="2918"/>
      <c r="Q127" s="2918"/>
      <c r="R127" s="2918"/>
      <c r="S127" s="2918"/>
      <c r="T127" s="2918"/>
      <c r="U127" s="2918"/>
      <c r="V127" s="2918"/>
      <c r="W127" s="2918"/>
      <c r="X127" s="2918"/>
      <c r="Y127" s="2918"/>
      <c r="Z127" s="2918"/>
      <c r="AA127" s="2918"/>
      <c r="AB127" s="2918"/>
      <c r="AC127" s="2918"/>
      <c r="AD127" s="2918"/>
      <c r="AE127" s="2918"/>
      <c r="AF127" s="2918"/>
      <c r="AG127" s="2918"/>
      <c r="AH127" s="2918"/>
      <c r="AI127" s="2918"/>
      <c r="AJ127" s="2918"/>
      <c r="AK127" s="2918"/>
      <c r="AL127" s="2918"/>
      <c r="AM127" s="2918"/>
      <c r="AN127" s="2918"/>
      <c r="AO127" s="2918"/>
      <c r="AP127" s="2918"/>
      <c r="AQ127" s="2918"/>
      <c r="AR127" s="2918"/>
      <c r="AS127" s="2918"/>
      <c r="AT127" s="2918"/>
      <c r="AU127" s="2918"/>
      <c r="AV127" s="2918"/>
      <c r="AW127" s="2918"/>
      <c r="AX127" s="2918"/>
      <c r="AY127" s="2918"/>
      <c r="AZ127" s="2918"/>
      <c r="BA127" s="2918"/>
      <c r="BB127" s="2918"/>
      <c r="BC127" s="2918"/>
      <c r="BD127" s="2918"/>
      <c r="BE127" s="2918"/>
      <c r="BF127" s="2918"/>
      <c r="BG127" s="2918"/>
      <c r="BH127" s="2918"/>
      <c r="BI127" s="2918"/>
      <c r="BJ127" s="2918"/>
      <c r="BK127" s="2918"/>
      <c r="BL127" s="2918"/>
      <c r="BM127" s="2918"/>
      <c r="BN127" s="2918"/>
      <c r="BO127" s="2918"/>
      <c r="BP127" s="2918"/>
      <c r="BQ127" s="2918"/>
      <c r="BR127" s="2918"/>
      <c r="BS127" s="2918"/>
      <c r="BT127" s="2918"/>
      <c r="BU127" s="2918"/>
      <c r="BV127" s="2918"/>
      <c r="BW127" s="2918"/>
      <c r="BX127" s="2918"/>
      <c r="BY127" s="2918"/>
      <c r="BZ127" s="2918"/>
      <c r="CA127" s="2918"/>
      <c r="CB127" s="2918"/>
      <c r="CC127" s="2918"/>
      <c r="CD127" s="2918"/>
      <c r="CE127" s="2918"/>
      <c r="CF127" s="2918"/>
      <c r="CG127" s="2918"/>
      <c r="CH127" s="2918"/>
      <c r="CI127" s="2918"/>
      <c r="CJ127" s="2918"/>
      <c r="CK127" s="2918"/>
      <c r="CL127" s="2918"/>
      <c r="CM127" s="2918"/>
      <c r="CN127" s="2918"/>
      <c r="CO127" s="2918"/>
      <c r="CP127" s="2918"/>
      <c r="CQ127" s="2918"/>
      <c r="CR127" s="2918"/>
      <c r="CS127" s="2918"/>
      <c r="CT127" s="2918"/>
      <c r="CU127" s="2918"/>
      <c r="CV127" s="2918"/>
      <c r="CW127" s="2918"/>
      <c r="CX127" s="2918"/>
      <c r="CY127" s="2918"/>
      <c r="CZ127" s="2918"/>
      <c r="DA127" s="2918"/>
      <c r="DB127" s="2918"/>
      <c r="DC127" s="2918"/>
      <c r="DD127" s="2918"/>
      <c r="DE127" s="2918"/>
      <c r="DF127" s="2918"/>
      <c r="DG127" s="2918"/>
      <c r="DH127" s="2918"/>
      <c r="DI127" s="2918"/>
      <c r="DJ127" s="2918"/>
      <c r="DK127" s="2918"/>
      <c r="DL127" s="2918"/>
      <c r="DM127" s="2918"/>
      <c r="DN127" s="2918"/>
      <c r="DO127" s="2918"/>
      <c r="DP127" s="2918"/>
      <c r="DQ127" s="2918"/>
      <c r="DR127" s="2918"/>
      <c r="DS127" s="2918"/>
      <c r="DT127" s="2918"/>
      <c r="DU127" s="2918"/>
      <c r="DV127" s="2918"/>
      <c r="DW127" s="2918"/>
      <c r="DX127" s="2918"/>
      <c r="DY127" s="2918"/>
      <c r="DZ127" s="2918"/>
      <c r="EA127" s="2918"/>
      <c r="EB127" s="2918"/>
      <c r="EC127" s="2918"/>
      <c r="ED127" s="2918"/>
      <c r="EE127" s="2918"/>
      <c r="EF127" s="2918"/>
      <c r="EG127" s="2918"/>
      <c r="EH127" s="2918"/>
      <c r="EI127" s="2918"/>
      <c r="EJ127" s="2918"/>
      <c r="EK127" s="2918"/>
      <c r="EL127" s="2918"/>
      <c r="EM127" s="2918"/>
      <c r="EN127" s="2918"/>
      <c r="EO127" s="2918"/>
      <c r="EP127" s="2918"/>
      <c r="EQ127" s="2918"/>
      <c r="ER127" s="2918"/>
      <c r="ES127" s="2918"/>
      <c r="ET127" s="2918"/>
      <c r="EU127" s="2918"/>
      <c r="EV127" s="2918"/>
      <c r="EW127" s="2918"/>
      <c r="EX127" s="2918"/>
      <c r="EY127" s="2918"/>
      <c r="EZ127" s="2918"/>
      <c r="FA127" s="2918"/>
      <c r="FB127" s="2918"/>
      <c r="FC127" s="2918"/>
      <c r="FD127" s="2918"/>
      <c r="FE127" s="2918"/>
      <c r="FF127" s="2918"/>
      <c r="FG127" s="2918"/>
      <c r="FH127" s="2918"/>
      <c r="FI127" s="2918"/>
      <c r="FJ127" s="2918"/>
      <c r="FK127" s="2918"/>
      <c r="FL127" s="2918"/>
      <c r="FM127" s="2918"/>
      <c r="FN127" s="2918"/>
      <c r="FO127" s="2918"/>
      <c r="FP127" s="2918"/>
      <c r="FQ127" s="2918"/>
      <c r="FR127" s="2918"/>
      <c r="FS127" s="2918"/>
      <c r="FT127" s="2918"/>
      <c r="FU127" s="2918"/>
      <c r="FV127" s="2918"/>
      <c r="FW127" s="2918"/>
      <c r="FX127" s="2918"/>
      <c r="FY127" s="2918"/>
      <c r="FZ127" s="2918"/>
      <c r="GA127" s="2918"/>
      <c r="GB127" s="2918"/>
      <c r="GC127" s="2918"/>
      <c r="GD127" s="2918"/>
      <c r="GE127" s="2918"/>
      <c r="GF127" s="2918"/>
      <c r="GG127" s="2918"/>
      <c r="GH127" s="2918"/>
      <c r="GI127" s="2918"/>
      <c r="GJ127" s="2918"/>
      <c r="GK127" s="2918"/>
      <c r="GL127" s="2918"/>
      <c r="GM127" s="2918"/>
      <c r="GN127" s="2918"/>
      <c r="GO127" s="2918"/>
      <c r="GP127" s="2918"/>
      <c r="GQ127" s="2918"/>
      <c r="GR127" s="2918"/>
      <c r="GS127" s="2918"/>
      <c r="GT127" s="2918"/>
      <c r="GU127" s="2918"/>
      <c r="GV127" s="2918"/>
      <c r="GW127" s="2918"/>
      <c r="GX127" s="2918"/>
      <c r="GY127" s="2918"/>
      <c r="GZ127" s="2918"/>
      <c r="HA127" s="2918"/>
      <c r="HB127" s="2918"/>
      <c r="HC127" s="2918"/>
      <c r="HD127" s="2918"/>
      <c r="HE127" s="2918"/>
      <c r="HF127" s="2918"/>
      <c r="HG127" s="2918"/>
      <c r="HH127" s="2918"/>
      <c r="HI127" s="2918"/>
      <c r="HJ127" s="2918"/>
      <c r="HK127" s="2918"/>
      <c r="HL127" s="2918"/>
      <c r="HM127" s="2918"/>
      <c r="HN127" s="2918"/>
      <c r="HO127" s="2918"/>
      <c r="HP127" s="2918"/>
      <c r="HQ127" s="2918"/>
      <c r="HR127" s="2918"/>
      <c r="HS127" s="2918"/>
      <c r="HT127" s="2918"/>
      <c r="HU127" s="2918"/>
      <c r="HV127" s="2918"/>
      <c r="HW127" s="2918"/>
      <c r="HX127" s="2918"/>
      <c r="HY127" s="2918"/>
      <c r="HZ127" s="2918"/>
      <c r="IA127" s="2918"/>
      <c r="IB127" s="2918"/>
      <c r="IC127" s="2918"/>
      <c r="ID127" s="2918"/>
      <c r="IE127" s="2918"/>
      <c r="IF127" s="2918"/>
      <c r="IG127" s="2918"/>
      <c r="IH127" s="2918"/>
      <c r="II127" s="2918"/>
      <c r="IJ127" s="2918"/>
      <c r="IK127" s="2918"/>
      <c r="IL127" s="2918"/>
      <c r="IM127" s="2918"/>
      <c r="IN127" s="2918"/>
      <c r="IO127" s="2918"/>
      <c r="IP127" s="2918"/>
      <c r="IQ127" s="2918"/>
      <c r="IR127" s="2918"/>
      <c r="IS127" s="2918"/>
      <c r="IT127" s="2918"/>
      <c r="IU127" s="2918"/>
      <c r="IV127" s="2918"/>
    </row>
    <row r="128" spans="1:256" customFormat="1">
      <c r="A128" s="4648"/>
      <c r="B128" s="4653"/>
      <c r="C128" s="2901">
        <v>290</v>
      </c>
      <c r="D128" s="3062" t="s">
        <v>12578</v>
      </c>
      <c r="E128" s="3064"/>
      <c r="F128" s="3064"/>
      <c r="G128" s="3064"/>
      <c r="H128" s="3068">
        <f t="shared" si="4"/>
        <v>22.513738914187126</v>
      </c>
      <c r="I128" s="3069">
        <f t="shared" si="4"/>
        <v>39.498897033489691</v>
      </c>
      <c r="J128" s="2918"/>
      <c r="K128" s="2918"/>
      <c r="L128" s="2918"/>
      <c r="M128" s="2918"/>
      <c r="N128" s="2918"/>
      <c r="O128" s="2918"/>
      <c r="P128" s="2918"/>
      <c r="Q128" s="2918"/>
      <c r="R128" s="2918"/>
      <c r="S128" s="2918"/>
      <c r="T128" s="2918"/>
      <c r="U128" s="2918"/>
      <c r="V128" s="2918"/>
      <c r="W128" s="2918"/>
      <c r="X128" s="2918"/>
      <c r="Y128" s="2918"/>
      <c r="Z128" s="2918"/>
      <c r="AA128" s="2918"/>
      <c r="AB128" s="2918"/>
      <c r="AC128" s="2918"/>
      <c r="AD128" s="2918"/>
      <c r="AE128" s="2918"/>
      <c r="AF128" s="2918"/>
      <c r="AG128" s="2918"/>
      <c r="AH128" s="2918"/>
      <c r="AI128" s="2918"/>
      <c r="AJ128" s="2918"/>
      <c r="AK128" s="2918"/>
      <c r="AL128" s="2918"/>
      <c r="AM128" s="2918"/>
      <c r="AN128" s="2918"/>
      <c r="AO128" s="2918"/>
      <c r="AP128" s="2918"/>
      <c r="AQ128" s="2918"/>
      <c r="AR128" s="2918"/>
      <c r="AS128" s="2918"/>
      <c r="AT128" s="2918"/>
      <c r="AU128" s="2918"/>
      <c r="AV128" s="2918"/>
      <c r="AW128" s="2918"/>
      <c r="AX128" s="2918"/>
      <c r="AY128" s="2918"/>
      <c r="AZ128" s="2918"/>
      <c r="BA128" s="2918"/>
      <c r="BB128" s="2918"/>
      <c r="BC128" s="2918"/>
      <c r="BD128" s="2918"/>
      <c r="BE128" s="2918"/>
      <c r="BF128" s="2918"/>
      <c r="BG128" s="2918"/>
      <c r="BH128" s="2918"/>
      <c r="BI128" s="2918"/>
      <c r="BJ128" s="2918"/>
      <c r="BK128" s="2918"/>
      <c r="BL128" s="2918"/>
      <c r="BM128" s="2918"/>
      <c r="BN128" s="2918"/>
      <c r="BO128" s="2918"/>
      <c r="BP128" s="2918"/>
      <c r="BQ128" s="2918"/>
      <c r="BR128" s="2918"/>
      <c r="BS128" s="2918"/>
      <c r="BT128" s="2918"/>
      <c r="BU128" s="2918"/>
      <c r="BV128" s="2918"/>
      <c r="BW128" s="2918"/>
      <c r="BX128" s="2918"/>
      <c r="BY128" s="2918"/>
      <c r="BZ128" s="2918"/>
      <c r="CA128" s="2918"/>
      <c r="CB128" s="2918"/>
      <c r="CC128" s="2918"/>
      <c r="CD128" s="2918"/>
      <c r="CE128" s="2918"/>
      <c r="CF128" s="2918"/>
      <c r="CG128" s="2918"/>
      <c r="CH128" s="2918"/>
      <c r="CI128" s="2918"/>
      <c r="CJ128" s="2918"/>
      <c r="CK128" s="2918"/>
      <c r="CL128" s="2918"/>
      <c r="CM128" s="2918"/>
      <c r="CN128" s="2918"/>
      <c r="CO128" s="2918"/>
      <c r="CP128" s="2918"/>
      <c r="CQ128" s="2918"/>
      <c r="CR128" s="2918"/>
      <c r="CS128" s="2918"/>
      <c r="CT128" s="2918"/>
      <c r="CU128" s="2918"/>
      <c r="CV128" s="2918"/>
      <c r="CW128" s="2918"/>
      <c r="CX128" s="2918"/>
      <c r="CY128" s="2918"/>
      <c r="CZ128" s="2918"/>
      <c r="DA128" s="2918"/>
      <c r="DB128" s="2918"/>
      <c r="DC128" s="2918"/>
      <c r="DD128" s="2918"/>
      <c r="DE128" s="2918"/>
      <c r="DF128" s="2918"/>
      <c r="DG128" s="2918"/>
      <c r="DH128" s="2918"/>
      <c r="DI128" s="2918"/>
      <c r="DJ128" s="2918"/>
      <c r="DK128" s="2918"/>
      <c r="DL128" s="2918"/>
      <c r="DM128" s="2918"/>
      <c r="DN128" s="2918"/>
      <c r="DO128" s="2918"/>
      <c r="DP128" s="2918"/>
      <c r="DQ128" s="2918"/>
      <c r="DR128" s="2918"/>
      <c r="DS128" s="2918"/>
      <c r="DT128" s="2918"/>
      <c r="DU128" s="2918"/>
      <c r="DV128" s="2918"/>
      <c r="DW128" s="2918"/>
      <c r="DX128" s="2918"/>
      <c r="DY128" s="2918"/>
      <c r="DZ128" s="2918"/>
      <c r="EA128" s="2918"/>
      <c r="EB128" s="2918"/>
      <c r="EC128" s="2918"/>
      <c r="ED128" s="2918"/>
      <c r="EE128" s="2918"/>
      <c r="EF128" s="2918"/>
      <c r="EG128" s="2918"/>
      <c r="EH128" s="2918"/>
      <c r="EI128" s="2918"/>
      <c r="EJ128" s="2918"/>
      <c r="EK128" s="2918"/>
      <c r="EL128" s="2918"/>
      <c r="EM128" s="2918"/>
      <c r="EN128" s="2918"/>
      <c r="EO128" s="2918"/>
      <c r="EP128" s="2918"/>
      <c r="EQ128" s="2918"/>
      <c r="ER128" s="2918"/>
      <c r="ES128" s="2918"/>
      <c r="ET128" s="2918"/>
      <c r="EU128" s="2918"/>
      <c r="EV128" s="2918"/>
      <c r="EW128" s="2918"/>
      <c r="EX128" s="2918"/>
      <c r="EY128" s="2918"/>
      <c r="EZ128" s="2918"/>
      <c r="FA128" s="2918"/>
      <c r="FB128" s="2918"/>
      <c r="FC128" s="2918"/>
      <c r="FD128" s="2918"/>
      <c r="FE128" s="2918"/>
      <c r="FF128" s="2918"/>
      <c r="FG128" s="2918"/>
      <c r="FH128" s="2918"/>
      <c r="FI128" s="2918"/>
      <c r="FJ128" s="2918"/>
      <c r="FK128" s="2918"/>
      <c r="FL128" s="2918"/>
      <c r="FM128" s="2918"/>
      <c r="FN128" s="2918"/>
      <c r="FO128" s="2918"/>
      <c r="FP128" s="2918"/>
      <c r="FQ128" s="2918"/>
      <c r="FR128" s="2918"/>
      <c r="FS128" s="2918"/>
      <c r="FT128" s="2918"/>
      <c r="FU128" s="2918"/>
      <c r="FV128" s="2918"/>
      <c r="FW128" s="2918"/>
      <c r="FX128" s="2918"/>
      <c r="FY128" s="2918"/>
      <c r="FZ128" s="2918"/>
      <c r="GA128" s="2918"/>
      <c r="GB128" s="2918"/>
      <c r="GC128" s="2918"/>
      <c r="GD128" s="2918"/>
      <c r="GE128" s="2918"/>
      <c r="GF128" s="2918"/>
      <c r="GG128" s="2918"/>
      <c r="GH128" s="2918"/>
      <c r="GI128" s="2918"/>
      <c r="GJ128" s="2918"/>
      <c r="GK128" s="2918"/>
      <c r="GL128" s="2918"/>
      <c r="GM128" s="2918"/>
      <c r="GN128" s="2918"/>
      <c r="GO128" s="2918"/>
      <c r="GP128" s="2918"/>
      <c r="GQ128" s="2918"/>
      <c r="GR128" s="2918"/>
      <c r="GS128" s="2918"/>
      <c r="GT128" s="2918"/>
      <c r="GU128" s="2918"/>
      <c r="GV128" s="2918"/>
      <c r="GW128" s="2918"/>
      <c r="GX128" s="2918"/>
      <c r="GY128" s="2918"/>
      <c r="GZ128" s="2918"/>
      <c r="HA128" s="2918"/>
      <c r="HB128" s="2918"/>
      <c r="HC128" s="2918"/>
      <c r="HD128" s="2918"/>
      <c r="HE128" s="2918"/>
      <c r="HF128" s="2918"/>
      <c r="HG128" s="2918"/>
      <c r="HH128" s="2918"/>
      <c r="HI128" s="2918"/>
      <c r="HJ128" s="2918"/>
      <c r="HK128" s="2918"/>
      <c r="HL128" s="2918"/>
      <c r="HM128" s="2918"/>
      <c r="HN128" s="2918"/>
      <c r="HO128" s="2918"/>
      <c r="HP128" s="2918"/>
      <c r="HQ128" s="2918"/>
      <c r="HR128" s="2918"/>
      <c r="HS128" s="2918"/>
      <c r="HT128" s="2918"/>
      <c r="HU128" s="2918"/>
      <c r="HV128" s="2918"/>
      <c r="HW128" s="2918"/>
      <c r="HX128" s="2918"/>
      <c r="HY128" s="2918"/>
      <c r="HZ128" s="2918"/>
      <c r="IA128" s="2918"/>
      <c r="IB128" s="2918"/>
      <c r="IC128" s="2918"/>
      <c r="ID128" s="2918"/>
      <c r="IE128" s="2918"/>
      <c r="IF128" s="2918"/>
      <c r="IG128" s="2918"/>
      <c r="IH128" s="2918"/>
      <c r="II128" s="2918"/>
      <c r="IJ128" s="2918"/>
      <c r="IK128" s="2918"/>
      <c r="IL128" s="2918"/>
      <c r="IM128" s="2918"/>
      <c r="IN128" s="2918"/>
      <c r="IO128" s="2918"/>
      <c r="IP128" s="2918"/>
      <c r="IQ128" s="2918"/>
      <c r="IR128" s="2918"/>
      <c r="IS128" s="2918"/>
      <c r="IT128" s="2918"/>
      <c r="IU128" s="2918"/>
      <c r="IV128" s="2918"/>
    </row>
    <row r="129" spans="1:256" customFormat="1">
      <c r="A129" s="4648"/>
      <c r="B129" s="4653"/>
      <c r="C129" s="2901">
        <v>300</v>
      </c>
      <c r="D129" s="3062" t="s">
        <v>12578</v>
      </c>
      <c r="E129" s="3064"/>
      <c r="F129" s="3064"/>
      <c r="G129" s="3064"/>
      <c r="H129" s="3068">
        <f t="shared" si="4"/>
        <v>23.276141180160277</v>
      </c>
      <c r="I129" s="3069">
        <f t="shared" si="4"/>
        <v>40.828826226536485</v>
      </c>
      <c r="J129" s="2918"/>
      <c r="K129" s="2918"/>
      <c r="L129" s="2918"/>
      <c r="M129" s="2918"/>
      <c r="N129" s="2918"/>
      <c r="O129" s="2918"/>
      <c r="P129" s="2918"/>
      <c r="Q129" s="2918"/>
      <c r="R129" s="2918"/>
      <c r="S129" s="2918"/>
      <c r="T129" s="2918"/>
      <c r="U129" s="2918"/>
      <c r="V129" s="2918"/>
      <c r="W129" s="2918"/>
      <c r="X129" s="2918"/>
      <c r="Y129" s="2918"/>
      <c r="Z129" s="2918"/>
      <c r="AA129" s="2918"/>
      <c r="AB129" s="2918"/>
      <c r="AC129" s="2918"/>
      <c r="AD129" s="2918"/>
      <c r="AE129" s="2918"/>
      <c r="AF129" s="2918"/>
      <c r="AG129" s="2918"/>
      <c r="AH129" s="2918"/>
      <c r="AI129" s="2918"/>
      <c r="AJ129" s="2918"/>
      <c r="AK129" s="2918"/>
      <c r="AL129" s="2918"/>
      <c r="AM129" s="2918"/>
      <c r="AN129" s="2918"/>
      <c r="AO129" s="2918"/>
      <c r="AP129" s="2918"/>
      <c r="AQ129" s="2918"/>
      <c r="AR129" s="2918"/>
      <c r="AS129" s="2918"/>
      <c r="AT129" s="2918"/>
      <c r="AU129" s="2918"/>
      <c r="AV129" s="2918"/>
      <c r="AW129" s="2918"/>
      <c r="AX129" s="2918"/>
      <c r="AY129" s="2918"/>
      <c r="AZ129" s="2918"/>
      <c r="BA129" s="2918"/>
      <c r="BB129" s="2918"/>
      <c r="BC129" s="2918"/>
      <c r="BD129" s="2918"/>
      <c r="BE129" s="2918"/>
      <c r="BF129" s="2918"/>
      <c r="BG129" s="2918"/>
      <c r="BH129" s="2918"/>
      <c r="BI129" s="2918"/>
      <c r="BJ129" s="2918"/>
      <c r="BK129" s="2918"/>
      <c r="BL129" s="2918"/>
      <c r="BM129" s="2918"/>
      <c r="BN129" s="2918"/>
      <c r="BO129" s="2918"/>
      <c r="BP129" s="2918"/>
      <c r="BQ129" s="2918"/>
      <c r="BR129" s="2918"/>
      <c r="BS129" s="2918"/>
      <c r="BT129" s="2918"/>
      <c r="BU129" s="2918"/>
      <c r="BV129" s="2918"/>
      <c r="BW129" s="2918"/>
      <c r="BX129" s="2918"/>
      <c r="BY129" s="2918"/>
      <c r="BZ129" s="2918"/>
      <c r="CA129" s="2918"/>
      <c r="CB129" s="2918"/>
      <c r="CC129" s="2918"/>
      <c r="CD129" s="2918"/>
      <c r="CE129" s="2918"/>
      <c r="CF129" s="2918"/>
      <c r="CG129" s="2918"/>
      <c r="CH129" s="2918"/>
      <c r="CI129" s="2918"/>
      <c r="CJ129" s="2918"/>
      <c r="CK129" s="2918"/>
      <c r="CL129" s="2918"/>
      <c r="CM129" s="2918"/>
      <c r="CN129" s="2918"/>
      <c r="CO129" s="2918"/>
      <c r="CP129" s="2918"/>
      <c r="CQ129" s="2918"/>
      <c r="CR129" s="2918"/>
      <c r="CS129" s="2918"/>
      <c r="CT129" s="2918"/>
      <c r="CU129" s="2918"/>
      <c r="CV129" s="2918"/>
      <c r="CW129" s="2918"/>
      <c r="CX129" s="2918"/>
      <c r="CY129" s="2918"/>
      <c r="CZ129" s="2918"/>
      <c r="DA129" s="2918"/>
      <c r="DB129" s="2918"/>
      <c r="DC129" s="2918"/>
      <c r="DD129" s="2918"/>
      <c r="DE129" s="2918"/>
      <c r="DF129" s="2918"/>
      <c r="DG129" s="2918"/>
      <c r="DH129" s="2918"/>
      <c r="DI129" s="2918"/>
      <c r="DJ129" s="2918"/>
      <c r="DK129" s="2918"/>
      <c r="DL129" s="2918"/>
      <c r="DM129" s="2918"/>
      <c r="DN129" s="2918"/>
      <c r="DO129" s="2918"/>
      <c r="DP129" s="2918"/>
      <c r="DQ129" s="2918"/>
      <c r="DR129" s="2918"/>
      <c r="DS129" s="2918"/>
      <c r="DT129" s="2918"/>
      <c r="DU129" s="2918"/>
      <c r="DV129" s="2918"/>
      <c r="DW129" s="2918"/>
      <c r="DX129" s="2918"/>
      <c r="DY129" s="2918"/>
      <c r="DZ129" s="2918"/>
      <c r="EA129" s="2918"/>
      <c r="EB129" s="2918"/>
      <c r="EC129" s="2918"/>
      <c r="ED129" s="2918"/>
      <c r="EE129" s="2918"/>
      <c r="EF129" s="2918"/>
      <c r="EG129" s="2918"/>
      <c r="EH129" s="2918"/>
      <c r="EI129" s="2918"/>
      <c r="EJ129" s="2918"/>
      <c r="EK129" s="2918"/>
      <c r="EL129" s="2918"/>
      <c r="EM129" s="2918"/>
      <c r="EN129" s="2918"/>
      <c r="EO129" s="2918"/>
      <c r="EP129" s="2918"/>
      <c r="EQ129" s="2918"/>
      <c r="ER129" s="2918"/>
      <c r="ES129" s="2918"/>
      <c r="ET129" s="2918"/>
      <c r="EU129" s="2918"/>
      <c r="EV129" s="2918"/>
      <c r="EW129" s="2918"/>
      <c r="EX129" s="2918"/>
      <c r="EY129" s="2918"/>
      <c r="EZ129" s="2918"/>
      <c r="FA129" s="2918"/>
      <c r="FB129" s="2918"/>
      <c r="FC129" s="2918"/>
      <c r="FD129" s="2918"/>
      <c r="FE129" s="2918"/>
      <c r="FF129" s="2918"/>
      <c r="FG129" s="2918"/>
      <c r="FH129" s="2918"/>
      <c r="FI129" s="2918"/>
      <c r="FJ129" s="2918"/>
      <c r="FK129" s="2918"/>
      <c r="FL129" s="2918"/>
      <c r="FM129" s="2918"/>
      <c r="FN129" s="2918"/>
      <c r="FO129" s="2918"/>
      <c r="FP129" s="2918"/>
      <c r="FQ129" s="2918"/>
      <c r="FR129" s="2918"/>
      <c r="FS129" s="2918"/>
      <c r="FT129" s="2918"/>
      <c r="FU129" s="2918"/>
      <c r="FV129" s="2918"/>
      <c r="FW129" s="2918"/>
      <c r="FX129" s="2918"/>
      <c r="FY129" s="2918"/>
      <c r="FZ129" s="2918"/>
      <c r="GA129" s="2918"/>
      <c r="GB129" s="2918"/>
      <c r="GC129" s="2918"/>
      <c r="GD129" s="2918"/>
      <c r="GE129" s="2918"/>
      <c r="GF129" s="2918"/>
      <c r="GG129" s="2918"/>
      <c r="GH129" s="2918"/>
      <c r="GI129" s="2918"/>
      <c r="GJ129" s="2918"/>
      <c r="GK129" s="2918"/>
      <c r="GL129" s="2918"/>
      <c r="GM129" s="2918"/>
      <c r="GN129" s="2918"/>
      <c r="GO129" s="2918"/>
      <c r="GP129" s="2918"/>
      <c r="GQ129" s="2918"/>
      <c r="GR129" s="2918"/>
      <c r="GS129" s="2918"/>
      <c r="GT129" s="2918"/>
      <c r="GU129" s="2918"/>
      <c r="GV129" s="2918"/>
      <c r="GW129" s="2918"/>
      <c r="GX129" s="2918"/>
      <c r="GY129" s="2918"/>
      <c r="GZ129" s="2918"/>
      <c r="HA129" s="2918"/>
      <c r="HB129" s="2918"/>
      <c r="HC129" s="2918"/>
      <c r="HD129" s="2918"/>
      <c r="HE129" s="2918"/>
      <c r="HF129" s="2918"/>
      <c r="HG129" s="2918"/>
      <c r="HH129" s="2918"/>
      <c r="HI129" s="2918"/>
      <c r="HJ129" s="2918"/>
      <c r="HK129" s="2918"/>
      <c r="HL129" s="2918"/>
      <c r="HM129" s="2918"/>
      <c r="HN129" s="2918"/>
      <c r="HO129" s="2918"/>
      <c r="HP129" s="2918"/>
      <c r="HQ129" s="2918"/>
      <c r="HR129" s="2918"/>
      <c r="HS129" s="2918"/>
      <c r="HT129" s="2918"/>
      <c r="HU129" s="2918"/>
      <c r="HV129" s="2918"/>
      <c r="HW129" s="2918"/>
      <c r="HX129" s="2918"/>
      <c r="HY129" s="2918"/>
      <c r="HZ129" s="2918"/>
      <c r="IA129" s="2918"/>
      <c r="IB129" s="2918"/>
      <c r="IC129" s="2918"/>
      <c r="ID129" s="2918"/>
      <c r="IE129" s="2918"/>
      <c r="IF129" s="2918"/>
      <c r="IG129" s="2918"/>
      <c r="IH129" s="2918"/>
      <c r="II129" s="2918"/>
      <c r="IJ129" s="2918"/>
      <c r="IK129" s="2918"/>
      <c r="IL129" s="2918"/>
      <c r="IM129" s="2918"/>
      <c r="IN129" s="2918"/>
      <c r="IO129" s="2918"/>
      <c r="IP129" s="2918"/>
      <c r="IQ129" s="2918"/>
      <c r="IR129" s="2918"/>
      <c r="IS129" s="2918"/>
      <c r="IT129" s="2918"/>
      <c r="IU129" s="2918"/>
      <c r="IV129" s="2918"/>
    </row>
    <row r="130" spans="1:256" customFormat="1">
      <c r="A130" s="4648"/>
      <c r="B130" s="4653"/>
      <c r="C130" s="2901">
        <v>307</v>
      </c>
      <c r="D130" s="3062" t="s">
        <v>12578</v>
      </c>
      <c r="E130" s="3064"/>
      <c r="F130" s="3064"/>
      <c r="G130" s="3064"/>
      <c r="H130" s="3068">
        <f t="shared" si="4"/>
        <v>23.809822766341483</v>
      </c>
      <c r="I130" s="3069">
        <f t="shared" si="4"/>
        <v>41.759776661669243</v>
      </c>
      <c r="J130" s="2918"/>
      <c r="K130" s="2918"/>
      <c r="L130" s="2918"/>
      <c r="M130" s="2918"/>
      <c r="N130" s="2918"/>
      <c r="O130" s="2918"/>
      <c r="P130" s="2918"/>
      <c r="Q130" s="2918"/>
      <c r="R130" s="2918"/>
      <c r="S130" s="2918"/>
      <c r="T130" s="2918"/>
      <c r="U130" s="2918"/>
      <c r="V130" s="2918"/>
      <c r="W130" s="2918"/>
      <c r="X130" s="2918"/>
      <c r="Y130" s="2918"/>
      <c r="Z130" s="2918"/>
      <c r="AA130" s="2918"/>
      <c r="AB130" s="2918"/>
      <c r="AC130" s="2918"/>
      <c r="AD130" s="2918"/>
      <c r="AE130" s="2918"/>
      <c r="AF130" s="2918"/>
      <c r="AG130" s="2918"/>
      <c r="AH130" s="2918"/>
      <c r="AI130" s="2918"/>
      <c r="AJ130" s="2918"/>
      <c r="AK130" s="2918"/>
      <c r="AL130" s="2918"/>
      <c r="AM130" s="2918"/>
      <c r="AN130" s="2918"/>
      <c r="AO130" s="2918"/>
      <c r="AP130" s="2918"/>
      <c r="AQ130" s="2918"/>
      <c r="AR130" s="2918"/>
      <c r="AS130" s="2918"/>
      <c r="AT130" s="2918"/>
      <c r="AU130" s="2918"/>
      <c r="AV130" s="2918"/>
      <c r="AW130" s="2918"/>
      <c r="AX130" s="2918"/>
      <c r="AY130" s="2918"/>
      <c r="AZ130" s="2918"/>
      <c r="BA130" s="2918"/>
      <c r="BB130" s="2918"/>
      <c r="BC130" s="2918"/>
      <c r="BD130" s="2918"/>
      <c r="BE130" s="2918"/>
      <c r="BF130" s="2918"/>
      <c r="BG130" s="2918"/>
      <c r="BH130" s="2918"/>
      <c r="BI130" s="2918"/>
      <c r="BJ130" s="2918"/>
      <c r="BK130" s="2918"/>
      <c r="BL130" s="2918"/>
      <c r="BM130" s="2918"/>
      <c r="BN130" s="2918"/>
      <c r="BO130" s="2918"/>
      <c r="BP130" s="2918"/>
      <c r="BQ130" s="2918"/>
      <c r="BR130" s="2918"/>
      <c r="BS130" s="2918"/>
      <c r="BT130" s="2918"/>
      <c r="BU130" s="2918"/>
      <c r="BV130" s="2918"/>
      <c r="BW130" s="2918"/>
      <c r="BX130" s="2918"/>
      <c r="BY130" s="2918"/>
      <c r="BZ130" s="2918"/>
      <c r="CA130" s="2918"/>
      <c r="CB130" s="2918"/>
      <c r="CC130" s="2918"/>
      <c r="CD130" s="2918"/>
      <c r="CE130" s="2918"/>
      <c r="CF130" s="2918"/>
      <c r="CG130" s="2918"/>
      <c r="CH130" s="2918"/>
      <c r="CI130" s="2918"/>
      <c r="CJ130" s="2918"/>
      <c r="CK130" s="2918"/>
      <c r="CL130" s="2918"/>
      <c r="CM130" s="2918"/>
      <c r="CN130" s="2918"/>
      <c r="CO130" s="2918"/>
      <c r="CP130" s="2918"/>
      <c r="CQ130" s="2918"/>
      <c r="CR130" s="2918"/>
      <c r="CS130" s="2918"/>
      <c r="CT130" s="2918"/>
      <c r="CU130" s="2918"/>
      <c r="CV130" s="2918"/>
      <c r="CW130" s="2918"/>
      <c r="CX130" s="2918"/>
      <c r="CY130" s="2918"/>
      <c r="CZ130" s="2918"/>
      <c r="DA130" s="2918"/>
      <c r="DB130" s="2918"/>
      <c r="DC130" s="2918"/>
      <c r="DD130" s="2918"/>
      <c r="DE130" s="2918"/>
      <c r="DF130" s="2918"/>
      <c r="DG130" s="2918"/>
      <c r="DH130" s="2918"/>
      <c r="DI130" s="2918"/>
      <c r="DJ130" s="2918"/>
      <c r="DK130" s="2918"/>
      <c r="DL130" s="2918"/>
      <c r="DM130" s="2918"/>
      <c r="DN130" s="2918"/>
      <c r="DO130" s="2918"/>
      <c r="DP130" s="2918"/>
      <c r="DQ130" s="2918"/>
      <c r="DR130" s="2918"/>
      <c r="DS130" s="2918"/>
      <c r="DT130" s="2918"/>
      <c r="DU130" s="2918"/>
      <c r="DV130" s="2918"/>
      <c r="DW130" s="2918"/>
      <c r="DX130" s="2918"/>
      <c r="DY130" s="2918"/>
      <c r="DZ130" s="2918"/>
      <c r="EA130" s="2918"/>
      <c r="EB130" s="2918"/>
      <c r="EC130" s="2918"/>
      <c r="ED130" s="2918"/>
      <c r="EE130" s="2918"/>
      <c r="EF130" s="2918"/>
      <c r="EG130" s="2918"/>
      <c r="EH130" s="2918"/>
      <c r="EI130" s="2918"/>
      <c r="EJ130" s="2918"/>
      <c r="EK130" s="2918"/>
      <c r="EL130" s="2918"/>
      <c r="EM130" s="2918"/>
      <c r="EN130" s="2918"/>
      <c r="EO130" s="2918"/>
      <c r="EP130" s="2918"/>
      <c r="EQ130" s="2918"/>
      <c r="ER130" s="2918"/>
      <c r="ES130" s="2918"/>
      <c r="ET130" s="2918"/>
      <c r="EU130" s="2918"/>
      <c r="EV130" s="2918"/>
      <c r="EW130" s="2918"/>
      <c r="EX130" s="2918"/>
      <c r="EY130" s="2918"/>
      <c r="EZ130" s="2918"/>
      <c r="FA130" s="2918"/>
      <c r="FB130" s="2918"/>
      <c r="FC130" s="2918"/>
      <c r="FD130" s="2918"/>
      <c r="FE130" s="2918"/>
      <c r="FF130" s="2918"/>
      <c r="FG130" s="2918"/>
      <c r="FH130" s="2918"/>
      <c r="FI130" s="2918"/>
      <c r="FJ130" s="2918"/>
      <c r="FK130" s="2918"/>
      <c r="FL130" s="2918"/>
      <c r="FM130" s="2918"/>
      <c r="FN130" s="2918"/>
      <c r="FO130" s="2918"/>
      <c r="FP130" s="2918"/>
      <c r="FQ130" s="2918"/>
      <c r="FR130" s="2918"/>
      <c r="FS130" s="2918"/>
      <c r="FT130" s="2918"/>
      <c r="FU130" s="2918"/>
      <c r="FV130" s="2918"/>
      <c r="FW130" s="2918"/>
      <c r="FX130" s="2918"/>
      <c r="FY130" s="2918"/>
      <c r="FZ130" s="2918"/>
      <c r="GA130" s="2918"/>
      <c r="GB130" s="2918"/>
      <c r="GC130" s="2918"/>
      <c r="GD130" s="2918"/>
      <c r="GE130" s="2918"/>
      <c r="GF130" s="2918"/>
      <c r="GG130" s="2918"/>
      <c r="GH130" s="2918"/>
      <c r="GI130" s="2918"/>
      <c r="GJ130" s="2918"/>
      <c r="GK130" s="2918"/>
      <c r="GL130" s="2918"/>
      <c r="GM130" s="2918"/>
      <c r="GN130" s="2918"/>
      <c r="GO130" s="2918"/>
      <c r="GP130" s="2918"/>
      <c r="GQ130" s="2918"/>
      <c r="GR130" s="2918"/>
      <c r="GS130" s="2918"/>
      <c r="GT130" s="2918"/>
      <c r="GU130" s="2918"/>
      <c r="GV130" s="2918"/>
      <c r="GW130" s="2918"/>
      <c r="GX130" s="2918"/>
      <c r="GY130" s="2918"/>
      <c r="GZ130" s="2918"/>
      <c r="HA130" s="2918"/>
      <c r="HB130" s="2918"/>
      <c r="HC130" s="2918"/>
      <c r="HD130" s="2918"/>
      <c r="HE130" s="2918"/>
      <c r="HF130" s="2918"/>
      <c r="HG130" s="2918"/>
      <c r="HH130" s="2918"/>
      <c r="HI130" s="2918"/>
      <c r="HJ130" s="2918"/>
      <c r="HK130" s="2918"/>
      <c r="HL130" s="2918"/>
      <c r="HM130" s="2918"/>
      <c r="HN130" s="2918"/>
      <c r="HO130" s="2918"/>
      <c r="HP130" s="2918"/>
      <c r="HQ130" s="2918"/>
      <c r="HR130" s="2918"/>
      <c r="HS130" s="2918"/>
      <c r="HT130" s="2918"/>
      <c r="HU130" s="2918"/>
      <c r="HV130" s="2918"/>
      <c r="HW130" s="2918"/>
      <c r="HX130" s="2918"/>
      <c r="HY130" s="2918"/>
      <c r="HZ130" s="2918"/>
      <c r="IA130" s="2918"/>
      <c r="IB130" s="2918"/>
      <c r="IC130" s="2918"/>
      <c r="ID130" s="2918"/>
      <c r="IE130" s="2918"/>
      <c r="IF130" s="2918"/>
      <c r="IG130" s="2918"/>
      <c r="IH130" s="2918"/>
      <c r="II130" s="2918"/>
      <c r="IJ130" s="2918"/>
      <c r="IK130" s="2918"/>
      <c r="IL130" s="2918"/>
      <c r="IM130" s="2918"/>
      <c r="IN130" s="2918"/>
      <c r="IO130" s="2918"/>
      <c r="IP130" s="2918"/>
      <c r="IQ130" s="2918"/>
      <c r="IR130" s="2918"/>
      <c r="IS130" s="2918"/>
      <c r="IT130" s="2918"/>
      <c r="IU130" s="2918"/>
      <c r="IV130" s="2918"/>
    </row>
    <row r="131" spans="1:256" customFormat="1">
      <c r="A131" s="4648"/>
      <c r="B131" s="4653"/>
      <c r="C131" s="2901">
        <v>315</v>
      </c>
      <c r="D131" s="3062" t="s">
        <v>12578</v>
      </c>
      <c r="E131" s="3067"/>
      <c r="F131" s="3067"/>
      <c r="G131" s="3067"/>
      <c r="H131" s="3068">
        <f t="shared" si="4"/>
        <v>24.419744579120003</v>
      </c>
      <c r="I131" s="3069">
        <f t="shared" si="4"/>
        <v>42.82372001610667</v>
      </c>
      <c r="J131" s="2918"/>
      <c r="K131" s="2918"/>
      <c r="L131" s="2918"/>
      <c r="M131" s="2918"/>
      <c r="N131" s="2918"/>
      <c r="O131" s="2918"/>
      <c r="P131" s="2918"/>
      <c r="Q131" s="2918"/>
      <c r="R131" s="2918"/>
      <c r="S131" s="2918"/>
      <c r="T131" s="2918"/>
      <c r="U131" s="2918"/>
      <c r="V131" s="2918"/>
      <c r="W131" s="2918"/>
      <c r="X131" s="2918"/>
      <c r="Y131" s="2918"/>
      <c r="Z131" s="2918"/>
      <c r="AA131" s="2918"/>
      <c r="AB131" s="2918"/>
      <c r="AC131" s="2918"/>
      <c r="AD131" s="2918"/>
      <c r="AE131" s="2918"/>
      <c r="AF131" s="2918"/>
      <c r="AG131" s="2918"/>
      <c r="AH131" s="2918"/>
      <c r="AI131" s="2918"/>
      <c r="AJ131" s="2918"/>
      <c r="AK131" s="2918"/>
      <c r="AL131" s="2918"/>
      <c r="AM131" s="2918"/>
      <c r="AN131" s="2918"/>
      <c r="AO131" s="2918"/>
      <c r="AP131" s="2918"/>
      <c r="AQ131" s="2918"/>
      <c r="AR131" s="2918"/>
      <c r="AS131" s="2918"/>
      <c r="AT131" s="2918"/>
      <c r="AU131" s="2918"/>
      <c r="AV131" s="2918"/>
      <c r="AW131" s="2918"/>
      <c r="AX131" s="2918"/>
      <c r="AY131" s="2918"/>
      <c r="AZ131" s="2918"/>
      <c r="BA131" s="2918"/>
      <c r="BB131" s="2918"/>
      <c r="BC131" s="2918"/>
      <c r="BD131" s="2918"/>
      <c r="BE131" s="2918"/>
      <c r="BF131" s="2918"/>
      <c r="BG131" s="2918"/>
      <c r="BH131" s="2918"/>
      <c r="BI131" s="2918"/>
      <c r="BJ131" s="2918"/>
      <c r="BK131" s="2918"/>
      <c r="BL131" s="2918"/>
      <c r="BM131" s="2918"/>
      <c r="BN131" s="2918"/>
      <c r="BO131" s="2918"/>
      <c r="BP131" s="2918"/>
      <c r="BQ131" s="2918"/>
      <c r="BR131" s="2918"/>
      <c r="BS131" s="2918"/>
      <c r="BT131" s="2918"/>
      <c r="BU131" s="2918"/>
      <c r="BV131" s="2918"/>
      <c r="BW131" s="2918"/>
      <c r="BX131" s="2918"/>
      <c r="BY131" s="2918"/>
      <c r="BZ131" s="2918"/>
      <c r="CA131" s="2918"/>
      <c r="CB131" s="2918"/>
      <c r="CC131" s="2918"/>
      <c r="CD131" s="2918"/>
      <c r="CE131" s="2918"/>
      <c r="CF131" s="2918"/>
      <c r="CG131" s="2918"/>
      <c r="CH131" s="2918"/>
      <c r="CI131" s="2918"/>
      <c r="CJ131" s="2918"/>
      <c r="CK131" s="2918"/>
      <c r="CL131" s="2918"/>
      <c r="CM131" s="2918"/>
      <c r="CN131" s="2918"/>
      <c r="CO131" s="2918"/>
      <c r="CP131" s="2918"/>
      <c r="CQ131" s="2918"/>
      <c r="CR131" s="2918"/>
      <c r="CS131" s="2918"/>
      <c r="CT131" s="2918"/>
      <c r="CU131" s="2918"/>
      <c r="CV131" s="2918"/>
      <c r="CW131" s="2918"/>
      <c r="CX131" s="2918"/>
      <c r="CY131" s="2918"/>
      <c r="CZ131" s="2918"/>
      <c r="DA131" s="2918"/>
      <c r="DB131" s="2918"/>
      <c r="DC131" s="2918"/>
      <c r="DD131" s="2918"/>
      <c r="DE131" s="2918"/>
      <c r="DF131" s="2918"/>
      <c r="DG131" s="2918"/>
      <c r="DH131" s="2918"/>
      <c r="DI131" s="2918"/>
      <c r="DJ131" s="2918"/>
      <c r="DK131" s="2918"/>
      <c r="DL131" s="2918"/>
      <c r="DM131" s="2918"/>
      <c r="DN131" s="2918"/>
      <c r="DO131" s="2918"/>
      <c r="DP131" s="2918"/>
      <c r="DQ131" s="2918"/>
      <c r="DR131" s="2918"/>
      <c r="DS131" s="2918"/>
      <c r="DT131" s="2918"/>
      <c r="DU131" s="2918"/>
      <c r="DV131" s="2918"/>
      <c r="DW131" s="2918"/>
      <c r="DX131" s="2918"/>
      <c r="DY131" s="2918"/>
      <c r="DZ131" s="2918"/>
      <c r="EA131" s="2918"/>
      <c r="EB131" s="2918"/>
      <c r="EC131" s="2918"/>
      <c r="ED131" s="2918"/>
      <c r="EE131" s="2918"/>
      <c r="EF131" s="2918"/>
      <c r="EG131" s="2918"/>
      <c r="EH131" s="2918"/>
      <c r="EI131" s="2918"/>
      <c r="EJ131" s="2918"/>
      <c r="EK131" s="2918"/>
      <c r="EL131" s="2918"/>
      <c r="EM131" s="2918"/>
      <c r="EN131" s="2918"/>
      <c r="EO131" s="2918"/>
      <c r="EP131" s="2918"/>
      <c r="EQ131" s="2918"/>
      <c r="ER131" s="2918"/>
      <c r="ES131" s="2918"/>
      <c r="ET131" s="2918"/>
      <c r="EU131" s="2918"/>
      <c r="EV131" s="2918"/>
      <c r="EW131" s="2918"/>
      <c r="EX131" s="2918"/>
      <c r="EY131" s="2918"/>
      <c r="EZ131" s="2918"/>
      <c r="FA131" s="2918"/>
      <c r="FB131" s="2918"/>
      <c r="FC131" s="2918"/>
      <c r="FD131" s="2918"/>
      <c r="FE131" s="2918"/>
      <c r="FF131" s="2918"/>
      <c r="FG131" s="2918"/>
      <c r="FH131" s="2918"/>
      <c r="FI131" s="2918"/>
      <c r="FJ131" s="2918"/>
      <c r="FK131" s="2918"/>
      <c r="FL131" s="2918"/>
      <c r="FM131" s="2918"/>
      <c r="FN131" s="2918"/>
      <c r="FO131" s="2918"/>
      <c r="FP131" s="2918"/>
      <c r="FQ131" s="2918"/>
      <c r="FR131" s="2918"/>
      <c r="FS131" s="2918"/>
      <c r="FT131" s="2918"/>
      <c r="FU131" s="2918"/>
      <c r="FV131" s="2918"/>
      <c r="FW131" s="2918"/>
      <c r="FX131" s="2918"/>
      <c r="FY131" s="2918"/>
      <c r="FZ131" s="2918"/>
      <c r="GA131" s="2918"/>
      <c r="GB131" s="2918"/>
      <c r="GC131" s="2918"/>
      <c r="GD131" s="2918"/>
      <c r="GE131" s="2918"/>
      <c r="GF131" s="2918"/>
      <c r="GG131" s="2918"/>
      <c r="GH131" s="2918"/>
      <c r="GI131" s="2918"/>
      <c r="GJ131" s="2918"/>
      <c r="GK131" s="2918"/>
      <c r="GL131" s="2918"/>
      <c r="GM131" s="2918"/>
      <c r="GN131" s="2918"/>
      <c r="GO131" s="2918"/>
      <c r="GP131" s="2918"/>
      <c r="GQ131" s="2918"/>
      <c r="GR131" s="2918"/>
      <c r="GS131" s="2918"/>
      <c r="GT131" s="2918"/>
      <c r="GU131" s="2918"/>
      <c r="GV131" s="2918"/>
      <c r="GW131" s="2918"/>
      <c r="GX131" s="2918"/>
      <c r="GY131" s="2918"/>
      <c r="GZ131" s="2918"/>
      <c r="HA131" s="2918"/>
      <c r="HB131" s="2918"/>
      <c r="HC131" s="2918"/>
      <c r="HD131" s="2918"/>
      <c r="HE131" s="2918"/>
      <c r="HF131" s="2918"/>
      <c r="HG131" s="2918"/>
      <c r="HH131" s="2918"/>
      <c r="HI131" s="2918"/>
      <c r="HJ131" s="2918"/>
      <c r="HK131" s="2918"/>
      <c r="HL131" s="2918"/>
      <c r="HM131" s="2918"/>
      <c r="HN131" s="2918"/>
      <c r="HO131" s="2918"/>
      <c r="HP131" s="2918"/>
      <c r="HQ131" s="2918"/>
      <c r="HR131" s="2918"/>
      <c r="HS131" s="2918"/>
      <c r="HT131" s="2918"/>
      <c r="HU131" s="2918"/>
      <c r="HV131" s="2918"/>
      <c r="HW131" s="2918"/>
      <c r="HX131" s="2918"/>
      <c r="HY131" s="2918"/>
      <c r="HZ131" s="2918"/>
      <c r="IA131" s="2918"/>
      <c r="IB131" s="2918"/>
      <c r="IC131" s="2918"/>
      <c r="ID131" s="2918"/>
      <c r="IE131" s="2918"/>
      <c r="IF131" s="2918"/>
      <c r="IG131" s="2918"/>
      <c r="IH131" s="2918"/>
      <c r="II131" s="2918"/>
      <c r="IJ131" s="2918"/>
      <c r="IK131" s="2918"/>
      <c r="IL131" s="2918"/>
      <c r="IM131" s="2918"/>
      <c r="IN131" s="2918"/>
      <c r="IO131" s="2918"/>
      <c r="IP131" s="2918"/>
      <c r="IQ131" s="2918"/>
      <c r="IR131" s="2918"/>
      <c r="IS131" s="2918"/>
      <c r="IT131" s="2918"/>
      <c r="IU131" s="2918"/>
      <c r="IV131" s="2918"/>
    </row>
    <row r="132" spans="1:256" customFormat="1">
      <c r="A132" s="4648"/>
      <c r="B132" s="4653"/>
      <c r="C132" s="2901">
        <v>325</v>
      </c>
      <c r="D132" s="3062" t="s">
        <v>12579</v>
      </c>
      <c r="E132" s="3064"/>
      <c r="F132" s="3064"/>
      <c r="G132" s="3064"/>
      <c r="H132" s="3068">
        <f t="shared" si="4"/>
        <v>25.182146845093154</v>
      </c>
      <c r="I132" s="3069">
        <f t="shared" si="4"/>
        <v>44.153649209153464</v>
      </c>
      <c r="J132" s="2918"/>
      <c r="K132" s="2918"/>
      <c r="L132" s="2918"/>
      <c r="M132" s="2918"/>
      <c r="N132" s="2918"/>
      <c r="O132" s="2918"/>
      <c r="P132" s="2918"/>
      <c r="Q132" s="2918"/>
      <c r="R132" s="2918"/>
      <c r="S132" s="2918"/>
      <c r="T132" s="2918"/>
      <c r="U132" s="2918"/>
      <c r="V132" s="2918"/>
      <c r="W132" s="2918"/>
      <c r="X132" s="2918"/>
      <c r="Y132" s="2918"/>
      <c r="Z132" s="2918"/>
      <c r="AA132" s="2918"/>
      <c r="AB132" s="2918"/>
      <c r="AC132" s="2918"/>
      <c r="AD132" s="2918"/>
      <c r="AE132" s="2918"/>
      <c r="AF132" s="2918"/>
      <c r="AG132" s="2918"/>
      <c r="AH132" s="2918"/>
      <c r="AI132" s="2918"/>
      <c r="AJ132" s="2918"/>
      <c r="AK132" s="2918"/>
      <c r="AL132" s="2918"/>
      <c r="AM132" s="2918"/>
      <c r="AN132" s="2918"/>
      <c r="AO132" s="2918"/>
      <c r="AP132" s="2918"/>
      <c r="AQ132" s="2918"/>
      <c r="AR132" s="2918"/>
      <c r="AS132" s="2918"/>
      <c r="AT132" s="2918"/>
      <c r="AU132" s="2918"/>
      <c r="AV132" s="2918"/>
      <c r="AW132" s="2918"/>
      <c r="AX132" s="2918"/>
      <c r="AY132" s="2918"/>
      <c r="AZ132" s="2918"/>
      <c r="BA132" s="2918"/>
      <c r="BB132" s="2918"/>
      <c r="BC132" s="2918"/>
      <c r="BD132" s="2918"/>
      <c r="BE132" s="2918"/>
      <c r="BF132" s="2918"/>
      <c r="BG132" s="2918"/>
      <c r="BH132" s="2918"/>
      <c r="BI132" s="2918"/>
      <c r="BJ132" s="2918"/>
      <c r="BK132" s="2918"/>
      <c r="BL132" s="2918"/>
      <c r="BM132" s="2918"/>
      <c r="BN132" s="2918"/>
      <c r="BO132" s="2918"/>
      <c r="BP132" s="2918"/>
      <c r="BQ132" s="2918"/>
      <c r="BR132" s="2918"/>
      <c r="BS132" s="2918"/>
      <c r="BT132" s="2918"/>
      <c r="BU132" s="2918"/>
      <c r="BV132" s="2918"/>
      <c r="BW132" s="2918"/>
      <c r="BX132" s="2918"/>
      <c r="BY132" s="2918"/>
      <c r="BZ132" s="2918"/>
      <c r="CA132" s="2918"/>
      <c r="CB132" s="2918"/>
      <c r="CC132" s="2918"/>
      <c r="CD132" s="2918"/>
      <c r="CE132" s="2918"/>
      <c r="CF132" s="2918"/>
      <c r="CG132" s="2918"/>
      <c r="CH132" s="2918"/>
      <c r="CI132" s="2918"/>
      <c r="CJ132" s="2918"/>
      <c r="CK132" s="2918"/>
      <c r="CL132" s="2918"/>
      <c r="CM132" s="2918"/>
      <c r="CN132" s="2918"/>
      <c r="CO132" s="2918"/>
      <c r="CP132" s="2918"/>
      <c r="CQ132" s="2918"/>
      <c r="CR132" s="2918"/>
      <c r="CS132" s="2918"/>
      <c r="CT132" s="2918"/>
      <c r="CU132" s="2918"/>
      <c r="CV132" s="2918"/>
      <c r="CW132" s="2918"/>
      <c r="CX132" s="2918"/>
      <c r="CY132" s="2918"/>
      <c r="CZ132" s="2918"/>
      <c r="DA132" s="2918"/>
      <c r="DB132" s="2918"/>
      <c r="DC132" s="2918"/>
      <c r="DD132" s="2918"/>
      <c r="DE132" s="2918"/>
      <c r="DF132" s="2918"/>
      <c r="DG132" s="2918"/>
      <c r="DH132" s="2918"/>
      <c r="DI132" s="2918"/>
      <c r="DJ132" s="2918"/>
      <c r="DK132" s="2918"/>
      <c r="DL132" s="2918"/>
      <c r="DM132" s="2918"/>
      <c r="DN132" s="2918"/>
      <c r="DO132" s="2918"/>
      <c r="DP132" s="2918"/>
      <c r="DQ132" s="2918"/>
      <c r="DR132" s="2918"/>
      <c r="DS132" s="2918"/>
      <c r="DT132" s="2918"/>
      <c r="DU132" s="2918"/>
      <c r="DV132" s="2918"/>
      <c r="DW132" s="2918"/>
      <c r="DX132" s="2918"/>
      <c r="DY132" s="2918"/>
      <c r="DZ132" s="2918"/>
      <c r="EA132" s="2918"/>
      <c r="EB132" s="2918"/>
      <c r="EC132" s="2918"/>
      <c r="ED132" s="2918"/>
      <c r="EE132" s="2918"/>
      <c r="EF132" s="2918"/>
      <c r="EG132" s="2918"/>
      <c r="EH132" s="2918"/>
      <c r="EI132" s="2918"/>
      <c r="EJ132" s="2918"/>
      <c r="EK132" s="2918"/>
      <c r="EL132" s="2918"/>
      <c r="EM132" s="2918"/>
      <c r="EN132" s="2918"/>
      <c r="EO132" s="2918"/>
      <c r="EP132" s="2918"/>
      <c r="EQ132" s="2918"/>
      <c r="ER132" s="2918"/>
      <c r="ES132" s="2918"/>
      <c r="ET132" s="2918"/>
      <c r="EU132" s="2918"/>
      <c r="EV132" s="2918"/>
      <c r="EW132" s="2918"/>
      <c r="EX132" s="2918"/>
      <c r="EY132" s="2918"/>
      <c r="EZ132" s="2918"/>
      <c r="FA132" s="2918"/>
      <c r="FB132" s="2918"/>
      <c r="FC132" s="2918"/>
      <c r="FD132" s="2918"/>
      <c r="FE132" s="2918"/>
      <c r="FF132" s="2918"/>
      <c r="FG132" s="2918"/>
      <c r="FH132" s="2918"/>
      <c r="FI132" s="2918"/>
      <c r="FJ132" s="2918"/>
      <c r="FK132" s="2918"/>
      <c r="FL132" s="2918"/>
      <c r="FM132" s="2918"/>
      <c r="FN132" s="2918"/>
      <c r="FO132" s="2918"/>
      <c r="FP132" s="2918"/>
      <c r="FQ132" s="2918"/>
      <c r="FR132" s="2918"/>
      <c r="FS132" s="2918"/>
      <c r="FT132" s="2918"/>
      <c r="FU132" s="2918"/>
      <c r="FV132" s="2918"/>
      <c r="FW132" s="2918"/>
      <c r="FX132" s="2918"/>
      <c r="FY132" s="2918"/>
      <c r="FZ132" s="2918"/>
      <c r="GA132" s="2918"/>
      <c r="GB132" s="2918"/>
      <c r="GC132" s="2918"/>
      <c r="GD132" s="2918"/>
      <c r="GE132" s="2918"/>
      <c r="GF132" s="2918"/>
      <c r="GG132" s="2918"/>
      <c r="GH132" s="2918"/>
      <c r="GI132" s="2918"/>
      <c r="GJ132" s="2918"/>
      <c r="GK132" s="2918"/>
      <c r="GL132" s="2918"/>
      <c r="GM132" s="2918"/>
      <c r="GN132" s="2918"/>
      <c r="GO132" s="2918"/>
      <c r="GP132" s="2918"/>
      <c r="GQ132" s="2918"/>
      <c r="GR132" s="2918"/>
      <c r="GS132" s="2918"/>
      <c r="GT132" s="2918"/>
      <c r="GU132" s="2918"/>
      <c r="GV132" s="2918"/>
      <c r="GW132" s="2918"/>
      <c r="GX132" s="2918"/>
      <c r="GY132" s="2918"/>
      <c r="GZ132" s="2918"/>
      <c r="HA132" s="2918"/>
      <c r="HB132" s="2918"/>
      <c r="HC132" s="2918"/>
      <c r="HD132" s="2918"/>
      <c r="HE132" s="2918"/>
      <c r="HF132" s="2918"/>
      <c r="HG132" s="2918"/>
      <c r="HH132" s="2918"/>
      <c r="HI132" s="2918"/>
      <c r="HJ132" s="2918"/>
      <c r="HK132" s="2918"/>
      <c r="HL132" s="2918"/>
      <c r="HM132" s="2918"/>
      <c r="HN132" s="2918"/>
      <c r="HO132" s="2918"/>
      <c r="HP132" s="2918"/>
      <c r="HQ132" s="2918"/>
      <c r="HR132" s="2918"/>
      <c r="HS132" s="2918"/>
      <c r="HT132" s="2918"/>
      <c r="HU132" s="2918"/>
      <c r="HV132" s="2918"/>
      <c r="HW132" s="2918"/>
      <c r="HX132" s="2918"/>
      <c r="HY132" s="2918"/>
      <c r="HZ132" s="2918"/>
      <c r="IA132" s="2918"/>
      <c r="IB132" s="2918"/>
      <c r="IC132" s="2918"/>
      <c r="ID132" s="2918"/>
      <c r="IE132" s="2918"/>
      <c r="IF132" s="2918"/>
      <c r="IG132" s="2918"/>
      <c r="IH132" s="2918"/>
      <c r="II132" s="2918"/>
      <c r="IJ132" s="2918"/>
      <c r="IK132" s="2918"/>
      <c r="IL132" s="2918"/>
      <c r="IM132" s="2918"/>
      <c r="IN132" s="2918"/>
      <c r="IO132" s="2918"/>
      <c r="IP132" s="2918"/>
      <c r="IQ132" s="2918"/>
      <c r="IR132" s="2918"/>
      <c r="IS132" s="2918"/>
      <c r="IT132" s="2918"/>
      <c r="IU132" s="2918"/>
      <c r="IV132" s="2918"/>
    </row>
    <row r="133" spans="1:256" customFormat="1">
      <c r="A133" s="4648"/>
      <c r="B133" s="4653"/>
      <c r="C133" s="2901">
        <v>335</v>
      </c>
      <c r="D133" s="3062" t="s">
        <v>12579</v>
      </c>
      <c r="E133" s="3064"/>
      <c r="F133" s="3064"/>
      <c r="G133" s="3064"/>
      <c r="H133" s="3068">
        <f t="shared" si="4"/>
        <v>25.944549111066305</v>
      </c>
      <c r="I133" s="3069">
        <f t="shared" si="4"/>
        <v>45.483578402200258</v>
      </c>
      <c r="J133" s="2918"/>
      <c r="K133" s="2918"/>
      <c r="L133" s="2918"/>
      <c r="M133" s="2918"/>
      <c r="N133" s="2918"/>
      <c r="O133" s="2918"/>
      <c r="P133" s="2918"/>
      <c r="Q133" s="2918"/>
      <c r="R133" s="2918"/>
      <c r="S133" s="2918"/>
      <c r="T133" s="2918"/>
      <c r="U133" s="2918"/>
      <c r="V133" s="2918"/>
      <c r="W133" s="2918"/>
      <c r="X133" s="2918"/>
      <c r="Y133" s="2918"/>
      <c r="Z133" s="2918"/>
      <c r="AA133" s="2918"/>
      <c r="AB133" s="2918"/>
      <c r="AC133" s="2918"/>
      <c r="AD133" s="2918"/>
      <c r="AE133" s="2918"/>
      <c r="AF133" s="2918"/>
      <c r="AG133" s="2918"/>
      <c r="AH133" s="2918"/>
      <c r="AI133" s="2918"/>
      <c r="AJ133" s="2918"/>
      <c r="AK133" s="2918"/>
      <c r="AL133" s="2918"/>
      <c r="AM133" s="2918"/>
      <c r="AN133" s="2918"/>
      <c r="AO133" s="2918"/>
      <c r="AP133" s="2918"/>
      <c r="AQ133" s="2918"/>
      <c r="AR133" s="2918"/>
      <c r="AS133" s="2918"/>
      <c r="AT133" s="2918"/>
      <c r="AU133" s="2918"/>
      <c r="AV133" s="2918"/>
      <c r="AW133" s="2918"/>
      <c r="AX133" s="2918"/>
      <c r="AY133" s="2918"/>
      <c r="AZ133" s="2918"/>
      <c r="BA133" s="2918"/>
      <c r="BB133" s="2918"/>
      <c r="BC133" s="2918"/>
      <c r="BD133" s="2918"/>
      <c r="BE133" s="2918"/>
      <c r="BF133" s="2918"/>
      <c r="BG133" s="2918"/>
      <c r="BH133" s="2918"/>
      <c r="BI133" s="2918"/>
      <c r="BJ133" s="2918"/>
      <c r="BK133" s="2918"/>
      <c r="BL133" s="2918"/>
      <c r="BM133" s="2918"/>
      <c r="BN133" s="2918"/>
      <c r="BO133" s="2918"/>
      <c r="BP133" s="2918"/>
      <c r="BQ133" s="2918"/>
      <c r="BR133" s="2918"/>
      <c r="BS133" s="2918"/>
      <c r="BT133" s="2918"/>
      <c r="BU133" s="2918"/>
      <c r="BV133" s="2918"/>
      <c r="BW133" s="2918"/>
      <c r="BX133" s="2918"/>
      <c r="BY133" s="2918"/>
      <c r="BZ133" s="2918"/>
      <c r="CA133" s="2918"/>
      <c r="CB133" s="2918"/>
      <c r="CC133" s="2918"/>
      <c r="CD133" s="2918"/>
      <c r="CE133" s="2918"/>
      <c r="CF133" s="2918"/>
      <c r="CG133" s="2918"/>
      <c r="CH133" s="2918"/>
      <c r="CI133" s="2918"/>
      <c r="CJ133" s="2918"/>
      <c r="CK133" s="2918"/>
      <c r="CL133" s="2918"/>
      <c r="CM133" s="2918"/>
      <c r="CN133" s="2918"/>
      <c r="CO133" s="2918"/>
      <c r="CP133" s="2918"/>
      <c r="CQ133" s="2918"/>
      <c r="CR133" s="2918"/>
      <c r="CS133" s="2918"/>
      <c r="CT133" s="2918"/>
      <c r="CU133" s="2918"/>
      <c r="CV133" s="2918"/>
      <c r="CW133" s="2918"/>
      <c r="CX133" s="2918"/>
      <c r="CY133" s="2918"/>
      <c r="CZ133" s="2918"/>
      <c r="DA133" s="2918"/>
      <c r="DB133" s="2918"/>
      <c r="DC133" s="2918"/>
      <c r="DD133" s="2918"/>
      <c r="DE133" s="2918"/>
      <c r="DF133" s="2918"/>
      <c r="DG133" s="2918"/>
      <c r="DH133" s="2918"/>
      <c r="DI133" s="2918"/>
      <c r="DJ133" s="2918"/>
      <c r="DK133" s="2918"/>
      <c r="DL133" s="2918"/>
      <c r="DM133" s="2918"/>
      <c r="DN133" s="2918"/>
      <c r="DO133" s="2918"/>
      <c r="DP133" s="2918"/>
      <c r="DQ133" s="2918"/>
      <c r="DR133" s="2918"/>
      <c r="DS133" s="2918"/>
      <c r="DT133" s="2918"/>
      <c r="DU133" s="2918"/>
      <c r="DV133" s="2918"/>
      <c r="DW133" s="2918"/>
      <c r="DX133" s="2918"/>
      <c r="DY133" s="2918"/>
      <c r="DZ133" s="2918"/>
      <c r="EA133" s="2918"/>
      <c r="EB133" s="2918"/>
      <c r="EC133" s="2918"/>
      <c r="ED133" s="2918"/>
      <c r="EE133" s="2918"/>
      <c r="EF133" s="2918"/>
      <c r="EG133" s="2918"/>
      <c r="EH133" s="2918"/>
      <c r="EI133" s="2918"/>
      <c r="EJ133" s="2918"/>
      <c r="EK133" s="2918"/>
      <c r="EL133" s="2918"/>
      <c r="EM133" s="2918"/>
      <c r="EN133" s="2918"/>
      <c r="EO133" s="2918"/>
      <c r="EP133" s="2918"/>
      <c r="EQ133" s="2918"/>
      <c r="ER133" s="2918"/>
      <c r="ES133" s="2918"/>
      <c r="ET133" s="2918"/>
      <c r="EU133" s="2918"/>
      <c r="EV133" s="2918"/>
      <c r="EW133" s="2918"/>
      <c r="EX133" s="2918"/>
      <c r="EY133" s="2918"/>
      <c r="EZ133" s="2918"/>
      <c r="FA133" s="2918"/>
      <c r="FB133" s="2918"/>
      <c r="FC133" s="2918"/>
      <c r="FD133" s="2918"/>
      <c r="FE133" s="2918"/>
      <c r="FF133" s="2918"/>
      <c r="FG133" s="2918"/>
      <c r="FH133" s="2918"/>
      <c r="FI133" s="2918"/>
      <c r="FJ133" s="2918"/>
      <c r="FK133" s="2918"/>
      <c r="FL133" s="2918"/>
      <c r="FM133" s="2918"/>
      <c r="FN133" s="2918"/>
      <c r="FO133" s="2918"/>
      <c r="FP133" s="2918"/>
      <c r="FQ133" s="2918"/>
      <c r="FR133" s="2918"/>
      <c r="FS133" s="2918"/>
      <c r="FT133" s="2918"/>
      <c r="FU133" s="2918"/>
      <c r="FV133" s="2918"/>
      <c r="FW133" s="2918"/>
      <c r="FX133" s="2918"/>
      <c r="FY133" s="2918"/>
      <c r="FZ133" s="2918"/>
      <c r="GA133" s="2918"/>
      <c r="GB133" s="2918"/>
      <c r="GC133" s="2918"/>
      <c r="GD133" s="2918"/>
      <c r="GE133" s="2918"/>
      <c r="GF133" s="2918"/>
      <c r="GG133" s="2918"/>
      <c r="GH133" s="2918"/>
      <c r="GI133" s="2918"/>
      <c r="GJ133" s="2918"/>
      <c r="GK133" s="2918"/>
      <c r="GL133" s="2918"/>
      <c r="GM133" s="2918"/>
      <c r="GN133" s="2918"/>
      <c r="GO133" s="2918"/>
      <c r="GP133" s="2918"/>
      <c r="GQ133" s="2918"/>
      <c r="GR133" s="2918"/>
      <c r="GS133" s="2918"/>
      <c r="GT133" s="2918"/>
      <c r="GU133" s="2918"/>
      <c r="GV133" s="2918"/>
      <c r="GW133" s="2918"/>
      <c r="GX133" s="2918"/>
      <c r="GY133" s="2918"/>
      <c r="GZ133" s="2918"/>
      <c r="HA133" s="2918"/>
      <c r="HB133" s="2918"/>
      <c r="HC133" s="2918"/>
      <c r="HD133" s="2918"/>
      <c r="HE133" s="2918"/>
      <c r="HF133" s="2918"/>
      <c r="HG133" s="2918"/>
      <c r="HH133" s="2918"/>
      <c r="HI133" s="2918"/>
      <c r="HJ133" s="2918"/>
      <c r="HK133" s="2918"/>
      <c r="HL133" s="2918"/>
      <c r="HM133" s="2918"/>
      <c r="HN133" s="2918"/>
      <c r="HO133" s="2918"/>
      <c r="HP133" s="2918"/>
      <c r="HQ133" s="2918"/>
      <c r="HR133" s="2918"/>
      <c r="HS133" s="2918"/>
      <c r="HT133" s="2918"/>
      <c r="HU133" s="2918"/>
      <c r="HV133" s="2918"/>
      <c r="HW133" s="2918"/>
      <c r="HX133" s="2918"/>
      <c r="HY133" s="2918"/>
      <c r="HZ133" s="2918"/>
      <c r="IA133" s="2918"/>
      <c r="IB133" s="2918"/>
      <c r="IC133" s="2918"/>
      <c r="ID133" s="2918"/>
      <c r="IE133" s="2918"/>
      <c r="IF133" s="2918"/>
      <c r="IG133" s="2918"/>
      <c r="IH133" s="2918"/>
      <c r="II133" s="2918"/>
      <c r="IJ133" s="2918"/>
      <c r="IK133" s="2918"/>
      <c r="IL133" s="2918"/>
      <c r="IM133" s="2918"/>
      <c r="IN133" s="2918"/>
      <c r="IO133" s="2918"/>
      <c r="IP133" s="2918"/>
      <c r="IQ133" s="2918"/>
      <c r="IR133" s="2918"/>
      <c r="IS133" s="2918"/>
      <c r="IT133" s="2918"/>
      <c r="IU133" s="2918"/>
      <c r="IV133" s="2918"/>
    </row>
    <row r="134" spans="1:256" customFormat="1">
      <c r="A134" s="4648"/>
      <c r="B134" s="4653"/>
      <c r="C134" s="2901">
        <v>345</v>
      </c>
      <c r="D134" s="3062" t="s">
        <v>12579</v>
      </c>
      <c r="E134" s="3064"/>
      <c r="F134" s="3064"/>
      <c r="G134" s="3064"/>
      <c r="H134" s="3068">
        <f t="shared" si="4"/>
        <v>26.706951377039456</v>
      </c>
      <c r="I134" s="3069">
        <f t="shared" si="4"/>
        <v>46.813507595247046</v>
      </c>
      <c r="J134" s="2918"/>
      <c r="K134" s="2918"/>
      <c r="L134" s="2918"/>
      <c r="M134" s="2918"/>
      <c r="N134" s="2918"/>
      <c r="O134" s="2918"/>
      <c r="P134" s="2918"/>
      <c r="Q134" s="2918"/>
      <c r="R134" s="2918"/>
      <c r="S134" s="2918"/>
      <c r="T134" s="2918"/>
      <c r="U134" s="2918"/>
      <c r="V134" s="2918"/>
      <c r="W134" s="2918"/>
      <c r="X134" s="2918"/>
      <c r="Y134" s="2918"/>
      <c r="Z134" s="2918"/>
      <c r="AA134" s="2918"/>
      <c r="AB134" s="2918"/>
      <c r="AC134" s="2918"/>
      <c r="AD134" s="2918"/>
      <c r="AE134" s="2918"/>
      <c r="AF134" s="2918"/>
      <c r="AG134" s="2918"/>
      <c r="AH134" s="2918"/>
      <c r="AI134" s="2918"/>
      <c r="AJ134" s="2918"/>
      <c r="AK134" s="2918"/>
      <c r="AL134" s="2918"/>
      <c r="AM134" s="2918"/>
      <c r="AN134" s="2918"/>
      <c r="AO134" s="2918"/>
      <c r="AP134" s="2918"/>
      <c r="AQ134" s="2918"/>
      <c r="AR134" s="2918"/>
      <c r="AS134" s="2918"/>
      <c r="AT134" s="2918"/>
      <c r="AU134" s="2918"/>
      <c r="AV134" s="2918"/>
      <c r="AW134" s="2918"/>
      <c r="AX134" s="2918"/>
      <c r="AY134" s="2918"/>
      <c r="AZ134" s="2918"/>
      <c r="BA134" s="2918"/>
      <c r="BB134" s="2918"/>
      <c r="BC134" s="2918"/>
      <c r="BD134" s="2918"/>
      <c r="BE134" s="2918"/>
      <c r="BF134" s="2918"/>
      <c r="BG134" s="2918"/>
      <c r="BH134" s="2918"/>
      <c r="BI134" s="2918"/>
      <c r="BJ134" s="2918"/>
      <c r="BK134" s="2918"/>
      <c r="BL134" s="2918"/>
      <c r="BM134" s="2918"/>
      <c r="BN134" s="2918"/>
      <c r="BO134" s="2918"/>
      <c r="BP134" s="2918"/>
      <c r="BQ134" s="2918"/>
      <c r="BR134" s="2918"/>
      <c r="BS134" s="2918"/>
      <c r="BT134" s="2918"/>
      <c r="BU134" s="2918"/>
      <c r="BV134" s="2918"/>
      <c r="BW134" s="2918"/>
      <c r="BX134" s="2918"/>
      <c r="BY134" s="2918"/>
      <c r="BZ134" s="2918"/>
      <c r="CA134" s="2918"/>
      <c r="CB134" s="2918"/>
      <c r="CC134" s="2918"/>
      <c r="CD134" s="2918"/>
      <c r="CE134" s="2918"/>
      <c r="CF134" s="2918"/>
      <c r="CG134" s="2918"/>
      <c r="CH134" s="2918"/>
      <c r="CI134" s="2918"/>
      <c r="CJ134" s="2918"/>
      <c r="CK134" s="2918"/>
      <c r="CL134" s="2918"/>
      <c r="CM134" s="2918"/>
      <c r="CN134" s="2918"/>
      <c r="CO134" s="2918"/>
      <c r="CP134" s="2918"/>
      <c r="CQ134" s="2918"/>
      <c r="CR134" s="2918"/>
      <c r="CS134" s="2918"/>
      <c r="CT134" s="2918"/>
      <c r="CU134" s="2918"/>
      <c r="CV134" s="2918"/>
      <c r="CW134" s="2918"/>
      <c r="CX134" s="2918"/>
      <c r="CY134" s="2918"/>
      <c r="CZ134" s="2918"/>
      <c r="DA134" s="2918"/>
      <c r="DB134" s="2918"/>
      <c r="DC134" s="2918"/>
      <c r="DD134" s="2918"/>
      <c r="DE134" s="2918"/>
      <c r="DF134" s="2918"/>
      <c r="DG134" s="2918"/>
      <c r="DH134" s="2918"/>
      <c r="DI134" s="2918"/>
      <c r="DJ134" s="2918"/>
      <c r="DK134" s="2918"/>
      <c r="DL134" s="2918"/>
      <c r="DM134" s="2918"/>
      <c r="DN134" s="2918"/>
      <c r="DO134" s="2918"/>
      <c r="DP134" s="2918"/>
      <c r="DQ134" s="2918"/>
      <c r="DR134" s="2918"/>
      <c r="DS134" s="2918"/>
      <c r="DT134" s="2918"/>
      <c r="DU134" s="2918"/>
      <c r="DV134" s="2918"/>
      <c r="DW134" s="2918"/>
      <c r="DX134" s="2918"/>
      <c r="DY134" s="2918"/>
      <c r="DZ134" s="2918"/>
      <c r="EA134" s="2918"/>
      <c r="EB134" s="2918"/>
      <c r="EC134" s="2918"/>
      <c r="ED134" s="2918"/>
      <c r="EE134" s="2918"/>
      <c r="EF134" s="2918"/>
      <c r="EG134" s="2918"/>
      <c r="EH134" s="2918"/>
      <c r="EI134" s="2918"/>
      <c r="EJ134" s="2918"/>
      <c r="EK134" s="2918"/>
      <c r="EL134" s="2918"/>
      <c r="EM134" s="2918"/>
      <c r="EN134" s="2918"/>
      <c r="EO134" s="2918"/>
      <c r="EP134" s="2918"/>
      <c r="EQ134" s="2918"/>
      <c r="ER134" s="2918"/>
      <c r="ES134" s="2918"/>
      <c r="ET134" s="2918"/>
      <c r="EU134" s="2918"/>
      <c r="EV134" s="2918"/>
      <c r="EW134" s="2918"/>
      <c r="EX134" s="2918"/>
      <c r="EY134" s="2918"/>
      <c r="EZ134" s="2918"/>
      <c r="FA134" s="2918"/>
      <c r="FB134" s="2918"/>
      <c r="FC134" s="2918"/>
      <c r="FD134" s="2918"/>
      <c r="FE134" s="2918"/>
      <c r="FF134" s="2918"/>
      <c r="FG134" s="2918"/>
      <c r="FH134" s="2918"/>
      <c r="FI134" s="2918"/>
      <c r="FJ134" s="2918"/>
      <c r="FK134" s="2918"/>
      <c r="FL134" s="2918"/>
      <c r="FM134" s="2918"/>
      <c r="FN134" s="2918"/>
      <c r="FO134" s="2918"/>
      <c r="FP134" s="2918"/>
      <c r="FQ134" s="2918"/>
      <c r="FR134" s="2918"/>
      <c r="FS134" s="2918"/>
      <c r="FT134" s="2918"/>
      <c r="FU134" s="2918"/>
      <c r="FV134" s="2918"/>
      <c r="FW134" s="2918"/>
      <c r="FX134" s="2918"/>
      <c r="FY134" s="2918"/>
      <c r="FZ134" s="2918"/>
      <c r="GA134" s="2918"/>
      <c r="GB134" s="2918"/>
      <c r="GC134" s="2918"/>
      <c r="GD134" s="2918"/>
      <c r="GE134" s="2918"/>
      <c r="GF134" s="2918"/>
      <c r="GG134" s="2918"/>
      <c r="GH134" s="2918"/>
      <c r="GI134" s="2918"/>
      <c r="GJ134" s="2918"/>
      <c r="GK134" s="2918"/>
      <c r="GL134" s="2918"/>
      <c r="GM134" s="2918"/>
      <c r="GN134" s="2918"/>
      <c r="GO134" s="2918"/>
      <c r="GP134" s="2918"/>
      <c r="GQ134" s="2918"/>
      <c r="GR134" s="2918"/>
      <c r="GS134" s="2918"/>
      <c r="GT134" s="2918"/>
      <c r="GU134" s="2918"/>
      <c r="GV134" s="2918"/>
      <c r="GW134" s="2918"/>
      <c r="GX134" s="2918"/>
      <c r="GY134" s="2918"/>
      <c r="GZ134" s="2918"/>
      <c r="HA134" s="2918"/>
      <c r="HB134" s="2918"/>
      <c r="HC134" s="2918"/>
      <c r="HD134" s="2918"/>
      <c r="HE134" s="2918"/>
      <c r="HF134" s="2918"/>
      <c r="HG134" s="2918"/>
      <c r="HH134" s="2918"/>
      <c r="HI134" s="2918"/>
      <c r="HJ134" s="2918"/>
      <c r="HK134" s="2918"/>
      <c r="HL134" s="2918"/>
      <c r="HM134" s="2918"/>
      <c r="HN134" s="2918"/>
      <c r="HO134" s="2918"/>
      <c r="HP134" s="2918"/>
      <c r="HQ134" s="2918"/>
      <c r="HR134" s="2918"/>
      <c r="HS134" s="2918"/>
      <c r="HT134" s="2918"/>
      <c r="HU134" s="2918"/>
      <c r="HV134" s="2918"/>
      <c r="HW134" s="2918"/>
      <c r="HX134" s="2918"/>
      <c r="HY134" s="2918"/>
      <c r="HZ134" s="2918"/>
      <c r="IA134" s="2918"/>
      <c r="IB134" s="2918"/>
      <c r="IC134" s="2918"/>
      <c r="ID134" s="2918"/>
      <c r="IE134" s="2918"/>
      <c r="IF134" s="2918"/>
      <c r="IG134" s="2918"/>
      <c r="IH134" s="2918"/>
      <c r="II134" s="2918"/>
      <c r="IJ134" s="2918"/>
      <c r="IK134" s="2918"/>
      <c r="IL134" s="2918"/>
      <c r="IM134" s="2918"/>
      <c r="IN134" s="2918"/>
      <c r="IO134" s="2918"/>
      <c r="IP134" s="2918"/>
      <c r="IQ134" s="2918"/>
      <c r="IR134" s="2918"/>
      <c r="IS134" s="2918"/>
      <c r="IT134" s="2918"/>
      <c r="IU134" s="2918"/>
      <c r="IV134" s="2918"/>
    </row>
    <row r="135" spans="1:256" customFormat="1">
      <c r="A135" s="4648"/>
      <c r="B135" s="4653"/>
      <c r="C135" s="2901">
        <v>355</v>
      </c>
      <c r="D135" s="3062" t="s">
        <v>12579</v>
      </c>
      <c r="E135" s="3064"/>
      <c r="F135" s="3064"/>
      <c r="G135" s="3064"/>
      <c r="H135" s="3068">
        <f t="shared" si="4"/>
        <v>27.469353643012603</v>
      </c>
      <c r="I135" s="3069">
        <f t="shared" si="4"/>
        <v>48.143436788293833</v>
      </c>
      <c r="J135" s="2918"/>
      <c r="K135" s="2918"/>
      <c r="L135" s="2918"/>
      <c r="M135" s="2918"/>
      <c r="N135" s="2918"/>
      <c r="O135" s="2918"/>
      <c r="P135" s="2918"/>
      <c r="Q135" s="2918"/>
      <c r="R135" s="2918"/>
      <c r="S135" s="2918"/>
      <c r="T135" s="2918"/>
      <c r="U135" s="2918"/>
      <c r="V135" s="2918"/>
      <c r="W135" s="2918"/>
      <c r="X135" s="2918"/>
      <c r="Y135" s="2918"/>
      <c r="Z135" s="2918"/>
      <c r="AA135" s="2918"/>
      <c r="AB135" s="2918"/>
      <c r="AC135" s="2918"/>
      <c r="AD135" s="2918"/>
      <c r="AE135" s="2918"/>
      <c r="AF135" s="2918"/>
      <c r="AG135" s="2918"/>
      <c r="AH135" s="2918"/>
      <c r="AI135" s="2918"/>
      <c r="AJ135" s="2918"/>
      <c r="AK135" s="2918"/>
      <c r="AL135" s="2918"/>
      <c r="AM135" s="2918"/>
      <c r="AN135" s="2918"/>
      <c r="AO135" s="2918"/>
      <c r="AP135" s="2918"/>
      <c r="AQ135" s="2918"/>
      <c r="AR135" s="2918"/>
      <c r="AS135" s="2918"/>
      <c r="AT135" s="2918"/>
      <c r="AU135" s="2918"/>
      <c r="AV135" s="2918"/>
      <c r="AW135" s="2918"/>
      <c r="AX135" s="2918"/>
      <c r="AY135" s="2918"/>
      <c r="AZ135" s="2918"/>
      <c r="BA135" s="2918"/>
      <c r="BB135" s="2918"/>
      <c r="BC135" s="2918"/>
      <c r="BD135" s="2918"/>
      <c r="BE135" s="2918"/>
      <c r="BF135" s="2918"/>
      <c r="BG135" s="2918"/>
      <c r="BH135" s="2918"/>
      <c r="BI135" s="2918"/>
      <c r="BJ135" s="2918"/>
      <c r="BK135" s="2918"/>
      <c r="BL135" s="2918"/>
      <c r="BM135" s="2918"/>
      <c r="BN135" s="2918"/>
      <c r="BO135" s="2918"/>
      <c r="BP135" s="2918"/>
      <c r="BQ135" s="2918"/>
      <c r="BR135" s="2918"/>
      <c r="BS135" s="2918"/>
      <c r="BT135" s="2918"/>
      <c r="BU135" s="2918"/>
      <c r="BV135" s="2918"/>
      <c r="BW135" s="2918"/>
      <c r="BX135" s="2918"/>
      <c r="BY135" s="2918"/>
      <c r="BZ135" s="2918"/>
      <c r="CA135" s="2918"/>
      <c r="CB135" s="2918"/>
      <c r="CC135" s="2918"/>
      <c r="CD135" s="2918"/>
      <c r="CE135" s="2918"/>
      <c r="CF135" s="2918"/>
      <c r="CG135" s="2918"/>
      <c r="CH135" s="2918"/>
      <c r="CI135" s="2918"/>
      <c r="CJ135" s="2918"/>
      <c r="CK135" s="2918"/>
      <c r="CL135" s="2918"/>
      <c r="CM135" s="2918"/>
      <c r="CN135" s="2918"/>
      <c r="CO135" s="2918"/>
      <c r="CP135" s="2918"/>
      <c r="CQ135" s="2918"/>
      <c r="CR135" s="2918"/>
      <c r="CS135" s="2918"/>
      <c r="CT135" s="2918"/>
      <c r="CU135" s="2918"/>
      <c r="CV135" s="2918"/>
      <c r="CW135" s="2918"/>
      <c r="CX135" s="2918"/>
      <c r="CY135" s="2918"/>
      <c r="CZ135" s="2918"/>
      <c r="DA135" s="2918"/>
      <c r="DB135" s="2918"/>
      <c r="DC135" s="2918"/>
      <c r="DD135" s="2918"/>
      <c r="DE135" s="2918"/>
      <c r="DF135" s="2918"/>
      <c r="DG135" s="2918"/>
      <c r="DH135" s="2918"/>
      <c r="DI135" s="2918"/>
      <c r="DJ135" s="2918"/>
      <c r="DK135" s="2918"/>
      <c r="DL135" s="2918"/>
      <c r="DM135" s="2918"/>
      <c r="DN135" s="2918"/>
      <c r="DO135" s="2918"/>
      <c r="DP135" s="2918"/>
      <c r="DQ135" s="2918"/>
      <c r="DR135" s="2918"/>
      <c r="DS135" s="2918"/>
      <c r="DT135" s="2918"/>
      <c r="DU135" s="2918"/>
      <c r="DV135" s="2918"/>
      <c r="DW135" s="2918"/>
      <c r="DX135" s="2918"/>
      <c r="DY135" s="2918"/>
      <c r="DZ135" s="2918"/>
      <c r="EA135" s="2918"/>
      <c r="EB135" s="2918"/>
      <c r="EC135" s="2918"/>
      <c r="ED135" s="2918"/>
      <c r="EE135" s="2918"/>
      <c r="EF135" s="2918"/>
      <c r="EG135" s="2918"/>
      <c r="EH135" s="2918"/>
      <c r="EI135" s="2918"/>
      <c r="EJ135" s="2918"/>
      <c r="EK135" s="2918"/>
      <c r="EL135" s="2918"/>
      <c r="EM135" s="2918"/>
      <c r="EN135" s="2918"/>
      <c r="EO135" s="2918"/>
      <c r="EP135" s="2918"/>
      <c r="EQ135" s="2918"/>
      <c r="ER135" s="2918"/>
      <c r="ES135" s="2918"/>
      <c r="ET135" s="2918"/>
      <c r="EU135" s="2918"/>
      <c r="EV135" s="2918"/>
      <c r="EW135" s="2918"/>
      <c r="EX135" s="2918"/>
      <c r="EY135" s="2918"/>
      <c r="EZ135" s="2918"/>
      <c r="FA135" s="2918"/>
      <c r="FB135" s="2918"/>
      <c r="FC135" s="2918"/>
      <c r="FD135" s="2918"/>
      <c r="FE135" s="2918"/>
      <c r="FF135" s="2918"/>
      <c r="FG135" s="2918"/>
      <c r="FH135" s="2918"/>
      <c r="FI135" s="2918"/>
      <c r="FJ135" s="2918"/>
      <c r="FK135" s="2918"/>
      <c r="FL135" s="2918"/>
      <c r="FM135" s="2918"/>
      <c r="FN135" s="2918"/>
      <c r="FO135" s="2918"/>
      <c r="FP135" s="2918"/>
      <c r="FQ135" s="2918"/>
      <c r="FR135" s="2918"/>
      <c r="FS135" s="2918"/>
      <c r="FT135" s="2918"/>
      <c r="FU135" s="2918"/>
      <c r="FV135" s="2918"/>
      <c r="FW135" s="2918"/>
      <c r="FX135" s="2918"/>
      <c r="FY135" s="2918"/>
      <c r="FZ135" s="2918"/>
      <c r="GA135" s="2918"/>
      <c r="GB135" s="2918"/>
      <c r="GC135" s="2918"/>
      <c r="GD135" s="2918"/>
      <c r="GE135" s="2918"/>
      <c r="GF135" s="2918"/>
      <c r="GG135" s="2918"/>
      <c r="GH135" s="2918"/>
      <c r="GI135" s="2918"/>
      <c r="GJ135" s="2918"/>
      <c r="GK135" s="2918"/>
      <c r="GL135" s="2918"/>
      <c r="GM135" s="2918"/>
      <c r="GN135" s="2918"/>
      <c r="GO135" s="2918"/>
      <c r="GP135" s="2918"/>
      <c r="GQ135" s="2918"/>
      <c r="GR135" s="2918"/>
      <c r="GS135" s="2918"/>
      <c r="GT135" s="2918"/>
      <c r="GU135" s="2918"/>
      <c r="GV135" s="2918"/>
      <c r="GW135" s="2918"/>
      <c r="GX135" s="2918"/>
      <c r="GY135" s="2918"/>
      <c r="GZ135" s="2918"/>
      <c r="HA135" s="2918"/>
      <c r="HB135" s="2918"/>
      <c r="HC135" s="2918"/>
      <c r="HD135" s="2918"/>
      <c r="HE135" s="2918"/>
      <c r="HF135" s="2918"/>
      <c r="HG135" s="2918"/>
      <c r="HH135" s="2918"/>
      <c r="HI135" s="2918"/>
      <c r="HJ135" s="2918"/>
      <c r="HK135" s="2918"/>
      <c r="HL135" s="2918"/>
      <c r="HM135" s="2918"/>
      <c r="HN135" s="2918"/>
      <c r="HO135" s="2918"/>
      <c r="HP135" s="2918"/>
      <c r="HQ135" s="2918"/>
      <c r="HR135" s="2918"/>
      <c r="HS135" s="2918"/>
      <c r="HT135" s="2918"/>
      <c r="HU135" s="2918"/>
      <c r="HV135" s="2918"/>
      <c r="HW135" s="2918"/>
      <c r="HX135" s="2918"/>
      <c r="HY135" s="2918"/>
      <c r="HZ135" s="2918"/>
      <c r="IA135" s="2918"/>
      <c r="IB135" s="2918"/>
      <c r="IC135" s="2918"/>
      <c r="ID135" s="2918"/>
      <c r="IE135" s="2918"/>
      <c r="IF135" s="2918"/>
      <c r="IG135" s="2918"/>
      <c r="IH135" s="2918"/>
      <c r="II135" s="2918"/>
      <c r="IJ135" s="2918"/>
      <c r="IK135" s="2918"/>
      <c r="IL135" s="2918"/>
      <c r="IM135" s="2918"/>
      <c r="IN135" s="2918"/>
      <c r="IO135" s="2918"/>
      <c r="IP135" s="2918"/>
      <c r="IQ135" s="2918"/>
      <c r="IR135" s="2918"/>
      <c r="IS135" s="2918"/>
      <c r="IT135" s="2918"/>
      <c r="IU135" s="2918"/>
      <c r="IV135" s="2918"/>
    </row>
    <row r="136" spans="1:256" customFormat="1">
      <c r="A136" s="4648"/>
      <c r="B136" s="4653"/>
      <c r="C136" s="2901">
        <v>365</v>
      </c>
      <c r="D136" s="3062" t="s">
        <v>12579</v>
      </c>
      <c r="E136" s="3064"/>
      <c r="F136" s="3064"/>
      <c r="G136" s="3064"/>
      <c r="H136" s="3068">
        <f t="shared" si="4"/>
        <v>28.231755908985754</v>
      </c>
      <c r="I136" s="3069">
        <f t="shared" si="4"/>
        <v>49.473365981340628</v>
      </c>
      <c r="J136" s="2918"/>
      <c r="K136" s="2918"/>
      <c r="L136" s="2918"/>
      <c r="M136" s="2918"/>
      <c r="N136" s="2918"/>
      <c r="O136" s="2918"/>
      <c r="P136" s="2918"/>
      <c r="Q136" s="2918"/>
      <c r="R136" s="2918"/>
      <c r="S136" s="2918"/>
      <c r="T136" s="2918"/>
      <c r="U136" s="2918"/>
      <c r="V136" s="2918"/>
      <c r="W136" s="2918"/>
      <c r="X136" s="2918"/>
      <c r="Y136" s="2918"/>
      <c r="Z136" s="2918"/>
      <c r="AA136" s="2918"/>
      <c r="AB136" s="2918"/>
      <c r="AC136" s="2918"/>
      <c r="AD136" s="2918"/>
      <c r="AE136" s="2918"/>
      <c r="AF136" s="2918"/>
      <c r="AG136" s="2918"/>
      <c r="AH136" s="2918"/>
      <c r="AI136" s="2918"/>
      <c r="AJ136" s="2918"/>
      <c r="AK136" s="2918"/>
      <c r="AL136" s="2918"/>
      <c r="AM136" s="2918"/>
      <c r="AN136" s="2918"/>
      <c r="AO136" s="2918"/>
      <c r="AP136" s="2918"/>
      <c r="AQ136" s="2918"/>
      <c r="AR136" s="2918"/>
      <c r="AS136" s="2918"/>
      <c r="AT136" s="2918"/>
      <c r="AU136" s="2918"/>
      <c r="AV136" s="2918"/>
      <c r="AW136" s="2918"/>
      <c r="AX136" s="2918"/>
      <c r="AY136" s="2918"/>
      <c r="AZ136" s="2918"/>
      <c r="BA136" s="2918"/>
      <c r="BB136" s="2918"/>
      <c r="BC136" s="2918"/>
      <c r="BD136" s="2918"/>
      <c r="BE136" s="2918"/>
      <c r="BF136" s="2918"/>
      <c r="BG136" s="2918"/>
      <c r="BH136" s="2918"/>
      <c r="BI136" s="2918"/>
      <c r="BJ136" s="2918"/>
      <c r="BK136" s="2918"/>
      <c r="BL136" s="2918"/>
      <c r="BM136" s="2918"/>
      <c r="BN136" s="2918"/>
      <c r="BO136" s="2918"/>
      <c r="BP136" s="2918"/>
      <c r="BQ136" s="2918"/>
      <c r="BR136" s="2918"/>
      <c r="BS136" s="2918"/>
      <c r="BT136" s="2918"/>
      <c r="BU136" s="2918"/>
      <c r="BV136" s="2918"/>
      <c r="BW136" s="2918"/>
      <c r="BX136" s="2918"/>
      <c r="BY136" s="2918"/>
      <c r="BZ136" s="2918"/>
      <c r="CA136" s="2918"/>
      <c r="CB136" s="2918"/>
      <c r="CC136" s="2918"/>
      <c r="CD136" s="2918"/>
      <c r="CE136" s="2918"/>
      <c r="CF136" s="2918"/>
      <c r="CG136" s="2918"/>
      <c r="CH136" s="2918"/>
      <c r="CI136" s="2918"/>
      <c r="CJ136" s="2918"/>
      <c r="CK136" s="2918"/>
      <c r="CL136" s="2918"/>
      <c r="CM136" s="2918"/>
      <c r="CN136" s="2918"/>
      <c r="CO136" s="2918"/>
      <c r="CP136" s="2918"/>
      <c r="CQ136" s="2918"/>
      <c r="CR136" s="2918"/>
      <c r="CS136" s="2918"/>
      <c r="CT136" s="2918"/>
      <c r="CU136" s="2918"/>
      <c r="CV136" s="2918"/>
      <c r="CW136" s="2918"/>
      <c r="CX136" s="2918"/>
      <c r="CY136" s="2918"/>
      <c r="CZ136" s="2918"/>
      <c r="DA136" s="2918"/>
      <c r="DB136" s="2918"/>
      <c r="DC136" s="2918"/>
      <c r="DD136" s="2918"/>
      <c r="DE136" s="2918"/>
      <c r="DF136" s="2918"/>
      <c r="DG136" s="2918"/>
      <c r="DH136" s="2918"/>
      <c r="DI136" s="2918"/>
      <c r="DJ136" s="2918"/>
      <c r="DK136" s="2918"/>
      <c r="DL136" s="2918"/>
      <c r="DM136" s="2918"/>
      <c r="DN136" s="2918"/>
      <c r="DO136" s="2918"/>
      <c r="DP136" s="2918"/>
      <c r="DQ136" s="2918"/>
      <c r="DR136" s="2918"/>
      <c r="DS136" s="2918"/>
      <c r="DT136" s="2918"/>
      <c r="DU136" s="2918"/>
      <c r="DV136" s="2918"/>
      <c r="DW136" s="2918"/>
      <c r="DX136" s="2918"/>
      <c r="DY136" s="2918"/>
      <c r="DZ136" s="2918"/>
      <c r="EA136" s="2918"/>
      <c r="EB136" s="2918"/>
      <c r="EC136" s="2918"/>
      <c r="ED136" s="2918"/>
      <c r="EE136" s="2918"/>
      <c r="EF136" s="2918"/>
      <c r="EG136" s="2918"/>
      <c r="EH136" s="2918"/>
      <c r="EI136" s="2918"/>
      <c r="EJ136" s="2918"/>
      <c r="EK136" s="2918"/>
      <c r="EL136" s="2918"/>
      <c r="EM136" s="2918"/>
      <c r="EN136" s="2918"/>
      <c r="EO136" s="2918"/>
      <c r="EP136" s="2918"/>
      <c r="EQ136" s="2918"/>
      <c r="ER136" s="2918"/>
      <c r="ES136" s="2918"/>
      <c r="ET136" s="2918"/>
      <c r="EU136" s="2918"/>
      <c r="EV136" s="2918"/>
      <c r="EW136" s="2918"/>
      <c r="EX136" s="2918"/>
      <c r="EY136" s="2918"/>
      <c r="EZ136" s="2918"/>
      <c r="FA136" s="2918"/>
      <c r="FB136" s="2918"/>
      <c r="FC136" s="2918"/>
      <c r="FD136" s="2918"/>
      <c r="FE136" s="2918"/>
      <c r="FF136" s="2918"/>
      <c r="FG136" s="2918"/>
      <c r="FH136" s="2918"/>
      <c r="FI136" s="2918"/>
      <c r="FJ136" s="2918"/>
      <c r="FK136" s="2918"/>
      <c r="FL136" s="2918"/>
      <c r="FM136" s="2918"/>
      <c r="FN136" s="2918"/>
      <c r="FO136" s="2918"/>
      <c r="FP136" s="2918"/>
      <c r="FQ136" s="2918"/>
      <c r="FR136" s="2918"/>
      <c r="FS136" s="2918"/>
      <c r="FT136" s="2918"/>
      <c r="FU136" s="2918"/>
      <c r="FV136" s="2918"/>
      <c r="FW136" s="2918"/>
      <c r="FX136" s="2918"/>
      <c r="FY136" s="2918"/>
      <c r="FZ136" s="2918"/>
      <c r="GA136" s="2918"/>
      <c r="GB136" s="2918"/>
      <c r="GC136" s="2918"/>
      <c r="GD136" s="2918"/>
      <c r="GE136" s="2918"/>
      <c r="GF136" s="2918"/>
      <c r="GG136" s="2918"/>
      <c r="GH136" s="2918"/>
      <c r="GI136" s="2918"/>
      <c r="GJ136" s="2918"/>
      <c r="GK136" s="2918"/>
      <c r="GL136" s="2918"/>
      <c r="GM136" s="2918"/>
      <c r="GN136" s="2918"/>
      <c r="GO136" s="2918"/>
      <c r="GP136" s="2918"/>
      <c r="GQ136" s="2918"/>
      <c r="GR136" s="2918"/>
      <c r="GS136" s="2918"/>
      <c r="GT136" s="2918"/>
      <c r="GU136" s="2918"/>
      <c r="GV136" s="2918"/>
      <c r="GW136" s="2918"/>
      <c r="GX136" s="2918"/>
      <c r="GY136" s="2918"/>
      <c r="GZ136" s="2918"/>
      <c r="HA136" s="2918"/>
      <c r="HB136" s="2918"/>
      <c r="HC136" s="2918"/>
      <c r="HD136" s="2918"/>
      <c r="HE136" s="2918"/>
      <c r="HF136" s="2918"/>
      <c r="HG136" s="2918"/>
      <c r="HH136" s="2918"/>
      <c r="HI136" s="2918"/>
      <c r="HJ136" s="2918"/>
      <c r="HK136" s="2918"/>
      <c r="HL136" s="2918"/>
      <c r="HM136" s="2918"/>
      <c r="HN136" s="2918"/>
      <c r="HO136" s="2918"/>
      <c r="HP136" s="2918"/>
      <c r="HQ136" s="2918"/>
      <c r="HR136" s="2918"/>
      <c r="HS136" s="2918"/>
      <c r="HT136" s="2918"/>
      <c r="HU136" s="2918"/>
      <c r="HV136" s="2918"/>
      <c r="HW136" s="2918"/>
      <c r="HX136" s="2918"/>
      <c r="HY136" s="2918"/>
      <c r="HZ136" s="2918"/>
      <c r="IA136" s="2918"/>
      <c r="IB136" s="2918"/>
      <c r="IC136" s="2918"/>
      <c r="ID136" s="2918"/>
      <c r="IE136" s="2918"/>
      <c r="IF136" s="2918"/>
      <c r="IG136" s="2918"/>
      <c r="IH136" s="2918"/>
      <c r="II136" s="2918"/>
      <c r="IJ136" s="2918"/>
      <c r="IK136" s="2918"/>
      <c r="IL136" s="2918"/>
      <c r="IM136" s="2918"/>
      <c r="IN136" s="2918"/>
      <c r="IO136" s="2918"/>
      <c r="IP136" s="2918"/>
      <c r="IQ136" s="2918"/>
      <c r="IR136" s="2918"/>
      <c r="IS136" s="2918"/>
      <c r="IT136" s="2918"/>
      <c r="IU136" s="2918"/>
      <c r="IV136" s="2918"/>
    </row>
    <row r="137" spans="1:256" customFormat="1">
      <c r="A137" s="4648"/>
      <c r="B137" s="4653"/>
      <c r="C137" s="2901">
        <v>375</v>
      </c>
      <c r="D137" s="3062" t="s">
        <v>12579</v>
      </c>
      <c r="E137" s="3064"/>
      <c r="F137" s="3064"/>
      <c r="G137" s="3064"/>
      <c r="H137" s="3068">
        <f t="shared" si="4"/>
        <v>28.994158174958901</v>
      </c>
      <c r="I137" s="3069">
        <f t="shared" si="4"/>
        <v>50.803295174387415</v>
      </c>
      <c r="J137" s="2918"/>
      <c r="K137" s="2918"/>
      <c r="L137" s="2918"/>
      <c r="M137" s="2918"/>
      <c r="N137" s="2918"/>
      <c r="O137" s="2918"/>
      <c r="P137" s="2918"/>
      <c r="Q137" s="2918"/>
      <c r="R137" s="2918"/>
      <c r="S137" s="2918"/>
      <c r="T137" s="2918"/>
      <c r="U137" s="2918"/>
      <c r="V137" s="2918"/>
      <c r="W137" s="2918"/>
      <c r="X137" s="2918"/>
      <c r="Y137" s="2918"/>
      <c r="Z137" s="2918"/>
      <c r="AA137" s="2918"/>
      <c r="AB137" s="2918"/>
      <c r="AC137" s="2918"/>
      <c r="AD137" s="2918"/>
      <c r="AE137" s="2918"/>
      <c r="AF137" s="2918"/>
      <c r="AG137" s="2918"/>
      <c r="AH137" s="2918"/>
      <c r="AI137" s="2918"/>
      <c r="AJ137" s="2918"/>
      <c r="AK137" s="2918"/>
      <c r="AL137" s="2918"/>
      <c r="AM137" s="2918"/>
      <c r="AN137" s="2918"/>
      <c r="AO137" s="2918"/>
      <c r="AP137" s="2918"/>
      <c r="AQ137" s="2918"/>
      <c r="AR137" s="2918"/>
      <c r="AS137" s="2918"/>
      <c r="AT137" s="2918"/>
      <c r="AU137" s="2918"/>
      <c r="AV137" s="2918"/>
      <c r="AW137" s="2918"/>
      <c r="AX137" s="2918"/>
      <c r="AY137" s="2918"/>
      <c r="AZ137" s="2918"/>
      <c r="BA137" s="2918"/>
      <c r="BB137" s="2918"/>
      <c r="BC137" s="2918"/>
      <c r="BD137" s="2918"/>
      <c r="BE137" s="2918"/>
      <c r="BF137" s="2918"/>
      <c r="BG137" s="2918"/>
      <c r="BH137" s="2918"/>
      <c r="BI137" s="2918"/>
      <c r="BJ137" s="2918"/>
      <c r="BK137" s="2918"/>
      <c r="BL137" s="2918"/>
      <c r="BM137" s="2918"/>
      <c r="BN137" s="2918"/>
      <c r="BO137" s="2918"/>
      <c r="BP137" s="2918"/>
      <c r="BQ137" s="2918"/>
      <c r="BR137" s="2918"/>
      <c r="BS137" s="2918"/>
      <c r="BT137" s="2918"/>
      <c r="BU137" s="2918"/>
      <c r="BV137" s="2918"/>
      <c r="BW137" s="2918"/>
      <c r="BX137" s="2918"/>
      <c r="BY137" s="2918"/>
      <c r="BZ137" s="2918"/>
      <c r="CA137" s="2918"/>
      <c r="CB137" s="2918"/>
      <c r="CC137" s="2918"/>
      <c r="CD137" s="2918"/>
      <c r="CE137" s="2918"/>
      <c r="CF137" s="2918"/>
      <c r="CG137" s="2918"/>
      <c r="CH137" s="2918"/>
      <c r="CI137" s="2918"/>
      <c r="CJ137" s="2918"/>
      <c r="CK137" s="2918"/>
      <c r="CL137" s="2918"/>
      <c r="CM137" s="2918"/>
      <c r="CN137" s="2918"/>
      <c r="CO137" s="2918"/>
      <c r="CP137" s="2918"/>
      <c r="CQ137" s="2918"/>
      <c r="CR137" s="2918"/>
      <c r="CS137" s="2918"/>
      <c r="CT137" s="2918"/>
      <c r="CU137" s="2918"/>
      <c r="CV137" s="2918"/>
      <c r="CW137" s="2918"/>
      <c r="CX137" s="2918"/>
      <c r="CY137" s="2918"/>
      <c r="CZ137" s="2918"/>
      <c r="DA137" s="2918"/>
      <c r="DB137" s="2918"/>
      <c r="DC137" s="2918"/>
      <c r="DD137" s="2918"/>
      <c r="DE137" s="2918"/>
      <c r="DF137" s="2918"/>
      <c r="DG137" s="2918"/>
      <c r="DH137" s="2918"/>
      <c r="DI137" s="2918"/>
      <c r="DJ137" s="2918"/>
      <c r="DK137" s="2918"/>
      <c r="DL137" s="2918"/>
      <c r="DM137" s="2918"/>
      <c r="DN137" s="2918"/>
      <c r="DO137" s="2918"/>
      <c r="DP137" s="2918"/>
      <c r="DQ137" s="2918"/>
      <c r="DR137" s="2918"/>
      <c r="DS137" s="2918"/>
      <c r="DT137" s="2918"/>
      <c r="DU137" s="2918"/>
      <c r="DV137" s="2918"/>
      <c r="DW137" s="2918"/>
      <c r="DX137" s="2918"/>
      <c r="DY137" s="2918"/>
      <c r="DZ137" s="2918"/>
      <c r="EA137" s="2918"/>
      <c r="EB137" s="2918"/>
      <c r="EC137" s="2918"/>
      <c r="ED137" s="2918"/>
      <c r="EE137" s="2918"/>
      <c r="EF137" s="2918"/>
      <c r="EG137" s="2918"/>
      <c r="EH137" s="2918"/>
      <c r="EI137" s="2918"/>
      <c r="EJ137" s="2918"/>
      <c r="EK137" s="2918"/>
      <c r="EL137" s="2918"/>
      <c r="EM137" s="2918"/>
      <c r="EN137" s="2918"/>
      <c r="EO137" s="2918"/>
      <c r="EP137" s="2918"/>
      <c r="EQ137" s="2918"/>
      <c r="ER137" s="2918"/>
      <c r="ES137" s="2918"/>
      <c r="ET137" s="2918"/>
      <c r="EU137" s="2918"/>
      <c r="EV137" s="2918"/>
      <c r="EW137" s="2918"/>
      <c r="EX137" s="2918"/>
      <c r="EY137" s="2918"/>
      <c r="EZ137" s="2918"/>
      <c r="FA137" s="2918"/>
      <c r="FB137" s="2918"/>
      <c r="FC137" s="2918"/>
      <c r="FD137" s="2918"/>
      <c r="FE137" s="2918"/>
      <c r="FF137" s="2918"/>
      <c r="FG137" s="2918"/>
      <c r="FH137" s="2918"/>
      <c r="FI137" s="2918"/>
      <c r="FJ137" s="2918"/>
      <c r="FK137" s="2918"/>
      <c r="FL137" s="2918"/>
      <c r="FM137" s="2918"/>
      <c r="FN137" s="2918"/>
      <c r="FO137" s="2918"/>
      <c r="FP137" s="2918"/>
      <c r="FQ137" s="2918"/>
      <c r="FR137" s="2918"/>
      <c r="FS137" s="2918"/>
      <c r="FT137" s="2918"/>
      <c r="FU137" s="2918"/>
      <c r="FV137" s="2918"/>
      <c r="FW137" s="2918"/>
      <c r="FX137" s="2918"/>
      <c r="FY137" s="2918"/>
      <c r="FZ137" s="2918"/>
      <c r="GA137" s="2918"/>
      <c r="GB137" s="2918"/>
      <c r="GC137" s="2918"/>
      <c r="GD137" s="2918"/>
      <c r="GE137" s="2918"/>
      <c r="GF137" s="2918"/>
      <c r="GG137" s="2918"/>
      <c r="GH137" s="2918"/>
      <c r="GI137" s="2918"/>
      <c r="GJ137" s="2918"/>
      <c r="GK137" s="2918"/>
      <c r="GL137" s="2918"/>
      <c r="GM137" s="2918"/>
      <c r="GN137" s="2918"/>
      <c r="GO137" s="2918"/>
      <c r="GP137" s="2918"/>
      <c r="GQ137" s="2918"/>
      <c r="GR137" s="2918"/>
      <c r="GS137" s="2918"/>
      <c r="GT137" s="2918"/>
      <c r="GU137" s="2918"/>
      <c r="GV137" s="2918"/>
      <c r="GW137" s="2918"/>
      <c r="GX137" s="2918"/>
      <c r="GY137" s="2918"/>
      <c r="GZ137" s="2918"/>
      <c r="HA137" s="2918"/>
      <c r="HB137" s="2918"/>
      <c r="HC137" s="2918"/>
      <c r="HD137" s="2918"/>
      <c r="HE137" s="2918"/>
      <c r="HF137" s="2918"/>
      <c r="HG137" s="2918"/>
      <c r="HH137" s="2918"/>
      <c r="HI137" s="2918"/>
      <c r="HJ137" s="2918"/>
      <c r="HK137" s="2918"/>
      <c r="HL137" s="2918"/>
      <c r="HM137" s="2918"/>
      <c r="HN137" s="2918"/>
      <c r="HO137" s="2918"/>
      <c r="HP137" s="2918"/>
      <c r="HQ137" s="2918"/>
      <c r="HR137" s="2918"/>
      <c r="HS137" s="2918"/>
      <c r="HT137" s="2918"/>
      <c r="HU137" s="2918"/>
      <c r="HV137" s="2918"/>
      <c r="HW137" s="2918"/>
      <c r="HX137" s="2918"/>
      <c r="HY137" s="2918"/>
      <c r="HZ137" s="2918"/>
      <c r="IA137" s="2918"/>
      <c r="IB137" s="2918"/>
      <c r="IC137" s="2918"/>
      <c r="ID137" s="2918"/>
      <c r="IE137" s="2918"/>
      <c r="IF137" s="2918"/>
      <c r="IG137" s="2918"/>
      <c r="IH137" s="2918"/>
      <c r="II137" s="2918"/>
      <c r="IJ137" s="2918"/>
      <c r="IK137" s="2918"/>
      <c r="IL137" s="2918"/>
      <c r="IM137" s="2918"/>
      <c r="IN137" s="2918"/>
      <c r="IO137" s="2918"/>
      <c r="IP137" s="2918"/>
      <c r="IQ137" s="2918"/>
      <c r="IR137" s="2918"/>
      <c r="IS137" s="2918"/>
      <c r="IT137" s="2918"/>
      <c r="IU137" s="2918"/>
      <c r="IV137" s="2918"/>
    </row>
    <row r="138" spans="1:256" customFormat="1">
      <c r="A138" s="4648"/>
      <c r="B138" s="4653"/>
      <c r="C138" s="2901">
        <v>387</v>
      </c>
      <c r="D138" s="3062" t="s">
        <v>12579</v>
      </c>
      <c r="E138" s="3064"/>
      <c r="F138" s="3064"/>
      <c r="G138" s="3064"/>
      <c r="H138" s="3068">
        <f t="shared" si="4"/>
        <v>29.909040894126683</v>
      </c>
      <c r="I138" s="3069">
        <f t="shared" si="4"/>
        <v>52.399210206043563</v>
      </c>
      <c r="J138" s="2918"/>
      <c r="K138" s="2918"/>
      <c r="L138" s="2918"/>
      <c r="M138" s="2918"/>
      <c r="N138" s="2918"/>
      <c r="O138" s="2918"/>
      <c r="P138" s="2918"/>
      <c r="Q138" s="2918"/>
      <c r="R138" s="2918"/>
      <c r="S138" s="2918"/>
      <c r="T138" s="2918"/>
      <c r="U138" s="2918"/>
      <c r="V138" s="2918"/>
      <c r="W138" s="2918"/>
      <c r="X138" s="2918"/>
      <c r="Y138" s="2918"/>
      <c r="Z138" s="2918"/>
      <c r="AA138" s="2918"/>
      <c r="AB138" s="2918"/>
      <c r="AC138" s="2918"/>
      <c r="AD138" s="2918"/>
      <c r="AE138" s="2918"/>
      <c r="AF138" s="2918"/>
      <c r="AG138" s="2918"/>
      <c r="AH138" s="2918"/>
      <c r="AI138" s="2918"/>
      <c r="AJ138" s="2918"/>
      <c r="AK138" s="2918"/>
      <c r="AL138" s="2918"/>
      <c r="AM138" s="2918"/>
      <c r="AN138" s="2918"/>
      <c r="AO138" s="2918"/>
      <c r="AP138" s="2918"/>
      <c r="AQ138" s="2918"/>
      <c r="AR138" s="2918"/>
      <c r="AS138" s="2918"/>
      <c r="AT138" s="2918"/>
      <c r="AU138" s="2918"/>
      <c r="AV138" s="2918"/>
      <c r="AW138" s="2918"/>
      <c r="AX138" s="2918"/>
      <c r="AY138" s="2918"/>
      <c r="AZ138" s="2918"/>
      <c r="BA138" s="2918"/>
      <c r="BB138" s="2918"/>
      <c r="BC138" s="2918"/>
      <c r="BD138" s="2918"/>
      <c r="BE138" s="2918"/>
      <c r="BF138" s="2918"/>
      <c r="BG138" s="2918"/>
      <c r="BH138" s="2918"/>
      <c r="BI138" s="2918"/>
      <c r="BJ138" s="2918"/>
      <c r="BK138" s="2918"/>
      <c r="BL138" s="2918"/>
      <c r="BM138" s="2918"/>
      <c r="BN138" s="2918"/>
      <c r="BO138" s="2918"/>
      <c r="BP138" s="2918"/>
      <c r="BQ138" s="2918"/>
      <c r="BR138" s="2918"/>
      <c r="BS138" s="2918"/>
      <c r="BT138" s="2918"/>
      <c r="BU138" s="2918"/>
      <c r="BV138" s="2918"/>
      <c r="BW138" s="2918"/>
      <c r="BX138" s="2918"/>
      <c r="BY138" s="2918"/>
      <c r="BZ138" s="2918"/>
      <c r="CA138" s="2918"/>
      <c r="CB138" s="2918"/>
      <c r="CC138" s="2918"/>
      <c r="CD138" s="2918"/>
      <c r="CE138" s="2918"/>
      <c r="CF138" s="2918"/>
      <c r="CG138" s="2918"/>
      <c r="CH138" s="2918"/>
      <c r="CI138" s="2918"/>
      <c r="CJ138" s="2918"/>
      <c r="CK138" s="2918"/>
      <c r="CL138" s="2918"/>
      <c r="CM138" s="2918"/>
      <c r="CN138" s="2918"/>
      <c r="CO138" s="2918"/>
      <c r="CP138" s="2918"/>
      <c r="CQ138" s="2918"/>
      <c r="CR138" s="2918"/>
      <c r="CS138" s="2918"/>
      <c r="CT138" s="2918"/>
      <c r="CU138" s="2918"/>
      <c r="CV138" s="2918"/>
      <c r="CW138" s="2918"/>
      <c r="CX138" s="2918"/>
      <c r="CY138" s="2918"/>
      <c r="CZ138" s="2918"/>
      <c r="DA138" s="2918"/>
      <c r="DB138" s="2918"/>
      <c r="DC138" s="2918"/>
      <c r="DD138" s="2918"/>
      <c r="DE138" s="2918"/>
      <c r="DF138" s="2918"/>
      <c r="DG138" s="2918"/>
      <c r="DH138" s="2918"/>
      <c r="DI138" s="2918"/>
      <c r="DJ138" s="2918"/>
      <c r="DK138" s="2918"/>
      <c r="DL138" s="2918"/>
      <c r="DM138" s="2918"/>
      <c r="DN138" s="2918"/>
      <c r="DO138" s="2918"/>
      <c r="DP138" s="2918"/>
      <c r="DQ138" s="2918"/>
      <c r="DR138" s="2918"/>
      <c r="DS138" s="2918"/>
      <c r="DT138" s="2918"/>
      <c r="DU138" s="2918"/>
      <c r="DV138" s="2918"/>
      <c r="DW138" s="2918"/>
      <c r="DX138" s="2918"/>
      <c r="DY138" s="2918"/>
      <c r="DZ138" s="2918"/>
      <c r="EA138" s="2918"/>
      <c r="EB138" s="2918"/>
      <c r="EC138" s="2918"/>
      <c r="ED138" s="2918"/>
      <c r="EE138" s="2918"/>
      <c r="EF138" s="2918"/>
      <c r="EG138" s="2918"/>
      <c r="EH138" s="2918"/>
      <c r="EI138" s="2918"/>
      <c r="EJ138" s="2918"/>
      <c r="EK138" s="2918"/>
      <c r="EL138" s="2918"/>
      <c r="EM138" s="2918"/>
      <c r="EN138" s="2918"/>
      <c r="EO138" s="2918"/>
      <c r="EP138" s="2918"/>
      <c r="EQ138" s="2918"/>
      <c r="ER138" s="2918"/>
      <c r="ES138" s="2918"/>
      <c r="ET138" s="2918"/>
      <c r="EU138" s="2918"/>
      <c r="EV138" s="2918"/>
      <c r="EW138" s="2918"/>
      <c r="EX138" s="2918"/>
      <c r="EY138" s="2918"/>
      <c r="EZ138" s="2918"/>
      <c r="FA138" s="2918"/>
      <c r="FB138" s="2918"/>
      <c r="FC138" s="2918"/>
      <c r="FD138" s="2918"/>
      <c r="FE138" s="2918"/>
      <c r="FF138" s="2918"/>
      <c r="FG138" s="2918"/>
      <c r="FH138" s="2918"/>
      <c r="FI138" s="2918"/>
      <c r="FJ138" s="2918"/>
      <c r="FK138" s="2918"/>
      <c r="FL138" s="2918"/>
      <c r="FM138" s="2918"/>
      <c r="FN138" s="2918"/>
      <c r="FO138" s="2918"/>
      <c r="FP138" s="2918"/>
      <c r="FQ138" s="2918"/>
      <c r="FR138" s="2918"/>
      <c r="FS138" s="2918"/>
      <c r="FT138" s="2918"/>
      <c r="FU138" s="2918"/>
      <c r="FV138" s="2918"/>
      <c r="FW138" s="2918"/>
      <c r="FX138" s="2918"/>
      <c r="FY138" s="2918"/>
      <c r="FZ138" s="2918"/>
      <c r="GA138" s="2918"/>
      <c r="GB138" s="2918"/>
      <c r="GC138" s="2918"/>
      <c r="GD138" s="2918"/>
      <c r="GE138" s="2918"/>
      <c r="GF138" s="2918"/>
      <c r="GG138" s="2918"/>
      <c r="GH138" s="2918"/>
      <c r="GI138" s="2918"/>
      <c r="GJ138" s="2918"/>
      <c r="GK138" s="2918"/>
      <c r="GL138" s="2918"/>
      <c r="GM138" s="2918"/>
      <c r="GN138" s="2918"/>
      <c r="GO138" s="2918"/>
      <c r="GP138" s="2918"/>
      <c r="GQ138" s="2918"/>
      <c r="GR138" s="2918"/>
      <c r="GS138" s="2918"/>
      <c r="GT138" s="2918"/>
      <c r="GU138" s="2918"/>
      <c r="GV138" s="2918"/>
      <c r="GW138" s="2918"/>
      <c r="GX138" s="2918"/>
      <c r="GY138" s="2918"/>
      <c r="GZ138" s="2918"/>
      <c r="HA138" s="2918"/>
      <c r="HB138" s="2918"/>
      <c r="HC138" s="2918"/>
      <c r="HD138" s="2918"/>
      <c r="HE138" s="2918"/>
      <c r="HF138" s="2918"/>
      <c r="HG138" s="2918"/>
      <c r="HH138" s="2918"/>
      <c r="HI138" s="2918"/>
      <c r="HJ138" s="2918"/>
      <c r="HK138" s="2918"/>
      <c r="HL138" s="2918"/>
      <c r="HM138" s="2918"/>
      <c r="HN138" s="2918"/>
      <c r="HO138" s="2918"/>
      <c r="HP138" s="2918"/>
      <c r="HQ138" s="2918"/>
      <c r="HR138" s="2918"/>
      <c r="HS138" s="2918"/>
      <c r="HT138" s="2918"/>
      <c r="HU138" s="2918"/>
      <c r="HV138" s="2918"/>
      <c r="HW138" s="2918"/>
      <c r="HX138" s="2918"/>
      <c r="HY138" s="2918"/>
      <c r="HZ138" s="2918"/>
      <c r="IA138" s="2918"/>
      <c r="IB138" s="2918"/>
      <c r="IC138" s="2918"/>
      <c r="ID138" s="2918"/>
      <c r="IE138" s="2918"/>
      <c r="IF138" s="2918"/>
      <c r="IG138" s="2918"/>
      <c r="IH138" s="2918"/>
      <c r="II138" s="2918"/>
      <c r="IJ138" s="2918"/>
      <c r="IK138" s="2918"/>
      <c r="IL138" s="2918"/>
      <c r="IM138" s="2918"/>
      <c r="IN138" s="2918"/>
      <c r="IO138" s="2918"/>
      <c r="IP138" s="2918"/>
      <c r="IQ138" s="2918"/>
      <c r="IR138" s="2918"/>
      <c r="IS138" s="2918"/>
      <c r="IT138" s="2918"/>
      <c r="IU138" s="2918"/>
      <c r="IV138" s="2918"/>
    </row>
    <row r="139" spans="1:256" customFormat="1">
      <c r="A139" s="4648"/>
      <c r="B139" s="4653"/>
      <c r="C139" s="2901">
        <v>400</v>
      </c>
      <c r="D139" s="3062" t="s">
        <v>12579</v>
      </c>
      <c r="E139" s="3064"/>
      <c r="F139" s="3064"/>
      <c r="G139" s="3064"/>
      <c r="H139" s="3068">
        <f t="shared" si="4"/>
        <v>30.900163839891782</v>
      </c>
      <c r="I139" s="3069">
        <f t="shared" si="4"/>
        <v>54.128118157004401</v>
      </c>
      <c r="J139" s="2918"/>
      <c r="K139" s="2918"/>
      <c r="L139" s="2918"/>
      <c r="M139" s="2918"/>
      <c r="N139" s="2918"/>
      <c r="O139" s="2918"/>
      <c r="P139" s="2918"/>
      <c r="Q139" s="2918"/>
      <c r="R139" s="2918"/>
      <c r="S139" s="2918"/>
      <c r="T139" s="2918"/>
      <c r="U139" s="2918"/>
      <c r="V139" s="2918"/>
      <c r="W139" s="2918"/>
      <c r="X139" s="2918"/>
      <c r="Y139" s="2918"/>
      <c r="Z139" s="2918"/>
      <c r="AA139" s="2918"/>
      <c r="AB139" s="2918"/>
      <c r="AC139" s="2918"/>
      <c r="AD139" s="2918"/>
      <c r="AE139" s="2918"/>
      <c r="AF139" s="2918"/>
      <c r="AG139" s="2918"/>
      <c r="AH139" s="2918"/>
      <c r="AI139" s="2918"/>
      <c r="AJ139" s="2918"/>
      <c r="AK139" s="2918"/>
      <c r="AL139" s="2918"/>
      <c r="AM139" s="2918"/>
      <c r="AN139" s="2918"/>
      <c r="AO139" s="2918"/>
      <c r="AP139" s="2918"/>
      <c r="AQ139" s="2918"/>
      <c r="AR139" s="2918"/>
      <c r="AS139" s="2918"/>
      <c r="AT139" s="2918"/>
      <c r="AU139" s="2918"/>
      <c r="AV139" s="2918"/>
      <c r="AW139" s="2918"/>
      <c r="AX139" s="2918"/>
      <c r="AY139" s="2918"/>
      <c r="AZ139" s="2918"/>
      <c r="BA139" s="2918"/>
      <c r="BB139" s="2918"/>
      <c r="BC139" s="2918"/>
      <c r="BD139" s="2918"/>
      <c r="BE139" s="2918"/>
      <c r="BF139" s="2918"/>
      <c r="BG139" s="2918"/>
      <c r="BH139" s="2918"/>
      <c r="BI139" s="2918"/>
      <c r="BJ139" s="2918"/>
      <c r="BK139" s="2918"/>
      <c r="BL139" s="2918"/>
      <c r="BM139" s="2918"/>
      <c r="BN139" s="2918"/>
      <c r="BO139" s="2918"/>
      <c r="BP139" s="2918"/>
      <c r="BQ139" s="2918"/>
      <c r="BR139" s="2918"/>
      <c r="BS139" s="2918"/>
      <c r="BT139" s="2918"/>
      <c r="BU139" s="2918"/>
      <c r="BV139" s="2918"/>
      <c r="BW139" s="2918"/>
      <c r="BX139" s="2918"/>
      <c r="BY139" s="2918"/>
      <c r="BZ139" s="2918"/>
      <c r="CA139" s="2918"/>
      <c r="CB139" s="2918"/>
      <c r="CC139" s="2918"/>
      <c r="CD139" s="2918"/>
      <c r="CE139" s="2918"/>
      <c r="CF139" s="2918"/>
      <c r="CG139" s="2918"/>
      <c r="CH139" s="2918"/>
      <c r="CI139" s="2918"/>
      <c r="CJ139" s="2918"/>
      <c r="CK139" s="2918"/>
      <c r="CL139" s="2918"/>
      <c r="CM139" s="2918"/>
      <c r="CN139" s="2918"/>
      <c r="CO139" s="2918"/>
      <c r="CP139" s="2918"/>
      <c r="CQ139" s="2918"/>
      <c r="CR139" s="2918"/>
      <c r="CS139" s="2918"/>
      <c r="CT139" s="2918"/>
      <c r="CU139" s="2918"/>
      <c r="CV139" s="2918"/>
      <c r="CW139" s="2918"/>
      <c r="CX139" s="2918"/>
      <c r="CY139" s="2918"/>
      <c r="CZ139" s="2918"/>
      <c r="DA139" s="2918"/>
      <c r="DB139" s="2918"/>
      <c r="DC139" s="2918"/>
      <c r="DD139" s="2918"/>
      <c r="DE139" s="2918"/>
      <c r="DF139" s="2918"/>
      <c r="DG139" s="2918"/>
      <c r="DH139" s="2918"/>
      <c r="DI139" s="2918"/>
      <c r="DJ139" s="2918"/>
      <c r="DK139" s="2918"/>
      <c r="DL139" s="2918"/>
      <c r="DM139" s="2918"/>
      <c r="DN139" s="2918"/>
      <c r="DO139" s="2918"/>
      <c r="DP139" s="2918"/>
      <c r="DQ139" s="2918"/>
      <c r="DR139" s="2918"/>
      <c r="DS139" s="2918"/>
      <c r="DT139" s="2918"/>
      <c r="DU139" s="2918"/>
      <c r="DV139" s="2918"/>
      <c r="DW139" s="2918"/>
      <c r="DX139" s="2918"/>
      <c r="DY139" s="2918"/>
      <c r="DZ139" s="2918"/>
      <c r="EA139" s="2918"/>
      <c r="EB139" s="2918"/>
      <c r="EC139" s="2918"/>
      <c r="ED139" s="2918"/>
      <c r="EE139" s="2918"/>
      <c r="EF139" s="2918"/>
      <c r="EG139" s="2918"/>
      <c r="EH139" s="2918"/>
      <c r="EI139" s="2918"/>
      <c r="EJ139" s="2918"/>
      <c r="EK139" s="2918"/>
      <c r="EL139" s="2918"/>
      <c r="EM139" s="2918"/>
      <c r="EN139" s="2918"/>
      <c r="EO139" s="2918"/>
      <c r="EP139" s="2918"/>
      <c r="EQ139" s="2918"/>
      <c r="ER139" s="2918"/>
      <c r="ES139" s="2918"/>
      <c r="ET139" s="2918"/>
      <c r="EU139" s="2918"/>
      <c r="EV139" s="2918"/>
      <c r="EW139" s="2918"/>
      <c r="EX139" s="2918"/>
      <c r="EY139" s="2918"/>
      <c r="EZ139" s="2918"/>
      <c r="FA139" s="2918"/>
      <c r="FB139" s="2918"/>
      <c r="FC139" s="2918"/>
      <c r="FD139" s="2918"/>
      <c r="FE139" s="2918"/>
      <c r="FF139" s="2918"/>
      <c r="FG139" s="2918"/>
      <c r="FH139" s="2918"/>
      <c r="FI139" s="2918"/>
      <c r="FJ139" s="2918"/>
      <c r="FK139" s="2918"/>
      <c r="FL139" s="2918"/>
      <c r="FM139" s="2918"/>
      <c r="FN139" s="2918"/>
      <c r="FO139" s="2918"/>
      <c r="FP139" s="2918"/>
      <c r="FQ139" s="2918"/>
      <c r="FR139" s="2918"/>
      <c r="FS139" s="2918"/>
      <c r="FT139" s="2918"/>
      <c r="FU139" s="2918"/>
      <c r="FV139" s="2918"/>
      <c r="FW139" s="2918"/>
      <c r="FX139" s="2918"/>
      <c r="FY139" s="2918"/>
      <c r="FZ139" s="2918"/>
      <c r="GA139" s="2918"/>
      <c r="GB139" s="2918"/>
      <c r="GC139" s="2918"/>
      <c r="GD139" s="2918"/>
      <c r="GE139" s="2918"/>
      <c r="GF139" s="2918"/>
      <c r="GG139" s="2918"/>
      <c r="GH139" s="2918"/>
      <c r="GI139" s="2918"/>
      <c r="GJ139" s="2918"/>
      <c r="GK139" s="2918"/>
      <c r="GL139" s="2918"/>
      <c r="GM139" s="2918"/>
      <c r="GN139" s="2918"/>
      <c r="GO139" s="2918"/>
      <c r="GP139" s="2918"/>
      <c r="GQ139" s="2918"/>
      <c r="GR139" s="2918"/>
      <c r="GS139" s="2918"/>
      <c r="GT139" s="2918"/>
      <c r="GU139" s="2918"/>
      <c r="GV139" s="2918"/>
      <c r="GW139" s="2918"/>
      <c r="GX139" s="2918"/>
      <c r="GY139" s="2918"/>
      <c r="GZ139" s="2918"/>
      <c r="HA139" s="2918"/>
      <c r="HB139" s="2918"/>
      <c r="HC139" s="2918"/>
      <c r="HD139" s="2918"/>
      <c r="HE139" s="2918"/>
      <c r="HF139" s="2918"/>
      <c r="HG139" s="2918"/>
      <c r="HH139" s="2918"/>
      <c r="HI139" s="2918"/>
      <c r="HJ139" s="2918"/>
      <c r="HK139" s="2918"/>
      <c r="HL139" s="2918"/>
      <c r="HM139" s="2918"/>
      <c r="HN139" s="2918"/>
      <c r="HO139" s="2918"/>
      <c r="HP139" s="2918"/>
      <c r="HQ139" s="2918"/>
      <c r="HR139" s="2918"/>
      <c r="HS139" s="2918"/>
      <c r="HT139" s="2918"/>
      <c r="HU139" s="2918"/>
      <c r="HV139" s="2918"/>
      <c r="HW139" s="2918"/>
      <c r="HX139" s="2918"/>
      <c r="HY139" s="2918"/>
      <c r="HZ139" s="2918"/>
      <c r="IA139" s="2918"/>
      <c r="IB139" s="2918"/>
      <c r="IC139" s="2918"/>
      <c r="ID139" s="2918"/>
      <c r="IE139" s="2918"/>
      <c r="IF139" s="2918"/>
      <c r="IG139" s="2918"/>
      <c r="IH139" s="2918"/>
      <c r="II139" s="2918"/>
      <c r="IJ139" s="2918"/>
      <c r="IK139" s="2918"/>
      <c r="IL139" s="2918"/>
      <c r="IM139" s="2918"/>
      <c r="IN139" s="2918"/>
      <c r="IO139" s="2918"/>
      <c r="IP139" s="2918"/>
      <c r="IQ139" s="2918"/>
      <c r="IR139" s="2918"/>
      <c r="IS139" s="2918"/>
      <c r="IT139" s="2918"/>
      <c r="IU139" s="2918"/>
      <c r="IV139" s="2918"/>
    </row>
    <row r="140" spans="1:256" customFormat="1">
      <c r="A140" s="4648"/>
      <c r="B140" s="4653"/>
      <c r="C140" s="2901">
        <v>412</v>
      </c>
      <c r="D140" s="3062" t="s">
        <v>12580</v>
      </c>
      <c r="E140" s="3064"/>
      <c r="F140" s="3064"/>
      <c r="G140" s="3064"/>
      <c r="H140" s="3068">
        <f t="shared" si="4"/>
        <v>31.81504655905956</v>
      </c>
      <c r="I140" s="3069">
        <f t="shared" si="4"/>
        <v>55.724033188660535</v>
      </c>
      <c r="J140" s="2918"/>
      <c r="K140" s="2918"/>
      <c r="L140" s="2918"/>
      <c r="M140" s="2918"/>
      <c r="N140" s="2918"/>
      <c r="O140" s="2918"/>
      <c r="P140" s="2918"/>
      <c r="Q140" s="2918"/>
      <c r="R140" s="2918"/>
      <c r="S140" s="2918"/>
      <c r="T140" s="2918"/>
      <c r="U140" s="2918"/>
      <c r="V140" s="2918"/>
      <c r="W140" s="2918"/>
      <c r="X140" s="2918"/>
      <c r="Y140" s="2918"/>
      <c r="Z140" s="2918"/>
      <c r="AA140" s="2918"/>
      <c r="AB140" s="2918"/>
      <c r="AC140" s="2918"/>
      <c r="AD140" s="2918"/>
      <c r="AE140" s="2918"/>
      <c r="AF140" s="2918"/>
      <c r="AG140" s="2918"/>
      <c r="AH140" s="2918"/>
      <c r="AI140" s="2918"/>
      <c r="AJ140" s="2918"/>
      <c r="AK140" s="2918"/>
      <c r="AL140" s="2918"/>
      <c r="AM140" s="2918"/>
      <c r="AN140" s="2918"/>
      <c r="AO140" s="2918"/>
      <c r="AP140" s="2918"/>
      <c r="AQ140" s="2918"/>
      <c r="AR140" s="2918"/>
      <c r="AS140" s="2918"/>
      <c r="AT140" s="2918"/>
      <c r="AU140" s="2918"/>
      <c r="AV140" s="2918"/>
      <c r="AW140" s="2918"/>
      <c r="AX140" s="2918"/>
      <c r="AY140" s="2918"/>
      <c r="AZ140" s="2918"/>
      <c r="BA140" s="2918"/>
      <c r="BB140" s="2918"/>
      <c r="BC140" s="2918"/>
      <c r="BD140" s="2918"/>
      <c r="BE140" s="2918"/>
      <c r="BF140" s="2918"/>
      <c r="BG140" s="2918"/>
      <c r="BH140" s="2918"/>
      <c r="BI140" s="2918"/>
      <c r="BJ140" s="2918"/>
      <c r="BK140" s="2918"/>
      <c r="BL140" s="2918"/>
      <c r="BM140" s="2918"/>
      <c r="BN140" s="2918"/>
      <c r="BO140" s="2918"/>
      <c r="BP140" s="2918"/>
      <c r="BQ140" s="2918"/>
      <c r="BR140" s="2918"/>
      <c r="BS140" s="2918"/>
      <c r="BT140" s="2918"/>
      <c r="BU140" s="2918"/>
      <c r="BV140" s="2918"/>
      <c r="BW140" s="2918"/>
      <c r="BX140" s="2918"/>
      <c r="BY140" s="2918"/>
      <c r="BZ140" s="2918"/>
      <c r="CA140" s="2918"/>
      <c r="CB140" s="2918"/>
      <c r="CC140" s="2918"/>
      <c r="CD140" s="2918"/>
      <c r="CE140" s="2918"/>
      <c r="CF140" s="2918"/>
      <c r="CG140" s="2918"/>
      <c r="CH140" s="2918"/>
      <c r="CI140" s="2918"/>
      <c r="CJ140" s="2918"/>
      <c r="CK140" s="2918"/>
      <c r="CL140" s="2918"/>
      <c r="CM140" s="2918"/>
      <c r="CN140" s="2918"/>
      <c r="CO140" s="2918"/>
      <c r="CP140" s="2918"/>
      <c r="CQ140" s="2918"/>
      <c r="CR140" s="2918"/>
      <c r="CS140" s="2918"/>
      <c r="CT140" s="2918"/>
      <c r="CU140" s="2918"/>
      <c r="CV140" s="2918"/>
      <c r="CW140" s="2918"/>
      <c r="CX140" s="2918"/>
      <c r="CY140" s="2918"/>
      <c r="CZ140" s="2918"/>
      <c r="DA140" s="2918"/>
      <c r="DB140" s="2918"/>
      <c r="DC140" s="2918"/>
      <c r="DD140" s="2918"/>
      <c r="DE140" s="2918"/>
      <c r="DF140" s="2918"/>
      <c r="DG140" s="2918"/>
      <c r="DH140" s="2918"/>
      <c r="DI140" s="2918"/>
      <c r="DJ140" s="2918"/>
      <c r="DK140" s="2918"/>
      <c r="DL140" s="2918"/>
      <c r="DM140" s="2918"/>
      <c r="DN140" s="2918"/>
      <c r="DO140" s="2918"/>
      <c r="DP140" s="2918"/>
      <c r="DQ140" s="2918"/>
      <c r="DR140" s="2918"/>
      <c r="DS140" s="2918"/>
      <c r="DT140" s="2918"/>
      <c r="DU140" s="2918"/>
      <c r="DV140" s="2918"/>
      <c r="DW140" s="2918"/>
      <c r="DX140" s="2918"/>
      <c r="DY140" s="2918"/>
      <c r="DZ140" s="2918"/>
      <c r="EA140" s="2918"/>
      <c r="EB140" s="2918"/>
      <c r="EC140" s="2918"/>
      <c r="ED140" s="2918"/>
      <c r="EE140" s="2918"/>
      <c r="EF140" s="2918"/>
      <c r="EG140" s="2918"/>
      <c r="EH140" s="2918"/>
      <c r="EI140" s="2918"/>
      <c r="EJ140" s="2918"/>
      <c r="EK140" s="2918"/>
      <c r="EL140" s="2918"/>
      <c r="EM140" s="2918"/>
      <c r="EN140" s="2918"/>
      <c r="EO140" s="2918"/>
      <c r="EP140" s="2918"/>
      <c r="EQ140" s="2918"/>
      <c r="ER140" s="2918"/>
      <c r="ES140" s="2918"/>
      <c r="ET140" s="2918"/>
      <c r="EU140" s="2918"/>
      <c r="EV140" s="2918"/>
      <c r="EW140" s="2918"/>
      <c r="EX140" s="2918"/>
      <c r="EY140" s="2918"/>
      <c r="EZ140" s="2918"/>
      <c r="FA140" s="2918"/>
      <c r="FB140" s="2918"/>
      <c r="FC140" s="2918"/>
      <c r="FD140" s="2918"/>
      <c r="FE140" s="2918"/>
      <c r="FF140" s="2918"/>
      <c r="FG140" s="2918"/>
      <c r="FH140" s="2918"/>
      <c r="FI140" s="2918"/>
      <c r="FJ140" s="2918"/>
      <c r="FK140" s="2918"/>
      <c r="FL140" s="2918"/>
      <c r="FM140" s="2918"/>
      <c r="FN140" s="2918"/>
      <c r="FO140" s="2918"/>
      <c r="FP140" s="2918"/>
      <c r="FQ140" s="2918"/>
      <c r="FR140" s="2918"/>
      <c r="FS140" s="2918"/>
      <c r="FT140" s="2918"/>
      <c r="FU140" s="2918"/>
      <c r="FV140" s="2918"/>
      <c r="FW140" s="2918"/>
      <c r="FX140" s="2918"/>
      <c r="FY140" s="2918"/>
      <c r="FZ140" s="2918"/>
      <c r="GA140" s="2918"/>
      <c r="GB140" s="2918"/>
      <c r="GC140" s="2918"/>
      <c r="GD140" s="2918"/>
      <c r="GE140" s="2918"/>
      <c r="GF140" s="2918"/>
      <c r="GG140" s="2918"/>
      <c r="GH140" s="2918"/>
      <c r="GI140" s="2918"/>
      <c r="GJ140" s="2918"/>
      <c r="GK140" s="2918"/>
      <c r="GL140" s="2918"/>
      <c r="GM140" s="2918"/>
      <c r="GN140" s="2918"/>
      <c r="GO140" s="2918"/>
      <c r="GP140" s="2918"/>
      <c r="GQ140" s="2918"/>
      <c r="GR140" s="2918"/>
      <c r="GS140" s="2918"/>
      <c r="GT140" s="2918"/>
      <c r="GU140" s="2918"/>
      <c r="GV140" s="2918"/>
      <c r="GW140" s="2918"/>
      <c r="GX140" s="2918"/>
      <c r="GY140" s="2918"/>
      <c r="GZ140" s="2918"/>
      <c r="HA140" s="2918"/>
      <c r="HB140" s="2918"/>
      <c r="HC140" s="2918"/>
      <c r="HD140" s="2918"/>
      <c r="HE140" s="2918"/>
      <c r="HF140" s="2918"/>
      <c r="HG140" s="2918"/>
      <c r="HH140" s="2918"/>
      <c r="HI140" s="2918"/>
      <c r="HJ140" s="2918"/>
      <c r="HK140" s="2918"/>
      <c r="HL140" s="2918"/>
      <c r="HM140" s="2918"/>
      <c r="HN140" s="2918"/>
      <c r="HO140" s="2918"/>
      <c r="HP140" s="2918"/>
      <c r="HQ140" s="2918"/>
      <c r="HR140" s="2918"/>
      <c r="HS140" s="2918"/>
      <c r="HT140" s="2918"/>
      <c r="HU140" s="2918"/>
      <c r="HV140" s="2918"/>
      <c r="HW140" s="2918"/>
      <c r="HX140" s="2918"/>
      <c r="HY140" s="2918"/>
      <c r="HZ140" s="2918"/>
      <c r="IA140" s="2918"/>
      <c r="IB140" s="2918"/>
      <c r="IC140" s="2918"/>
      <c r="ID140" s="2918"/>
      <c r="IE140" s="2918"/>
      <c r="IF140" s="2918"/>
      <c r="IG140" s="2918"/>
      <c r="IH140" s="2918"/>
      <c r="II140" s="2918"/>
      <c r="IJ140" s="2918"/>
      <c r="IK140" s="2918"/>
      <c r="IL140" s="2918"/>
      <c r="IM140" s="2918"/>
      <c r="IN140" s="2918"/>
      <c r="IO140" s="2918"/>
      <c r="IP140" s="2918"/>
      <c r="IQ140" s="2918"/>
      <c r="IR140" s="2918"/>
      <c r="IS140" s="2918"/>
      <c r="IT140" s="2918"/>
      <c r="IU140" s="2918"/>
      <c r="IV140" s="2918"/>
    </row>
    <row r="141" spans="1:256" customFormat="1">
      <c r="A141" s="4648"/>
      <c r="B141" s="4653"/>
      <c r="C141" s="2901">
        <v>425</v>
      </c>
      <c r="D141" s="3062" t="s">
        <v>12580</v>
      </c>
      <c r="E141" s="3064"/>
      <c r="F141" s="3064"/>
      <c r="G141" s="3064"/>
      <c r="H141" s="3064"/>
      <c r="I141" s="3069">
        <f t="shared" si="4"/>
        <v>57.452941139621373</v>
      </c>
      <c r="J141" s="2918"/>
      <c r="K141" s="2918"/>
      <c r="L141" s="2918"/>
      <c r="M141" s="2918"/>
      <c r="N141" s="2918"/>
      <c r="O141" s="2918"/>
      <c r="P141" s="2918"/>
      <c r="Q141" s="2918"/>
      <c r="R141" s="2918"/>
      <c r="S141" s="2918"/>
      <c r="T141" s="2918"/>
      <c r="U141" s="2918"/>
      <c r="V141" s="2918"/>
      <c r="W141" s="2918"/>
      <c r="X141" s="2918"/>
      <c r="Y141" s="2918"/>
      <c r="Z141" s="2918"/>
      <c r="AA141" s="2918"/>
      <c r="AB141" s="2918"/>
      <c r="AC141" s="2918"/>
      <c r="AD141" s="2918"/>
      <c r="AE141" s="2918"/>
      <c r="AF141" s="2918"/>
      <c r="AG141" s="2918"/>
      <c r="AH141" s="2918"/>
      <c r="AI141" s="2918"/>
      <c r="AJ141" s="2918"/>
      <c r="AK141" s="2918"/>
      <c r="AL141" s="2918"/>
      <c r="AM141" s="2918"/>
      <c r="AN141" s="2918"/>
      <c r="AO141" s="2918"/>
      <c r="AP141" s="2918"/>
      <c r="AQ141" s="2918"/>
      <c r="AR141" s="2918"/>
      <c r="AS141" s="2918"/>
      <c r="AT141" s="2918"/>
      <c r="AU141" s="2918"/>
      <c r="AV141" s="2918"/>
      <c r="AW141" s="2918"/>
      <c r="AX141" s="2918"/>
      <c r="AY141" s="2918"/>
      <c r="AZ141" s="2918"/>
      <c r="BA141" s="2918"/>
      <c r="BB141" s="2918"/>
      <c r="BC141" s="2918"/>
      <c r="BD141" s="2918"/>
      <c r="BE141" s="2918"/>
      <c r="BF141" s="2918"/>
      <c r="BG141" s="2918"/>
      <c r="BH141" s="2918"/>
      <c r="BI141" s="2918"/>
      <c r="BJ141" s="2918"/>
      <c r="BK141" s="2918"/>
      <c r="BL141" s="2918"/>
      <c r="BM141" s="2918"/>
      <c r="BN141" s="2918"/>
      <c r="BO141" s="2918"/>
      <c r="BP141" s="2918"/>
      <c r="BQ141" s="2918"/>
      <c r="BR141" s="2918"/>
      <c r="BS141" s="2918"/>
      <c r="BT141" s="2918"/>
      <c r="BU141" s="2918"/>
      <c r="BV141" s="2918"/>
      <c r="BW141" s="2918"/>
      <c r="BX141" s="2918"/>
      <c r="BY141" s="2918"/>
      <c r="BZ141" s="2918"/>
      <c r="CA141" s="2918"/>
      <c r="CB141" s="2918"/>
      <c r="CC141" s="2918"/>
      <c r="CD141" s="2918"/>
      <c r="CE141" s="2918"/>
      <c r="CF141" s="2918"/>
      <c r="CG141" s="2918"/>
      <c r="CH141" s="2918"/>
      <c r="CI141" s="2918"/>
      <c r="CJ141" s="2918"/>
      <c r="CK141" s="2918"/>
      <c r="CL141" s="2918"/>
      <c r="CM141" s="2918"/>
      <c r="CN141" s="2918"/>
      <c r="CO141" s="2918"/>
      <c r="CP141" s="2918"/>
      <c r="CQ141" s="2918"/>
      <c r="CR141" s="2918"/>
      <c r="CS141" s="2918"/>
      <c r="CT141" s="2918"/>
      <c r="CU141" s="2918"/>
      <c r="CV141" s="2918"/>
      <c r="CW141" s="2918"/>
      <c r="CX141" s="2918"/>
      <c r="CY141" s="2918"/>
      <c r="CZ141" s="2918"/>
      <c r="DA141" s="2918"/>
      <c r="DB141" s="2918"/>
      <c r="DC141" s="2918"/>
      <c r="DD141" s="2918"/>
      <c r="DE141" s="2918"/>
      <c r="DF141" s="2918"/>
      <c r="DG141" s="2918"/>
      <c r="DH141" s="2918"/>
      <c r="DI141" s="2918"/>
      <c r="DJ141" s="2918"/>
      <c r="DK141" s="2918"/>
      <c r="DL141" s="2918"/>
      <c r="DM141" s="2918"/>
      <c r="DN141" s="2918"/>
      <c r="DO141" s="2918"/>
      <c r="DP141" s="2918"/>
      <c r="DQ141" s="2918"/>
      <c r="DR141" s="2918"/>
      <c r="DS141" s="2918"/>
      <c r="DT141" s="2918"/>
      <c r="DU141" s="2918"/>
      <c r="DV141" s="2918"/>
      <c r="DW141" s="2918"/>
      <c r="DX141" s="2918"/>
      <c r="DY141" s="2918"/>
      <c r="DZ141" s="2918"/>
      <c r="EA141" s="2918"/>
      <c r="EB141" s="2918"/>
      <c r="EC141" s="2918"/>
      <c r="ED141" s="2918"/>
      <c r="EE141" s="2918"/>
      <c r="EF141" s="2918"/>
      <c r="EG141" s="2918"/>
      <c r="EH141" s="2918"/>
      <c r="EI141" s="2918"/>
      <c r="EJ141" s="2918"/>
      <c r="EK141" s="2918"/>
      <c r="EL141" s="2918"/>
      <c r="EM141" s="2918"/>
      <c r="EN141" s="2918"/>
      <c r="EO141" s="2918"/>
      <c r="EP141" s="2918"/>
      <c r="EQ141" s="2918"/>
      <c r="ER141" s="2918"/>
      <c r="ES141" s="2918"/>
      <c r="ET141" s="2918"/>
      <c r="EU141" s="2918"/>
      <c r="EV141" s="2918"/>
      <c r="EW141" s="2918"/>
      <c r="EX141" s="2918"/>
      <c r="EY141" s="2918"/>
      <c r="EZ141" s="2918"/>
      <c r="FA141" s="2918"/>
      <c r="FB141" s="2918"/>
      <c r="FC141" s="2918"/>
      <c r="FD141" s="2918"/>
      <c r="FE141" s="2918"/>
      <c r="FF141" s="2918"/>
      <c r="FG141" s="2918"/>
      <c r="FH141" s="2918"/>
      <c r="FI141" s="2918"/>
      <c r="FJ141" s="2918"/>
      <c r="FK141" s="2918"/>
      <c r="FL141" s="2918"/>
      <c r="FM141" s="2918"/>
      <c r="FN141" s="2918"/>
      <c r="FO141" s="2918"/>
      <c r="FP141" s="2918"/>
      <c r="FQ141" s="2918"/>
      <c r="FR141" s="2918"/>
      <c r="FS141" s="2918"/>
      <c r="FT141" s="2918"/>
      <c r="FU141" s="2918"/>
      <c r="FV141" s="2918"/>
      <c r="FW141" s="2918"/>
      <c r="FX141" s="2918"/>
      <c r="FY141" s="2918"/>
      <c r="FZ141" s="2918"/>
      <c r="GA141" s="2918"/>
      <c r="GB141" s="2918"/>
      <c r="GC141" s="2918"/>
      <c r="GD141" s="2918"/>
      <c r="GE141" s="2918"/>
      <c r="GF141" s="2918"/>
      <c r="GG141" s="2918"/>
      <c r="GH141" s="2918"/>
      <c r="GI141" s="2918"/>
      <c r="GJ141" s="2918"/>
      <c r="GK141" s="2918"/>
      <c r="GL141" s="2918"/>
      <c r="GM141" s="2918"/>
      <c r="GN141" s="2918"/>
      <c r="GO141" s="2918"/>
      <c r="GP141" s="2918"/>
      <c r="GQ141" s="2918"/>
      <c r="GR141" s="2918"/>
      <c r="GS141" s="2918"/>
      <c r="GT141" s="2918"/>
      <c r="GU141" s="2918"/>
      <c r="GV141" s="2918"/>
      <c r="GW141" s="2918"/>
      <c r="GX141" s="2918"/>
      <c r="GY141" s="2918"/>
      <c r="GZ141" s="2918"/>
      <c r="HA141" s="2918"/>
      <c r="HB141" s="2918"/>
      <c r="HC141" s="2918"/>
      <c r="HD141" s="2918"/>
      <c r="HE141" s="2918"/>
      <c r="HF141" s="2918"/>
      <c r="HG141" s="2918"/>
      <c r="HH141" s="2918"/>
      <c r="HI141" s="2918"/>
      <c r="HJ141" s="2918"/>
      <c r="HK141" s="2918"/>
      <c r="HL141" s="2918"/>
      <c r="HM141" s="2918"/>
      <c r="HN141" s="2918"/>
      <c r="HO141" s="2918"/>
      <c r="HP141" s="2918"/>
      <c r="HQ141" s="2918"/>
      <c r="HR141" s="2918"/>
      <c r="HS141" s="2918"/>
      <c r="HT141" s="2918"/>
      <c r="HU141" s="2918"/>
      <c r="HV141" s="2918"/>
      <c r="HW141" s="2918"/>
      <c r="HX141" s="2918"/>
      <c r="HY141" s="2918"/>
      <c r="HZ141" s="2918"/>
      <c r="IA141" s="2918"/>
      <c r="IB141" s="2918"/>
      <c r="IC141" s="2918"/>
      <c r="ID141" s="2918"/>
      <c r="IE141" s="2918"/>
      <c r="IF141" s="2918"/>
      <c r="IG141" s="2918"/>
      <c r="IH141" s="2918"/>
      <c r="II141" s="2918"/>
      <c r="IJ141" s="2918"/>
      <c r="IK141" s="2918"/>
      <c r="IL141" s="2918"/>
      <c r="IM141" s="2918"/>
      <c r="IN141" s="2918"/>
      <c r="IO141" s="2918"/>
      <c r="IP141" s="2918"/>
      <c r="IQ141" s="2918"/>
      <c r="IR141" s="2918"/>
      <c r="IS141" s="2918"/>
      <c r="IT141" s="2918"/>
      <c r="IU141" s="2918"/>
      <c r="IV141" s="2918"/>
    </row>
    <row r="142" spans="1:256" customFormat="1">
      <c r="A142" s="4648"/>
      <c r="B142" s="4653"/>
      <c r="C142" s="2901">
        <v>437</v>
      </c>
      <c r="D142" s="3062" t="s">
        <v>12580</v>
      </c>
      <c r="E142" s="3064"/>
      <c r="F142" s="3064"/>
      <c r="G142" s="3064"/>
      <c r="H142" s="3064"/>
      <c r="I142" s="3069">
        <f t="shared" ref="I142:I156" si="5">I$3^2*PI()/4*($C142+I$3)*PI()*1.1*10^-3</f>
        <v>59.048856171277521</v>
      </c>
      <c r="J142" s="2918"/>
      <c r="K142" s="2918"/>
      <c r="L142" s="2918"/>
      <c r="M142" s="2918"/>
      <c r="N142" s="2918"/>
      <c r="O142" s="2918"/>
      <c r="P142" s="2918"/>
      <c r="Q142" s="2918"/>
      <c r="R142" s="2918"/>
      <c r="S142" s="2918"/>
      <c r="T142" s="2918"/>
      <c r="U142" s="2918"/>
      <c r="V142" s="2918"/>
      <c r="W142" s="2918"/>
      <c r="X142" s="2918"/>
      <c r="Y142" s="2918"/>
      <c r="Z142" s="2918"/>
      <c r="AA142" s="2918"/>
      <c r="AB142" s="2918"/>
      <c r="AC142" s="2918"/>
      <c r="AD142" s="2918"/>
      <c r="AE142" s="2918"/>
      <c r="AF142" s="2918"/>
      <c r="AG142" s="2918"/>
      <c r="AH142" s="2918"/>
      <c r="AI142" s="2918"/>
      <c r="AJ142" s="2918"/>
      <c r="AK142" s="2918"/>
      <c r="AL142" s="2918"/>
      <c r="AM142" s="2918"/>
      <c r="AN142" s="2918"/>
      <c r="AO142" s="2918"/>
      <c r="AP142" s="2918"/>
      <c r="AQ142" s="2918"/>
      <c r="AR142" s="2918"/>
      <c r="AS142" s="2918"/>
      <c r="AT142" s="2918"/>
      <c r="AU142" s="2918"/>
      <c r="AV142" s="2918"/>
      <c r="AW142" s="2918"/>
      <c r="AX142" s="2918"/>
      <c r="AY142" s="2918"/>
      <c r="AZ142" s="2918"/>
      <c r="BA142" s="2918"/>
      <c r="BB142" s="2918"/>
      <c r="BC142" s="2918"/>
      <c r="BD142" s="2918"/>
      <c r="BE142" s="2918"/>
      <c r="BF142" s="2918"/>
      <c r="BG142" s="2918"/>
      <c r="BH142" s="2918"/>
      <c r="BI142" s="2918"/>
      <c r="BJ142" s="2918"/>
      <c r="BK142" s="2918"/>
      <c r="BL142" s="2918"/>
      <c r="BM142" s="2918"/>
      <c r="BN142" s="2918"/>
      <c r="BO142" s="2918"/>
      <c r="BP142" s="2918"/>
      <c r="BQ142" s="2918"/>
      <c r="BR142" s="2918"/>
      <c r="BS142" s="2918"/>
      <c r="BT142" s="2918"/>
      <c r="BU142" s="2918"/>
      <c r="BV142" s="2918"/>
      <c r="BW142" s="2918"/>
      <c r="BX142" s="2918"/>
      <c r="BY142" s="2918"/>
      <c r="BZ142" s="2918"/>
      <c r="CA142" s="2918"/>
      <c r="CB142" s="2918"/>
      <c r="CC142" s="2918"/>
      <c r="CD142" s="2918"/>
      <c r="CE142" s="2918"/>
      <c r="CF142" s="2918"/>
      <c r="CG142" s="2918"/>
      <c r="CH142" s="2918"/>
      <c r="CI142" s="2918"/>
      <c r="CJ142" s="2918"/>
      <c r="CK142" s="2918"/>
      <c r="CL142" s="2918"/>
      <c r="CM142" s="2918"/>
      <c r="CN142" s="2918"/>
      <c r="CO142" s="2918"/>
      <c r="CP142" s="2918"/>
      <c r="CQ142" s="2918"/>
      <c r="CR142" s="2918"/>
      <c r="CS142" s="2918"/>
      <c r="CT142" s="2918"/>
      <c r="CU142" s="2918"/>
      <c r="CV142" s="2918"/>
      <c r="CW142" s="2918"/>
      <c r="CX142" s="2918"/>
      <c r="CY142" s="2918"/>
      <c r="CZ142" s="2918"/>
      <c r="DA142" s="2918"/>
      <c r="DB142" s="2918"/>
      <c r="DC142" s="2918"/>
      <c r="DD142" s="2918"/>
      <c r="DE142" s="2918"/>
      <c r="DF142" s="2918"/>
      <c r="DG142" s="2918"/>
      <c r="DH142" s="2918"/>
      <c r="DI142" s="2918"/>
      <c r="DJ142" s="2918"/>
      <c r="DK142" s="2918"/>
      <c r="DL142" s="2918"/>
      <c r="DM142" s="2918"/>
      <c r="DN142" s="2918"/>
      <c r="DO142" s="2918"/>
      <c r="DP142" s="2918"/>
      <c r="DQ142" s="2918"/>
      <c r="DR142" s="2918"/>
      <c r="DS142" s="2918"/>
      <c r="DT142" s="2918"/>
      <c r="DU142" s="2918"/>
      <c r="DV142" s="2918"/>
      <c r="DW142" s="2918"/>
      <c r="DX142" s="2918"/>
      <c r="DY142" s="2918"/>
      <c r="DZ142" s="2918"/>
      <c r="EA142" s="2918"/>
      <c r="EB142" s="2918"/>
      <c r="EC142" s="2918"/>
      <c r="ED142" s="2918"/>
      <c r="EE142" s="2918"/>
      <c r="EF142" s="2918"/>
      <c r="EG142" s="2918"/>
      <c r="EH142" s="2918"/>
      <c r="EI142" s="2918"/>
      <c r="EJ142" s="2918"/>
      <c r="EK142" s="2918"/>
      <c r="EL142" s="2918"/>
      <c r="EM142" s="2918"/>
      <c r="EN142" s="2918"/>
      <c r="EO142" s="2918"/>
      <c r="EP142" s="2918"/>
      <c r="EQ142" s="2918"/>
      <c r="ER142" s="2918"/>
      <c r="ES142" s="2918"/>
      <c r="ET142" s="2918"/>
      <c r="EU142" s="2918"/>
      <c r="EV142" s="2918"/>
      <c r="EW142" s="2918"/>
      <c r="EX142" s="2918"/>
      <c r="EY142" s="2918"/>
      <c r="EZ142" s="2918"/>
      <c r="FA142" s="2918"/>
      <c r="FB142" s="2918"/>
      <c r="FC142" s="2918"/>
      <c r="FD142" s="2918"/>
      <c r="FE142" s="2918"/>
      <c r="FF142" s="2918"/>
      <c r="FG142" s="2918"/>
      <c r="FH142" s="2918"/>
      <c r="FI142" s="2918"/>
      <c r="FJ142" s="2918"/>
      <c r="FK142" s="2918"/>
      <c r="FL142" s="2918"/>
      <c r="FM142" s="2918"/>
      <c r="FN142" s="2918"/>
      <c r="FO142" s="2918"/>
      <c r="FP142" s="2918"/>
      <c r="FQ142" s="2918"/>
      <c r="FR142" s="2918"/>
      <c r="FS142" s="2918"/>
      <c r="FT142" s="2918"/>
      <c r="FU142" s="2918"/>
      <c r="FV142" s="2918"/>
      <c r="FW142" s="2918"/>
      <c r="FX142" s="2918"/>
      <c r="FY142" s="2918"/>
      <c r="FZ142" s="2918"/>
      <c r="GA142" s="2918"/>
      <c r="GB142" s="2918"/>
      <c r="GC142" s="2918"/>
      <c r="GD142" s="2918"/>
      <c r="GE142" s="2918"/>
      <c r="GF142" s="2918"/>
      <c r="GG142" s="2918"/>
      <c r="GH142" s="2918"/>
      <c r="GI142" s="2918"/>
      <c r="GJ142" s="2918"/>
      <c r="GK142" s="2918"/>
      <c r="GL142" s="2918"/>
      <c r="GM142" s="2918"/>
      <c r="GN142" s="2918"/>
      <c r="GO142" s="2918"/>
      <c r="GP142" s="2918"/>
      <c r="GQ142" s="2918"/>
      <c r="GR142" s="2918"/>
      <c r="GS142" s="2918"/>
      <c r="GT142" s="2918"/>
      <c r="GU142" s="2918"/>
      <c r="GV142" s="2918"/>
      <c r="GW142" s="2918"/>
      <c r="GX142" s="2918"/>
      <c r="GY142" s="2918"/>
      <c r="GZ142" s="2918"/>
      <c r="HA142" s="2918"/>
      <c r="HB142" s="2918"/>
      <c r="HC142" s="2918"/>
      <c r="HD142" s="2918"/>
      <c r="HE142" s="2918"/>
      <c r="HF142" s="2918"/>
      <c r="HG142" s="2918"/>
      <c r="HH142" s="2918"/>
      <c r="HI142" s="2918"/>
      <c r="HJ142" s="2918"/>
      <c r="HK142" s="2918"/>
      <c r="HL142" s="2918"/>
      <c r="HM142" s="2918"/>
      <c r="HN142" s="2918"/>
      <c r="HO142" s="2918"/>
      <c r="HP142" s="2918"/>
      <c r="HQ142" s="2918"/>
      <c r="HR142" s="2918"/>
      <c r="HS142" s="2918"/>
      <c r="HT142" s="2918"/>
      <c r="HU142" s="2918"/>
      <c r="HV142" s="2918"/>
      <c r="HW142" s="2918"/>
      <c r="HX142" s="2918"/>
      <c r="HY142" s="2918"/>
      <c r="HZ142" s="2918"/>
      <c r="IA142" s="2918"/>
      <c r="IB142" s="2918"/>
      <c r="IC142" s="2918"/>
      <c r="ID142" s="2918"/>
      <c r="IE142" s="2918"/>
      <c r="IF142" s="2918"/>
      <c r="IG142" s="2918"/>
      <c r="IH142" s="2918"/>
      <c r="II142" s="2918"/>
      <c r="IJ142" s="2918"/>
      <c r="IK142" s="2918"/>
      <c r="IL142" s="2918"/>
      <c r="IM142" s="2918"/>
      <c r="IN142" s="2918"/>
      <c r="IO142" s="2918"/>
      <c r="IP142" s="2918"/>
      <c r="IQ142" s="2918"/>
      <c r="IR142" s="2918"/>
      <c r="IS142" s="2918"/>
      <c r="IT142" s="2918"/>
      <c r="IU142" s="2918"/>
      <c r="IV142" s="2918"/>
    </row>
    <row r="143" spans="1:256" customFormat="1">
      <c r="A143" s="4648"/>
      <c r="B143" s="4653"/>
      <c r="C143" s="2901">
        <v>450</v>
      </c>
      <c r="D143" s="3062" t="s">
        <v>12580</v>
      </c>
      <c r="E143" s="3064"/>
      <c r="F143" s="3064"/>
      <c r="G143" s="3064"/>
      <c r="H143" s="3064"/>
      <c r="I143" s="3069">
        <f t="shared" si="5"/>
        <v>60.777764122238352</v>
      </c>
      <c r="J143" s="2918"/>
      <c r="K143" s="2918"/>
      <c r="L143" s="2918"/>
      <c r="M143" s="2918"/>
      <c r="N143" s="2918"/>
      <c r="O143" s="2918"/>
      <c r="P143" s="2918"/>
      <c r="Q143" s="2918"/>
      <c r="R143" s="2918"/>
      <c r="S143" s="2918"/>
      <c r="T143" s="2918"/>
      <c r="U143" s="2918"/>
      <c r="V143" s="2918"/>
      <c r="W143" s="2918"/>
      <c r="X143" s="2918"/>
      <c r="Y143" s="2918"/>
      <c r="Z143" s="2918"/>
      <c r="AA143" s="2918"/>
      <c r="AB143" s="2918"/>
      <c r="AC143" s="2918"/>
      <c r="AD143" s="2918"/>
      <c r="AE143" s="2918"/>
      <c r="AF143" s="2918"/>
      <c r="AG143" s="2918"/>
      <c r="AH143" s="2918"/>
      <c r="AI143" s="2918"/>
      <c r="AJ143" s="2918"/>
      <c r="AK143" s="2918"/>
      <c r="AL143" s="2918"/>
      <c r="AM143" s="2918"/>
      <c r="AN143" s="2918"/>
      <c r="AO143" s="2918"/>
      <c r="AP143" s="2918"/>
      <c r="AQ143" s="2918"/>
      <c r="AR143" s="2918"/>
      <c r="AS143" s="2918"/>
      <c r="AT143" s="2918"/>
      <c r="AU143" s="2918"/>
      <c r="AV143" s="2918"/>
      <c r="AW143" s="2918"/>
      <c r="AX143" s="2918"/>
      <c r="AY143" s="2918"/>
      <c r="AZ143" s="2918"/>
      <c r="BA143" s="2918"/>
      <c r="BB143" s="2918"/>
      <c r="BC143" s="2918"/>
      <c r="BD143" s="2918"/>
      <c r="BE143" s="2918"/>
      <c r="BF143" s="2918"/>
      <c r="BG143" s="2918"/>
      <c r="BH143" s="2918"/>
      <c r="BI143" s="2918"/>
      <c r="BJ143" s="2918"/>
      <c r="BK143" s="2918"/>
      <c r="BL143" s="2918"/>
      <c r="BM143" s="2918"/>
      <c r="BN143" s="2918"/>
      <c r="BO143" s="2918"/>
      <c r="BP143" s="2918"/>
      <c r="BQ143" s="2918"/>
      <c r="BR143" s="2918"/>
      <c r="BS143" s="2918"/>
      <c r="BT143" s="2918"/>
      <c r="BU143" s="2918"/>
      <c r="BV143" s="2918"/>
      <c r="BW143" s="2918"/>
      <c r="BX143" s="2918"/>
      <c r="BY143" s="2918"/>
      <c r="BZ143" s="2918"/>
      <c r="CA143" s="2918"/>
      <c r="CB143" s="2918"/>
      <c r="CC143" s="2918"/>
      <c r="CD143" s="2918"/>
      <c r="CE143" s="2918"/>
      <c r="CF143" s="2918"/>
      <c r="CG143" s="2918"/>
      <c r="CH143" s="2918"/>
      <c r="CI143" s="2918"/>
      <c r="CJ143" s="2918"/>
      <c r="CK143" s="2918"/>
      <c r="CL143" s="2918"/>
      <c r="CM143" s="2918"/>
      <c r="CN143" s="2918"/>
      <c r="CO143" s="2918"/>
      <c r="CP143" s="2918"/>
      <c r="CQ143" s="2918"/>
      <c r="CR143" s="2918"/>
      <c r="CS143" s="2918"/>
      <c r="CT143" s="2918"/>
      <c r="CU143" s="2918"/>
      <c r="CV143" s="2918"/>
      <c r="CW143" s="2918"/>
      <c r="CX143" s="2918"/>
      <c r="CY143" s="2918"/>
      <c r="CZ143" s="2918"/>
      <c r="DA143" s="2918"/>
      <c r="DB143" s="2918"/>
      <c r="DC143" s="2918"/>
      <c r="DD143" s="2918"/>
      <c r="DE143" s="2918"/>
      <c r="DF143" s="2918"/>
      <c r="DG143" s="2918"/>
      <c r="DH143" s="2918"/>
      <c r="DI143" s="2918"/>
      <c r="DJ143" s="2918"/>
      <c r="DK143" s="2918"/>
      <c r="DL143" s="2918"/>
      <c r="DM143" s="2918"/>
      <c r="DN143" s="2918"/>
      <c r="DO143" s="2918"/>
      <c r="DP143" s="2918"/>
      <c r="DQ143" s="2918"/>
      <c r="DR143" s="2918"/>
      <c r="DS143" s="2918"/>
      <c r="DT143" s="2918"/>
      <c r="DU143" s="2918"/>
      <c r="DV143" s="2918"/>
      <c r="DW143" s="2918"/>
      <c r="DX143" s="2918"/>
      <c r="DY143" s="2918"/>
      <c r="DZ143" s="2918"/>
      <c r="EA143" s="2918"/>
      <c r="EB143" s="2918"/>
      <c r="EC143" s="2918"/>
      <c r="ED143" s="2918"/>
      <c r="EE143" s="2918"/>
      <c r="EF143" s="2918"/>
      <c r="EG143" s="2918"/>
      <c r="EH143" s="2918"/>
      <c r="EI143" s="2918"/>
      <c r="EJ143" s="2918"/>
      <c r="EK143" s="2918"/>
      <c r="EL143" s="2918"/>
      <c r="EM143" s="2918"/>
      <c r="EN143" s="2918"/>
      <c r="EO143" s="2918"/>
      <c r="EP143" s="2918"/>
      <c r="EQ143" s="2918"/>
      <c r="ER143" s="2918"/>
      <c r="ES143" s="2918"/>
      <c r="ET143" s="2918"/>
      <c r="EU143" s="2918"/>
      <c r="EV143" s="2918"/>
      <c r="EW143" s="2918"/>
      <c r="EX143" s="2918"/>
      <c r="EY143" s="2918"/>
      <c r="EZ143" s="2918"/>
      <c r="FA143" s="2918"/>
      <c r="FB143" s="2918"/>
      <c r="FC143" s="2918"/>
      <c r="FD143" s="2918"/>
      <c r="FE143" s="2918"/>
      <c r="FF143" s="2918"/>
      <c r="FG143" s="2918"/>
      <c r="FH143" s="2918"/>
      <c r="FI143" s="2918"/>
      <c r="FJ143" s="2918"/>
      <c r="FK143" s="2918"/>
      <c r="FL143" s="2918"/>
      <c r="FM143" s="2918"/>
      <c r="FN143" s="2918"/>
      <c r="FO143" s="2918"/>
      <c r="FP143" s="2918"/>
      <c r="FQ143" s="2918"/>
      <c r="FR143" s="2918"/>
      <c r="FS143" s="2918"/>
      <c r="FT143" s="2918"/>
      <c r="FU143" s="2918"/>
      <c r="FV143" s="2918"/>
      <c r="FW143" s="2918"/>
      <c r="FX143" s="2918"/>
      <c r="FY143" s="2918"/>
      <c r="FZ143" s="2918"/>
      <c r="GA143" s="2918"/>
      <c r="GB143" s="2918"/>
      <c r="GC143" s="2918"/>
      <c r="GD143" s="2918"/>
      <c r="GE143" s="2918"/>
      <c r="GF143" s="2918"/>
      <c r="GG143" s="2918"/>
      <c r="GH143" s="2918"/>
      <c r="GI143" s="2918"/>
      <c r="GJ143" s="2918"/>
      <c r="GK143" s="2918"/>
      <c r="GL143" s="2918"/>
      <c r="GM143" s="2918"/>
      <c r="GN143" s="2918"/>
      <c r="GO143" s="2918"/>
      <c r="GP143" s="2918"/>
      <c r="GQ143" s="2918"/>
      <c r="GR143" s="2918"/>
      <c r="GS143" s="2918"/>
      <c r="GT143" s="2918"/>
      <c r="GU143" s="2918"/>
      <c r="GV143" s="2918"/>
      <c r="GW143" s="2918"/>
      <c r="GX143" s="2918"/>
      <c r="GY143" s="2918"/>
      <c r="GZ143" s="2918"/>
      <c r="HA143" s="2918"/>
      <c r="HB143" s="2918"/>
      <c r="HC143" s="2918"/>
      <c r="HD143" s="2918"/>
      <c r="HE143" s="2918"/>
      <c r="HF143" s="2918"/>
      <c r="HG143" s="2918"/>
      <c r="HH143" s="2918"/>
      <c r="HI143" s="2918"/>
      <c r="HJ143" s="2918"/>
      <c r="HK143" s="2918"/>
      <c r="HL143" s="2918"/>
      <c r="HM143" s="2918"/>
      <c r="HN143" s="2918"/>
      <c r="HO143" s="2918"/>
      <c r="HP143" s="2918"/>
      <c r="HQ143" s="2918"/>
      <c r="HR143" s="2918"/>
      <c r="HS143" s="2918"/>
      <c r="HT143" s="2918"/>
      <c r="HU143" s="2918"/>
      <c r="HV143" s="2918"/>
      <c r="HW143" s="2918"/>
      <c r="HX143" s="2918"/>
      <c r="HY143" s="2918"/>
      <c r="HZ143" s="2918"/>
      <c r="IA143" s="2918"/>
      <c r="IB143" s="2918"/>
      <c r="IC143" s="2918"/>
      <c r="ID143" s="2918"/>
      <c r="IE143" s="2918"/>
      <c r="IF143" s="2918"/>
      <c r="IG143" s="2918"/>
      <c r="IH143" s="2918"/>
      <c r="II143" s="2918"/>
      <c r="IJ143" s="2918"/>
      <c r="IK143" s="2918"/>
      <c r="IL143" s="2918"/>
      <c r="IM143" s="2918"/>
      <c r="IN143" s="2918"/>
      <c r="IO143" s="2918"/>
      <c r="IP143" s="2918"/>
      <c r="IQ143" s="2918"/>
      <c r="IR143" s="2918"/>
      <c r="IS143" s="2918"/>
      <c r="IT143" s="2918"/>
      <c r="IU143" s="2918"/>
      <c r="IV143" s="2918"/>
    </row>
    <row r="144" spans="1:256" customFormat="1">
      <c r="A144" s="4648"/>
      <c r="B144" s="4653"/>
      <c r="C144" s="2901">
        <v>462</v>
      </c>
      <c r="D144" s="3062" t="s">
        <v>12580</v>
      </c>
      <c r="E144" s="3064"/>
      <c r="F144" s="3064"/>
      <c r="G144" s="3064"/>
      <c r="H144" s="3064"/>
      <c r="I144" s="3069">
        <f t="shared" si="5"/>
        <v>62.373679153894507</v>
      </c>
      <c r="J144" s="2918"/>
      <c r="K144" s="2918"/>
      <c r="L144" s="2918"/>
      <c r="M144" s="2918"/>
      <c r="N144" s="2918"/>
      <c r="O144" s="2918"/>
      <c r="P144" s="2918"/>
      <c r="Q144" s="2918"/>
      <c r="R144" s="2918"/>
      <c r="S144" s="2918"/>
      <c r="T144" s="2918"/>
      <c r="U144" s="2918"/>
      <c r="V144" s="2918"/>
      <c r="W144" s="2918"/>
      <c r="X144" s="2918"/>
      <c r="Y144" s="2918"/>
      <c r="Z144" s="2918"/>
      <c r="AA144" s="2918"/>
      <c r="AB144" s="2918"/>
      <c r="AC144" s="2918"/>
      <c r="AD144" s="2918"/>
      <c r="AE144" s="2918"/>
      <c r="AF144" s="2918"/>
      <c r="AG144" s="2918"/>
      <c r="AH144" s="2918"/>
      <c r="AI144" s="2918"/>
      <c r="AJ144" s="2918"/>
      <c r="AK144" s="2918"/>
      <c r="AL144" s="2918"/>
      <c r="AM144" s="2918"/>
      <c r="AN144" s="2918"/>
      <c r="AO144" s="2918"/>
      <c r="AP144" s="2918"/>
      <c r="AQ144" s="2918"/>
      <c r="AR144" s="2918"/>
      <c r="AS144" s="2918"/>
      <c r="AT144" s="2918"/>
      <c r="AU144" s="2918"/>
      <c r="AV144" s="2918"/>
      <c r="AW144" s="2918"/>
      <c r="AX144" s="2918"/>
      <c r="AY144" s="2918"/>
      <c r="AZ144" s="2918"/>
      <c r="BA144" s="2918"/>
      <c r="BB144" s="2918"/>
      <c r="BC144" s="2918"/>
      <c r="BD144" s="2918"/>
      <c r="BE144" s="2918"/>
      <c r="BF144" s="2918"/>
      <c r="BG144" s="2918"/>
      <c r="BH144" s="2918"/>
      <c r="BI144" s="2918"/>
      <c r="BJ144" s="2918"/>
      <c r="BK144" s="2918"/>
      <c r="BL144" s="2918"/>
      <c r="BM144" s="2918"/>
      <c r="BN144" s="2918"/>
      <c r="BO144" s="2918"/>
      <c r="BP144" s="2918"/>
      <c r="BQ144" s="2918"/>
      <c r="BR144" s="2918"/>
      <c r="BS144" s="2918"/>
      <c r="BT144" s="2918"/>
      <c r="BU144" s="2918"/>
      <c r="BV144" s="2918"/>
      <c r="BW144" s="2918"/>
      <c r="BX144" s="2918"/>
      <c r="BY144" s="2918"/>
      <c r="BZ144" s="2918"/>
      <c r="CA144" s="2918"/>
      <c r="CB144" s="2918"/>
      <c r="CC144" s="2918"/>
      <c r="CD144" s="2918"/>
      <c r="CE144" s="2918"/>
      <c r="CF144" s="2918"/>
      <c r="CG144" s="2918"/>
      <c r="CH144" s="2918"/>
      <c r="CI144" s="2918"/>
      <c r="CJ144" s="2918"/>
      <c r="CK144" s="2918"/>
      <c r="CL144" s="2918"/>
      <c r="CM144" s="2918"/>
      <c r="CN144" s="2918"/>
      <c r="CO144" s="2918"/>
      <c r="CP144" s="2918"/>
      <c r="CQ144" s="2918"/>
      <c r="CR144" s="2918"/>
      <c r="CS144" s="2918"/>
      <c r="CT144" s="2918"/>
      <c r="CU144" s="2918"/>
      <c r="CV144" s="2918"/>
      <c r="CW144" s="2918"/>
      <c r="CX144" s="2918"/>
      <c r="CY144" s="2918"/>
      <c r="CZ144" s="2918"/>
      <c r="DA144" s="2918"/>
      <c r="DB144" s="2918"/>
      <c r="DC144" s="2918"/>
      <c r="DD144" s="2918"/>
      <c r="DE144" s="2918"/>
      <c r="DF144" s="2918"/>
      <c r="DG144" s="2918"/>
      <c r="DH144" s="2918"/>
      <c r="DI144" s="2918"/>
      <c r="DJ144" s="2918"/>
      <c r="DK144" s="2918"/>
      <c r="DL144" s="2918"/>
      <c r="DM144" s="2918"/>
      <c r="DN144" s="2918"/>
      <c r="DO144" s="2918"/>
      <c r="DP144" s="2918"/>
      <c r="DQ144" s="2918"/>
      <c r="DR144" s="2918"/>
      <c r="DS144" s="2918"/>
      <c r="DT144" s="2918"/>
      <c r="DU144" s="2918"/>
      <c r="DV144" s="2918"/>
      <c r="DW144" s="2918"/>
      <c r="DX144" s="2918"/>
      <c r="DY144" s="2918"/>
      <c r="DZ144" s="2918"/>
      <c r="EA144" s="2918"/>
      <c r="EB144" s="2918"/>
      <c r="EC144" s="2918"/>
      <c r="ED144" s="2918"/>
      <c r="EE144" s="2918"/>
      <c r="EF144" s="2918"/>
      <c r="EG144" s="2918"/>
      <c r="EH144" s="2918"/>
      <c r="EI144" s="2918"/>
      <c r="EJ144" s="2918"/>
      <c r="EK144" s="2918"/>
      <c r="EL144" s="2918"/>
      <c r="EM144" s="2918"/>
      <c r="EN144" s="2918"/>
      <c r="EO144" s="2918"/>
      <c r="EP144" s="2918"/>
      <c r="EQ144" s="2918"/>
      <c r="ER144" s="2918"/>
      <c r="ES144" s="2918"/>
      <c r="ET144" s="2918"/>
      <c r="EU144" s="2918"/>
      <c r="EV144" s="2918"/>
      <c r="EW144" s="2918"/>
      <c r="EX144" s="2918"/>
      <c r="EY144" s="2918"/>
      <c r="EZ144" s="2918"/>
      <c r="FA144" s="2918"/>
      <c r="FB144" s="2918"/>
      <c r="FC144" s="2918"/>
      <c r="FD144" s="2918"/>
      <c r="FE144" s="2918"/>
      <c r="FF144" s="2918"/>
      <c r="FG144" s="2918"/>
      <c r="FH144" s="2918"/>
      <c r="FI144" s="2918"/>
      <c r="FJ144" s="2918"/>
      <c r="FK144" s="2918"/>
      <c r="FL144" s="2918"/>
      <c r="FM144" s="2918"/>
      <c r="FN144" s="2918"/>
      <c r="FO144" s="2918"/>
      <c r="FP144" s="2918"/>
      <c r="FQ144" s="2918"/>
      <c r="FR144" s="2918"/>
      <c r="FS144" s="2918"/>
      <c r="FT144" s="2918"/>
      <c r="FU144" s="2918"/>
      <c r="FV144" s="2918"/>
      <c r="FW144" s="2918"/>
      <c r="FX144" s="2918"/>
      <c r="FY144" s="2918"/>
      <c r="FZ144" s="2918"/>
      <c r="GA144" s="2918"/>
      <c r="GB144" s="2918"/>
      <c r="GC144" s="2918"/>
      <c r="GD144" s="2918"/>
      <c r="GE144" s="2918"/>
      <c r="GF144" s="2918"/>
      <c r="GG144" s="2918"/>
      <c r="GH144" s="2918"/>
      <c r="GI144" s="2918"/>
      <c r="GJ144" s="2918"/>
      <c r="GK144" s="2918"/>
      <c r="GL144" s="2918"/>
      <c r="GM144" s="2918"/>
      <c r="GN144" s="2918"/>
      <c r="GO144" s="2918"/>
      <c r="GP144" s="2918"/>
      <c r="GQ144" s="2918"/>
      <c r="GR144" s="2918"/>
      <c r="GS144" s="2918"/>
      <c r="GT144" s="2918"/>
      <c r="GU144" s="2918"/>
      <c r="GV144" s="2918"/>
      <c r="GW144" s="2918"/>
      <c r="GX144" s="2918"/>
      <c r="GY144" s="2918"/>
      <c r="GZ144" s="2918"/>
      <c r="HA144" s="2918"/>
      <c r="HB144" s="2918"/>
      <c r="HC144" s="2918"/>
      <c r="HD144" s="2918"/>
      <c r="HE144" s="2918"/>
      <c r="HF144" s="2918"/>
      <c r="HG144" s="2918"/>
      <c r="HH144" s="2918"/>
      <c r="HI144" s="2918"/>
      <c r="HJ144" s="2918"/>
      <c r="HK144" s="2918"/>
      <c r="HL144" s="2918"/>
      <c r="HM144" s="2918"/>
      <c r="HN144" s="2918"/>
      <c r="HO144" s="2918"/>
      <c r="HP144" s="2918"/>
      <c r="HQ144" s="2918"/>
      <c r="HR144" s="2918"/>
      <c r="HS144" s="2918"/>
      <c r="HT144" s="2918"/>
      <c r="HU144" s="2918"/>
      <c r="HV144" s="2918"/>
      <c r="HW144" s="2918"/>
      <c r="HX144" s="2918"/>
      <c r="HY144" s="2918"/>
      <c r="HZ144" s="2918"/>
      <c r="IA144" s="2918"/>
      <c r="IB144" s="2918"/>
      <c r="IC144" s="2918"/>
      <c r="ID144" s="2918"/>
      <c r="IE144" s="2918"/>
      <c r="IF144" s="2918"/>
      <c r="IG144" s="2918"/>
      <c r="IH144" s="2918"/>
      <c r="II144" s="2918"/>
      <c r="IJ144" s="2918"/>
      <c r="IK144" s="2918"/>
      <c r="IL144" s="2918"/>
      <c r="IM144" s="2918"/>
      <c r="IN144" s="2918"/>
      <c r="IO144" s="2918"/>
      <c r="IP144" s="2918"/>
      <c r="IQ144" s="2918"/>
      <c r="IR144" s="2918"/>
      <c r="IS144" s="2918"/>
      <c r="IT144" s="2918"/>
      <c r="IU144" s="2918"/>
      <c r="IV144" s="2918"/>
    </row>
    <row r="145" spans="1:256" customFormat="1">
      <c r="A145" s="4648"/>
      <c r="B145" s="4653"/>
      <c r="C145" s="2901">
        <v>475</v>
      </c>
      <c r="D145" s="3062" t="s">
        <v>12580</v>
      </c>
      <c r="E145" s="3064"/>
      <c r="F145" s="3064"/>
      <c r="G145" s="3064"/>
      <c r="H145" s="3064"/>
      <c r="I145" s="3069">
        <f t="shared" si="5"/>
        <v>64.102587104855331</v>
      </c>
      <c r="J145" s="2918"/>
      <c r="K145" s="2918"/>
      <c r="L145" s="2918"/>
      <c r="M145" s="2918"/>
      <c r="N145" s="2918"/>
      <c r="O145" s="2918"/>
      <c r="P145" s="2918"/>
      <c r="Q145" s="2918"/>
      <c r="R145" s="2918"/>
      <c r="S145" s="2918"/>
      <c r="T145" s="2918"/>
      <c r="U145" s="2918"/>
      <c r="V145" s="2918"/>
      <c r="W145" s="2918"/>
      <c r="X145" s="2918"/>
      <c r="Y145" s="2918"/>
      <c r="Z145" s="2918"/>
      <c r="AA145" s="2918"/>
      <c r="AB145" s="2918"/>
      <c r="AC145" s="2918"/>
      <c r="AD145" s="2918"/>
      <c r="AE145" s="2918"/>
      <c r="AF145" s="2918"/>
      <c r="AG145" s="2918"/>
      <c r="AH145" s="2918"/>
      <c r="AI145" s="2918"/>
      <c r="AJ145" s="2918"/>
      <c r="AK145" s="2918"/>
      <c r="AL145" s="2918"/>
      <c r="AM145" s="2918"/>
      <c r="AN145" s="2918"/>
      <c r="AO145" s="2918"/>
      <c r="AP145" s="2918"/>
      <c r="AQ145" s="2918"/>
      <c r="AR145" s="2918"/>
      <c r="AS145" s="2918"/>
      <c r="AT145" s="2918"/>
      <c r="AU145" s="2918"/>
      <c r="AV145" s="2918"/>
      <c r="AW145" s="2918"/>
      <c r="AX145" s="2918"/>
      <c r="AY145" s="2918"/>
      <c r="AZ145" s="2918"/>
      <c r="BA145" s="2918"/>
      <c r="BB145" s="2918"/>
      <c r="BC145" s="2918"/>
      <c r="BD145" s="2918"/>
      <c r="BE145" s="2918"/>
      <c r="BF145" s="2918"/>
      <c r="BG145" s="2918"/>
      <c r="BH145" s="2918"/>
      <c r="BI145" s="2918"/>
      <c r="BJ145" s="2918"/>
      <c r="BK145" s="2918"/>
      <c r="BL145" s="2918"/>
      <c r="BM145" s="2918"/>
      <c r="BN145" s="2918"/>
      <c r="BO145" s="2918"/>
      <c r="BP145" s="2918"/>
      <c r="BQ145" s="2918"/>
      <c r="BR145" s="2918"/>
      <c r="BS145" s="2918"/>
      <c r="BT145" s="2918"/>
      <c r="BU145" s="2918"/>
      <c r="BV145" s="2918"/>
      <c r="BW145" s="2918"/>
      <c r="BX145" s="2918"/>
      <c r="BY145" s="2918"/>
      <c r="BZ145" s="2918"/>
      <c r="CA145" s="2918"/>
      <c r="CB145" s="2918"/>
      <c r="CC145" s="2918"/>
      <c r="CD145" s="2918"/>
      <c r="CE145" s="2918"/>
      <c r="CF145" s="2918"/>
      <c r="CG145" s="2918"/>
      <c r="CH145" s="2918"/>
      <c r="CI145" s="2918"/>
      <c r="CJ145" s="2918"/>
      <c r="CK145" s="2918"/>
      <c r="CL145" s="2918"/>
      <c r="CM145" s="2918"/>
      <c r="CN145" s="2918"/>
      <c r="CO145" s="2918"/>
      <c r="CP145" s="2918"/>
      <c r="CQ145" s="2918"/>
      <c r="CR145" s="2918"/>
      <c r="CS145" s="2918"/>
      <c r="CT145" s="2918"/>
      <c r="CU145" s="2918"/>
      <c r="CV145" s="2918"/>
      <c r="CW145" s="2918"/>
      <c r="CX145" s="2918"/>
      <c r="CY145" s="2918"/>
      <c r="CZ145" s="2918"/>
      <c r="DA145" s="2918"/>
      <c r="DB145" s="2918"/>
      <c r="DC145" s="2918"/>
      <c r="DD145" s="2918"/>
      <c r="DE145" s="2918"/>
      <c r="DF145" s="2918"/>
      <c r="DG145" s="2918"/>
      <c r="DH145" s="2918"/>
      <c r="DI145" s="2918"/>
      <c r="DJ145" s="2918"/>
      <c r="DK145" s="2918"/>
      <c r="DL145" s="2918"/>
      <c r="DM145" s="2918"/>
      <c r="DN145" s="2918"/>
      <c r="DO145" s="2918"/>
      <c r="DP145" s="2918"/>
      <c r="DQ145" s="2918"/>
      <c r="DR145" s="2918"/>
      <c r="DS145" s="2918"/>
      <c r="DT145" s="2918"/>
      <c r="DU145" s="2918"/>
      <c r="DV145" s="2918"/>
      <c r="DW145" s="2918"/>
      <c r="DX145" s="2918"/>
      <c r="DY145" s="2918"/>
      <c r="DZ145" s="2918"/>
      <c r="EA145" s="2918"/>
      <c r="EB145" s="2918"/>
      <c r="EC145" s="2918"/>
      <c r="ED145" s="2918"/>
      <c r="EE145" s="2918"/>
      <c r="EF145" s="2918"/>
      <c r="EG145" s="2918"/>
      <c r="EH145" s="2918"/>
      <c r="EI145" s="2918"/>
      <c r="EJ145" s="2918"/>
      <c r="EK145" s="2918"/>
      <c r="EL145" s="2918"/>
      <c r="EM145" s="2918"/>
      <c r="EN145" s="2918"/>
      <c r="EO145" s="2918"/>
      <c r="EP145" s="2918"/>
      <c r="EQ145" s="2918"/>
      <c r="ER145" s="2918"/>
      <c r="ES145" s="2918"/>
      <c r="ET145" s="2918"/>
      <c r="EU145" s="2918"/>
      <c r="EV145" s="2918"/>
      <c r="EW145" s="2918"/>
      <c r="EX145" s="2918"/>
      <c r="EY145" s="2918"/>
      <c r="EZ145" s="2918"/>
      <c r="FA145" s="2918"/>
      <c r="FB145" s="2918"/>
      <c r="FC145" s="2918"/>
      <c r="FD145" s="2918"/>
      <c r="FE145" s="2918"/>
      <c r="FF145" s="2918"/>
      <c r="FG145" s="2918"/>
      <c r="FH145" s="2918"/>
      <c r="FI145" s="2918"/>
      <c r="FJ145" s="2918"/>
      <c r="FK145" s="2918"/>
      <c r="FL145" s="2918"/>
      <c r="FM145" s="2918"/>
      <c r="FN145" s="2918"/>
      <c r="FO145" s="2918"/>
      <c r="FP145" s="2918"/>
      <c r="FQ145" s="2918"/>
      <c r="FR145" s="2918"/>
      <c r="FS145" s="2918"/>
      <c r="FT145" s="2918"/>
      <c r="FU145" s="2918"/>
      <c r="FV145" s="2918"/>
      <c r="FW145" s="2918"/>
      <c r="FX145" s="2918"/>
      <c r="FY145" s="2918"/>
      <c r="FZ145" s="2918"/>
      <c r="GA145" s="2918"/>
      <c r="GB145" s="2918"/>
      <c r="GC145" s="2918"/>
      <c r="GD145" s="2918"/>
      <c r="GE145" s="2918"/>
      <c r="GF145" s="2918"/>
      <c r="GG145" s="2918"/>
      <c r="GH145" s="2918"/>
      <c r="GI145" s="2918"/>
      <c r="GJ145" s="2918"/>
      <c r="GK145" s="2918"/>
      <c r="GL145" s="2918"/>
      <c r="GM145" s="2918"/>
      <c r="GN145" s="2918"/>
      <c r="GO145" s="2918"/>
      <c r="GP145" s="2918"/>
      <c r="GQ145" s="2918"/>
      <c r="GR145" s="2918"/>
      <c r="GS145" s="2918"/>
      <c r="GT145" s="2918"/>
      <c r="GU145" s="2918"/>
      <c r="GV145" s="2918"/>
      <c r="GW145" s="2918"/>
      <c r="GX145" s="2918"/>
      <c r="GY145" s="2918"/>
      <c r="GZ145" s="2918"/>
      <c r="HA145" s="2918"/>
      <c r="HB145" s="2918"/>
      <c r="HC145" s="2918"/>
      <c r="HD145" s="2918"/>
      <c r="HE145" s="2918"/>
      <c r="HF145" s="2918"/>
      <c r="HG145" s="2918"/>
      <c r="HH145" s="2918"/>
      <c r="HI145" s="2918"/>
      <c r="HJ145" s="2918"/>
      <c r="HK145" s="2918"/>
      <c r="HL145" s="2918"/>
      <c r="HM145" s="2918"/>
      <c r="HN145" s="2918"/>
      <c r="HO145" s="2918"/>
      <c r="HP145" s="2918"/>
      <c r="HQ145" s="2918"/>
      <c r="HR145" s="2918"/>
      <c r="HS145" s="2918"/>
      <c r="HT145" s="2918"/>
      <c r="HU145" s="2918"/>
      <c r="HV145" s="2918"/>
      <c r="HW145" s="2918"/>
      <c r="HX145" s="2918"/>
      <c r="HY145" s="2918"/>
      <c r="HZ145" s="2918"/>
      <c r="IA145" s="2918"/>
      <c r="IB145" s="2918"/>
      <c r="IC145" s="2918"/>
      <c r="ID145" s="2918"/>
      <c r="IE145" s="2918"/>
      <c r="IF145" s="2918"/>
      <c r="IG145" s="2918"/>
      <c r="IH145" s="2918"/>
      <c r="II145" s="2918"/>
      <c r="IJ145" s="2918"/>
      <c r="IK145" s="2918"/>
      <c r="IL145" s="2918"/>
      <c r="IM145" s="2918"/>
      <c r="IN145" s="2918"/>
      <c r="IO145" s="2918"/>
      <c r="IP145" s="2918"/>
      <c r="IQ145" s="2918"/>
      <c r="IR145" s="2918"/>
      <c r="IS145" s="2918"/>
      <c r="IT145" s="2918"/>
      <c r="IU145" s="2918"/>
      <c r="IV145" s="2918"/>
    </row>
    <row r="146" spans="1:256" customFormat="1">
      <c r="A146" s="4648"/>
      <c r="B146" s="4653"/>
      <c r="C146" s="2901">
        <v>487</v>
      </c>
      <c r="D146" s="3062" t="s">
        <v>12580</v>
      </c>
      <c r="E146" s="3064"/>
      <c r="F146" s="3064"/>
      <c r="G146" s="3064"/>
      <c r="H146" s="3064"/>
      <c r="I146" s="3069">
        <f t="shared" si="5"/>
        <v>65.698502136511465</v>
      </c>
      <c r="J146" s="2918"/>
      <c r="K146" s="2918"/>
      <c r="L146" s="2918"/>
      <c r="M146" s="2918"/>
      <c r="N146" s="2918"/>
      <c r="O146" s="2918"/>
      <c r="P146" s="2918"/>
      <c r="Q146" s="2918"/>
      <c r="R146" s="2918"/>
      <c r="S146" s="2918"/>
      <c r="T146" s="2918"/>
      <c r="U146" s="2918"/>
      <c r="V146" s="2918"/>
      <c r="W146" s="2918"/>
      <c r="X146" s="2918"/>
      <c r="Y146" s="2918"/>
      <c r="Z146" s="2918"/>
      <c r="AA146" s="2918"/>
      <c r="AB146" s="2918"/>
      <c r="AC146" s="2918"/>
      <c r="AD146" s="2918"/>
      <c r="AE146" s="2918"/>
      <c r="AF146" s="2918"/>
      <c r="AG146" s="2918"/>
      <c r="AH146" s="2918"/>
      <c r="AI146" s="2918"/>
      <c r="AJ146" s="2918"/>
      <c r="AK146" s="2918"/>
      <c r="AL146" s="2918"/>
      <c r="AM146" s="2918"/>
      <c r="AN146" s="2918"/>
      <c r="AO146" s="2918"/>
      <c r="AP146" s="2918"/>
      <c r="AQ146" s="2918"/>
      <c r="AR146" s="2918"/>
      <c r="AS146" s="2918"/>
      <c r="AT146" s="2918"/>
      <c r="AU146" s="2918"/>
      <c r="AV146" s="2918"/>
      <c r="AW146" s="2918"/>
      <c r="AX146" s="2918"/>
      <c r="AY146" s="2918"/>
      <c r="AZ146" s="2918"/>
      <c r="BA146" s="2918"/>
      <c r="BB146" s="2918"/>
      <c r="BC146" s="2918"/>
      <c r="BD146" s="2918"/>
      <c r="BE146" s="2918"/>
      <c r="BF146" s="2918"/>
      <c r="BG146" s="2918"/>
      <c r="BH146" s="2918"/>
      <c r="BI146" s="2918"/>
      <c r="BJ146" s="2918"/>
      <c r="BK146" s="2918"/>
      <c r="BL146" s="2918"/>
      <c r="BM146" s="2918"/>
      <c r="BN146" s="2918"/>
      <c r="BO146" s="2918"/>
      <c r="BP146" s="2918"/>
      <c r="BQ146" s="2918"/>
      <c r="BR146" s="2918"/>
      <c r="BS146" s="2918"/>
      <c r="BT146" s="2918"/>
      <c r="BU146" s="2918"/>
      <c r="BV146" s="2918"/>
      <c r="BW146" s="2918"/>
      <c r="BX146" s="2918"/>
      <c r="BY146" s="2918"/>
      <c r="BZ146" s="2918"/>
      <c r="CA146" s="2918"/>
      <c r="CB146" s="2918"/>
      <c r="CC146" s="2918"/>
      <c r="CD146" s="2918"/>
      <c r="CE146" s="2918"/>
      <c r="CF146" s="2918"/>
      <c r="CG146" s="2918"/>
      <c r="CH146" s="2918"/>
      <c r="CI146" s="2918"/>
      <c r="CJ146" s="2918"/>
      <c r="CK146" s="2918"/>
      <c r="CL146" s="2918"/>
      <c r="CM146" s="2918"/>
      <c r="CN146" s="2918"/>
      <c r="CO146" s="2918"/>
      <c r="CP146" s="2918"/>
      <c r="CQ146" s="2918"/>
      <c r="CR146" s="2918"/>
      <c r="CS146" s="2918"/>
      <c r="CT146" s="2918"/>
      <c r="CU146" s="2918"/>
      <c r="CV146" s="2918"/>
      <c r="CW146" s="2918"/>
      <c r="CX146" s="2918"/>
      <c r="CY146" s="2918"/>
      <c r="CZ146" s="2918"/>
      <c r="DA146" s="2918"/>
      <c r="DB146" s="2918"/>
      <c r="DC146" s="2918"/>
      <c r="DD146" s="2918"/>
      <c r="DE146" s="2918"/>
      <c r="DF146" s="2918"/>
      <c r="DG146" s="2918"/>
      <c r="DH146" s="2918"/>
      <c r="DI146" s="2918"/>
      <c r="DJ146" s="2918"/>
      <c r="DK146" s="2918"/>
      <c r="DL146" s="2918"/>
      <c r="DM146" s="2918"/>
      <c r="DN146" s="2918"/>
      <c r="DO146" s="2918"/>
      <c r="DP146" s="2918"/>
      <c r="DQ146" s="2918"/>
      <c r="DR146" s="2918"/>
      <c r="DS146" s="2918"/>
      <c r="DT146" s="2918"/>
      <c r="DU146" s="2918"/>
      <c r="DV146" s="2918"/>
      <c r="DW146" s="2918"/>
      <c r="DX146" s="2918"/>
      <c r="DY146" s="2918"/>
      <c r="DZ146" s="2918"/>
      <c r="EA146" s="2918"/>
      <c r="EB146" s="2918"/>
      <c r="EC146" s="2918"/>
      <c r="ED146" s="2918"/>
      <c r="EE146" s="2918"/>
      <c r="EF146" s="2918"/>
      <c r="EG146" s="2918"/>
      <c r="EH146" s="2918"/>
      <c r="EI146" s="2918"/>
      <c r="EJ146" s="2918"/>
      <c r="EK146" s="2918"/>
      <c r="EL146" s="2918"/>
      <c r="EM146" s="2918"/>
      <c r="EN146" s="2918"/>
      <c r="EO146" s="2918"/>
      <c r="EP146" s="2918"/>
      <c r="EQ146" s="2918"/>
      <c r="ER146" s="2918"/>
      <c r="ES146" s="2918"/>
      <c r="ET146" s="2918"/>
      <c r="EU146" s="2918"/>
      <c r="EV146" s="2918"/>
      <c r="EW146" s="2918"/>
      <c r="EX146" s="2918"/>
      <c r="EY146" s="2918"/>
      <c r="EZ146" s="2918"/>
      <c r="FA146" s="2918"/>
      <c r="FB146" s="2918"/>
      <c r="FC146" s="2918"/>
      <c r="FD146" s="2918"/>
      <c r="FE146" s="2918"/>
      <c r="FF146" s="2918"/>
      <c r="FG146" s="2918"/>
      <c r="FH146" s="2918"/>
      <c r="FI146" s="2918"/>
      <c r="FJ146" s="2918"/>
      <c r="FK146" s="2918"/>
      <c r="FL146" s="2918"/>
      <c r="FM146" s="2918"/>
      <c r="FN146" s="2918"/>
      <c r="FO146" s="2918"/>
      <c r="FP146" s="2918"/>
      <c r="FQ146" s="2918"/>
      <c r="FR146" s="2918"/>
      <c r="FS146" s="2918"/>
      <c r="FT146" s="2918"/>
      <c r="FU146" s="2918"/>
      <c r="FV146" s="2918"/>
      <c r="FW146" s="2918"/>
      <c r="FX146" s="2918"/>
      <c r="FY146" s="2918"/>
      <c r="FZ146" s="2918"/>
      <c r="GA146" s="2918"/>
      <c r="GB146" s="2918"/>
      <c r="GC146" s="2918"/>
      <c r="GD146" s="2918"/>
      <c r="GE146" s="2918"/>
      <c r="GF146" s="2918"/>
      <c r="GG146" s="2918"/>
      <c r="GH146" s="2918"/>
      <c r="GI146" s="2918"/>
      <c r="GJ146" s="2918"/>
      <c r="GK146" s="2918"/>
      <c r="GL146" s="2918"/>
      <c r="GM146" s="2918"/>
      <c r="GN146" s="2918"/>
      <c r="GO146" s="2918"/>
      <c r="GP146" s="2918"/>
      <c r="GQ146" s="2918"/>
      <c r="GR146" s="2918"/>
      <c r="GS146" s="2918"/>
      <c r="GT146" s="2918"/>
      <c r="GU146" s="2918"/>
      <c r="GV146" s="2918"/>
      <c r="GW146" s="2918"/>
      <c r="GX146" s="2918"/>
      <c r="GY146" s="2918"/>
      <c r="GZ146" s="2918"/>
      <c r="HA146" s="2918"/>
      <c r="HB146" s="2918"/>
      <c r="HC146" s="2918"/>
      <c r="HD146" s="2918"/>
      <c r="HE146" s="2918"/>
      <c r="HF146" s="2918"/>
      <c r="HG146" s="2918"/>
      <c r="HH146" s="2918"/>
      <c r="HI146" s="2918"/>
      <c r="HJ146" s="2918"/>
      <c r="HK146" s="2918"/>
      <c r="HL146" s="2918"/>
      <c r="HM146" s="2918"/>
      <c r="HN146" s="2918"/>
      <c r="HO146" s="2918"/>
      <c r="HP146" s="2918"/>
      <c r="HQ146" s="2918"/>
      <c r="HR146" s="2918"/>
      <c r="HS146" s="2918"/>
      <c r="HT146" s="2918"/>
      <c r="HU146" s="2918"/>
      <c r="HV146" s="2918"/>
      <c r="HW146" s="2918"/>
      <c r="HX146" s="2918"/>
      <c r="HY146" s="2918"/>
      <c r="HZ146" s="2918"/>
      <c r="IA146" s="2918"/>
      <c r="IB146" s="2918"/>
      <c r="IC146" s="2918"/>
      <c r="ID146" s="2918"/>
      <c r="IE146" s="2918"/>
      <c r="IF146" s="2918"/>
      <c r="IG146" s="2918"/>
      <c r="IH146" s="2918"/>
      <c r="II146" s="2918"/>
      <c r="IJ146" s="2918"/>
      <c r="IK146" s="2918"/>
      <c r="IL146" s="2918"/>
      <c r="IM146" s="2918"/>
      <c r="IN146" s="2918"/>
      <c r="IO146" s="2918"/>
      <c r="IP146" s="2918"/>
      <c r="IQ146" s="2918"/>
      <c r="IR146" s="2918"/>
      <c r="IS146" s="2918"/>
      <c r="IT146" s="2918"/>
      <c r="IU146" s="2918"/>
      <c r="IV146" s="2918"/>
    </row>
    <row r="147" spans="1:256" customFormat="1">
      <c r="A147" s="4648"/>
      <c r="B147" s="4653"/>
      <c r="C147" s="2901">
        <v>500</v>
      </c>
      <c r="D147" s="3062" t="s">
        <v>12580</v>
      </c>
      <c r="E147" s="3067"/>
      <c r="F147" s="3067"/>
      <c r="G147" s="3067"/>
      <c r="H147" s="3067"/>
      <c r="I147" s="3069">
        <f t="shared" si="5"/>
        <v>67.42741008747231</v>
      </c>
      <c r="J147" s="2918"/>
      <c r="K147" s="2918"/>
      <c r="L147" s="2918"/>
      <c r="M147" s="2918"/>
      <c r="N147" s="2918"/>
      <c r="O147" s="2918"/>
      <c r="P147" s="2918"/>
      <c r="Q147" s="2918"/>
      <c r="R147" s="2918"/>
      <c r="S147" s="2918"/>
      <c r="T147" s="2918"/>
      <c r="U147" s="2918"/>
      <c r="V147" s="2918"/>
      <c r="W147" s="2918"/>
      <c r="X147" s="2918"/>
      <c r="Y147" s="2918"/>
      <c r="Z147" s="2918"/>
      <c r="AA147" s="2918"/>
      <c r="AB147" s="2918"/>
      <c r="AC147" s="2918"/>
      <c r="AD147" s="2918"/>
      <c r="AE147" s="2918"/>
      <c r="AF147" s="2918"/>
      <c r="AG147" s="2918"/>
      <c r="AH147" s="2918"/>
      <c r="AI147" s="2918"/>
      <c r="AJ147" s="2918"/>
      <c r="AK147" s="2918"/>
      <c r="AL147" s="2918"/>
      <c r="AM147" s="2918"/>
      <c r="AN147" s="2918"/>
      <c r="AO147" s="2918"/>
      <c r="AP147" s="2918"/>
      <c r="AQ147" s="2918"/>
      <c r="AR147" s="2918"/>
      <c r="AS147" s="2918"/>
      <c r="AT147" s="2918"/>
      <c r="AU147" s="2918"/>
      <c r="AV147" s="2918"/>
      <c r="AW147" s="2918"/>
      <c r="AX147" s="2918"/>
      <c r="AY147" s="2918"/>
      <c r="AZ147" s="2918"/>
      <c r="BA147" s="2918"/>
      <c r="BB147" s="2918"/>
      <c r="BC147" s="2918"/>
      <c r="BD147" s="2918"/>
      <c r="BE147" s="2918"/>
      <c r="BF147" s="2918"/>
      <c r="BG147" s="2918"/>
      <c r="BH147" s="2918"/>
      <c r="BI147" s="2918"/>
      <c r="BJ147" s="2918"/>
      <c r="BK147" s="2918"/>
      <c r="BL147" s="2918"/>
      <c r="BM147" s="2918"/>
      <c r="BN147" s="2918"/>
      <c r="BO147" s="2918"/>
      <c r="BP147" s="2918"/>
      <c r="BQ147" s="2918"/>
      <c r="BR147" s="2918"/>
      <c r="BS147" s="2918"/>
      <c r="BT147" s="2918"/>
      <c r="BU147" s="2918"/>
      <c r="BV147" s="2918"/>
      <c r="BW147" s="2918"/>
      <c r="BX147" s="2918"/>
      <c r="BY147" s="2918"/>
      <c r="BZ147" s="2918"/>
      <c r="CA147" s="2918"/>
      <c r="CB147" s="2918"/>
      <c r="CC147" s="2918"/>
      <c r="CD147" s="2918"/>
      <c r="CE147" s="2918"/>
      <c r="CF147" s="2918"/>
      <c r="CG147" s="2918"/>
      <c r="CH147" s="2918"/>
      <c r="CI147" s="2918"/>
      <c r="CJ147" s="2918"/>
      <c r="CK147" s="2918"/>
      <c r="CL147" s="2918"/>
      <c r="CM147" s="2918"/>
      <c r="CN147" s="2918"/>
      <c r="CO147" s="2918"/>
      <c r="CP147" s="2918"/>
      <c r="CQ147" s="2918"/>
      <c r="CR147" s="2918"/>
      <c r="CS147" s="2918"/>
      <c r="CT147" s="2918"/>
      <c r="CU147" s="2918"/>
      <c r="CV147" s="2918"/>
      <c r="CW147" s="2918"/>
      <c r="CX147" s="2918"/>
      <c r="CY147" s="2918"/>
      <c r="CZ147" s="2918"/>
      <c r="DA147" s="2918"/>
      <c r="DB147" s="2918"/>
      <c r="DC147" s="2918"/>
      <c r="DD147" s="2918"/>
      <c r="DE147" s="2918"/>
      <c r="DF147" s="2918"/>
      <c r="DG147" s="2918"/>
      <c r="DH147" s="2918"/>
      <c r="DI147" s="2918"/>
      <c r="DJ147" s="2918"/>
      <c r="DK147" s="2918"/>
      <c r="DL147" s="2918"/>
      <c r="DM147" s="2918"/>
      <c r="DN147" s="2918"/>
      <c r="DO147" s="2918"/>
      <c r="DP147" s="2918"/>
      <c r="DQ147" s="2918"/>
      <c r="DR147" s="2918"/>
      <c r="DS147" s="2918"/>
      <c r="DT147" s="2918"/>
      <c r="DU147" s="2918"/>
      <c r="DV147" s="2918"/>
      <c r="DW147" s="2918"/>
      <c r="DX147" s="2918"/>
      <c r="DY147" s="2918"/>
      <c r="DZ147" s="2918"/>
      <c r="EA147" s="2918"/>
      <c r="EB147" s="2918"/>
      <c r="EC147" s="2918"/>
      <c r="ED147" s="2918"/>
      <c r="EE147" s="2918"/>
      <c r="EF147" s="2918"/>
      <c r="EG147" s="2918"/>
      <c r="EH147" s="2918"/>
      <c r="EI147" s="2918"/>
      <c r="EJ147" s="2918"/>
      <c r="EK147" s="2918"/>
      <c r="EL147" s="2918"/>
      <c r="EM147" s="2918"/>
      <c r="EN147" s="2918"/>
      <c r="EO147" s="2918"/>
      <c r="EP147" s="2918"/>
      <c r="EQ147" s="2918"/>
      <c r="ER147" s="2918"/>
      <c r="ES147" s="2918"/>
      <c r="ET147" s="2918"/>
      <c r="EU147" s="2918"/>
      <c r="EV147" s="2918"/>
      <c r="EW147" s="2918"/>
      <c r="EX147" s="2918"/>
      <c r="EY147" s="2918"/>
      <c r="EZ147" s="2918"/>
      <c r="FA147" s="2918"/>
      <c r="FB147" s="2918"/>
      <c r="FC147" s="2918"/>
      <c r="FD147" s="2918"/>
      <c r="FE147" s="2918"/>
      <c r="FF147" s="2918"/>
      <c r="FG147" s="2918"/>
      <c r="FH147" s="2918"/>
      <c r="FI147" s="2918"/>
      <c r="FJ147" s="2918"/>
      <c r="FK147" s="2918"/>
      <c r="FL147" s="2918"/>
      <c r="FM147" s="2918"/>
      <c r="FN147" s="2918"/>
      <c r="FO147" s="2918"/>
      <c r="FP147" s="2918"/>
      <c r="FQ147" s="2918"/>
      <c r="FR147" s="2918"/>
      <c r="FS147" s="2918"/>
      <c r="FT147" s="2918"/>
      <c r="FU147" s="2918"/>
      <c r="FV147" s="2918"/>
      <c r="FW147" s="2918"/>
      <c r="FX147" s="2918"/>
      <c r="FY147" s="2918"/>
      <c r="FZ147" s="2918"/>
      <c r="GA147" s="2918"/>
      <c r="GB147" s="2918"/>
      <c r="GC147" s="2918"/>
      <c r="GD147" s="2918"/>
      <c r="GE147" s="2918"/>
      <c r="GF147" s="2918"/>
      <c r="GG147" s="2918"/>
      <c r="GH147" s="2918"/>
      <c r="GI147" s="2918"/>
      <c r="GJ147" s="2918"/>
      <c r="GK147" s="2918"/>
      <c r="GL147" s="2918"/>
      <c r="GM147" s="2918"/>
      <c r="GN147" s="2918"/>
      <c r="GO147" s="2918"/>
      <c r="GP147" s="2918"/>
      <c r="GQ147" s="2918"/>
      <c r="GR147" s="2918"/>
      <c r="GS147" s="2918"/>
      <c r="GT147" s="2918"/>
      <c r="GU147" s="2918"/>
      <c r="GV147" s="2918"/>
      <c r="GW147" s="2918"/>
      <c r="GX147" s="2918"/>
      <c r="GY147" s="2918"/>
      <c r="GZ147" s="2918"/>
      <c r="HA147" s="2918"/>
      <c r="HB147" s="2918"/>
      <c r="HC147" s="2918"/>
      <c r="HD147" s="2918"/>
      <c r="HE147" s="2918"/>
      <c r="HF147" s="2918"/>
      <c r="HG147" s="2918"/>
      <c r="HH147" s="2918"/>
      <c r="HI147" s="2918"/>
      <c r="HJ147" s="2918"/>
      <c r="HK147" s="2918"/>
      <c r="HL147" s="2918"/>
      <c r="HM147" s="2918"/>
      <c r="HN147" s="2918"/>
      <c r="HO147" s="2918"/>
      <c r="HP147" s="2918"/>
      <c r="HQ147" s="2918"/>
      <c r="HR147" s="2918"/>
      <c r="HS147" s="2918"/>
      <c r="HT147" s="2918"/>
      <c r="HU147" s="2918"/>
      <c r="HV147" s="2918"/>
      <c r="HW147" s="2918"/>
      <c r="HX147" s="2918"/>
      <c r="HY147" s="2918"/>
      <c r="HZ147" s="2918"/>
      <c r="IA147" s="2918"/>
      <c r="IB147" s="2918"/>
      <c r="IC147" s="2918"/>
      <c r="ID147" s="2918"/>
      <c r="IE147" s="2918"/>
      <c r="IF147" s="2918"/>
      <c r="IG147" s="2918"/>
      <c r="IH147" s="2918"/>
      <c r="II147" s="2918"/>
      <c r="IJ147" s="2918"/>
      <c r="IK147" s="2918"/>
      <c r="IL147" s="2918"/>
      <c r="IM147" s="2918"/>
      <c r="IN147" s="2918"/>
      <c r="IO147" s="2918"/>
      <c r="IP147" s="2918"/>
      <c r="IQ147" s="2918"/>
      <c r="IR147" s="2918"/>
      <c r="IS147" s="2918"/>
      <c r="IT147" s="2918"/>
      <c r="IU147" s="2918"/>
      <c r="IV147" s="2918"/>
    </row>
    <row r="148" spans="1:256" customFormat="1">
      <c r="A148" s="4648"/>
      <c r="B148" s="4653"/>
      <c r="C148" s="2901">
        <v>515</v>
      </c>
      <c r="D148" s="3062" t="s">
        <v>12581</v>
      </c>
      <c r="E148" s="3064"/>
      <c r="F148" s="3064"/>
      <c r="G148" s="3064"/>
      <c r="H148" s="3064"/>
      <c r="I148" s="3069">
        <f t="shared" si="5"/>
        <v>69.422303877042495</v>
      </c>
      <c r="J148" s="2918"/>
      <c r="K148" s="2918"/>
      <c r="L148" s="2918"/>
      <c r="M148" s="2918"/>
      <c r="N148" s="2918"/>
      <c r="O148" s="2918"/>
      <c r="P148" s="2918"/>
      <c r="Q148" s="2918"/>
      <c r="R148" s="2918"/>
      <c r="S148" s="2918"/>
      <c r="T148" s="2918"/>
      <c r="U148" s="2918"/>
      <c r="V148" s="2918"/>
      <c r="W148" s="2918"/>
      <c r="X148" s="2918"/>
      <c r="Y148" s="2918"/>
      <c r="Z148" s="2918"/>
      <c r="AA148" s="2918"/>
      <c r="AB148" s="2918"/>
      <c r="AC148" s="2918"/>
      <c r="AD148" s="2918"/>
      <c r="AE148" s="2918"/>
      <c r="AF148" s="2918"/>
      <c r="AG148" s="2918"/>
      <c r="AH148" s="2918"/>
      <c r="AI148" s="2918"/>
      <c r="AJ148" s="2918"/>
      <c r="AK148" s="2918"/>
      <c r="AL148" s="2918"/>
      <c r="AM148" s="2918"/>
      <c r="AN148" s="2918"/>
      <c r="AO148" s="2918"/>
      <c r="AP148" s="2918"/>
      <c r="AQ148" s="2918"/>
      <c r="AR148" s="2918"/>
      <c r="AS148" s="2918"/>
      <c r="AT148" s="2918"/>
      <c r="AU148" s="2918"/>
      <c r="AV148" s="2918"/>
      <c r="AW148" s="2918"/>
      <c r="AX148" s="2918"/>
      <c r="AY148" s="2918"/>
      <c r="AZ148" s="2918"/>
      <c r="BA148" s="2918"/>
      <c r="BB148" s="2918"/>
      <c r="BC148" s="2918"/>
      <c r="BD148" s="2918"/>
      <c r="BE148" s="2918"/>
      <c r="BF148" s="2918"/>
      <c r="BG148" s="2918"/>
      <c r="BH148" s="2918"/>
      <c r="BI148" s="2918"/>
      <c r="BJ148" s="2918"/>
      <c r="BK148" s="2918"/>
      <c r="BL148" s="2918"/>
      <c r="BM148" s="2918"/>
      <c r="BN148" s="2918"/>
      <c r="BO148" s="2918"/>
      <c r="BP148" s="2918"/>
      <c r="BQ148" s="2918"/>
      <c r="BR148" s="2918"/>
      <c r="BS148" s="2918"/>
      <c r="BT148" s="2918"/>
      <c r="BU148" s="2918"/>
      <c r="BV148" s="2918"/>
      <c r="BW148" s="2918"/>
      <c r="BX148" s="2918"/>
      <c r="BY148" s="2918"/>
      <c r="BZ148" s="2918"/>
      <c r="CA148" s="2918"/>
      <c r="CB148" s="2918"/>
      <c r="CC148" s="2918"/>
      <c r="CD148" s="2918"/>
      <c r="CE148" s="2918"/>
      <c r="CF148" s="2918"/>
      <c r="CG148" s="2918"/>
      <c r="CH148" s="2918"/>
      <c r="CI148" s="2918"/>
      <c r="CJ148" s="2918"/>
      <c r="CK148" s="2918"/>
      <c r="CL148" s="2918"/>
      <c r="CM148" s="2918"/>
      <c r="CN148" s="2918"/>
      <c r="CO148" s="2918"/>
      <c r="CP148" s="2918"/>
      <c r="CQ148" s="2918"/>
      <c r="CR148" s="2918"/>
      <c r="CS148" s="2918"/>
      <c r="CT148" s="2918"/>
      <c r="CU148" s="2918"/>
      <c r="CV148" s="2918"/>
      <c r="CW148" s="2918"/>
      <c r="CX148" s="2918"/>
      <c r="CY148" s="2918"/>
      <c r="CZ148" s="2918"/>
      <c r="DA148" s="2918"/>
      <c r="DB148" s="2918"/>
      <c r="DC148" s="2918"/>
      <c r="DD148" s="2918"/>
      <c r="DE148" s="2918"/>
      <c r="DF148" s="2918"/>
      <c r="DG148" s="2918"/>
      <c r="DH148" s="2918"/>
      <c r="DI148" s="2918"/>
      <c r="DJ148" s="2918"/>
      <c r="DK148" s="2918"/>
      <c r="DL148" s="2918"/>
      <c r="DM148" s="2918"/>
      <c r="DN148" s="2918"/>
      <c r="DO148" s="2918"/>
      <c r="DP148" s="2918"/>
      <c r="DQ148" s="2918"/>
      <c r="DR148" s="2918"/>
      <c r="DS148" s="2918"/>
      <c r="DT148" s="2918"/>
      <c r="DU148" s="2918"/>
      <c r="DV148" s="2918"/>
      <c r="DW148" s="2918"/>
      <c r="DX148" s="2918"/>
      <c r="DY148" s="2918"/>
      <c r="DZ148" s="2918"/>
      <c r="EA148" s="2918"/>
      <c r="EB148" s="2918"/>
      <c r="EC148" s="2918"/>
      <c r="ED148" s="2918"/>
      <c r="EE148" s="2918"/>
      <c r="EF148" s="2918"/>
      <c r="EG148" s="2918"/>
      <c r="EH148" s="2918"/>
      <c r="EI148" s="2918"/>
      <c r="EJ148" s="2918"/>
      <c r="EK148" s="2918"/>
      <c r="EL148" s="2918"/>
      <c r="EM148" s="2918"/>
      <c r="EN148" s="2918"/>
      <c r="EO148" s="2918"/>
      <c r="EP148" s="2918"/>
      <c r="EQ148" s="2918"/>
      <c r="ER148" s="2918"/>
      <c r="ES148" s="2918"/>
      <c r="ET148" s="2918"/>
      <c r="EU148" s="2918"/>
      <c r="EV148" s="2918"/>
      <c r="EW148" s="2918"/>
      <c r="EX148" s="2918"/>
      <c r="EY148" s="2918"/>
      <c r="EZ148" s="2918"/>
      <c r="FA148" s="2918"/>
      <c r="FB148" s="2918"/>
      <c r="FC148" s="2918"/>
      <c r="FD148" s="2918"/>
      <c r="FE148" s="2918"/>
      <c r="FF148" s="2918"/>
      <c r="FG148" s="2918"/>
      <c r="FH148" s="2918"/>
      <c r="FI148" s="2918"/>
      <c r="FJ148" s="2918"/>
      <c r="FK148" s="2918"/>
      <c r="FL148" s="2918"/>
      <c r="FM148" s="2918"/>
      <c r="FN148" s="2918"/>
      <c r="FO148" s="2918"/>
      <c r="FP148" s="2918"/>
      <c r="FQ148" s="2918"/>
      <c r="FR148" s="2918"/>
      <c r="FS148" s="2918"/>
      <c r="FT148" s="2918"/>
      <c r="FU148" s="2918"/>
      <c r="FV148" s="2918"/>
      <c r="FW148" s="2918"/>
      <c r="FX148" s="2918"/>
      <c r="FY148" s="2918"/>
      <c r="FZ148" s="2918"/>
      <c r="GA148" s="2918"/>
      <c r="GB148" s="2918"/>
      <c r="GC148" s="2918"/>
      <c r="GD148" s="2918"/>
      <c r="GE148" s="2918"/>
      <c r="GF148" s="2918"/>
      <c r="GG148" s="2918"/>
      <c r="GH148" s="2918"/>
      <c r="GI148" s="2918"/>
      <c r="GJ148" s="2918"/>
      <c r="GK148" s="2918"/>
      <c r="GL148" s="2918"/>
      <c r="GM148" s="2918"/>
      <c r="GN148" s="2918"/>
      <c r="GO148" s="2918"/>
      <c r="GP148" s="2918"/>
      <c r="GQ148" s="2918"/>
      <c r="GR148" s="2918"/>
      <c r="GS148" s="2918"/>
      <c r="GT148" s="2918"/>
      <c r="GU148" s="2918"/>
      <c r="GV148" s="2918"/>
      <c r="GW148" s="2918"/>
      <c r="GX148" s="2918"/>
      <c r="GY148" s="2918"/>
      <c r="GZ148" s="2918"/>
      <c r="HA148" s="2918"/>
      <c r="HB148" s="2918"/>
      <c r="HC148" s="2918"/>
      <c r="HD148" s="2918"/>
      <c r="HE148" s="2918"/>
      <c r="HF148" s="2918"/>
      <c r="HG148" s="2918"/>
      <c r="HH148" s="2918"/>
      <c r="HI148" s="2918"/>
      <c r="HJ148" s="2918"/>
      <c r="HK148" s="2918"/>
      <c r="HL148" s="2918"/>
      <c r="HM148" s="2918"/>
      <c r="HN148" s="2918"/>
      <c r="HO148" s="2918"/>
      <c r="HP148" s="2918"/>
      <c r="HQ148" s="2918"/>
      <c r="HR148" s="2918"/>
      <c r="HS148" s="2918"/>
      <c r="HT148" s="2918"/>
      <c r="HU148" s="2918"/>
      <c r="HV148" s="2918"/>
      <c r="HW148" s="2918"/>
      <c r="HX148" s="2918"/>
      <c r="HY148" s="2918"/>
      <c r="HZ148" s="2918"/>
      <c r="IA148" s="2918"/>
      <c r="IB148" s="2918"/>
      <c r="IC148" s="2918"/>
      <c r="ID148" s="2918"/>
      <c r="IE148" s="2918"/>
      <c r="IF148" s="2918"/>
      <c r="IG148" s="2918"/>
      <c r="IH148" s="2918"/>
      <c r="II148" s="2918"/>
      <c r="IJ148" s="2918"/>
      <c r="IK148" s="2918"/>
      <c r="IL148" s="2918"/>
      <c r="IM148" s="2918"/>
      <c r="IN148" s="2918"/>
      <c r="IO148" s="2918"/>
      <c r="IP148" s="2918"/>
      <c r="IQ148" s="2918"/>
      <c r="IR148" s="2918"/>
      <c r="IS148" s="2918"/>
      <c r="IT148" s="2918"/>
      <c r="IU148" s="2918"/>
      <c r="IV148" s="2918"/>
    </row>
    <row r="149" spans="1:256" customFormat="1">
      <c r="A149" s="4648"/>
      <c r="B149" s="4653"/>
      <c r="C149" s="2901">
        <v>530</v>
      </c>
      <c r="D149" s="3062" t="s">
        <v>12581</v>
      </c>
      <c r="E149" s="3064"/>
      <c r="F149" s="3064"/>
      <c r="G149" s="3064"/>
      <c r="H149" s="3064"/>
      <c r="I149" s="3069">
        <f t="shared" si="5"/>
        <v>71.417197666612694</v>
      </c>
      <c r="J149" s="2918"/>
      <c r="K149" s="2918"/>
      <c r="L149" s="2918"/>
      <c r="M149" s="2918"/>
      <c r="N149" s="2918"/>
      <c r="O149" s="2918"/>
      <c r="P149" s="2918"/>
      <c r="Q149" s="2918"/>
      <c r="R149" s="2918"/>
      <c r="S149" s="2918"/>
      <c r="T149" s="2918"/>
      <c r="U149" s="2918"/>
      <c r="V149" s="2918"/>
      <c r="W149" s="2918"/>
      <c r="X149" s="2918"/>
      <c r="Y149" s="2918"/>
      <c r="Z149" s="2918"/>
      <c r="AA149" s="2918"/>
      <c r="AB149" s="2918"/>
      <c r="AC149" s="2918"/>
      <c r="AD149" s="2918"/>
      <c r="AE149" s="2918"/>
      <c r="AF149" s="2918"/>
      <c r="AG149" s="2918"/>
      <c r="AH149" s="2918"/>
      <c r="AI149" s="2918"/>
      <c r="AJ149" s="2918"/>
      <c r="AK149" s="2918"/>
      <c r="AL149" s="2918"/>
      <c r="AM149" s="2918"/>
      <c r="AN149" s="2918"/>
      <c r="AO149" s="2918"/>
      <c r="AP149" s="2918"/>
      <c r="AQ149" s="2918"/>
      <c r="AR149" s="2918"/>
      <c r="AS149" s="2918"/>
      <c r="AT149" s="2918"/>
      <c r="AU149" s="2918"/>
      <c r="AV149" s="2918"/>
      <c r="AW149" s="2918"/>
      <c r="AX149" s="2918"/>
      <c r="AY149" s="2918"/>
      <c r="AZ149" s="2918"/>
      <c r="BA149" s="2918"/>
      <c r="BB149" s="2918"/>
      <c r="BC149" s="2918"/>
      <c r="BD149" s="2918"/>
      <c r="BE149" s="2918"/>
      <c r="BF149" s="2918"/>
      <c r="BG149" s="2918"/>
      <c r="BH149" s="2918"/>
      <c r="BI149" s="2918"/>
      <c r="BJ149" s="2918"/>
      <c r="BK149" s="2918"/>
      <c r="BL149" s="2918"/>
      <c r="BM149" s="2918"/>
      <c r="BN149" s="2918"/>
      <c r="BO149" s="2918"/>
      <c r="BP149" s="2918"/>
      <c r="BQ149" s="2918"/>
      <c r="BR149" s="2918"/>
      <c r="BS149" s="2918"/>
      <c r="BT149" s="2918"/>
      <c r="BU149" s="2918"/>
      <c r="BV149" s="2918"/>
      <c r="BW149" s="2918"/>
      <c r="BX149" s="2918"/>
      <c r="BY149" s="2918"/>
      <c r="BZ149" s="2918"/>
      <c r="CA149" s="2918"/>
      <c r="CB149" s="2918"/>
      <c r="CC149" s="2918"/>
      <c r="CD149" s="2918"/>
      <c r="CE149" s="2918"/>
      <c r="CF149" s="2918"/>
      <c r="CG149" s="2918"/>
      <c r="CH149" s="2918"/>
      <c r="CI149" s="2918"/>
      <c r="CJ149" s="2918"/>
      <c r="CK149" s="2918"/>
      <c r="CL149" s="2918"/>
      <c r="CM149" s="2918"/>
      <c r="CN149" s="2918"/>
      <c r="CO149" s="2918"/>
      <c r="CP149" s="2918"/>
      <c r="CQ149" s="2918"/>
      <c r="CR149" s="2918"/>
      <c r="CS149" s="2918"/>
      <c r="CT149" s="2918"/>
      <c r="CU149" s="2918"/>
      <c r="CV149" s="2918"/>
      <c r="CW149" s="2918"/>
      <c r="CX149" s="2918"/>
      <c r="CY149" s="2918"/>
      <c r="CZ149" s="2918"/>
      <c r="DA149" s="2918"/>
      <c r="DB149" s="2918"/>
      <c r="DC149" s="2918"/>
      <c r="DD149" s="2918"/>
      <c r="DE149" s="2918"/>
      <c r="DF149" s="2918"/>
      <c r="DG149" s="2918"/>
      <c r="DH149" s="2918"/>
      <c r="DI149" s="2918"/>
      <c r="DJ149" s="2918"/>
      <c r="DK149" s="2918"/>
      <c r="DL149" s="2918"/>
      <c r="DM149" s="2918"/>
      <c r="DN149" s="2918"/>
      <c r="DO149" s="2918"/>
      <c r="DP149" s="2918"/>
      <c r="DQ149" s="2918"/>
      <c r="DR149" s="2918"/>
      <c r="DS149" s="2918"/>
      <c r="DT149" s="2918"/>
      <c r="DU149" s="2918"/>
      <c r="DV149" s="2918"/>
      <c r="DW149" s="2918"/>
      <c r="DX149" s="2918"/>
      <c r="DY149" s="2918"/>
      <c r="DZ149" s="2918"/>
      <c r="EA149" s="2918"/>
      <c r="EB149" s="2918"/>
      <c r="EC149" s="2918"/>
      <c r="ED149" s="2918"/>
      <c r="EE149" s="2918"/>
      <c r="EF149" s="2918"/>
      <c r="EG149" s="2918"/>
      <c r="EH149" s="2918"/>
      <c r="EI149" s="2918"/>
      <c r="EJ149" s="2918"/>
      <c r="EK149" s="2918"/>
      <c r="EL149" s="2918"/>
      <c r="EM149" s="2918"/>
      <c r="EN149" s="2918"/>
      <c r="EO149" s="2918"/>
      <c r="EP149" s="2918"/>
      <c r="EQ149" s="2918"/>
      <c r="ER149" s="2918"/>
      <c r="ES149" s="2918"/>
      <c r="ET149" s="2918"/>
      <c r="EU149" s="2918"/>
      <c r="EV149" s="2918"/>
      <c r="EW149" s="2918"/>
      <c r="EX149" s="2918"/>
      <c r="EY149" s="2918"/>
      <c r="EZ149" s="2918"/>
      <c r="FA149" s="2918"/>
      <c r="FB149" s="2918"/>
      <c r="FC149" s="2918"/>
      <c r="FD149" s="2918"/>
      <c r="FE149" s="2918"/>
      <c r="FF149" s="2918"/>
      <c r="FG149" s="2918"/>
      <c r="FH149" s="2918"/>
      <c r="FI149" s="2918"/>
      <c r="FJ149" s="2918"/>
      <c r="FK149" s="2918"/>
      <c r="FL149" s="2918"/>
      <c r="FM149" s="2918"/>
      <c r="FN149" s="2918"/>
      <c r="FO149" s="2918"/>
      <c r="FP149" s="2918"/>
      <c r="FQ149" s="2918"/>
      <c r="FR149" s="2918"/>
      <c r="FS149" s="2918"/>
      <c r="FT149" s="2918"/>
      <c r="FU149" s="2918"/>
      <c r="FV149" s="2918"/>
      <c r="FW149" s="2918"/>
      <c r="FX149" s="2918"/>
      <c r="FY149" s="2918"/>
      <c r="FZ149" s="2918"/>
      <c r="GA149" s="2918"/>
      <c r="GB149" s="2918"/>
      <c r="GC149" s="2918"/>
      <c r="GD149" s="2918"/>
      <c r="GE149" s="2918"/>
      <c r="GF149" s="2918"/>
      <c r="GG149" s="2918"/>
      <c r="GH149" s="2918"/>
      <c r="GI149" s="2918"/>
      <c r="GJ149" s="2918"/>
      <c r="GK149" s="2918"/>
      <c r="GL149" s="2918"/>
      <c r="GM149" s="2918"/>
      <c r="GN149" s="2918"/>
      <c r="GO149" s="2918"/>
      <c r="GP149" s="2918"/>
      <c r="GQ149" s="2918"/>
      <c r="GR149" s="2918"/>
      <c r="GS149" s="2918"/>
      <c r="GT149" s="2918"/>
      <c r="GU149" s="2918"/>
      <c r="GV149" s="2918"/>
      <c r="GW149" s="2918"/>
      <c r="GX149" s="2918"/>
      <c r="GY149" s="2918"/>
      <c r="GZ149" s="2918"/>
      <c r="HA149" s="2918"/>
      <c r="HB149" s="2918"/>
      <c r="HC149" s="2918"/>
      <c r="HD149" s="2918"/>
      <c r="HE149" s="2918"/>
      <c r="HF149" s="2918"/>
      <c r="HG149" s="2918"/>
      <c r="HH149" s="2918"/>
      <c r="HI149" s="2918"/>
      <c r="HJ149" s="2918"/>
      <c r="HK149" s="2918"/>
      <c r="HL149" s="2918"/>
      <c r="HM149" s="2918"/>
      <c r="HN149" s="2918"/>
      <c r="HO149" s="2918"/>
      <c r="HP149" s="2918"/>
      <c r="HQ149" s="2918"/>
      <c r="HR149" s="2918"/>
      <c r="HS149" s="2918"/>
      <c r="HT149" s="2918"/>
      <c r="HU149" s="2918"/>
      <c r="HV149" s="2918"/>
      <c r="HW149" s="2918"/>
      <c r="HX149" s="2918"/>
      <c r="HY149" s="2918"/>
      <c r="HZ149" s="2918"/>
      <c r="IA149" s="2918"/>
      <c r="IB149" s="2918"/>
      <c r="IC149" s="2918"/>
      <c r="ID149" s="2918"/>
      <c r="IE149" s="2918"/>
      <c r="IF149" s="2918"/>
      <c r="IG149" s="2918"/>
      <c r="IH149" s="2918"/>
      <c r="II149" s="2918"/>
      <c r="IJ149" s="2918"/>
      <c r="IK149" s="2918"/>
      <c r="IL149" s="2918"/>
      <c r="IM149" s="2918"/>
      <c r="IN149" s="2918"/>
      <c r="IO149" s="2918"/>
      <c r="IP149" s="2918"/>
      <c r="IQ149" s="2918"/>
      <c r="IR149" s="2918"/>
      <c r="IS149" s="2918"/>
      <c r="IT149" s="2918"/>
      <c r="IU149" s="2918"/>
      <c r="IV149" s="2918"/>
    </row>
    <row r="150" spans="1:256" customFormat="1">
      <c r="A150" s="4648"/>
      <c r="B150" s="4653"/>
      <c r="C150" s="2901">
        <v>545</v>
      </c>
      <c r="D150" s="3062" t="s">
        <v>12581</v>
      </c>
      <c r="E150" s="3064"/>
      <c r="F150" s="3064"/>
      <c r="G150" s="3064"/>
      <c r="H150" s="3064"/>
      <c r="I150" s="3069">
        <f t="shared" si="5"/>
        <v>73.41209145618285</v>
      </c>
      <c r="J150" s="2918"/>
      <c r="K150" s="2918"/>
      <c r="L150" s="2918"/>
      <c r="M150" s="2918"/>
      <c r="N150" s="2918"/>
      <c r="O150" s="2918"/>
      <c r="P150" s="2918"/>
      <c r="Q150" s="2918"/>
      <c r="R150" s="2918"/>
      <c r="S150" s="2918"/>
      <c r="T150" s="2918"/>
      <c r="U150" s="2918"/>
      <c r="V150" s="2918"/>
      <c r="W150" s="2918"/>
      <c r="X150" s="2918"/>
      <c r="Y150" s="2918"/>
      <c r="Z150" s="2918"/>
      <c r="AA150" s="2918"/>
      <c r="AB150" s="2918"/>
      <c r="AC150" s="2918"/>
      <c r="AD150" s="2918"/>
      <c r="AE150" s="2918"/>
      <c r="AF150" s="2918"/>
      <c r="AG150" s="2918"/>
      <c r="AH150" s="2918"/>
      <c r="AI150" s="2918"/>
      <c r="AJ150" s="2918"/>
      <c r="AK150" s="2918"/>
      <c r="AL150" s="2918"/>
      <c r="AM150" s="2918"/>
      <c r="AN150" s="2918"/>
      <c r="AO150" s="2918"/>
      <c r="AP150" s="2918"/>
      <c r="AQ150" s="2918"/>
      <c r="AR150" s="2918"/>
      <c r="AS150" s="2918"/>
      <c r="AT150" s="2918"/>
      <c r="AU150" s="2918"/>
      <c r="AV150" s="2918"/>
      <c r="AW150" s="2918"/>
      <c r="AX150" s="2918"/>
      <c r="AY150" s="2918"/>
      <c r="AZ150" s="2918"/>
      <c r="BA150" s="2918"/>
      <c r="BB150" s="2918"/>
      <c r="BC150" s="2918"/>
      <c r="BD150" s="2918"/>
      <c r="BE150" s="2918"/>
      <c r="BF150" s="2918"/>
      <c r="BG150" s="2918"/>
      <c r="BH150" s="2918"/>
      <c r="BI150" s="2918"/>
      <c r="BJ150" s="2918"/>
      <c r="BK150" s="2918"/>
      <c r="BL150" s="2918"/>
      <c r="BM150" s="2918"/>
      <c r="BN150" s="2918"/>
      <c r="BO150" s="2918"/>
      <c r="BP150" s="2918"/>
      <c r="BQ150" s="2918"/>
      <c r="BR150" s="2918"/>
      <c r="BS150" s="2918"/>
      <c r="BT150" s="2918"/>
      <c r="BU150" s="2918"/>
      <c r="BV150" s="2918"/>
      <c r="BW150" s="2918"/>
      <c r="BX150" s="2918"/>
      <c r="BY150" s="2918"/>
      <c r="BZ150" s="2918"/>
      <c r="CA150" s="2918"/>
      <c r="CB150" s="2918"/>
      <c r="CC150" s="2918"/>
      <c r="CD150" s="2918"/>
      <c r="CE150" s="2918"/>
      <c r="CF150" s="2918"/>
      <c r="CG150" s="2918"/>
      <c r="CH150" s="2918"/>
      <c r="CI150" s="2918"/>
      <c r="CJ150" s="2918"/>
      <c r="CK150" s="2918"/>
      <c r="CL150" s="2918"/>
      <c r="CM150" s="2918"/>
      <c r="CN150" s="2918"/>
      <c r="CO150" s="2918"/>
      <c r="CP150" s="2918"/>
      <c r="CQ150" s="2918"/>
      <c r="CR150" s="2918"/>
      <c r="CS150" s="2918"/>
      <c r="CT150" s="2918"/>
      <c r="CU150" s="2918"/>
      <c r="CV150" s="2918"/>
      <c r="CW150" s="2918"/>
      <c r="CX150" s="2918"/>
      <c r="CY150" s="2918"/>
      <c r="CZ150" s="2918"/>
      <c r="DA150" s="2918"/>
      <c r="DB150" s="2918"/>
      <c r="DC150" s="2918"/>
      <c r="DD150" s="2918"/>
      <c r="DE150" s="2918"/>
      <c r="DF150" s="2918"/>
      <c r="DG150" s="2918"/>
      <c r="DH150" s="2918"/>
      <c r="DI150" s="2918"/>
      <c r="DJ150" s="2918"/>
      <c r="DK150" s="2918"/>
      <c r="DL150" s="2918"/>
      <c r="DM150" s="2918"/>
      <c r="DN150" s="2918"/>
      <c r="DO150" s="2918"/>
      <c r="DP150" s="2918"/>
      <c r="DQ150" s="2918"/>
      <c r="DR150" s="2918"/>
      <c r="DS150" s="2918"/>
      <c r="DT150" s="2918"/>
      <c r="DU150" s="2918"/>
      <c r="DV150" s="2918"/>
      <c r="DW150" s="2918"/>
      <c r="DX150" s="2918"/>
      <c r="DY150" s="2918"/>
      <c r="DZ150" s="2918"/>
      <c r="EA150" s="2918"/>
      <c r="EB150" s="2918"/>
      <c r="EC150" s="2918"/>
      <c r="ED150" s="2918"/>
      <c r="EE150" s="2918"/>
      <c r="EF150" s="2918"/>
      <c r="EG150" s="2918"/>
      <c r="EH150" s="2918"/>
      <c r="EI150" s="2918"/>
      <c r="EJ150" s="2918"/>
      <c r="EK150" s="2918"/>
      <c r="EL150" s="2918"/>
      <c r="EM150" s="2918"/>
      <c r="EN150" s="2918"/>
      <c r="EO150" s="2918"/>
      <c r="EP150" s="2918"/>
      <c r="EQ150" s="2918"/>
      <c r="ER150" s="2918"/>
      <c r="ES150" s="2918"/>
      <c r="ET150" s="2918"/>
      <c r="EU150" s="2918"/>
      <c r="EV150" s="2918"/>
      <c r="EW150" s="2918"/>
      <c r="EX150" s="2918"/>
      <c r="EY150" s="2918"/>
      <c r="EZ150" s="2918"/>
      <c r="FA150" s="2918"/>
      <c r="FB150" s="2918"/>
      <c r="FC150" s="2918"/>
      <c r="FD150" s="2918"/>
      <c r="FE150" s="2918"/>
      <c r="FF150" s="2918"/>
      <c r="FG150" s="2918"/>
      <c r="FH150" s="2918"/>
      <c r="FI150" s="2918"/>
      <c r="FJ150" s="2918"/>
      <c r="FK150" s="2918"/>
      <c r="FL150" s="2918"/>
      <c r="FM150" s="2918"/>
      <c r="FN150" s="2918"/>
      <c r="FO150" s="2918"/>
      <c r="FP150" s="2918"/>
      <c r="FQ150" s="2918"/>
      <c r="FR150" s="2918"/>
      <c r="FS150" s="2918"/>
      <c r="FT150" s="2918"/>
      <c r="FU150" s="2918"/>
      <c r="FV150" s="2918"/>
      <c r="FW150" s="2918"/>
      <c r="FX150" s="2918"/>
      <c r="FY150" s="2918"/>
      <c r="FZ150" s="2918"/>
      <c r="GA150" s="2918"/>
      <c r="GB150" s="2918"/>
      <c r="GC150" s="2918"/>
      <c r="GD150" s="2918"/>
      <c r="GE150" s="2918"/>
      <c r="GF150" s="2918"/>
      <c r="GG150" s="2918"/>
      <c r="GH150" s="2918"/>
      <c r="GI150" s="2918"/>
      <c r="GJ150" s="2918"/>
      <c r="GK150" s="2918"/>
      <c r="GL150" s="2918"/>
      <c r="GM150" s="2918"/>
      <c r="GN150" s="2918"/>
      <c r="GO150" s="2918"/>
      <c r="GP150" s="2918"/>
      <c r="GQ150" s="2918"/>
      <c r="GR150" s="2918"/>
      <c r="GS150" s="2918"/>
      <c r="GT150" s="2918"/>
      <c r="GU150" s="2918"/>
      <c r="GV150" s="2918"/>
      <c r="GW150" s="2918"/>
      <c r="GX150" s="2918"/>
      <c r="GY150" s="2918"/>
      <c r="GZ150" s="2918"/>
      <c r="HA150" s="2918"/>
      <c r="HB150" s="2918"/>
      <c r="HC150" s="2918"/>
      <c r="HD150" s="2918"/>
      <c r="HE150" s="2918"/>
      <c r="HF150" s="2918"/>
      <c r="HG150" s="2918"/>
      <c r="HH150" s="2918"/>
      <c r="HI150" s="2918"/>
      <c r="HJ150" s="2918"/>
      <c r="HK150" s="2918"/>
      <c r="HL150" s="2918"/>
      <c r="HM150" s="2918"/>
      <c r="HN150" s="2918"/>
      <c r="HO150" s="2918"/>
      <c r="HP150" s="2918"/>
      <c r="HQ150" s="2918"/>
      <c r="HR150" s="2918"/>
      <c r="HS150" s="2918"/>
      <c r="HT150" s="2918"/>
      <c r="HU150" s="2918"/>
      <c r="HV150" s="2918"/>
      <c r="HW150" s="2918"/>
      <c r="HX150" s="2918"/>
      <c r="HY150" s="2918"/>
      <c r="HZ150" s="2918"/>
      <c r="IA150" s="2918"/>
      <c r="IB150" s="2918"/>
      <c r="IC150" s="2918"/>
      <c r="ID150" s="2918"/>
      <c r="IE150" s="2918"/>
      <c r="IF150" s="2918"/>
      <c r="IG150" s="2918"/>
      <c r="IH150" s="2918"/>
      <c r="II150" s="2918"/>
      <c r="IJ150" s="2918"/>
      <c r="IK150" s="2918"/>
      <c r="IL150" s="2918"/>
      <c r="IM150" s="2918"/>
      <c r="IN150" s="2918"/>
      <c r="IO150" s="2918"/>
      <c r="IP150" s="2918"/>
      <c r="IQ150" s="2918"/>
      <c r="IR150" s="2918"/>
      <c r="IS150" s="2918"/>
      <c r="IT150" s="2918"/>
      <c r="IU150" s="2918"/>
      <c r="IV150" s="2918"/>
    </row>
    <row r="151" spans="1:256" customFormat="1">
      <c r="A151" s="4648"/>
      <c r="B151" s="4653"/>
      <c r="C151" s="2901">
        <v>560</v>
      </c>
      <c r="D151" s="3062" t="s">
        <v>12581</v>
      </c>
      <c r="E151" s="3064"/>
      <c r="F151" s="3064"/>
      <c r="G151" s="3064"/>
      <c r="H151" s="3064"/>
      <c r="I151" s="3069">
        <f t="shared" si="5"/>
        <v>75.406985245753035</v>
      </c>
      <c r="J151" s="2918"/>
      <c r="K151" s="2918"/>
      <c r="L151" s="2918"/>
      <c r="M151" s="2918"/>
      <c r="N151" s="2918"/>
      <c r="O151" s="2918"/>
      <c r="P151" s="2918"/>
      <c r="Q151" s="2918"/>
      <c r="R151" s="2918"/>
      <c r="S151" s="2918"/>
      <c r="T151" s="2918"/>
      <c r="U151" s="2918"/>
      <c r="V151" s="2918"/>
      <c r="W151" s="2918"/>
      <c r="X151" s="2918"/>
      <c r="Y151" s="2918"/>
      <c r="Z151" s="2918"/>
      <c r="AA151" s="2918"/>
      <c r="AB151" s="2918"/>
      <c r="AC151" s="2918"/>
      <c r="AD151" s="2918"/>
      <c r="AE151" s="2918"/>
      <c r="AF151" s="2918"/>
      <c r="AG151" s="2918"/>
      <c r="AH151" s="2918"/>
      <c r="AI151" s="2918"/>
      <c r="AJ151" s="2918"/>
      <c r="AK151" s="2918"/>
      <c r="AL151" s="2918"/>
      <c r="AM151" s="2918"/>
      <c r="AN151" s="2918"/>
      <c r="AO151" s="2918"/>
      <c r="AP151" s="2918"/>
      <c r="AQ151" s="2918"/>
      <c r="AR151" s="2918"/>
      <c r="AS151" s="2918"/>
      <c r="AT151" s="2918"/>
      <c r="AU151" s="2918"/>
      <c r="AV151" s="2918"/>
      <c r="AW151" s="2918"/>
      <c r="AX151" s="2918"/>
      <c r="AY151" s="2918"/>
      <c r="AZ151" s="2918"/>
      <c r="BA151" s="2918"/>
      <c r="BB151" s="2918"/>
      <c r="BC151" s="2918"/>
      <c r="BD151" s="2918"/>
      <c r="BE151" s="2918"/>
      <c r="BF151" s="2918"/>
      <c r="BG151" s="2918"/>
      <c r="BH151" s="2918"/>
      <c r="BI151" s="2918"/>
      <c r="BJ151" s="2918"/>
      <c r="BK151" s="2918"/>
      <c r="BL151" s="2918"/>
      <c r="BM151" s="2918"/>
      <c r="BN151" s="2918"/>
      <c r="BO151" s="2918"/>
      <c r="BP151" s="2918"/>
      <c r="BQ151" s="2918"/>
      <c r="BR151" s="2918"/>
      <c r="BS151" s="2918"/>
      <c r="BT151" s="2918"/>
      <c r="BU151" s="2918"/>
      <c r="BV151" s="2918"/>
      <c r="BW151" s="2918"/>
      <c r="BX151" s="2918"/>
      <c r="BY151" s="2918"/>
      <c r="BZ151" s="2918"/>
      <c r="CA151" s="2918"/>
      <c r="CB151" s="2918"/>
      <c r="CC151" s="2918"/>
      <c r="CD151" s="2918"/>
      <c r="CE151" s="2918"/>
      <c r="CF151" s="2918"/>
      <c r="CG151" s="2918"/>
      <c r="CH151" s="2918"/>
      <c r="CI151" s="2918"/>
      <c r="CJ151" s="2918"/>
      <c r="CK151" s="2918"/>
      <c r="CL151" s="2918"/>
      <c r="CM151" s="2918"/>
      <c r="CN151" s="2918"/>
      <c r="CO151" s="2918"/>
      <c r="CP151" s="2918"/>
      <c r="CQ151" s="2918"/>
      <c r="CR151" s="2918"/>
      <c r="CS151" s="2918"/>
      <c r="CT151" s="2918"/>
      <c r="CU151" s="2918"/>
      <c r="CV151" s="2918"/>
      <c r="CW151" s="2918"/>
      <c r="CX151" s="2918"/>
      <c r="CY151" s="2918"/>
      <c r="CZ151" s="2918"/>
      <c r="DA151" s="2918"/>
      <c r="DB151" s="2918"/>
      <c r="DC151" s="2918"/>
      <c r="DD151" s="2918"/>
      <c r="DE151" s="2918"/>
      <c r="DF151" s="2918"/>
      <c r="DG151" s="2918"/>
      <c r="DH151" s="2918"/>
      <c r="DI151" s="2918"/>
      <c r="DJ151" s="2918"/>
      <c r="DK151" s="2918"/>
      <c r="DL151" s="2918"/>
      <c r="DM151" s="2918"/>
      <c r="DN151" s="2918"/>
      <c r="DO151" s="2918"/>
      <c r="DP151" s="2918"/>
      <c r="DQ151" s="2918"/>
      <c r="DR151" s="2918"/>
      <c r="DS151" s="2918"/>
      <c r="DT151" s="2918"/>
      <c r="DU151" s="2918"/>
      <c r="DV151" s="2918"/>
      <c r="DW151" s="2918"/>
      <c r="DX151" s="2918"/>
      <c r="DY151" s="2918"/>
      <c r="DZ151" s="2918"/>
      <c r="EA151" s="2918"/>
      <c r="EB151" s="2918"/>
      <c r="EC151" s="2918"/>
      <c r="ED151" s="2918"/>
      <c r="EE151" s="2918"/>
      <c r="EF151" s="2918"/>
      <c r="EG151" s="2918"/>
      <c r="EH151" s="2918"/>
      <c r="EI151" s="2918"/>
      <c r="EJ151" s="2918"/>
      <c r="EK151" s="2918"/>
      <c r="EL151" s="2918"/>
      <c r="EM151" s="2918"/>
      <c r="EN151" s="2918"/>
      <c r="EO151" s="2918"/>
      <c r="EP151" s="2918"/>
      <c r="EQ151" s="2918"/>
      <c r="ER151" s="2918"/>
      <c r="ES151" s="2918"/>
      <c r="ET151" s="2918"/>
      <c r="EU151" s="2918"/>
      <c r="EV151" s="2918"/>
      <c r="EW151" s="2918"/>
      <c r="EX151" s="2918"/>
      <c r="EY151" s="2918"/>
      <c r="EZ151" s="2918"/>
      <c r="FA151" s="2918"/>
      <c r="FB151" s="2918"/>
      <c r="FC151" s="2918"/>
      <c r="FD151" s="2918"/>
      <c r="FE151" s="2918"/>
      <c r="FF151" s="2918"/>
      <c r="FG151" s="2918"/>
      <c r="FH151" s="2918"/>
      <c r="FI151" s="2918"/>
      <c r="FJ151" s="2918"/>
      <c r="FK151" s="2918"/>
      <c r="FL151" s="2918"/>
      <c r="FM151" s="2918"/>
      <c r="FN151" s="2918"/>
      <c r="FO151" s="2918"/>
      <c r="FP151" s="2918"/>
      <c r="FQ151" s="2918"/>
      <c r="FR151" s="2918"/>
      <c r="FS151" s="2918"/>
      <c r="FT151" s="2918"/>
      <c r="FU151" s="2918"/>
      <c r="FV151" s="2918"/>
      <c r="FW151" s="2918"/>
      <c r="FX151" s="2918"/>
      <c r="FY151" s="2918"/>
      <c r="FZ151" s="2918"/>
      <c r="GA151" s="2918"/>
      <c r="GB151" s="2918"/>
      <c r="GC151" s="2918"/>
      <c r="GD151" s="2918"/>
      <c r="GE151" s="2918"/>
      <c r="GF151" s="2918"/>
      <c r="GG151" s="2918"/>
      <c r="GH151" s="2918"/>
      <c r="GI151" s="2918"/>
      <c r="GJ151" s="2918"/>
      <c r="GK151" s="2918"/>
      <c r="GL151" s="2918"/>
      <c r="GM151" s="2918"/>
      <c r="GN151" s="2918"/>
      <c r="GO151" s="2918"/>
      <c r="GP151" s="2918"/>
      <c r="GQ151" s="2918"/>
      <c r="GR151" s="2918"/>
      <c r="GS151" s="2918"/>
      <c r="GT151" s="2918"/>
      <c r="GU151" s="2918"/>
      <c r="GV151" s="2918"/>
      <c r="GW151" s="2918"/>
      <c r="GX151" s="2918"/>
      <c r="GY151" s="2918"/>
      <c r="GZ151" s="2918"/>
      <c r="HA151" s="2918"/>
      <c r="HB151" s="2918"/>
      <c r="HC151" s="2918"/>
      <c r="HD151" s="2918"/>
      <c r="HE151" s="2918"/>
      <c r="HF151" s="2918"/>
      <c r="HG151" s="2918"/>
      <c r="HH151" s="2918"/>
      <c r="HI151" s="2918"/>
      <c r="HJ151" s="2918"/>
      <c r="HK151" s="2918"/>
      <c r="HL151" s="2918"/>
      <c r="HM151" s="2918"/>
      <c r="HN151" s="2918"/>
      <c r="HO151" s="2918"/>
      <c r="HP151" s="2918"/>
      <c r="HQ151" s="2918"/>
      <c r="HR151" s="2918"/>
      <c r="HS151" s="2918"/>
      <c r="HT151" s="2918"/>
      <c r="HU151" s="2918"/>
      <c r="HV151" s="2918"/>
      <c r="HW151" s="2918"/>
      <c r="HX151" s="2918"/>
      <c r="HY151" s="2918"/>
      <c r="HZ151" s="2918"/>
      <c r="IA151" s="2918"/>
      <c r="IB151" s="2918"/>
      <c r="IC151" s="2918"/>
      <c r="ID151" s="2918"/>
      <c r="IE151" s="2918"/>
      <c r="IF151" s="2918"/>
      <c r="IG151" s="2918"/>
      <c r="IH151" s="2918"/>
      <c r="II151" s="2918"/>
      <c r="IJ151" s="2918"/>
      <c r="IK151" s="2918"/>
      <c r="IL151" s="2918"/>
      <c r="IM151" s="2918"/>
      <c r="IN151" s="2918"/>
      <c r="IO151" s="2918"/>
      <c r="IP151" s="2918"/>
      <c r="IQ151" s="2918"/>
      <c r="IR151" s="2918"/>
      <c r="IS151" s="2918"/>
      <c r="IT151" s="2918"/>
      <c r="IU151" s="2918"/>
      <c r="IV151" s="2918"/>
    </row>
    <row r="152" spans="1:256" customFormat="1">
      <c r="A152" s="4648"/>
      <c r="B152" s="4653"/>
      <c r="C152" s="2901">
        <v>580</v>
      </c>
      <c r="D152" s="3062" t="s">
        <v>12581</v>
      </c>
      <c r="E152" s="3064"/>
      <c r="F152" s="3064"/>
      <c r="G152" s="3064"/>
      <c r="H152" s="3064"/>
      <c r="I152" s="3069">
        <f t="shared" si="5"/>
        <v>78.066843631846638</v>
      </c>
      <c r="J152" s="2918"/>
      <c r="K152" s="2918"/>
      <c r="L152" s="2918"/>
      <c r="M152" s="2918"/>
      <c r="N152" s="2918"/>
      <c r="O152" s="2918"/>
      <c r="P152" s="2918"/>
      <c r="Q152" s="2918"/>
      <c r="R152" s="2918"/>
      <c r="S152" s="2918"/>
      <c r="T152" s="2918"/>
      <c r="U152" s="2918"/>
      <c r="V152" s="2918"/>
      <c r="W152" s="2918"/>
      <c r="X152" s="2918"/>
      <c r="Y152" s="2918"/>
      <c r="Z152" s="2918"/>
      <c r="AA152" s="2918"/>
      <c r="AB152" s="2918"/>
      <c r="AC152" s="2918"/>
      <c r="AD152" s="2918"/>
      <c r="AE152" s="2918"/>
      <c r="AF152" s="2918"/>
      <c r="AG152" s="2918"/>
      <c r="AH152" s="2918"/>
      <c r="AI152" s="2918"/>
      <c r="AJ152" s="2918"/>
      <c r="AK152" s="2918"/>
      <c r="AL152" s="2918"/>
      <c r="AM152" s="2918"/>
      <c r="AN152" s="2918"/>
      <c r="AO152" s="2918"/>
      <c r="AP152" s="2918"/>
      <c r="AQ152" s="2918"/>
      <c r="AR152" s="2918"/>
      <c r="AS152" s="2918"/>
      <c r="AT152" s="2918"/>
      <c r="AU152" s="2918"/>
      <c r="AV152" s="2918"/>
      <c r="AW152" s="2918"/>
      <c r="AX152" s="2918"/>
      <c r="AY152" s="2918"/>
      <c r="AZ152" s="2918"/>
      <c r="BA152" s="2918"/>
      <c r="BB152" s="2918"/>
      <c r="BC152" s="2918"/>
      <c r="BD152" s="2918"/>
      <c r="BE152" s="2918"/>
      <c r="BF152" s="2918"/>
      <c r="BG152" s="2918"/>
      <c r="BH152" s="2918"/>
      <c r="BI152" s="2918"/>
      <c r="BJ152" s="2918"/>
      <c r="BK152" s="2918"/>
      <c r="BL152" s="2918"/>
      <c r="BM152" s="2918"/>
      <c r="BN152" s="2918"/>
      <c r="BO152" s="2918"/>
      <c r="BP152" s="2918"/>
      <c r="BQ152" s="2918"/>
      <c r="BR152" s="2918"/>
      <c r="BS152" s="2918"/>
      <c r="BT152" s="2918"/>
      <c r="BU152" s="2918"/>
      <c r="BV152" s="2918"/>
      <c r="BW152" s="2918"/>
      <c r="BX152" s="2918"/>
      <c r="BY152" s="2918"/>
      <c r="BZ152" s="2918"/>
      <c r="CA152" s="2918"/>
      <c r="CB152" s="2918"/>
      <c r="CC152" s="2918"/>
      <c r="CD152" s="2918"/>
      <c r="CE152" s="2918"/>
      <c r="CF152" s="2918"/>
      <c r="CG152" s="2918"/>
      <c r="CH152" s="2918"/>
      <c r="CI152" s="2918"/>
      <c r="CJ152" s="2918"/>
      <c r="CK152" s="2918"/>
      <c r="CL152" s="2918"/>
      <c r="CM152" s="2918"/>
      <c r="CN152" s="2918"/>
      <c r="CO152" s="2918"/>
      <c r="CP152" s="2918"/>
      <c r="CQ152" s="2918"/>
      <c r="CR152" s="2918"/>
      <c r="CS152" s="2918"/>
      <c r="CT152" s="2918"/>
      <c r="CU152" s="2918"/>
      <c r="CV152" s="2918"/>
      <c r="CW152" s="2918"/>
      <c r="CX152" s="2918"/>
      <c r="CY152" s="2918"/>
      <c r="CZ152" s="2918"/>
      <c r="DA152" s="2918"/>
      <c r="DB152" s="2918"/>
      <c r="DC152" s="2918"/>
      <c r="DD152" s="2918"/>
      <c r="DE152" s="2918"/>
      <c r="DF152" s="2918"/>
      <c r="DG152" s="2918"/>
      <c r="DH152" s="2918"/>
      <c r="DI152" s="2918"/>
      <c r="DJ152" s="2918"/>
      <c r="DK152" s="2918"/>
      <c r="DL152" s="2918"/>
      <c r="DM152" s="2918"/>
      <c r="DN152" s="2918"/>
      <c r="DO152" s="2918"/>
      <c r="DP152" s="2918"/>
      <c r="DQ152" s="2918"/>
      <c r="DR152" s="2918"/>
      <c r="DS152" s="2918"/>
      <c r="DT152" s="2918"/>
      <c r="DU152" s="2918"/>
      <c r="DV152" s="2918"/>
      <c r="DW152" s="2918"/>
      <c r="DX152" s="2918"/>
      <c r="DY152" s="2918"/>
      <c r="DZ152" s="2918"/>
      <c r="EA152" s="2918"/>
      <c r="EB152" s="2918"/>
      <c r="EC152" s="2918"/>
      <c r="ED152" s="2918"/>
      <c r="EE152" s="2918"/>
      <c r="EF152" s="2918"/>
      <c r="EG152" s="2918"/>
      <c r="EH152" s="2918"/>
      <c r="EI152" s="2918"/>
      <c r="EJ152" s="2918"/>
      <c r="EK152" s="2918"/>
      <c r="EL152" s="2918"/>
      <c r="EM152" s="2918"/>
      <c r="EN152" s="2918"/>
      <c r="EO152" s="2918"/>
      <c r="EP152" s="2918"/>
      <c r="EQ152" s="2918"/>
      <c r="ER152" s="2918"/>
      <c r="ES152" s="2918"/>
      <c r="ET152" s="2918"/>
      <c r="EU152" s="2918"/>
      <c r="EV152" s="2918"/>
      <c r="EW152" s="2918"/>
      <c r="EX152" s="2918"/>
      <c r="EY152" s="2918"/>
      <c r="EZ152" s="2918"/>
      <c r="FA152" s="2918"/>
      <c r="FB152" s="2918"/>
      <c r="FC152" s="2918"/>
      <c r="FD152" s="2918"/>
      <c r="FE152" s="2918"/>
      <c r="FF152" s="2918"/>
      <c r="FG152" s="2918"/>
      <c r="FH152" s="2918"/>
      <c r="FI152" s="2918"/>
      <c r="FJ152" s="2918"/>
      <c r="FK152" s="2918"/>
      <c r="FL152" s="2918"/>
      <c r="FM152" s="2918"/>
      <c r="FN152" s="2918"/>
      <c r="FO152" s="2918"/>
      <c r="FP152" s="2918"/>
      <c r="FQ152" s="2918"/>
      <c r="FR152" s="2918"/>
      <c r="FS152" s="2918"/>
      <c r="FT152" s="2918"/>
      <c r="FU152" s="2918"/>
      <c r="FV152" s="2918"/>
      <c r="FW152" s="2918"/>
      <c r="FX152" s="2918"/>
      <c r="FY152" s="2918"/>
      <c r="FZ152" s="2918"/>
      <c r="GA152" s="2918"/>
      <c r="GB152" s="2918"/>
      <c r="GC152" s="2918"/>
      <c r="GD152" s="2918"/>
      <c r="GE152" s="2918"/>
      <c r="GF152" s="2918"/>
      <c r="GG152" s="2918"/>
      <c r="GH152" s="2918"/>
      <c r="GI152" s="2918"/>
      <c r="GJ152" s="2918"/>
      <c r="GK152" s="2918"/>
      <c r="GL152" s="2918"/>
      <c r="GM152" s="2918"/>
      <c r="GN152" s="2918"/>
      <c r="GO152" s="2918"/>
      <c r="GP152" s="2918"/>
      <c r="GQ152" s="2918"/>
      <c r="GR152" s="2918"/>
      <c r="GS152" s="2918"/>
      <c r="GT152" s="2918"/>
      <c r="GU152" s="2918"/>
      <c r="GV152" s="2918"/>
      <c r="GW152" s="2918"/>
      <c r="GX152" s="2918"/>
      <c r="GY152" s="2918"/>
      <c r="GZ152" s="2918"/>
      <c r="HA152" s="2918"/>
      <c r="HB152" s="2918"/>
      <c r="HC152" s="2918"/>
      <c r="HD152" s="2918"/>
      <c r="HE152" s="2918"/>
      <c r="HF152" s="2918"/>
      <c r="HG152" s="2918"/>
      <c r="HH152" s="2918"/>
      <c r="HI152" s="2918"/>
      <c r="HJ152" s="2918"/>
      <c r="HK152" s="2918"/>
      <c r="HL152" s="2918"/>
      <c r="HM152" s="2918"/>
      <c r="HN152" s="2918"/>
      <c r="HO152" s="2918"/>
      <c r="HP152" s="2918"/>
      <c r="HQ152" s="2918"/>
      <c r="HR152" s="2918"/>
      <c r="HS152" s="2918"/>
      <c r="HT152" s="2918"/>
      <c r="HU152" s="2918"/>
      <c r="HV152" s="2918"/>
      <c r="HW152" s="2918"/>
      <c r="HX152" s="2918"/>
      <c r="HY152" s="2918"/>
      <c r="HZ152" s="2918"/>
      <c r="IA152" s="2918"/>
      <c r="IB152" s="2918"/>
      <c r="IC152" s="2918"/>
      <c r="ID152" s="2918"/>
      <c r="IE152" s="2918"/>
      <c r="IF152" s="2918"/>
      <c r="IG152" s="2918"/>
      <c r="IH152" s="2918"/>
      <c r="II152" s="2918"/>
      <c r="IJ152" s="2918"/>
      <c r="IK152" s="2918"/>
      <c r="IL152" s="2918"/>
      <c r="IM152" s="2918"/>
      <c r="IN152" s="2918"/>
      <c r="IO152" s="2918"/>
      <c r="IP152" s="2918"/>
      <c r="IQ152" s="2918"/>
      <c r="IR152" s="2918"/>
      <c r="IS152" s="2918"/>
      <c r="IT152" s="2918"/>
      <c r="IU152" s="2918"/>
      <c r="IV152" s="2918"/>
    </row>
    <row r="153" spans="1:256" customFormat="1">
      <c r="A153" s="4648"/>
      <c r="B153" s="4653"/>
      <c r="C153" s="2901">
        <v>600</v>
      </c>
      <c r="D153" s="3062" t="s">
        <v>12581</v>
      </c>
      <c r="E153" s="3064"/>
      <c r="F153" s="3064"/>
      <c r="G153" s="3064"/>
      <c r="H153" s="3064"/>
      <c r="I153" s="3069">
        <f t="shared" si="5"/>
        <v>80.726702017940212</v>
      </c>
      <c r="J153" s="2918"/>
      <c r="K153" s="2918"/>
      <c r="L153" s="2918"/>
      <c r="M153" s="2918"/>
      <c r="N153" s="2918"/>
      <c r="O153" s="2918"/>
      <c r="P153" s="2918"/>
      <c r="Q153" s="2918"/>
      <c r="R153" s="2918"/>
      <c r="S153" s="2918"/>
      <c r="T153" s="2918"/>
      <c r="U153" s="2918"/>
      <c r="V153" s="2918"/>
      <c r="W153" s="2918"/>
      <c r="X153" s="2918"/>
      <c r="Y153" s="2918"/>
      <c r="Z153" s="2918"/>
      <c r="AA153" s="2918"/>
      <c r="AB153" s="2918"/>
      <c r="AC153" s="2918"/>
      <c r="AD153" s="2918"/>
      <c r="AE153" s="2918"/>
      <c r="AF153" s="2918"/>
      <c r="AG153" s="2918"/>
      <c r="AH153" s="2918"/>
      <c r="AI153" s="2918"/>
      <c r="AJ153" s="2918"/>
      <c r="AK153" s="2918"/>
      <c r="AL153" s="2918"/>
      <c r="AM153" s="2918"/>
      <c r="AN153" s="2918"/>
      <c r="AO153" s="2918"/>
      <c r="AP153" s="2918"/>
      <c r="AQ153" s="2918"/>
      <c r="AR153" s="2918"/>
      <c r="AS153" s="2918"/>
      <c r="AT153" s="2918"/>
      <c r="AU153" s="2918"/>
      <c r="AV153" s="2918"/>
      <c r="AW153" s="2918"/>
      <c r="AX153" s="2918"/>
      <c r="AY153" s="2918"/>
      <c r="AZ153" s="2918"/>
      <c r="BA153" s="2918"/>
      <c r="BB153" s="2918"/>
      <c r="BC153" s="2918"/>
      <c r="BD153" s="2918"/>
      <c r="BE153" s="2918"/>
      <c r="BF153" s="2918"/>
      <c r="BG153" s="2918"/>
      <c r="BH153" s="2918"/>
      <c r="BI153" s="2918"/>
      <c r="BJ153" s="2918"/>
      <c r="BK153" s="2918"/>
      <c r="BL153" s="2918"/>
      <c r="BM153" s="2918"/>
      <c r="BN153" s="2918"/>
      <c r="BO153" s="2918"/>
      <c r="BP153" s="2918"/>
      <c r="BQ153" s="2918"/>
      <c r="BR153" s="2918"/>
      <c r="BS153" s="2918"/>
      <c r="BT153" s="2918"/>
      <c r="BU153" s="2918"/>
      <c r="BV153" s="2918"/>
      <c r="BW153" s="2918"/>
      <c r="BX153" s="2918"/>
      <c r="BY153" s="2918"/>
      <c r="BZ153" s="2918"/>
      <c r="CA153" s="2918"/>
      <c r="CB153" s="2918"/>
      <c r="CC153" s="2918"/>
      <c r="CD153" s="2918"/>
      <c r="CE153" s="2918"/>
      <c r="CF153" s="2918"/>
      <c r="CG153" s="2918"/>
      <c r="CH153" s="2918"/>
      <c r="CI153" s="2918"/>
      <c r="CJ153" s="2918"/>
      <c r="CK153" s="2918"/>
      <c r="CL153" s="2918"/>
      <c r="CM153" s="2918"/>
      <c r="CN153" s="2918"/>
      <c r="CO153" s="2918"/>
      <c r="CP153" s="2918"/>
      <c r="CQ153" s="2918"/>
      <c r="CR153" s="2918"/>
      <c r="CS153" s="2918"/>
      <c r="CT153" s="2918"/>
      <c r="CU153" s="2918"/>
      <c r="CV153" s="2918"/>
      <c r="CW153" s="2918"/>
      <c r="CX153" s="2918"/>
      <c r="CY153" s="2918"/>
      <c r="CZ153" s="2918"/>
      <c r="DA153" s="2918"/>
      <c r="DB153" s="2918"/>
      <c r="DC153" s="2918"/>
      <c r="DD153" s="2918"/>
      <c r="DE153" s="2918"/>
      <c r="DF153" s="2918"/>
      <c r="DG153" s="2918"/>
      <c r="DH153" s="2918"/>
      <c r="DI153" s="2918"/>
      <c r="DJ153" s="2918"/>
      <c r="DK153" s="2918"/>
      <c r="DL153" s="2918"/>
      <c r="DM153" s="2918"/>
      <c r="DN153" s="2918"/>
      <c r="DO153" s="2918"/>
      <c r="DP153" s="2918"/>
      <c r="DQ153" s="2918"/>
      <c r="DR153" s="2918"/>
      <c r="DS153" s="2918"/>
      <c r="DT153" s="2918"/>
      <c r="DU153" s="2918"/>
      <c r="DV153" s="2918"/>
      <c r="DW153" s="2918"/>
      <c r="DX153" s="2918"/>
      <c r="DY153" s="2918"/>
      <c r="DZ153" s="2918"/>
      <c r="EA153" s="2918"/>
      <c r="EB153" s="2918"/>
      <c r="EC153" s="2918"/>
      <c r="ED153" s="2918"/>
      <c r="EE153" s="2918"/>
      <c r="EF153" s="2918"/>
      <c r="EG153" s="2918"/>
      <c r="EH153" s="2918"/>
      <c r="EI153" s="2918"/>
      <c r="EJ153" s="2918"/>
      <c r="EK153" s="2918"/>
      <c r="EL153" s="2918"/>
      <c r="EM153" s="2918"/>
      <c r="EN153" s="2918"/>
      <c r="EO153" s="2918"/>
      <c r="EP153" s="2918"/>
      <c r="EQ153" s="2918"/>
      <c r="ER153" s="2918"/>
      <c r="ES153" s="2918"/>
      <c r="ET153" s="2918"/>
      <c r="EU153" s="2918"/>
      <c r="EV153" s="2918"/>
      <c r="EW153" s="2918"/>
      <c r="EX153" s="2918"/>
      <c r="EY153" s="2918"/>
      <c r="EZ153" s="2918"/>
      <c r="FA153" s="2918"/>
      <c r="FB153" s="2918"/>
      <c r="FC153" s="2918"/>
      <c r="FD153" s="2918"/>
      <c r="FE153" s="2918"/>
      <c r="FF153" s="2918"/>
      <c r="FG153" s="2918"/>
      <c r="FH153" s="2918"/>
      <c r="FI153" s="2918"/>
      <c r="FJ153" s="2918"/>
      <c r="FK153" s="2918"/>
      <c r="FL153" s="2918"/>
      <c r="FM153" s="2918"/>
      <c r="FN153" s="2918"/>
      <c r="FO153" s="2918"/>
      <c r="FP153" s="2918"/>
      <c r="FQ153" s="2918"/>
      <c r="FR153" s="2918"/>
      <c r="FS153" s="2918"/>
      <c r="FT153" s="2918"/>
      <c r="FU153" s="2918"/>
      <c r="FV153" s="2918"/>
      <c r="FW153" s="2918"/>
      <c r="FX153" s="2918"/>
      <c r="FY153" s="2918"/>
      <c r="FZ153" s="2918"/>
      <c r="GA153" s="2918"/>
      <c r="GB153" s="2918"/>
      <c r="GC153" s="2918"/>
      <c r="GD153" s="2918"/>
      <c r="GE153" s="2918"/>
      <c r="GF153" s="2918"/>
      <c r="GG153" s="2918"/>
      <c r="GH153" s="2918"/>
      <c r="GI153" s="2918"/>
      <c r="GJ153" s="2918"/>
      <c r="GK153" s="2918"/>
      <c r="GL153" s="2918"/>
      <c r="GM153" s="2918"/>
      <c r="GN153" s="2918"/>
      <c r="GO153" s="2918"/>
      <c r="GP153" s="2918"/>
      <c r="GQ153" s="2918"/>
      <c r="GR153" s="2918"/>
      <c r="GS153" s="2918"/>
      <c r="GT153" s="2918"/>
      <c r="GU153" s="2918"/>
      <c r="GV153" s="2918"/>
      <c r="GW153" s="2918"/>
      <c r="GX153" s="2918"/>
      <c r="GY153" s="2918"/>
      <c r="GZ153" s="2918"/>
      <c r="HA153" s="2918"/>
      <c r="HB153" s="2918"/>
      <c r="HC153" s="2918"/>
      <c r="HD153" s="2918"/>
      <c r="HE153" s="2918"/>
      <c r="HF153" s="2918"/>
      <c r="HG153" s="2918"/>
      <c r="HH153" s="2918"/>
      <c r="HI153" s="2918"/>
      <c r="HJ153" s="2918"/>
      <c r="HK153" s="2918"/>
      <c r="HL153" s="2918"/>
      <c r="HM153" s="2918"/>
      <c r="HN153" s="2918"/>
      <c r="HO153" s="2918"/>
      <c r="HP153" s="2918"/>
      <c r="HQ153" s="2918"/>
      <c r="HR153" s="2918"/>
      <c r="HS153" s="2918"/>
      <c r="HT153" s="2918"/>
      <c r="HU153" s="2918"/>
      <c r="HV153" s="2918"/>
      <c r="HW153" s="2918"/>
      <c r="HX153" s="2918"/>
      <c r="HY153" s="2918"/>
      <c r="HZ153" s="2918"/>
      <c r="IA153" s="2918"/>
      <c r="IB153" s="2918"/>
      <c r="IC153" s="2918"/>
      <c r="ID153" s="2918"/>
      <c r="IE153" s="2918"/>
      <c r="IF153" s="2918"/>
      <c r="IG153" s="2918"/>
      <c r="IH153" s="2918"/>
      <c r="II153" s="2918"/>
      <c r="IJ153" s="2918"/>
      <c r="IK153" s="2918"/>
      <c r="IL153" s="2918"/>
      <c r="IM153" s="2918"/>
      <c r="IN153" s="2918"/>
      <c r="IO153" s="2918"/>
      <c r="IP153" s="2918"/>
      <c r="IQ153" s="2918"/>
      <c r="IR153" s="2918"/>
      <c r="IS153" s="2918"/>
      <c r="IT153" s="2918"/>
      <c r="IU153" s="2918"/>
      <c r="IV153" s="2918"/>
    </row>
    <row r="154" spans="1:256" customFormat="1">
      <c r="A154" s="4648"/>
      <c r="B154" s="4653"/>
      <c r="C154" s="2901">
        <v>615</v>
      </c>
      <c r="D154" s="3062" t="s">
        <v>12581</v>
      </c>
      <c r="E154" s="3064"/>
      <c r="F154" s="3064"/>
      <c r="G154" s="3064"/>
      <c r="H154" s="3064"/>
      <c r="I154" s="3069">
        <f t="shared" si="5"/>
        <v>82.721595807510397</v>
      </c>
      <c r="J154" s="2918"/>
      <c r="K154" s="2918"/>
      <c r="L154" s="2918"/>
      <c r="M154" s="2918"/>
      <c r="N154" s="2918"/>
      <c r="O154" s="2918"/>
      <c r="P154" s="2918"/>
      <c r="Q154" s="2918"/>
      <c r="R154" s="2918"/>
      <c r="S154" s="2918"/>
      <c r="T154" s="2918"/>
      <c r="U154" s="2918"/>
      <c r="V154" s="2918"/>
      <c r="W154" s="2918"/>
      <c r="X154" s="2918"/>
      <c r="Y154" s="2918"/>
      <c r="Z154" s="2918"/>
      <c r="AA154" s="2918"/>
      <c r="AB154" s="2918"/>
      <c r="AC154" s="2918"/>
      <c r="AD154" s="2918"/>
      <c r="AE154" s="2918"/>
      <c r="AF154" s="2918"/>
      <c r="AG154" s="2918"/>
      <c r="AH154" s="2918"/>
      <c r="AI154" s="2918"/>
      <c r="AJ154" s="2918"/>
      <c r="AK154" s="2918"/>
      <c r="AL154" s="2918"/>
      <c r="AM154" s="2918"/>
      <c r="AN154" s="2918"/>
      <c r="AO154" s="2918"/>
      <c r="AP154" s="2918"/>
      <c r="AQ154" s="2918"/>
      <c r="AR154" s="2918"/>
      <c r="AS154" s="2918"/>
      <c r="AT154" s="2918"/>
      <c r="AU154" s="2918"/>
      <c r="AV154" s="2918"/>
      <c r="AW154" s="2918"/>
      <c r="AX154" s="2918"/>
      <c r="AY154" s="2918"/>
      <c r="AZ154" s="2918"/>
      <c r="BA154" s="2918"/>
      <c r="BB154" s="2918"/>
      <c r="BC154" s="2918"/>
      <c r="BD154" s="2918"/>
      <c r="BE154" s="2918"/>
      <c r="BF154" s="2918"/>
      <c r="BG154" s="2918"/>
      <c r="BH154" s="2918"/>
      <c r="BI154" s="2918"/>
      <c r="BJ154" s="2918"/>
      <c r="BK154" s="2918"/>
      <c r="BL154" s="2918"/>
      <c r="BM154" s="2918"/>
      <c r="BN154" s="2918"/>
      <c r="BO154" s="2918"/>
      <c r="BP154" s="2918"/>
      <c r="BQ154" s="2918"/>
      <c r="BR154" s="2918"/>
      <c r="BS154" s="2918"/>
      <c r="BT154" s="2918"/>
      <c r="BU154" s="2918"/>
      <c r="BV154" s="2918"/>
      <c r="BW154" s="2918"/>
      <c r="BX154" s="2918"/>
      <c r="BY154" s="2918"/>
      <c r="BZ154" s="2918"/>
      <c r="CA154" s="2918"/>
      <c r="CB154" s="2918"/>
      <c r="CC154" s="2918"/>
      <c r="CD154" s="2918"/>
      <c r="CE154" s="2918"/>
      <c r="CF154" s="2918"/>
      <c r="CG154" s="2918"/>
      <c r="CH154" s="2918"/>
      <c r="CI154" s="2918"/>
      <c r="CJ154" s="2918"/>
      <c r="CK154" s="2918"/>
      <c r="CL154" s="2918"/>
      <c r="CM154" s="2918"/>
      <c r="CN154" s="2918"/>
      <c r="CO154" s="2918"/>
      <c r="CP154" s="2918"/>
      <c r="CQ154" s="2918"/>
      <c r="CR154" s="2918"/>
      <c r="CS154" s="2918"/>
      <c r="CT154" s="2918"/>
      <c r="CU154" s="2918"/>
      <c r="CV154" s="2918"/>
      <c r="CW154" s="2918"/>
      <c r="CX154" s="2918"/>
      <c r="CY154" s="2918"/>
      <c r="CZ154" s="2918"/>
      <c r="DA154" s="2918"/>
      <c r="DB154" s="2918"/>
      <c r="DC154" s="2918"/>
      <c r="DD154" s="2918"/>
      <c r="DE154" s="2918"/>
      <c r="DF154" s="2918"/>
      <c r="DG154" s="2918"/>
      <c r="DH154" s="2918"/>
      <c r="DI154" s="2918"/>
      <c r="DJ154" s="2918"/>
      <c r="DK154" s="2918"/>
      <c r="DL154" s="2918"/>
      <c r="DM154" s="2918"/>
      <c r="DN154" s="2918"/>
      <c r="DO154" s="2918"/>
      <c r="DP154" s="2918"/>
      <c r="DQ154" s="2918"/>
      <c r="DR154" s="2918"/>
      <c r="DS154" s="2918"/>
      <c r="DT154" s="2918"/>
      <c r="DU154" s="2918"/>
      <c r="DV154" s="2918"/>
      <c r="DW154" s="2918"/>
      <c r="DX154" s="2918"/>
      <c r="DY154" s="2918"/>
      <c r="DZ154" s="2918"/>
      <c r="EA154" s="2918"/>
      <c r="EB154" s="2918"/>
      <c r="EC154" s="2918"/>
      <c r="ED154" s="2918"/>
      <c r="EE154" s="2918"/>
      <c r="EF154" s="2918"/>
      <c r="EG154" s="2918"/>
      <c r="EH154" s="2918"/>
      <c r="EI154" s="2918"/>
      <c r="EJ154" s="2918"/>
      <c r="EK154" s="2918"/>
      <c r="EL154" s="2918"/>
      <c r="EM154" s="2918"/>
      <c r="EN154" s="2918"/>
      <c r="EO154" s="2918"/>
      <c r="EP154" s="2918"/>
      <c r="EQ154" s="2918"/>
      <c r="ER154" s="2918"/>
      <c r="ES154" s="2918"/>
      <c r="ET154" s="2918"/>
      <c r="EU154" s="2918"/>
      <c r="EV154" s="2918"/>
      <c r="EW154" s="2918"/>
      <c r="EX154" s="2918"/>
      <c r="EY154" s="2918"/>
      <c r="EZ154" s="2918"/>
      <c r="FA154" s="2918"/>
      <c r="FB154" s="2918"/>
      <c r="FC154" s="2918"/>
      <c r="FD154" s="2918"/>
      <c r="FE154" s="2918"/>
      <c r="FF154" s="2918"/>
      <c r="FG154" s="2918"/>
      <c r="FH154" s="2918"/>
      <c r="FI154" s="2918"/>
      <c r="FJ154" s="2918"/>
      <c r="FK154" s="2918"/>
      <c r="FL154" s="2918"/>
      <c r="FM154" s="2918"/>
      <c r="FN154" s="2918"/>
      <c r="FO154" s="2918"/>
      <c r="FP154" s="2918"/>
      <c r="FQ154" s="2918"/>
      <c r="FR154" s="2918"/>
      <c r="FS154" s="2918"/>
      <c r="FT154" s="2918"/>
      <c r="FU154" s="2918"/>
      <c r="FV154" s="2918"/>
      <c r="FW154" s="2918"/>
      <c r="FX154" s="2918"/>
      <c r="FY154" s="2918"/>
      <c r="FZ154" s="2918"/>
      <c r="GA154" s="2918"/>
      <c r="GB154" s="2918"/>
      <c r="GC154" s="2918"/>
      <c r="GD154" s="2918"/>
      <c r="GE154" s="2918"/>
      <c r="GF154" s="2918"/>
      <c r="GG154" s="2918"/>
      <c r="GH154" s="2918"/>
      <c r="GI154" s="2918"/>
      <c r="GJ154" s="2918"/>
      <c r="GK154" s="2918"/>
      <c r="GL154" s="2918"/>
      <c r="GM154" s="2918"/>
      <c r="GN154" s="2918"/>
      <c r="GO154" s="2918"/>
      <c r="GP154" s="2918"/>
      <c r="GQ154" s="2918"/>
      <c r="GR154" s="2918"/>
      <c r="GS154" s="2918"/>
      <c r="GT154" s="2918"/>
      <c r="GU154" s="2918"/>
      <c r="GV154" s="2918"/>
      <c r="GW154" s="2918"/>
      <c r="GX154" s="2918"/>
      <c r="GY154" s="2918"/>
      <c r="GZ154" s="2918"/>
      <c r="HA154" s="2918"/>
      <c r="HB154" s="2918"/>
      <c r="HC154" s="2918"/>
      <c r="HD154" s="2918"/>
      <c r="HE154" s="2918"/>
      <c r="HF154" s="2918"/>
      <c r="HG154" s="2918"/>
      <c r="HH154" s="2918"/>
      <c r="HI154" s="2918"/>
      <c r="HJ154" s="2918"/>
      <c r="HK154" s="2918"/>
      <c r="HL154" s="2918"/>
      <c r="HM154" s="2918"/>
      <c r="HN154" s="2918"/>
      <c r="HO154" s="2918"/>
      <c r="HP154" s="2918"/>
      <c r="HQ154" s="2918"/>
      <c r="HR154" s="2918"/>
      <c r="HS154" s="2918"/>
      <c r="HT154" s="2918"/>
      <c r="HU154" s="2918"/>
      <c r="HV154" s="2918"/>
      <c r="HW154" s="2918"/>
      <c r="HX154" s="2918"/>
      <c r="HY154" s="2918"/>
      <c r="HZ154" s="2918"/>
      <c r="IA154" s="2918"/>
      <c r="IB154" s="2918"/>
      <c r="IC154" s="2918"/>
      <c r="ID154" s="2918"/>
      <c r="IE154" s="2918"/>
      <c r="IF154" s="2918"/>
      <c r="IG154" s="2918"/>
      <c r="IH154" s="2918"/>
      <c r="II154" s="2918"/>
      <c r="IJ154" s="2918"/>
      <c r="IK154" s="2918"/>
      <c r="IL154" s="2918"/>
      <c r="IM154" s="2918"/>
      <c r="IN154" s="2918"/>
      <c r="IO154" s="2918"/>
      <c r="IP154" s="2918"/>
      <c r="IQ154" s="2918"/>
      <c r="IR154" s="2918"/>
      <c r="IS154" s="2918"/>
      <c r="IT154" s="2918"/>
      <c r="IU154" s="2918"/>
      <c r="IV154" s="2918"/>
    </row>
    <row r="155" spans="1:256" customFormat="1">
      <c r="A155" s="4648"/>
      <c r="B155" s="4653"/>
      <c r="C155" s="2901">
        <v>630</v>
      </c>
      <c r="D155" s="3062" t="s">
        <v>12581</v>
      </c>
      <c r="E155" s="3064"/>
      <c r="F155" s="3064"/>
      <c r="G155" s="3064"/>
      <c r="H155" s="3064"/>
      <c r="I155" s="3069">
        <f t="shared" si="5"/>
        <v>84.716489597080596</v>
      </c>
      <c r="J155" s="2918"/>
      <c r="K155" s="2918"/>
      <c r="L155" s="2918"/>
      <c r="M155" s="2918"/>
      <c r="N155" s="2918"/>
      <c r="O155" s="2918"/>
      <c r="P155" s="2918"/>
      <c r="Q155" s="2918"/>
      <c r="R155" s="2918"/>
      <c r="S155" s="2918"/>
      <c r="T155" s="2918"/>
      <c r="U155" s="2918"/>
      <c r="V155" s="2918"/>
      <c r="W155" s="2918"/>
      <c r="X155" s="2918"/>
      <c r="Y155" s="2918"/>
      <c r="Z155" s="2918"/>
      <c r="AA155" s="2918"/>
      <c r="AB155" s="2918"/>
      <c r="AC155" s="2918"/>
      <c r="AD155" s="2918"/>
      <c r="AE155" s="2918"/>
      <c r="AF155" s="2918"/>
      <c r="AG155" s="2918"/>
      <c r="AH155" s="2918"/>
      <c r="AI155" s="2918"/>
      <c r="AJ155" s="2918"/>
      <c r="AK155" s="2918"/>
      <c r="AL155" s="2918"/>
      <c r="AM155" s="2918"/>
      <c r="AN155" s="2918"/>
      <c r="AO155" s="2918"/>
      <c r="AP155" s="2918"/>
      <c r="AQ155" s="2918"/>
      <c r="AR155" s="2918"/>
      <c r="AS155" s="2918"/>
      <c r="AT155" s="2918"/>
      <c r="AU155" s="2918"/>
      <c r="AV155" s="2918"/>
      <c r="AW155" s="2918"/>
      <c r="AX155" s="2918"/>
      <c r="AY155" s="2918"/>
      <c r="AZ155" s="2918"/>
      <c r="BA155" s="2918"/>
      <c r="BB155" s="2918"/>
      <c r="BC155" s="2918"/>
      <c r="BD155" s="2918"/>
      <c r="BE155" s="2918"/>
      <c r="BF155" s="2918"/>
      <c r="BG155" s="2918"/>
      <c r="BH155" s="2918"/>
      <c r="BI155" s="2918"/>
      <c r="BJ155" s="2918"/>
      <c r="BK155" s="2918"/>
      <c r="BL155" s="2918"/>
      <c r="BM155" s="2918"/>
      <c r="BN155" s="2918"/>
      <c r="BO155" s="2918"/>
      <c r="BP155" s="2918"/>
      <c r="BQ155" s="2918"/>
      <c r="BR155" s="2918"/>
      <c r="BS155" s="2918"/>
      <c r="BT155" s="2918"/>
      <c r="BU155" s="2918"/>
      <c r="BV155" s="2918"/>
      <c r="BW155" s="2918"/>
      <c r="BX155" s="2918"/>
      <c r="BY155" s="2918"/>
      <c r="BZ155" s="2918"/>
      <c r="CA155" s="2918"/>
      <c r="CB155" s="2918"/>
      <c r="CC155" s="2918"/>
      <c r="CD155" s="2918"/>
      <c r="CE155" s="2918"/>
      <c r="CF155" s="2918"/>
      <c r="CG155" s="2918"/>
      <c r="CH155" s="2918"/>
      <c r="CI155" s="2918"/>
      <c r="CJ155" s="2918"/>
      <c r="CK155" s="2918"/>
      <c r="CL155" s="2918"/>
      <c r="CM155" s="2918"/>
      <c r="CN155" s="2918"/>
      <c r="CO155" s="2918"/>
      <c r="CP155" s="2918"/>
      <c r="CQ155" s="2918"/>
      <c r="CR155" s="2918"/>
      <c r="CS155" s="2918"/>
      <c r="CT155" s="2918"/>
      <c r="CU155" s="2918"/>
      <c r="CV155" s="2918"/>
      <c r="CW155" s="2918"/>
      <c r="CX155" s="2918"/>
      <c r="CY155" s="2918"/>
      <c r="CZ155" s="2918"/>
      <c r="DA155" s="2918"/>
      <c r="DB155" s="2918"/>
      <c r="DC155" s="2918"/>
      <c r="DD155" s="2918"/>
      <c r="DE155" s="2918"/>
      <c r="DF155" s="2918"/>
      <c r="DG155" s="2918"/>
      <c r="DH155" s="2918"/>
      <c r="DI155" s="2918"/>
      <c r="DJ155" s="2918"/>
      <c r="DK155" s="2918"/>
      <c r="DL155" s="2918"/>
      <c r="DM155" s="2918"/>
      <c r="DN155" s="2918"/>
      <c r="DO155" s="2918"/>
      <c r="DP155" s="2918"/>
      <c r="DQ155" s="2918"/>
      <c r="DR155" s="2918"/>
      <c r="DS155" s="2918"/>
      <c r="DT155" s="2918"/>
      <c r="DU155" s="2918"/>
      <c r="DV155" s="2918"/>
      <c r="DW155" s="2918"/>
      <c r="DX155" s="2918"/>
      <c r="DY155" s="2918"/>
      <c r="DZ155" s="2918"/>
      <c r="EA155" s="2918"/>
      <c r="EB155" s="2918"/>
      <c r="EC155" s="2918"/>
      <c r="ED155" s="2918"/>
      <c r="EE155" s="2918"/>
      <c r="EF155" s="2918"/>
      <c r="EG155" s="2918"/>
      <c r="EH155" s="2918"/>
      <c r="EI155" s="2918"/>
      <c r="EJ155" s="2918"/>
      <c r="EK155" s="2918"/>
      <c r="EL155" s="2918"/>
      <c r="EM155" s="2918"/>
      <c r="EN155" s="2918"/>
      <c r="EO155" s="2918"/>
      <c r="EP155" s="2918"/>
      <c r="EQ155" s="2918"/>
      <c r="ER155" s="2918"/>
      <c r="ES155" s="2918"/>
      <c r="ET155" s="2918"/>
      <c r="EU155" s="2918"/>
      <c r="EV155" s="2918"/>
      <c r="EW155" s="2918"/>
      <c r="EX155" s="2918"/>
      <c r="EY155" s="2918"/>
      <c r="EZ155" s="2918"/>
      <c r="FA155" s="2918"/>
      <c r="FB155" s="2918"/>
      <c r="FC155" s="2918"/>
      <c r="FD155" s="2918"/>
      <c r="FE155" s="2918"/>
      <c r="FF155" s="2918"/>
      <c r="FG155" s="2918"/>
      <c r="FH155" s="2918"/>
      <c r="FI155" s="2918"/>
      <c r="FJ155" s="2918"/>
      <c r="FK155" s="2918"/>
      <c r="FL155" s="2918"/>
      <c r="FM155" s="2918"/>
      <c r="FN155" s="2918"/>
      <c r="FO155" s="2918"/>
      <c r="FP155" s="2918"/>
      <c r="FQ155" s="2918"/>
      <c r="FR155" s="2918"/>
      <c r="FS155" s="2918"/>
      <c r="FT155" s="2918"/>
      <c r="FU155" s="2918"/>
      <c r="FV155" s="2918"/>
      <c r="FW155" s="2918"/>
      <c r="FX155" s="2918"/>
      <c r="FY155" s="2918"/>
      <c r="FZ155" s="2918"/>
      <c r="GA155" s="2918"/>
      <c r="GB155" s="2918"/>
      <c r="GC155" s="2918"/>
      <c r="GD155" s="2918"/>
      <c r="GE155" s="2918"/>
      <c r="GF155" s="2918"/>
      <c r="GG155" s="2918"/>
      <c r="GH155" s="2918"/>
      <c r="GI155" s="2918"/>
      <c r="GJ155" s="2918"/>
      <c r="GK155" s="2918"/>
      <c r="GL155" s="2918"/>
      <c r="GM155" s="2918"/>
      <c r="GN155" s="2918"/>
      <c r="GO155" s="2918"/>
      <c r="GP155" s="2918"/>
      <c r="GQ155" s="2918"/>
      <c r="GR155" s="2918"/>
      <c r="GS155" s="2918"/>
      <c r="GT155" s="2918"/>
      <c r="GU155" s="2918"/>
      <c r="GV155" s="2918"/>
      <c r="GW155" s="2918"/>
      <c r="GX155" s="2918"/>
      <c r="GY155" s="2918"/>
      <c r="GZ155" s="2918"/>
      <c r="HA155" s="2918"/>
      <c r="HB155" s="2918"/>
      <c r="HC155" s="2918"/>
      <c r="HD155" s="2918"/>
      <c r="HE155" s="2918"/>
      <c r="HF155" s="2918"/>
      <c r="HG155" s="2918"/>
      <c r="HH155" s="2918"/>
      <c r="HI155" s="2918"/>
      <c r="HJ155" s="2918"/>
      <c r="HK155" s="2918"/>
      <c r="HL155" s="2918"/>
      <c r="HM155" s="2918"/>
      <c r="HN155" s="2918"/>
      <c r="HO155" s="2918"/>
      <c r="HP155" s="2918"/>
      <c r="HQ155" s="2918"/>
      <c r="HR155" s="2918"/>
      <c r="HS155" s="2918"/>
      <c r="HT155" s="2918"/>
      <c r="HU155" s="2918"/>
      <c r="HV155" s="2918"/>
      <c r="HW155" s="2918"/>
      <c r="HX155" s="2918"/>
      <c r="HY155" s="2918"/>
      <c r="HZ155" s="2918"/>
      <c r="IA155" s="2918"/>
      <c r="IB155" s="2918"/>
      <c r="IC155" s="2918"/>
      <c r="ID155" s="2918"/>
      <c r="IE155" s="2918"/>
      <c r="IF155" s="2918"/>
      <c r="IG155" s="2918"/>
      <c r="IH155" s="2918"/>
      <c r="II155" s="2918"/>
      <c r="IJ155" s="2918"/>
      <c r="IK155" s="2918"/>
      <c r="IL155" s="2918"/>
      <c r="IM155" s="2918"/>
      <c r="IN155" s="2918"/>
      <c r="IO155" s="2918"/>
      <c r="IP155" s="2918"/>
      <c r="IQ155" s="2918"/>
      <c r="IR155" s="2918"/>
      <c r="IS155" s="2918"/>
      <c r="IT155" s="2918"/>
      <c r="IU155" s="2918"/>
      <c r="IV155" s="2918"/>
    </row>
    <row r="156" spans="1:256" customFormat="1">
      <c r="A156" s="4648"/>
      <c r="B156" s="4653"/>
      <c r="C156" s="2901">
        <v>650</v>
      </c>
      <c r="D156" s="3062" t="s">
        <v>12582</v>
      </c>
      <c r="E156" s="3064"/>
      <c r="F156" s="3064"/>
      <c r="G156" s="3064"/>
      <c r="H156" s="3064"/>
      <c r="I156" s="3069">
        <f t="shared" si="5"/>
        <v>87.376347983174171</v>
      </c>
      <c r="J156" s="2918"/>
      <c r="K156" s="2918"/>
      <c r="L156" s="2918"/>
      <c r="M156" s="2918"/>
      <c r="N156" s="2918"/>
      <c r="O156" s="2918"/>
      <c r="P156" s="2918"/>
      <c r="Q156" s="2918"/>
      <c r="R156" s="2918"/>
      <c r="S156" s="2918"/>
      <c r="T156" s="2918"/>
      <c r="U156" s="2918"/>
      <c r="V156" s="2918"/>
      <c r="W156" s="2918"/>
      <c r="X156" s="2918"/>
      <c r="Y156" s="2918"/>
      <c r="Z156" s="2918"/>
      <c r="AA156" s="2918"/>
      <c r="AB156" s="2918"/>
      <c r="AC156" s="2918"/>
      <c r="AD156" s="2918"/>
      <c r="AE156" s="2918"/>
      <c r="AF156" s="2918"/>
      <c r="AG156" s="2918"/>
      <c r="AH156" s="2918"/>
      <c r="AI156" s="2918"/>
      <c r="AJ156" s="2918"/>
      <c r="AK156" s="2918"/>
      <c r="AL156" s="2918"/>
      <c r="AM156" s="2918"/>
      <c r="AN156" s="2918"/>
      <c r="AO156" s="2918"/>
      <c r="AP156" s="2918"/>
      <c r="AQ156" s="2918"/>
      <c r="AR156" s="2918"/>
      <c r="AS156" s="2918"/>
      <c r="AT156" s="2918"/>
      <c r="AU156" s="2918"/>
      <c r="AV156" s="2918"/>
      <c r="AW156" s="2918"/>
      <c r="AX156" s="2918"/>
      <c r="AY156" s="2918"/>
      <c r="AZ156" s="2918"/>
      <c r="BA156" s="2918"/>
      <c r="BB156" s="2918"/>
      <c r="BC156" s="2918"/>
      <c r="BD156" s="2918"/>
      <c r="BE156" s="2918"/>
      <c r="BF156" s="2918"/>
      <c r="BG156" s="2918"/>
      <c r="BH156" s="2918"/>
      <c r="BI156" s="2918"/>
      <c r="BJ156" s="2918"/>
      <c r="BK156" s="2918"/>
      <c r="BL156" s="2918"/>
      <c r="BM156" s="2918"/>
      <c r="BN156" s="2918"/>
      <c r="BO156" s="2918"/>
      <c r="BP156" s="2918"/>
      <c r="BQ156" s="2918"/>
      <c r="BR156" s="2918"/>
      <c r="BS156" s="2918"/>
      <c r="BT156" s="2918"/>
      <c r="BU156" s="2918"/>
      <c r="BV156" s="2918"/>
      <c r="BW156" s="2918"/>
      <c r="BX156" s="2918"/>
      <c r="BY156" s="2918"/>
      <c r="BZ156" s="2918"/>
      <c r="CA156" s="2918"/>
      <c r="CB156" s="2918"/>
      <c r="CC156" s="2918"/>
      <c r="CD156" s="2918"/>
      <c r="CE156" s="2918"/>
      <c r="CF156" s="2918"/>
      <c r="CG156" s="2918"/>
      <c r="CH156" s="2918"/>
      <c r="CI156" s="2918"/>
      <c r="CJ156" s="2918"/>
      <c r="CK156" s="2918"/>
      <c r="CL156" s="2918"/>
      <c r="CM156" s="2918"/>
      <c r="CN156" s="2918"/>
      <c r="CO156" s="2918"/>
      <c r="CP156" s="2918"/>
      <c r="CQ156" s="2918"/>
      <c r="CR156" s="2918"/>
      <c r="CS156" s="2918"/>
      <c r="CT156" s="2918"/>
      <c r="CU156" s="2918"/>
      <c r="CV156" s="2918"/>
      <c r="CW156" s="2918"/>
      <c r="CX156" s="2918"/>
      <c r="CY156" s="2918"/>
      <c r="CZ156" s="2918"/>
      <c r="DA156" s="2918"/>
      <c r="DB156" s="2918"/>
      <c r="DC156" s="2918"/>
      <c r="DD156" s="2918"/>
      <c r="DE156" s="2918"/>
      <c r="DF156" s="2918"/>
      <c r="DG156" s="2918"/>
      <c r="DH156" s="2918"/>
      <c r="DI156" s="2918"/>
      <c r="DJ156" s="2918"/>
      <c r="DK156" s="2918"/>
      <c r="DL156" s="2918"/>
      <c r="DM156" s="2918"/>
      <c r="DN156" s="2918"/>
      <c r="DO156" s="2918"/>
      <c r="DP156" s="2918"/>
      <c r="DQ156" s="2918"/>
      <c r="DR156" s="2918"/>
      <c r="DS156" s="2918"/>
      <c r="DT156" s="2918"/>
      <c r="DU156" s="2918"/>
      <c r="DV156" s="2918"/>
      <c r="DW156" s="2918"/>
      <c r="DX156" s="2918"/>
      <c r="DY156" s="2918"/>
      <c r="DZ156" s="2918"/>
      <c r="EA156" s="2918"/>
      <c r="EB156" s="2918"/>
      <c r="EC156" s="2918"/>
      <c r="ED156" s="2918"/>
      <c r="EE156" s="2918"/>
      <c r="EF156" s="2918"/>
      <c r="EG156" s="2918"/>
      <c r="EH156" s="2918"/>
      <c r="EI156" s="2918"/>
      <c r="EJ156" s="2918"/>
      <c r="EK156" s="2918"/>
      <c r="EL156" s="2918"/>
      <c r="EM156" s="2918"/>
      <c r="EN156" s="2918"/>
      <c r="EO156" s="2918"/>
      <c r="EP156" s="2918"/>
      <c r="EQ156" s="2918"/>
      <c r="ER156" s="2918"/>
      <c r="ES156" s="2918"/>
      <c r="ET156" s="2918"/>
      <c r="EU156" s="2918"/>
      <c r="EV156" s="2918"/>
      <c r="EW156" s="2918"/>
      <c r="EX156" s="2918"/>
      <c r="EY156" s="2918"/>
      <c r="EZ156" s="2918"/>
      <c r="FA156" s="2918"/>
      <c r="FB156" s="2918"/>
      <c r="FC156" s="2918"/>
      <c r="FD156" s="2918"/>
      <c r="FE156" s="2918"/>
      <c r="FF156" s="2918"/>
      <c r="FG156" s="2918"/>
      <c r="FH156" s="2918"/>
      <c r="FI156" s="2918"/>
      <c r="FJ156" s="2918"/>
      <c r="FK156" s="2918"/>
      <c r="FL156" s="2918"/>
      <c r="FM156" s="2918"/>
      <c r="FN156" s="2918"/>
      <c r="FO156" s="2918"/>
      <c r="FP156" s="2918"/>
      <c r="FQ156" s="2918"/>
      <c r="FR156" s="2918"/>
      <c r="FS156" s="2918"/>
      <c r="FT156" s="2918"/>
      <c r="FU156" s="2918"/>
      <c r="FV156" s="2918"/>
      <c r="FW156" s="2918"/>
      <c r="FX156" s="2918"/>
      <c r="FY156" s="2918"/>
      <c r="FZ156" s="2918"/>
      <c r="GA156" s="2918"/>
      <c r="GB156" s="2918"/>
      <c r="GC156" s="2918"/>
      <c r="GD156" s="2918"/>
      <c r="GE156" s="2918"/>
      <c r="GF156" s="2918"/>
      <c r="GG156" s="2918"/>
      <c r="GH156" s="2918"/>
      <c r="GI156" s="2918"/>
      <c r="GJ156" s="2918"/>
      <c r="GK156" s="2918"/>
      <c r="GL156" s="2918"/>
      <c r="GM156" s="2918"/>
      <c r="GN156" s="2918"/>
      <c r="GO156" s="2918"/>
      <c r="GP156" s="2918"/>
      <c r="GQ156" s="2918"/>
      <c r="GR156" s="2918"/>
      <c r="GS156" s="2918"/>
      <c r="GT156" s="2918"/>
      <c r="GU156" s="2918"/>
      <c r="GV156" s="2918"/>
      <c r="GW156" s="2918"/>
      <c r="GX156" s="2918"/>
      <c r="GY156" s="2918"/>
      <c r="GZ156" s="2918"/>
      <c r="HA156" s="2918"/>
      <c r="HB156" s="2918"/>
      <c r="HC156" s="2918"/>
      <c r="HD156" s="2918"/>
      <c r="HE156" s="2918"/>
      <c r="HF156" s="2918"/>
      <c r="HG156" s="2918"/>
      <c r="HH156" s="2918"/>
      <c r="HI156" s="2918"/>
      <c r="HJ156" s="2918"/>
      <c r="HK156" s="2918"/>
      <c r="HL156" s="2918"/>
      <c r="HM156" s="2918"/>
      <c r="HN156" s="2918"/>
      <c r="HO156" s="2918"/>
      <c r="HP156" s="2918"/>
      <c r="HQ156" s="2918"/>
      <c r="HR156" s="2918"/>
      <c r="HS156" s="2918"/>
      <c r="HT156" s="2918"/>
      <c r="HU156" s="2918"/>
      <c r="HV156" s="2918"/>
      <c r="HW156" s="2918"/>
      <c r="HX156" s="2918"/>
      <c r="HY156" s="2918"/>
      <c r="HZ156" s="2918"/>
      <c r="IA156" s="2918"/>
      <c r="IB156" s="2918"/>
      <c r="IC156" s="2918"/>
      <c r="ID156" s="2918"/>
      <c r="IE156" s="2918"/>
      <c r="IF156" s="2918"/>
      <c r="IG156" s="2918"/>
      <c r="IH156" s="2918"/>
      <c r="II156" s="2918"/>
      <c r="IJ156" s="2918"/>
      <c r="IK156" s="2918"/>
      <c r="IL156" s="2918"/>
      <c r="IM156" s="2918"/>
      <c r="IN156" s="2918"/>
      <c r="IO156" s="2918"/>
      <c r="IP156" s="2918"/>
      <c r="IQ156" s="2918"/>
      <c r="IR156" s="2918"/>
      <c r="IS156" s="2918"/>
      <c r="IT156" s="2918"/>
      <c r="IU156" s="2918"/>
      <c r="IV156" s="2918"/>
    </row>
    <row r="157" spans="1:256" customFormat="1">
      <c r="A157" s="4648"/>
      <c r="B157" s="4653"/>
      <c r="C157" s="2913">
        <v>670</v>
      </c>
      <c r="D157" s="3073" t="s">
        <v>12582</v>
      </c>
      <c r="E157" s="3071"/>
      <c r="F157" s="3071"/>
      <c r="G157" s="3071"/>
      <c r="H157" s="3071"/>
      <c r="I157" s="3074">
        <f>I3^2*PI()/4*(C157+I3)*PI()*1.1*10^-3</f>
        <v>90.036206369267731</v>
      </c>
      <c r="J157" s="2918"/>
      <c r="K157" s="2918"/>
      <c r="L157" s="2918"/>
      <c r="M157" s="2918"/>
      <c r="N157" s="2918"/>
      <c r="O157" s="2918"/>
      <c r="P157" s="2918"/>
      <c r="Q157" s="2918"/>
      <c r="R157" s="2918"/>
      <c r="S157" s="2918"/>
      <c r="T157" s="2918"/>
      <c r="U157" s="2918"/>
      <c r="V157" s="2918"/>
      <c r="W157" s="2918"/>
      <c r="X157" s="2918"/>
      <c r="Y157" s="2918"/>
      <c r="Z157" s="2918"/>
      <c r="AA157" s="2918"/>
      <c r="AB157" s="2918"/>
      <c r="AC157" s="2918"/>
      <c r="AD157" s="2918"/>
      <c r="AE157" s="2918"/>
      <c r="AF157" s="2918"/>
      <c r="AG157" s="2918"/>
      <c r="AH157" s="2918"/>
      <c r="AI157" s="2918"/>
      <c r="AJ157" s="2918"/>
      <c r="AK157" s="2918"/>
      <c r="AL157" s="2918"/>
      <c r="AM157" s="2918"/>
      <c r="AN157" s="2918"/>
      <c r="AO157" s="2918"/>
      <c r="AP157" s="2918"/>
      <c r="AQ157" s="2918"/>
      <c r="AR157" s="2918"/>
      <c r="AS157" s="2918"/>
      <c r="AT157" s="2918"/>
      <c r="AU157" s="2918"/>
      <c r="AV157" s="2918"/>
      <c r="AW157" s="2918"/>
      <c r="AX157" s="2918"/>
      <c r="AY157" s="2918"/>
      <c r="AZ157" s="2918"/>
      <c r="BA157" s="2918"/>
      <c r="BB157" s="2918"/>
      <c r="BC157" s="2918"/>
      <c r="BD157" s="2918"/>
      <c r="BE157" s="2918"/>
      <c r="BF157" s="2918"/>
      <c r="BG157" s="2918"/>
      <c r="BH157" s="2918"/>
      <c r="BI157" s="2918"/>
      <c r="BJ157" s="2918"/>
      <c r="BK157" s="2918"/>
      <c r="BL157" s="2918"/>
      <c r="BM157" s="2918"/>
      <c r="BN157" s="2918"/>
      <c r="BO157" s="2918"/>
      <c r="BP157" s="2918"/>
      <c r="BQ157" s="2918"/>
      <c r="BR157" s="2918"/>
      <c r="BS157" s="2918"/>
      <c r="BT157" s="2918"/>
      <c r="BU157" s="2918"/>
      <c r="BV157" s="2918"/>
      <c r="BW157" s="2918"/>
      <c r="BX157" s="2918"/>
      <c r="BY157" s="2918"/>
      <c r="BZ157" s="2918"/>
      <c r="CA157" s="2918"/>
      <c r="CB157" s="2918"/>
      <c r="CC157" s="2918"/>
      <c r="CD157" s="2918"/>
      <c r="CE157" s="2918"/>
      <c r="CF157" s="2918"/>
      <c r="CG157" s="2918"/>
      <c r="CH157" s="2918"/>
      <c r="CI157" s="2918"/>
      <c r="CJ157" s="2918"/>
      <c r="CK157" s="2918"/>
      <c r="CL157" s="2918"/>
      <c r="CM157" s="2918"/>
      <c r="CN157" s="2918"/>
      <c r="CO157" s="2918"/>
      <c r="CP157" s="2918"/>
      <c r="CQ157" s="2918"/>
      <c r="CR157" s="2918"/>
      <c r="CS157" s="2918"/>
      <c r="CT157" s="2918"/>
      <c r="CU157" s="2918"/>
      <c r="CV157" s="2918"/>
      <c r="CW157" s="2918"/>
      <c r="CX157" s="2918"/>
      <c r="CY157" s="2918"/>
      <c r="CZ157" s="2918"/>
      <c r="DA157" s="2918"/>
      <c r="DB157" s="2918"/>
      <c r="DC157" s="2918"/>
      <c r="DD157" s="2918"/>
      <c r="DE157" s="2918"/>
      <c r="DF157" s="2918"/>
      <c r="DG157" s="2918"/>
      <c r="DH157" s="2918"/>
      <c r="DI157" s="2918"/>
      <c r="DJ157" s="2918"/>
      <c r="DK157" s="2918"/>
      <c r="DL157" s="2918"/>
      <c r="DM157" s="2918"/>
      <c r="DN157" s="2918"/>
      <c r="DO157" s="2918"/>
      <c r="DP157" s="2918"/>
      <c r="DQ157" s="2918"/>
      <c r="DR157" s="2918"/>
      <c r="DS157" s="2918"/>
      <c r="DT157" s="2918"/>
      <c r="DU157" s="2918"/>
      <c r="DV157" s="2918"/>
      <c r="DW157" s="2918"/>
      <c r="DX157" s="2918"/>
      <c r="DY157" s="2918"/>
      <c r="DZ157" s="2918"/>
      <c r="EA157" s="2918"/>
      <c r="EB157" s="2918"/>
      <c r="EC157" s="2918"/>
      <c r="ED157" s="2918"/>
      <c r="EE157" s="2918"/>
      <c r="EF157" s="2918"/>
      <c r="EG157" s="2918"/>
      <c r="EH157" s="2918"/>
      <c r="EI157" s="2918"/>
      <c r="EJ157" s="2918"/>
      <c r="EK157" s="2918"/>
      <c r="EL157" s="2918"/>
      <c r="EM157" s="2918"/>
      <c r="EN157" s="2918"/>
      <c r="EO157" s="2918"/>
      <c r="EP157" s="2918"/>
      <c r="EQ157" s="2918"/>
      <c r="ER157" s="2918"/>
      <c r="ES157" s="2918"/>
      <c r="ET157" s="2918"/>
      <c r="EU157" s="2918"/>
      <c r="EV157" s="2918"/>
      <c r="EW157" s="2918"/>
      <c r="EX157" s="2918"/>
      <c r="EY157" s="2918"/>
      <c r="EZ157" s="2918"/>
      <c r="FA157" s="2918"/>
      <c r="FB157" s="2918"/>
      <c r="FC157" s="2918"/>
      <c r="FD157" s="2918"/>
      <c r="FE157" s="2918"/>
      <c r="FF157" s="2918"/>
      <c r="FG157" s="2918"/>
      <c r="FH157" s="2918"/>
      <c r="FI157" s="2918"/>
      <c r="FJ157" s="2918"/>
      <c r="FK157" s="2918"/>
      <c r="FL157" s="2918"/>
      <c r="FM157" s="2918"/>
      <c r="FN157" s="2918"/>
      <c r="FO157" s="2918"/>
      <c r="FP157" s="2918"/>
      <c r="FQ157" s="2918"/>
      <c r="FR157" s="2918"/>
      <c r="FS157" s="2918"/>
      <c r="FT157" s="2918"/>
      <c r="FU157" s="2918"/>
      <c r="FV157" s="2918"/>
      <c r="FW157" s="2918"/>
      <c r="FX157" s="2918"/>
      <c r="FY157" s="2918"/>
      <c r="FZ157" s="2918"/>
      <c r="GA157" s="2918"/>
      <c r="GB157" s="2918"/>
      <c r="GC157" s="2918"/>
      <c r="GD157" s="2918"/>
      <c r="GE157" s="2918"/>
      <c r="GF157" s="2918"/>
      <c r="GG157" s="2918"/>
      <c r="GH157" s="2918"/>
      <c r="GI157" s="2918"/>
      <c r="GJ157" s="2918"/>
      <c r="GK157" s="2918"/>
      <c r="GL157" s="2918"/>
      <c r="GM157" s="2918"/>
      <c r="GN157" s="2918"/>
      <c r="GO157" s="2918"/>
      <c r="GP157" s="2918"/>
      <c r="GQ157" s="2918"/>
      <c r="GR157" s="2918"/>
      <c r="GS157" s="2918"/>
      <c r="GT157" s="2918"/>
      <c r="GU157" s="2918"/>
      <c r="GV157" s="2918"/>
      <c r="GW157" s="2918"/>
      <c r="GX157" s="2918"/>
      <c r="GY157" s="2918"/>
      <c r="GZ157" s="2918"/>
      <c r="HA157" s="2918"/>
      <c r="HB157" s="2918"/>
      <c r="HC157" s="2918"/>
      <c r="HD157" s="2918"/>
      <c r="HE157" s="2918"/>
      <c r="HF157" s="2918"/>
      <c r="HG157" s="2918"/>
      <c r="HH157" s="2918"/>
      <c r="HI157" s="2918"/>
      <c r="HJ157" s="2918"/>
      <c r="HK157" s="2918"/>
      <c r="HL157" s="2918"/>
      <c r="HM157" s="2918"/>
      <c r="HN157" s="2918"/>
      <c r="HO157" s="2918"/>
      <c r="HP157" s="2918"/>
      <c r="HQ157" s="2918"/>
      <c r="HR157" s="2918"/>
      <c r="HS157" s="2918"/>
      <c r="HT157" s="2918"/>
      <c r="HU157" s="2918"/>
      <c r="HV157" s="2918"/>
      <c r="HW157" s="2918"/>
      <c r="HX157" s="2918"/>
      <c r="HY157" s="2918"/>
      <c r="HZ157" s="2918"/>
      <c r="IA157" s="2918"/>
      <c r="IB157" s="2918"/>
      <c r="IC157" s="2918"/>
      <c r="ID157" s="2918"/>
      <c r="IE157" s="2918"/>
      <c r="IF157" s="2918"/>
      <c r="IG157" s="2918"/>
      <c r="IH157" s="2918"/>
      <c r="II157" s="2918"/>
      <c r="IJ157" s="2918"/>
      <c r="IK157" s="2918"/>
      <c r="IL157" s="2918"/>
      <c r="IM157" s="2918"/>
      <c r="IN157" s="2918"/>
      <c r="IO157" s="2918"/>
      <c r="IP157" s="2918"/>
      <c r="IQ157" s="2918"/>
      <c r="IR157" s="2918"/>
      <c r="IS157" s="2918"/>
      <c r="IT157" s="2918"/>
      <c r="IU157" s="2918"/>
      <c r="IV157" s="2918"/>
    </row>
    <row r="158" spans="1:256" customFormat="1" ht="14.25" customHeight="1">
      <c r="A158" s="4701" t="s">
        <v>12583</v>
      </c>
      <c r="B158" s="4692" t="s">
        <v>12584</v>
      </c>
      <c r="C158" s="4693"/>
      <c r="D158" s="4691"/>
      <c r="E158" s="3075">
        <v>2.6</v>
      </c>
      <c r="F158" s="3075">
        <v>3.8</v>
      </c>
      <c r="G158" s="3075">
        <v>5</v>
      </c>
      <c r="H158" s="3075">
        <v>7.3</v>
      </c>
      <c r="I158" s="3076">
        <v>9.6999999999999993</v>
      </c>
      <c r="J158" s="2918"/>
      <c r="K158" s="2918"/>
      <c r="L158" s="2918"/>
      <c r="M158" s="2918"/>
      <c r="N158" s="2918"/>
      <c r="O158" s="2918"/>
      <c r="P158" s="2918"/>
      <c r="Q158" s="2918"/>
      <c r="R158" s="2918"/>
      <c r="S158" s="2918"/>
      <c r="T158" s="2918"/>
      <c r="U158" s="2918"/>
      <c r="V158" s="2918"/>
      <c r="W158" s="2918"/>
      <c r="X158" s="2918"/>
      <c r="Y158" s="2918"/>
      <c r="Z158" s="2918"/>
      <c r="AA158" s="2918"/>
      <c r="AB158" s="2918"/>
      <c r="AC158" s="2918"/>
      <c r="AD158" s="2918"/>
      <c r="AE158" s="2918"/>
      <c r="AF158" s="2918"/>
      <c r="AG158" s="2918"/>
      <c r="AH158" s="2918"/>
      <c r="AI158" s="2918"/>
      <c r="AJ158" s="2918"/>
      <c r="AK158" s="2918"/>
      <c r="AL158" s="2918"/>
      <c r="AM158" s="2918"/>
      <c r="AN158" s="2918"/>
      <c r="AO158" s="2918"/>
      <c r="AP158" s="2918"/>
      <c r="AQ158" s="2918"/>
      <c r="AR158" s="2918"/>
      <c r="AS158" s="2918"/>
      <c r="AT158" s="2918"/>
      <c r="AU158" s="2918"/>
      <c r="AV158" s="2918"/>
      <c r="AW158" s="2918"/>
      <c r="AX158" s="2918"/>
      <c r="AY158" s="2918"/>
      <c r="AZ158" s="2918"/>
      <c r="BA158" s="2918"/>
      <c r="BB158" s="2918"/>
      <c r="BC158" s="2918"/>
      <c r="BD158" s="2918"/>
      <c r="BE158" s="2918"/>
      <c r="BF158" s="2918"/>
      <c r="BG158" s="2918"/>
      <c r="BH158" s="2918"/>
      <c r="BI158" s="2918"/>
      <c r="BJ158" s="2918"/>
      <c r="BK158" s="2918"/>
      <c r="BL158" s="2918"/>
      <c r="BM158" s="2918"/>
      <c r="BN158" s="2918"/>
      <c r="BO158" s="2918"/>
      <c r="BP158" s="2918"/>
      <c r="BQ158" s="2918"/>
      <c r="BR158" s="2918"/>
      <c r="BS158" s="2918"/>
      <c r="BT158" s="2918"/>
      <c r="BU158" s="2918"/>
      <c r="BV158" s="2918"/>
      <c r="BW158" s="2918"/>
      <c r="BX158" s="2918"/>
      <c r="BY158" s="2918"/>
      <c r="BZ158" s="2918"/>
      <c r="CA158" s="2918"/>
      <c r="CB158" s="2918"/>
      <c r="CC158" s="2918"/>
      <c r="CD158" s="2918"/>
      <c r="CE158" s="2918"/>
      <c r="CF158" s="2918"/>
      <c r="CG158" s="2918"/>
      <c r="CH158" s="2918"/>
      <c r="CI158" s="2918"/>
      <c r="CJ158" s="2918"/>
      <c r="CK158" s="2918"/>
      <c r="CL158" s="2918"/>
      <c r="CM158" s="2918"/>
      <c r="CN158" s="2918"/>
      <c r="CO158" s="2918"/>
      <c r="CP158" s="2918"/>
      <c r="CQ158" s="2918"/>
      <c r="CR158" s="2918"/>
      <c r="CS158" s="2918"/>
      <c r="CT158" s="2918"/>
      <c r="CU158" s="2918"/>
      <c r="CV158" s="2918"/>
      <c r="CW158" s="2918"/>
      <c r="CX158" s="2918"/>
      <c r="CY158" s="2918"/>
      <c r="CZ158" s="2918"/>
      <c r="DA158" s="2918"/>
      <c r="DB158" s="2918"/>
      <c r="DC158" s="2918"/>
      <c r="DD158" s="2918"/>
      <c r="DE158" s="2918"/>
      <c r="DF158" s="2918"/>
      <c r="DG158" s="2918"/>
      <c r="DH158" s="2918"/>
      <c r="DI158" s="2918"/>
      <c r="DJ158" s="2918"/>
      <c r="DK158" s="2918"/>
      <c r="DL158" s="2918"/>
      <c r="DM158" s="2918"/>
      <c r="DN158" s="2918"/>
      <c r="DO158" s="2918"/>
      <c r="DP158" s="2918"/>
      <c r="DQ158" s="2918"/>
      <c r="DR158" s="2918"/>
      <c r="DS158" s="2918"/>
      <c r="DT158" s="2918"/>
      <c r="DU158" s="2918"/>
      <c r="DV158" s="2918"/>
      <c r="DW158" s="2918"/>
      <c r="DX158" s="2918"/>
      <c r="DY158" s="2918"/>
      <c r="DZ158" s="2918"/>
      <c r="EA158" s="2918"/>
      <c r="EB158" s="2918"/>
      <c r="EC158" s="2918"/>
      <c r="ED158" s="2918"/>
      <c r="EE158" s="2918"/>
      <c r="EF158" s="2918"/>
      <c r="EG158" s="2918"/>
      <c r="EH158" s="2918"/>
      <c r="EI158" s="2918"/>
      <c r="EJ158" s="2918"/>
      <c r="EK158" s="2918"/>
      <c r="EL158" s="2918"/>
      <c r="EM158" s="2918"/>
      <c r="EN158" s="2918"/>
      <c r="EO158" s="2918"/>
      <c r="EP158" s="2918"/>
      <c r="EQ158" s="2918"/>
      <c r="ER158" s="2918"/>
      <c r="ES158" s="2918"/>
      <c r="ET158" s="2918"/>
      <c r="EU158" s="2918"/>
      <c r="EV158" s="2918"/>
      <c r="EW158" s="2918"/>
      <c r="EX158" s="2918"/>
      <c r="EY158" s="2918"/>
      <c r="EZ158" s="2918"/>
      <c r="FA158" s="2918"/>
      <c r="FB158" s="2918"/>
      <c r="FC158" s="2918"/>
      <c r="FD158" s="2918"/>
      <c r="FE158" s="2918"/>
      <c r="FF158" s="2918"/>
      <c r="FG158" s="2918"/>
      <c r="FH158" s="2918"/>
      <c r="FI158" s="2918"/>
      <c r="FJ158" s="2918"/>
      <c r="FK158" s="2918"/>
      <c r="FL158" s="2918"/>
      <c r="FM158" s="2918"/>
      <c r="FN158" s="2918"/>
      <c r="FO158" s="2918"/>
      <c r="FP158" s="2918"/>
      <c r="FQ158" s="2918"/>
      <c r="FR158" s="2918"/>
      <c r="FS158" s="2918"/>
      <c r="FT158" s="2918"/>
      <c r="FU158" s="2918"/>
      <c r="FV158" s="2918"/>
      <c r="FW158" s="2918"/>
      <c r="FX158" s="2918"/>
      <c r="FY158" s="2918"/>
      <c r="FZ158" s="2918"/>
      <c r="GA158" s="2918"/>
      <c r="GB158" s="2918"/>
      <c r="GC158" s="2918"/>
      <c r="GD158" s="2918"/>
      <c r="GE158" s="2918"/>
      <c r="GF158" s="2918"/>
      <c r="GG158" s="2918"/>
      <c r="GH158" s="2918"/>
      <c r="GI158" s="2918"/>
      <c r="GJ158" s="2918"/>
      <c r="GK158" s="2918"/>
      <c r="GL158" s="2918"/>
      <c r="GM158" s="2918"/>
      <c r="GN158" s="2918"/>
      <c r="GO158" s="2918"/>
      <c r="GP158" s="2918"/>
      <c r="GQ158" s="2918"/>
      <c r="GR158" s="2918"/>
      <c r="GS158" s="2918"/>
      <c r="GT158" s="2918"/>
      <c r="GU158" s="2918"/>
      <c r="GV158" s="2918"/>
      <c r="GW158" s="2918"/>
      <c r="GX158" s="2918"/>
      <c r="GY158" s="2918"/>
      <c r="GZ158" s="2918"/>
      <c r="HA158" s="2918"/>
      <c r="HB158" s="2918"/>
      <c r="HC158" s="2918"/>
      <c r="HD158" s="2918"/>
      <c r="HE158" s="2918"/>
      <c r="HF158" s="2918"/>
      <c r="HG158" s="2918"/>
      <c r="HH158" s="2918"/>
      <c r="HI158" s="2918"/>
      <c r="HJ158" s="2918"/>
      <c r="HK158" s="2918"/>
      <c r="HL158" s="2918"/>
      <c r="HM158" s="2918"/>
      <c r="HN158" s="2918"/>
      <c r="HO158" s="2918"/>
      <c r="HP158" s="2918"/>
      <c r="HQ158" s="2918"/>
      <c r="HR158" s="2918"/>
      <c r="HS158" s="2918"/>
      <c r="HT158" s="2918"/>
      <c r="HU158" s="2918"/>
      <c r="HV158" s="2918"/>
      <c r="HW158" s="2918"/>
      <c r="HX158" s="2918"/>
      <c r="HY158" s="2918"/>
      <c r="HZ158" s="2918"/>
      <c r="IA158" s="2918"/>
      <c r="IB158" s="2918"/>
      <c r="IC158" s="2918"/>
      <c r="ID158" s="2918"/>
      <c r="IE158" s="2918"/>
      <c r="IF158" s="2918"/>
      <c r="IG158" s="2918"/>
      <c r="IH158" s="2918"/>
      <c r="II158" s="2918"/>
      <c r="IJ158" s="2918"/>
      <c r="IK158" s="2918"/>
      <c r="IL158" s="2918"/>
      <c r="IM158" s="2918"/>
      <c r="IN158" s="2918"/>
      <c r="IO158" s="2918"/>
      <c r="IP158" s="2918"/>
      <c r="IQ158" s="2918"/>
      <c r="IR158" s="2918"/>
      <c r="IS158" s="2918"/>
      <c r="IT158" s="2918"/>
      <c r="IU158" s="2918"/>
      <c r="IV158" s="2918"/>
    </row>
    <row r="159" spans="1:256" customFormat="1">
      <c r="A159" s="4702"/>
      <c r="B159" s="4704" t="s">
        <v>12585</v>
      </c>
      <c r="C159" s="4704"/>
      <c r="D159" s="4704"/>
      <c r="E159" s="3077">
        <v>1.28</v>
      </c>
      <c r="F159" s="3077">
        <v>1.97</v>
      </c>
      <c r="G159" s="3077">
        <v>2.75</v>
      </c>
      <c r="H159" s="3077">
        <v>4.24</v>
      </c>
      <c r="I159" s="3078">
        <v>5.72</v>
      </c>
      <c r="J159" s="2918"/>
      <c r="K159" s="2918"/>
      <c r="L159" s="2918"/>
      <c r="M159" s="2918"/>
      <c r="N159" s="2918"/>
      <c r="O159" s="2918"/>
      <c r="P159" s="2918"/>
      <c r="Q159" s="2918"/>
      <c r="R159" s="2918"/>
      <c r="S159" s="2918"/>
      <c r="T159" s="2918"/>
      <c r="U159" s="2918"/>
      <c r="V159" s="2918"/>
      <c r="W159" s="2918"/>
      <c r="X159" s="2918"/>
      <c r="Y159" s="2918"/>
      <c r="Z159" s="2918"/>
      <c r="AA159" s="2918"/>
      <c r="AB159" s="2918"/>
      <c r="AC159" s="2918"/>
      <c r="AD159" s="2918"/>
      <c r="AE159" s="2918"/>
      <c r="AF159" s="2918"/>
      <c r="AG159" s="2918"/>
      <c r="AH159" s="2918"/>
      <c r="AI159" s="2918"/>
      <c r="AJ159" s="2918"/>
      <c r="AK159" s="2918"/>
      <c r="AL159" s="2918"/>
      <c r="AM159" s="2918"/>
      <c r="AN159" s="2918"/>
      <c r="AO159" s="2918"/>
      <c r="AP159" s="2918"/>
      <c r="AQ159" s="2918"/>
      <c r="AR159" s="2918"/>
      <c r="AS159" s="2918"/>
      <c r="AT159" s="2918"/>
      <c r="AU159" s="2918"/>
      <c r="AV159" s="2918"/>
      <c r="AW159" s="2918"/>
      <c r="AX159" s="2918"/>
      <c r="AY159" s="2918"/>
      <c r="AZ159" s="2918"/>
      <c r="BA159" s="2918"/>
      <c r="BB159" s="2918"/>
      <c r="BC159" s="2918"/>
      <c r="BD159" s="2918"/>
      <c r="BE159" s="2918"/>
      <c r="BF159" s="2918"/>
      <c r="BG159" s="2918"/>
      <c r="BH159" s="2918"/>
      <c r="BI159" s="2918"/>
      <c r="BJ159" s="2918"/>
      <c r="BK159" s="2918"/>
      <c r="BL159" s="2918"/>
      <c r="BM159" s="2918"/>
      <c r="BN159" s="2918"/>
      <c r="BO159" s="2918"/>
      <c r="BP159" s="2918"/>
      <c r="BQ159" s="2918"/>
      <c r="BR159" s="2918"/>
      <c r="BS159" s="2918"/>
      <c r="BT159" s="2918"/>
      <c r="BU159" s="2918"/>
      <c r="BV159" s="2918"/>
      <c r="BW159" s="2918"/>
      <c r="BX159" s="2918"/>
      <c r="BY159" s="2918"/>
      <c r="BZ159" s="2918"/>
      <c r="CA159" s="2918"/>
      <c r="CB159" s="2918"/>
      <c r="CC159" s="2918"/>
      <c r="CD159" s="2918"/>
      <c r="CE159" s="2918"/>
      <c r="CF159" s="2918"/>
      <c r="CG159" s="2918"/>
      <c r="CH159" s="2918"/>
      <c r="CI159" s="2918"/>
      <c r="CJ159" s="2918"/>
      <c r="CK159" s="2918"/>
      <c r="CL159" s="2918"/>
      <c r="CM159" s="2918"/>
      <c r="CN159" s="2918"/>
      <c r="CO159" s="2918"/>
      <c r="CP159" s="2918"/>
      <c r="CQ159" s="2918"/>
      <c r="CR159" s="2918"/>
      <c r="CS159" s="2918"/>
      <c r="CT159" s="2918"/>
      <c r="CU159" s="2918"/>
      <c r="CV159" s="2918"/>
      <c r="CW159" s="2918"/>
      <c r="CX159" s="2918"/>
      <c r="CY159" s="2918"/>
      <c r="CZ159" s="2918"/>
      <c r="DA159" s="2918"/>
      <c r="DB159" s="2918"/>
      <c r="DC159" s="2918"/>
      <c r="DD159" s="2918"/>
      <c r="DE159" s="2918"/>
      <c r="DF159" s="2918"/>
      <c r="DG159" s="2918"/>
      <c r="DH159" s="2918"/>
      <c r="DI159" s="2918"/>
      <c r="DJ159" s="2918"/>
      <c r="DK159" s="2918"/>
      <c r="DL159" s="2918"/>
      <c r="DM159" s="2918"/>
      <c r="DN159" s="2918"/>
      <c r="DO159" s="2918"/>
      <c r="DP159" s="2918"/>
      <c r="DQ159" s="2918"/>
      <c r="DR159" s="2918"/>
      <c r="DS159" s="2918"/>
      <c r="DT159" s="2918"/>
      <c r="DU159" s="2918"/>
      <c r="DV159" s="2918"/>
      <c r="DW159" s="2918"/>
      <c r="DX159" s="2918"/>
      <c r="DY159" s="2918"/>
      <c r="DZ159" s="2918"/>
      <c r="EA159" s="2918"/>
      <c r="EB159" s="2918"/>
      <c r="EC159" s="2918"/>
      <c r="ED159" s="2918"/>
      <c r="EE159" s="2918"/>
      <c r="EF159" s="2918"/>
      <c r="EG159" s="2918"/>
      <c r="EH159" s="2918"/>
      <c r="EI159" s="2918"/>
      <c r="EJ159" s="2918"/>
      <c r="EK159" s="2918"/>
      <c r="EL159" s="2918"/>
      <c r="EM159" s="2918"/>
      <c r="EN159" s="2918"/>
      <c r="EO159" s="2918"/>
      <c r="EP159" s="2918"/>
      <c r="EQ159" s="2918"/>
      <c r="ER159" s="2918"/>
      <c r="ES159" s="2918"/>
      <c r="ET159" s="2918"/>
      <c r="EU159" s="2918"/>
      <c r="EV159" s="2918"/>
      <c r="EW159" s="2918"/>
      <c r="EX159" s="2918"/>
      <c r="EY159" s="2918"/>
      <c r="EZ159" s="2918"/>
      <c r="FA159" s="2918"/>
      <c r="FB159" s="2918"/>
      <c r="FC159" s="2918"/>
      <c r="FD159" s="2918"/>
      <c r="FE159" s="2918"/>
      <c r="FF159" s="2918"/>
      <c r="FG159" s="2918"/>
      <c r="FH159" s="2918"/>
      <c r="FI159" s="2918"/>
      <c r="FJ159" s="2918"/>
      <c r="FK159" s="2918"/>
      <c r="FL159" s="2918"/>
      <c r="FM159" s="2918"/>
      <c r="FN159" s="2918"/>
      <c r="FO159" s="2918"/>
      <c r="FP159" s="2918"/>
      <c r="FQ159" s="2918"/>
      <c r="FR159" s="2918"/>
      <c r="FS159" s="2918"/>
      <c r="FT159" s="2918"/>
      <c r="FU159" s="2918"/>
      <c r="FV159" s="2918"/>
      <c r="FW159" s="2918"/>
      <c r="FX159" s="2918"/>
      <c r="FY159" s="2918"/>
      <c r="FZ159" s="2918"/>
      <c r="GA159" s="2918"/>
      <c r="GB159" s="2918"/>
      <c r="GC159" s="2918"/>
      <c r="GD159" s="2918"/>
      <c r="GE159" s="2918"/>
      <c r="GF159" s="2918"/>
      <c r="GG159" s="2918"/>
      <c r="GH159" s="2918"/>
      <c r="GI159" s="2918"/>
      <c r="GJ159" s="2918"/>
      <c r="GK159" s="2918"/>
      <c r="GL159" s="2918"/>
      <c r="GM159" s="2918"/>
      <c r="GN159" s="2918"/>
      <c r="GO159" s="2918"/>
      <c r="GP159" s="2918"/>
      <c r="GQ159" s="2918"/>
      <c r="GR159" s="2918"/>
      <c r="GS159" s="2918"/>
      <c r="GT159" s="2918"/>
      <c r="GU159" s="2918"/>
      <c r="GV159" s="2918"/>
      <c r="GW159" s="2918"/>
      <c r="GX159" s="2918"/>
      <c r="GY159" s="2918"/>
      <c r="GZ159" s="2918"/>
      <c r="HA159" s="2918"/>
      <c r="HB159" s="2918"/>
      <c r="HC159" s="2918"/>
      <c r="HD159" s="2918"/>
      <c r="HE159" s="2918"/>
      <c r="HF159" s="2918"/>
      <c r="HG159" s="2918"/>
      <c r="HH159" s="2918"/>
      <c r="HI159" s="2918"/>
      <c r="HJ159" s="2918"/>
      <c r="HK159" s="2918"/>
      <c r="HL159" s="2918"/>
      <c r="HM159" s="2918"/>
      <c r="HN159" s="2918"/>
      <c r="HO159" s="2918"/>
      <c r="HP159" s="2918"/>
      <c r="HQ159" s="2918"/>
      <c r="HR159" s="2918"/>
      <c r="HS159" s="2918"/>
      <c r="HT159" s="2918"/>
      <c r="HU159" s="2918"/>
      <c r="HV159" s="2918"/>
      <c r="HW159" s="2918"/>
      <c r="HX159" s="2918"/>
      <c r="HY159" s="2918"/>
      <c r="HZ159" s="2918"/>
      <c r="IA159" s="2918"/>
      <c r="IB159" s="2918"/>
      <c r="IC159" s="2918"/>
      <c r="ID159" s="2918"/>
      <c r="IE159" s="2918"/>
      <c r="IF159" s="2918"/>
      <c r="IG159" s="2918"/>
      <c r="IH159" s="2918"/>
      <c r="II159" s="2918"/>
      <c r="IJ159" s="2918"/>
      <c r="IK159" s="2918"/>
      <c r="IL159" s="2918"/>
      <c r="IM159" s="2918"/>
      <c r="IN159" s="2918"/>
      <c r="IO159" s="2918"/>
      <c r="IP159" s="2918"/>
      <c r="IQ159" s="2918"/>
      <c r="IR159" s="2918"/>
      <c r="IS159" s="2918"/>
      <c r="IT159" s="2918"/>
      <c r="IU159" s="2918"/>
      <c r="IV159" s="2918"/>
    </row>
    <row r="160" spans="1:256" customFormat="1">
      <c r="A160" s="4702"/>
      <c r="B160" s="4705" t="s">
        <v>12586</v>
      </c>
      <c r="C160" s="4706"/>
      <c r="D160" s="4707"/>
      <c r="E160" s="3079">
        <v>1.99</v>
      </c>
      <c r="F160" s="3079">
        <v>2.8</v>
      </c>
      <c r="G160" s="3079">
        <v>3.6</v>
      </c>
      <c r="H160" s="3079">
        <v>5.2</v>
      </c>
      <c r="I160" s="3080">
        <v>6.73</v>
      </c>
      <c r="J160" s="2918"/>
      <c r="K160" s="2918"/>
      <c r="L160" s="2918"/>
      <c r="M160" s="2918"/>
      <c r="N160" s="2918"/>
      <c r="O160" s="2918"/>
      <c r="P160" s="2918"/>
      <c r="Q160" s="2918"/>
      <c r="R160" s="2918"/>
      <c r="S160" s="2918"/>
      <c r="T160" s="2918"/>
      <c r="U160" s="2918"/>
      <c r="V160" s="2918"/>
      <c r="W160" s="2918"/>
      <c r="X160" s="2918"/>
      <c r="Y160" s="2918"/>
      <c r="Z160" s="2918"/>
      <c r="AA160" s="2918"/>
      <c r="AB160" s="2918"/>
      <c r="AC160" s="2918"/>
      <c r="AD160" s="2918"/>
      <c r="AE160" s="2918"/>
      <c r="AF160" s="2918"/>
      <c r="AG160" s="2918"/>
      <c r="AH160" s="2918"/>
      <c r="AI160" s="2918"/>
      <c r="AJ160" s="2918"/>
      <c r="AK160" s="2918"/>
      <c r="AL160" s="2918"/>
      <c r="AM160" s="2918"/>
      <c r="AN160" s="2918"/>
      <c r="AO160" s="2918"/>
      <c r="AP160" s="2918"/>
      <c r="AQ160" s="2918"/>
      <c r="AR160" s="2918"/>
      <c r="AS160" s="2918"/>
      <c r="AT160" s="2918"/>
      <c r="AU160" s="2918"/>
      <c r="AV160" s="2918"/>
      <c r="AW160" s="2918"/>
      <c r="AX160" s="2918"/>
      <c r="AY160" s="2918"/>
      <c r="AZ160" s="2918"/>
      <c r="BA160" s="2918"/>
      <c r="BB160" s="2918"/>
      <c r="BC160" s="2918"/>
      <c r="BD160" s="2918"/>
      <c r="BE160" s="2918"/>
      <c r="BF160" s="2918"/>
      <c r="BG160" s="2918"/>
      <c r="BH160" s="2918"/>
      <c r="BI160" s="2918"/>
      <c r="BJ160" s="2918"/>
      <c r="BK160" s="2918"/>
      <c r="BL160" s="2918"/>
      <c r="BM160" s="2918"/>
      <c r="BN160" s="2918"/>
      <c r="BO160" s="2918"/>
      <c r="BP160" s="2918"/>
      <c r="BQ160" s="2918"/>
      <c r="BR160" s="2918"/>
      <c r="BS160" s="2918"/>
      <c r="BT160" s="2918"/>
      <c r="BU160" s="2918"/>
      <c r="BV160" s="2918"/>
      <c r="BW160" s="2918"/>
      <c r="BX160" s="2918"/>
      <c r="BY160" s="2918"/>
      <c r="BZ160" s="2918"/>
      <c r="CA160" s="2918"/>
      <c r="CB160" s="2918"/>
      <c r="CC160" s="2918"/>
      <c r="CD160" s="2918"/>
      <c r="CE160" s="2918"/>
      <c r="CF160" s="2918"/>
      <c r="CG160" s="2918"/>
      <c r="CH160" s="2918"/>
      <c r="CI160" s="2918"/>
      <c r="CJ160" s="2918"/>
      <c r="CK160" s="2918"/>
      <c r="CL160" s="2918"/>
      <c r="CM160" s="2918"/>
      <c r="CN160" s="2918"/>
      <c r="CO160" s="2918"/>
      <c r="CP160" s="2918"/>
      <c r="CQ160" s="2918"/>
      <c r="CR160" s="2918"/>
      <c r="CS160" s="2918"/>
      <c r="CT160" s="2918"/>
      <c r="CU160" s="2918"/>
      <c r="CV160" s="2918"/>
      <c r="CW160" s="2918"/>
      <c r="CX160" s="2918"/>
      <c r="CY160" s="2918"/>
      <c r="CZ160" s="2918"/>
      <c r="DA160" s="2918"/>
      <c r="DB160" s="2918"/>
      <c r="DC160" s="2918"/>
      <c r="DD160" s="2918"/>
      <c r="DE160" s="2918"/>
      <c r="DF160" s="2918"/>
      <c r="DG160" s="2918"/>
      <c r="DH160" s="2918"/>
      <c r="DI160" s="2918"/>
      <c r="DJ160" s="2918"/>
      <c r="DK160" s="2918"/>
      <c r="DL160" s="2918"/>
      <c r="DM160" s="2918"/>
      <c r="DN160" s="2918"/>
      <c r="DO160" s="2918"/>
      <c r="DP160" s="2918"/>
      <c r="DQ160" s="2918"/>
      <c r="DR160" s="2918"/>
      <c r="DS160" s="2918"/>
      <c r="DT160" s="2918"/>
      <c r="DU160" s="2918"/>
      <c r="DV160" s="2918"/>
      <c r="DW160" s="2918"/>
      <c r="DX160" s="2918"/>
      <c r="DY160" s="2918"/>
      <c r="DZ160" s="2918"/>
      <c r="EA160" s="2918"/>
      <c r="EB160" s="2918"/>
      <c r="EC160" s="2918"/>
      <c r="ED160" s="2918"/>
      <c r="EE160" s="2918"/>
      <c r="EF160" s="2918"/>
      <c r="EG160" s="2918"/>
      <c r="EH160" s="2918"/>
      <c r="EI160" s="2918"/>
      <c r="EJ160" s="2918"/>
      <c r="EK160" s="2918"/>
      <c r="EL160" s="2918"/>
      <c r="EM160" s="2918"/>
      <c r="EN160" s="2918"/>
      <c r="EO160" s="2918"/>
      <c r="EP160" s="2918"/>
      <c r="EQ160" s="2918"/>
      <c r="ER160" s="2918"/>
      <c r="ES160" s="2918"/>
      <c r="ET160" s="2918"/>
      <c r="EU160" s="2918"/>
      <c r="EV160" s="2918"/>
      <c r="EW160" s="2918"/>
      <c r="EX160" s="2918"/>
      <c r="EY160" s="2918"/>
      <c r="EZ160" s="2918"/>
      <c r="FA160" s="2918"/>
      <c r="FB160" s="2918"/>
      <c r="FC160" s="2918"/>
      <c r="FD160" s="2918"/>
      <c r="FE160" s="2918"/>
      <c r="FF160" s="2918"/>
      <c r="FG160" s="2918"/>
      <c r="FH160" s="2918"/>
      <c r="FI160" s="2918"/>
      <c r="FJ160" s="2918"/>
      <c r="FK160" s="2918"/>
      <c r="FL160" s="2918"/>
      <c r="FM160" s="2918"/>
      <c r="FN160" s="2918"/>
      <c r="FO160" s="2918"/>
      <c r="FP160" s="2918"/>
      <c r="FQ160" s="2918"/>
      <c r="FR160" s="2918"/>
      <c r="FS160" s="2918"/>
      <c r="FT160" s="2918"/>
      <c r="FU160" s="2918"/>
      <c r="FV160" s="2918"/>
      <c r="FW160" s="2918"/>
      <c r="FX160" s="2918"/>
      <c r="FY160" s="2918"/>
      <c r="FZ160" s="2918"/>
      <c r="GA160" s="2918"/>
      <c r="GB160" s="2918"/>
      <c r="GC160" s="2918"/>
      <c r="GD160" s="2918"/>
      <c r="GE160" s="2918"/>
      <c r="GF160" s="2918"/>
      <c r="GG160" s="2918"/>
      <c r="GH160" s="2918"/>
      <c r="GI160" s="2918"/>
      <c r="GJ160" s="2918"/>
      <c r="GK160" s="2918"/>
      <c r="GL160" s="2918"/>
      <c r="GM160" s="2918"/>
      <c r="GN160" s="2918"/>
      <c r="GO160" s="2918"/>
      <c r="GP160" s="2918"/>
      <c r="GQ160" s="2918"/>
      <c r="GR160" s="2918"/>
      <c r="GS160" s="2918"/>
      <c r="GT160" s="2918"/>
      <c r="GU160" s="2918"/>
      <c r="GV160" s="2918"/>
      <c r="GW160" s="2918"/>
      <c r="GX160" s="2918"/>
      <c r="GY160" s="2918"/>
      <c r="GZ160" s="2918"/>
      <c r="HA160" s="2918"/>
      <c r="HB160" s="2918"/>
      <c r="HC160" s="2918"/>
      <c r="HD160" s="2918"/>
      <c r="HE160" s="2918"/>
      <c r="HF160" s="2918"/>
      <c r="HG160" s="2918"/>
      <c r="HH160" s="2918"/>
      <c r="HI160" s="2918"/>
      <c r="HJ160" s="2918"/>
      <c r="HK160" s="2918"/>
      <c r="HL160" s="2918"/>
      <c r="HM160" s="2918"/>
      <c r="HN160" s="2918"/>
      <c r="HO160" s="2918"/>
      <c r="HP160" s="2918"/>
      <c r="HQ160" s="2918"/>
      <c r="HR160" s="2918"/>
      <c r="HS160" s="2918"/>
      <c r="HT160" s="2918"/>
      <c r="HU160" s="2918"/>
      <c r="HV160" s="2918"/>
      <c r="HW160" s="2918"/>
      <c r="HX160" s="2918"/>
      <c r="HY160" s="2918"/>
      <c r="HZ160" s="2918"/>
      <c r="IA160" s="2918"/>
      <c r="IB160" s="2918"/>
      <c r="IC160" s="2918"/>
      <c r="ID160" s="2918"/>
      <c r="IE160" s="2918"/>
      <c r="IF160" s="2918"/>
      <c r="IG160" s="2918"/>
      <c r="IH160" s="2918"/>
      <c r="II160" s="2918"/>
      <c r="IJ160" s="2918"/>
      <c r="IK160" s="2918"/>
      <c r="IL160" s="2918"/>
      <c r="IM160" s="2918"/>
      <c r="IN160" s="2918"/>
      <c r="IO160" s="2918"/>
      <c r="IP160" s="2918"/>
      <c r="IQ160" s="2918"/>
      <c r="IR160" s="2918"/>
      <c r="IS160" s="2918"/>
      <c r="IT160" s="2918"/>
      <c r="IU160" s="2918"/>
      <c r="IV160" s="2918"/>
    </row>
    <row r="161" spans="1:256" customFormat="1">
      <c r="A161" s="4702"/>
      <c r="B161" s="4704" t="s">
        <v>12587</v>
      </c>
      <c r="C161" s="4704"/>
      <c r="D161" s="4704"/>
      <c r="E161" s="3081">
        <f>(E3^2-E159^2)*PI()/4/E159+E159</f>
        <v>2.2627294519510572</v>
      </c>
      <c r="F161" s="3081">
        <f>(F3^2-F159^2)*PI()/4/F159+F159</f>
        <v>3.2224907970200123</v>
      </c>
      <c r="G161" s="3081">
        <f>(G3^2-G159^2)*PI()/4/G159+G159</f>
        <v>4.1894206340084139</v>
      </c>
      <c r="H161" s="3081">
        <f>(H3^2-H159^2)*PI()/4/H159+H159</f>
        <v>6.1131746197029138</v>
      </c>
      <c r="I161" s="3082">
        <f>(I3^2-I159^2)*PI()/4/I159+I159</f>
        <v>7.9555836953097723</v>
      </c>
      <c r="J161" s="2918"/>
      <c r="K161" s="2918"/>
      <c r="L161" s="2918"/>
      <c r="M161" s="2918"/>
      <c r="N161" s="2918"/>
      <c r="O161" s="2918"/>
      <c r="P161" s="2918"/>
      <c r="Q161" s="2918"/>
      <c r="R161" s="2918"/>
      <c r="S161" s="2918"/>
      <c r="T161" s="2918"/>
      <c r="U161" s="2918"/>
      <c r="V161" s="2918"/>
      <c r="W161" s="2918"/>
      <c r="X161" s="2918"/>
      <c r="Y161" s="2918"/>
      <c r="Z161" s="2918"/>
      <c r="AA161" s="2918"/>
      <c r="AB161" s="2918"/>
      <c r="AC161" s="2918"/>
      <c r="AD161" s="2918"/>
      <c r="AE161" s="2918"/>
      <c r="AF161" s="2918"/>
      <c r="AG161" s="2918"/>
      <c r="AH161" s="2918"/>
      <c r="AI161" s="2918"/>
      <c r="AJ161" s="2918"/>
      <c r="AK161" s="2918"/>
      <c r="AL161" s="2918"/>
      <c r="AM161" s="2918"/>
      <c r="AN161" s="2918"/>
      <c r="AO161" s="2918"/>
      <c r="AP161" s="2918"/>
      <c r="AQ161" s="2918"/>
      <c r="AR161" s="2918"/>
      <c r="AS161" s="2918"/>
      <c r="AT161" s="2918"/>
      <c r="AU161" s="2918"/>
      <c r="AV161" s="2918"/>
      <c r="AW161" s="2918"/>
      <c r="AX161" s="2918"/>
      <c r="AY161" s="2918"/>
      <c r="AZ161" s="2918"/>
      <c r="BA161" s="2918"/>
      <c r="BB161" s="2918"/>
      <c r="BC161" s="2918"/>
      <c r="BD161" s="2918"/>
      <c r="BE161" s="2918"/>
      <c r="BF161" s="2918"/>
      <c r="BG161" s="2918"/>
      <c r="BH161" s="2918"/>
      <c r="BI161" s="2918"/>
      <c r="BJ161" s="2918"/>
      <c r="BK161" s="2918"/>
      <c r="BL161" s="2918"/>
      <c r="BM161" s="2918"/>
      <c r="BN161" s="2918"/>
      <c r="BO161" s="2918"/>
      <c r="BP161" s="2918"/>
      <c r="BQ161" s="2918"/>
      <c r="BR161" s="2918"/>
      <c r="BS161" s="2918"/>
      <c r="BT161" s="2918"/>
      <c r="BU161" s="2918"/>
      <c r="BV161" s="2918"/>
      <c r="BW161" s="2918"/>
      <c r="BX161" s="2918"/>
      <c r="BY161" s="2918"/>
      <c r="BZ161" s="2918"/>
      <c r="CA161" s="2918"/>
      <c r="CB161" s="2918"/>
      <c r="CC161" s="2918"/>
      <c r="CD161" s="2918"/>
      <c r="CE161" s="2918"/>
      <c r="CF161" s="2918"/>
      <c r="CG161" s="2918"/>
      <c r="CH161" s="2918"/>
      <c r="CI161" s="2918"/>
      <c r="CJ161" s="2918"/>
      <c r="CK161" s="2918"/>
      <c r="CL161" s="2918"/>
      <c r="CM161" s="2918"/>
      <c r="CN161" s="2918"/>
      <c r="CO161" s="2918"/>
      <c r="CP161" s="2918"/>
      <c r="CQ161" s="2918"/>
      <c r="CR161" s="2918"/>
      <c r="CS161" s="2918"/>
      <c r="CT161" s="2918"/>
      <c r="CU161" s="2918"/>
      <c r="CV161" s="2918"/>
      <c r="CW161" s="2918"/>
      <c r="CX161" s="2918"/>
      <c r="CY161" s="2918"/>
      <c r="CZ161" s="2918"/>
      <c r="DA161" s="2918"/>
      <c r="DB161" s="2918"/>
      <c r="DC161" s="2918"/>
      <c r="DD161" s="2918"/>
      <c r="DE161" s="2918"/>
      <c r="DF161" s="2918"/>
      <c r="DG161" s="2918"/>
      <c r="DH161" s="2918"/>
      <c r="DI161" s="2918"/>
      <c r="DJ161" s="2918"/>
      <c r="DK161" s="2918"/>
      <c r="DL161" s="2918"/>
      <c r="DM161" s="2918"/>
      <c r="DN161" s="2918"/>
      <c r="DO161" s="2918"/>
      <c r="DP161" s="2918"/>
      <c r="DQ161" s="2918"/>
      <c r="DR161" s="2918"/>
      <c r="DS161" s="2918"/>
      <c r="DT161" s="2918"/>
      <c r="DU161" s="2918"/>
      <c r="DV161" s="2918"/>
      <c r="DW161" s="2918"/>
      <c r="DX161" s="2918"/>
      <c r="DY161" s="2918"/>
      <c r="DZ161" s="2918"/>
      <c r="EA161" s="2918"/>
      <c r="EB161" s="2918"/>
      <c r="EC161" s="2918"/>
      <c r="ED161" s="2918"/>
      <c r="EE161" s="2918"/>
      <c r="EF161" s="2918"/>
      <c r="EG161" s="2918"/>
      <c r="EH161" s="2918"/>
      <c r="EI161" s="2918"/>
      <c r="EJ161" s="2918"/>
      <c r="EK161" s="2918"/>
      <c r="EL161" s="2918"/>
      <c r="EM161" s="2918"/>
      <c r="EN161" s="2918"/>
      <c r="EO161" s="2918"/>
      <c r="EP161" s="2918"/>
      <c r="EQ161" s="2918"/>
      <c r="ER161" s="2918"/>
      <c r="ES161" s="2918"/>
      <c r="ET161" s="2918"/>
      <c r="EU161" s="2918"/>
      <c r="EV161" s="2918"/>
      <c r="EW161" s="2918"/>
      <c r="EX161" s="2918"/>
      <c r="EY161" s="2918"/>
      <c r="EZ161" s="2918"/>
      <c r="FA161" s="2918"/>
      <c r="FB161" s="2918"/>
      <c r="FC161" s="2918"/>
      <c r="FD161" s="2918"/>
      <c r="FE161" s="2918"/>
      <c r="FF161" s="2918"/>
      <c r="FG161" s="2918"/>
      <c r="FH161" s="2918"/>
      <c r="FI161" s="2918"/>
      <c r="FJ161" s="2918"/>
      <c r="FK161" s="2918"/>
      <c r="FL161" s="2918"/>
      <c r="FM161" s="2918"/>
      <c r="FN161" s="2918"/>
      <c r="FO161" s="2918"/>
      <c r="FP161" s="2918"/>
      <c r="FQ161" s="2918"/>
      <c r="FR161" s="2918"/>
      <c r="FS161" s="2918"/>
      <c r="FT161" s="2918"/>
      <c r="FU161" s="2918"/>
      <c r="FV161" s="2918"/>
      <c r="FW161" s="2918"/>
      <c r="FX161" s="2918"/>
      <c r="FY161" s="2918"/>
      <c r="FZ161" s="2918"/>
      <c r="GA161" s="2918"/>
      <c r="GB161" s="2918"/>
      <c r="GC161" s="2918"/>
      <c r="GD161" s="2918"/>
      <c r="GE161" s="2918"/>
      <c r="GF161" s="2918"/>
      <c r="GG161" s="2918"/>
      <c r="GH161" s="2918"/>
      <c r="GI161" s="2918"/>
      <c r="GJ161" s="2918"/>
      <c r="GK161" s="2918"/>
      <c r="GL161" s="2918"/>
      <c r="GM161" s="2918"/>
      <c r="GN161" s="2918"/>
      <c r="GO161" s="2918"/>
      <c r="GP161" s="2918"/>
      <c r="GQ161" s="2918"/>
      <c r="GR161" s="2918"/>
      <c r="GS161" s="2918"/>
      <c r="GT161" s="2918"/>
      <c r="GU161" s="2918"/>
      <c r="GV161" s="2918"/>
      <c r="GW161" s="2918"/>
      <c r="GX161" s="2918"/>
      <c r="GY161" s="2918"/>
      <c r="GZ161" s="2918"/>
      <c r="HA161" s="2918"/>
      <c r="HB161" s="2918"/>
      <c r="HC161" s="2918"/>
      <c r="HD161" s="2918"/>
      <c r="HE161" s="2918"/>
      <c r="HF161" s="2918"/>
      <c r="HG161" s="2918"/>
      <c r="HH161" s="2918"/>
      <c r="HI161" s="2918"/>
      <c r="HJ161" s="2918"/>
      <c r="HK161" s="2918"/>
      <c r="HL161" s="2918"/>
      <c r="HM161" s="2918"/>
      <c r="HN161" s="2918"/>
      <c r="HO161" s="2918"/>
      <c r="HP161" s="2918"/>
      <c r="HQ161" s="2918"/>
      <c r="HR161" s="2918"/>
      <c r="HS161" s="2918"/>
      <c r="HT161" s="2918"/>
      <c r="HU161" s="2918"/>
      <c r="HV161" s="2918"/>
      <c r="HW161" s="2918"/>
      <c r="HX161" s="2918"/>
      <c r="HY161" s="2918"/>
      <c r="HZ161" s="2918"/>
      <c r="IA161" s="2918"/>
      <c r="IB161" s="2918"/>
      <c r="IC161" s="2918"/>
      <c r="ID161" s="2918"/>
      <c r="IE161" s="2918"/>
      <c r="IF161" s="2918"/>
      <c r="IG161" s="2918"/>
      <c r="IH161" s="2918"/>
      <c r="II161" s="2918"/>
      <c r="IJ161" s="2918"/>
      <c r="IK161" s="2918"/>
      <c r="IL161" s="2918"/>
      <c r="IM161" s="2918"/>
      <c r="IN161" s="2918"/>
      <c r="IO161" s="2918"/>
      <c r="IP161" s="2918"/>
      <c r="IQ161" s="2918"/>
      <c r="IR161" s="2918"/>
      <c r="IS161" s="2918"/>
      <c r="IT161" s="2918"/>
      <c r="IU161" s="2918"/>
      <c r="IV161" s="2918"/>
    </row>
    <row r="162" spans="1:256" customFormat="1">
      <c r="A162" s="4702"/>
      <c r="B162" s="4708" t="s">
        <v>12588</v>
      </c>
      <c r="C162" s="4708"/>
      <c r="D162" s="4708"/>
      <c r="E162" s="3083">
        <v>1.2</v>
      </c>
      <c r="F162" s="3083">
        <v>1.8</v>
      </c>
      <c r="G162" s="3083">
        <v>2.36</v>
      </c>
      <c r="H162" s="3083">
        <v>3.65</v>
      </c>
      <c r="I162" s="3084">
        <v>4.7</v>
      </c>
      <c r="J162" s="2918"/>
      <c r="K162" s="2918"/>
      <c r="L162" s="2918"/>
      <c r="M162" s="2918"/>
      <c r="N162" s="2918"/>
      <c r="O162" s="2918"/>
      <c r="P162" s="2918"/>
      <c r="Q162" s="2918"/>
      <c r="R162" s="2918"/>
      <c r="S162" s="2918"/>
      <c r="T162" s="2918"/>
      <c r="U162" s="2918"/>
      <c r="V162" s="2918"/>
      <c r="W162" s="2918"/>
      <c r="X162" s="2918"/>
      <c r="Y162" s="2918"/>
      <c r="Z162" s="2918"/>
      <c r="AA162" s="2918"/>
      <c r="AB162" s="2918"/>
      <c r="AC162" s="2918"/>
      <c r="AD162" s="2918"/>
      <c r="AE162" s="2918"/>
      <c r="AF162" s="2918"/>
      <c r="AG162" s="2918"/>
      <c r="AH162" s="2918"/>
      <c r="AI162" s="2918"/>
      <c r="AJ162" s="2918"/>
      <c r="AK162" s="2918"/>
      <c r="AL162" s="2918"/>
      <c r="AM162" s="2918"/>
      <c r="AN162" s="2918"/>
      <c r="AO162" s="2918"/>
      <c r="AP162" s="2918"/>
      <c r="AQ162" s="2918"/>
      <c r="AR162" s="2918"/>
      <c r="AS162" s="2918"/>
      <c r="AT162" s="2918"/>
      <c r="AU162" s="2918"/>
      <c r="AV162" s="2918"/>
      <c r="AW162" s="2918"/>
      <c r="AX162" s="2918"/>
      <c r="AY162" s="2918"/>
      <c r="AZ162" s="2918"/>
      <c r="BA162" s="2918"/>
      <c r="BB162" s="2918"/>
      <c r="BC162" s="2918"/>
      <c r="BD162" s="2918"/>
      <c r="BE162" s="2918"/>
      <c r="BF162" s="2918"/>
      <c r="BG162" s="2918"/>
      <c r="BH162" s="2918"/>
      <c r="BI162" s="2918"/>
      <c r="BJ162" s="2918"/>
      <c r="BK162" s="2918"/>
      <c r="BL162" s="2918"/>
      <c r="BM162" s="2918"/>
      <c r="BN162" s="2918"/>
      <c r="BO162" s="2918"/>
      <c r="BP162" s="2918"/>
      <c r="BQ162" s="2918"/>
      <c r="BR162" s="2918"/>
      <c r="BS162" s="2918"/>
      <c r="BT162" s="2918"/>
      <c r="BU162" s="2918"/>
      <c r="BV162" s="2918"/>
      <c r="BW162" s="2918"/>
      <c r="BX162" s="2918"/>
      <c r="BY162" s="2918"/>
      <c r="BZ162" s="2918"/>
      <c r="CA162" s="2918"/>
      <c r="CB162" s="2918"/>
      <c r="CC162" s="2918"/>
      <c r="CD162" s="2918"/>
      <c r="CE162" s="2918"/>
      <c r="CF162" s="2918"/>
      <c r="CG162" s="2918"/>
      <c r="CH162" s="2918"/>
      <c r="CI162" s="2918"/>
      <c r="CJ162" s="2918"/>
      <c r="CK162" s="2918"/>
      <c r="CL162" s="2918"/>
      <c r="CM162" s="2918"/>
      <c r="CN162" s="2918"/>
      <c r="CO162" s="2918"/>
      <c r="CP162" s="2918"/>
      <c r="CQ162" s="2918"/>
      <c r="CR162" s="2918"/>
      <c r="CS162" s="2918"/>
      <c r="CT162" s="2918"/>
      <c r="CU162" s="2918"/>
      <c r="CV162" s="2918"/>
      <c r="CW162" s="2918"/>
      <c r="CX162" s="2918"/>
      <c r="CY162" s="2918"/>
      <c r="CZ162" s="2918"/>
      <c r="DA162" s="2918"/>
      <c r="DB162" s="2918"/>
      <c r="DC162" s="2918"/>
      <c r="DD162" s="2918"/>
      <c r="DE162" s="2918"/>
      <c r="DF162" s="2918"/>
      <c r="DG162" s="2918"/>
      <c r="DH162" s="2918"/>
      <c r="DI162" s="2918"/>
      <c r="DJ162" s="2918"/>
      <c r="DK162" s="2918"/>
      <c r="DL162" s="2918"/>
      <c r="DM162" s="2918"/>
      <c r="DN162" s="2918"/>
      <c r="DO162" s="2918"/>
      <c r="DP162" s="2918"/>
      <c r="DQ162" s="2918"/>
      <c r="DR162" s="2918"/>
      <c r="DS162" s="2918"/>
      <c r="DT162" s="2918"/>
      <c r="DU162" s="2918"/>
      <c r="DV162" s="2918"/>
      <c r="DW162" s="2918"/>
      <c r="DX162" s="2918"/>
      <c r="DY162" s="2918"/>
      <c r="DZ162" s="2918"/>
      <c r="EA162" s="2918"/>
      <c r="EB162" s="2918"/>
      <c r="EC162" s="2918"/>
      <c r="ED162" s="2918"/>
      <c r="EE162" s="2918"/>
      <c r="EF162" s="2918"/>
      <c r="EG162" s="2918"/>
      <c r="EH162" s="2918"/>
      <c r="EI162" s="2918"/>
      <c r="EJ162" s="2918"/>
      <c r="EK162" s="2918"/>
      <c r="EL162" s="2918"/>
      <c r="EM162" s="2918"/>
      <c r="EN162" s="2918"/>
      <c r="EO162" s="2918"/>
      <c r="EP162" s="2918"/>
      <c r="EQ162" s="2918"/>
      <c r="ER162" s="2918"/>
      <c r="ES162" s="2918"/>
      <c r="ET162" s="2918"/>
      <c r="EU162" s="2918"/>
      <c r="EV162" s="2918"/>
      <c r="EW162" s="2918"/>
      <c r="EX162" s="2918"/>
      <c r="EY162" s="2918"/>
      <c r="EZ162" s="2918"/>
      <c r="FA162" s="2918"/>
      <c r="FB162" s="2918"/>
      <c r="FC162" s="2918"/>
      <c r="FD162" s="2918"/>
      <c r="FE162" s="2918"/>
      <c r="FF162" s="2918"/>
      <c r="FG162" s="2918"/>
      <c r="FH162" s="2918"/>
      <c r="FI162" s="2918"/>
      <c r="FJ162" s="2918"/>
      <c r="FK162" s="2918"/>
      <c r="FL162" s="2918"/>
      <c r="FM162" s="2918"/>
      <c r="FN162" s="2918"/>
      <c r="FO162" s="2918"/>
      <c r="FP162" s="2918"/>
      <c r="FQ162" s="2918"/>
      <c r="FR162" s="2918"/>
      <c r="FS162" s="2918"/>
      <c r="FT162" s="2918"/>
      <c r="FU162" s="2918"/>
      <c r="FV162" s="2918"/>
      <c r="FW162" s="2918"/>
      <c r="FX162" s="2918"/>
      <c r="FY162" s="2918"/>
      <c r="FZ162" s="2918"/>
      <c r="GA162" s="2918"/>
      <c r="GB162" s="2918"/>
      <c r="GC162" s="2918"/>
      <c r="GD162" s="2918"/>
      <c r="GE162" s="2918"/>
      <c r="GF162" s="2918"/>
      <c r="GG162" s="2918"/>
      <c r="GH162" s="2918"/>
      <c r="GI162" s="2918"/>
      <c r="GJ162" s="2918"/>
      <c r="GK162" s="2918"/>
      <c r="GL162" s="2918"/>
      <c r="GM162" s="2918"/>
      <c r="GN162" s="2918"/>
      <c r="GO162" s="2918"/>
      <c r="GP162" s="2918"/>
      <c r="GQ162" s="2918"/>
      <c r="GR162" s="2918"/>
      <c r="GS162" s="2918"/>
      <c r="GT162" s="2918"/>
      <c r="GU162" s="2918"/>
      <c r="GV162" s="2918"/>
      <c r="GW162" s="2918"/>
      <c r="GX162" s="2918"/>
      <c r="GY162" s="2918"/>
      <c r="GZ162" s="2918"/>
      <c r="HA162" s="2918"/>
      <c r="HB162" s="2918"/>
      <c r="HC162" s="2918"/>
      <c r="HD162" s="2918"/>
      <c r="HE162" s="2918"/>
      <c r="HF162" s="2918"/>
      <c r="HG162" s="2918"/>
      <c r="HH162" s="2918"/>
      <c r="HI162" s="2918"/>
      <c r="HJ162" s="2918"/>
      <c r="HK162" s="2918"/>
      <c r="HL162" s="2918"/>
      <c r="HM162" s="2918"/>
      <c r="HN162" s="2918"/>
      <c r="HO162" s="2918"/>
      <c r="HP162" s="2918"/>
      <c r="HQ162" s="2918"/>
      <c r="HR162" s="2918"/>
      <c r="HS162" s="2918"/>
      <c r="HT162" s="2918"/>
      <c r="HU162" s="2918"/>
      <c r="HV162" s="2918"/>
      <c r="HW162" s="2918"/>
      <c r="HX162" s="2918"/>
      <c r="HY162" s="2918"/>
      <c r="HZ162" s="2918"/>
      <c r="IA162" s="2918"/>
      <c r="IB162" s="2918"/>
      <c r="IC162" s="2918"/>
      <c r="ID162" s="2918"/>
      <c r="IE162" s="2918"/>
      <c r="IF162" s="2918"/>
      <c r="IG162" s="2918"/>
      <c r="IH162" s="2918"/>
      <c r="II162" s="2918"/>
      <c r="IJ162" s="2918"/>
      <c r="IK162" s="2918"/>
      <c r="IL162" s="2918"/>
      <c r="IM162" s="2918"/>
      <c r="IN162" s="2918"/>
      <c r="IO162" s="2918"/>
      <c r="IP162" s="2918"/>
      <c r="IQ162" s="2918"/>
      <c r="IR162" s="2918"/>
      <c r="IS162" s="2918"/>
      <c r="IT162" s="2918"/>
      <c r="IU162" s="2918"/>
      <c r="IV162" s="2918"/>
    </row>
    <row r="163" spans="1:256" customFormat="1">
      <c r="A163" s="4702"/>
      <c r="B163" s="4704" t="s">
        <v>12589</v>
      </c>
      <c r="C163" s="4704"/>
      <c r="D163" s="4704"/>
      <c r="E163" s="3081">
        <f>E3^2*PI()/4/E162</f>
        <v>2.1205750411731108</v>
      </c>
      <c r="F163" s="3081">
        <f>F3^2*PI()/4/F162</f>
        <v>3.0641436680325445</v>
      </c>
      <c r="G163" s="3081">
        <f>G3^2*PI()/4/G162</f>
        <v>4.1940594721255691</v>
      </c>
      <c r="H163" s="3081">
        <f>H3^2*PI()/4/H162</f>
        <v>6.0443381944751566</v>
      </c>
      <c r="I163" s="3082">
        <f>I3^2*PI()/4/I162</f>
        <v>8.1881936183989286</v>
      </c>
      <c r="J163" s="2918"/>
      <c r="K163" s="2918"/>
      <c r="L163" s="2918"/>
      <c r="M163" s="2918"/>
      <c r="N163" s="2918"/>
      <c r="O163" s="2918"/>
      <c r="P163" s="2918"/>
      <c r="Q163" s="2918"/>
      <c r="R163" s="2918"/>
      <c r="S163" s="2918"/>
      <c r="T163" s="2918"/>
      <c r="U163" s="2918"/>
      <c r="V163" s="2918"/>
      <c r="W163" s="2918"/>
      <c r="X163" s="2918"/>
      <c r="Y163" s="2918"/>
      <c r="Z163" s="2918"/>
      <c r="AA163" s="2918"/>
      <c r="AB163" s="2918"/>
      <c r="AC163" s="2918"/>
      <c r="AD163" s="2918"/>
      <c r="AE163" s="2918"/>
      <c r="AF163" s="2918"/>
      <c r="AG163" s="2918"/>
      <c r="AH163" s="2918"/>
      <c r="AI163" s="2918"/>
      <c r="AJ163" s="2918"/>
      <c r="AK163" s="2918"/>
      <c r="AL163" s="2918"/>
      <c r="AM163" s="2918"/>
      <c r="AN163" s="2918"/>
      <c r="AO163" s="2918"/>
      <c r="AP163" s="2918"/>
      <c r="AQ163" s="2918"/>
      <c r="AR163" s="2918"/>
      <c r="AS163" s="2918"/>
      <c r="AT163" s="2918"/>
      <c r="AU163" s="2918"/>
      <c r="AV163" s="2918"/>
      <c r="AW163" s="2918"/>
      <c r="AX163" s="2918"/>
      <c r="AY163" s="2918"/>
      <c r="AZ163" s="2918"/>
      <c r="BA163" s="2918"/>
      <c r="BB163" s="2918"/>
      <c r="BC163" s="2918"/>
      <c r="BD163" s="2918"/>
      <c r="BE163" s="2918"/>
      <c r="BF163" s="2918"/>
      <c r="BG163" s="2918"/>
      <c r="BH163" s="2918"/>
      <c r="BI163" s="2918"/>
      <c r="BJ163" s="2918"/>
      <c r="BK163" s="2918"/>
      <c r="BL163" s="2918"/>
      <c r="BM163" s="2918"/>
      <c r="BN163" s="2918"/>
      <c r="BO163" s="2918"/>
      <c r="BP163" s="2918"/>
      <c r="BQ163" s="2918"/>
      <c r="BR163" s="2918"/>
      <c r="BS163" s="2918"/>
      <c r="BT163" s="2918"/>
      <c r="BU163" s="2918"/>
      <c r="BV163" s="2918"/>
      <c r="BW163" s="2918"/>
      <c r="BX163" s="2918"/>
      <c r="BY163" s="2918"/>
      <c r="BZ163" s="2918"/>
      <c r="CA163" s="2918"/>
      <c r="CB163" s="2918"/>
      <c r="CC163" s="2918"/>
      <c r="CD163" s="2918"/>
      <c r="CE163" s="2918"/>
      <c r="CF163" s="2918"/>
      <c r="CG163" s="2918"/>
      <c r="CH163" s="2918"/>
      <c r="CI163" s="2918"/>
      <c r="CJ163" s="2918"/>
      <c r="CK163" s="2918"/>
      <c r="CL163" s="2918"/>
      <c r="CM163" s="2918"/>
      <c r="CN163" s="2918"/>
      <c r="CO163" s="2918"/>
      <c r="CP163" s="2918"/>
      <c r="CQ163" s="2918"/>
      <c r="CR163" s="2918"/>
      <c r="CS163" s="2918"/>
      <c r="CT163" s="2918"/>
      <c r="CU163" s="2918"/>
      <c r="CV163" s="2918"/>
      <c r="CW163" s="2918"/>
      <c r="CX163" s="2918"/>
      <c r="CY163" s="2918"/>
      <c r="CZ163" s="2918"/>
      <c r="DA163" s="2918"/>
      <c r="DB163" s="2918"/>
      <c r="DC163" s="2918"/>
      <c r="DD163" s="2918"/>
      <c r="DE163" s="2918"/>
      <c r="DF163" s="2918"/>
      <c r="DG163" s="2918"/>
      <c r="DH163" s="2918"/>
      <c r="DI163" s="2918"/>
      <c r="DJ163" s="2918"/>
      <c r="DK163" s="2918"/>
      <c r="DL163" s="2918"/>
      <c r="DM163" s="2918"/>
      <c r="DN163" s="2918"/>
      <c r="DO163" s="2918"/>
      <c r="DP163" s="2918"/>
      <c r="DQ163" s="2918"/>
      <c r="DR163" s="2918"/>
      <c r="DS163" s="2918"/>
      <c r="DT163" s="2918"/>
      <c r="DU163" s="2918"/>
      <c r="DV163" s="2918"/>
      <c r="DW163" s="2918"/>
      <c r="DX163" s="2918"/>
      <c r="DY163" s="2918"/>
      <c r="DZ163" s="2918"/>
      <c r="EA163" s="2918"/>
      <c r="EB163" s="2918"/>
      <c r="EC163" s="2918"/>
      <c r="ED163" s="2918"/>
      <c r="EE163" s="2918"/>
      <c r="EF163" s="2918"/>
      <c r="EG163" s="2918"/>
      <c r="EH163" s="2918"/>
      <c r="EI163" s="2918"/>
      <c r="EJ163" s="2918"/>
      <c r="EK163" s="2918"/>
      <c r="EL163" s="2918"/>
      <c r="EM163" s="2918"/>
      <c r="EN163" s="2918"/>
      <c r="EO163" s="2918"/>
      <c r="EP163" s="2918"/>
      <c r="EQ163" s="2918"/>
      <c r="ER163" s="2918"/>
      <c r="ES163" s="2918"/>
      <c r="ET163" s="2918"/>
      <c r="EU163" s="2918"/>
      <c r="EV163" s="2918"/>
      <c r="EW163" s="2918"/>
      <c r="EX163" s="2918"/>
      <c r="EY163" s="2918"/>
      <c r="EZ163" s="2918"/>
      <c r="FA163" s="2918"/>
      <c r="FB163" s="2918"/>
      <c r="FC163" s="2918"/>
      <c r="FD163" s="2918"/>
      <c r="FE163" s="2918"/>
      <c r="FF163" s="2918"/>
      <c r="FG163" s="2918"/>
      <c r="FH163" s="2918"/>
      <c r="FI163" s="2918"/>
      <c r="FJ163" s="2918"/>
      <c r="FK163" s="2918"/>
      <c r="FL163" s="2918"/>
      <c r="FM163" s="2918"/>
      <c r="FN163" s="2918"/>
      <c r="FO163" s="2918"/>
      <c r="FP163" s="2918"/>
      <c r="FQ163" s="2918"/>
      <c r="FR163" s="2918"/>
      <c r="FS163" s="2918"/>
      <c r="FT163" s="2918"/>
      <c r="FU163" s="2918"/>
      <c r="FV163" s="2918"/>
      <c r="FW163" s="2918"/>
      <c r="FX163" s="2918"/>
      <c r="FY163" s="2918"/>
      <c r="FZ163" s="2918"/>
      <c r="GA163" s="2918"/>
      <c r="GB163" s="2918"/>
      <c r="GC163" s="2918"/>
      <c r="GD163" s="2918"/>
      <c r="GE163" s="2918"/>
      <c r="GF163" s="2918"/>
      <c r="GG163" s="2918"/>
      <c r="GH163" s="2918"/>
      <c r="GI163" s="2918"/>
      <c r="GJ163" s="2918"/>
      <c r="GK163" s="2918"/>
      <c r="GL163" s="2918"/>
      <c r="GM163" s="2918"/>
      <c r="GN163" s="2918"/>
      <c r="GO163" s="2918"/>
      <c r="GP163" s="2918"/>
      <c r="GQ163" s="2918"/>
      <c r="GR163" s="2918"/>
      <c r="GS163" s="2918"/>
      <c r="GT163" s="2918"/>
      <c r="GU163" s="2918"/>
      <c r="GV163" s="2918"/>
      <c r="GW163" s="2918"/>
      <c r="GX163" s="2918"/>
      <c r="GY163" s="2918"/>
      <c r="GZ163" s="2918"/>
      <c r="HA163" s="2918"/>
      <c r="HB163" s="2918"/>
      <c r="HC163" s="2918"/>
      <c r="HD163" s="2918"/>
      <c r="HE163" s="2918"/>
      <c r="HF163" s="2918"/>
      <c r="HG163" s="2918"/>
      <c r="HH163" s="2918"/>
      <c r="HI163" s="2918"/>
      <c r="HJ163" s="2918"/>
      <c r="HK163" s="2918"/>
      <c r="HL163" s="2918"/>
      <c r="HM163" s="2918"/>
      <c r="HN163" s="2918"/>
      <c r="HO163" s="2918"/>
      <c r="HP163" s="2918"/>
      <c r="HQ163" s="2918"/>
      <c r="HR163" s="2918"/>
      <c r="HS163" s="2918"/>
      <c r="HT163" s="2918"/>
      <c r="HU163" s="2918"/>
      <c r="HV163" s="2918"/>
      <c r="HW163" s="2918"/>
      <c r="HX163" s="2918"/>
      <c r="HY163" s="2918"/>
      <c r="HZ163" s="2918"/>
      <c r="IA163" s="2918"/>
      <c r="IB163" s="2918"/>
      <c r="IC163" s="2918"/>
      <c r="ID163" s="2918"/>
      <c r="IE163" s="2918"/>
      <c r="IF163" s="2918"/>
      <c r="IG163" s="2918"/>
      <c r="IH163" s="2918"/>
      <c r="II163" s="2918"/>
      <c r="IJ163" s="2918"/>
      <c r="IK163" s="2918"/>
      <c r="IL163" s="2918"/>
      <c r="IM163" s="2918"/>
      <c r="IN163" s="2918"/>
      <c r="IO163" s="2918"/>
      <c r="IP163" s="2918"/>
      <c r="IQ163" s="2918"/>
      <c r="IR163" s="2918"/>
      <c r="IS163" s="2918"/>
      <c r="IT163" s="2918"/>
      <c r="IU163" s="2918"/>
      <c r="IV163" s="2918"/>
    </row>
    <row r="164" spans="1:256" customFormat="1">
      <c r="A164" s="4702"/>
      <c r="B164" s="4708" t="s">
        <v>12590</v>
      </c>
      <c r="C164" s="4708"/>
      <c r="D164" s="4708"/>
      <c r="E164" s="3085">
        <v>1.2</v>
      </c>
      <c r="F164" s="3085">
        <v>1.8</v>
      </c>
      <c r="G164" s="3085">
        <v>2.36</v>
      </c>
      <c r="H164" s="3085">
        <v>4.1900000000000004</v>
      </c>
      <c r="I164" s="3086">
        <v>4.7</v>
      </c>
      <c r="J164" s="2918"/>
      <c r="K164" s="2918"/>
      <c r="L164" s="2918"/>
      <c r="M164" s="2918"/>
      <c r="N164" s="2918"/>
      <c r="O164" s="2918"/>
      <c r="P164" s="2918"/>
      <c r="Q164" s="2918"/>
      <c r="R164" s="2918"/>
      <c r="S164" s="2918"/>
      <c r="T164" s="2918"/>
      <c r="U164" s="2918"/>
      <c r="V164" s="2918"/>
      <c r="W164" s="2918"/>
      <c r="X164" s="2918"/>
      <c r="Y164" s="2918"/>
      <c r="Z164" s="2918"/>
      <c r="AA164" s="2918"/>
      <c r="AB164" s="2918"/>
      <c r="AC164" s="2918"/>
      <c r="AD164" s="2918"/>
      <c r="AE164" s="2918"/>
      <c r="AF164" s="2918"/>
      <c r="AG164" s="2918"/>
      <c r="AH164" s="2918"/>
      <c r="AI164" s="2918"/>
      <c r="AJ164" s="2918"/>
      <c r="AK164" s="2918"/>
      <c r="AL164" s="2918"/>
      <c r="AM164" s="2918"/>
      <c r="AN164" s="2918"/>
      <c r="AO164" s="2918"/>
      <c r="AP164" s="2918"/>
      <c r="AQ164" s="2918"/>
      <c r="AR164" s="2918"/>
      <c r="AS164" s="2918"/>
      <c r="AT164" s="2918"/>
      <c r="AU164" s="2918"/>
      <c r="AV164" s="2918"/>
      <c r="AW164" s="2918"/>
      <c r="AX164" s="2918"/>
      <c r="AY164" s="2918"/>
      <c r="AZ164" s="2918"/>
      <c r="BA164" s="2918"/>
      <c r="BB164" s="2918"/>
      <c r="BC164" s="2918"/>
      <c r="BD164" s="2918"/>
      <c r="BE164" s="2918"/>
      <c r="BF164" s="2918"/>
      <c r="BG164" s="2918"/>
      <c r="BH164" s="2918"/>
      <c r="BI164" s="2918"/>
      <c r="BJ164" s="2918"/>
      <c r="BK164" s="2918"/>
      <c r="BL164" s="2918"/>
      <c r="BM164" s="2918"/>
      <c r="BN164" s="2918"/>
      <c r="BO164" s="2918"/>
      <c r="BP164" s="2918"/>
      <c r="BQ164" s="2918"/>
      <c r="BR164" s="2918"/>
      <c r="BS164" s="2918"/>
      <c r="BT164" s="2918"/>
      <c r="BU164" s="2918"/>
      <c r="BV164" s="2918"/>
      <c r="BW164" s="2918"/>
      <c r="BX164" s="2918"/>
      <c r="BY164" s="2918"/>
      <c r="BZ164" s="2918"/>
      <c r="CA164" s="2918"/>
      <c r="CB164" s="2918"/>
      <c r="CC164" s="2918"/>
      <c r="CD164" s="2918"/>
      <c r="CE164" s="2918"/>
      <c r="CF164" s="2918"/>
      <c r="CG164" s="2918"/>
      <c r="CH164" s="2918"/>
      <c r="CI164" s="2918"/>
      <c r="CJ164" s="2918"/>
      <c r="CK164" s="2918"/>
      <c r="CL164" s="2918"/>
      <c r="CM164" s="2918"/>
      <c r="CN164" s="2918"/>
      <c r="CO164" s="2918"/>
      <c r="CP164" s="2918"/>
      <c r="CQ164" s="2918"/>
      <c r="CR164" s="2918"/>
      <c r="CS164" s="2918"/>
      <c r="CT164" s="2918"/>
      <c r="CU164" s="2918"/>
      <c r="CV164" s="2918"/>
      <c r="CW164" s="2918"/>
      <c r="CX164" s="2918"/>
      <c r="CY164" s="2918"/>
      <c r="CZ164" s="2918"/>
      <c r="DA164" s="2918"/>
      <c r="DB164" s="2918"/>
      <c r="DC164" s="2918"/>
      <c r="DD164" s="2918"/>
      <c r="DE164" s="2918"/>
      <c r="DF164" s="2918"/>
      <c r="DG164" s="2918"/>
      <c r="DH164" s="2918"/>
      <c r="DI164" s="2918"/>
      <c r="DJ164" s="2918"/>
      <c r="DK164" s="2918"/>
      <c r="DL164" s="2918"/>
      <c r="DM164" s="2918"/>
      <c r="DN164" s="2918"/>
      <c r="DO164" s="2918"/>
      <c r="DP164" s="2918"/>
      <c r="DQ164" s="2918"/>
      <c r="DR164" s="2918"/>
      <c r="DS164" s="2918"/>
      <c r="DT164" s="2918"/>
      <c r="DU164" s="2918"/>
      <c r="DV164" s="2918"/>
      <c r="DW164" s="2918"/>
      <c r="DX164" s="2918"/>
      <c r="DY164" s="2918"/>
      <c r="DZ164" s="2918"/>
      <c r="EA164" s="2918"/>
      <c r="EB164" s="2918"/>
      <c r="EC164" s="2918"/>
      <c r="ED164" s="2918"/>
      <c r="EE164" s="2918"/>
      <c r="EF164" s="2918"/>
      <c r="EG164" s="2918"/>
      <c r="EH164" s="2918"/>
      <c r="EI164" s="2918"/>
      <c r="EJ164" s="2918"/>
      <c r="EK164" s="2918"/>
      <c r="EL164" s="2918"/>
      <c r="EM164" s="2918"/>
      <c r="EN164" s="2918"/>
      <c r="EO164" s="2918"/>
      <c r="EP164" s="2918"/>
      <c r="EQ164" s="2918"/>
      <c r="ER164" s="2918"/>
      <c r="ES164" s="2918"/>
      <c r="ET164" s="2918"/>
      <c r="EU164" s="2918"/>
      <c r="EV164" s="2918"/>
      <c r="EW164" s="2918"/>
      <c r="EX164" s="2918"/>
      <c r="EY164" s="2918"/>
      <c r="EZ164" s="2918"/>
      <c r="FA164" s="2918"/>
      <c r="FB164" s="2918"/>
      <c r="FC164" s="2918"/>
      <c r="FD164" s="2918"/>
      <c r="FE164" s="2918"/>
      <c r="FF164" s="2918"/>
      <c r="FG164" s="2918"/>
      <c r="FH164" s="2918"/>
      <c r="FI164" s="2918"/>
      <c r="FJ164" s="2918"/>
      <c r="FK164" s="2918"/>
      <c r="FL164" s="2918"/>
      <c r="FM164" s="2918"/>
      <c r="FN164" s="2918"/>
      <c r="FO164" s="2918"/>
      <c r="FP164" s="2918"/>
      <c r="FQ164" s="2918"/>
      <c r="FR164" s="2918"/>
      <c r="FS164" s="2918"/>
      <c r="FT164" s="2918"/>
      <c r="FU164" s="2918"/>
      <c r="FV164" s="2918"/>
      <c r="FW164" s="2918"/>
      <c r="FX164" s="2918"/>
      <c r="FY164" s="2918"/>
      <c r="FZ164" s="2918"/>
      <c r="GA164" s="2918"/>
      <c r="GB164" s="2918"/>
      <c r="GC164" s="2918"/>
      <c r="GD164" s="2918"/>
      <c r="GE164" s="2918"/>
      <c r="GF164" s="2918"/>
      <c r="GG164" s="2918"/>
      <c r="GH164" s="2918"/>
      <c r="GI164" s="2918"/>
      <c r="GJ164" s="2918"/>
      <c r="GK164" s="2918"/>
      <c r="GL164" s="2918"/>
      <c r="GM164" s="2918"/>
      <c r="GN164" s="2918"/>
      <c r="GO164" s="2918"/>
      <c r="GP164" s="2918"/>
      <c r="GQ164" s="2918"/>
      <c r="GR164" s="2918"/>
      <c r="GS164" s="2918"/>
      <c r="GT164" s="2918"/>
      <c r="GU164" s="2918"/>
      <c r="GV164" s="2918"/>
      <c r="GW164" s="2918"/>
      <c r="GX164" s="2918"/>
      <c r="GY164" s="2918"/>
      <c r="GZ164" s="2918"/>
      <c r="HA164" s="2918"/>
      <c r="HB164" s="2918"/>
      <c r="HC164" s="2918"/>
      <c r="HD164" s="2918"/>
      <c r="HE164" s="2918"/>
      <c r="HF164" s="2918"/>
      <c r="HG164" s="2918"/>
      <c r="HH164" s="2918"/>
      <c r="HI164" s="2918"/>
      <c r="HJ164" s="2918"/>
      <c r="HK164" s="2918"/>
      <c r="HL164" s="2918"/>
      <c r="HM164" s="2918"/>
      <c r="HN164" s="2918"/>
      <c r="HO164" s="2918"/>
      <c r="HP164" s="2918"/>
      <c r="HQ164" s="2918"/>
      <c r="HR164" s="2918"/>
      <c r="HS164" s="2918"/>
      <c r="HT164" s="2918"/>
      <c r="HU164" s="2918"/>
      <c r="HV164" s="2918"/>
      <c r="HW164" s="2918"/>
      <c r="HX164" s="2918"/>
      <c r="HY164" s="2918"/>
      <c r="HZ164" s="2918"/>
      <c r="IA164" s="2918"/>
      <c r="IB164" s="2918"/>
      <c r="IC164" s="2918"/>
      <c r="ID164" s="2918"/>
      <c r="IE164" s="2918"/>
      <c r="IF164" s="2918"/>
      <c r="IG164" s="2918"/>
      <c r="IH164" s="2918"/>
      <c r="II164" s="2918"/>
      <c r="IJ164" s="2918"/>
      <c r="IK164" s="2918"/>
      <c r="IL164" s="2918"/>
      <c r="IM164" s="2918"/>
      <c r="IN164" s="2918"/>
      <c r="IO164" s="2918"/>
      <c r="IP164" s="2918"/>
      <c r="IQ164" s="2918"/>
      <c r="IR164" s="2918"/>
      <c r="IS164" s="2918"/>
      <c r="IT164" s="2918"/>
      <c r="IU164" s="2918"/>
      <c r="IV164" s="2918"/>
    </row>
    <row r="165" spans="1:256" customFormat="1">
      <c r="A165" s="4703"/>
      <c r="B165" s="4709" t="s">
        <v>12591</v>
      </c>
      <c r="C165" s="4709"/>
      <c r="D165" s="4709"/>
      <c r="E165" s="3087">
        <f>(E3^2-E164^2)*PI()/4/E164+E164</f>
        <v>2.3780972450961726</v>
      </c>
      <c r="F165" s="3087">
        <f>(F3^2-F164^2)*PI()/4/F164+F164</f>
        <v>3.4504269739171374</v>
      </c>
      <c r="G165" s="3087">
        <f>(G3^2-G164^2)*PI()/4/G164+G164</f>
        <v>4.7005198065075913</v>
      </c>
      <c r="H165" s="3087">
        <f>(H3^2-H164^2)*PI()/4/H164+H164</f>
        <v>6.1645359697881572</v>
      </c>
      <c r="I165" s="3088">
        <f>(I3^2-I164^2)*PI()/4/I164+I164</f>
        <v>9.1968222504309214</v>
      </c>
      <c r="J165" s="2918"/>
      <c r="K165" s="2918"/>
      <c r="L165" s="2918"/>
      <c r="M165" s="2918"/>
      <c r="N165" s="2918"/>
      <c r="O165" s="2918"/>
      <c r="P165" s="2918"/>
      <c r="Q165" s="2918"/>
      <c r="R165" s="2918"/>
      <c r="S165" s="2918"/>
      <c r="T165" s="2918"/>
      <c r="U165" s="2918"/>
      <c r="V165" s="2918"/>
      <c r="W165" s="2918"/>
      <c r="X165" s="2918"/>
      <c r="Y165" s="2918"/>
      <c r="Z165" s="2918"/>
      <c r="AA165" s="2918"/>
      <c r="AB165" s="2918"/>
      <c r="AC165" s="2918"/>
      <c r="AD165" s="2918"/>
      <c r="AE165" s="2918"/>
      <c r="AF165" s="2918"/>
      <c r="AG165" s="2918"/>
      <c r="AH165" s="2918"/>
      <c r="AI165" s="2918"/>
      <c r="AJ165" s="2918"/>
      <c r="AK165" s="2918"/>
      <c r="AL165" s="2918"/>
      <c r="AM165" s="2918"/>
      <c r="AN165" s="2918"/>
      <c r="AO165" s="2918"/>
      <c r="AP165" s="2918"/>
      <c r="AQ165" s="2918"/>
      <c r="AR165" s="2918"/>
      <c r="AS165" s="2918"/>
      <c r="AT165" s="2918"/>
      <c r="AU165" s="2918"/>
      <c r="AV165" s="2918"/>
      <c r="AW165" s="2918"/>
      <c r="AX165" s="2918"/>
      <c r="AY165" s="2918"/>
      <c r="AZ165" s="2918"/>
      <c r="BA165" s="2918"/>
      <c r="BB165" s="2918"/>
      <c r="BC165" s="2918"/>
      <c r="BD165" s="2918"/>
      <c r="BE165" s="2918"/>
      <c r="BF165" s="2918"/>
      <c r="BG165" s="2918"/>
      <c r="BH165" s="2918"/>
      <c r="BI165" s="2918"/>
      <c r="BJ165" s="2918"/>
      <c r="BK165" s="2918"/>
      <c r="BL165" s="2918"/>
      <c r="BM165" s="2918"/>
      <c r="BN165" s="2918"/>
      <c r="BO165" s="2918"/>
      <c r="BP165" s="2918"/>
      <c r="BQ165" s="2918"/>
      <c r="BR165" s="2918"/>
      <c r="BS165" s="2918"/>
      <c r="BT165" s="2918"/>
      <c r="BU165" s="2918"/>
      <c r="BV165" s="2918"/>
      <c r="BW165" s="2918"/>
      <c r="BX165" s="2918"/>
      <c r="BY165" s="2918"/>
      <c r="BZ165" s="2918"/>
      <c r="CA165" s="2918"/>
      <c r="CB165" s="2918"/>
      <c r="CC165" s="2918"/>
      <c r="CD165" s="2918"/>
      <c r="CE165" s="2918"/>
      <c r="CF165" s="2918"/>
      <c r="CG165" s="2918"/>
      <c r="CH165" s="2918"/>
      <c r="CI165" s="2918"/>
      <c r="CJ165" s="2918"/>
      <c r="CK165" s="2918"/>
      <c r="CL165" s="2918"/>
      <c r="CM165" s="2918"/>
      <c r="CN165" s="2918"/>
      <c r="CO165" s="2918"/>
      <c r="CP165" s="2918"/>
      <c r="CQ165" s="2918"/>
      <c r="CR165" s="2918"/>
      <c r="CS165" s="2918"/>
      <c r="CT165" s="2918"/>
      <c r="CU165" s="2918"/>
      <c r="CV165" s="2918"/>
      <c r="CW165" s="2918"/>
      <c r="CX165" s="2918"/>
      <c r="CY165" s="2918"/>
      <c r="CZ165" s="2918"/>
      <c r="DA165" s="2918"/>
      <c r="DB165" s="2918"/>
      <c r="DC165" s="2918"/>
      <c r="DD165" s="2918"/>
      <c r="DE165" s="2918"/>
      <c r="DF165" s="2918"/>
      <c r="DG165" s="2918"/>
      <c r="DH165" s="2918"/>
      <c r="DI165" s="2918"/>
      <c r="DJ165" s="2918"/>
      <c r="DK165" s="2918"/>
      <c r="DL165" s="2918"/>
      <c r="DM165" s="2918"/>
      <c r="DN165" s="2918"/>
      <c r="DO165" s="2918"/>
      <c r="DP165" s="2918"/>
      <c r="DQ165" s="2918"/>
      <c r="DR165" s="2918"/>
      <c r="DS165" s="2918"/>
      <c r="DT165" s="2918"/>
      <c r="DU165" s="2918"/>
      <c r="DV165" s="2918"/>
      <c r="DW165" s="2918"/>
      <c r="DX165" s="2918"/>
      <c r="DY165" s="2918"/>
      <c r="DZ165" s="2918"/>
      <c r="EA165" s="2918"/>
      <c r="EB165" s="2918"/>
      <c r="EC165" s="2918"/>
      <c r="ED165" s="2918"/>
      <c r="EE165" s="2918"/>
      <c r="EF165" s="2918"/>
      <c r="EG165" s="2918"/>
      <c r="EH165" s="2918"/>
      <c r="EI165" s="2918"/>
      <c r="EJ165" s="2918"/>
      <c r="EK165" s="2918"/>
      <c r="EL165" s="2918"/>
      <c r="EM165" s="2918"/>
      <c r="EN165" s="2918"/>
      <c r="EO165" s="2918"/>
      <c r="EP165" s="2918"/>
      <c r="EQ165" s="2918"/>
      <c r="ER165" s="2918"/>
      <c r="ES165" s="2918"/>
      <c r="ET165" s="2918"/>
      <c r="EU165" s="2918"/>
      <c r="EV165" s="2918"/>
      <c r="EW165" s="2918"/>
      <c r="EX165" s="2918"/>
      <c r="EY165" s="2918"/>
      <c r="EZ165" s="2918"/>
      <c r="FA165" s="2918"/>
      <c r="FB165" s="2918"/>
      <c r="FC165" s="2918"/>
      <c r="FD165" s="2918"/>
      <c r="FE165" s="2918"/>
      <c r="FF165" s="2918"/>
      <c r="FG165" s="2918"/>
      <c r="FH165" s="2918"/>
      <c r="FI165" s="2918"/>
      <c r="FJ165" s="2918"/>
      <c r="FK165" s="2918"/>
      <c r="FL165" s="2918"/>
      <c r="FM165" s="2918"/>
      <c r="FN165" s="2918"/>
      <c r="FO165" s="2918"/>
      <c r="FP165" s="2918"/>
      <c r="FQ165" s="2918"/>
      <c r="FR165" s="2918"/>
      <c r="FS165" s="2918"/>
      <c r="FT165" s="2918"/>
      <c r="FU165" s="2918"/>
      <c r="FV165" s="2918"/>
      <c r="FW165" s="2918"/>
      <c r="FX165" s="2918"/>
      <c r="FY165" s="2918"/>
      <c r="FZ165" s="2918"/>
      <c r="GA165" s="2918"/>
      <c r="GB165" s="2918"/>
      <c r="GC165" s="2918"/>
      <c r="GD165" s="2918"/>
      <c r="GE165" s="2918"/>
      <c r="GF165" s="2918"/>
      <c r="GG165" s="2918"/>
      <c r="GH165" s="2918"/>
      <c r="GI165" s="2918"/>
      <c r="GJ165" s="2918"/>
      <c r="GK165" s="2918"/>
      <c r="GL165" s="2918"/>
      <c r="GM165" s="2918"/>
      <c r="GN165" s="2918"/>
      <c r="GO165" s="2918"/>
      <c r="GP165" s="2918"/>
      <c r="GQ165" s="2918"/>
      <c r="GR165" s="2918"/>
      <c r="GS165" s="2918"/>
      <c r="GT165" s="2918"/>
      <c r="GU165" s="2918"/>
      <c r="GV165" s="2918"/>
      <c r="GW165" s="2918"/>
      <c r="GX165" s="2918"/>
      <c r="GY165" s="2918"/>
      <c r="GZ165" s="2918"/>
      <c r="HA165" s="2918"/>
      <c r="HB165" s="2918"/>
      <c r="HC165" s="2918"/>
      <c r="HD165" s="2918"/>
      <c r="HE165" s="2918"/>
      <c r="HF165" s="2918"/>
      <c r="HG165" s="2918"/>
      <c r="HH165" s="2918"/>
      <c r="HI165" s="2918"/>
      <c r="HJ165" s="2918"/>
      <c r="HK165" s="2918"/>
      <c r="HL165" s="2918"/>
      <c r="HM165" s="2918"/>
      <c r="HN165" s="2918"/>
      <c r="HO165" s="2918"/>
      <c r="HP165" s="2918"/>
      <c r="HQ165" s="2918"/>
      <c r="HR165" s="2918"/>
      <c r="HS165" s="2918"/>
      <c r="HT165" s="2918"/>
      <c r="HU165" s="2918"/>
      <c r="HV165" s="2918"/>
      <c r="HW165" s="2918"/>
      <c r="HX165" s="2918"/>
      <c r="HY165" s="2918"/>
      <c r="HZ165" s="2918"/>
      <c r="IA165" s="2918"/>
      <c r="IB165" s="2918"/>
      <c r="IC165" s="2918"/>
      <c r="ID165" s="2918"/>
      <c r="IE165" s="2918"/>
      <c r="IF165" s="2918"/>
      <c r="IG165" s="2918"/>
      <c r="IH165" s="2918"/>
      <c r="II165" s="2918"/>
      <c r="IJ165" s="2918"/>
      <c r="IK165" s="2918"/>
      <c r="IL165" s="2918"/>
      <c r="IM165" s="2918"/>
      <c r="IN165" s="2918"/>
      <c r="IO165" s="2918"/>
      <c r="IP165" s="2918"/>
      <c r="IQ165" s="2918"/>
      <c r="IR165" s="2918"/>
      <c r="IS165" s="2918"/>
      <c r="IT165" s="2918"/>
      <c r="IU165" s="2918"/>
      <c r="IV165" s="2918"/>
    </row>
    <row r="166" spans="1:256" customFormat="1" ht="14.25" customHeight="1">
      <c r="A166" s="4701" t="s">
        <v>12592</v>
      </c>
      <c r="B166" s="4710" t="s">
        <v>12584</v>
      </c>
      <c r="C166" s="4711" t="s">
        <v>12593</v>
      </c>
      <c r="D166" s="4711"/>
      <c r="E166" s="3075">
        <v>2.2000000000000002</v>
      </c>
      <c r="F166" s="3075">
        <v>3.4</v>
      </c>
      <c r="G166" s="3075">
        <v>4.5999999999999996</v>
      </c>
      <c r="H166" s="3075">
        <v>6.9</v>
      </c>
      <c r="I166" s="3076">
        <v>9.3000000000000007</v>
      </c>
      <c r="J166" s="2918"/>
      <c r="K166" s="2918"/>
      <c r="L166" s="2918"/>
      <c r="M166" s="2918"/>
      <c r="N166" s="2918"/>
      <c r="O166" s="2918"/>
      <c r="P166" s="2918"/>
      <c r="Q166" s="2918"/>
      <c r="R166" s="2918"/>
      <c r="S166" s="2918"/>
      <c r="T166" s="2918"/>
      <c r="U166" s="2918"/>
      <c r="V166" s="2918"/>
      <c r="W166" s="2918"/>
      <c r="X166" s="2918"/>
      <c r="Y166" s="2918"/>
      <c r="Z166" s="2918"/>
      <c r="AA166" s="2918"/>
      <c r="AB166" s="2918"/>
      <c r="AC166" s="2918"/>
      <c r="AD166" s="2918"/>
      <c r="AE166" s="2918"/>
      <c r="AF166" s="2918"/>
      <c r="AG166" s="2918"/>
      <c r="AH166" s="2918"/>
      <c r="AI166" s="2918"/>
      <c r="AJ166" s="2918"/>
      <c r="AK166" s="2918"/>
      <c r="AL166" s="2918"/>
      <c r="AM166" s="2918"/>
      <c r="AN166" s="2918"/>
      <c r="AO166" s="2918"/>
      <c r="AP166" s="2918"/>
      <c r="AQ166" s="2918"/>
      <c r="AR166" s="2918"/>
      <c r="AS166" s="2918"/>
      <c r="AT166" s="2918"/>
      <c r="AU166" s="2918"/>
      <c r="AV166" s="2918"/>
      <c r="AW166" s="2918"/>
      <c r="AX166" s="2918"/>
      <c r="AY166" s="2918"/>
      <c r="AZ166" s="2918"/>
      <c r="BA166" s="2918"/>
      <c r="BB166" s="2918"/>
      <c r="BC166" s="2918"/>
      <c r="BD166" s="2918"/>
      <c r="BE166" s="2918"/>
      <c r="BF166" s="2918"/>
      <c r="BG166" s="2918"/>
      <c r="BH166" s="2918"/>
      <c r="BI166" s="2918"/>
      <c r="BJ166" s="2918"/>
      <c r="BK166" s="2918"/>
      <c r="BL166" s="2918"/>
      <c r="BM166" s="2918"/>
      <c r="BN166" s="2918"/>
      <c r="BO166" s="2918"/>
      <c r="BP166" s="2918"/>
      <c r="BQ166" s="2918"/>
      <c r="BR166" s="2918"/>
      <c r="BS166" s="2918"/>
      <c r="BT166" s="2918"/>
      <c r="BU166" s="2918"/>
      <c r="BV166" s="2918"/>
      <c r="BW166" s="2918"/>
      <c r="BX166" s="2918"/>
      <c r="BY166" s="2918"/>
      <c r="BZ166" s="2918"/>
      <c r="CA166" s="2918"/>
      <c r="CB166" s="2918"/>
      <c r="CC166" s="2918"/>
      <c r="CD166" s="2918"/>
      <c r="CE166" s="2918"/>
      <c r="CF166" s="2918"/>
      <c r="CG166" s="2918"/>
      <c r="CH166" s="2918"/>
      <c r="CI166" s="2918"/>
      <c r="CJ166" s="2918"/>
      <c r="CK166" s="2918"/>
      <c r="CL166" s="2918"/>
      <c r="CM166" s="2918"/>
      <c r="CN166" s="2918"/>
      <c r="CO166" s="2918"/>
      <c r="CP166" s="2918"/>
      <c r="CQ166" s="2918"/>
      <c r="CR166" s="2918"/>
      <c r="CS166" s="2918"/>
      <c r="CT166" s="2918"/>
      <c r="CU166" s="2918"/>
      <c r="CV166" s="2918"/>
      <c r="CW166" s="2918"/>
      <c r="CX166" s="2918"/>
      <c r="CY166" s="2918"/>
      <c r="CZ166" s="2918"/>
      <c r="DA166" s="2918"/>
      <c r="DB166" s="2918"/>
      <c r="DC166" s="2918"/>
      <c r="DD166" s="2918"/>
      <c r="DE166" s="2918"/>
      <c r="DF166" s="2918"/>
      <c r="DG166" s="2918"/>
      <c r="DH166" s="2918"/>
      <c r="DI166" s="2918"/>
      <c r="DJ166" s="2918"/>
      <c r="DK166" s="2918"/>
      <c r="DL166" s="2918"/>
      <c r="DM166" s="2918"/>
      <c r="DN166" s="2918"/>
      <c r="DO166" s="2918"/>
      <c r="DP166" s="2918"/>
      <c r="DQ166" s="2918"/>
      <c r="DR166" s="2918"/>
      <c r="DS166" s="2918"/>
      <c r="DT166" s="2918"/>
      <c r="DU166" s="2918"/>
      <c r="DV166" s="2918"/>
      <c r="DW166" s="2918"/>
      <c r="DX166" s="2918"/>
      <c r="DY166" s="2918"/>
      <c r="DZ166" s="2918"/>
      <c r="EA166" s="2918"/>
      <c r="EB166" s="2918"/>
      <c r="EC166" s="2918"/>
      <c r="ED166" s="2918"/>
      <c r="EE166" s="2918"/>
      <c r="EF166" s="2918"/>
      <c r="EG166" s="2918"/>
      <c r="EH166" s="2918"/>
      <c r="EI166" s="2918"/>
      <c r="EJ166" s="2918"/>
      <c r="EK166" s="2918"/>
      <c r="EL166" s="2918"/>
      <c r="EM166" s="2918"/>
      <c r="EN166" s="2918"/>
      <c r="EO166" s="2918"/>
      <c r="EP166" s="2918"/>
      <c r="EQ166" s="2918"/>
      <c r="ER166" s="2918"/>
      <c r="ES166" s="2918"/>
      <c r="ET166" s="2918"/>
      <c r="EU166" s="2918"/>
      <c r="EV166" s="2918"/>
      <c r="EW166" s="2918"/>
      <c r="EX166" s="2918"/>
      <c r="EY166" s="2918"/>
      <c r="EZ166" s="2918"/>
      <c r="FA166" s="2918"/>
      <c r="FB166" s="2918"/>
      <c r="FC166" s="2918"/>
      <c r="FD166" s="2918"/>
      <c r="FE166" s="2918"/>
      <c r="FF166" s="2918"/>
      <c r="FG166" s="2918"/>
      <c r="FH166" s="2918"/>
      <c r="FI166" s="2918"/>
      <c r="FJ166" s="2918"/>
      <c r="FK166" s="2918"/>
      <c r="FL166" s="2918"/>
      <c r="FM166" s="2918"/>
      <c r="FN166" s="2918"/>
      <c r="FO166" s="2918"/>
      <c r="FP166" s="2918"/>
      <c r="FQ166" s="2918"/>
      <c r="FR166" s="2918"/>
      <c r="FS166" s="2918"/>
      <c r="FT166" s="2918"/>
      <c r="FU166" s="2918"/>
      <c r="FV166" s="2918"/>
      <c r="FW166" s="2918"/>
      <c r="FX166" s="2918"/>
      <c r="FY166" s="2918"/>
      <c r="FZ166" s="2918"/>
      <c r="GA166" s="2918"/>
      <c r="GB166" s="2918"/>
      <c r="GC166" s="2918"/>
      <c r="GD166" s="2918"/>
      <c r="GE166" s="2918"/>
      <c r="GF166" s="2918"/>
      <c r="GG166" s="2918"/>
      <c r="GH166" s="2918"/>
      <c r="GI166" s="2918"/>
      <c r="GJ166" s="2918"/>
      <c r="GK166" s="2918"/>
      <c r="GL166" s="2918"/>
      <c r="GM166" s="2918"/>
      <c r="GN166" s="2918"/>
      <c r="GO166" s="2918"/>
      <c r="GP166" s="2918"/>
      <c r="GQ166" s="2918"/>
      <c r="GR166" s="2918"/>
      <c r="GS166" s="2918"/>
      <c r="GT166" s="2918"/>
      <c r="GU166" s="2918"/>
      <c r="GV166" s="2918"/>
      <c r="GW166" s="2918"/>
      <c r="GX166" s="2918"/>
      <c r="GY166" s="2918"/>
      <c r="GZ166" s="2918"/>
      <c r="HA166" s="2918"/>
      <c r="HB166" s="2918"/>
      <c r="HC166" s="2918"/>
      <c r="HD166" s="2918"/>
      <c r="HE166" s="2918"/>
      <c r="HF166" s="2918"/>
      <c r="HG166" s="2918"/>
      <c r="HH166" s="2918"/>
      <c r="HI166" s="2918"/>
      <c r="HJ166" s="2918"/>
      <c r="HK166" s="2918"/>
      <c r="HL166" s="2918"/>
      <c r="HM166" s="2918"/>
      <c r="HN166" s="2918"/>
      <c r="HO166" s="2918"/>
      <c r="HP166" s="2918"/>
      <c r="HQ166" s="2918"/>
      <c r="HR166" s="2918"/>
      <c r="HS166" s="2918"/>
      <c r="HT166" s="2918"/>
      <c r="HU166" s="2918"/>
      <c r="HV166" s="2918"/>
      <c r="HW166" s="2918"/>
      <c r="HX166" s="2918"/>
      <c r="HY166" s="2918"/>
      <c r="HZ166" s="2918"/>
      <c r="IA166" s="2918"/>
      <c r="IB166" s="2918"/>
      <c r="IC166" s="2918"/>
      <c r="ID166" s="2918"/>
      <c r="IE166" s="2918"/>
      <c r="IF166" s="2918"/>
      <c r="IG166" s="2918"/>
      <c r="IH166" s="2918"/>
      <c r="II166" s="2918"/>
      <c r="IJ166" s="2918"/>
      <c r="IK166" s="2918"/>
      <c r="IL166" s="2918"/>
      <c r="IM166" s="2918"/>
      <c r="IN166" s="2918"/>
      <c r="IO166" s="2918"/>
      <c r="IP166" s="2918"/>
      <c r="IQ166" s="2918"/>
      <c r="IR166" s="2918"/>
      <c r="IS166" s="2918"/>
      <c r="IT166" s="2918"/>
      <c r="IU166" s="2918"/>
      <c r="IV166" s="2918"/>
    </row>
    <row r="167" spans="1:256" customFormat="1">
      <c r="A167" s="4702"/>
      <c r="B167" s="3619"/>
      <c r="C167" s="4708" t="s">
        <v>12594</v>
      </c>
      <c r="D167" s="4708"/>
      <c r="E167" s="2919">
        <v>2.4</v>
      </c>
      <c r="F167" s="2919">
        <v>3.6</v>
      </c>
      <c r="G167" s="2919">
        <v>4.8</v>
      </c>
      <c r="H167" s="2919">
        <v>7.1</v>
      </c>
      <c r="I167" s="3037">
        <v>9.5</v>
      </c>
      <c r="J167" s="2918"/>
      <c r="K167" s="2918"/>
      <c r="L167" s="2918"/>
      <c r="M167" s="2918"/>
      <c r="N167" s="2918"/>
      <c r="O167" s="2918"/>
      <c r="P167" s="2918"/>
      <c r="Q167" s="2918"/>
      <c r="R167" s="2918"/>
      <c r="S167" s="2918"/>
      <c r="T167" s="2918"/>
      <c r="U167" s="2918"/>
      <c r="V167" s="2918"/>
      <c r="W167" s="2918"/>
      <c r="X167" s="2918"/>
      <c r="Y167" s="2918"/>
      <c r="Z167" s="2918"/>
      <c r="AA167" s="2918"/>
      <c r="AB167" s="2918"/>
      <c r="AC167" s="2918"/>
      <c r="AD167" s="2918"/>
      <c r="AE167" s="2918"/>
      <c r="AF167" s="2918"/>
      <c r="AG167" s="2918"/>
      <c r="AH167" s="2918"/>
      <c r="AI167" s="2918"/>
      <c r="AJ167" s="2918"/>
      <c r="AK167" s="2918"/>
      <c r="AL167" s="2918"/>
      <c r="AM167" s="2918"/>
      <c r="AN167" s="2918"/>
      <c r="AO167" s="2918"/>
      <c r="AP167" s="2918"/>
      <c r="AQ167" s="2918"/>
      <c r="AR167" s="2918"/>
      <c r="AS167" s="2918"/>
      <c r="AT167" s="2918"/>
      <c r="AU167" s="2918"/>
      <c r="AV167" s="2918"/>
      <c r="AW167" s="2918"/>
      <c r="AX167" s="2918"/>
      <c r="AY167" s="2918"/>
      <c r="AZ167" s="2918"/>
      <c r="BA167" s="2918"/>
      <c r="BB167" s="2918"/>
      <c r="BC167" s="2918"/>
      <c r="BD167" s="2918"/>
      <c r="BE167" s="2918"/>
      <c r="BF167" s="2918"/>
      <c r="BG167" s="2918"/>
      <c r="BH167" s="2918"/>
      <c r="BI167" s="2918"/>
      <c r="BJ167" s="2918"/>
      <c r="BK167" s="2918"/>
      <c r="BL167" s="2918"/>
      <c r="BM167" s="2918"/>
      <c r="BN167" s="2918"/>
      <c r="BO167" s="2918"/>
      <c r="BP167" s="2918"/>
      <c r="BQ167" s="2918"/>
      <c r="BR167" s="2918"/>
      <c r="BS167" s="2918"/>
      <c r="BT167" s="2918"/>
      <c r="BU167" s="2918"/>
      <c r="BV167" s="2918"/>
      <c r="BW167" s="2918"/>
      <c r="BX167" s="2918"/>
      <c r="BY167" s="2918"/>
      <c r="BZ167" s="2918"/>
      <c r="CA167" s="2918"/>
      <c r="CB167" s="2918"/>
      <c r="CC167" s="2918"/>
      <c r="CD167" s="2918"/>
      <c r="CE167" s="2918"/>
      <c r="CF167" s="2918"/>
      <c r="CG167" s="2918"/>
      <c r="CH167" s="2918"/>
      <c r="CI167" s="2918"/>
      <c r="CJ167" s="2918"/>
      <c r="CK167" s="2918"/>
      <c r="CL167" s="2918"/>
      <c r="CM167" s="2918"/>
      <c r="CN167" s="2918"/>
      <c r="CO167" s="2918"/>
      <c r="CP167" s="2918"/>
      <c r="CQ167" s="2918"/>
      <c r="CR167" s="2918"/>
      <c r="CS167" s="2918"/>
      <c r="CT167" s="2918"/>
      <c r="CU167" s="2918"/>
      <c r="CV167" s="2918"/>
      <c r="CW167" s="2918"/>
      <c r="CX167" s="2918"/>
      <c r="CY167" s="2918"/>
      <c r="CZ167" s="2918"/>
      <c r="DA167" s="2918"/>
      <c r="DB167" s="2918"/>
      <c r="DC167" s="2918"/>
      <c r="DD167" s="2918"/>
      <c r="DE167" s="2918"/>
      <c r="DF167" s="2918"/>
      <c r="DG167" s="2918"/>
      <c r="DH167" s="2918"/>
      <c r="DI167" s="2918"/>
      <c r="DJ167" s="2918"/>
      <c r="DK167" s="2918"/>
      <c r="DL167" s="2918"/>
      <c r="DM167" s="2918"/>
      <c r="DN167" s="2918"/>
      <c r="DO167" s="2918"/>
      <c r="DP167" s="2918"/>
      <c r="DQ167" s="2918"/>
      <c r="DR167" s="2918"/>
      <c r="DS167" s="2918"/>
      <c r="DT167" s="2918"/>
      <c r="DU167" s="2918"/>
      <c r="DV167" s="2918"/>
      <c r="DW167" s="2918"/>
      <c r="DX167" s="2918"/>
      <c r="DY167" s="2918"/>
      <c r="DZ167" s="2918"/>
      <c r="EA167" s="2918"/>
      <c r="EB167" s="2918"/>
      <c r="EC167" s="2918"/>
      <c r="ED167" s="2918"/>
      <c r="EE167" s="2918"/>
      <c r="EF167" s="2918"/>
      <c r="EG167" s="2918"/>
      <c r="EH167" s="2918"/>
      <c r="EI167" s="2918"/>
      <c r="EJ167" s="2918"/>
      <c r="EK167" s="2918"/>
      <c r="EL167" s="2918"/>
      <c r="EM167" s="2918"/>
      <c r="EN167" s="2918"/>
      <c r="EO167" s="2918"/>
      <c r="EP167" s="2918"/>
      <c r="EQ167" s="2918"/>
      <c r="ER167" s="2918"/>
      <c r="ES167" s="2918"/>
      <c r="ET167" s="2918"/>
      <c r="EU167" s="2918"/>
      <c r="EV167" s="2918"/>
      <c r="EW167" s="2918"/>
      <c r="EX167" s="2918"/>
      <c r="EY167" s="2918"/>
      <c r="EZ167" s="2918"/>
      <c r="FA167" s="2918"/>
      <c r="FB167" s="2918"/>
      <c r="FC167" s="2918"/>
      <c r="FD167" s="2918"/>
      <c r="FE167" s="2918"/>
      <c r="FF167" s="2918"/>
      <c r="FG167" s="2918"/>
      <c r="FH167" s="2918"/>
      <c r="FI167" s="2918"/>
      <c r="FJ167" s="2918"/>
      <c r="FK167" s="2918"/>
      <c r="FL167" s="2918"/>
      <c r="FM167" s="2918"/>
      <c r="FN167" s="2918"/>
      <c r="FO167" s="2918"/>
      <c r="FP167" s="2918"/>
      <c r="FQ167" s="2918"/>
      <c r="FR167" s="2918"/>
      <c r="FS167" s="2918"/>
      <c r="FT167" s="2918"/>
      <c r="FU167" s="2918"/>
      <c r="FV167" s="2918"/>
      <c r="FW167" s="2918"/>
      <c r="FX167" s="2918"/>
      <c r="FY167" s="2918"/>
      <c r="FZ167" s="2918"/>
      <c r="GA167" s="2918"/>
      <c r="GB167" s="2918"/>
      <c r="GC167" s="2918"/>
      <c r="GD167" s="2918"/>
      <c r="GE167" s="2918"/>
      <c r="GF167" s="2918"/>
      <c r="GG167" s="2918"/>
      <c r="GH167" s="2918"/>
      <c r="GI167" s="2918"/>
      <c r="GJ167" s="2918"/>
      <c r="GK167" s="2918"/>
      <c r="GL167" s="2918"/>
      <c r="GM167" s="2918"/>
      <c r="GN167" s="2918"/>
      <c r="GO167" s="2918"/>
      <c r="GP167" s="2918"/>
      <c r="GQ167" s="2918"/>
      <c r="GR167" s="2918"/>
      <c r="GS167" s="2918"/>
      <c r="GT167" s="2918"/>
      <c r="GU167" s="2918"/>
      <c r="GV167" s="2918"/>
      <c r="GW167" s="2918"/>
      <c r="GX167" s="2918"/>
      <c r="GY167" s="2918"/>
      <c r="GZ167" s="2918"/>
      <c r="HA167" s="2918"/>
      <c r="HB167" s="2918"/>
      <c r="HC167" s="2918"/>
      <c r="HD167" s="2918"/>
      <c r="HE167" s="2918"/>
      <c r="HF167" s="2918"/>
      <c r="HG167" s="2918"/>
      <c r="HH167" s="2918"/>
      <c r="HI167" s="2918"/>
      <c r="HJ167" s="2918"/>
      <c r="HK167" s="2918"/>
      <c r="HL167" s="2918"/>
      <c r="HM167" s="2918"/>
      <c r="HN167" s="2918"/>
      <c r="HO167" s="2918"/>
      <c r="HP167" s="2918"/>
      <c r="HQ167" s="2918"/>
      <c r="HR167" s="2918"/>
      <c r="HS167" s="2918"/>
      <c r="HT167" s="2918"/>
      <c r="HU167" s="2918"/>
      <c r="HV167" s="2918"/>
      <c r="HW167" s="2918"/>
      <c r="HX167" s="2918"/>
      <c r="HY167" s="2918"/>
      <c r="HZ167" s="2918"/>
      <c r="IA167" s="2918"/>
      <c r="IB167" s="2918"/>
      <c r="IC167" s="2918"/>
      <c r="ID167" s="2918"/>
      <c r="IE167" s="2918"/>
      <c r="IF167" s="2918"/>
      <c r="IG167" s="2918"/>
      <c r="IH167" s="2918"/>
      <c r="II167" s="2918"/>
      <c r="IJ167" s="2918"/>
      <c r="IK167" s="2918"/>
      <c r="IL167" s="2918"/>
      <c r="IM167" s="2918"/>
      <c r="IN167" s="2918"/>
      <c r="IO167" s="2918"/>
      <c r="IP167" s="2918"/>
      <c r="IQ167" s="2918"/>
      <c r="IR167" s="2918"/>
      <c r="IS167" s="2918"/>
      <c r="IT167" s="2918"/>
      <c r="IU167" s="2918"/>
      <c r="IV167" s="2918"/>
    </row>
    <row r="168" spans="1:256" customFormat="1">
      <c r="A168" s="4702"/>
      <c r="B168" s="3619" t="s">
        <v>12595</v>
      </c>
      <c r="C168" s="3619" t="s">
        <v>12596</v>
      </c>
      <c r="D168" s="3064" t="s">
        <v>12594</v>
      </c>
      <c r="E168" s="2919">
        <v>1.42</v>
      </c>
      <c r="F168" s="2919">
        <v>2.16</v>
      </c>
      <c r="G168" s="2919">
        <v>2.96</v>
      </c>
      <c r="H168" s="2919">
        <v>4.4800000000000004</v>
      </c>
      <c r="I168" s="3037">
        <v>6.67</v>
      </c>
      <c r="J168" s="2918"/>
      <c r="K168" s="2918"/>
      <c r="L168" s="2918"/>
      <c r="M168" s="2918"/>
      <c r="N168" s="2918"/>
      <c r="O168" s="2918"/>
      <c r="P168" s="2918"/>
      <c r="Q168" s="2918"/>
      <c r="R168" s="2918"/>
      <c r="S168" s="2918"/>
      <c r="T168" s="2918"/>
      <c r="U168" s="2918"/>
      <c r="V168" s="2918"/>
      <c r="W168" s="2918"/>
      <c r="X168" s="2918"/>
      <c r="Y168" s="2918"/>
      <c r="Z168" s="2918"/>
      <c r="AA168" s="2918"/>
      <c r="AB168" s="2918"/>
      <c r="AC168" s="2918"/>
      <c r="AD168" s="2918"/>
      <c r="AE168" s="2918"/>
      <c r="AF168" s="2918"/>
      <c r="AG168" s="2918"/>
      <c r="AH168" s="2918"/>
      <c r="AI168" s="2918"/>
      <c r="AJ168" s="2918"/>
      <c r="AK168" s="2918"/>
      <c r="AL168" s="2918"/>
      <c r="AM168" s="2918"/>
      <c r="AN168" s="2918"/>
      <c r="AO168" s="2918"/>
      <c r="AP168" s="2918"/>
      <c r="AQ168" s="2918"/>
      <c r="AR168" s="2918"/>
      <c r="AS168" s="2918"/>
      <c r="AT168" s="2918"/>
      <c r="AU168" s="2918"/>
      <c r="AV168" s="2918"/>
      <c r="AW168" s="2918"/>
      <c r="AX168" s="2918"/>
      <c r="AY168" s="2918"/>
      <c r="AZ168" s="2918"/>
      <c r="BA168" s="2918"/>
      <c r="BB168" s="2918"/>
      <c r="BC168" s="2918"/>
      <c r="BD168" s="2918"/>
      <c r="BE168" s="2918"/>
      <c r="BF168" s="2918"/>
      <c r="BG168" s="2918"/>
      <c r="BH168" s="2918"/>
      <c r="BI168" s="2918"/>
      <c r="BJ168" s="2918"/>
      <c r="BK168" s="2918"/>
      <c r="BL168" s="2918"/>
      <c r="BM168" s="2918"/>
      <c r="BN168" s="2918"/>
      <c r="BO168" s="2918"/>
      <c r="BP168" s="2918"/>
      <c r="BQ168" s="2918"/>
      <c r="BR168" s="2918"/>
      <c r="BS168" s="2918"/>
      <c r="BT168" s="2918"/>
      <c r="BU168" s="2918"/>
      <c r="BV168" s="2918"/>
      <c r="BW168" s="2918"/>
      <c r="BX168" s="2918"/>
      <c r="BY168" s="2918"/>
      <c r="BZ168" s="2918"/>
      <c r="CA168" s="2918"/>
      <c r="CB168" s="2918"/>
      <c r="CC168" s="2918"/>
      <c r="CD168" s="2918"/>
      <c r="CE168" s="2918"/>
      <c r="CF168" s="2918"/>
      <c r="CG168" s="2918"/>
      <c r="CH168" s="2918"/>
      <c r="CI168" s="2918"/>
      <c r="CJ168" s="2918"/>
      <c r="CK168" s="2918"/>
      <c r="CL168" s="2918"/>
      <c r="CM168" s="2918"/>
      <c r="CN168" s="2918"/>
      <c r="CO168" s="2918"/>
      <c r="CP168" s="2918"/>
      <c r="CQ168" s="2918"/>
      <c r="CR168" s="2918"/>
      <c r="CS168" s="2918"/>
      <c r="CT168" s="2918"/>
      <c r="CU168" s="2918"/>
      <c r="CV168" s="2918"/>
      <c r="CW168" s="2918"/>
      <c r="CX168" s="2918"/>
      <c r="CY168" s="2918"/>
      <c r="CZ168" s="2918"/>
      <c r="DA168" s="2918"/>
      <c r="DB168" s="2918"/>
      <c r="DC168" s="2918"/>
      <c r="DD168" s="2918"/>
      <c r="DE168" s="2918"/>
      <c r="DF168" s="2918"/>
      <c r="DG168" s="2918"/>
      <c r="DH168" s="2918"/>
      <c r="DI168" s="2918"/>
      <c r="DJ168" s="2918"/>
      <c r="DK168" s="2918"/>
      <c r="DL168" s="2918"/>
      <c r="DM168" s="2918"/>
      <c r="DN168" s="2918"/>
      <c r="DO168" s="2918"/>
      <c r="DP168" s="2918"/>
      <c r="DQ168" s="2918"/>
      <c r="DR168" s="2918"/>
      <c r="DS168" s="2918"/>
      <c r="DT168" s="2918"/>
      <c r="DU168" s="2918"/>
      <c r="DV168" s="2918"/>
      <c r="DW168" s="2918"/>
      <c r="DX168" s="2918"/>
      <c r="DY168" s="2918"/>
      <c r="DZ168" s="2918"/>
      <c r="EA168" s="2918"/>
      <c r="EB168" s="2918"/>
      <c r="EC168" s="2918"/>
      <c r="ED168" s="2918"/>
      <c r="EE168" s="2918"/>
      <c r="EF168" s="2918"/>
      <c r="EG168" s="2918"/>
      <c r="EH168" s="2918"/>
      <c r="EI168" s="2918"/>
      <c r="EJ168" s="2918"/>
      <c r="EK168" s="2918"/>
      <c r="EL168" s="2918"/>
      <c r="EM168" s="2918"/>
      <c r="EN168" s="2918"/>
      <c r="EO168" s="2918"/>
      <c r="EP168" s="2918"/>
      <c r="EQ168" s="2918"/>
      <c r="ER168" s="2918"/>
      <c r="ES168" s="2918"/>
      <c r="ET168" s="2918"/>
      <c r="EU168" s="2918"/>
      <c r="EV168" s="2918"/>
      <c r="EW168" s="2918"/>
      <c r="EX168" s="2918"/>
      <c r="EY168" s="2918"/>
      <c r="EZ168" s="2918"/>
      <c r="FA168" s="2918"/>
      <c r="FB168" s="2918"/>
      <c r="FC168" s="2918"/>
      <c r="FD168" s="2918"/>
      <c r="FE168" s="2918"/>
      <c r="FF168" s="2918"/>
      <c r="FG168" s="2918"/>
      <c r="FH168" s="2918"/>
      <c r="FI168" s="2918"/>
      <c r="FJ168" s="2918"/>
      <c r="FK168" s="2918"/>
      <c r="FL168" s="2918"/>
      <c r="FM168" s="2918"/>
      <c r="FN168" s="2918"/>
      <c r="FO168" s="2918"/>
      <c r="FP168" s="2918"/>
      <c r="FQ168" s="2918"/>
      <c r="FR168" s="2918"/>
      <c r="FS168" s="2918"/>
      <c r="FT168" s="2918"/>
      <c r="FU168" s="2918"/>
      <c r="FV168" s="2918"/>
      <c r="FW168" s="2918"/>
      <c r="FX168" s="2918"/>
      <c r="FY168" s="2918"/>
      <c r="FZ168" s="2918"/>
      <c r="GA168" s="2918"/>
      <c r="GB168" s="2918"/>
      <c r="GC168" s="2918"/>
      <c r="GD168" s="2918"/>
      <c r="GE168" s="2918"/>
      <c r="GF168" s="2918"/>
      <c r="GG168" s="2918"/>
      <c r="GH168" s="2918"/>
      <c r="GI168" s="2918"/>
      <c r="GJ168" s="2918"/>
      <c r="GK168" s="2918"/>
      <c r="GL168" s="2918"/>
      <c r="GM168" s="2918"/>
      <c r="GN168" s="2918"/>
      <c r="GO168" s="2918"/>
      <c r="GP168" s="2918"/>
      <c r="GQ168" s="2918"/>
      <c r="GR168" s="2918"/>
      <c r="GS168" s="2918"/>
      <c r="GT168" s="2918"/>
      <c r="GU168" s="2918"/>
      <c r="GV168" s="2918"/>
      <c r="GW168" s="2918"/>
      <c r="GX168" s="2918"/>
      <c r="GY168" s="2918"/>
      <c r="GZ168" s="2918"/>
      <c r="HA168" s="2918"/>
      <c r="HB168" s="2918"/>
      <c r="HC168" s="2918"/>
      <c r="HD168" s="2918"/>
      <c r="HE168" s="2918"/>
      <c r="HF168" s="2918"/>
      <c r="HG168" s="2918"/>
      <c r="HH168" s="2918"/>
      <c r="HI168" s="2918"/>
      <c r="HJ168" s="2918"/>
      <c r="HK168" s="2918"/>
      <c r="HL168" s="2918"/>
      <c r="HM168" s="2918"/>
      <c r="HN168" s="2918"/>
      <c r="HO168" s="2918"/>
      <c r="HP168" s="2918"/>
      <c r="HQ168" s="2918"/>
      <c r="HR168" s="2918"/>
      <c r="HS168" s="2918"/>
      <c r="HT168" s="2918"/>
      <c r="HU168" s="2918"/>
      <c r="HV168" s="2918"/>
      <c r="HW168" s="2918"/>
      <c r="HX168" s="2918"/>
      <c r="HY168" s="2918"/>
      <c r="HZ168" s="2918"/>
      <c r="IA168" s="2918"/>
      <c r="IB168" s="2918"/>
      <c r="IC168" s="2918"/>
      <c r="ID168" s="2918"/>
      <c r="IE168" s="2918"/>
      <c r="IF168" s="2918"/>
      <c r="IG168" s="2918"/>
      <c r="IH168" s="2918"/>
      <c r="II168" s="2918"/>
      <c r="IJ168" s="2918"/>
      <c r="IK168" s="2918"/>
      <c r="IL168" s="2918"/>
      <c r="IM168" s="2918"/>
      <c r="IN168" s="2918"/>
      <c r="IO168" s="2918"/>
      <c r="IP168" s="2918"/>
      <c r="IQ168" s="2918"/>
      <c r="IR168" s="2918"/>
      <c r="IS168" s="2918"/>
      <c r="IT168" s="2918"/>
      <c r="IU168" s="2918"/>
      <c r="IV168" s="2918"/>
    </row>
    <row r="169" spans="1:256" customFormat="1">
      <c r="A169" s="4702"/>
      <c r="B169" s="3619"/>
      <c r="C169" s="3619"/>
      <c r="D169" s="3064" t="s">
        <v>12593</v>
      </c>
      <c r="E169" s="2919">
        <v>1.46</v>
      </c>
      <c r="F169" s="2919">
        <v>2.23</v>
      </c>
      <c r="G169" s="2919">
        <v>3.03</v>
      </c>
      <c r="H169" s="2919">
        <v>4.6500000000000004</v>
      </c>
      <c r="I169" s="3037">
        <v>6.2</v>
      </c>
      <c r="J169" s="2918"/>
      <c r="K169" s="2918"/>
      <c r="L169" s="2918"/>
      <c r="M169" s="2918"/>
      <c r="N169" s="2918"/>
      <c r="O169" s="2918"/>
      <c r="P169" s="2918"/>
      <c r="Q169" s="2918"/>
      <c r="R169" s="2918"/>
      <c r="S169" s="2918"/>
      <c r="T169" s="2918"/>
      <c r="U169" s="2918"/>
      <c r="V169" s="2918"/>
      <c r="W169" s="2918"/>
      <c r="X169" s="2918"/>
      <c r="Y169" s="2918"/>
      <c r="Z169" s="2918"/>
      <c r="AA169" s="2918"/>
      <c r="AB169" s="2918"/>
      <c r="AC169" s="2918"/>
      <c r="AD169" s="2918"/>
      <c r="AE169" s="2918"/>
      <c r="AF169" s="2918"/>
      <c r="AG169" s="2918"/>
      <c r="AH169" s="2918"/>
      <c r="AI169" s="2918"/>
      <c r="AJ169" s="2918"/>
      <c r="AK169" s="2918"/>
      <c r="AL169" s="2918"/>
      <c r="AM169" s="2918"/>
      <c r="AN169" s="2918"/>
      <c r="AO169" s="2918"/>
      <c r="AP169" s="2918"/>
      <c r="AQ169" s="2918"/>
      <c r="AR169" s="2918"/>
      <c r="AS169" s="2918"/>
      <c r="AT169" s="2918"/>
      <c r="AU169" s="2918"/>
      <c r="AV169" s="2918"/>
      <c r="AW169" s="2918"/>
      <c r="AX169" s="2918"/>
      <c r="AY169" s="2918"/>
      <c r="AZ169" s="2918"/>
      <c r="BA169" s="2918"/>
      <c r="BB169" s="2918"/>
      <c r="BC169" s="2918"/>
      <c r="BD169" s="2918"/>
      <c r="BE169" s="2918"/>
      <c r="BF169" s="2918"/>
      <c r="BG169" s="2918"/>
      <c r="BH169" s="2918"/>
      <c r="BI169" s="2918"/>
      <c r="BJ169" s="2918"/>
      <c r="BK169" s="2918"/>
      <c r="BL169" s="2918"/>
      <c r="BM169" s="2918"/>
      <c r="BN169" s="2918"/>
      <c r="BO169" s="2918"/>
      <c r="BP169" s="2918"/>
      <c r="BQ169" s="2918"/>
      <c r="BR169" s="2918"/>
      <c r="BS169" s="2918"/>
      <c r="BT169" s="2918"/>
      <c r="BU169" s="2918"/>
      <c r="BV169" s="2918"/>
      <c r="BW169" s="2918"/>
      <c r="BX169" s="2918"/>
      <c r="BY169" s="2918"/>
      <c r="BZ169" s="2918"/>
      <c r="CA169" s="2918"/>
      <c r="CB169" s="2918"/>
      <c r="CC169" s="2918"/>
      <c r="CD169" s="2918"/>
      <c r="CE169" s="2918"/>
      <c r="CF169" s="2918"/>
      <c r="CG169" s="2918"/>
      <c r="CH169" s="2918"/>
      <c r="CI169" s="2918"/>
      <c r="CJ169" s="2918"/>
      <c r="CK169" s="2918"/>
      <c r="CL169" s="2918"/>
      <c r="CM169" s="2918"/>
      <c r="CN169" s="2918"/>
      <c r="CO169" s="2918"/>
      <c r="CP169" s="2918"/>
      <c r="CQ169" s="2918"/>
      <c r="CR169" s="2918"/>
      <c r="CS169" s="2918"/>
      <c r="CT169" s="2918"/>
      <c r="CU169" s="2918"/>
      <c r="CV169" s="2918"/>
      <c r="CW169" s="2918"/>
      <c r="CX169" s="2918"/>
      <c r="CY169" s="2918"/>
      <c r="CZ169" s="2918"/>
      <c r="DA169" s="2918"/>
      <c r="DB169" s="2918"/>
      <c r="DC169" s="2918"/>
      <c r="DD169" s="2918"/>
      <c r="DE169" s="2918"/>
      <c r="DF169" s="2918"/>
      <c r="DG169" s="2918"/>
      <c r="DH169" s="2918"/>
      <c r="DI169" s="2918"/>
      <c r="DJ169" s="2918"/>
      <c r="DK169" s="2918"/>
      <c r="DL169" s="2918"/>
      <c r="DM169" s="2918"/>
      <c r="DN169" s="2918"/>
      <c r="DO169" s="2918"/>
      <c r="DP169" s="2918"/>
      <c r="DQ169" s="2918"/>
      <c r="DR169" s="2918"/>
      <c r="DS169" s="2918"/>
      <c r="DT169" s="2918"/>
      <c r="DU169" s="2918"/>
      <c r="DV169" s="2918"/>
      <c r="DW169" s="2918"/>
      <c r="DX169" s="2918"/>
      <c r="DY169" s="2918"/>
      <c r="DZ169" s="2918"/>
      <c r="EA169" s="2918"/>
      <c r="EB169" s="2918"/>
      <c r="EC169" s="2918"/>
      <c r="ED169" s="2918"/>
      <c r="EE169" s="2918"/>
      <c r="EF169" s="2918"/>
      <c r="EG169" s="2918"/>
      <c r="EH169" s="2918"/>
      <c r="EI169" s="2918"/>
      <c r="EJ169" s="2918"/>
      <c r="EK169" s="2918"/>
      <c r="EL169" s="2918"/>
      <c r="EM169" s="2918"/>
      <c r="EN169" s="2918"/>
      <c r="EO169" s="2918"/>
      <c r="EP169" s="2918"/>
      <c r="EQ169" s="2918"/>
      <c r="ER169" s="2918"/>
      <c r="ES169" s="2918"/>
      <c r="ET169" s="2918"/>
      <c r="EU169" s="2918"/>
      <c r="EV169" s="2918"/>
      <c r="EW169" s="2918"/>
      <c r="EX169" s="2918"/>
      <c r="EY169" s="2918"/>
      <c r="EZ169" s="2918"/>
      <c r="FA169" s="2918"/>
      <c r="FB169" s="2918"/>
      <c r="FC169" s="2918"/>
      <c r="FD169" s="2918"/>
      <c r="FE169" s="2918"/>
      <c r="FF169" s="2918"/>
      <c r="FG169" s="2918"/>
      <c r="FH169" s="2918"/>
      <c r="FI169" s="2918"/>
      <c r="FJ169" s="2918"/>
      <c r="FK169" s="2918"/>
      <c r="FL169" s="2918"/>
      <c r="FM169" s="2918"/>
      <c r="FN169" s="2918"/>
      <c r="FO169" s="2918"/>
      <c r="FP169" s="2918"/>
      <c r="FQ169" s="2918"/>
      <c r="FR169" s="2918"/>
      <c r="FS169" s="2918"/>
      <c r="FT169" s="2918"/>
      <c r="FU169" s="2918"/>
      <c r="FV169" s="2918"/>
      <c r="FW169" s="2918"/>
      <c r="FX169" s="2918"/>
      <c r="FY169" s="2918"/>
      <c r="FZ169" s="2918"/>
      <c r="GA169" s="2918"/>
      <c r="GB169" s="2918"/>
      <c r="GC169" s="2918"/>
      <c r="GD169" s="2918"/>
      <c r="GE169" s="2918"/>
      <c r="GF169" s="2918"/>
      <c r="GG169" s="2918"/>
      <c r="GH169" s="2918"/>
      <c r="GI169" s="2918"/>
      <c r="GJ169" s="2918"/>
      <c r="GK169" s="2918"/>
      <c r="GL169" s="2918"/>
      <c r="GM169" s="2918"/>
      <c r="GN169" s="2918"/>
      <c r="GO169" s="2918"/>
      <c r="GP169" s="2918"/>
      <c r="GQ169" s="2918"/>
      <c r="GR169" s="2918"/>
      <c r="GS169" s="2918"/>
      <c r="GT169" s="2918"/>
      <c r="GU169" s="2918"/>
      <c r="GV169" s="2918"/>
      <c r="GW169" s="2918"/>
      <c r="GX169" s="2918"/>
      <c r="GY169" s="2918"/>
      <c r="GZ169" s="2918"/>
      <c r="HA169" s="2918"/>
      <c r="HB169" s="2918"/>
      <c r="HC169" s="2918"/>
      <c r="HD169" s="2918"/>
      <c r="HE169" s="2918"/>
      <c r="HF169" s="2918"/>
      <c r="HG169" s="2918"/>
      <c r="HH169" s="2918"/>
      <c r="HI169" s="2918"/>
      <c r="HJ169" s="2918"/>
      <c r="HK169" s="2918"/>
      <c r="HL169" s="2918"/>
      <c r="HM169" s="2918"/>
      <c r="HN169" s="2918"/>
      <c r="HO169" s="2918"/>
      <c r="HP169" s="2918"/>
      <c r="HQ169" s="2918"/>
      <c r="HR169" s="2918"/>
      <c r="HS169" s="2918"/>
      <c r="HT169" s="2918"/>
      <c r="HU169" s="2918"/>
      <c r="HV169" s="2918"/>
      <c r="HW169" s="2918"/>
      <c r="HX169" s="2918"/>
      <c r="HY169" s="2918"/>
      <c r="HZ169" s="2918"/>
      <c r="IA169" s="2918"/>
      <c r="IB169" s="2918"/>
      <c r="IC169" s="2918"/>
      <c r="ID169" s="2918"/>
      <c r="IE169" s="2918"/>
      <c r="IF169" s="2918"/>
      <c r="IG169" s="2918"/>
      <c r="IH169" s="2918"/>
      <c r="II169" s="2918"/>
      <c r="IJ169" s="2918"/>
      <c r="IK169" s="2918"/>
      <c r="IL169" s="2918"/>
      <c r="IM169" s="2918"/>
      <c r="IN169" s="2918"/>
      <c r="IO169" s="2918"/>
      <c r="IP169" s="2918"/>
      <c r="IQ169" s="2918"/>
      <c r="IR169" s="2918"/>
      <c r="IS169" s="2918"/>
      <c r="IT169" s="2918"/>
      <c r="IU169" s="2918"/>
      <c r="IV169" s="2918"/>
    </row>
    <row r="170" spans="1:256" customFormat="1">
      <c r="A170" s="4702"/>
      <c r="B170" s="3619"/>
      <c r="C170" s="3619"/>
      <c r="D170" s="3064" t="s">
        <v>12597</v>
      </c>
      <c r="E170" s="2919">
        <v>1.38</v>
      </c>
      <c r="F170" s="2919">
        <v>2.0699999999999998</v>
      </c>
      <c r="G170" s="2919">
        <v>2.74</v>
      </c>
      <c r="H170" s="2919">
        <v>4.1900000000000004</v>
      </c>
      <c r="I170" s="3037">
        <v>5.95</v>
      </c>
      <c r="J170" s="2918"/>
      <c r="K170" s="2918"/>
      <c r="L170" s="2918"/>
      <c r="M170" s="2918"/>
      <c r="N170" s="2918"/>
      <c r="O170" s="2918"/>
      <c r="P170" s="2918"/>
      <c r="Q170" s="2918"/>
      <c r="R170" s="2918"/>
      <c r="S170" s="2918"/>
      <c r="T170" s="2918"/>
      <c r="U170" s="2918"/>
      <c r="V170" s="2918"/>
      <c r="W170" s="2918"/>
      <c r="X170" s="2918"/>
      <c r="Y170" s="2918"/>
      <c r="Z170" s="2918"/>
      <c r="AA170" s="2918"/>
      <c r="AB170" s="2918"/>
      <c r="AC170" s="2918"/>
      <c r="AD170" s="2918"/>
      <c r="AE170" s="2918"/>
      <c r="AF170" s="2918"/>
      <c r="AG170" s="2918"/>
      <c r="AH170" s="2918"/>
      <c r="AI170" s="2918"/>
      <c r="AJ170" s="2918"/>
      <c r="AK170" s="2918"/>
      <c r="AL170" s="2918"/>
      <c r="AM170" s="2918"/>
      <c r="AN170" s="2918"/>
      <c r="AO170" s="2918"/>
      <c r="AP170" s="2918"/>
      <c r="AQ170" s="2918"/>
      <c r="AR170" s="2918"/>
      <c r="AS170" s="2918"/>
      <c r="AT170" s="2918"/>
      <c r="AU170" s="2918"/>
      <c r="AV170" s="2918"/>
      <c r="AW170" s="2918"/>
      <c r="AX170" s="2918"/>
      <c r="AY170" s="2918"/>
      <c r="AZ170" s="2918"/>
      <c r="BA170" s="2918"/>
      <c r="BB170" s="2918"/>
      <c r="BC170" s="2918"/>
      <c r="BD170" s="2918"/>
      <c r="BE170" s="2918"/>
      <c r="BF170" s="2918"/>
      <c r="BG170" s="2918"/>
      <c r="BH170" s="2918"/>
      <c r="BI170" s="2918"/>
      <c r="BJ170" s="2918"/>
      <c r="BK170" s="2918"/>
      <c r="BL170" s="2918"/>
      <c r="BM170" s="2918"/>
      <c r="BN170" s="2918"/>
      <c r="BO170" s="2918"/>
      <c r="BP170" s="2918"/>
      <c r="BQ170" s="2918"/>
      <c r="BR170" s="2918"/>
      <c r="BS170" s="2918"/>
      <c r="BT170" s="2918"/>
      <c r="BU170" s="2918"/>
      <c r="BV170" s="2918"/>
      <c r="BW170" s="2918"/>
      <c r="BX170" s="2918"/>
      <c r="BY170" s="2918"/>
      <c r="BZ170" s="2918"/>
      <c r="CA170" s="2918"/>
      <c r="CB170" s="2918"/>
      <c r="CC170" s="2918"/>
      <c r="CD170" s="2918"/>
      <c r="CE170" s="2918"/>
      <c r="CF170" s="2918"/>
      <c r="CG170" s="2918"/>
      <c r="CH170" s="2918"/>
      <c r="CI170" s="2918"/>
      <c r="CJ170" s="2918"/>
      <c r="CK170" s="2918"/>
      <c r="CL170" s="2918"/>
      <c r="CM170" s="2918"/>
      <c r="CN170" s="2918"/>
      <c r="CO170" s="2918"/>
      <c r="CP170" s="2918"/>
      <c r="CQ170" s="2918"/>
      <c r="CR170" s="2918"/>
      <c r="CS170" s="2918"/>
      <c r="CT170" s="2918"/>
      <c r="CU170" s="2918"/>
      <c r="CV170" s="2918"/>
      <c r="CW170" s="2918"/>
      <c r="CX170" s="2918"/>
      <c r="CY170" s="2918"/>
      <c r="CZ170" s="2918"/>
      <c r="DA170" s="2918"/>
      <c r="DB170" s="2918"/>
      <c r="DC170" s="2918"/>
      <c r="DD170" s="2918"/>
      <c r="DE170" s="2918"/>
      <c r="DF170" s="2918"/>
      <c r="DG170" s="2918"/>
      <c r="DH170" s="2918"/>
      <c r="DI170" s="2918"/>
      <c r="DJ170" s="2918"/>
      <c r="DK170" s="2918"/>
      <c r="DL170" s="2918"/>
      <c r="DM170" s="2918"/>
      <c r="DN170" s="2918"/>
      <c r="DO170" s="2918"/>
      <c r="DP170" s="2918"/>
      <c r="DQ170" s="2918"/>
      <c r="DR170" s="2918"/>
      <c r="DS170" s="2918"/>
      <c r="DT170" s="2918"/>
      <c r="DU170" s="2918"/>
      <c r="DV170" s="2918"/>
      <c r="DW170" s="2918"/>
      <c r="DX170" s="2918"/>
      <c r="DY170" s="2918"/>
      <c r="DZ170" s="2918"/>
      <c r="EA170" s="2918"/>
      <c r="EB170" s="2918"/>
      <c r="EC170" s="2918"/>
      <c r="ED170" s="2918"/>
      <c r="EE170" s="2918"/>
      <c r="EF170" s="2918"/>
      <c r="EG170" s="2918"/>
      <c r="EH170" s="2918"/>
      <c r="EI170" s="2918"/>
      <c r="EJ170" s="2918"/>
      <c r="EK170" s="2918"/>
      <c r="EL170" s="2918"/>
      <c r="EM170" s="2918"/>
      <c r="EN170" s="2918"/>
      <c r="EO170" s="2918"/>
      <c r="EP170" s="2918"/>
      <c r="EQ170" s="2918"/>
      <c r="ER170" s="2918"/>
      <c r="ES170" s="2918"/>
      <c r="ET170" s="2918"/>
      <c r="EU170" s="2918"/>
      <c r="EV170" s="2918"/>
      <c r="EW170" s="2918"/>
      <c r="EX170" s="2918"/>
      <c r="EY170" s="2918"/>
      <c r="EZ170" s="2918"/>
      <c r="FA170" s="2918"/>
      <c r="FB170" s="2918"/>
      <c r="FC170" s="2918"/>
      <c r="FD170" s="2918"/>
      <c r="FE170" s="2918"/>
      <c r="FF170" s="2918"/>
      <c r="FG170" s="2918"/>
      <c r="FH170" s="2918"/>
      <c r="FI170" s="2918"/>
      <c r="FJ170" s="2918"/>
      <c r="FK170" s="2918"/>
      <c r="FL170" s="2918"/>
      <c r="FM170" s="2918"/>
      <c r="FN170" s="2918"/>
      <c r="FO170" s="2918"/>
      <c r="FP170" s="2918"/>
      <c r="FQ170" s="2918"/>
      <c r="FR170" s="2918"/>
      <c r="FS170" s="2918"/>
      <c r="FT170" s="2918"/>
      <c r="FU170" s="2918"/>
      <c r="FV170" s="2918"/>
      <c r="FW170" s="2918"/>
      <c r="FX170" s="2918"/>
      <c r="FY170" s="2918"/>
      <c r="FZ170" s="2918"/>
      <c r="GA170" s="2918"/>
      <c r="GB170" s="2918"/>
      <c r="GC170" s="2918"/>
      <c r="GD170" s="2918"/>
      <c r="GE170" s="2918"/>
      <c r="GF170" s="2918"/>
      <c r="GG170" s="2918"/>
      <c r="GH170" s="2918"/>
      <c r="GI170" s="2918"/>
      <c r="GJ170" s="2918"/>
      <c r="GK170" s="2918"/>
      <c r="GL170" s="2918"/>
      <c r="GM170" s="2918"/>
      <c r="GN170" s="2918"/>
      <c r="GO170" s="2918"/>
      <c r="GP170" s="2918"/>
      <c r="GQ170" s="2918"/>
      <c r="GR170" s="2918"/>
      <c r="GS170" s="2918"/>
      <c r="GT170" s="2918"/>
      <c r="GU170" s="2918"/>
      <c r="GV170" s="2918"/>
      <c r="GW170" s="2918"/>
      <c r="GX170" s="2918"/>
      <c r="GY170" s="2918"/>
      <c r="GZ170" s="2918"/>
      <c r="HA170" s="2918"/>
      <c r="HB170" s="2918"/>
      <c r="HC170" s="2918"/>
      <c r="HD170" s="2918"/>
      <c r="HE170" s="2918"/>
      <c r="HF170" s="2918"/>
      <c r="HG170" s="2918"/>
      <c r="HH170" s="2918"/>
      <c r="HI170" s="2918"/>
      <c r="HJ170" s="2918"/>
      <c r="HK170" s="2918"/>
      <c r="HL170" s="2918"/>
      <c r="HM170" s="2918"/>
      <c r="HN170" s="2918"/>
      <c r="HO170" s="2918"/>
      <c r="HP170" s="2918"/>
      <c r="HQ170" s="2918"/>
      <c r="HR170" s="2918"/>
      <c r="HS170" s="2918"/>
      <c r="HT170" s="2918"/>
      <c r="HU170" s="2918"/>
      <c r="HV170" s="2918"/>
      <c r="HW170" s="2918"/>
      <c r="HX170" s="2918"/>
      <c r="HY170" s="2918"/>
      <c r="HZ170" s="2918"/>
      <c r="IA170" s="2918"/>
      <c r="IB170" s="2918"/>
      <c r="IC170" s="2918"/>
      <c r="ID170" s="2918"/>
      <c r="IE170" s="2918"/>
      <c r="IF170" s="2918"/>
      <c r="IG170" s="2918"/>
      <c r="IH170" s="2918"/>
      <c r="II170" s="2918"/>
      <c r="IJ170" s="2918"/>
      <c r="IK170" s="2918"/>
      <c r="IL170" s="2918"/>
      <c r="IM170" s="2918"/>
      <c r="IN170" s="2918"/>
      <c r="IO170" s="2918"/>
      <c r="IP170" s="2918"/>
      <c r="IQ170" s="2918"/>
      <c r="IR170" s="2918"/>
      <c r="IS170" s="2918"/>
      <c r="IT170" s="2918"/>
      <c r="IU170" s="2918"/>
      <c r="IV170" s="2918"/>
    </row>
    <row r="171" spans="1:256" customFormat="1">
      <c r="A171" s="4702"/>
      <c r="B171" s="3619"/>
      <c r="C171" s="3619" t="s">
        <v>12598</v>
      </c>
      <c r="D171" s="3064" t="s">
        <v>12594</v>
      </c>
      <c r="E171" s="2919">
        <v>1.47</v>
      </c>
      <c r="F171" s="2919">
        <v>2.2400000000000002</v>
      </c>
      <c r="G171" s="2919">
        <v>3.07</v>
      </c>
      <c r="H171" s="2919">
        <v>4.66</v>
      </c>
      <c r="I171" s="3037">
        <v>6.16</v>
      </c>
      <c r="J171" s="2918"/>
      <c r="K171" s="2918"/>
      <c r="L171" s="2918"/>
      <c r="M171" s="2918"/>
      <c r="N171" s="2918"/>
      <c r="O171" s="2918"/>
      <c r="P171" s="2918"/>
      <c r="Q171" s="2918"/>
      <c r="R171" s="2918"/>
      <c r="S171" s="2918"/>
      <c r="T171" s="2918"/>
      <c r="U171" s="2918"/>
      <c r="V171" s="2918"/>
      <c r="W171" s="2918"/>
      <c r="X171" s="2918"/>
      <c r="Y171" s="2918"/>
      <c r="Z171" s="2918"/>
      <c r="AA171" s="2918"/>
      <c r="AB171" s="2918"/>
      <c r="AC171" s="2918"/>
      <c r="AD171" s="2918"/>
      <c r="AE171" s="2918"/>
      <c r="AF171" s="2918"/>
      <c r="AG171" s="2918"/>
      <c r="AH171" s="2918"/>
      <c r="AI171" s="2918"/>
      <c r="AJ171" s="2918"/>
      <c r="AK171" s="2918"/>
      <c r="AL171" s="2918"/>
      <c r="AM171" s="2918"/>
      <c r="AN171" s="2918"/>
      <c r="AO171" s="2918"/>
      <c r="AP171" s="2918"/>
      <c r="AQ171" s="2918"/>
      <c r="AR171" s="2918"/>
      <c r="AS171" s="2918"/>
      <c r="AT171" s="2918"/>
      <c r="AU171" s="2918"/>
      <c r="AV171" s="2918"/>
      <c r="AW171" s="2918"/>
      <c r="AX171" s="2918"/>
      <c r="AY171" s="2918"/>
      <c r="AZ171" s="2918"/>
      <c r="BA171" s="2918"/>
      <c r="BB171" s="2918"/>
      <c r="BC171" s="2918"/>
      <c r="BD171" s="2918"/>
      <c r="BE171" s="2918"/>
      <c r="BF171" s="2918"/>
      <c r="BG171" s="2918"/>
      <c r="BH171" s="2918"/>
      <c r="BI171" s="2918"/>
      <c r="BJ171" s="2918"/>
      <c r="BK171" s="2918"/>
      <c r="BL171" s="2918"/>
      <c r="BM171" s="2918"/>
      <c r="BN171" s="2918"/>
      <c r="BO171" s="2918"/>
      <c r="BP171" s="2918"/>
      <c r="BQ171" s="2918"/>
      <c r="BR171" s="2918"/>
      <c r="BS171" s="2918"/>
      <c r="BT171" s="2918"/>
      <c r="BU171" s="2918"/>
      <c r="BV171" s="2918"/>
      <c r="BW171" s="2918"/>
      <c r="BX171" s="2918"/>
      <c r="BY171" s="2918"/>
      <c r="BZ171" s="2918"/>
      <c r="CA171" s="2918"/>
      <c r="CB171" s="2918"/>
      <c r="CC171" s="2918"/>
      <c r="CD171" s="2918"/>
      <c r="CE171" s="2918"/>
      <c r="CF171" s="2918"/>
      <c r="CG171" s="2918"/>
      <c r="CH171" s="2918"/>
      <c r="CI171" s="2918"/>
      <c r="CJ171" s="2918"/>
      <c r="CK171" s="2918"/>
      <c r="CL171" s="2918"/>
      <c r="CM171" s="2918"/>
      <c r="CN171" s="2918"/>
      <c r="CO171" s="2918"/>
      <c r="CP171" s="2918"/>
      <c r="CQ171" s="2918"/>
      <c r="CR171" s="2918"/>
      <c r="CS171" s="2918"/>
      <c r="CT171" s="2918"/>
      <c r="CU171" s="2918"/>
      <c r="CV171" s="2918"/>
      <c r="CW171" s="2918"/>
      <c r="CX171" s="2918"/>
      <c r="CY171" s="2918"/>
      <c r="CZ171" s="2918"/>
      <c r="DA171" s="2918"/>
      <c r="DB171" s="2918"/>
      <c r="DC171" s="2918"/>
      <c r="DD171" s="2918"/>
      <c r="DE171" s="2918"/>
      <c r="DF171" s="2918"/>
      <c r="DG171" s="2918"/>
      <c r="DH171" s="2918"/>
      <c r="DI171" s="2918"/>
      <c r="DJ171" s="2918"/>
      <c r="DK171" s="2918"/>
      <c r="DL171" s="2918"/>
      <c r="DM171" s="2918"/>
      <c r="DN171" s="2918"/>
      <c r="DO171" s="2918"/>
      <c r="DP171" s="2918"/>
      <c r="DQ171" s="2918"/>
      <c r="DR171" s="2918"/>
      <c r="DS171" s="2918"/>
      <c r="DT171" s="2918"/>
      <c r="DU171" s="2918"/>
      <c r="DV171" s="2918"/>
      <c r="DW171" s="2918"/>
      <c r="DX171" s="2918"/>
      <c r="DY171" s="2918"/>
      <c r="DZ171" s="2918"/>
      <c r="EA171" s="2918"/>
      <c r="EB171" s="2918"/>
      <c r="EC171" s="2918"/>
      <c r="ED171" s="2918"/>
      <c r="EE171" s="2918"/>
      <c r="EF171" s="2918"/>
      <c r="EG171" s="2918"/>
      <c r="EH171" s="2918"/>
      <c r="EI171" s="2918"/>
      <c r="EJ171" s="2918"/>
      <c r="EK171" s="2918"/>
      <c r="EL171" s="2918"/>
      <c r="EM171" s="2918"/>
      <c r="EN171" s="2918"/>
      <c r="EO171" s="2918"/>
      <c r="EP171" s="2918"/>
      <c r="EQ171" s="2918"/>
      <c r="ER171" s="2918"/>
      <c r="ES171" s="2918"/>
      <c r="ET171" s="2918"/>
      <c r="EU171" s="2918"/>
      <c r="EV171" s="2918"/>
      <c r="EW171" s="2918"/>
      <c r="EX171" s="2918"/>
      <c r="EY171" s="2918"/>
      <c r="EZ171" s="2918"/>
      <c r="FA171" s="2918"/>
      <c r="FB171" s="2918"/>
      <c r="FC171" s="2918"/>
      <c r="FD171" s="2918"/>
      <c r="FE171" s="2918"/>
      <c r="FF171" s="2918"/>
      <c r="FG171" s="2918"/>
      <c r="FH171" s="2918"/>
      <c r="FI171" s="2918"/>
      <c r="FJ171" s="2918"/>
      <c r="FK171" s="2918"/>
      <c r="FL171" s="2918"/>
      <c r="FM171" s="2918"/>
      <c r="FN171" s="2918"/>
      <c r="FO171" s="2918"/>
      <c r="FP171" s="2918"/>
      <c r="FQ171" s="2918"/>
      <c r="FR171" s="2918"/>
      <c r="FS171" s="2918"/>
      <c r="FT171" s="2918"/>
      <c r="FU171" s="2918"/>
      <c r="FV171" s="2918"/>
      <c r="FW171" s="2918"/>
      <c r="FX171" s="2918"/>
      <c r="FY171" s="2918"/>
      <c r="FZ171" s="2918"/>
      <c r="GA171" s="2918"/>
      <c r="GB171" s="2918"/>
      <c r="GC171" s="2918"/>
      <c r="GD171" s="2918"/>
      <c r="GE171" s="2918"/>
      <c r="GF171" s="2918"/>
      <c r="GG171" s="2918"/>
      <c r="GH171" s="2918"/>
      <c r="GI171" s="2918"/>
      <c r="GJ171" s="2918"/>
      <c r="GK171" s="2918"/>
      <c r="GL171" s="2918"/>
      <c r="GM171" s="2918"/>
      <c r="GN171" s="2918"/>
      <c r="GO171" s="2918"/>
      <c r="GP171" s="2918"/>
      <c r="GQ171" s="2918"/>
      <c r="GR171" s="2918"/>
      <c r="GS171" s="2918"/>
      <c r="GT171" s="2918"/>
      <c r="GU171" s="2918"/>
      <c r="GV171" s="2918"/>
      <c r="GW171" s="2918"/>
      <c r="GX171" s="2918"/>
      <c r="GY171" s="2918"/>
      <c r="GZ171" s="2918"/>
      <c r="HA171" s="2918"/>
      <c r="HB171" s="2918"/>
      <c r="HC171" s="2918"/>
      <c r="HD171" s="2918"/>
      <c r="HE171" s="2918"/>
      <c r="HF171" s="2918"/>
      <c r="HG171" s="2918"/>
      <c r="HH171" s="2918"/>
      <c r="HI171" s="2918"/>
      <c r="HJ171" s="2918"/>
      <c r="HK171" s="2918"/>
      <c r="HL171" s="2918"/>
      <c r="HM171" s="2918"/>
      <c r="HN171" s="2918"/>
      <c r="HO171" s="2918"/>
      <c r="HP171" s="2918"/>
      <c r="HQ171" s="2918"/>
      <c r="HR171" s="2918"/>
      <c r="HS171" s="2918"/>
      <c r="HT171" s="2918"/>
      <c r="HU171" s="2918"/>
      <c r="HV171" s="2918"/>
      <c r="HW171" s="2918"/>
      <c r="HX171" s="2918"/>
      <c r="HY171" s="2918"/>
      <c r="HZ171" s="2918"/>
      <c r="IA171" s="2918"/>
      <c r="IB171" s="2918"/>
      <c r="IC171" s="2918"/>
      <c r="ID171" s="2918"/>
      <c r="IE171" s="2918"/>
      <c r="IF171" s="2918"/>
      <c r="IG171" s="2918"/>
      <c r="IH171" s="2918"/>
      <c r="II171" s="2918"/>
      <c r="IJ171" s="2918"/>
      <c r="IK171" s="2918"/>
      <c r="IL171" s="2918"/>
      <c r="IM171" s="2918"/>
      <c r="IN171" s="2918"/>
      <c r="IO171" s="2918"/>
      <c r="IP171" s="2918"/>
      <c r="IQ171" s="2918"/>
      <c r="IR171" s="2918"/>
      <c r="IS171" s="2918"/>
      <c r="IT171" s="2918"/>
      <c r="IU171" s="2918"/>
      <c r="IV171" s="2918"/>
    </row>
    <row r="172" spans="1:256" customFormat="1">
      <c r="A172" s="4702"/>
      <c r="B172" s="3619"/>
      <c r="C172" s="3619"/>
      <c r="D172" s="3064" t="s">
        <v>12593</v>
      </c>
      <c r="E172" s="2919">
        <v>1.57</v>
      </c>
      <c r="F172" s="2919">
        <v>2.37</v>
      </c>
      <c r="G172" s="2919">
        <v>3.24</v>
      </c>
      <c r="H172" s="2919">
        <v>4.8600000000000003</v>
      </c>
      <c r="I172" s="3037">
        <v>6.43</v>
      </c>
      <c r="J172" s="2918"/>
      <c r="K172" s="2918"/>
      <c r="L172" s="2918"/>
      <c r="M172" s="2918"/>
      <c r="N172" s="2918"/>
      <c r="O172" s="2918"/>
      <c r="P172" s="2918"/>
      <c r="Q172" s="2918"/>
      <c r="R172" s="2918"/>
      <c r="S172" s="2918"/>
      <c r="T172" s="2918"/>
      <c r="U172" s="2918"/>
      <c r="V172" s="2918"/>
      <c r="W172" s="2918"/>
      <c r="X172" s="2918"/>
      <c r="Y172" s="2918"/>
      <c r="Z172" s="2918"/>
      <c r="AA172" s="2918"/>
      <c r="AB172" s="2918"/>
      <c r="AC172" s="2918"/>
      <c r="AD172" s="2918"/>
      <c r="AE172" s="2918"/>
      <c r="AF172" s="2918"/>
      <c r="AG172" s="2918"/>
      <c r="AH172" s="2918"/>
      <c r="AI172" s="2918"/>
      <c r="AJ172" s="2918"/>
      <c r="AK172" s="2918"/>
      <c r="AL172" s="2918"/>
      <c r="AM172" s="2918"/>
      <c r="AN172" s="2918"/>
      <c r="AO172" s="2918"/>
      <c r="AP172" s="2918"/>
      <c r="AQ172" s="2918"/>
      <c r="AR172" s="2918"/>
      <c r="AS172" s="2918"/>
      <c r="AT172" s="2918"/>
      <c r="AU172" s="2918"/>
      <c r="AV172" s="2918"/>
      <c r="AW172" s="2918"/>
      <c r="AX172" s="2918"/>
      <c r="AY172" s="2918"/>
      <c r="AZ172" s="2918"/>
      <c r="BA172" s="2918"/>
      <c r="BB172" s="2918"/>
      <c r="BC172" s="2918"/>
      <c r="BD172" s="2918"/>
      <c r="BE172" s="2918"/>
      <c r="BF172" s="2918"/>
      <c r="BG172" s="2918"/>
      <c r="BH172" s="2918"/>
      <c r="BI172" s="2918"/>
      <c r="BJ172" s="2918"/>
      <c r="BK172" s="2918"/>
      <c r="BL172" s="2918"/>
      <c r="BM172" s="2918"/>
      <c r="BN172" s="2918"/>
      <c r="BO172" s="2918"/>
      <c r="BP172" s="2918"/>
      <c r="BQ172" s="2918"/>
      <c r="BR172" s="2918"/>
      <c r="BS172" s="2918"/>
      <c r="BT172" s="2918"/>
      <c r="BU172" s="2918"/>
      <c r="BV172" s="2918"/>
      <c r="BW172" s="2918"/>
      <c r="BX172" s="2918"/>
      <c r="BY172" s="2918"/>
      <c r="BZ172" s="2918"/>
      <c r="CA172" s="2918"/>
      <c r="CB172" s="2918"/>
      <c r="CC172" s="2918"/>
      <c r="CD172" s="2918"/>
      <c r="CE172" s="2918"/>
      <c r="CF172" s="2918"/>
      <c r="CG172" s="2918"/>
      <c r="CH172" s="2918"/>
      <c r="CI172" s="2918"/>
      <c r="CJ172" s="2918"/>
      <c r="CK172" s="2918"/>
      <c r="CL172" s="2918"/>
      <c r="CM172" s="2918"/>
      <c r="CN172" s="2918"/>
      <c r="CO172" s="2918"/>
      <c r="CP172" s="2918"/>
      <c r="CQ172" s="2918"/>
      <c r="CR172" s="2918"/>
      <c r="CS172" s="2918"/>
      <c r="CT172" s="2918"/>
      <c r="CU172" s="2918"/>
      <c r="CV172" s="2918"/>
      <c r="CW172" s="2918"/>
      <c r="CX172" s="2918"/>
      <c r="CY172" s="2918"/>
      <c r="CZ172" s="2918"/>
      <c r="DA172" s="2918"/>
      <c r="DB172" s="2918"/>
      <c r="DC172" s="2918"/>
      <c r="DD172" s="2918"/>
      <c r="DE172" s="2918"/>
      <c r="DF172" s="2918"/>
      <c r="DG172" s="2918"/>
      <c r="DH172" s="2918"/>
      <c r="DI172" s="2918"/>
      <c r="DJ172" s="2918"/>
      <c r="DK172" s="2918"/>
      <c r="DL172" s="2918"/>
      <c r="DM172" s="2918"/>
      <c r="DN172" s="2918"/>
      <c r="DO172" s="2918"/>
      <c r="DP172" s="2918"/>
      <c r="DQ172" s="2918"/>
      <c r="DR172" s="2918"/>
      <c r="DS172" s="2918"/>
      <c r="DT172" s="2918"/>
      <c r="DU172" s="2918"/>
      <c r="DV172" s="2918"/>
      <c r="DW172" s="2918"/>
      <c r="DX172" s="2918"/>
      <c r="DY172" s="2918"/>
      <c r="DZ172" s="2918"/>
      <c r="EA172" s="2918"/>
      <c r="EB172" s="2918"/>
      <c r="EC172" s="2918"/>
      <c r="ED172" s="2918"/>
      <c r="EE172" s="2918"/>
      <c r="EF172" s="2918"/>
      <c r="EG172" s="2918"/>
      <c r="EH172" s="2918"/>
      <c r="EI172" s="2918"/>
      <c r="EJ172" s="2918"/>
      <c r="EK172" s="2918"/>
      <c r="EL172" s="2918"/>
      <c r="EM172" s="2918"/>
      <c r="EN172" s="2918"/>
      <c r="EO172" s="2918"/>
      <c r="EP172" s="2918"/>
      <c r="EQ172" s="2918"/>
      <c r="ER172" s="2918"/>
      <c r="ES172" s="2918"/>
      <c r="ET172" s="2918"/>
      <c r="EU172" s="2918"/>
      <c r="EV172" s="2918"/>
      <c r="EW172" s="2918"/>
      <c r="EX172" s="2918"/>
      <c r="EY172" s="2918"/>
      <c r="EZ172" s="2918"/>
      <c r="FA172" s="2918"/>
      <c r="FB172" s="2918"/>
      <c r="FC172" s="2918"/>
      <c r="FD172" s="2918"/>
      <c r="FE172" s="2918"/>
      <c r="FF172" s="2918"/>
      <c r="FG172" s="2918"/>
      <c r="FH172" s="2918"/>
      <c r="FI172" s="2918"/>
      <c r="FJ172" s="2918"/>
      <c r="FK172" s="2918"/>
      <c r="FL172" s="2918"/>
      <c r="FM172" s="2918"/>
      <c r="FN172" s="2918"/>
      <c r="FO172" s="2918"/>
      <c r="FP172" s="2918"/>
      <c r="FQ172" s="2918"/>
      <c r="FR172" s="2918"/>
      <c r="FS172" s="2918"/>
      <c r="FT172" s="2918"/>
      <c r="FU172" s="2918"/>
      <c r="FV172" s="2918"/>
      <c r="FW172" s="2918"/>
      <c r="FX172" s="2918"/>
      <c r="FY172" s="2918"/>
      <c r="FZ172" s="2918"/>
      <c r="GA172" s="2918"/>
      <c r="GB172" s="2918"/>
      <c r="GC172" s="2918"/>
      <c r="GD172" s="2918"/>
      <c r="GE172" s="2918"/>
      <c r="GF172" s="2918"/>
      <c r="GG172" s="2918"/>
      <c r="GH172" s="2918"/>
      <c r="GI172" s="2918"/>
      <c r="GJ172" s="2918"/>
      <c r="GK172" s="2918"/>
      <c r="GL172" s="2918"/>
      <c r="GM172" s="2918"/>
      <c r="GN172" s="2918"/>
      <c r="GO172" s="2918"/>
      <c r="GP172" s="2918"/>
      <c r="GQ172" s="2918"/>
      <c r="GR172" s="2918"/>
      <c r="GS172" s="2918"/>
      <c r="GT172" s="2918"/>
      <c r="GU172" s="2918"/>
      <c r="GV172" s="2918"/>
      <c r="GW172" s="2918"/>
      <c r="GX172" s="2918"/>
      <c r="GY172" s="2918"/>
      <c r="GZ172" s="2918"/>
      <c r="HA172" s="2918"/>
      <c r="HB172" s="2918"/>
      <c r="HC172" s="2918"/>
      <c r="HD172" s="2918"/>
      <c r="HE172" s="2918"/>
      <c r="HF172" s="2918"/>
      <c r="HG172" s="2918"/>
      <c r="HH172" s="2918"/>
      <c r="HI172" s="2918"/>
      <c r="HJ172" s="2918"/>
      <c r="HK172" s="2918"/>
      <c r="HL172" s="2918"/>
      <c r="HM172" s="2918"/>
      <c r="HN172" s="2918"/>
      <c r="HO172" s="2918"/>
      <c r="HP172" s="2918"/>
      <c r="HQ172" s="2918"/>
      <c r="HR172" s="2918"/>
      <c r="HS172" s="2918"/>
      <c r="HT172" s="2918"/>
      <c r="HU172" s="2918"/>
      <c r="HV172" s="2918"/>
      <c r="HW172" s="2918"/>
      <c r="HX172" s="2918"/>
      <c r="HY172" s="2918"/>
      <c r="HZ172" s="2918"/>
      <c r="IA172" s="2918"/>
      <c r="IB172" s="2918"/>
      <c r="IC172" s="2918"/>
      <c r="ID172" s="2918"/>
      <c r="IE172" s="2918"/>
      <c r="IF172" s="2918"/>
      <c r="IG172" s="2918"/>
      <c r="IH172" s="2918"/>
      <c r="II172" s="2918"/>
      <c r="IJ172" s="2918"/>
      <c r="IK172" s="2918"/>
      <c r="IL172" s="2918"/>
      <c r="IM172" s="2918"/>
      <c r="IN172" s="2918"/>
      <c r="IO172" s="2918"/>
      <c r="IP172" s="2918"/>
      <c r="IQ172" s="2918"/>
      <c r="IR172" s="2918"/>
      <c r="IS172" s="2918"/>
      <c r="IT172" s="2918"/>
      <c r="IU172" s="2918"/>
      <c r="IV172" s="2918"/>
    </row>
    <row r="173" spans="1:256" customFormat="1">
      <c r="A173" s="4702"/>
      <c r="B173" s="3619"/>
      <c r="C173" s="3619"/>
      <c r="D173" s="3064" t="s">
        <v>12597</v>
      </c>
      <c r="E173" s="2919">
        <v>1.42</v>
      </c>
      <c r="F173" s="2919">
        <v>2.15</v>
      </c>
      <c r="G173" s="2919">
        <v>2.85</v>
      </c>
      <c r="H173" s="2919">
        <v>4.3600000000000003</v>
      </c>
      <c r="I173" s="3037">
        <v>5.89</v>
      </c>
      <c r="J173" s="2918"/>
      <c r="K173" s="2918"/>
      <c r="L173" s="2918"/>
      <c r="M173" s="2918"/>
      <c r="N173" s="2918"/>
      <c r="O173" s="2918"/>
      <c r="P173" s="2918"/>
      <c r="Q173" s="2918"/>
      <c r="R173" s="2918"/>
      <c r="S173" s="2918"/>
      <c r="T173" s="2918"/>
      <c r="U173" s="2918"/>
      <c r="V173" s="2918"/>
      <c r="W173" s="2918"/>
      <c r="X173" s="2918"/>
      <c r="Y173" s="2918"/>
      <c r="Z173" s="2918"/>
      <c r="AA173" s="2918"/>
      <c r="AB173" s="2918"/>
      <c r="AC173" s="2918"/>
      <c r="AD173" s="2918"/>
      <c r="AE173" s="2918"/>
      <c r="AF173" s="2918"/>
      <c r="AG173" s="2918"/>
      <c r="AH173" s="2918"/>
      <c r="AI173" s="2918"/>
      <c r="AJ173" s="2918"/>
      <c r="AK173" s="2918"/>
      <c r="AL173" s="2918"/>
      <c r="AM173" s="2918"/>
      <c r="AN173" s="2918"/>
      <c r="AO173" s="2918"/>
      <c r="AP173" s="2918"/>
      <c r="AQ173" s="2918"/>
      <c r="AR173" s="2918"/>
      <c r="AS173" s="2918"/>
      <c r="AT173" s="2918"/>
      <c r="AU173" s="2918"/>
      <c r="AV173" s="2918"/>
      <c r="AW173" s="2918"/>
      <c r="AX173" s="2918"/>
      <c r="AY173" s="2918"/>
      <c r="AZ173" s="2918"/>
      <c r="BA173" s="2918"/>
      <c r="BB173" s="2918"/>
      <c r="BC173" s="2918"/>
      <c r="BD173" s="2918"/>
      <c r="BE173" s="2918"/>
      <c r="BF173" s="2918"/>
      <c r="BG173" s="2918"/>
      <c r="BH173" s="2918"/>
      <c r="BI173" s="2918"/>
      <c r="BJ173" s="2918"/>
      <c r="BK173" s="2918"/>
      <c r="BL173" s="2918"/>
      <c r="BM173" s="2918"/>
      <c r="BN173" s="2918"/>
      <c r="BO173" s="2918"/>
      <c r="BP173" s="2918"/>
      <c r="BQ173" s="2918"/>
      <c r="BR173" s="2918"/>
      <c r="BS173" s="2918"/>
      <c r="BT173" s="2918"/>
      <c r="BU173" s="2918"/>
      <c r="BV173" s="2918"/>
      <c r="BW173" s="2918"/>
      <c r="BX173" s="2918"/>
      <c r="BY173" s="2918"/>
      <c r="BZ173" s="2918"/>
      <c r="CA173" s="2918"/>
      <c r="CB173" s="2918"/>
      <c r="CC173" s="2918"/>
      <c r="CD173" s="2918"/>
      <c r="CE173" s="2918"/>
      <c r="CF173" s="2918"/>
      <c r="CG173" s="2918"/>
      <c r="CH173" s="2918"/>
      <c r="CI173" s="2918"/>
      <c r="CJ173" s="2918"/>
      <c r="CK173" s="2918"/>
      <c r="CL173" s="2918"/>
      <c r="CM173" s="2918"/>
      <c r="CN173" s="2918"/>
      <c r="CO173" s="2918"/>
      <c r="CP173" s="2918"/>
      <c r="CQ173" s="2918"/>
      <c r="CR173" s="2918"/>
      <c r="CS173" s="2918"/>
      <c r="CT173" s="2918"/>
      <c r="CU173" s="2918"/>
      <c r="CV173" s="2918"/>
      <c r="CW173" s="2918"/>
      <c r="CX173" s="2918"/>
      <c r="CY173" s="2918"/>
      <c r="CZ173" s="2918"/>
      <c r="DA173" s="2918"/>
      <c r="DB173" s="2918"/>
      <c r="DC173" s="2918"/>
      <c r="DD173" s="2918"/>
      <c r="DE173" s="2918"/>
      <c r="DF173" s="2918"/>
      <c r="DG173" s="2918"/>
      <c r="DH173" s="2918"/>
      <c r="DI173" s="2918"/>
      <c r="DJ173" s="2918"/>
      <c r="DK173" s="2918"/>
      <c r="DL173" s="2918"/>
      <c r="DM173" s="2918"/>
      <c r="DN173" s="2918"/>
      <c r="DO173" s="2918"/>
      <c r="DP173" s="2918"/>
      <c r="DQ173" s="2918"/>
      <c r="DR173" s="2918"/>
      <c r="DS173" s="2918"/>
      <c r="DT173" s="2918"/>
      <c r="DU173" s="2918"/>
      <c r="DV173" s="2918"/>
      <c r="DW173" s="2918"/>
      <c r="DX173" s="2918"/>
      <c r="DY173" s="2918"/>
      <c r="DZ173" s="2918"/>
      <c r="EA173" s="2918"/>
      <c r="EB173" s="2918"/>
      <c r="EC173" s="2918"/>
      <c r="ED173" s="2918"/>
      <c r="EE173" s="2918"/>
      <c r="EF173" s="2918"/>
      <c r="EG173" s="2918"/>
      <c r="EH173" s="2918"/>
      <c r="EI173" s="2918"/>
      <c r="EJ173" s="2918"/>
      <c r="EK173" s="2918"/>
      <c r="EL173" s="2918"/>
      <c r="EM173" s="2918"/>
      <c r="EN173" s="2918"/>
      <c r="EO173" s="2918"/>
      <c r="EP173" s="2918"/>
      <c r="EQ173" s="2918"/>
      <c r="ER173" s="2918"/>
      <c r="ES173" s="2918"/>
      <c r="ET173" s="2918"/>
      <c r="EU173" s="2918"/>
      <c r="EV173" s="2918"/>
      <c r="EW173" s="2918"/>
      <c r="EX173" s="2918"/>
      <c r="EY173" s="2918"/>
      <c r="EZ173" s="2918"/>
      <c r="FA173" s="2918"/>
      <c r="FB173" s="2918"/>
      <c r="FC173" s="2918"/>
      <c r="FD173" s="2918"/>
      <c r="FE173" s="2918"/>
      <c r="FF173" s="2918"/>
      <c r="FG173" s="2918"/>
      <c r="FH173" s="2918"/>
      <c r="FI173" s="2918"/>
      <c r="FJ173" s="2918"/>
      <c r="FK173" s="2918"/>
      <c r="FL173" s="2918"/>
      <c r="FM173" s="2918"/>
      <c r="FN173" s="2918"/>
      <c r="FO173" s="2918"/>
      <c r="FP173" s="2918"/>
      <c r="FQ173" s="2918"/>
      <c r="FR173" s="2918"/>
      <c r="FS173" s="2918"/>
      <c r="FT173" s="2918"/>
      <c r="FU173" s="2918"/>
      <c r="FV173" s="2918"/>
      <c r="FW173" s="2918"/>
      <c r="FX173" s="2918"/>
      <c r="FY173" s="2918"/>
      <c r="FZ173" s="2918"/>
      <c r="GA173" s="2918"/>
      <c r="GB173" s="2918"/>
      <c r="GC173" s="2918"/>
      <c r="GD173" s="2918"/>
      <c r="GE173" s="2918"/>
      <c r="GF173" s="2918"/>
      <c r="GG173" s="2918"/>
      <c r="GH173" s="2918"/>
      <c r="GI173" s="2918"/>
      <c r="GJ173" s="2918"/>
      <c r="GK173" s="2918"/>
      <c r="GL173" s="2918"/>
      <c r="GM173" s="2918"/>
      <c r="GN173" s="2918"/>
      <c r="GO173" s="2918"/>
      <c r="GP173" s="2918"/>
      <c r="GQ173" s="2918"/>
      <c r="GR173" s="2918"/>
      <c r="GS173" s="2918"/>
      <c r="GT173" s="2918"/>
      <c r="GU173" s="2918"/>
      <c r="GV173" s="2918"/>
      <c r="GW173" s="2918"/>
      <c r="GX173" s="2918"/>
      <c r="GY173" s="2918"/>
      <c r="GZ173" s="2918"/>
      <c r="HA173" s="2918"/>
      <c r="HB173" s="2918"/>
      <c r="HC173" s="2918"/>
      <c r="HD173" s="2918"/>
      <c r="HE173" s="2918"/>
      <c r="HF173" s="2918"/>
      <c r="HG173" s="2918"/>
      <c r="HH173" s="2918"/>
      <c r="HI173" s="2918"/>
      <c r="HJ173" s="2918"/>
      <c r="HK173" s="2918"/>
      <c r="HL173" s="2918"/>
      <c r="HM173" s="2918"/>
      <c r="HN173" s="2918"/>
      <c r="HO173" s="2918"/>
      <c r="HP173" s="2918"/>
      <c r="HQ173" s="2918"/>
      <c r="HR173" s="2918"/>
      <c r="HS173" s="2918"/>
      <c r="HT173" s="2918"/>
      <c r="HU173" s="2918"/>
      <c r="HV173" s="2918"/>
      <c r="HW173" s="2918"/>
      <c r="HX173" s="2918"/>
      <c r="HY173" s="2918"/>
      <c r="HZ173" s="2918"/>
      <c r="IA173" s="2918"/>
      <c r="IB173" s="2918"/>
      <c r="IC173" s="2918"/>
      <c r="ID173" s="2918"/>
      <c r="IE173" s="2918"/>
      <c r="IF173" s="2918"/>
      <c r="IG173" s="2918"/>
      <c r="IH173" s="2918"/>
      <c r="II173" s="2918"/>
      <c r="IJ173" s="2918"/>
      <c r="IK173" s="2918"/>
      <c r="IL173" s="2918"/>
      <c r="IM173" s="2918"/>
      <c r="IN173" s="2918"/>
      <c r="IO173" s="2918"/>
      <c r="IP173" s="2918"/>
      <c r="IQ173" s="2918"/>
      <c r="IR173" s="2918"/>
      <c r="IS173" s="2918"/>
      <c r="IT173" s="2918"/>
      <c r="IU173" s="2918"/>
      <c r="IV173" s="2918"/>
    </row>
    <row r="174" spans="1:256" customFormat="1">
      <c r="A174" s="4703"/>
      <c r="B174" s="4708" t="s">
        <v>12599</v>
      </c>
      <c r="C174" s="4708"/>
      <c r="D174" s="4708"/>
      <c r="E174" s="2919">
        <v>1.1000000000000001</v>
      </c>
      <c r="F174" s="2919">
        <v>1.5</v>
      </c>
      <c r="G174" s="2919">
        <v>1.8</v>
      </c>
      <c r="H174" s="2919">
        <v>2.7</v>
      </c>
      <c r="I174" s="3037">
        <v>3.6</v>
      </c>
      <c r="J174" s="2918"/>
      <c r="K174" s="2918"/>
      <c r="L174" s="2918"/>
      <c r="M174" s="2918"/>
      <c r="N174" s="2918"/>
      <c r="O174" s="2918"/>
      <c r="P174" s="2918"/>
      <c r="Q174" s="2918"/>
      <c r="R174" s="2918"/>
      <c r="S174" s="2918"/>
      <c r="T174" s="2918"/>
      <c r="U174" s="2918"/>
      <c r="V174" s="2918"/>
      <c r="W174" s="2918"/>
      <c r="X174" s="2918"/>
      <c r="Y174" s="2918"/>
      <c r="Z174" s="2918"/>
      <c r="AA174" s="2918"/>
      <c r="AB174" s="2918"/>
      <c r="AC174" s="2918"/>
      <c r="AD174" s="2918"/>
      <c r="AE174" s="2918"/>
      <c r="AF174" s="2918"/>
      <c r="AG174" s="2918"/>
      <c r="AH174" s="2918"/>
      <c r="AI174" s="2918"/>
      <c r="AJ174" s="2918"/>
      <c r="AK174" s="2918"/>
      <c r="AL174" s="2918"/>
      <c r="AM174" s="2918"/>
      <c r="AN174" s="2918"/>
      <c r="AO174" s="2918"/>
      <c r="AP174" s="2918"/>
      <c r="AQ174" s="2918"/>
      <c r="AR174" s="2918"/>
      <c r="AS174" s="2918"/>
      <c r="AT174" s="2918"/>
      <c r="AU174" s="2918"/>
      <c r="AV174" s="2918"/>
      <c r="AW174" s="2918"/>
      <c r="AX174" s="2918"/>
      <c r="AY174" s="2918"/>
      <c r="AZ174" s="2918"/>
      <c r="BA174" s="2918"/>
      <c r="BB174" s="2918"/>
      <c r="BC174" s="2918"/>
      <c r="BD174" s="2918"/>
      <c r="BE174" s="2918"/>
      <c r="BF174" s="2918"/>
      <c r="BG174" s="2918"/>
      <c r="BH174" s="2918"/>
      <c r="BI174" s="2918"/>
      <c r="BJ174" s="2918"/>
      <c r="BK174" s="2918"/>
      <c r="BL174" s="2918"/>
      <c r="BM174" s="2918"/>
      <c r="BN174" s="2918"/>
      <c r="BO174" s="2918"/>
      <c r="BP174" s="2918"/>
      <c r="BQ174" s="2918"/>
      <c r="BR174" s="2918"/>
      <c r="BS174" s="2918"/>
      <c r="BT174" s="2918"/>
      <c r="BU174" s="2918"/>
      <c r="BV174" s="2918"/>
      <c r="BW174" s="2918"/>
      <c r="BX174" s="2918"/>
      <c r="BY174" s="2918"/>
      <c r="BZ174" s="2918"/>
      <c r="CA174" s="2918"/>
      <c r="CB174" s="2918"/>
      <c r="CC174" s="2918"/>
      <c r="CD174" s="2918"/>
      <c r="CE174" s="2918"/>
      <c r="CF174" s="2918"/>
      <c r="CG174" s="2918"/>
      <c r="CH174" s="2918"/>
      <c r="CI174" s="2918"/>
      <c r="CJ174" s="2918"/>
      <c r="CK174" s="2918"/>
      <c r="CL174" s="2918"/>
      <c r="CM174" s="2918"/>
      <c r="CN174" s="2918"/>
      <c r="CO174" s="2918"/>
      <c r="CP174" s="2918"/>
      <c r="CQ174" s="2918"/>
      <c r="CR174" s="2918"/>
      <c r="CS174" s="2918"/>
      <c r="CT174" s="2918"/>
      <c r="CU174" s="2918"/>
      <c r="CV174" s="2918"/>
      <c r="CW174" s="2918"/>
      <c r="CX174" s="2918"/>
      <c r="CY174" s="2918"/>
      <c r="CZ174" s="2918"/>
      <c r="DA174" s="2918"/>
      <c r="DB174" s="2918"/>
      <c r="DC174" s="2918"/>
      <c r="DD174" s="2918"/>
      <c r="DE174" s="2918"/>
      <c r="DF174" s="2918"/>
      <c r="DG174" s="2918"/>
      <c r="DH174" s="2918"/>
      <c r="DI174" s="2918"/>
      <c r="DJ174" s="2918"/>
      <c r="DK174" s="2918"/>
      <c r="DL174" s="2918"/>
      <c r="DM174" s="2918"/>
      <c r="DN174" s="2918"/>
      <c r="DO174" s="2918"/>
      <c r="DP174" s="2918"/>
      <c r="DQ174" s="2918"/>
      <c r="DR174" s="2918"/>
      <c r="DS174" s="2918"/>
      <c r="DT174" s="2918"/>
      <c r="DU174" s="2918"/>
      <c r="DV174" s="2918"/>
      <c r="DW174" s="2918"/>
      <c r="DX174" s="2918"/>
      <c r="DY174" s="2918"/>
      <c r="DZ174" s="2918"/>
      <c r="EA174" s="2918"/>
      <c r="EB174" s="2918"/>
      <c r="EC174" s="2918"/>
      <c r="ED174" s="2918"/>
      <c r="EE174" s="2918"/>
      <c r="EF174" s="2918"/>
      <c r="EG174" s="2918"/>
      <c r="EH174" s="2918"/>
      <c r="EI174" s="2918"/>
      <c r="EJ174" s="2918"/>
      <c r="EK174" s="2918"/>
      <c r="EL174" s="2918"/>
      <c r="EM174" s="2918"/>
      <c r="EN174" s="2918"/>
      <c r="EO174" s="2918"/>
      <c r="EP174" s="2918"/>
      <c r="EQ174" s="2918"/>
      <c r="ER174" s="2918"/>
      <c r="ES174" s="2918"/>
      <c r="ET174" s="2918"/>
      <c r="EU174" s="2918"/>
      <c r="EV174" s="2918"/>
      <c r="EW174" s="2918"/>
      <c r="EX174" s="2918"/>
      <c r="EY174" s="2918"/>
      <c r="EZ174" s="2918"/>
      <c r="FA174" s="2918"/>
      <c r="FB174" s="2918"/>
      <c r="FC174" s="2918"/>
      <c r="FD174" s="2918"/>
      <c r="FE174" s="2918"/>
      <c r="FF174" s="2918"/>
      <c r="FG174" s="2918"/>
      <c r="FH174" s="2918"/>
      <c r="FI174" s="2918"/>
      <c r="FJ174" s="2918"/>
      <c r="FK174" s="2918"/>
      <c r="FL174" s="2918"/>
      <c r="FM174" s="2918"/>
      <c r="FN174" s="2918"/>
      <c r="FO174" s="2918"/>
      <c r="FP174" s="2918"/>
      <c r="FQ174" s="2918"/>
      <c r="FR174" s="2918"/>
      <c r="FS174" s="2918"/>
      <c r="FT174" s="2918"/>
      <c r="FU174" s="2918"/>
      <c r="FV174" s="2918"/>
      <c r="FW174" s="2918"/>
      <c r="FX174" s="2918"/>
      <c r="FY174" s="2918"/>
      <c r="FZ174" s="2918"/>
      <c r="GA174" s="2918"/>
      <c r="GB174" s="2918"/>
      <c r="GC174" s="2918"/>
      <c r="GD174" s="2918"/>
      <c r="GE174" s="2918"/>
      <c r="GF174" s="2918"/>
      <c r="GG174" s="2918"/>
      <c r="GH174" s="2918"/>
      <c r="GI174" s="2918"/>
      <c r="GJ174" s="2918"/>
      <c r="GK174" s="2918"/>
      <c r="GL174" s="2918"/>
      <c r="GM174" s="2918"/>
      <c r="GN174" s="2918"/>
      <c r="GO174" s="2918"/>
      <c r="GP174" s="2918"/>
      <c r="GQ174" s="2918"/>
      <c r="GR174" s="2918"/>
      <c r="GS174" s="2918"/>
      <c r="GT174" s="2918"/>
      <c r="GU174" s="2918"/>
      <c r="GV174" s="2918"/>
      <c r="GW174" s="2918"/>
      <c r="GX174" s="2918"/>
      <c r="GY174" s="2918"/>
      <c r="GZ174" s="2918"/>
      <c r="HA174" s="2918"/>
      <c r="HB174" s="2918"/>
      <c r="HC174" s="2918"/>
      <c r="HD174" s="2918"/>
      <c r="HE174" s="2918"/>
      <c r="HF174" s="2918"/>
      <c r="HG174" s="2918"/>
      <c r="HH174" s="2918"/>
      <c r="HI174" s="2918"/>
      <c r="HJ174" s="2918"/>
      <c r="HK174" s="2918"/>
      <c r="HL174" s="2918"/>
      <c r="HM174" s="2918"/>
      <c r="HN174" s="2918"/>
      <c r="HO174" s="2918"/>
      <c r="HP174" s="2918"/>
      <c r="HQ174" s="2918"/>
      <c r="HR174" s="2918"/>
      <c r="HS174" s="2918"/>
      <c r="HT174" s="2918"/>
      <c r="HU174" s="2918"/>
      <c r="HV174" s="2918"/>
      <c r="HW174" s="2918"/>
      <c r="HX174" s="2918"/>
      <c r="HY174" s="2918"/>
      <c r="HZ174" s="2918"/>
      <c r="IA174" s="2918"/>
      <c r="IB174" s="2918"/>
      <c r="IC174" s="2918"/>
      <c r="ID174" s="2918"/>
      <c r="IE174" s="2918"/>
      <c r="IF174" s="2918"/>
      <c r="IG174" s="2918"/>
      <c r="IH174" s="2918"/>
      <c r="II174" s="2918"/>
      <c r="IJ174" s="2918"/>
      <c r="IK174" s="2918"/>
      <c r="IL174" s="2918"/>
      <c r="IM174" s="2918"/>
      <c r="IN174" s="2918"/>
      <c r="IO174" s="2918"/>
      <c r="IP174" s="2918"/>
      <c r="IQ174" s="2918"/>
      <c r="IR174" s="2918"/>
      <c r="IS174" s="2918"/>
      <c r="IT174" s="2918"/>
      <c r="IU174" s="2918"/>
      <c r="IV174" s="2918"/>
    </row>
    <row r="175" spans="1:256" customFormat="1" ht="14.25" customHeight="1">
      <c r="A175" s="4701" t="s">
        <v>12600</v>
      </c>
      <c r="B175" s="4715" t="s">
        <v>12596</v>
      </c>
      <c r="C175" s="4717" t="s">
        <v>12601</v>
      </c>
      <c r="D175" s="4718"/>
      <c r="E175" s="3089" t="s">
        <v>12602</v>
      </c>
      <c r="F175" s="3089" t="s">
        <v>12603</v>
      </c>
      <c r="G175" s="3089" t="s">
        <v>12604</v>
      </c>
      <c r="H175" s="3089" t="s">
        <v>12605</v>
      </c>
      <c r="I175" s="3090" t="s">
        <v>12606</v>
      </c>
      <c r="J175" s="2918"/>
      <c r="K175" s="2918"/>
      <c r="L175" s="2918"/>
      <c r="M175" s="2918"/>
      <c r="N175" s="2918"/>
      <c r="O175" s="2918"/>
      <c r="P175" s="2918"/>
      <c r="Q175" s="2918"/>
      <c r="R175" s="2918"/>
      <c r="S175" s="2918"/>
      <c r="T175" s="2918"/>
      <c r="U175" s="2918"/>
      <c r="V175" s="2918"/>
      <c r="W175" s="2918"/>
      <c r="X175" s="2918"/>
      <c r="Y175" s="2918"/>
      <c r="Z175" s="2918"/>
      <c r="AA175" s="2918"/>
      <c r="AB175" s="2918"/>
      <c r="AC175" s="2918"/>
      <c r="AD175" s="2918"/>
      <c r="AE175" s="2918"/>
      <c r="AF175" s="2918"/>
      <c r="AG175" s="2918"/>
      <c r="AH175" s="2918"/>
      <c r="AI175" s="2918"/>
      <c r="AJ175" s="2918"/>
      <c r="AK175" s="2918"/>
      <c r="AL175" s="2918"/>
      <c r="AM175" s="2918"/>
      <c r="AN175" s="2918"/>
      <c r="AO175" s="2918"/>
      <c r="AP175" s="2918"/>
      <c r="AQ175" s="2918"/>
      <c r="AR175" s="2918"/>
      <c r="AS175" s="2918"/>
      <c r="AT175" s="2918"/>
      <c r="AU175" s="2918"/>
      <c r="AV175" s="2918"/>
      <c r="AW175" s="2918"/>
      <c r="AX175" s="2918"/>
      <c r="AY175" s="2918"/>
      <c r="AZ175" s="2918"/>
      <c r="BA175" s="2918"/>
      <c r="BB175" s="2918"/>
      <c r="BC175" s="2918"/>
      <c r="BD175" s="2918"/>
      <c r="BE175" s="2918"/>
      <c r="BF175" s="2918"/>
      <c r="BG175" s="2918"/>
      <c r="BH175" s="2918"/>
      <c r="BI175" s="2918"/>
      <c r="BJ175" s="2918"/>
      <c r="BK175" s="2918"/>
      <c r="BL175" s="2918"/>
      <c r="BM175" s="2918"/>
      <c r="BN175" s="2918"/>
      <c r="BO175" s="2918"/>
      <c r="BP175" s="2918"/>
      <c r="BQ175" s="2918"/>
      <c r="BR175" s="2918"/>
      <c r="BS175" s="2918"/>
      <c r="BT175" s="2918"/>
      <c r="BU175" s="2918"/>
      <c r="BV175" s="2918"/>
      <c r="BW175" s="2918"/>
      <c r="BX175" s="2918"/>
      <c r="BY175" s="2918"/>
      <c r="BZ175" s="2918"/>
      <c r="CA175" s="2918"/>
      <c r="CB175" s="2918"/>
      <c r="CC175" s="2918"/>
      <c r="CD175" s="2918"/>
      <c r="CE175" s="2918"/>
      <c r="CF175" s="2918"/>
      <c r="CG175" s="2918"/>
      <c r="CH175" s="2918"/>
      <c r="CI175" s="2918"/>
      <c r="CJ175" s="2918"/>
      <c r="CK175" s="2918"/>
      <c r="CL175" s="2918"/>
      <c r="CM175" s="2918"/>
      <c r="CN175" s="2918"/>
      <c r="CO175" s="2918"/>
      <c r="CP175" s="2918"/>
      <c r="CQ175" s="2918"/>
      <c r="CR175" s="2918"/>
      <c r="CS175" s="2918"/>
      <c r="CT175" s="2918"/>
      <c r="CU175" s="2918"/>
      <c r="CV175" s="2918"/>
      <c r="CW175" s="2918"/>
      <c r="CX175" s="2918"/>
      <c r="CY175" s="2918"/>
      <c r="CZ175" s="2918"/>
      <c r="DA175" s="2918"/>
      <c r="DB175" s="2918"/>
      <c r="DC175" s="2918"/>
      <c r="DD175" s="2918"/>
      <c r="DE175" s="2918"/>
      <c r="DF175" s="2918"/>
      <c r="DG175" s="2918"/>
      <c r="DH175" s="2918"/>
      <c r="DI175" s="2918"/>
      <c r="DJ175" s="2918"/>
      <c r="DK175" s="2918"/>
      <c r="DL175" s="2918"/>
      <c r="DM175" s="2918"/>
      <c r="DN175" s="2918"/>
      <c r="DO175" s="2918"/>
      <c r="DP175" s="2918"/>
      <c r="DQ175" s="2918"/>
      <c r="DR175" s="2918"/>
      <c r="DS175" s="2918"/>
      <c r="DT175" s="2918"/>
      <c r="DU175" s="2918"/>
      <c r="DV175" s="2918"/>
      <c r="DW175" s="2918"/>
      <c r="DX175" s="2918"/>
      <c r="DY175" s="2918"/>
      <c r="DZ175" s="2918"/>
      <c r="EA175" s="2918"/>
      <c r="EB175" s="2918"/>
      <c r="EC175" s="2918"/>
      <c r="ED175" s="2918"/>
      <c r="EE175" s="2918"/>
      <c r="EF175" s="2918"/>
      <c r="EG175" s="2918"/>
      <c r="EH175" s="2918"/>
      <c r="EI175" s="2918"/>
      <c r="EJ175" s="2918"/>
      <c r="EK175" s="2918"/>
      <c r="EL175" s="2918"/>
      <c r="EM175" s="2918"/>
      <c r="EN175" s="2918"/>
      <c r="EO175" s="2918"/>
      <c r="EP175" s="2918"/>
      <c r="EQ175" s="2918"/>
      <c r="ER175" s="2918"/>
      <c r="ES175" s="2918"/>
      <c r="ET175" s="2918"/>
      <c r="EU175" s="2918"/>
      <c r="EV175" s="2918"/>
      <c r="EW175" s="2918"/>
      <c r="EX175" s="2918"/>
      <c r="EY175" s="2918"/>
      <c r="EZ175" s="2918"/>
      <c r="FA175" s="2918"/>
      <c r="FB175" s="2918"/>
      <c r="FC175" s="2918"/>
      <c r="FD175" s="2918"/>
      <c r="FE175" s="2918"/>
      <c r="FF175" s="2918"/>
      <c r="FG175" s="2918"/>
      <c r="FH175" s="2918"/>
      <c r="FI175" s="2918"/>
      <c r="FJ175" s="2918"/>
      <c r="FK175" s="2918"/>
      <c r="FL175" s="2918"/>
      <c r="FM175" s="2918"/>
      <c r="FN175" s="2918"/>
      <c r="FO175" s="2918"/>
      <c r="FP175" s="2918"/>
      <c r="FQ175" s="2918"/>
      <c r="FR175" s="2918"/>
      <c r="FS175" s="2918"/>
      <c r="FT175" s="2918"/>
      <c r="FU175" s="2918"/>
      <c r="FV175" s="2918"/>
      <c r="FW175" s="2918"/>
      <c r="FX175" s="2918"/>
      <c r="FY175" s="2918"/>
      <c r="FZ175" s="2918"/>
      <c r="GA175" s="2918"/>
      <c r="GB175" s="2918"/>
      <c r="GC175" s="2918"/>
      <c r="GD175" s="2918"/>
      <c r="GE175" s="2918"/>
      <c r="GF175" s="2918"/>
      <c r="GG175" s="2918"/>
      <c r="GH175" s="2918"/>
      <c r="GI175" s="2918"/>
      <c r="GJ175" s="2918"/>
      <c r="GK175" s="2918"/>
      <c r="GL175" s="2918"/>
      <c r="GM175" s="2918"/>
      <c r="GN175" s="2918"/>
      <c r="GO175" s="2918"/>
      <c r="GP175" s="2918"/>
      <c r="GQ175" s="2918"/>
      <c r="GR175" s="2918"/>
      <c r="GS175" s="2918"/>
      <c r="GT175" s="2918"/>
      <c r="GU175" s="2918"/>
      <c r="GV175" s="2918"/>
      <c r="GW175" s="2918"/>
      <c r="GX175" s="2918"/>
      <c r="GY175" s="2918"/>
      <c r="GZ175" s="2918"/>
      <c r="HA175" s="2918"/>
      <c r="HB175" s="2918"/>
      <c r="HC175" s="2918"/>
      <c r="HD175" s="2918"/>
      <c r="HE175" s="2918"/>
      <c r="HF175" s="2918"/>
      <c r="HG175" s="2918"/>
      <c r="HH175" s="2918"/>
      <c r="HI175" s="2918"/>
      <c r="HJ175" s="2918"/>
      <c r="HK175" s="2918"/>
      <c r="HL175" s="2918"/>
      <c r="HM175" s="2918"/>
      <c r="HN175" s="2918"/>
      <c r="HO175" s="2918"/>
      <c r="HP175" s="2918"/>
      <c r="HQ175" s="2918"/>
      <c r="HR175" s="2918"/>
      <c r="HS175" s="2918"/>
      <c r="HT175" s="2918"/>
      <c r="HU175" s="2918"/>
      <c r="HV175" s="2918"/>
      <c r="HW175" s="2918"/>
      <c r="HX175" s="2918"/>
      <c r="HY175" s="2918"/>
      <c r="HZ175" s="2918"/>
      <c r="IA175" s="2918"/>
      <c r="IB175" s="2918"/>
      <c r="IC175" s="2918"/>
      <c r="ID175" s="2918"/>
      <c r="IE175" s="2918"/>
      <c r="IF175" s="2918"/>
      <c r="IG175" s="2918"/>
      <c r="IH175" s="2918"/>
      <c r="II175" s="2918"/>
      <c r="IJ175" s="2918"/>
      <c r="IK175" s="2918"/>
      <c r="IL175" s="2918"/>
      <c r="IM175" s="2918"/>
      <c r="IN175" s="2918"/>
      <c r="IO175" s="2918"/>
      <c r="IP175" s="2918"/>
      <c r="IQ175" s="2918"/>
      <c r="IR175" s="2918"/>
      <c r="IS175" s="2918"/>
      <c r="IT175" s="2918"/>
      <c r="IU175" s="2918"/>
      <c r="IV175" s="2918"/>
    </row>
    <row r="176" spans="1:256" customFormat="1">
      <c r="A176" s="4702"/>
      <c r="B176" s="4716"/>
      <c r="C176" s="4719"/>
      <c r="D176" s="4720"/>
      <c r="E176" s="2919">
        <v>0</v>
      </c>
      <c r="F176" s="2919">
        <v>0</v>
      </c>
      <c r="G176" s="2919">
        <v>0</v>
      </c>
      <c r="H176" s="2919">
        <v>0</v>
      </c>
      <c r="I176" s="3037">
        <v>0</v>
      </c>
      <c r="J176" s="2918"/>
      <c r="K176" s="2918"/>
      <c r="L176" s="2918"/>
      <c r="M176" s="2918"/>
      <c r="N176" s="2918"/>
      <c r="O176" s="2918"/>
      <c r="P176" s="2918"/>
      <c r="Q176" s="2918"/>
      <c r="R176" s="2918"/>
      <c r="S176" s="2918"/>
      <c r="T176" s="2918"/>
      <c r="U176" s="2918"/>
      <c r="V176" s="2918"/>
      <c r="W176" s="2918"/>
      <c r="X176" s="2918"/>
      <c r="Y176" s="2918"/>
      <c r="Z176" s="2918"/>
      <c r="AA176" s="2918"/>
      <c r="AB176" s="2918"/>
      <c r="AC176" s="2918"/>
      <c r="AD176" s="2918"/>
      <c r="AE176" s="2918"/>
      <c r="AF176" s="2918"/>
      <c r="AG176" s="2918"/>
      <c r="AH176" s="2918"/>
      <c r="AI176" s="2918"/>
      <c r="AJ176" s="2918"/>
      <c r="AK176" s="2918"/>
      <c r="AL176" s="2918"/>
      <c r="AM176" s="2918"/>
      <c r="AN176" s="2918"/>
      <c r="AO176" s="2918"/>
      <c r="AP176" s="2918"/>
      <c r="AQ176" s="2918"/>
      <c r="AR176" s="2918"/>
      <c r="AS176" s="2918"/>
      <c r="AT176" s="2918"/>
      <c r="AU176" s="2918"/>
      <c r="AV176" s="2918"/>
      <c r="AW176" s="2918"/>
      <c r="AX176" s="2918"/>
      <c r="AY176" s="2918"/>
      <c r="AZ176" s="2918"/>
      <c r="BA176" s="2918"/>
      <c r="BB176" s="2918"/>
      <c r="BC176" s="2918"/>
      <c r="BD176" s="2918"/>
      <c r="BE176" s="2918"/>
      <c r="BF176" s="2918"/>
      <c r="BG176" s="2918"/>
      <c r="BH176" s="2918"/>
      <c r="BI176" s="2918"/>
      <c r="BJ176" s="2918"/>
      <c r="BK176" s="2918"/>
      <c r="BL176" s="2918"/>
      <c r="BM176" s="2918"/>
      <c r="BN176" s="2918"/>
      <c r="BO176" s="2918"/>
      <c r="BP176" s="2918"/>
      <c r="BQ176" s="2918"/>
      <c r="BR176" s="2918"/>
      <c r="BS176" s="2918"/>
      <c r="BT176" s="2918"/>
      <c r="BU176" s="2918"/>
      <c r="BV176" s="2918"/>
      <c r="BW176" s="2918"/>
      <c r="BX176" s="2918"/>
      <c r="BY176" s="2918"/>
      <c r="BZ176" s="2918"/>
      <c r="CA176" s="2918"/>
      <c r="CB176" s="2918"/>
      <c r="CC176" s="2918"/>
      <c r="CD176" s="2918"/>
      <c r="CE176" s="2918"/>
      <c r="CF176" s="2918"/>
      <c r="CG176" s="2918"/>
      <c r="CH176" s="2918"/>
      <c r="CI176" s="2918"/>
      <c r="CJ176" s="2918"/>
      <c r="CK176" s="2918"/>
      <c r="CL176" s="2918"/>
      <c r="CM176" s="2918"/>
      <c r="CN176" s="2918"/>
      <c r="CO176" s="2918"/>
      <c r="CP176" s="2918"/>
      <c r="CQ176" s="2918"/>
      <c r="CR176" s="2918"/>
      <c r="CS176" s="2918"/>
      <c r="CT176" s="2918"/>
      <c r="CU176" s="2918"/>
      <c r="CV176" s="2918"/>
      <c r="CW176" s="2918"/>
      <c r="CX176" s="2918"/>
      <c r="CY176" s="2918"/>
      <c r="CZ176" s="2918"/>
      <c r="DA176" s="2918"/>
      <c r="DB176" s="2918"/>
      <c r="DC176" s="2918"/>
      <c r="DD176" s="2918"/>
      <c r="DE176" s="2918"/>
      <c r="DF176" s="2918"/>
      <c r="DG176" s="2918"/>
      <c r="DH176" s="2918"/>
      <c r="DI176" s="2918"/>
      <c r="DJ176" s="2918"/>
      <c r="DK176" s="2918"/>
      <c r="DL176" s="2918"/>
      <c r="DM176" s="2918"/>
      <c r="DN176" s="2918"/>
      <c r="DO176" s="2918"/>
      <c r="DP176" s="2918"/>
      <c r="DQ176" s="2918"/>
      <c r="DR176" s="2918"/>
      <c r="DS176" s="2918"/>
      <c r="DT176" s="2918"/>
      <c r="DU176" s="2918"/>
      <c r="DV176" s="2918"/>
      <c r="DW176" s="2918"/>
      <c r="DX176" s="2918"/>
      <c r="DY176" s="2918"/>
      <c r="DZ176" s="2918"/>
      <c r="EA176" s="2918"/>
      <c r="EB176" s="2918"/>
      <c r="EC176" s="2918"/>
      <c r="ED176" s="2918"/>
      <c r="EE176" s="2918"/>
      <c r="EF176" s="2918"/>
      <c r="EG176" s="2918"/>
      <c r="EH176" s="2918"/>
      <c r="EI176" s="2918"/>
      <c r="EJ176" s="2918"/>
      <c r="EK176" s="2918"/>
      <c r="EL176" s="2918"/>
      <c r="EM176" s="2918"/>
      <c r="EN176" s="2918"/>
      <c r="EO176" s="2918"/>
      <c r="EP176" s="2918"/>
      <c r="EQ176" s="2918"/>
      <c r="ER176" s="2918"/>
      <c r="ES176" s="2918"/>
      <c r="ET176" s="2918"/>
      <c r="EU176" s="2918"/>
      <c r="EV176" s="2918"/>
      <c r="EW176" s="2918"/>
      <c r="EX176" s="2918"/>
      <c r="EY176" s="2918"/>
      <c r="EZ176" s="2918"/>
      <c r="FA176" s="2918"/>
      <c r="FB176" s="2918"/>
      <c r="FC176" s="2918"/>
      <c r="FD176" s="2918"/>
      <c r="FE176" s="2918"/>
      <c r="FF176" s="2918"/>
      <c r="FG176" s="2918"/>
      <c r="FH176" s="2918"/>
      <c r="FI176" s="2918"/>
      <c r="FJ176" s="2918"/>
      <c r="FK176" s="2918"/>
      <c r="FL176" s="2918"/>
      <c r="FM176" s="2918"/>
      <c r="FN176" s="2918"/>
      <c r="FO176" s="2918"/>
      <c r="FP176" s="2918"/>
      <c r="FQ176" s="2918"/>
      <c r="FR176" s="2918"/>
      <c r="FS176" s="2918"/>
      <c r="FT176" s="2918"/>
      <c r="FU176" s="2918"/>
      <c r="FV176" s="2918"/>
      <c r="FW176" s="2918"/>
      <c r="FX176" s="2918"/>
      <c r="FY176" s="2918"/>
      <c r="FZ176" s="2918"/>
      <c r="GA176" s="2918"/>
      <c r="GB176" s="2918"/>
      <c r="GC176" s="2918"/>
      <c r="GD176" s="2918"/>
      <c r="GE176" s="2918"/>
      <c r="GF176" s="2918"/>
      <c r="GG176" s="2918"/>
      <c r="GH176" s="2918"/>
      <c r="GI176" s="2918"/>
      <c r="GJ176" s="2918"/>
      <c r="GK176" s="2918"/>
      <c r="GL176" s="2918"/>
      <c r="GM176" s="2918"/>
      <c r="GN176" s="2918"/>
      <c r="GO176" s="2918"/>
      <c r="GP176" s="2918"/>
      <c r="GQ176" s="2918"/>
      <c r="GR176" s="2918"/>
      <c r="GS176" s="2918"/>
      <c r="GT176" s="2918"/>
      <c r="GU176" s="2918"/>
      <c r="GV176" s="2918"/>
      <c r="GW176" s="2918"/>
      <c r="GX176" s="2918"/>
      <c r="GY176" s="2918"/>
      <c r="GZ176" s="2918"/>
      <c r="HA176" s="2918"/>
      <c r="HB176" s="2918"/>
      <c r="HC176" s="2918"/>
      <c r="HD176" s="2918"/>
      <c r="HE176" s="2918"/>
      <c r="HF176" s="2918"/>
      <c r="HG176" s="2918"/>
      <c r="HH176" s="2918"/>
      <c r="HI176" s="2918"/>
      <c r="HJ176" s="2918"/>
      <c r="HK176" s="2918"/>
      <c r="HL176" s="2918"/>
      <c r="HM176" s="2918"/>
      <c r="HN176" s="2918"/>
      <c r="HO176" s="2918"/>
      <c r="HP176" s="2918"/>
      <c r="HQ176" s="2918"/>
      <c r="HR176" s="2918"/>
      <c r="HS176" s="2918"/>
      <c r="HT176" s="2918"/>
      <c r="HU176" s="2918"/>
      <c r="HV176" s="2918"/>
      <c r="HW176" s="2918"/>
      <c r="HX176" s="2918"/>
      <c r="HY176" s="2918"/>
      <c r="HZ176" s="2918"/>
      <c r="IA176" s="2918"/>
      <c r="IB176" s="2918"/>
      <c r="IC176" s="2918"/>
      <c r="ID176" s="2918"/>
      <c r="IE176" s="2918"/>
      <c r="IF176" s="2918"/>
      <c r="IG176" s="2918"/>
      <c r="IH176" s="2918"/>
      <c r="II176" s="2918"/>
      <c r="IJ176" s="2918"/>
      <c r="IK176" s="2918"/>
      <c r="IL176" s="2918"/>
      <c r="IM176" s="2918"/>
      <c r="IN176" s="2918"/>
      <c r="IO176" s="2918"/>
      <c r="IP176" s="2918"/>
      <c r="IQ176" s="2918"/>
      <c r="IR176" s="2918"/>
      <c r="IS176" s="2918"/>
      <c r="IT176" s="2918"/>
      <c r="IU176" s="2918"/>
      <c r="IV176" s="2918"/>
    </row>
    <row r="177" spans="1:256" customFormat="1">
      <c r="A177" s="4702"/>
      <c r="B177" s="4716"/>
      <c r="C177" s="4721" t="s">
        <v>12607</v>
      </c>
      <c r="D177" s="4722"/>
      <c r="E177" s="2919">
        <v>-0.01</v>
      </c>
      <c r="F177" s="2919">
        <v>-0.02</v>
      </c>
      <c r="G177" s="2919">
        <v>-0.03</v>
      </c>
      <c r="H177" s="2919">
        <v>-0.03</v>
      </c>
      <c r="I177" s="3037">
        <v>-0.04</v>
      </c>
      <c r="J177" s="2918"/>
      <c r="K177" s="2918"/>
      <c r="L177" s="2918"/>
      <c r="M177" s="2918"/>
      <c r="N177" s="2918"/>
      <c r="O177" s="2918"/>
      <c r="P177" s="2918"/>
      <c r="Q177" s="2918"/>
      <c r="R177" s="2918"/>
      <c r="S177" s="2918"/>
      <c r="T177" s="2918"/>
      <c r="U177" s="2918"/>
      <c r="V177" s="2918"/>
      <c r="W177" s="2918"/>
      <c r="X177" s="2918"/>
      <c r="Y177" s="2918"/>
      <c r="Z177" s="2918"/>
      <c r="AA177" s="2918"/>
      <c r="AB177" s="2918"/>
      <c r="AC177" s="2918"/>
      <c r="AD177" s="2918"/>
      <c r="AE177" s="2918"/>
      <c r="AF177" s="2918"/>
      <c r="AG177" s="2918"/>
      <c r="AH177" s="2918"/>
      <c r="AI177" s="2918"/>
      <c r="AJ177" s="2918"/>
      <c r="AK177" s="2918"/>
      <c r="AL177" s="2918"/>
      <c r="AM177" s="2918"/>
      <c r="AN177" s="2918"/>
      <c r="AO177" s="2918"/>
      <c r="AP177" s="2918"/>
      <c r="AQ177" s="2918"/>
      <c r="AR177" s="2918"/>
      <c r="AS177" s="2918"/>
      <c r="AT177" s="2918"/>
      <c r="AU177" s="2918"/>
      <c r="AV177" s="2918"/>
      <c r="AW177" s="2918"/>
      <c r="AX177" s="2918"/>
      <c r="AY177" s="2918"/>
      <c r="AZ177" s="2918"/>
      <c r="BA177" s="2918"/>
      <c r="BB177" s="2918"/>
      <c r="BC177" s="2918"/>
      <c r="BD177" s="2918"/>
      <c r="BE177" s="2918"/>
      <c r="BF177" s="2918"/>
      <c r="BG177" s="2918"/>
      <c r="BH177" s="2918"/>
      <c r="BI177" s="2918"/>
      <c r="BJ177" s="2918"/>
      <c r="BK177" s="2918"/>
      <c r="BL177" s="2918"/>
      <c r="BM177" s="2918"/>
      <c r="BN177" s="2918"/>
      <c r="BO177" s="2918"/>
      <c r="BP177" s="2918"/>
      <c r="BQ177" s="2918"/>
      <c r="BR177" s="2918"/>
      <c r="BS177" s="2918"/>
      <c r="BT177" s="2918"/>
      <c r="BU177" s="2918"/>
      <c r="BV177" s="2918"/>
      <c r="BW177" s="2918"/>
      <c r="BX177" s="2918"/>
      <c r="BY177" s="2918"/>
      <c r="BZ177" s="2918"/>
      <c r="CA177" s="2918"/>
      <c r="CB177" s="2918"/>
      <c r="CC177" s="2918"/>
      <c r="CD177" s="2918"/>
      <c r="CE177" s="2918"/>
      <c r="CF177" s="2918"/>
      <c r="CG177" s="2918"/>
      <c r="CH177" s="2918"/>
      <c r="CI177" s="2918"/>
      <c r="CJ177" s="2918"/>
      <c r="CK177" s="2918"/>
      <c r="CL177" s="2918"/>
      <c r="CM177" s="2918"/>
      <c r="CN177" s="2918"/>
      <c r="CO177" s="2918"/>
      <c r="CP177" s="2918"/>
      <c r="CQ177" s="2918"/>
      <c r="CR177" s="2918"/>
      <c r="CS177" s="2918"/>
      <c r="CT177" s="2918"/>
      <c r="CU177" s="2918"/>
      <c r="CV177" s="2918"/>
      <c r="CW177" s="2918"/>
      <c r="CX177" s="2918"/>
      <c r="CY177" s="2918"/>
      <c r="CZ177" s="2918"/>
      <c r="DA177" s="2918"/>
      <c r="DB177" s="2918"/>
      <c r="DC177" s="2918"/>
      <c r="DD177" s="2918"/>
      <c r="DE177" s="2918"/>
      <c r="DF177" s="2918"/>
      <c r="DG177" s="2918"/>
      <c r="DH177" s="2918"/>
      <c r="DI177" s="2918"/>
      <c r="DJ177" s="2918"/>
      <c r="DK177" s="2918"/>
      <c r="DL177" s="2918"/>
      <c r="DM177" s="2918"/>
      <c r="DN177" s="2918"/>
      <c r="DO177" s="2918"/>
      <c r="DP177" s="2918"/>
      <c r="DQ177" s="2918"/>
      <c r="DR177" s="2918"/>
      <c r="DS177" s="2918"/>
      <c r="DT177" s="2918"/>
      <c r="DU177" s="2918"/>
      <c r="DV177" s="2918"/>
      <c r="DW177" s="2918"/>
      <c r="DX177" s="2918"/>
      <c r="DY177" s="2918"/>
      <c r="DZ177" s="2918"/>
      <c r="EA177" s="2918"/>
      <c r="EB177" s="2918"/>
      <c r="EC177" s="2918"/>
      <c r="ED177" s="2918"/>
      <c r="EE177" s="2918"/>
      <c r="EF177" s="2918"/>
      <c r="EG177" s="2918"/>
      <c r="EH177" s="2918"/>
      <c r="EI177" s="2918"/>
      <c r="EJ177" s="2918"/>
      <c r="EK177" s="2918"/>
      <c r="EL177" s="2918"/>
      <c r="EM177" s="2918"/>
      <c r="EN177" s="2918"/>
      <c r="EO177" s="2918"/>
      <c r="EP177" s="2918"/>
      <c r="EQ177" s="2918"/>
      <c r="ER177" s="2918"/>
      <c r="ES177" s="2918"/>
      <c r="ET177" s="2918"/>
      <c r="EU177" s="2918"/>
      <c r="EV177" s="2918"/>
      <c r="EW177" s="2918"/>
      <c r="EX177" s="2918"/>
      <c r="EY177" s="2918"/>
      <c r="EZ177" s="2918"/>
      <c r="FA177" s="2918"/>
      <c r="FB177" s="2918"/>
      <c r="FC177" s="2918"/>
      <c r="FD177" s="2918"/>
      <c r="FE177" s="2918"/>
      <c r="FF177" s="2918"/>
      <c r="FG177" s="2918"/>
      <c r="FH177" s="2918"/>
      <c r="FI177" s="2918"/>
      <c r="FJ177" s="2918"/>
      <c r="FK177" s="2918"/>
      <c r="FL177" s="2918"/>
      <c r="FM177" s="2918"/>
      <c r="FN177" s="2918"/>
      <c r="FO177" s="2918"/>
      <c r="FP177" s="2918"/>
      <c r="FQ177" s="2918"/>
      <c r="FR177" s="2918"/>
      <c r="FS177" s="2918"/>
      <c r="FT177" s="2918"/>
      <c r="FU177" s="2918"/>
      <c r="FV177" s="2918"/>
      <c r="FW177" s="2918"/>
      <c r="FX177" s="2918"/>
      <c r="FY177" s="2918"/>
      <c r="FZ177" s="2918"/>
      <c r="GA177" s="2918"/>
      <c r="GB177" s="2918"/>
      <c r="GC177" s="2918"/>
      <c r="GD177" s="2918"/>
      <c r="GE177" s="2918"/>
      <c r="GF177" s="2918"/>
      <c r="GG177" s="2918"/>
      <c r="GH177" s="2918"/>
      <c r="GI177" s="2918"/>
      <c r="GJ177" s="2918"/>
      <c r="GK177" s="2918"/>
      <c r="GL177" s="2918"/>
      <c r="GM177" s="2918"/>
      <c r="GN177" s="2918"/>
      <c r="GO177" s="2918"/>
      <c r="GP177" s="2918"/>
      <c r="GQ177" s="2918"/>
      <c r="GR177" s="2918"/>
      <c r="GS177" s="2918"/>
      <c r="GT177" s="2918"/>
      <c r="GU177" s="2918"/>
      <c r="GV177" s="2918"/>
      <c r="GW177" s="2918"/>
      <c r="GX177" s="2918"/>
      <c r="GY177" s="2918"/>
      <c r="GZ177" s="2918"/>
      <c r="HA177" s="2918"/>
      <c r="HB177" s="2918"/>
      <c r="HC177" s="2918"/>
      <c r="HD177" s="2918"/>
      <c r="HE177" s="2918"/>
      <c r="HF177" s="2918"/>
      <c r="HG177" s="2918"/>
      <c r="HH177" s="2918"/>
      <c r="HI177" s="2918"/>
      <c r="HJ177" s="2918"/>
      <c r="HK177" s="2918"/>
      <c r="HL177" s="2918"/>
      <c r="HM177" s="2918"/>
      <c r="HN177" s="2918"/>
      <c r="HO177" s="2918"/>
      <c r="HP177" s="2918"/>
      <c r="HQ177" s="2918"/>
      <c r="HR177" s="2918"/>
      <c r="HS177" s="2918"/>
      <c r="HT177" s="2918"/>
      <c r="HU177" s="2918"/>
      <c r="HV177" s="2918"/>
      <c r="HW177" s="2918"/>
      <c r="HX177" s="2918"/>
      <c r="HY177" s="2918"/>
      <c r="HZ177" s="2918"/>
      <c r="IA177" s="2918"/>
      <c r="IB177" s="2918"/>
      <c r="IC177" s="2918"/>
      <c r="ID177" s="2918"/>
      <c r="IE177" s="2918"/>
      <c r="IF177" s="2918"/>
      <c r="IG177" s="2918"/>
      <c r="IH177" s="2918"/>
      <c r="II177" s="2918"/>
      <c r="IJ177" s="2918"/>
      <c r="IK177" s="2918"/>
      <c r="IL177" s="2918"/>
      <c r="IM177" s="2918"/>
      <c r="IN177" s="2918"/>
      <c r="IO177" s="2918"/>
      <c r="IP177" s="2918"/>
      <c r="IQ177" s="2918"/>
      <c r="IR177" s="2918"/>
      <c r="IS177" s="2918"/>
      <c r="IT177" s="2918"/>
      <c r="IU177" s="2918"/>
      <c r="IV177" s="2918"/>
    </row>
    <row r="178" spans="1:256" customFormat="1">
      <c r="A178" s="4702"/>
      <c r="B178" s="4716"/>
      <c r="C178" s="4719"/>
      <c r="D178" s="4720"/>
      <c r="E178" s="2919">
        <v>-0.05</v>
      </c>
      <c r="F178" s="2919">
        <v>-7.0000000000000007E-2</v>
      </c>
      <c r="G178" s="2919">
        <v>-0.09</v>
      </c>
      <c r="H178" s="2919">
        <v>-0.1</v>
      </c>
      <c r="I178" s="3037">
        <v>-0.13</v>
      </c>
      <c r="J178" s="2918"/>
      <c r="K178" s="2918"/>
      <c r="L178" s="2918"/>
      <c r="M178" s="2918"/>
      <c r="N178" s="2918"/>
      <c r="O178" s="2918"/>
      <c r="P178" s="2918"/>
      <c r="Q178" s="2918"/>
      <c r="R178" s="2918"/>
      <c r="S178" s="2918"/>
      <c r="T178" s="2918"/>
      <c r="U178" s="2918"/>
      <c r="V178" s="2918"/>
      <c r="W178" s="2918"/>
      <c r="X178" s="2918"/>
      <c r="Y178" s="2918"/>
      <c r="Z178" s="2918"/>
      <c r="AA178" s="2918"/>
      <c r="AB178" s="2918"/>
      <c r="AC178" s="2918"/>
      <c r="AD178" s="2918"/>
      <c r="AE178" s="2918"/>
      <c r="AF178" s="2918"/>
      <c r="AG178" s="2918"/>
      <c r="AH178" s="2918"/>
      <c r="AI178" s="2918"/>
      <c r="AJ178" s="2918"/>
      <c r="AK178" s="2918"/>
      <c r="AL178" s="2918"/>
      <c r="AM178" s="2918"/>
      <c r="AN178" s="2918"/>
      <c r="AO178" s="2918"/>
      <c r="AP178" s="2918"/>
      <c r="AQ178" s="2918"/>
      <c r="AR178" s="2918"/>
      <c r="AS178" s="2918"/>
      <c r="AT178" s="2918"/>
      <c r="AU178" s="2918"/>
      <c r="AV178" s="2918"/>
      <c r="AW178" s="2918"/>
      <c r="AX178" s="2918"/>
      <c r="AY178" s="2918"/>
      <c r="AZ178" s="2918"/>
      <c r="BA178" s="2918"/>
      <c r="BB178" s="2918"/>
      <c r="BC178" s="2918"/>
      <c r="BD178" s="2918"/>
      <c r="BE178" s="2918"/>
      <c r="BF178" s="2918"/>
      <c r="BG178" s="2918"/>
      <c r="BH178" s="2918"/>
      <c r="BI178" s="2918"/>
      <c r="BJ178" s="2918"/>
      <c r="BK178" s="2918"/>
      <c r="BL178" s="2918"/>
      <c r="BM178" s="2918"/>
      <c r="BN178" s="2918"/>
      <c r="BO178" s="2918"/>
      <c r="BP178" s="2918"/>
      <c r="BQ178" s="2918"/>
      <c r="BR178" s="2918"/>
      <c r="BS178" s="2918"/>
      <c r="BT178" s="2918"/>
      <c r="BU178" s="2918"/>
      <c r="BV178" s="2918"/>
      <c r="BW178" s="2918"/>
      <c r="BX178" s="2918"/>
      <c r="BY178" s="2918"/>
      <c r="BZ178" s="2918"/>
      <c r="CA178" s="2918"/>
      <c r="CB178" s="2918"/>
      <c r="CC178" s="2918"/>
      <c r="CD178" s="2918"/>
      <c r="CE178" s="2918"/>
      <c r="CF178" s="2918"/>
      <c r="CG178" s="2918"/>
      <c r="CH178" s="2918"/>
      <c r="CI178" s="2918"/>
      <c r="CJ178" s="2918"/>
      <c r="CK178" s="2918"/>
      <c r="CL178" s="2918"/>
      <c r="CM178" s="2918"/>
      <c r="CN178" s="2918"/>
      <c r="CO178" s="2918"/>
      <c r="CP178" s="2918"/>
      <c r="CQ178" s="2918"/>
      <c r="CR178" s="2918"/>
      <c r="CS178" s="2918"/>
      <c r="CT178" s="2918"/>
      <c r="CU178" s="2918"/>
      <c r="CV178" s="2918"/>
      <c r="CW178" s="2918"/>
      <c r="CX178" s="2918"/>
      <c r="CY178" s="2918"/>
      <c r="CZ178" s="2918"/>
      <c r="DA178" s="2918"/>
      <c r="DB178" s="2918"/>
      <c r="DC178" s="2918"/>
      <c r="DD178" s="2918"/>
      <c r="DE178" s="2918"/>
      <c r="DF178" s="2918"/>
      <c r="DG178" s="2918"/>
      <c r="DH178" s="2918"/>
      <c r="DI178" s="2918"/>
      <c r="DJ178" s="2918"/>
      <c r="DK178" s="2918"/>
      <c r="DL178" s="2918"/>
      <c r="DM178" s="2918"/>
      <c r="DN178" s="2918"/>
      <c r="DO178" s="2918"/>
      <c r="DP178" s="2918"/>
      <c r="DQ178" s="2918"/>
      <c r="DR178" s="2918"/>
      <c r="DS178" s="2918"/>
      <c r="DT178" s="2918"/>
      <c r="DU178" s="2918"/>
      <c r="DV178" s="2918"/>
      <c r="DW178" s="2918"/>
      <c r="DX178" s="2918"/>
      <c r="DY178" s="2918"/>
      <c r="DZ178" s="2918"/>
      <c r="EA178" s="2918"/>
      <c r="EB178" s="2918"/>
      <c r="EC178" s="2918"/>
      <c r="ED178" s="2918"/>
      <c r="EE178" s="2918"/>
      <c r="EF178" s="2918"/>
      <c r="EG178" s="2918"/>
      <c r="EH178" s="2918"/>
      <c r="EI178" s="2918"/>
      <c r="EJ178" s="2918"/>
      <c r="EK178" s="2918"/>
      <c r="EL178" s="2918"/>
      <c r="EM178" s="2918"/>
      <c r="EN178" s="2918"/>
      <c r="EO178" s="2918"/>
      <c r="EP178" s="2918"/>
      <c r="EQ178" s="2918"/>
      <c r="ER178" s="2918"/>
      <c r="ES178" s="2918"/>
      <c r="ET178" s="2918"/>
      <c r="EU178" s="2918"/>
      <c r="EV178" s="2918"/>
      <c r="EW178" s="2918"/>
      <c r="EX178" s="2918"/>
      <c r="EY178" s="2918"/>
      <c r="EZ178" s="2918"/>
      <c r="FA178" s="2918"/>
      <c r="FB178" s="2918"/>
      <c r="FC178" s="2918"/>
      <c r="FD178" s="2918"/>
      <c r="FE178" s="2918"/>
      <c r="FF178" s="2918"/>
      <c r="FG178" s="2918"/>
      <c r="FH178" s="2918"/>
      <c r="FI178" s="2918"/>
      <c r="FJ178" s="2918"/>
      <c r="FK178" s="2918"/>
      <c r="FL178" s="2918"/>
      <c r="FM178" s="2918"/>
      <c r="FN178" s="2918"/>
      <c r="FO178" s="2918"/>
      <c r="FP178" s="2918"/>
      <c r="FQ178" s="2918"/>
      <c r="FR178" s="2918"/>
      <c r="FS178" s="2918"/>
      <c r="FT178" s="2918"/>
      <c r="FU178" s="2918"/>
      <c r="FV178" s="2918"/>
      <c r="FW178" s="2918"/>
      <c r="FX178" s="2918"/>
      <c r="FY178" s="2918"/>
      <c r="FZ178" s="2918"/>
      <c r="GA178" s="2918"/>
      <c r="GB178" s="2918"/>
      <c r="GC178" s="2918"/>
      <c r="GD178" s="2918"/>
      <c r="GE178" s="2918"/>
      <c r="GF178" s="2918"/>
      <c r="GG178" s="2918"/>
      <c r="GH178" s="2918"/>
      <c r="GI178" s="2918"/>
      <c r="GJ178" s="2918"/>
      <c r="GK178" s="2918"/>
      <c r="GL178" s="2918"/>
      <c r="GM178" s="2918"/>
      <c r="GN178" s="2918"/>
      <c r="GO178" s="2918"/>
      <c r="GP178" s="2918"/>
      <c r="GQ178" s="2918"/>
      <c r="GR178" s="2918"/>
      <c r="GS178" s="2918"/>
      <c r="GT178" s="2918"/>
      <c r="GU178" s="2918"/>
      <c r="GV178" s="2918"/>
      <c r="GW178" s="2918"/>
      <c r="GX178" s="2918"/>
      <c r="GY178" s="2918"/>
      <c r="GZ178" s="2918"/>
      <c r="HA178" s="2918"/>
      <c r="HB178" s="2918"/>
      <c r="HC178" s="2918"/>
      <c r="HD178" s="2918"/>
      <c r="HE178" s="2918"/>
      <c r="HF178" s="2918"/>
      <c r="HG178" s="2918"/>
      <c r="HH178" s="2918"/>
      <c r="HI178" s="2918"/>
      <c r="HJ178" s="2918"/>
      <c r="HK178" s="2918"/>
      <c r="HL178" s="2918"/>
      <c r="HM178" s="2918"/>
      <c r="HN178" s="2918"/>
      <c r="HO178" s="2918"/>
      <c r="HP178" s="2918"/>
      <c r="HQ178" s="2918"/>
      <c r="HR178" s="2918"/>
      <c r="HS178" s="2918"/>
      <c r="HT178" s="2918"/>
      <c r="HU178" s="2918"/>
      <c r="HV178" s="2918"/>
      <c r="HW178" s="2918"/>
      <c r="HX178" s="2918"/>
      <c r="HY178" s="2918"/>
      <c r="HZ178" s="2918"/>
      <c r="IA178" s="2918"/>
      <c r="IB178" s="2918"/>
      <c r="IC178" s="2918"/>
      <c r="ID178" s="2918"/>
      <c r="IE178" s="2918"/>
      <c r="IF178" s="2918"/>
      <c r="IG178" s="2918"/>
      <c r="IH178" s="2918"/>
      <c r="II178" s="2918"/>
      <c r="IJ178" s="2918"/>
      <c r="IK178" s="2918"/>
      <c r="IL178" s="2918"/>
      <c r="IM178" s="2918"/>
      <c r="IN178" s="2918"/>
      <c r="IO178" s="2918"/>
      <c r="IP178" s="2918"/>
      <c r="IQ178" s="2918"/>
      <c r="IR178" s="2918"/>
      <c r="IS178" s="2918"/>
      <c r="IT178" s="2918"/>
      <c r="IU178" s="2918"/>
      <c r="IV178" s="2918"/>
    </row>
    <row r="179" spans="1:256" customFormat="1">
      <c r="A179" s="4702"/>
      <c r="B179" s="4716" t="s">
        <v>12598</v>
      </c>
      <c r="C179" s="4724" t="s">
        <v>12608</v>
      </c>
      <c r="D179" s="4697"/>
      <c r="E179" s="3091" t="s">
        <v>12602</v>
      </c>
      <c r="F179" s="3091" t="s">
        <v>12603</v>
      </c>
      <c r="G179" s="3091" t="s">
        <v>12604</v>
      </c>
      <c r="H179" s="3091" t="s">
        <v>12605</v>
      </c>
      <c r="I179" s="3092" t="s">
        <v>12606</v>
      </c>
      <c r="J179" s="2918"/>
      <c r="K179" s="2918"/>
      <c r="L179" s="2918"/>
      <c r="M179" s="2918"/>
      <c r="N179" s="2918"/>
      <c r="O179" s="2918"/>
      <c r="P179" s="2918"/>
      <c r="Q179" s="2918"/>
      <c r="R179" s="2918"/>
      <c r="S179" s="2918"/>
      <c r="T179" s="2918"/>
      <c r="U179" s="2918"/>
      <c r="V179" s="2918"/>
      <c r="W179" s="2918"/>
      <c r="X179" s="2918"/>
      <c r="Y179" s="2918"/>
      <c r="Z179" s="2918"/>
      <c r="AA179" s="2918"/>
      <c r="AB179" s="2918"/>
      <c r="AC179" s="2918"/>
      <c r="AD179" s="2918"/>
      <c r="AE179" s="2918"/>
      <c r="AF179" s="2918"/>
      <c r="AG179" s="2918"/>
      <c r="AH179" s="2918"/>
      <c r="AI179" s="2918"/>
      <c r="AJ179" s="2918"/>
      <c r="AK179" s="2918"/>
      <c r="AL179" s="2918"/>
      <c r="AM179" s="2918"/>
      <c r="AN179" s="2918"/>
      <c r="AO179" s="2918"/>
      <c r="AP179" s="2918"/>
      <c r="AQ179" s="2918"/>
      <c r="AR179" s="2918"/>
      <c r="AS179" s="2918"/>
      <c r="AT179" s="2918"/>
      <c r="AU179" s="2918"/>
      <c r="AV179" s="2918"/>
      <c r="AW179" s="2918"/>
      <c r="AX179" s="2918"/>
      <c r="AY179" s="2918"/>
      <c r="AZ179" s="2918"/>
      <c r="BA179" s="2918"/>
      <c r="BB179" s="2918"/>
      <c r="BC179" s="2918"/>
      <c r="BD179" s="2918"/>
      <c r="BE179" s="2918"/>
      <c r="BF179" s="2918"/>
      <c r="BG179" s="2918"/>
      <c r="BH179" s="2918"/>
      <c r="BI179" s="2918"/>
      <c r="BJ179" s="2918"/>
      <c r="BK179" s="2918"/>
      <c r="BL179" s="2918"/>
      <c r="BM179" s="2918"/>
      <c r="BN179" s="2918"/>
      <c r="BO179" s="2918"/>
      <c r="BP179" s="2918"/>
      <c r="BQ179" s="2918"/>
      <c r="BR179" s="2918"/>
      <c r="BS179" s="2918"/>
      <c r="BT179" s="2918"/>
      <c r="BU179" s="2918"/>
      <c r="BV179" s="2918"/>
      <c r="BW179" s="2918"/>
      <c r="BX179" s="2918"/>
      <c r="BY179" s="2918"/>
      <c r="BZ179" s="2918"/>
      <c r="CA179" s="2918"/>
      <c r="CB179" s="2918"/>
      <c r="CC179" s="2918"/>
      <c r="CD179" s="2918"/>
      <c r="CE179" s="2918"/>
      <c r="CF179" s="2918"/>
      <c r="CG179" s="2918"/>
      <c r="CH179" s="2918"/>
      <c r="CI179" s="2918"/>
      <c r="CJ179" s="2918"/>
      <c r="CK179" s="2918"/>
      <c r="CL179" s="2918"/>
      <c r="CM179" s="2918"/>
      <c r="CN179" s="2918"/>
      <c r="CO179" s="2918"/>
      <c r="CP179" s="2918"/>
      <c r="CQ179" s="2918"/>
      <c r="CR179" s="2918"/>
      <c r="CS179" s="2918"/>
      <c r="CT179" s="2918"/>
      <c r="CU179" s="2918"/>
      <c r="CV179" s="2918"/>
      <c r="CW179" s="2918"/>
      <c r="CX179" s="2918"/>
      <c r="CY179" s="2918"/>
      <c r="CZ179" s="2918"/>
      <c r="DA179" s="2918"/>
      <c r="DB179" s="2918"/>
      <c r="DC179" s="2918"/>
      <c r="DD179" s="2918"/>
      <c r="DE179" s="2918"/>
      <c r="DF179" s="2918"/>
      <c r="DG179" s="2918"/>
      <c r="DH179" s="2918"/>
      <c r="DI179" s="2918"/>
      <c r="DJ179" s="2918"/>
      <c r="DK179" s="2918"/>
      <c r="DL179" s="2918"/>
      <c r="DM179" s="2918"/>
      <c r="DN179" s="2918"/>
      <c r="DO179" s="2918"/>
      <c r="DP179" s="2918"/>
      <c r="DQ179" s="2918"/>
      <c r="DR179" s="2918"/>
      <c r="DS179" s="2918"/>
      <c r="DT179" s="2918"/>
      <c r="DU179" s="2918"/>
      <c r="DV179" s="2918"/>
      <c r="DW179" s="2918"/>
      <c r="DX179" s="2918"/>
      <c r="DY179" s="2918"/>
      <c r="DZ179" s="2918"/>
      <c r="EA179" s="2918"/>
      <c r="EB179" s="2918"/>
      <c r="EC179" s="2918"/>
      <c r="ED179" s="2918"/>
      <c r="EE179" s="2918"/>
      <c r="EF179" s="2918"/>
      <c r="EG179" s="2918"/>
      <c r="EH179" s="2918"/>
      <c r="EI179" s="2918"/>
      <c r="EJ179" s="2918"/>
      <c r="EK179" s="2918"/>
      <c r="EL179" s="2918"/>
      <c r="EM179" s="2918"/>
      <c r="EN179" s="2918"/>
      <c r="EO179" s="2918"/>
      <c r="EP179" s="2918"/>
      <c r="EQ179" s="2918"/>
      <c r="ER179" s="2918"/>
      <c r="ES179" s="2918"/>
      <c r="ET179" s="2918"/>
      <c r="EU179" s="2918"/>
      <c r="EV179" s="2918"/>
      <c r="EW179" s="2918"/>
      <c r="EX179" s="2918"/>
      <c r="EY179" s="2918"/>
      <c r="EZ179" s="2918"/>
      <c r="FA179" s="2918"/>
      <c r="FB179" s="2918"/>
      <c r="FC179" s="2918"/>
      <c r="FD179" s="2918"/>
      <c r="FE179" s="2918"/>
      <c r="FF179" s="2918"/>
      <c r="FG179" s="2918"/>
      <c r="FH179" s="2918"/>
      <c r="FI179" s="2918"/>
      <c r="FJ179" s="2918"/>
      <c r="FK179" s="2918"/>
      <c r="FL179" s="2918"/>
      <c r="FM179" s="2918"/>
      <c r="FN179" s="2918"/>
      <c r="FO179" s="2918"/>
      <c r="FP179" s="2918"/>
      <c r="FQ179" s="2918"/>
      <c r="FR179" s="2918"/>
      <c r="FS179" s="2918"/>
      <c r="FT179" s="2918"/>
      <c r="FU179" s="2918"/>
      <c r="FV179" s="2918"/>
      <c r="FW179" s="2918"/>
      <c r="FX179" s="2918"/>
      <c r="FY179" s="2918"/>
      <c r="FZ179" s="2918"/>
      <c r="GA179" s="2918"/>
      <c r="GB179" s="2918"/>
      <c r="GC179" s="2918"/>
      <c r="GD179" s="2918"/>
      <c r="GE179" s="2918"/>
      <c r="GF179" s="2918"/>
      <c r="GG179" s="2918"/>
      <c r="GH179" s="2918"/>
      <c r="GI179" s="2918"/>
      <c r="GJ179" s="2918"/>
      <c r="GK179" s="2918"/>
      <c r="GL179" s="2918"/>
      <c r="GM179" s="2918"/>
      <c r="GN179" s="2918"/>
      <c r="GO179" s="2918"/>
      <c r="GP179" s="2918"/>
      <c r="GQ179" s="2918"/>
      <c r="GR179" s="2918"/>
      <c r="GS179" s="2918"/>
      <c r="GT179" s="2918"/>
      <c r="GU179" s="2918"/>
      <c r="GV179" s="2918"/>
      <c r="GW179" s="2918"/>
      <c r="GX179" s="2918"/>
      <c r="GY179" s="2918"/>
      <c r="GZ179" s="2918"/>
      <c r="HA179" s="2918"/>
      <c r="HB179" s="2918"/>
      <c r="HC179" s="2918"/>
      <c r="HD179" s="2918"/>
      <c r="HE179" s="2918"/>
      <c r="HF179" s="2918"/>
      <c r="HG179" s="2918"/>
      <c r="HH179" s="2918"/>
      <c r="HI179" s="2918"/>
      <c r="HJ179" s="2918"/>
      <c r="HK179" s="2918"/>
      <c r="HL179" s="2918"/>
      <c r="HM179" s="2918"/>
      <c r="HN179" s="2918"/>
      <c r="HO179" s="2918"/>
      <c r="HP179" s="2918"/>
      <c r="HQ179" s="2918"/>
      <c r="HR179" s="2918"/>
      <c r="HS179" s="2918"/>
      <c r="HT179" s="2918"/>
      <c r="HU179" s="2918"/>
      <c r="HV179" s="2918"/>
      <c r="HW179" s="2918"/>
      <c r="HX179" s="2918"/>
      <c r="HY179" s="2918"/>
      <c r="HZ179" s="2918"/>
      <c r="IA179" s="2918"/>
      <c r="IB179" s="2918"/>
      <c r="IC179" s="2918"/>
      <c r="ID179" s="2918"/>
      <c r="IE179" s="2918"/>
      <c r="IF179" s="2918"/>
      <c r="IG179" s="2918"/>
      <c r="IH179" s="2918"/>
      <c r="II179" s="2918"/>
      <c r="IJ179" s="2918"/>
      <c r="IK179" s="2918"/>
      <c r="IL179" s="2918"/>
      <c r="IM179" s="2918"/>
      <c r="IN179" s="2918"/>
      <c r="IO179" s="2918"/>
      <c r="IP179" s="2918"/>
      <c r="IQ179" s="2918"/>
      <c r="IR179" s="2918"/>
      <c r="IS179" s="2918"/>
      <c r="IT179" s="2918"/>
      <c r="IU179" s="2918"/>
      <c r="IV179" s="2918"/>
    </row>
    <row r="180" spans="1:256" customFormat="1">
      <c r="A180" s="4702"/>
      <c r="B180" s="4716"/>
      <c r="C180" s="4725"/>
      <c r="D180" s="4698"/>
      <c r="E180" s="2919">
        <v>0</v>
      </c>
      <c r="F180" s="2919">
        <v>0</v>
      </c>
      <c r="G180" s="2919">
        <v>0</v>
      </c>
      <c r="H180" s="2919">
        <v>0</v>
      </c>
      <c r="I180" s="3037">
        <v>0</v>
      </c>
      <c r="J180" s="2918"/>
      <c r="K180" s="2918"/>
      <c r="L180" s="2918"/>
      <c r="M180" s="2918"/>
      <c r="N180" s="2918"/>
      <c r="O180" s="2918"/>
      <c r="P180" s="2918"/>
      <c r="Q180" s="2918"/>
      <c r="R180" s="2918"/>
      <c r="S180" s="2918"/>
      <c r="T180" s="2918"/>
      <c r="U180" s="2918"/>
      <c r="V180" s="2918"/>
      <c r="W180" s="2918"/>
      <c r="X180" s="2918"/>
      <c r="Y180" s="2918"/>
      <c r="Z180" s="2918"/>
      <c r="AA180" s="2918"/>
      <c r="AB180" s="2918"/>
      <c r="AC180" s="2918"/>
      <c r="AD180" s="2918"/>
      <c r="AE180" s="2918"/>
      <c r="AF180" s="2918"/>
      <c r="AG180" s="2918"/>
      <c r="AH180" s="2918"/>
      <c r="AI180" s="2918"/>
      <c r="AJ180" s="2918"/>
      <c r="AK180" s="2918"/>
      <c r="AL180" s="2918"/>
      <c r="AM180" s="2918"/>
      <c r="AN180" s="2918"/>
      <c r="AO180" s="2918"/>
      <c r="AP180" s="2918"/>
      <c r="AQ180" s="2918"/>
      <c r="AR180" s="2918"/>
      <c r="AS180" s="2918"/>
      <c r="AT180" s="2918"/>
      <c r="AU180" s="2918"/>
      <c r="AV180" s="2918"/>
      <c r="AW180" s="2918"/>
      <c r="AX180" s="2918"/>
      <c r="AY180" s="2918"/>
      <c r="AZ180" s="2918"/>
      <c r="BA180" s="2918"/>
      <c r="BB180" s="2918"/>
      <c r="BC180" s="2918"/>
      <c r="BD180" s="2918"/>
      <c r="BE180" s="2918"/>
      <c r="BF180" s="2918"/>
      <c r="BG180" s="2918"/>
      <c r="BH180" s="2918"/>
      <c r="BI180" s="2918"/>
      <c r="BJ180" s="2918"/>
      <c r="BK180" s="2918"/>
      <c r="BL180" s="2918"/>
      <c r="BM180" s="2918"/>
      <c r="BN180" s="2918"/>
      <c r="BO180" s="2918"/>
      <c r="BP180" s="2918"/>
      <c r="BQ180" s="2918"/>
      <c r="BR180" s="2918"/>
      <c r="BS180" s="2918"/>
      <c r="BT180" s="2918"/>
      <c r="BU180" s="2918"/>
      <c r="BV180" s="2918"/>
      <c r="BW180" s="2918"/>
      <c r="BX180" s="2918"/>
      <c r="BY180" s="2918"/>
      <c r="BZ180" s="2918"/>
      <c r="CA180" s="2918"/>
      <c r="CB180" s="2918"/>
      <c r="CC180" s="2918"/>
      <c r="CD180" s="2918"/>
      <c r="CE180" s="2918"/>
      <c r="CF180" s="2918"/>
      <c r="CG180" s="2918"/>
      <c r="CH180" s="2918"/>
      <c r="CI180" s="2918"/>
      <c r="CJ180" s="2918"/>
      <c r="CK180" s="2918"/>
      <c r="CL180" s="2918"/>
      <c r="CM180" s="2918"/>
      <c r="CN180" s="2918"/>
      <c r="CO180" s="2918"/>
      <c r="CP180" s="2918"/>
      <c r="CQ180" s="2918"/>
      <c r="CR180" s="2918"/>
      <c r="CS180" s="2918"/>
      <c r="CT180" s="2918"/>
      <c r="CU180" s="2918"/>
      <c r="CV180" s="2918"/>
      <c r="CW180" s="2918"/>
      <c r="CX180" s="2918"/>
      <c r="CY180" s="2918"/>
      <c r="CZ180" s="2918"/>
      <c r="DA180" s="2918"/>
      <c r="DB180" s="2918"/>
      <c r="DC180" s="2918"/>
      <c r="DD180" s="2918"/>
      <c r="DE180" s="2918"/>
      <c r="DF180" s="2918"/>
      <c r="DG180" s="2918"/>
      <c r="DH180" s="2918"/>
      <c r="DI180" s="2918"/>
      <c r="DJ180" s="2918"/>
      <c r="DK180" s="2918"/>
      <c r="DL180" s="2918"/>
      <c r="DM180" s="2918"/>
      <c r="DN180" s="2918"/>
      <c r="DO180" s="2918"/>
      <c r="DP180" s="2918"/>
      <c r="DQ180" s="2918"/>
      <c r="DR180" s="2918"/>
      <c r="DS180" s="2918"/>
      <c r="DT180" s="2918"/>
      <c r="DU180" s="2918"/>
      <c r="DV180" s="2918"/>
      <c r="DW180" s="2918"/>
      <c r="DX180" s="2918"/>
      <c r="DY180" s="2918"/>
      <c r="DZ180" s="2918"/>
      <c r="EA180" s="2918"/>
      <c r="EB180" s="2918"/>
      <c r="EC180" s="2918"/>
      <c r="ED180" s="2918"/>
      <c r="EE180" s="2918"/>
      <c r="EF180" s="2918"/>
      <c r="EG180" s="2918"/>
      <c r="EH180" s="2918"/>
      <c r="EI180" s="2918"/>
      <c r="EJ180" s="2918"/>
      <c r="EK180" s="2918"/>
      <c r="EL180" s="2918"/>
      <c r="EM180" s="2918"/>
      <c r="EN180" s="2918"/>
      <c r="EO180" s="2918"/>
      <c r="EP180" s="2918"/>
      <c r="EQ180" s="2918"/>
      <c r="ER180" s="2918"/>
      <c r="ES180" s="2918"/>
      <c r="ET180" s="2918"/>
      <c r="EU180" s="2918"/>
      <c r="EV180" s="2918"/>
      <c r="EW180" s="2918"/>
      <c r="EX180" s="2918"/>
      <c r="EY180" s="2918"/>
      <c r="EZ180" s="2918"/>
      <c r="FA180" s="2918"/>
      <c r="FB180" s="2918"/>
      <c r="FC180" s="2918"/>
      <c r="FD180" s="2918"/>
      <c r="FE180" s="2918"/>
      <c r="FF180" s="2918"/>
      <c r="FG180" s="2918"/>
      <c r="FH180" s="2918"/>
      <c r="FI180" s="2918"/>
      <c r="FJ180" s="2918"/>
      <c r="FK180" s="2918"/>
      <c r="FL180" s="2918"/>
      <c r="FM180" s="2918"/>
      <c r="FN180" s="2918"/>
      <c r="FO180" s="2918"/>
      <c r="FP180" s="2918"/>
      <c r="FQ180" s="2918"/>
      <c r="FR180" s="2918"/>
      <c r="FS180" s="2918"/>
      <c r="FT180" s="2918"/>
      <c r="FU180" s="2918"/>
      <c r="FV180" s="2918"/>
      <c r="FW180" s="2918"/>
      <c r="FX180" s="2918"/>
      <c r="FY180" s="2918"/>
      <c r="FZ180" s="2918"/>
      <c r="GA180" s="2918"/>
      <c r="GB180" s="2918"/>
      <c r="GC180" s="2918"/>
      <c r="GD180" s="2918"/>
      <c r="GE180" s="2918"/>
      <c r="GF180" s="2918"/>
      <c r="GG180" s="2918"/>
      <c r="GH180" s="2918"/>
      <c r="GI180" s="2918"/>
      <c r="GJ180" s="2918"/>
      <c r="GK180" s="2918"/>
      <c r="GL180" s="2918"/>
      <c r="GM180" s="2918"/>
      <c r="GN180" s="2918"/>
      <c r="GO180" s="2918"/>
      <c r="GP180" s="2918"/>
      <c r="GQ180" s="2918"/>
      <c r="GR180" s="2918"/>
      <c r="GS180" s="2918"/>
      <c r="GT180" s="2918"/>
      <c r="GU180" s="2918"/>
      <c r="GV180" s="2918"/>
      <c r="GW180" s="2918"/>
      <c r="GX180" s="2918"/>
      <c r="GY180" s="2918"/>
      <c r="GZ180" s="2918"/>
      <c r="HA180" s="2918"/>
      <c r="HB180" s="2918"/>
      <c r="HC180" s="2918"/>
      <c r="HD180" s="2918"/>
      <c r="HE180" s="2918"/>
      <c r="HF180" s="2918"/>
      <c r="HG180" s="2918"/>
      <c r="HH180" s="2918"/>
      <c r="HI180" s="2918"/>
      <c r="HJ180" s="2918"/>
      <c r="HK180" s="2918"/>
      <c r="HL180" s="2918"/>
      <c r="HM180" s="2918"/>
      <c r="HN180" s="2918"/>
      <c r="HO180" s="2918"/>
      <c r="HP180" s="2918"/>
      <c r="HQ180" s="2918"/>
      <c r="HR180" s="2918"/>
      <c r="HS180" s="2918"/>
      <c r="HT180" s="2918"/>
      <c r="HU180" s="2918"/>
      <c r="HV180" s="2918"/>
      <c r="HW180" s="2918"/>
      <c r="HX180" s="2918"/>
      <c r="HY180" s="2918"/>
      <c r="HZ180" s="2918"/>
      <c r="IA180" s="2918"/>
      <c r="IB180" s="2918"/>
      <c r="IC180" s="2918"/>
      <c r="ID180" s="2918"/>
      <c r="IE180" s="2918"/>
      <c r="IF180" s="2918"/>
      <c r="IG180" s="2918"/>
      <c r="IH180" s="2918"/>
      <c r="II180" s="2918"/>
      <c r="IJ180" s="2918"/>
      <c r="IK180" s="2918"/>
      <c r="IL180" s="2918"/>
      <c r="IM180" s="2918"/>
      <c r="IN180" s="2918"/>
      <c r="IO180" s="2918"/>
      <c r="IP180" s="2918"/>
      <c r="IQ180" s="2918"/>
      <c r="IR180" s="2918"/>
      <c r="IS180" s="2918"/>
      <c r="IT180" s="2918"/>
      <c r="IU180" s="2918"/>
      <c r="IV180" s="2918"/>
    </row>
    <row r="181" spans="1:256" customFormat="1">
      <c r="A181" s="4702"/>
      <c r="B181" s="4716"/>
      <c r="C181" s="4724" t="s">
        <v>12609</v>
      </c>
      <c r="D181" s="4697"/>
      <c r="E181" s="2919">
        <v>0</v>
      </c>
      <c r="F181" s="2919">
        <v>0</v>
      </c>
      <c r="G181" s="2919">
        <v>0</v>
      </c>
      <c r="H181" s="2919">
        <v>0</v>
      </c>
      <c r="I181" s="3037">
        <v>0</v>
      </c>
      <c r="J181" s="2918"/>
      <c r="K181" s="2918"/>
      <c r="L181" s="2918"/>
      <c r="M181" s="2918"/>
      <c r="N181" s="2918"/>
      <c r="O181" s="2918"/>
      <c r="P181" s="2918"/>
      <c r="Q181" s="2918"/>
      <c r="R181" s="2918"/>
      <c r="S181" s="2918"/>
      <c r="T181" s="2918"/>
      <c r="U181" s="2918"/>
      <c r="V181" s="2918"/>
      <c r="W181" s="2918"/>
      <c r="X181" s="2918"/>
      <c r="Y181" s="2918"/>
      <c r="Z181" s="2918"/>
      <c r="AA181" s="2918"/>
      <c r="AB181" s="2918"/>
      <c r="AC181" s="2918"/>
      <c r="AD181" s="2918"/>
      <c r="AE181" s="2918"/>
      <c r="AF181" s="2918"/>
      <c r="AG181" s="2918"/>
      <c r="AH181" s="2918"/>
      <c r="AI181" s="2918"/>
      <c r="AJ181" s="2918"/>
      <c r="AK181" s="2918"/>
      <c r="AL181" s="2918"/>
      <c r="AM181" s="2918"/>
      <c r="AN181" s="2918"/>
      <c r="AO181" s="2918"/>
      <c r="AP181" s="2918"/>
      <c r="AQ181" s="2918"/>
      <c r="AR181" s="2918"/>
      <c r="AS181" s="2918"/>
      <c r="AT181" s="2918"/>
      <c r="AU181" s="2918"/>
      <c r="AV181" s="2918"/>
      <c r="AW181" s="2918"/>
      <c r="AX181" s="2918"/>
      <c r="AY181" s="2918"/>
      <c r="AZ181" s="2918"/>
      <c r="BA181" s="2918"/>
      <c r="BB181" s="2918"/>
      <c r="BC181" s="2918"/>
      <c r="BD181" s="2918"/>
      <c r="BE181" s="2918"/>
      <c r="BF181" s="2918"/>
      <c r="BG181" s="2918"/>
      <c r="BH181" s="2918"/>
      <c r="BI181" s="2918"/>
      <c r="BJ181" s="2918"/>
      <c r="BK181" s="2918"/>
      <c r="BL181" s="2918"/>
      <c r="BM181" s="2918"/>
      <c r="BN181" s="2918"/>
      <c r="BO181" s="2918"/>
      <c r="BP181" s="2918"/>
      <c r="BQ181" s="2918"/>
      <c r="BR181" s="2918"/>
      <c r="BS181" s="2918"/>
      <c r="BT181" s="2918"/>
      <c r="BU181" s="2918"/>
      <c r="BV181" s="2918"/>
      <c r="BW181" s="2918"/>
      <c r="BX181" s="2918"/>
      <c r="BY181" s="2918"/>
      <c r="BZ181" s="2918"/>
      <c r="CA181" s="2918"/>
      <c r="CB181" s="2918"/>
      <c r="CC181" s="2918"/>
      <c r="CD181" s="2918"/>
      <c r="CE181" s="2918"/>
      <c r="CF181" s="2918"/>
      <c r="CG181" s="2918"/>
      <c r="CH181" s="2918"/>
      <c r="CI181" s="2918"/>
      <c r="CJ181" s="2918"/>
      <c r="CK181" s="2918"/>
      <c r="CL181" s="2918"/>
      <c r="CM181" s="2918"/>
      <c r="CN181" s="2918"/>
      <c r="CO181" s="2918"/>
      <c r="CP181" s="2918"/>
      <c r="CQ181" s="2918"/>
      <c r="CR181" s="2918"/>
      <c r="CS181" s="2918"/>
      <c r="CT181" s="2918"/>
      <c r="CU181" s="2918"/>
      <c r="CV181" s="2918"/>
      <c r="CW181" s="2918"/>
      <c r="CX181" s="2918"/>
      <c r="CY181" s="2918"/>
      <c r="CZ181" s="2918"/>
      <c r="DA181" s="2918"/>
      <c r="DB181" s="2918"/>
      <c r="DC181" s="2918"/>
      <c r="DD181" s="2918"/>
      <c r="DE181" s="2918"/>
      <c r="DF181" s="2918"/>
      <c r="DG181" s="2918"/>
      <c r="DH181" s="2918"/>
      <c r="DI181" s="2918"/>
      <c r="DJ181" s="2918"/>
      <c r="DK181" s="2918"/>
      <c r="DL181" s="2918"/>
      <c r="DM181" s="2918"/>
      <c r="DN181" s="2918"/>
      <c r="DO181" s="2918"/>
      <c r="DP181" s="2918"/>
      <c r="DQ181" s="2918"/>
      <c r="DR181" s="2918"/>
      <c r="DS181" s="2918"/>
      <c r="DT181" s="2918"/>
      <c r="DU181" s="2918"/>
      <c r="DV181" s="2918"/>
      <c r="DW181" s="2918"/>
      <c r="DX181" s="2918"/>
      <c r="DY181" s="2918"/>
      <c r="DZ181" s="2918"/>
      <c r="EA181" s="2918"/>
      <c r="EB181" s="2918"/>
      <c r="EC181" s="2918"/>
      <c r="ED181" s="2918"/>
      <c r="EE181" s="2918"/>
      <c r="EF181" s="2918"/>
      <c r="EG181" s="2918"/>
      <c r="EH181" s="2918"/>
      <c r="EI181" s="2918"/>
      <c r="EJ181" s="2918"/>
      <c r="EK181" s="2918"/>
      <c r="EL181" s="2918"/>
      <c r="EM181" s="2918"/>
      <c r="EN181" s="2918"/>
      <c r="EO181" s="2918"/>
      <c r="EP181" s="2918"/>
      <c r="EQ181" s="2918"/>
      <c r="ER181" s="2918"/>
      <c r="ES181" s="2918"/>
      <c r="ET181" s="2918"/>
      <c r="EU181" s="2918"/>
      <c r="EV181" s="2918"/>
      <c r="EW181" s="2918"/>
      <c r="EX181" s="2918"/>
      <c r="EY181" s="2918"/>
      <c r="EZ181" s="2918"/>
      <c r="FA181" s="2918"/>
      <c r="FB181" s="2918"/>
      <c r="FC181" s="2918"/>
      <c r="FD181" s="2918"/>
      <c r="FE181" s="2918"/>
      <c r="FF181" s="2918"/>
      <c r="FG181" s="2918"/>
      <c r="FH181" s="2918"/>
      <c r="FI181" s="2918"/>
      <c r="FJ181" s="2918"/>
      <c r="FK181" s="2918"/>
      <c r="FL181" s="2918"/>
      <c r="FM181" s="2918"/>
      <c r="FN181" s="2918"/>
      <c r="FO181" s="2918"/>
      <c r="FP181" s="2918"/>
      <c r="FQ181" s="2918"/>
      <c r="FR181" s="2918"/>
      <c r="FS181" s="2918"/>
      <c r="FT181" s="2918"/>
      <c r="FU181" s="2918"/>
      <c r="FV181" s="2918"/>
      <c r="FW181" s="2918"/>
      <c r="FX181" s="2918"/>
      <c r="FY181" s="2918"/>
      <c r="FZ181" s="2918"/>
      <c r="GA181" s="2918"/>
      <c r="GB181" s="2918"/>
      <c r="GC181" s="2918"/>
      <c r="GD181" s="2918"/>
      <c r="GE181" s="2918"/>
      <c r="GF181" s="2918"/>
      <c r="GG181" s="2918"/>
      <c r="GH181" s="2918"/>
      <c r="GI181" s="2918"/>
      <c r="GJ181" s="2918"/>
      <c r="GK181" s="2918"/>
      <c r="GL181" s="2918"/>
      <c r="GM181" s="2918"/>
      <c r="GN181" s="2918"/>
      <c r="GO181" s="2918"/>
      <c r="GP181" s="2918"/>
      <c r="GQ181" s="2918"/>
      <c r="GR181" s="2918"/>
      <c r="GS181" s="2918"/>
      <c r="GT181" s="2918"/>
      <c r="GU181" s="2918"/>
      <c r="GV181" s="2918"/>
      <c r="GW181" s="2918"/>
      <c r="GX181" s="2918"/>
      <c r="GY181" s="2918"/>
      <c r="GZ181" s="2918"/>
      <c r="HA181" s="2918"/>
      <c r="HB181" s="2918"/>
      <c r="HC181" s="2918"/>
      <c r="HD181" s="2918"/>
      <c r="HE181" s="2918"/>
      <c r="HF181" s="2918"/>
      <c r="HG181" s="2918"/>
      <c r="HH181" s="2918"/>
      <c r="HI181" s="2918"/>
      <c r="HJ181" s="2918"/>
      <c r="HK181" s="2918"/>
      <c r="HL181" s="2918"/>
      <c r="HM181" s="2918"/>
      <c r="HN181" s="2918"/>
      <c r="HO181" s="2918"/>
      <c r="HP181" s="2918"/>
      <c r="HQ181" s="2918"/>
      <c r="HR181" s="2918"/>
      <c r="HS181" s="2918"/>
      <c r="HT181" s="2918"/>
      <c r="HU181" s="2918"/>
      <c r="HV181" s="2918"/>
      <c r="HW181" s="2918"/>
      <c r="HX181" s="2918"/>
      <c r="HY181" s="2918"/>
      <c r="HZ181" s="2918"/>
      <c r="IA181" s="2918"/>
      <c r="IB181" s="2918"/>
      <c r="IC181" s="2918"/>
      <c r="ID181" s="2918"/>
      <c r="IE181" s="2918"/>
      <c r="IF181" s="2918"/>
      <c r="IG181" s="2918"/>
      <c r="IH181" s="2918"/>
      <c r="II181" s="2918"/>
      <c r="IJ181" s="2918"/>
      <c r="IK181" s="2918"/>
      <c r="IL181" s="2918"/>
      <c r="IM181" s="2918"/>
      <c r="IN181" s="2918"/>
      <c r="IO181" s="2918"/>
      <c r="IP181" s="2918"/>
      <c r="IQ181" s="2918"/>
      <c r="IR181" s="2918"/>
      <c r="IS181" s="2918"/>
      <c r="IT181" s="2918"/>
      <c r="IU181" s="2918"/>
      <c r="IV181" s="2918"/>
    </row>
    <row r="182" spans="1:256" customFormat="1">
      <c r="A182" s="4703"/>
      <c r="B182" s="4723"/>
      <c r="C182" s="4726"/>
      <c r="D182" s="4727"/>
      <c r="E182" s="3093">
        <v>-0.04</v>
      </c>
      <c r="F182" s="3093">
        <v>-0.05</v>
      </c>
      <c r="G182" s="3093">
        <v>-0.06</v>
      </c>
      <c r="H182" s="3093">
        <v>-7.0000000000000007E-2</v>
      </c>
      <c r="I182" s="3050">
        <v>-0.09</v>
      </c>
      <c r="J182" s="2918"/>
      <c r="K182" s="2918"/>
      <c r="L182" s="2918"/>
      <c r="M182" s="2918"/>
      <c r="N182" s="2918"/>
      <c r="O182" s="2918"/>
      <c r="P182" s="2918"/>
      <c r="Q182" s="2918"/>
      <c r="R182" s="2918"/>
      <c r="S182" s="2918"/>
      <c r="T182" s="2918"/>
      <c r="U182" s="2918"/>
      <c r="V182" s="2918"/>
      <c r="W182" s="2918"/>
      <c r="X182" s="2918"/>
      <c r="Y182" s="2918"/>
      <c r="Z182" s="2918"/>
      <c r="AA182" s="2918"/>
      <c r="AB182" s="2918"/>
      <c r="AC182" s="2918"/>
      <c r="AD182" s="2918"/>
      <c r="AE182" s="2918"/>
      <c r="AF182" s="2918"/>
      <c r="AG182" s="2918"/>
      <c r="AH182" s="2918"/>
      <c r="AI182" s="2918"/>
      <c r="AJ182" s="2918"/>
      <c r="AK182" s="2918"/>
      <c r="AL182" s="2918"/>
      <c r="AM182" s="2918"/>
      <c r="AN182" s="2918"/>
      <c r="AO182" s="2918"/>
      <c r="AP182" s="2918"/>
      <c r="AQ182" s="2918"/>
      <c r="AR182" s="2918"/>
      <c r="AS182" s="2918"/>
      <c r="AT182" s="2918"/>
      <c r="AU182" s="2918"/>
      <c r="AV182" s="2918"/>
      <c r="AW182" s="2918"/>
      <c r="AX182" s="2918"/>
      <c r="AY182" s="2918"/>
      <c r="AZ182" s="2918"/>
      <c r="BA182" s="2918"/>
      <c r="BB182" s="2918"/>
      <c r="BC182" s="2918"/>
      <c r="BD182" s="2918"/>
      <c r="BE182" s="2918"/>
      <c r="BF182" s="2918"/>
      <c r="BG182" s="2918"/>
      <c r="BH182" s="2918"/>
      <c r="BI182" s="2918"/>
      <c r="BJ182" s="2918"/>
      <c r="BK182" s="2918"/>
      <c r="BL182" s="2918"/>
      <c r="BM182" s="2918"/>
      <c r="BN182" s="2918"/>
      <c r="BO182" s="2918"/>
      <c r="BP182" s="2918"/>
      <c r="BQ182" s="2918"/>
      <c r="BR182" s="2918"/>
      <c r="BS182" s="2918"/>
      <c r="BT182" s="2918"/>
      <c r="BU182" s="2918"/>
      <c r="BV182" s="2918"/>
      <c r="BW182" s="2918"/>
      <c r="BX182" s="2918"/>
      <c r="BY182" s="2918"/>
      <c r="BZ182" s="2918"/>
      <c r="CA182" s="2918"/>
      <c r="CB182" s="2918"/>
      <c r="CC182" s="2918"/>
      <c r="CD182" s="2918"/>
      <c r="CE182" s="2918"/>
      <c r="CF182" s="2918"/>
      <c r="CG182" s="2918"/>
      <c r="CH182" s="2918"/>
      <c r="CI182" s="2918"/>
      <c r="CJ182" s="2918"/>
      <c r="CK182" s="2918"/>
      <c r="CL182" s="2918"/>
      <c r="CM182" s="2918"/>
      <c r="CN182" s="2918"/>
      <c r="CO182" s="2918"/>
      <c r="CP182" s="2918"/>
      <c r="CQ182" s="2918"/>
      <c r="CR182" s="2918"/>
      <c r="CS182" s="2918"/>
      <c r="CT182" s="2918"/>
      <c r="CU182" s="2918"/>
      <c r="CV182" s="2918"/>
      <c r="CW182" s="2918"/>
      <c r="CX182" s="2918"/>
      <c r="CY182" s="2918"/>
      <c r="CZ182" s="2918"/>
      <c r="DA182" s="2918"/>
      <c r="DB182" s="2918"/>
      <c r="DC182" s="2918"/>
      <c r="DD182" s="2918"/>
      <c r="DE182" s="2918"/>
      <c r="DF182" s="2918"/>
      <c r="DG182" s="2918"/>
      <c r="DH182" s="2918"/>
      <c r="DI182" s="2918"/>
      <c r="DJ182" s="2918"/>
      <c r="DK182" s="2918"/>
      <c r="DL182" s="2918"/>
      <c r="DM182" s="2918"/>
      <c r="DN182" s="2918"/>
      <c r="DO182" s="2918"/>
      <c r="DP182" s="2918"/>
      <c r="DQ182" s="2918"/>
      <c r="DR182" s="2918"/>
      <c r="DS182" s="2918"/>
      <c r="DT182" s="2918"/>
      <c r="DU182" s="2918"/>
      <c r="DV182" s="2918"/>
      <c r="DW182" s="2918"/>
      <c r="DX182" s="2918"/>
      <c r="DY182" s="2918"/>
      <c r="DZ182" s="2918"/>
      <c r="EA182" s="2918"/>
      <c r="EB182" s="2918"/>
      <c r="EC182" s="2918"/>
      <c r="ED182" s="2918"/>
      <c r="EE182" s="2918"/>
      <c r="EF182" s="2918"/>
      <c r="EG182" s="2918"/>
      <c r="EH182" s="2918"/>
      <c r="EI182" s="2918"/>
      <c r="EJ182" s="2918"/>
      <c r="EK182" s="2918"/>
      <c r="EL182" s="2918"/>
      <c r="EM182" s="2918"/>
      <c r="EN182" s="2918"/>
      <c r="EO182" s="2918"/>
      <c r="EP182" s="2918"/>
      <c r="EQ182" s="2918"/>
      <c r="ER182" s="2918"/>
      <c r="ES182" s="2918"/>
      <c r="ET182" s="2918"/>
      <c r="EU182" s="2918"/>
      <c r="EV182" s="2918"/>
      <c r="EW182" s="2918"/>
      <c r="EX182" s="2918"/>
      <c r="EY182" s="2918"/>
      <c r="EZ182" s="2918"/>
      <c r="FA182" s="2918"/>
      <c r="FB182" s="2918"/>
      <c r="FC182" s="2918"/>
      <c r="FD182" s="2918"/>
      <c r="FE182" s="2918"/>
      <c r="FF182" s="2918"/>
      <c r="FG182" s="2918"/>
      <c r="FH182" s="2918"/>
      <c r="FI182" s="2918"/>
      <c r="FJ182" s="2918"/>
      <c r="FK182" s="2918"/>
      <c r="FL182" s="2918"/>
      <c r="FM182" s="2918"/>
      <c r="FN182" s="2918"/>
      <c r="FO182" s="2918"/>
      <c r="FP182" s="2918"/>
      <c r="FQ182" s="2918"/>
      <c r="FR182" s="2918"/>
      <c r="FS182" s="2918"/>
      <c r="FT182" s="2918"/>
      <c r="FU182" s="2918"/>
      <c r="FV182" s="2918"/>
      <c r="FW182" s="2918"/>
      <c r="FX182" s="2918"/>
      <c r="FY182" s="2918"/>
      <c r="FZ182" s="2918"/>
      <c r="GA182" s="2918"/>
      <c r="GB182" s="2918"/>
      <c r="GC182" s="2918"/>
      <c r="GD182" s="2918"/>
      <c r="GE182" s="2918"/>
      <c r="GF182" s="2918"/>
      <c r="GG182" s="2918"/>
      <c r="GH182" s="2918"/>
      <c r="GI182" s="2918"/>
      <c r="GJ182" s="2918"/>
      <c r="GK182" s="2918"/>
      <c r="GL182" s="2918"/>
      <c r="GM182" s="2918"/>
      <c r="GN182" s="2918"/>
      <c r="GO182" s="2918"/>
      <c r="GP182" s="2918"/>
      <c r="GQ182" s="2918"/>
      <c r="GR182" s="2918"/>
      <c r="GS182" s="2918"/>
      <c r="GT182" s="2918"/>
      <c r="GU182" s="2918"/>
      <c r="GV182" s="2918"/>
      <c r="GW182" s="2918"/>
      <c r="GX182" s="2918"/>
      <c r="GY182" s="2918"/>
      <c r="GZ182" s="2918"/>
      <c r="HA182" s="2918"/>
      <c r="HB182" s="2918"/>
      <c r="HC182" s="2918"/>
      <c r="HD182" s="2918"/>
      <c r="HE182" s="2918"/>
      <c r="HF182" s="2918"/>
      <c r="HG182" s="2918"/>
      <c r="HH182" s="2918"/>
      <c r="HI182" s="2918"/>
      <c r="HJ182" s="2918"/>
      <c r="HK182" s="2918"/>
      <c r="HL182" s="2918"/>
      <c r="HM182" s="2918"/>
      <c r="HN182" s="2918"/>
      <c r="HO182" s="2918"/>
      <c r="HP182" s="2918"/>
      <c r="HQ182" s="2918"/>
      <c r="HR182" s="2918"/>
      <c r="HS182" s="2918"/>
      <c r="HT182" s="2918"/>
      <c r="HU182" s="2918"/>
      <c r="HV182" s="2918"/>
      <c r="HW182" s="2918"/>
      <c r="HX182" s="2918"/>
      <c r="HY182" s="2918"/>
      <c r="HZ182" s="2918"/>
      <c r="IA182" s="2918"/>
      <c r="IB182" s="2918"/>
      <c r="IC182" s="2918"/>
      <c r="ID182" s="2918"/>
      <c r="IE182" s="2918"/>
      <c r="IF182" s="2918"/>
      <c r="IG182" s="2918"/>
      <c r="IH182" s="2918"/>
      <c r="II182" s="2918"/>
      <c r="IJ182" s="2918"/>
      <c r="IK182" s="2918"/>
      <c r="IL182" s="2918"/>
      <c r="IM182" s="2918"/>
      <c r="IN182" s="2918"/>
      <c r="IO182" s="2918"/>
      <c r="IP182" s="2918"/>
      <c r="IQ182" s="2918"/>
      <c r="IR182" s="2918"/>
      <c r="IS182" s="2918"/>
      <c r="IT182" s="2918"/>
      <c r="IU182" s="2918"/>
      <c r="IV182" s="2918"/>
    </row>
    <row r="183" spans="1:256" customFormat="1">
      <c r="A183" s="4690" t="s">
        <v>12610</v>
      </c>
      <c r="B183" s="4693"/>
      <c r="C183" s="4693"/>
      <c r="D183" s="4691"/>
      <c r="E183" s="3075">
        <v>0.1</v>
      </c>
      <c r="F183" s="3075">
        <v>0.12</v>
      </c>
      <c r="G183" s="3075">
        <v>0.14000000000000001</v>
      </c>
      <c r="H183" s="3075">
        <v>0.16</v>
      </c>
      <c r="I183" s="3076">
        <v>0.2</v>
      </c>
      <c r="J183" s="2918"/>
      <c r="K183" s="2918"/>
      <c r="L183" s="2918"/>
      <c r="M183" s="2918"/>
      <c r="N183" s="2918"/>
      <c r="O183" s="2918"/>
      <c r="P183" s="2918"/>
      <c r="Q183" s="2918"/>
      <c r="R183" s="2918"/>
      <c r="S183" s="2918"/>
      <c r="T183" s="2918"/>
      <c r="U183" s="2918"/>
      <c r="V183" s="2918"/>
      <c r="W183" s="2918"/>
      <c r="X183" s="2918"/>
      <c r="Y183" s="2918"/>
      <c r="Z183" s="2918"/>
      <c r="AA183" s="2918"/>
      <c r="AB183" s="2918"/>
      <c r="AC183" s="2918"/>
      <c r="AD183" s="2918"/>
      <c r="AE183" s="2918"/>
      <c r="AF183" s="2918"/>
      <c r="AG183" s="2918"/>
      <c r="AH183" s="2918"/>
      <c r="AI183" s="2918"/>
      <c r="AJ183" s="2918"/>
      <c r="AK183" s="2918"/>
      <c r="AL183" s="2918"/>
      <c r="AM183" s="2918"/>
      <c r="AN183" s="2918"/>
      <c r="AO183" s="2918"/>
      <c r="AP183" s="2918"/>
      <c r="AQ183" s="2918"/>
      <c r="AR183" s="2918"/>
      <c r="AS183" s="2918"/>
      <c r="AT183" s="2918"/>
      <c r="AU183" s="2918"/>
      <c r="AV183" s="2918"/>
      <c r="AW183" s="2918"/>
      <c r="AX183" s="2918"/>
      <c r="AY183" s="2918"/>
      <c r="AZ183" s="2918"/>
      <c r="BA183" s="2918"/>
      <c r="BB183" s="2918"/>
      <c r="BC183" s="2918"/>
      <c r="BD183" s="2918"/>
      <c r="BE183" s="2918"/>
      <c r="BF183" s="2918"/>
      <c r="BG183" s="2918"/>
      <c r="BH183" s="2918"/>
      <c r="BI183" s="2918"/>
      <c r="BJ183" s="2918"/>
      <c r="BK183" s="2918"/>
      <c r="BL183" s="2918"/>
      <c r="BM183" s="2918"/>
      <c r="BN183" s="2918"/>
      <c r="BO183" s="2918"/>
      <c r="BP183" s="2918"/>
      <c r="BQ183" s="2918"/>
      <c r="BR183" s="2918"/>
      <c r="BS183" s="2918"/>
      <c r="BT183" s="2918"/>
      <c r="BU183" s="2918"/>
      <c r="BV183" s="2918"/>
      <c r="BW183" s="2918"/>
      <c r="BX183" s="2918"/>
      <c r="BY183" s="2918"/>
      <c r="BZ183" s="2918"/>
      <c r="CA183" s="2918"/>
      <c r="CB183" s="2918"/>
      <c r="CC183" s="2918"/>
      <c r="CD183" s="2918"/>
      <c r="CE183" s="2918"/>
      <c r="CF183" s="2918"/>
      <c r="CG183" s="2918"/>
      <c r="CH183" s="2918"/>
      <c r="CI183" s="2918"/>
      <c r="CJ183" s="2918"/>
      <c r="CK183" s="2918"/>
      <c r="CL183" s="2918"/>
      <c r="CM183" s="2918"/>
      <c r="CN183" s="2918"/>
      <c r="CO183" s="2918"/>
      <c r="CP183" s="2918"/>
      <c r="CQ183" s="2918"/>
      <c r="CR183" s="2918"/>
      <c r="CS183" s="2918"/>
      <c r="CT183" s="2918"/>
      <c r="CU183" s="2918"/>
      <c r="CV183" s="2918"/>
      <c r="CW183" s="2918"/>
      <c r="CX183" s="2918"/>
      <c r="CY183" s="2918"/>
      <c r="CZ183" s="2918"/>
      <c r="DA183" s="2918"/>
      <c r="DB183" s="2918"/>
      <c r="DC183" s="2918"/>
      <c r="DD183" s="2918"/>
      <c r="DE183" s="2918"/>
      <c r="DF183" s="2918"/>
      <c r="DG183" s="2918"/>
      <c r="DH183" s="2918"/>
      <c r="DI183" s="2918"/>
      <c r="DJ183" s="2918"/>
      <c r="DK183" s="2918"/>
      <c r="DL183" s="2918"/>
      <c r="DM183" s="2918"/>
      <c r="DN183" s="2918"/>
      <c r="DO183" s="2918"/>
      <c r="DP183" s="2918"/>
      <c r="DQ183" s="2918"/>
      <c r="DR183" s="2918"/>
      <c r="DS183" s="2918"/>
      <c r="DT183" s="2918"/>
      <c r="DU183" s="2918"/>
      <c r="DV183" s="2918"/>
      <c r="DW183" s="2918"/>
      <c r="DX183" s="2918"/>
      <c r="DY183" s="2918"/>
      <c r="DZ183" s="2918"/>
      <c r="EA183" s="2918"/>
      <c r="EB183" s="2918"/>
      <c r="EC183" s="2918"/>
      <c r="ED183" s="2918"/>
      <c r="EE183" s="2918"/>
      <c r="EF183" s="2918"/>
      <c r="EG183" s="2918"/>
      <c r="EH183" s="2918"/>
      <c r="EI183" s="2918"/>
      <c r="EJ183" s="2918"/>
      <c r="EK183" s="2918"/>
      <c r="EL183" s="2918"/>
      <c r="EM183" s="2918"/>
      <c r="EN183" s="2918"/>
      <c r="EO183" s="2918"/>
      <c r="EP183" s="2918"/>
      <c r="EQ183" s="2918"/>
      <c r="ER183" s="2918"/>
      <c r="ES183" s="2918"/>
      <c r="ET183" s="2918"/>
      <c r="EU183" s="2918"/>
      <c r="EV183" s="2918"/>
      <c r="EW183" s="2918"/>
      <c r="EX183" s="2918"/>
      <c r="EY183" s="2918"/>
      <c r="EZ183" s="2918"/>
      <c r="FA183" s="2918"/>
      <c r="FB183" s="2918"/>
      <c r="FC183" s="2918"/>
      <c r="FD183" s="2918"/>
      <c r="FE183" s="2918"/>
      <c r="FF183" s="2918"/>
      <c r="FG183" s="2918"/>
      <c r="FH183" s="2918"/>
      <c r="FI183" s="2918"/>
      <c r="FJ183" s="2918"/>
      <c r="FK183" s="2918"/>
      <c r="FL183" s="2918"/>
      <c r="FM183" s="2918"/>
      <c r="FN183" s="2918"/>
      <c r="FO183" s="2918"/>
      <c r="FP183" s="2918"/>
      <c r="FQ183" s="2918"/>
      <c r="FR183" s="2918"/>
      <c r="FS183" s="2918"/>
      <c r="FT183" s="2918"/>
      <c r="FU183" s="2918"/>
      <c r="FV183" s="2918"/>
      <c r="FW183" s="2918"/>
      <c r="FX183" s="2918"/>
      <c r="FY183" s="2918"/>
      <c r="FZ183" s="2918"/>
      <c r="GA183" s="2918"/>
      <c r="GB183" s="2918"/>
      <c r="GC183" s="2918"/>
      <c r="GD183" s="2918"/>
      <c r="GE183" s="2918"/>
      <c r="GF183" s="2918"/>
      <c r="GG183" s="2918"/>
      <c r="GH183" s="2918"/>
      <c r="GI183" s="2918"/>
      <c r="GJ183" s="2918"/>
      <c r="GK183" s="2918"/>
      <c r="GL183" s="2918"/>
      <c r="GM183" s="2918"/>
      <c r="GN183" s="2918"/>
      <c r="GO183" s="2918"/>
      <c r="GP183" s="2918"/>
      <c r="GQ183" s="2918"/>
      <c r="GR183" s="2918"/>
      <c r="GS183" s="2918"/>
      <c r="GT183" s="2918"/>
      <c r="GU183" s="2918"/>
      <c r="GV183" s="2918"/>
      <c r="GW183" s="2918"/>
      <c r="GX183" s="2918"/>
      <c r="GY183" s="2918"/>
      <c r="GZ183" s="2918"/>
      <c r="HA183" s="2918"/>
      <c r="HB183" s="2918"/>
      <c r="HC183" s="2918"/>
      <c r="HD183" s="2918"/>
      <c r="HE183" s="2918"/>
      <c r="HF183" s="2918"/>
      <c r="HG183" s="2918"/>
      <c r="HH183" s="2918"/>
      <c r="HI183" s="2918"/>
      <c r="HJ183" s="2918"/>
      <c r="HK183" s="2918"/>
      <c r="HL183" s="2918"/>
      <c r="HM183" s="2918"/>
      <c r="HN183" s="2918"/>
      <c r="HO183" s="2918"/>
      <c r="HP183" s="2918"/>
      <c r="HQ183" s="2918"/>
      <c r="HR183" s="2918"/>
      <c r="HS183" s="2918"/>
      <c r="HT183" s="2918"/>
      <c r="HU183" s="2918"/>
      <c r="HV183" s="2918"/>
      <c r="HW183" s="2918"/>
      <c r="HX183" s="2918"/>
      <c r="HY183" s="2918"/>
      <c r="HZ183" s="2918"/>
      <c r="IA183" s="2918"/>
      <c r="IB183" s="2918"/>
      <c r="IC183" s="2918"/>
      <c r="ID183" s="2918"/>
      <c r="IE183" s="2918"/>
      <c r="IF183" s="2918"/>
      <c r="IG183" s="2918"/>
      <c r="IH183" s="2918"/>
      <c r="II183" s="2918"/>
      <c r="IJ183" s="2918"/>
      <c r="IK183" s="2918"/>
      <c r="IL183" s="2918"/>
      <c r="IM183" s="2918"/>
      <c r="IN183" s="2918"/>
      <c r="IO183" s="2918"/>
      <c r="IP183" s="2918"/>
      <c r="IQ183" s="2918"/>
      <c r="IR183" s="2918"/>
      <c r="IS183" s="2918"/>
      <c r="IT183" s="2918"/>
      <c r="IU183" s="2918"/>
      <c r="IV183" s="2918"/>
    </row>
    <row r="184" spans="1:256" customFormat="1">
      <c r="A184" s="4712" t="s">
        <v>12611</v>
      </c>
      <c r="B184" s="4706"/>
      <c r="C184" s="4706"/>
      <c r="D184" s="4707"/>
      <c r="E184" s="4708" t="s">
        <v>770</v>
      </c>
      <c r="F184" s="4708"/>
      <c r="G184" s="4708"/>
      <c r="H184" s="4708"/>
      <c r="I184" s="4728"/>
      <c r="J184" s="2918"/>
      <c r="K184" s="2918"/>
      <c r="L184" s="2918"/>
      <c r="M184" s="2918"/>
      <c r="N184" s="2918"/>
      <c r="O184" s="2918"/>
      <c r="P184" s="2918"/>
      <c r="Q184" s="2918"/>
      <c r="R184" s="2918"/>
      <c r="S184" s="2918"/>
      <c r="T184" s="2918"/>
      <c r="U184" s="2918"/>
      <c r="V184" s="2918"/>
      <c r="W184" s="2918"/>
      <c r="X184" s="2918"/>
      <c r="Y184" s="2918"/>
      <c r="Z184" s="2918"/>
      <c r="AA184" s="2918"/>
      <c r="AB184" s="2918"/>
      <c r="AC184" s="2918"/>
      <c r="AD184" s="2918"/>
      <c r="AE184" s="2918"/>
      <c r="AF184" s="2918"/>
      <c r="AG184" s="2918"/>
      <c r="AH184" s="2918"/>
      <c r="AI184" s="2918"/>
      <c r="AJ184" s="2918"/>
      <c r="AK184" s="2918"/>
      <c r="AL184" s="2918"/>
      <c r="AM184" s="2918"/>
      <c r="AN184" s="2918"/>
      <c r="AO184" s="2918"/>
      <c r="AP184" s="2918"/>
      <c r="AQ184" s="2918"/>
      <c r="AR184" s="2918"/>
      <c r="AS184" s="2918"/>
      <c r="AT184" s="2918"/>
      <c r="AU184" s="2918"/>
      <c r="AV184" s="2918"/>
      <c r="AW184" s="2918"/>
      <c r="AX184" s="2918"/>
      <c r="AY184" s="2918"/>
      <c r="AZ184" s="2918"/>
      <c r="BA184" s="2918"/>
      <c r="BB184" s="2918"/>
      <c r="BC184" s="2918"/>
      <c r="BD184" s="2918"/>
      <c r="BE184" s="2918"/>
      <c r="BF184" s="2918"/>
      <c r="BG184" s="2918"/>
      <c r="BH184" s="2918"/>
      <c r="BI184" s="2918"/>
      <c r="BJ184" s="2918"/>
      <c r="BK184" s="2918"/>
      <c r="BL184" s="2918"/>
      <c r="BM184" s="2918"/>
      <c r="BN184" s="2918"/>
      <c r="BO184" s="2918"/>
      <c r="BP184" s="2918"/>
      <c r="BQ184" s="2918"/>
      <c r="BR184" s="2918"/>
      <c r="BS184" s="2918"/>
      <c r="BT184" s="2918"/>
      <c r="BU184" s="2918"/>
      <c r="BV184" s="2918"/>
      <c r="BW184" s="2918"/>
      <c r="BX184" s="2918"/>
      <c r="BY184" s="2918"/>
      <c r="BZ184" s="2918"/>
      <c r="CA184" s="2918"/>
      <c r="CB184" s="2918"/>
      <c r="CC184" s="2918"/>
      <c r="CD184" s="2918"/>
      <c r="CE184" s="2918"/>
      <c r="CF184" s="2918"/>
      <c r="CG184" s="2918"/>
      <c r="CH184" s="2918"/>
      <c r="CI184" s="2918"/>
      <c r="CJ184" s="2918"/>
      <c r="CK184" s="2918"/>
      <c r="CL184" s="2918"/>
      <c r="CM184" s="2918"/>
      <c r="CN184" s="2918"/>
      <c r="CO184" s="2918"/>
      <c r="CP184" s="2918"/>
      <c r="CQ184" s="2918"/>
      <c r="CR184" s="2918"/>
      <c r="CS184" s="2918"/>
      <c r="CT184" s="2918"/>
      <c r="CU184" s="2918"/>
      <c r="CV184" s="2918"/>
      <c r="CW184" s="2918"/>
      <c r="CX184" s="2918"/>
      <c r="CY184" s="2918"/>
      <c r="CZ184" s="2918"/>
      <c r="DA184" s="2918"/>
      <c r="DB184" s="2918"/>
      <c r="DC184" s="2918"/>
      <c r="DD184" s="2918"/>
      <c r="DE184" s="2918"/>
      <c r="DF184" s="2918"/>
      <c r="DG184" s="2918"/>
      <c r="DH184" s="2918"/>
      <c r="DI184" s="2918"/>
      <c r="DJ184" s="2918"/>
      <c r="DK184" s="2918"/>
      <c r="DL184" s="2918"/>
      <c r="DM184" s="2918"/>
      <c r="DN184" s="2918"/>
      <c r="DO184" s="2918"/>
      <c r="DP184" s="2918"/>
      <c r="DQ184" s="2918"/>
      <c r="DR184" s="2918"/>
      <c r="DS184" s="2918"/>
      <c r="DT184" s="2918"/>
      <c r="DU184" s="2918"/>
      <c r="DV184" s="2918"/>
      <c r="DW184" s="2918"/>
      <c r="DX184" s="2918"/>
      <c r="DY184" s="2918"/>
      <c r="DZ184" s="2918"/>
      <c r="EA184" s="2918"/>
      <c r="EB184" s="2918"/>
      <c r="EC184" s="2918"/>
      <c r="ED184" s="2918"/>
      <c r="EE184" s="2918"/>
      <c r="EF184" s="2918"/>
      <c r="EG184" s="2918"/>
      <c r="EH184" s="2918"/>
      <c r="EI184" s="2918"/>
      <c r="EJ184" s="2918"/>
      <c r="EK184" s="2918"/>
      <c r="EL184" s="2918"/>
      <c r="EM184" s="2918"/>
      <c r="EN184" s="2918"/>
      <c r="EO184" s="2918"/>
      <c r="EP184" s="2918"/>
      <c r="EQ184" s="2918"/>
      <c r="ER184" s="2918"/>
      <c r="ES184" s="2918"/>
      <c r="ET184" s="2918"/>
      <c r="EU184" s="2918"/>
      <c r="EV184" s="2918"/>
      <c r="EW184" s="2918"/>
      <c r="EX184" s="2918"/>
      <c r="EY184" s="2918"/>
      <c r="EZ184" s="2918"/>
      <c r="FA184" s="2918"/>
      <c r="FB184" s="2918"/>
      <c r="FC184" s="2918"/>
      <c r="FD184" s="2918"/>
      <c r="FE184" s="2918"/>
      <c r="FF184" s="2918"/>
      <c r="FG184" s="2918"/>
      <c r="FH184" s="2918"/>
      <c r="FI184" s="2918"/>
      <c r="FJ184" s="2918"/>
      <c r="FK184" s="2918"/>
      <c r="FL184" s="2918"/>
      <c r="FM184" s="2918"/>
      <c r="FN184" s="2918"/>
      <c r="FO184" s="2918"/>
      <c r="FP184" s="2918"/>
      <c r="FQ184" s="2918"/>
      <c r="FR184" s="2918"/>
      <c r="FS184" s="2918"/>
      <c r="FT184" s="2918"/>
      <c r="FU184" s="2918"/>
      <c r="FV184" s="2918"/>
      <c r="FW184" s="2918"/>
      <c r="FX184" s="2918"/>
      <c r="FY184" s="2918"/>
      <c r="FZ184" s="2918"/>
      <c r="GA184" s="2918"/>
      <c r="GB184" s="2918"/>
      <c r="GC184" s="2918"/>
      <c r="GD184" s="2918"/>
      <c r="GE184" s="2918"/>
      <c r="GF184" s="2918"/>
      <c r="GG184" s="2918"/>
      <c r="GH184" s="2918"/>
      <c r="GI184" s="2918"/>
      <c r="GJ184" s="2918"/>
      <c r="GK184" s="2918"/>
      <c r="GL184" s="2918"/>
      <c r="GM184" s="2918"/>
      <c r="GN184" s="2918"/>
      <c r="GO184" s="2918"/>
      <c r="GP184" s="2918"/>
      <c r="GQ184" s="2918"/>
      <c r="GR184" s="2918"/>
      <c r="GS184" s="2918"/>
      <c r="GT184" s="2918"/>
      <c r="GU184" s="2918"/>
      <c r="GV184" s="2918"/>
      <c r="GW184" s="2918"/>
      <c r="GX184" s="2918"/>
      <c r="GY184" s="2918"/>
      <c r="GZ184" s="2918"/>
      <c r="HA184" s="2918"/>
      <c r="HB184" s="2918"/>
      <c r="HC184" s="2918"/>
      <c r="HD184" s="2918"/>
      <c r="HE184" s="2918"/>
      <c r="HF184" s="2918"/>
      <c r="HG184" s="2918"/>
      <c r="HH184" s="2918"/>
      <c r="HI184" s="2918"/>
      <c r="HJ184" s="2918"/>
      <c r="HK184" s="2918"/>
      <c r="HL184" s="2918"/>
      <c r="HM184" s="2918"/>
      <c r="HN184" s="2918"/>
      <c r="HO184" s="2918"/>
      <c r="HP184" s="2918"/>
      <c r="HQ184" s="2918"/>
      <c r="HR184" s="2918"/>
      <c r="HS184" s="2918"/>
      <c r="HT184" s="2918"/>
      <c r="HU184" s="2918"/>
      <c r="HV184" s="2918"/>
      <c r="HW184" s="2918"/>
      <c r="HX184" s="2918"/>
      <c r="HY184" s="2918"/>
      <c r="HZ184" s="2918"/>
      <c r="IA184" s="2918"/>
      <c r="IB184" s="2918"/>
      <c r="IC184" s="2918"/>
      <c r="ID184" s="2918"/>
      <c r="IE184" s="2918"/>
      <c r="IF184" s="2918"/>
      <c r="IG184" s="2918"/>
      <c r="IH184" s="2918"/>
      <c r="II184" s="2918"/>
      <c r="IJ184" s="2918"/>
      <c r="IK184" s="2918"/>
      <c r="IL184" s="2918"/>
      <c r="IM184" s="2918"/>
      <c r="IN184" s="2918"/>
      <c r="IO184" s="2918"/>
      <c r="IP184" s="2918"/>
      <c r="IQ184" s="2918"/>
      <c r="IR184" s="2918"/>
      <c r="IS184" s="2918"/>
      <c r="IT184" s="2918"/>
      <c r="IU184" s="2918"/>
      <c r="IV184" s="2918"/>
    </row>
    <row r="185" spans="1:256" customFormat="1">
      <c r="A185" s="4712" t="s">
        <v>12612</v>
      </c>
      <c r="B185" s="4706"/>
      <c r="C185" s="4706"/>
      <c r="D185" s="4707"/>
      <c r="E185" s="4729" t="s">
        <v>12613</v>
      </c>
      <c r="F185" s="4729"/>
      <c r="G185" s="4729"/>
      <c r="H185" s="4729"/>
      <c r="I185" s="4730"/>
      <c r="J185" s="2918"/>
      <c r="K185" s="2918"/>
      <c r="L185" s="2918"/>
      <c r="M185" s="2918"/>
      <c r="N185" s="2918"/>
      <c r="O185" s="2918"/>
      <c r="P185" s="2918"/>
      <c r="Q185" s="2918"/>
      <c r="R185" s="2918"/>
      <c r="S185" s="2918"/>
      <c r="T185" s="2918"/>
      <c r="U185" s="2918"/>
      <c r="V185" s="2918"/>
      <c r="W185" s="2918"/>
      <c r="X185" s="2918"/>
      <c r="Y185" s="2918"/>
      <c r="Z185" s="2918"/>
      <c r="AA185" s="2918"/>
      <c r="AB185" s="2918"/>
      <c r="AC185" s="2918"/>
      <c r="AD185" s="2918"/>
      <c r="AE185" s="2918"/>
      <c r="AF185" s="2918"/>
      <c r="AG185" s="2918"/>
      <c r="AH185" s="2918"/>
      <c r="AI185" s="2918"/>
      <c r="AJ185" s="2918"/>
      <c r="AK185" s="2918"/>
      <c r="AL185" s="2918"/>
      <c r="AM185" s="2918"/>
      <c r="AN185" s="2918"/>
      <c r="AO185" s="2918"/>
      <c r="AP185" s="2918"/>
      <c r="AQ185" s="2918"/>
      <c r="AR185" s="2918"/>
      <c r="AS185" s="2918"/>
      <c r="AT185" s="2918"/>
      <c r="AU185" s="2918"/>
      <c r="AV185" s="2918"/>
      <c r="AW185" s="2918"/>
      <c r="AX185" s="2918"/>
      <c r="AY185" s="2918"/>
      <c r="AZ185" s="2918"/>
      <c r="BA185" s="2918"/>
      <c r="BB185" s="2918"/>
      <c r="BC185" s="2918"/>
      <c r="BD185" s="2918"/>
      <c r="BE185" s="2918"/>
      <c r="BF185" s="2918"/>
      <c r="BG185" s="2918"/>
      <c r="BH185" s="2918"/>
      <c r="BI185" s="2918"/>
      <c r="BJ185" s="2918"/>
      <c r="BK185" s="2918"/>
      <c r="BL185" s="2918"/>
      <c r="BM185" s="2918"/>
      <c r="BN185" s="2918"/>
      <c r="BO185" s="2918"/>
      <c r="BP185" s="2918"/>
      <c r="BQ185" s="2918"/>
      <c r="BR185" s="2918"/>
      <c r="BS185" s="2918"/>
      <c r="BT185" s="2918"/>
      <c r="BU185" s="2918"/>
      <c r="BV185" s="2918"/>
      <c r="BW185" s="2918"/>
      <c r="BX185" s="2918"/>
      <c r="BY185" s="2918"/>
      <c r="BZ185" s="2918"/>
      <c r="CA185" s="2918"/>
      <c r="CB185" s="2918"/>
      <c r="CC185" s="2918"/>
      <c r="CD185" s="2918"/>
      <c r="CE185" s="2918"/>
      <c r="CF185" s="2918"/>
      <c r="CG185" s="2918"/>
      <c r="CH185" s="2918"/>
      <c r="CI185" s="2918"/>
      <c r="CJ185" s="2918"/>
      <c r="CK185" s="2918"/>
      <c r="CL185" s="2918"/>
      <c r="CM185" s="2918"/>
      <c r="CN185" s="2918"/>
      <c r="CO185" s="2918"/>
      <c r="CP185" s="2918"/>
      <c r="CQ185" s="2918"/>
      <c r="CR185" s="2918"/>
      <c r="CS185" s="2918"/>
      <c r="CT185" s="2918"/>
      <c r="CU185" s="2918"/>
      <c r="CV185" s="2918"/>
      <c r="CW185" s="2918"/>
      <c r="CX185" s="2918"/>
      <c r="CY185" s="2918"/>
      <c r="CZ185" s="2918"/>
      <c r="DA185" s="2918"/>
      <c r="DB185" s="2918"/>
      <c r="DC185" s="2918"/>
      <c r="DD185" s="2918"/>
      <c r="DE185" s="2918"/>
      <c r="DF185" s="2918"/>
      <c r="DG185" s="2918"/>
      <c r="DH185" s="2918"/>
      <c r="DI185" s="2918"/>
      <c r="DJ185" s="2918"/>
      <c r="DK185" s="2918"/>
      <c r="DL185" s="2918"/>
      <c r="DM185" s="2918"/>
      <c r="DN185" s="2918"/>
      <c r="DO185" s="2918"/>
      <c r="DP185" s="2918"/>
      <c r="DQ185" s="2918"/>
      <c r="DR185" s="2918"/>
      <c r="DS185" s="2918"/>
      <c r="DT185" s="2918"/>
      <c r="DU185" s="2918"/>
      <c r="DV185" s="2918"/>
      <c r="DW185" s="2918"/>
      <c r="DX185" s="2918"/>
      <c r="DY185" s="2918"/>
      <c r="DZ185" s="2918"/>
      <c r="EA185" s="2918"/>
      <c r="EB185" s="2918"/>
      <c r="EC185" s="2918"/>
      <c r="ED185" s="2918"/>
      <c r="EE185" s="2918"/>
      <c r="EF185" s="2918"/>
      <c r="EG185" s="2918"/>
      <c r="EH185" s="2918"/>
      <c r="EI185" s="2918"/>
      <c r="EJ185" s="2918"/>
      <c r="EK185" s="2918"/>
      <c r="EL185" s="2918"/>
      <c r="EM185" s="2918"/>
      <c r="EN185" s="2918"/>
      <c r="EO185" s="2918"/>
      <c r="EP185" s="2918"/>
      <c r="EQ185" s="2918"/>
      <c r="ER185" s="2918"/>
      <c r="ES185" s="2918"/>
      <c r="ET185" s="2918"/>
      <c r="EU185" s="2918"/>
      <c r="EV185" s="2918"/>
      <c r="EW185" s="2918"/>
      <c r="EX185" s="2918"/>
      <c r="EY185" s="2918"/>
      <c r="EZ185" s="2918"/>
      <c r="FA185" s="2918"/>
      <c r="FB185" s="2918"/>
      <c r="FC185" s="2918"/>
      <c r="FD185" s="2918"/>
      <c r="FE185" s="2918"/>
      <c r="FF185" s="2918"/>
      <c r="FG185" s="2918"/>
      <c r="FH185" s="2918"/>
      <c r="FI185" s="2918"/>
      <c r="FJ185" s="2918"/>
      <c r="FK185" s="2918"/>
      <c r="FL185" s="2918"/>
      <c r="FM185" s="2918"/>
      <c r="FN185" s="2918"/>
      <c r="FO185" s="2918"/>
      <c r="FP185" s="2918"/>
      <c r="FQ185" s="2918"/>
      <c r="FR185" s="2918"/>
      <c r="FS185" s="2918"/>
      <c r="FT185" s="2918"/>
      <c r="FU185" s="2918"/>
      <c r="FV185" s="2918"/>
      <c r="FW185" s="2918"/>
      <c r="FX185" s="2918"/>
      <c r="FY185" s="2918"/>
      <c r="FZ185" s="2918"/>
      <c r="GA185" s="2918"/>
      <c r="GB185" s="2918"/>
      <c r="GC185" s="2918"/>
      <c r="GD185" s="2918"/>
      <c r="GE185" s="2918"/>
      <c r="GF185" s="2918"/>
      <c r="GG185" s="2918"/>
      <c r="GH185" s="2918"/>
      <c r="GI185" s="2918"/>
      <c r="GJ185" s="2918"/>
      <c r="GK185" s="2918"/>
      <c r="GL185" s="2918"/>
      <c r="GM185" s="2918"/>
      <c r="GN185" s="2918"/>
      <c r="GO185" s="2918"/>
      <c r="GP185" s="2918"/>
      <c r="GQ185" s="2918"/>
      <c r="GR185" s="2918"/>
      <c r="GS185" s="2918"/>
      <c r="GT185" s="2918"/>
      <c r="GU185" s="2918"/>
      <c r="GV185" s="2918"/>
      <c r="GW185" s="2918"/>
      <c r="GX185" s="2918"/>
      <c r="GY185" s="2918"/>
      <c r="GZ185" s="2918"/>
      <c r="HA185" s="2918"/>
      <c r="HB185" s="2918"/>
      <c r="HC185" s="2918"/>
      <c r="HD185" s="2918"/>
      <c r="HE185" s="2918"/>
      <c r="HF185" s="2918"/>
      <c r="HG185" s="2918"/>
      <c r="HH185" s="2918"/>
      <c r="HI185" s="2918"/>
      <c r="HJ185" s="2918"/>
      <c r="HK185" s="2918"/>
      <c r="HL185" s="2918"/>
      <c r="HM185" s="2918"/>
      <c r="HN185" s="2918"/>
      <c r="HO185" s="2918"/>
      <c r="HP185" s="2918"/>
      <c r="HQ185" s="2918"/>
      <c r="HR185" s="2918"/>
      <c r="HS185" s="2918"/>
      <c r="HT185" s="2918"/>
      <c r="HU185" s="2918"/>
      <c r="HV185" s="2918"/>
      <c r="HW185" s="2918"/>
      <c r="HX185" s="2918"/>
      <c r="HY185" s="2918"/>
      <c r="HZ185" s="2918"/>
      <c r="IA185" s="2918"/>
      <c r="IB185" s="2918"/>
      <c r="IC185" s="2918"/>
      <c r="ID185" s="2918"/>
      <c r="IE185" s="2918"/>
      <c r="IF185" s="2918"/>
      <c r="IG185" s="2918"/>
      <c r="IH185" s="2918"/>
      <c r="II185" s="2918"/>
      <c r="IJ185" s="2918"/>
      <c r="IK185" s="2918"/>
      <c r="IL185" s="2918"/>
      <c r="IM185" s="2918"/>
      <c r="IN185" s="2918"/>
      <c r="IO185" s="2918"/>
      <c r="IP185" s="2918"/>
      <c r="IQ185" s="2918"/>
      <c r="IR185" s="2918"/>
      <c r="IS185" s="2918"/>
      <c r="IT185" s="2918"/>
      <c r="IU185" s="2918"/>
      <c r="IV185" s="2918"/>
    </row>
    <row r="186" spans="1:256" customFormat="1">
      <c r="A186" s="4712" t="s">
        <v>12614</v>
      </c>
      <c r="B186" s="4706"/>
      <c r="C186" s="4706"/>
      <c r="D186" s="4707"/>
      <c r="E186" s="4713" t="s">
        <v>12615</v>
      </c>
      <c r="F186" s="4713"/>
      <c r="G186" s="4713"/>
      <c r="H186" s="4713"/>
      <c r="I186" s="4714"/>
      <c r="J186" s="2918"/>
      <c r="K186" s="2918"/>
      <c r="L186" s="2918"/>
      <c r="M186" s="2918"/>
      <c r="N186" s="2918"/>
      <c r="O186" s="2918"/>
      <c r="P186" s="2918"/>
      <c r="Q186" s="2918"/>
      <c r="R186" s="2918"/>
      <c r="S186" s="2918"/>
      <c r="T186" s="2918"/>
      <c r="U186" s="2918"/>
      <c r="V186" s="2918"/>
      <c r="W186" s="2918"/>
      <c r="X186" s="2918"/>
      <c r="Y186" s="2918"/>
      <c r="Z186" s="2918"/>
      <c r="AA186" s="2918"/>
      <c r="AB186" s="2918"/>
      <c r="AC186" s="2918"/>
      <c r="AD186" s="2918"/>
      <c r="AE186" s="2918"/>
      <c r="AF186" s="2918"/>
      <c r="AG186" s="2918"/>
      <c r="AH186" s="2918"/>
      <c r="AI186" s="2918"/>
      <c r="AJ186" s="2918"/>
      <c r="AK186" s="2918"/>
      <c r="AL186" s="2918"/>
      <c r="AM186" s="2918"/>
      <c r="AN186" s="2918"/>
      <c r="AO186" s="2918"/>
      <c r="AP186" s="2918"/>
      <c r="AQ186" s="2918"/>
      <c r="AR186" s="2918"/>
      <c r="AS186" s="2918"/>
      <c r="AT186" s="2918"/>
      <c r="AU186" s="2918"/>
      <c r="AV186" s="2918"/>
      <c r="AW186" s="2918"/>
      <c r="AX186" s="2918"/>
      <c r="AY186" s="2918"/>
      <c r="AZ186" s="2918"/>
      <c r="BA186" s="2918"/>
      <c r="BB186" s="2918"/>
      <c r="BC186" s="2918"/>
      <c r="BD186" s="2918"/>
      <c r="BE186" s="2918"/>
      <c r="BF186" s="2918"/>
      <c r="BG186" s="2918"/>
      <c r="BH186" s="2918"/>
      <c r="BI186" s="2918"/>
      <c r="BJ186" s="2918"/>
      <c r="BK186" s="2918"/>
      <c r="BL186" s="2918"/>
      <c r="BM186" s="2918"/>
      <c r="BN186" s="2918"/>
      <c r="BO186" s="2918"/>
      <c r="BP186" s="2918"/>
      <c r="BQ186" s="2918"/>
      <c r="BR186" s="2918"/>
      <c r="BS186" s="2918"/>
      <c r="BT186" s="2918"/>
      <c r="BU186" s="2918"/>
      <c r="BV186" s="2918"/>
      <c r="BW186" s="2918"/>
      <c r="BX186" s="2918"/>
      <c r="BY186" s="2918"/>
      <c r="BZ186" s="2918"/>
      <c r="CA186" s="2918"/>
      <c r="CB186" s="2918"/>
      <c r="CC186" s="2918"/>
      <c r="CD186" s="2918"/>
      <c r="CE186" s="2918"/>
      <c r="CF186" s="2918"/>
      <c r="CG186" s="2918"/>
      <c r="CH186" s="2918"/>
      <c r="CI186" s="2918"/>
      <c r="CJ186" s="2918"/>
      <c r="CK186" s="2918"/>
      <c r="CL186" s="2918"/>
      <c r="CM186" s="2918"/>
      <c r="CN186" s="2918"/>
      <c r="CO186" s="2918"/>
      <c r="CP186" s="2918"/>
      <c r="CQ186" s="2918"/>
      <c r="CR186" s="2918"/>
      <c r="CS186" s="2918"/>
      <c r="CT186" s="2918"/>
      <c r="CU186" s="2918"/>
      <c r="CV186" s="2918"/>
      <c r="CW186" s="2918"/>
      <c r="CX186" s="2918"/>
      <c r="CY186" s="2918"/>
      <c r="CZ186" s="2918"/>
      <c r="DA186" s="2918"/>
      <c r="DB186" s="2918"/>
      <c r="DC186" s="2918"/>
      <c r="DD186" s="2918"/>
      <c r="DE186" s="2918"/>
      <c r="DF186" s="2918"/>
      <c r="DG186" s="2918"/>
      <c r="DH186" s="2918"/>
      <c r="DI186" s="2918"/>
      <c r="DJ186" s="2918"/>
      <c r="DK186" s="2918"/>
      <c r="DL186" s="2918"/>
      <c r="DM186" s="2918"/>
      <c r="DN186" s="2918"/>
      <c r="DO186" s="2918"/>
      <c r="DP186" s="2918"/>
      <c r="DQ186" s="2918"/>
      <c r="DR186" s="2918"/>
      <c r="DS186" s="2918"/>
      <c r="DT186" s="2918"/>
      <c r="DU186" s="2918"/>
      <c r="DV186" s="2918"/>
      <c r="DW186" s="2918"/>
      <c r="DX186" s="2918"/>
      <c r="DY186" s="2918"/>
      <c r="DZ186" s="2918"/>
      <c r="EA186" s="2918"/>
      <c r="EB186" s="2918"/>
      <c r="EC186" s="2918"/>
      <c r="ED186" s="2918"/>
      <c r="EE186" s="2918"/>
      <c r="EF186" s="2918"/>
      <c r="EG186" s="2918"/>
      <c r="EH186" s="2918"/>
      <c r="EI186" s="2918"/>
      <c r="EJ186" s="2918"/>
      <c r="EK186" s="2918"/>
      <c r="EL186" s="2918"/>
      <c r="EM186" s="2918"/>
      <c r="EN186" s="2918"/>
      <c r="EO186" s="2918"/>
      <c r="EP186" s="2918"/>
      <c r="EQ186" s="2918"/>
      <c r="ER186" s="2918"/>
      <c r="ES186" s="2918"/>
      <c r="ET186" s="2918"/>
      <c r="EU186" s="2918"/>
      <c r="EV186" s="2918"/>
      <c r="EW186" s="2918"/>
      <c r="EX186" s="2918"/>
      <c r="EY186" s="2918"/>
      <c r="EZ186" s="2918"/>
      <c r="FA186" s="2918"/>
      <c r="FB186" s="2918"/>
      <c r="FC186" s="2918"/>
      <c r="FD186" s="2918"/>
      <c r="FE186" s="2918"/>
      <c r="FF186" s="2918"/>
      <c r="FG186" s="2918"/>
      <c r="FH186" s="2918"/>
      <c r="FI186" s="2918"/>
      <c r="FJ186" s="2918"/>
      <c r="FK186" s="2918"/>
      <c r="FL186" s="2918"/>
      <c r="FM186" s="2918"/>
      <c r="FN186" s="2918"/>
      <c r="FO186" s="2918"/>
      <c r="FP186" s="2918"/>
      <c r="FQ186" s="2918"/>
      <c r="FR186" s="2918"/>
      <c r="FS186" s="2918"/>
      <c r="FT186" s="2918"/>
      <c r="FU186" s="2918"/>
      <c r="FV186" s="2918"/>
      <c r="FW186" s="2918"/>
      <c r="FX186" s="2918"/>
      <c r="FY186" s="2918"/>
      <c r="FZ186" s="2918"/>
      <c r="GA186" s="2918"/>
      <c r="GB186" s="2918"/>
      <c r="GC186" s="2918"/>
      <c r="GD186" s="2918"/>
      <c r="GE186" s="2918"/>
      <c r="GF186" s="2918"/>
      <c r="GG186" s="2918"/>
      <c r="GH186" s="2918"/>
      <c r="GI186" s="2918"/>
      <c r="GJ186" s="2918"/>
      <c r="GK186" s="2918"/>
      <c r="GL186" s="2918"/>
      <c r="GM186" s="2918"/>
      <c r="GN186" s="2918"/>
      <c r="GO186" s="2918"/>
      <c r="GP186" s="2918"/>
      <c r="GQ186" s="2918"/>
      <c r="GR186" s="2918"/>
      <c r="GS186" s="2918"/>
      <c r="GT186" s="2918"/>
      <c r="GU186" s="2918"/>
      <c r="GV186" s="2918"/>
      <c r="GW186" s="2918"/>
      <c r="GX186" s="2918"/>
      <c r="GY186" s="2918"/>
      <c r="GZ186" s="2918"/>
      <c r="HA186" s="2918"/>
      <c r="HB186" s="2918"/>
      <c r="HC186" s="2918"/>
      <c r="HD186" s="2918"/>
      <c r="HE186" s="2918"/>
      <c r="HF186" s="2918"/>
      <c r="HG186" s="2918"/>
      <c r="HH186" s="2918"/>
      <c r="HI186" s="2918"/>
      <c r="HJ186" s="2918"/>
      <c r="HK186" s="2918"/>
      <c r="HL186" s="2918"/>
      <c r="HM186" s="2918"/>
      <c r="HN186" s="2918"/>
      <c r="HO186" s="2918"/>
      <c r="HP186" s="2918"/>
      <c r="HQ186" s="2918"/>
      <c r="HR186" s="2918"/>
      <c r="HS186" s="2918"/>
      <c r="HT186" s="2918"/>
      <c r="HU186" s="2918"/>
      <c r="HV186" s="2918"/>
      <c r="HW186" s="2918"/>
      <c r="HX186" s="2918"/>
      <c r="HY186" s="2918"/>
      <c r="HZ186" s="2918"/>
      <c r="IA186" s="2918"/>
      <c r="IB186" s="2918"/>
      <c r="IC186" s="2918"/>
      <c r="ID186" s="2918"/>
      <c r="IE186" s="2918"/>
      <c r="IF186" s="2918"/>
      <c r="IG186" s="2918"/>
      <c r="IH186" s="2918"/>
      <c r="II186" s="2918"/>
      <c r="IJ186" s="2918"/>
      <c r="IK186" s="2918"/>
      <c r="IL186" s="2918"/>
      <c r="IM186" s="2918"/>
      <c r="IN186" s="2918"/>
      <c r="IO186" s="2918"/>
      <c r="IP186" s="2918"/>
      <c r="IQ186" s="2918"/>
      <c r="IR186" s="2918"/>
      <c r="IS186" s="2918"/>
      <c r="IT186" s="2918"/>
      <c r="IU186" s="2918"/>
      <c r="IV186" s="2918"/>
    </row>
    <row r="187" spans="1:256" customFormat="1">
      <c r="A187" s="4712" t="s">
        <v>12616</v>
      </c>
      <c r="B187" s="4706"/>
      <c r="C187" s="4706"/>
      <c r="D187" s="4707"/>
      <c r="E187" s="4708" t="s">
        <v>12617</v>
      </c>
      <c r="F187" s="4708"/>
      <c r="G187" s="4708" t="s">
        <v>1594</v>
      </c>
      <c r="H187" s="4708"/>
      <c r="I187" s="3094" t="s">
        <v>12618</v>
      </c>
      <c r="J187" s="2918"/>
      <c r="K187" s="2918"/>
      <c r="L187" s="2918"/>
      <c r="M187" s="2918"/>
      <c r="N187" s="2918"/>
      <c r="O187" s="2918"/>
      <c r="P187" s="2918"/>
      <c r="Q187" s="2918"/>
      <c r="R187" s="2918"/>
      <c r="S187" s="2918"/>
      <c r="T187" s="2918"/>
      <c r="U187" s="2918"/>
      <c r="V187" s="2918"/>
      <c r="W187" s="2918"/>
      <c r="X187" s="2918"/>
      <c r="Y187" s="2918"/>
      <c r="Z187" s="2918"/>
      <c r="AA187" s="2918"/>
      <c r="AB187" s="2918"/>
      <c r="AC187" s="2918"/>
      <c r="AD187" s="2918"/>
      <c r="AE187" s="2918"/>
      <c r="AF187" s="2918"/>
      <c r="AG187" s="2918"/>
      <c r="AH187" s="2918"/>
      <c r="AI187" s="2918"/>
      <c r="AJ187" s="2918"/>
      <c r="AK187" s="2918"/>
      <c r="AL187" s="2918"/>
      <c r="AM187" s="2918"/>
      <c r="AN187" s="2918"/>
      <c r="AO187" s="2918"/>
      <c r="AP187" s="2918"/>
      <c r="AQ187" s="2918"/>
      <c r="AR187" s="2918"/>
      <c r="AS187" s="2918"/>
      <c r="AT187" s="2918"/>
      <c r="AU187" s="2918"/>
      <c r="AV187" s="2918"/>
      <c r="AW187" s="2918"/>
      <c r="AX187" s="2918"/>
      <c r="AY187" s="2918"/>
      <c r="AZ187" s="2918"/>
      <c r="BA187" s="2918"/>
      <c r="BB187" s="2918"/>
      <c r="BC187" s="2918"/>
      <c r="BD187" s="2918"/>
      <c r="BE187" s="2918"/>
      <c r="BF187" s="2918"/>
      <c r="BG187" s="2918"/>
      <c r="BH187" s="2918"/>
      <c r="BI187" s="2918"/>
      <c r="BJ187" s="2918"/>
      <c r="BK187" s="2918"/>
      <c r="BL187" s="2918"/>
      <c r="BM187" s="2918"/>
      <c r="BN187" s="2918"/>
      <c r="BO187" s="2918"/>
      <c r="BP187" s="2918"/>
      <c r="BQ187" s="2918"/>
      <c r="BR187" s="2918"/>
      <c r="BS187" s="2918"/>
      <c r="BT187" s="2918"/>
      <c r="BU187" s="2918"/>
      <c r="BV187" s="2918"/>
      <c r="BW187" s="2918"/>
      <c r="BX187" s="2918"/>
      <c r="BY187" s="2918"/>
      <c r="BZ187" s="2918"/>
      <c r="CA187" s="2918"/>
      <c r="CB187" s="2918"/>
      <c r="CC187" s="2918"/>
      <c r="CD187" s="2918"/>
      <c r="CE187" s="2918"/>
      <c r="CF187" s="2918"/>
      <c r="CG187" s="2918"/>
      <c r="CH187" s="2918"/>
      <c r="CI187" s="2918"/>
      <c r="CJ187" s="2918"/>
      <c r="CK187" s="2918"/>
      <c r="CL187" s="2918"/>
      <c r="CM187" s="2918"/>
      <c r="CN187" s="2918"/>
      <c r="CO187" s="2918"/>
      <c r="CP187" s="2918"/>
      <c r="CQ187" s="2918"/>
      <c r="CR187" s="2918"/>
      <c r="CS187" s="2918"/>
      <c r="CT187" s="2918"/>
      <c r="CU187" s="2918"/>
      <c r="CV187" s="2918"/>
      <c r="CW187" s="2918"/>
      <c r="CX187" s="2918"/>
      <c r="CY187" s="2918"/>
      <c r="CZ187" s="2918"/>
      <c r="DA187" s="2918"/>
      <c r="DB187" s="2918"/>
      <c r="DC187" s="2918"/>
      <c r="DD187" s="2918"/>
      <c r="DE187" s="2918"/>
      <c r="DF187" s="2918"/>
      <c r="DG187" s="2918"/>
      <c r="DH187" s="2918"/>
      <c r="DI187" s="2918"/>
      <c r="DJ187" s="2918"/>
      <c r="DK187" s="2918"/>
      <c r="DL187" s="2918"/>
      <c r="DM187" s="2918"/>
      <c r="DN187" s="2918"/>
      <c r="DO187" s="2918"/>
      <c r="DP187" s="2918"/>
      <c r="DQ187" s="2918"/>
      <c r="DR187" s="2918"/>
      <c r="DS187" s="2918"/>
      <c r="DT187" s="2918"/>
      <c r="DU187" s="2918"/>
      <c r="DV187" s="2918"/>
      <c r="DW187" s="2918"/>
      <c r="DX187" s="2918"/>
      <c r="DY187" s="2918"/>
      <c r="DZ187" s="2918"/>
      <c r="EA187" s="2918"/>
      <c r="EB187" s="2918"/>
      <c r="EC187" s="2918"/>
      <c r="ED187" s="2918"/>
      <c r="EE187" s="2918"/>
      <c r="EF187" s="2918"/>
      <c r="EG187" s="2918"/>
      <c r="EH187" s="2918"/>
      <c r="EI187" s="2918"/>
      <c r="EJ187" s="2918"/>
      <c r="EK187" s="2918"/>
      <c r="EL187" s="2918"/>
      <c r="EM187" s="2918"/>
      <c r="EN187" s="2918"/>
      <c r="EO187" s="2918"/>
      <c r="EP187" s="2918"/>
      <c r="EQ187" s="2918"/>
      <c r="ER187" s="2918"/>
      <c r="ES187" s="2918"/>
      <c r="ET187" s="2918"/>
      <c r="EU187" s="2918"/>
      <c r="EV187" s="2918"/>
      <c r="EW187" s="2918"/>
      <c r="EX187" s="2918"/>
      <c r="EY187" s="2918"/>
      <c r="EZ187" s="2918"/>
      <c r="FA187" s="2918"/>
      <c r="FB187" s="2918"/>
      <c r="FC187" s="2918"/>
      <c r="FD187" s="2918"/>
      <c r="FE187" s="2918"/>
      <c r="FF187" s="2918"/>
      <c r="FG187" s="2918"/>
      <c r="FH187" s="2918"/>
      <c r="FI187" s="2918"/>
      <c r="FJ187" s="2918"/>
      <c r="FK187" s="2918"/>
      <c r="FL187" s="2918"/>
      <c r="FM187" s="2918"/>
      <c r="FN187" s="2918"/>
      <c r="FO187" s="2918"/>
      <c r="FP187" s="2918"/>
      <c r="FQ187" s="2918"/>
      <c r="FR187" s="2918"/>
      <c r="FS187" s="2918"/>
      <c r="FT187" s="2918"/>
      <c r="FU187" s="2918"/>
      <c r="FV187" s="2918"/>
      <c r="FW187" s="2918"/>
      <c r="FX187" s="2918"/>
      <c r="FY187" s="2918"/>
      <c r="FZ187" s="2918"/>
      <c r="GA187" s="2918"/>
      <c r="GB187" s="2918"/>
      <c r="GC187" s="2918"/>
      <c r="GD187" s="2918"/>
      <c r="GE187" s="2918"/>
      <c r="GF187" s="2918"/>
      <c r="GG187" s="2918"/>
      <c r="GH187" s="2918"/>
      <c r="GI187" s="2918"/>
      <c r="GJ187" s="2918"/>
      <c r="GK187" s="2918"/>
      <c r="GL187" s="2918"/>
      <c r="GM187" s="2918"/>
      <c r="GN187" s="2918"/>
      <c r="GO187" s="2918"/>
      <c r="GP187" s="2918"/>
      <c r="GQ187" s="2918"/>
      <c r="GR187" s="2918"/>
      <c r="GS187" s="2918"/>
      <c r="GT187" s="2918"/>
      <c r="GU187" s="2918"/>
      <c r="GV187" s="2918"/>
      <c r="GW187" s="2918"/>
      <c r="GX187" s="2918"/>
      <c r="GY187" s="2918"/>
      <c r="GZ187" s="2918"/>
      <c r="HA187" s="2918"/>
      <c r="HB187" s="2918"/>
      <c r="HC187" s="2918"/>
      <c r="HD187" s="2918"/>
      <c r="HE187" s="2918"/>
      <c r="HF187" s="2918"/>
      <c r="HG187" s="2918"/>
      <c r="HH187" s="2918"/>
      <c r="HI187" s="2918"/>
      <c r="HJ187" s="2918"/>
      <c r="HK187" s="2918"/>
      <c r="HL187" s="2918"/>
      <c r="HM187" s="2918"/>
      <c r="HN187" s="2918"/>
      <c r="HO187" s="2918"/>
      <c r="HP187" s="2918"/>
      <c r="HQ187" s="2918"/>
      <c r="HR187" s="2918"/>
      <c r="HS187" s="2918"/>
      <c r="HT187" s="2918"/>
      <c r="HU187" s="2918"/>
      <c r="HV187" s="2918"/>
      <c r="HW187" s="2918"/>
      <c r="HX187" s="2918"/>
      <c r="HY187" s="2918"/>
      <c r="HZ187" s="2918"/>
      <c r="IA187" s="2918"/>
      <c r="IB187" s="2918"/>
      <c r="IC187" s="2918"/>
      <c r="ID187" s="2918"/>
      <c r="IE187" s="2918"/>
      <c r="IF187" s="2918"/>
      <c r="IG187" s="2918"/>
      <c r="IH187" s="2918"/>
      <c r="II187" s="2918"/>
      <c r="IJ187" s="2918"/>
      <c r="IK187" s="2918"/>
      <c r="IL187" s="2918"/>
      <c r="IM187" s="2918"/>
      <c r="IN187" s="2918"/>
      <c r="IO187" s="2918"/>
      <c r="IP187" s="2918"/>
      <c r="IQ187" s="2918"/>
      <c r="IR187" s="2918"/>
      <c r="IS187" s="2918"/>
      <c r="IT187" s="2918"/>
      <c r="IU187" s="2918"/>
      <c r="IV187" s="2918"/>
    </row>
    <row r="188" spans="1:256" customFormat="1">
      <c r="A188" s="4731" t="s">
        <v>12619</v>
      </c>
      <c r="B188" s="4732"/>
      <c r="C188" s="4732"/>
      <c r="D188" s="4733"/>
      <c r="E188" s="4709" t="s">
        <v>12620</v>
      </c>
      <c r="F188" s="4709"/>
      <c r="G188" s="4709"/>
      <c r="H188" s="4709"/>
      <c r="I188" s="4734"/>
      <c r="J188" s="2918"/>
      <c r="K188" s="2918"/>
      <c r="L188" s="2918"/>
      <c r="M188" s="2918"/>
      <c r="N188" s="2918"/>
      <c r="O188" s="2918"/>
      <c r="P188" s="2918"/>
      <c r="Q188" s="2918"/>
      <c r="R188" s="2918"/>
      <c r="S188" s="2918"/>
      <c r="T188" s="2918"/>
      <c r="U188" s="2918"/>
      <c r="V188" s="2918"/>
      <c r="W188" s="2918"/>
      <c r="X188" s="2918"/>
      <c r="Y188" s="2918"/>
      <c r="Z188" s="2918"/>
      <c r="AA188" s="2918"/>
      <c r="AB188" s="2918"/>
      <c r="AC188" s="2918"/>
      <c r="AD188" s="2918"/>
      <c r="AE188" s="2918"/>
      <c r="AF188" s="2918"/>
      <c r="AG188" s="2918"/>
      <c r="AH188" s="2918"/>
      <c r="AI188" s="2918"/>
      <c r="AJ188" s="2918"/>
      <c r="AK188" s="2918"/>
      <c r="AL188" s="2918"/>
      <c r="AM188" s="2918"/>
      <c r="AN188" s="2918"/>
      <c r="AO188" s="2918"/>
      <c r="AP188" s="2918"/>
      <c r="AQ188" s="2918"/>
      <c r="AR188" s="2918"/>
      <c r="AS188" s="2918"/>
      <c r="AT188" s="2918"/>
      <c r="AU188" s="2918"/>
      <c r="AV188" s="2918"/>
      <c r="AW188" s="2918"/>
      <c r="AX188" s="2918"/>
      <c r="AY188" s="2918"/>
      <c r="AZ188" s="2918"/>
      <c r="BA188" s="2918"/>
      <c r="BB188" s="2918"/>
      <c r="BC188" s="2918"/>
      <c r="BD188" s="2918"/>
      <c r="BE188" s="2918"/>
      <c r="BF188" s="2918"/>
      <c r="BG188" s="2918"/>
      <c r="BH188" s="2918"/>
      <c r="BI188" s="2918"/>
      <c r="BJ188" s="2918"/>
      <c r="BK188" s="2918"/>
      <c r="BL188" s="2918"/>
      <c r="BM188" s="2918"/>
      <c r="BN188" s="2918"/>
      <c r="BO188" s="2918"/>
      <c r="BP188" s="2918"/>
      <c r="BQ188" s="2918"/>
      <c r="BR188" s="2918"/>
      <c r="BS188" s="2918"/>
      <c r="BT188" s="2918"/>
      <c r="BU188" s="2918"/>
      <c r="BV188" s="2918"/>
      <c r="BW188" s="2918"/>
      <c r="BX188" s="2918"/>
      <c r="BY188" s="2918"/>
      <c r="BZ188" s="2918"/>
      <c r="CA188" s="2918"/>
      <c r="CB188" s="2918"/>
      <c r="CC188" s="2918"/>
      <c r="CD188" s="2918"/>
      <c r="CE188" s="2918"/>
      <c r="CF188" s="2918"/>
      <c r="CG188" s="2918"/>
      <c r="CH188" s="2918"/>
      <c r="CI188" s="2918"/>
      <c r="CJ188" s="2918"/>
      <c r="CK188" s="2918"/>
      <c r="CL188" s="2918"/>
      <c r="CM188" s="2918"/>
      <c r="CN188" s="2918"/>
      <c r="CO188" s="2918"/>
      <c r="CP188" s="2918"/>
      <c r="CQ188" s="2918"/>
      <c r="CR188" s="2918"/>
      <c r="CS188" s="2918"/>
      <c r="CT188" s="2918"/>
      <c r="CU188" s="2918"/>
      <c r="CV188" s="2918"/>
      <c r="CW188" s="2918"/>
      <c r="CX188" s="2918"/>
      <c r="CY188" s="2918"/>
      <c r="CZ188" s="2918"/>
      <c r="DA188" s="2918"/>
      <c r="DB188" s="2918"/>
      <c r="DC188" s="2918"/>
      <c r="DD188" s="2918"/>
      <c r="DE188" s="2918"/>
      <c r="DF188" s="2918"/>
      <c r="DG188" s="2918"/>
      <c r="DH188" s="2918"/>
      <c r="DI188" s="2918"/>
      <c r="DJ188" s="2918"/>
      <c r="DK188" s="2918"/>
      <c r="DL188" s="2918"/>
      <c r="DM188" s="2918"/>
      <c r="DN188" s="2918"/>
      <c r="DO188" s="2918"/>
      <c r="DP188" s="2918"/>
      <c r="DQ188" s="2918"/>
      <c r="DR188" s="2918"/>
      <c r="DS188" s="2918"/>
      <c r="DT188" s="2918"/>
      <c r="DU188" s="2918"/>
      <c r="DV188" s="2918"/>
      <c r="DW188" s="2918"/>
      <c r="DX188" s="2918"/>
      <c r="DY188" s="2918"/>
      <c r="DZ188" s="2918"/>
      <c r="EA188" s="2918"/>
      <c r="EB188" s="2918"/>
      <c r="EC188" s="2918"/>
      <c r="ED188" s="2918"/>
      <c r="EE188" s="2918"/>
      <c r="EF188" s="2918"/>
      <c r="EG188" s="2918"/>
      <c r="EH188" s="2918"/>
      <c r="EI188" s="2918"/>
      <c r="EJ188" s="2918"/>
      <c r="EK188" s="2918"/>
      <c r="EL188" s="2918"/>
      <c r="EM188" s="2918"/>
      <c r="EN188" s="2918"/>
      <c r="EO188" s="2918"/>
      <c r="EP188" s="2918"/>
      <c r="EQ188" s="2918"/>
      <c r="ER188" s="2918"/>
      <c r="ES188" s="2918"/>
      <c r="ET188" s="2918"/>
      <c r="EU188" s="2918"/>
      <c r="EV188" s="2918"/>
      <c r="EW188" s="2918"/>
      <c r="EX188" s="2918"/>
      <c r="EY188" s="2918"/>
      <c r="EZ188" s="2918"/>
      <c r="FA188" s="2918"/>
      <c r="FB188" s="2918"/>
      <c r="FC188" s="2918"/>
      <c r="FD188" s="2918"/>
      <c r="FE188" s="2918"/>
      <c r="FF188" s="2918"/>
      <c r="FG188" s="2918"/>
      <c r="FH188" s="2918"/>
      <c r="FI188" s="2918"/>
      <c r="FJ188" s="2918"/>
      <c r="FK188" s="2918"/>
      <c r="FL188" s="2918"/>
      <c r="FM188" s="2918"/>
      <c r="FN188" s="2918"/>
      <c r="FO188" s="2918"/>
      <c r="FP188" s="2918"/>
      <c r="FQ188" s="2918"/>
      <c r="FR188" s="2918"/>
      <c r="FS188" s="2918"/>
      <c r="FT188" s="2918"/>
      <c r="FU188" s="2918"/>
      <c r="FV188" s="2918"/>
      <c r="FW188" s="2918"/>
      <c r="FX188" s="2918"/>
      <c r="FY188" s="2918"/>
      <c r="FZ188" s="2918"/>
      <c r="GA188" s="2918"/>
      <c r="GB188" s="2918"/>
      <c r="GC188" s="2918"/>
      <c r="GD188" s="2918"/>
      <c r="GE188" s="2918"/>
      <c r="GF188" s="2918"/>
      <c r="GG188" s="2918"/>
      <c r="GH188" s="2918"/>
      <c r="GI188" s="2918"/>
      <c r="GJ188" s="2918"/>
      <c r="GK188" s="2918"/>
      <c r="GL188" s="2918"/>
      <c r="GM188" s="2918"/>
      <c r="GN188" s="2918"/>
      <c r="GO188" s="2918"/>
      <c r="GP188" s="2918"/>
      <c r="GQ188" s="2918"/>
      <c r="GR188" s="2918"/>
      <c r="GS188" s="2918"/>
      <c r="GT188" s="2918"/>
      <c r="GU188" s="2918"/>
      <c r="GV188" s="2918"/>
      <c r="GW188" s="2918"/>
      <c r="GX188" s="2918"/>
      <c r="GY188" s="2918"/>
      <c r="GZ188" s="2918"/>
      <c r="HA188" s="2918"/>
      <c r="HB188" s="2918"/>
      <c r="HC188" s="2918"/>
      <c r="HD188" s="2918"/>
      <c r="HE188" s="2918"/>
      <c r="HF188" s="2918"/>
      <c r="HG188" s="2918"/>
      <c r="HH188" s="2918"/>
      <c r="HI188" s="2918"/>
      <c r="HJ188" s="2918"/>
      <c r="HK188" s="2918"/>
      <c r="HL188" s="2918"/>
      <c r="HM188" s="2918"/>
      <c r="HN188" s="2918"/>
      <c r="HO188" s="2918"/>
      <c r="HP188" s="2918"/>
      <c r="HQ188" s="2918"/>
      <c r="HR188" s="2918"/>
      <c r="HS188" s="2918"/>
      <c r="HT188" s="2918"/>
      <c r="HU188" s="2918"/>
      <c r="HV188" s="2918"/>
      <c r="HW188" s="2918"/>
      <c r="HX188" s="2918"/>
      <c r="HY188" s="2918"/>
      <c r="HZ188" s="2918"/>
      <c r="IA188" s="2918"/>
      <c r="IB188" s="2918"/>
      <c r="IC188" s="2918"/>
      <c r="ID188" s="2918"/>
      <c r="IE188" s="2918"/>
      <c r="IF188" s="2918"/>
      <c r="IG188" s="2918"/>
      <c r="IH188" s="2918"/>
      <c r="II188" s="2918"/>
      <c r="IJ188" s="2918"/>
      <c r="IK188" s="2918"/>
      <c r="IL188" s="2918"/>
      <c r="IM188" s="2918"/>
      <c r="IN188" s="2918"/>
      <c r="IO188" s="2918"/>
      <c r="IP188" s="2918"/>
      <c r="IQ188" s="2918"/>
      <c r="IR188" s="2918"/>
      <c r="IS188" s="2918"/>
      <c r="IT188" s="2918"/>
      <c r="IU188" s="2918"/>
      <c r="IV188" s="2918"/>
    </row>
  </sheetData>
  <mergeCells count="45">
    <mergeCell ref="A187:D187"/>
    <mergeCell ref="E187:F187"/>
    <mergeCell ref="G187:H187"/>
    <mergeCell ref="A188:D188"/>
    <mergeCell ref="E188:I188"/>
    <mergeCell ref="A186:D186"/>
    <mergeCell ref="E186:I186"/>
    <mergeCell ref="A175:A182"/>
    <mergeCell ref="B175:B178"/>
    <mergeCell ref="C175:D176"/>
    <mergeCell ref="C177:D178"/>
    <mergeCell ref="B179:B182"/>
    <mergeCell ref="C179:D180"/>
    <mergeCell ref="C181:D182"/>
    <mergeCell ref="A183:D183"/>
    <mergeCell ref="A184:D184"/>
    <mergeCell ref="E184:I184"/>
    <mergeCell ref="A185:D185"/>
    <mergeCell ref="E185:I185"/>
    <mergeCell ref="A166:A174"/>
    <mergeCell ref="B166:B167"/>
    <mergeCell ref="C166:D166"/>
    <mergeCell ref="C167:D167"/>
    <mergeCell ref="B168:B173"/>
    <mergeCell ref="C168:C170"/>
    <mergeCell ref="C171:C173"/>
    <mergeCell ref="B174:D174"/>
    <mergeCell ref="A5:B157"/>
    <mergeCell ref="A158:A165"/>
    <mergeCell ref="B158:D158"/>
    <mergeCell ref="B159:D159"/>
    <mergeCell ref="B160:D160"/>
    <mergeCell ref="B161:D161"/>
    <mergeCell ref="B162:D162"/>
    <mergeCell ref="B163:D163"/>
    <mergeCell ref="B164:D164"/>
    <mergeCell ref="B165:D165"/>
    <mergeCell ref="A1:I1"/>
    <mergeCell ref="A2:B4"/>
    <mergeCell ref="C2:D2"/>
    <mergeCell ref="E2:I2"/>
    <mergeCell ref="L2:R2"/>
    <mergeCell ref="C3:C4"/>
    <mergeCell ref="D3:D4"/>
    <mergeCell ref="L3:L4"/>
  </mergeCells>
  <phoneticPr fontId="378" type="noConversion"/>
  <hyperlinks>
    <hyperlink ref="R1" location="总目录!A1" display="返回目录"/>
    <hyperlink ref="R114" location="总目录!A1" display="返回目录"/>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
  <sheetViews>
    <sheetView workbookViewId="0">
      <selection activeCell="K3" sqref="K3"/>
    </sheetView>
  </sheetViews>
  <sheetFormatPr defaultColWidth="9" defaultRowHeight="16.5"/>
  <sheetData>
    <row r="1" spans="1:41">
      <c r="A1" s="3162" t="s">
        <v>12708</v>
      </c>
      <c r="B1" s="4688" t="s">
        <v>12621</v>
      </c>
      <c r="C1" s="4688"/>
      <c r="D1" s="4688"/>
      <c r="E1" s="4688"/>
      <c r="F1" s="4688"/>
      <c r="G1" s="4688"/>
      <c r="H1" s="4688"/>
      <c r="I1" s="4688"/>
      <c r="J1" s="4688"/>
      <c r="K1" s="4688"/>
      <c r="L1" s="4688"/>
      <c r="M1" s="4688"/>
      <c r="N1" s="4688"/>
      <c r="O1" s="4688"/>
      <c r="P1" s="4688"/>
      <c r="Q1" s="4688"/>
      <c r="R1" s="4688"/>
      <c r="S1" s="4688"/>
      <c r="T1" s="4688"/>
      <c r="U1" s="4688"/>
      <c r="V1" s="4688"/>
      <c r="W1" s="4688"/>
      <c r="X1" s="4688"/>
      <c r="Y1" s="4688"/>
      <c r="Z1" s="4688"/>
      <c r="AA1" s="2918"/>
      <c r="AB1" s="2918"/>
      <c r="AC1" s="2918"/>
      <c r="AD1" s="2918"/>
      <c r="AE1" s="2918"/>
      <c r="AF1" s="2918"/>
      <c r="AG1" s="2918"/>
      <c r="AH1" s="2918"/>
      <c r="AI1" s="2918"/>
      <c r="AJ1" s="2918"/>
      <c r="AK1" s="2918"/>
      <c r="AL1" s="2918"/>
      <c r="AM1" s="2918"/>
      <c r="AN1" s="2918"/>
      <c r="AO1" s="2918"/>
    </row>
    <row r="2" spans="1:41">
      <c r="A2" s="4688" t="s">
        <v>12622</v>
      </c>
      <c r="B2" s="4688"/>
      <c r="C2" s="4688"/>
      <c r="D2" s="4688"/>
      <c r="E2" s="4688"/>
      <c r="F2" s="4688"/>
      <c r="G2" s="4688"/>
      <c r="H2" s="4688"/>
      <c r="I2" s="4688"/>
      <c r="J2" s="4688"/>
      <c r="K2" s="4688"/>
      <c r="L2" s="4688"/>
      <c r="M2" s="4688"/>
      <c r="N2" s="4688"/>
      <c r="O2" s="4688"/>
      <c r="P2" s="4688"/>
      <c r="Q2" s="4688"/>
      <c r="R2" s="4688"/>
      <c r="S2" s="4688"/>
      <c r="T2" s="4688"/>
      <c r="U2" s="4688"/>
      <c r="V2" s="4688"/>
      <c r="W2" s="4688"/>
      <c r="X2" s="4688"/>
      <c r="Y2" s="4688"/>
      <c r="Z2" s="4688"/>
      <c r="AA2" s="4688"/>
      <c r="AB2" s="4688"/>
      <c r="AC2" s="4688"/>
      <c r="AD2" s="4688"/>
      <c r="AE2" s="4688"/>
      <c r="AF2" s="2918"/>
      <c r="AG2" s="2918"/>
      <c r="AH2" s="2918"/>
      <c r="AI2" s="2918"/>
      <c r="AJ2" s="2918"/>
      <c r="AK2" s="2918"/>
      <c r="AL2" s="2918"/>
      <c r="AM2" s="2918"/>
      <c r="AN2" s="2918"/>
      <c r="AO2" s="2918"/>
    </row>
    <row r="3" spans="1:41">
      <c r="A3" s="2918"/>
      <c r="B3" s="3051">
        <v>1</v>
      </c>
      <c r="C3" s="3095">
        <v>1.2</v>
      </c>
      <c r="D3" s="3051">
        <v>1.4</v>
      </c>
      <c r="E3" s="3051">
        <v>1.5</v>
      </c>
      <c r="F3" s="3051">
        <v>1.6</v>
      </c>
      <c r="G3" s="3051">
        <v>2</v>
      </c>
      <c r="H3" s="3051">
        <v>2.2000000000000002</v>
      </c>
      <c r="I3" s="3051">
        <v>2.5</v>
      </c>
      <c r="J3" s="3051">
        <v>2.8</v>
      </c>
      <c r="K3" s="3051">
        <v>3</v>
      </c>
      <c r="L3" s="3051">
        <v>3.2</v>
      </c>
      <c r="M3" s="3051">
        <v>3.5</v>
      </c>
      <c r="N3" s="3051">
        <v>4</v>
      </c>
      <c r="O3" s="3051">
        <v>4.5</v>
      </c>
      <c r="P3" s="3051">
        <v>5</v>
      </c>
      <c r="Q3" s="3051">
        <v>5.5</v>
      </c>
      <c r="R3" s="3051">
        <v>6</v>
      </c>
      <c r="S3" s="3051">
        <v>6.5</v>
      </c>
      <c r="T3" s="3051">
        <v>7</v>
      </c>
      <c r="U3" s="3051">
        <v>7.5</v>
      </c>
      <c r="V3" s="3051">
        <v>8</v>
      </c>
      <c r="W3" s="3051">
        <v>8.5</v>
      </c>
      <c r="X3" s="3051">
        <v>9</v>
      </c>
      <c r="Y3" s="3051">
        <v>9.5</v>
      </c>
      <c r="Z3" s="3051">
        <v>10</v>
      </c>
      <c r="AA3" s="3051">
        <v>11</v>
      </c>
      <c r="AB3" s="3051">
        <v>12</v>
      </c>
      <c r="AC3" s="3051">
        <v>13</v>
      </c>
      <c r="AD3" s="3051">
        <v>14</v>
      </c>
      <c r="AE3" s="3051">
        <v>15</v>
      </c>
      <c r="AF3" s="3051">
        <v>16</v>
      </c>
      <c r="AG3" s="3051">
        <v>17</v>
      </c>
      <c r="AH3" s="3051">
        <v>18</v>
      </c>
      <c r="AI3" s="3051">
        <v>19</v>
      </c>
      <c r="AJ3" s="3051">
        <v>20</v>
      </c>
      <c r="AK3" s="3051">
        <v>22</v>
      </c>
      <c r="AL3" s="3051">
        <v>24</v>
      </c>
      <c r="AM3" s="3051">
        <v>25</v>
      </c>
      <c r="AN3" s="3051">
        <v>26</v>
      </c>
      <c r="AO3" s="3051">
        <v>28</v>
      </c>
    </row>
    <row r="4" spans="1:41">
      <c r="A4" s="2918">
        <v>10</v>
      </c>
      <c r="B4" s="3096" t="s">
        <v>12623</v>
      </c>
      <c r="C4" s="3096" t="s">
        <v>12623</v>
      </c>
      <c r="D4" s="3096" t="s">
        <v>12623</v>
      </c>
      <c r="E4" s="3096" t="s">
        <v>12623</v>
      </c>
      <c r="F4" s="3096" t="s">
        <v>12623</v>
      </c>
      <c r="G4" s="3096" t="s">
        <v>12623</v>
      </c>
      <c r="H4" s="3096" t="s">
        <v>12623</v>
      </c>
      <c r="I4" s="3096" t="s">
        <v>12623</v>
      </c>
      <c r="J4" s="2918"/>
      <c r="K4" s="2918"/>
      <c r="L4" s="2918"/>
      <c r="M4" s="2918"/>
      <c r="N4" s="2918"/>
      <c r="O4" s="2918"/>
      <c r="P4" s="2918"/>
      <c r="Q4" s="2918"/>
      <c r="R4" s="2918"/>
      <c r="S4" s="2918"/>
      <c r="T4" s="2918"/>
      <c r="U4" s="2918"/>
      <c r="V4" s="2918"/>
      <c r="W4" s="2918"/>
      <c r="X4" s="2918"/>
      <c r="Y4" s="2918"/>
      <c r="Z4" s="2918"/>
      <c r="AA4" s="2918"/>
      <c r="AB4" s="2918"/>
      <c r="AC4" s="2918"/>
      <c r="AD4" s="2918"/>
      <c r="AE4" s="2918"/>
      <c r="AF4" s="2918"/>
      <c r="AG4" s="2918"/>
      <c r="AH4" s="2918"/>
      <c r="AI4" s="2918"/>
      <c r="AJ4" s="2918"/>
      <c r="AK4" s="2918"/>
      <c r="AL4" s="2918"/>
      <c r="AM4" s="2918"/>
      <c r="AN4" s="2918"/>
      <c r="AO4" s="2918"/>
    </row>
    <row r="5" spans="1:41">
      <c r="A5" s="2918">
        <v>11</v>
      </c>
      <c r="B5" s="3096" t="s">
        <v>12623</v>
      </c>
      <c r="C5" s="3096" t="s">
        <v>12623</v>
      </c>
      <c r="D5" s="3096" t="s">
        <v>12623</v>
      </c>
      <c r="E5" s="3096" t="s">
        <v>12623</v>
      </c>
      <c r="F5" s="3096" t="s">
        <v>12623</v>
      </c>
      <c r="G5" s="3096" t="s">
        <v>12623</v>
      </c>
      <c r="H5" s="3096" t="s">
        <v>12623</v>
      </c>
      <c r="I5" s="3096" t="s">
        <v>12623</v>
      </c>
      <c r="J5" s="3096"/>
      <c r="K5" s="3096"/>
      <c r="L5" s="2918"/>
      <c r="M5" s="2918"/>
      <c r="N5" s="2918"/>
      <c r="O5" s="2918"/>
      <c r="P5" s="2918"/>
      <c r="Q5" s="2918"/>
      <c r="R5" s="4735" t="s">
        <v>12624</v>
      </c>
      <c r="S5" s="4735"/>
      <c r="T5" s="4735"/>
      <c r="U5" s="4735"/>
      <c r="V5" s="4735"/>
      <c r="W5" s="2918"/>
      <c r="X5" s="4736" t="s">
        <v>12625</v>
      </c>
      <c r="Y5" s="4737"/>
      <c r="Z5" s="4738"/>
      <c r="AA5" s="2918"/>
      <c r="AB5" s="2918"/>
      <c r="AC5" s="2918"/>
      <c r="AD5" s="2918"/>
      <c r="AE5" s="2918"/>
      <c r="AF5" s="2918"/>
      <c r="AG5" s="2918"/>
      <c r="AH5" s="2918"/>
      <c r="AI5" s="2918"/>
      <c r="AJ5" s="2918"/>
      <c r="AK5" s="2918"/>
      <c r="AL5" s="2918"/>
      <c r="AM5" s="2918"/>
      <c r="AN5" s="2918"/>
      <c r="AO5" s="2918"/>
    </row>
    <row r="6" spans="1:41">
      <c r="A6" s="2918">
        <v>12</v>
      </c>
      <c r="B6" s="3096" t="s">
        <v>12623</v>
      </c>
      <c r="C6" s="3096" t="s">
        <v>12623</v>
      </c>
      <c r="D6" s="3096" t="s">
        <v>12623</v>
      </c>
      <c r="E6" s="3096" t="s">
        <v>12623</v>
      </c>
      <c r="F6" s="3096" t="s">
        <v>12623</v>
      </c>
      <c r="G6" s="3096" t="s">
        <v>12623</v>
      </c>
      <c r="H6" s="3096" t="s">
        <v>12623</v>
      </c>
      <c r="I6" s="3096" t="s">
        <v>12623</v>
      </c>
      <c r="J6" s="3096" t="s">
        <v>12623</v>
      </c>
      <c r="K6" s="3096" t="s">
        <v>12623</v>
      </c>
      <c r="L6" s="2918"/>
      <c r="M6" s="2918"/>
      <c r="N6" s="2918"/>
      <c r="O6" s="2918"/>
      <c r="P6" s="2918"/>
      <c r="Q6" s="2918"/>
      <c r="R6" s="4739" t="s">
        <v>12626</v>
      </c>
      <c r="S6" s="4739"/>
      <c r="T6" s="4739"/>
      <c r="U6" s="4739"/>
      <c r="V6" s="4739"/>
      <c r="W6" s="2918"/>
      <c r="X6" s="3097" t="s">
        <v>12627</v>
      </c>
      <c r="Y6" s="3098" t="s">
        <v>7343</v>
      </c>
      <c r="Z6" s="3099" t="s">
        <v>12628</v>
      </c>
      <c r="AA6" s="2918"/>
      <c r="AB6" s="2918"/>
      <c r="AC6" s="2918"/>
      <c r="AD6" s="2918"/>
      <c r="AE6" s="2918"/>
      <c r="AF6" s="2918"/>
      <c r="AG6" s="2918"/>
      <c r="AH6" s="2918"/>
      <c r="AI6" s="2918"/>
      <c r="AJ6" s="2918"/>
      <c r="AK6" s="2918"/>
      <c r="AL6" s="2918"/>
      <c r="AM6" s="2918"/>
      <c r="AN6" s="2918"/>
      <c r="AO6" s="2918"/>
    </row>
    <row r="7" spans="1:41">
      <c r="A7" s="2918">
        <v>13</v>
      </c>
      <c r="B7" s="3096" t="s">
        <v>12623</v>
      </c>
      <c r="C7" s="3096" t="s">
        <v>12623</v>
      </c>
      <c r="D7" s="3096" t="s">
        <v>12623</v>
      </c>
      <c r="E7" s="3096" t="s">
        <v>12623</v>
      </c>
      <c r="F7" s="3096" t="s">
        <v>12623</v>
      </c>
      <c r="G7" s="3096" t="s">
        <v>12623</v>
      </c>
      <c r="H7" s="3096" t="s">
        <v>12623</v>
      </c>
      <c r="I7" s="3096" t="s">
        <v>12623</v>
      </c>
      <c r="J7" s="3096" t="s">
        <v>12623</v>
      </c>
      <c r="K7" s="3096" t="s">
        <v>12623</v>
      </c>
      <c r="L7" s="2918"/>
      <c r="M7" s="2918"/>
      <c r="N7" s="2918"/>
      <c r="O7" s="2918"/>
      <c r="P7" s="2918"/>
      <c r="Q7" s="2918"/>
      <c r="R7" s="4739" t="s">
        <v>12629</v>
      </c>
      <c r="S7" s="4739"/>
      <c r="T7" s="4739"/>
      <c r="U7" s="4739"/>
      <c r="V7" s="4739"/>
      <c r="W7" s="2918"/>
      <c r="X7" s="3097">
        <v>4</v>
      </c>
      <c r="Y7" s="3098">
        <v>6</v>
      </c>
      <c r="Z7" s="3099">
        <v>0.6</v>
      </c>
      <c r="AA7" s="2918"/>
      <c r="AB7" s="2918"/>
      <c r="AC7" s="2918"/>
      <c r="AD7" s="2918"/>
      <c r="AE7" s="2918"/>
      <c r="AF7" s="2918"/>
      <c r="AG7" s="2918"/>
      <c r="AH7" s="2918"/>
      <c r="AI7" s="2918"/>
      <c r="AJ7" s="2918"/>
      <c r="AK7" s="2918"/>
      <c r="AL7" s="2918"/>
      <c r="AM7" s="2918"/>
      <c r="AN7" s="2918"/>
      <c r="AO7" s="2918"/>
    </row>
    <row r="8" spans="1:41">
      <c r="A8" s="2918">
        <v>14</v>
      </c>
      <c r="B8" s="3096" t="s">
        <v>12623</v>
      </c>
      <c r="C8" s="3096" t="s">
        <v>12623</v>
      </c>
      <c r="D8" s="3096" t="s">
        <v>12623</v>
      </c>
      <c r="E8" s="3096" t="s">
        <v>12623</v>
      </c>
      <c r="F8" s="3096" t="s">
        <v>12623</v>
      </c>
      <c r="G8" s="3096" t="s">
        <v>12623</v>
      </c>
      <c r="H8" s="3096" t="s">
        <v>12623</v>
      </c>
      <c r="I8" s="3096" t="s">
        <v>12623</v>
      </c>
      <c r="J8" s="3096" t="s">
        <v>12623</v>
      </c>
      <c r="K8" s="3096" t="s">
        <v>12623</v>
      </c>
      <c r="L8" s="3096" t="s">
        <v>12623</v>
      </c>
      <c r="M8" s="2918"/>
      <c r="N8" s="2918"/>
      <c r="O8" s="2918"/>
      <c r="P8" s="2918"/>
      <c r="Q8" s="2918"/>
      <c r="R8" s="2918"/>
      <c r="S8" s="2918"/>
      <c r="T8" s="2918"/>
      <c r="U8" s="2918"/>
      <c r="V8" s="2918"/>
      <c r="W8" s="2918"/>
      <c r="X8" s="3097">
        <v>7</v>
      </c>
      <c r="Y8" s="3098">
        <v>10</v>
      </c>
      <c r="Z8" s="3099">
        <v>0.8</v>
      </c>
      <c r="AA8" s="2918"/>
      <c r="AB8" s="2918"/>
      <c r="AC8" s="2918"/>
      <c r="AD8" s="2918"/>
      <c r="AE8" s="2918"/>
      <c r="AF8" s="2918"/>
      <c r="AG8" s="2918"/>
      <c r="AH8" s="2918"/>
      <c r="AI8" s="2918"/>
      <c r="AJ8" s="2918"/>
      <c r="AK8" s="2918"/>
      <c r="AL8" s="2918"/>
      <c r="AM8" s="2918"/>
      <c r="AN8" s="2918"/>
      <c r="AO8" s="2918"/>
    </row>
    <row r="9" spans="1:41">
      <c r="A9" s="2918">
        <v>15</v>
      </c>
      <c r="B9" s="3096" t="s">
        <v>12623</v>
      </c>
      <c r="C9" s="3096" t="s">
        <v>12623</v>
      </c>
      <c r="D9" s="3096" t="s">
        <v>12623</v>
      </c>
      <c r="E9" s="3096" t="s">
        <v>12623</v>
      </c>
      <c r="F9" s="3096" t="s">
        <v>12623</v>
      </c>
      <c r="G9" s="3096" t="s">
        <v>12623</v>
      </c>
      <c r="H9" s="3096" t="s">
        <v>12623</v>
      </c>
      <c r="I9" s="3096" t="s">
        <v>12623</v>
      </c>
      <c r="J9" s="3096" t="s">
        <v>12623</v>
      </c>
      <c r="K9" s="3096" t="s">
        <v>12623</v>
      </c>
      <c r="L9" s="3096" t="s">
        <v>12623</v>
      </c>
      <c r="M9" s="3096" t="s">
        <v>12623</v>
      </c>
      <c r="N9" s="2918"/>
      <c r="O9" s="2918"/>
      <c r="P9" s="2918"/>
      <c r="Q9" s="2918"/>
      <c r="R9" s="2918"/>
      <c r="S9" s="2918"/>
      <c r="T9" s="2918"/>
      <c r="U9" s="2918"/>
      <c r="V9" s="2918"/>
      <c r="W9" s="2918"/>
      <c r="X9" s="3097">
        <v>12</v>
      </c>
      <c r="Y9" s="3098">
        <v>14</v>
      </c>
      <c r="Z9" s="3099">
        <v>1</v>
      </c>
      <c r="AA9" s="2918"/>
      <c r="AB9" s="2918"/>
      <c r="AC9" s="2918"/>
      <c r="AD9" s="2918"/>
      <c r="AE9" s="2918"/>
      <c r="AF9" s="2918"/>
      <c r="AG9" s="2918"/>
      <c r="AH9" s="2918"/>
      <c r="AI9" s="2918"/>
      <c r="AJ9" s="2918"/>
      <c r="AK9" s="2918"/>
      <c r="AL9" s="2918"/>
      <c r="AM9" s="2918"/>
      <c r="AN9" s="2918"/>
      <c r="AO9" s="2918"/>
    </row>
    <row r="10" spans="1:41">
      <c r="A10" s="2918">
        <v>16</v>
      </c>
      <c r="B10" s="3096" t="s">
        <v>12623</v>
      </c>
      <c r="C10" s="3096" t="s">
        <v>12623</v>
      </c>
      <c r="D10" s="3096" t="s">
        <v>12623</v>
      </c>
      <c r="E10" s="3096" t="s">
        <v>12623</v>
      </c>
      <c r="F10" s="3096" t="s">
        <v>12623</v>
      </c>
      <c r="G10" s="3096" t="s">
        <v>12623</v>
      </c>
      <c r="H10" s="3096" t="s">
        <v>12623</v>
      </c>
      <c r="I10" s="3096" t="s">
        <v>12623</v>
      </c>
      <c r="J10" s="3096" t="s">
        <v>12623</v>
      </c>
      <c r="K10" s="3096" t="s">
        <v>12623</v>
      </c>
      <c r="L10" s="3096" t="s">
        <v>12623</v>
      </c>
      <c r="M10" s="3096" t="s">
        <v>12623</v>
      </c>
      <c r="N10" s="3096" t="s">
        <v>12623</v>
      </c>
      <c r="O10" s="2918"/>
      <c r="P10" s="2918"/>
      <c r="Q10" s="2918"/>
      <c r="R10" s="2918"/>
      <c r="S10" s="2918"/>
      <c r="T10" s="2918"/>
      <c r="U10" s="2918"/>
      <c r="V10" s="2918"/>
      <c r="W10" s="2918"/>
      <c r="X10" s="3097">
        <v>16</v>
      </c>
      <c r="Y10" s="3098">
        <v>18</v>
      </c>
      <c r="Z10" s="3099">
        <v>1.6</v>
      </c>
      <c r="AA10" s="2918"/>
      <c r="AB10" s="2918"/>
      <c r="AC10" s="2918"/>
      <c r="AD10" s="2918"/>
      <c r="AE10" s="2918"/>
      <c r="AF10" s="2918"/>
      <c r="AG10" s="2918"/>
      <c r="AH10" s="2918"/>
      <c r="AI10" s="2918"/>
      <c r="AJ10" s="2918"/>
      <c r="AK10" s="2918"/>
      <c r="AL10" s="2918"/>
      <c r="AM10" s="2918"/>
      <c r="AN10" s="2918"/>
      <c r="AO10" s="2918"/>
    </row>
    <row r="11" spans="1:41">
      <c r="A11" s="2918">
        <v>17</v>
      </c>
      <c r="B11" s="3096" t="s">
        <v>12623</v>
      </c>
      <c r="C11" s="3096" t="s">
        <v>12623</v>
      </c>
      <c r="D11" s="3096" t="s">
        <v>12623</v>
      </c>
      <c r="E11" s="3096" t="s">
        <v>12623</v>
      </c>
      <c r="F11" s="3096" t="s">
        <v>12623</v>
      </c>
      <c r="G11" s="3096" t="s">
        <v>12623</v>
      </c>
      <c r="H11" s="3096" t="s">
        <v>12623</v>
      </c>
      <c r="I11" s="3096" t="s">
        <v>12623</v>
      </c>
      <c r="J11" s="3096" t="s">
        <v>12623</v>
      </c>
      <c r="K11" s="3096" t="s">
        <v>12623</v>
      </c>
      <c r="L11" s="3096" t="s">
        <v>12623</v>
      </c>
      <c r="M11" s="3096" t="s">
        <v>12623</v>
      </c>
      <c r="N11" s="3096" t="s">
        <v>12623</v>
      </c>
      <c r="O11" s="2918"/>
      <c r="P11" s="2918"/>
      <c r="Q11" s="2918"/>
      <c r="R11" s="2918"/>
      <c r="S11" s="2918"/>
      <c r="T11" s="2918"/>
      <c r="U11" s="2918"/>
      <c r="V11" s="2918"/>
      <c r="W11" s="2918"/>
      <c r="X11" s="3097">
        <v>20</v>
      </c>
      <c r="Y11" s="3098">
        <v>30</v>
      </c>
      <c r="Z11" s="3099">
        <v>2</v>
      </c>
      <c r="AA11" s="2918"/>
      <c r="AB11" s="2918"/>
      <c r="AC11" s="2918"/>
      <c r="AD11" s="2918"/>
      <c r="AE11" s="2918"/>
      <c r="AF11" s="2918"/>
      <c r="AG11" s="2918"/>
      <c r="AH11" s="2918"/>
      <c r="AI11" s="2918"/>
      <c r="AJ11" s="2918"/>
      <c r="AK11" s="2918"/>
      <c r="AL11" s="2918"/>
      <c r="AM11" s="2918"/>
      <c r="AN11" s="2918"/>
      <c r="AO11" s="2918"/>
    </row>
    <row r="12" spans="1:41">
      <c r="A12" s="2918">
        <v>18</v>
      </c>
      <c r="B12" s="3096" t="s">
        <v>12623</v>
      </c>
      <c r="C12" s="3096" t="s">
        <v>12623</v>
      </c>
      <c r="D12" s="3096" t="s">
        <v>12623</v>
      </c>
      <c r="E12" s="3096" t="s">
        <v>12623</v>
      </c>
      <c r="F12" s="3096" t="s">
        <v>12623</v>
      </c>
      <c r="G12" s="3096" t="s">
        <v>12623</v>
      </c>
      <c r="H12" s="3096" t="s">
        <v>12623</v>
      </c>
      <c r="I12" s="3096" t="s">
        <v>12623</v>
      </c>
      <c r="J12" s="3096" t="s">
        <v>12623</v>
      </c>
      <c r="K12" s="3096" t="s">
        <v>12623</v>
      </c>
      <c r="L12" s="3096" t="s">
        <v>12623</v>
      </c>
      <c r="M12" s="3096" t="s">
        <v>12623</v>
      </c>
      <c r="N12" s="3096" t="s">
        <v>12623</v>
      </c>
      <c r="O12" s="3096" t="s">
        <v>12623</v>
      </c>
      <c r="P12" s="2918"/>
      <c r="Q12" s="2918"/>
      <c r="R12" s="2918"/>
      <c r="S12" s="2918"/>
      <c r="T12" s="2918"/>
      <c r="U12" s="2918"/>
      <c r="V12" s="2918"/>
      <c r="W12" s="2918"/>
      <c r="X12" s="3097">
        <v>32</v>
      </c>
      <c r="Y12" s="3098">
        <v>50</v>
      </c>
      <c r="Z12" s="3099">
        <v>2.5</v>
      </c>
      <c r="AA12" s="2918"/>
      <c r="AB12" s="2918"/>
      <c r="AC12" s="2918"/>
      <c r="AD12" s="2918"/>
      <c r="AE12" s="2918"/>
      <c r="AF12" s="2918"/>
      <c r="AG12" s="2918"/>
      <c r="AH12" s="2918"/>
      <c r="AI12" s="2918"/>
      <c r="AJ12" s="2918"/>
      <c r="AK12" s="2918"/>
      <c r="AL12" s="2918"/>
      <c r="AM12" s="2918"/>
      <c r="AN12" s="2918"/>
      <c r="AO12" s="2918"/>
    </row>
    <row r="13" spans="1:41">
      <c r="A13" s="2918">
        <v>19</v>
      </c>
      <c r="B13" s="3096" t="s">
        <v>12623</v>
      </c>
      <c r="C13" s="3096" t="s">
        <v>12623</v>
      </c>
      <c r="D13" s="3096" t="s">
        <v>12623</v>
      </c>
      <c r="E13" s="3096" t="s">
        <v>12623</v>
      </c>
      <c r="F13" s="3096" t="s">
        <v>12623</v>
      </c>
      <c r="G13" s="3096" t="s">
        <v>12623</v>
      </c>
      <c r="H13" s="3096" t="s">
        <v>12623</v>
      </c>
      <c r="I13" s="3096" t="s">
        <v>12623</v>
      </c>
      <c r="J13" s="3096" t="s">
        <v>12623</v>
      </c>
      <c r="K13" s="3096" t="s">
        <v>12623</v>
      </c>
      <c r="L13" s="3096" t="s">
        <v>12623</v>
      </c>
      <c r="M13" s="3096" t="s">
        <v>12623</v>
      </c>
      <c r="N13" s="3096" t="s">
        <v>12623</v>
      </c>
      <c r="O13" s="3096" t="s">
        <v>12623</v>
      </c>
      <c r="P13" s="2918"/>
      <c r="Q13" s="2918"/>
      <c r="R13" s="2918"/>
      <c r="S13" s="2918"/>
      <c r="T13" s="2918"/>
      <c r="U13" s="2918"/>
      <c r="V13" s="2918"/>
      <c r="W13" s="2918"/>
      <c r="X13" s="3097">
        <v>55</v>
      </c>
      <c r="Y13" s="3098">
        <v>125</v>
      </c>
      <c r="Z13" s="3099">
        <v>3.2</v>
      </c>
      <c r="AA13" s="2918"/>
      <c r="AB13" s="2918"/>
      <c r="AC13" s="2918"/>
      <c r="AD13" s="2918"/>
      <c r="AE13" s="2918"/>
      <c r="AF13" s="2918"/>
      <c r="AG13" s="2918"/>
      <c r="AH13" s="2918"/>
      <c r="AI13" s="2918"/>
      <c r="AJ13" s="2918"/>
      <c r="AK13" s="2918"/>
      <c r="AL13" s="2918"/>
      <c r="AM13" s="2918"/>
      <c r="AN13" s="2918"/>
      <c r="AO13" s="2918"/>
    </row>
    <row r="14" spans="1:41">
      <c r="A14" s="2918">
        <v>20</v>
      </c>
      <c r="B14" s="3096" t="s">
        <v>12623</v>
      </c>
      <c r="C14" s="3096" t="s">
        <v>12623</v>
      </c>
      <c r="D14" s="3096" t="s">
        <v>12623</v>
      </c>
      <c r="E14" s="3096" t="s">
        <v>12623</v>
      </c>
      <c r="F14" s="3096" t="s">
        <v>12623</v>
      </c>
      <c r="G14" s="3096" t="s">
        <v>12623</v>
      </c>
      <c r="H14" s="3096" t="s">
        <v>12623</v>
      </c>
      <c r="I14" s="3096" t="s">
        <v>12623</v>
      </c>
      <c r="J14" s="3096" t="s">
        <v>12623</v>
      </c>
      <c r="K14" s="3096" t="s">
        <v>12623</v>
      </c>
      <c r="L14" s="3096" t="s">
        <v>12623</v>
      </c>
      <c r="M14" s="3096" t="s">
        <v>12623</v>
      </c>
      <c r="N14" s="3096" t="s">
        <v>12623</v>
      </c>
      <c r="O14" s="3096" t="s">
        <v>12623</v>
      </c>
      <c r="P14" s="2918"/>
      <c r="Q14" s="2918"/>
      <c r="R14" s="2918"/>
      <c r="S14" s="2918"/>
      <c r="T14" s="2918"/>
      <c r="U14" s="2918"/>
      <c r="V14" s="2918"/>
      <c r="W14" s="2918"/>
      <c r="X14" s="3743" t="s">
        <v>11643</v>
      </c>
      <c r="Y14" s="3737"/>
      <c r="Z14" s="1914" t="s">
        <v>12628</v>
      </c>
      <c r="AA14" s="2918"/>
      <c r="AB14" s="2918"/>
      <c r="AC14" s="2918"/>
      <c r="AD14" s="2918"/>
      <c r="AE14" s="2918"/>
      <c r="AF14" s="2918"/>
      <c r="AG14" s="2918"/>
      <c r="AH14" s="2918"/>
      <c r="AI14" s="2918"/>
      <c r="AJ14" s="2918"/>
      <c r="AK14" s="2918"/>
      <c r="AL14" s="2918"/>
      <c r="AM14" s="2918"/>
      <c r="AN14" s="2918"/>
      <c r="AO14" s="2918"/>
    </row>
    <row r="15" spans="1:41">
      <c r="A15" s="2918">
        <v>21</v>
      </c>
      <c r="B15" s="3096" t="s">
        <v>12623</v>
      </c>
      <c r="C15" s="3096" t="s">
        <v>12623</v>
      </c>
      <c r="D15" s="3096" t="s">
        <v>12623</v>
      </c>
      <c r="E15" s="3096" t="s">
        <v>12623</v>
      </c>
      <c r="F15" s="3096" t="s">
        <v>12623</v>
      </c>
      <c r="G15" s="3096" t="s">
        <v>12623</v>
      </c>
      <c r="H15" s="3096" t="s">
        <v>12623</v>
      </c>
      <c r="I15" s="3096" t="s">
        <v>12623</v>
      </c>
      <c r="J15" s="3096" t="s">
        <v>12623</v>
      </c>
      <c r="K15" s="3096" t="s">
        <v>12623</v>
      </c>
      <c r="L15" s="3096" t="s">
        <v>12623</v>
      </c>
      <c r="M15" s="3096" t="s">
        <v>12623</v>
      </c>
      <c r="N15" s="3096" t="s">
        <v>12623</v>
      </c>
      <c r="O15" s="3096" t="s">
        <v>12623</v>
      </c>
      <c r="P15" s="3096" t="s">
        <v>12623</v>
      </c>
      <c r="Q15" s="2918"/>
      <c r="R15" s="2918"/>
      <c r="S15" s="2918"/>
      <c r="T15" s="2918"/>
      <c r="U15" s="2918"/>
      <c r="V15" s="2918"/>
      <c r="W15" s="2918"/>
      <c r="X15" s="2918"/>
      <c r="Y15" s="2918"/>
      <c r="Z15" s="2918"/>
      <c r="AA15" s="2918"/>
      <c r="AB15" s="2918"/>
      <c r="AC15" s="2918"/>
      <c r="AD15" s="2918"/>
      <c r="AE15" s="2918"/>
      <c r="AF15" s="2918"/>
      <c r="AG15" s="2918"/>
      <c r="AH15" s="2918"/>
      <c r="AI15" s="2918"/>
      <c r="AJ15" s="2918"/>
      <c r="AK15" s="2918"/>
      <c r="AL15" s="2918"/>
      <c r="AM15" s="2918"/>
      <c r="AN15" s="2918"/>
      <c r="AO15" s="2918"/>
    </row>
    <row r="16" spans="1:41">
      <c r="A16" s="2918">
        <v>22</v>
      </c>
      <c r="B16" s="3096" t="s">
        <v>12623</v>
      </c>
      <c r="C16" s="3096" t="s">
        <v>12623</v>
      </c>
      <c r="D16" s="3096" t="s">
        <v>12623</v>
      </c>
      <c r="E16" s="3096" t="s">
        <v>12623</v>
      </c>
      <c r="F16" s="3096" t="s">
        <v>12623</v>
      </c>
      <c r="G16" s="3096" t="s">
        <v>12623</v>
      </c>
      <c r="H16" s="3096" t="s">
        <v>12623</v>
      </c>
      <c r="I16" s="3096" t="s">
        <v>12623</v>
      </c>
      <c r="J16" s="3096" t="s">
        <v>12623</v>
      </c>
      <c r="K16" s="3096" t="s">
        <v>12623</v>
      </c>
      <c r="L16" s="3096" t="s">
        <v>12623</v>
      </c>
      <c r="M16" s="3096" t="s">
        <v>12623</v>
      </c>
      <c r="N16" s="3096" t="s">
        <v>12623</v>
      </c>
      <c r="O16" s="3096" t="s">
        <v>12623</v>
      </c>
      <c r="P16" s="3096" t="s">
        <v>12623</v>
      </c>
      <c r="Q16" s="2918"/>
      <c r="R16" s="2918"/>
      <c r="S16" s="2918"/>
      <c r="T16" s="2918"/>
      <c r="U16" s="2918"/>
      <c r="V16" s="2918"/>
      <c r="W16" s="2918"/>
      <c r="X16" s="2918"/>
      <c r="Y16" s="2918"/>
      <c r="Z16" s="2918"/>
      <c r="AA16" s="2918"/>
      <c r="AB16" s="2918"/>
      <c r="AC16" s="2918"/>
      <c r="AD16" s="2918"/>
      <c r="AE16" s="2918"/>
      <c r="AF16" s="2918"/>
      <c r="AG16" s="2918"/>
      <c r="AH16" s="2918"/>
      <c r="AI16" s="2918"/>
      <c r="AJ16" s="2918"/>
      <c r="AK16" s="2918"/>
      <c r="AL16" s="2918"/>
      <c r="AM16" s="2918"/>
      <c r="AN16" s="2918"/>
      <c r="AO16" s="2918"/>
    </row>
    <row r="17" spans="1:41">
      <c r="A17" s="2918">
        <v>23</v>
      </c>
      <c r="B17" s="3096" t="s">
        <v>12623</v>
      </c>
      <c r="C17" s="3096" t="s">
        <v>12623</v>
      </c>
      <c r="D17" s="3096" t="s">
        <v>12623</v>
      </c>
      <c r="E17" s="3096" t="s">
        <v>12623</v>
      </c>
      <c r="F17" s="3096" t="s">
        <v>12623</v>
      </c>
      <c r="G17" s="3096" t="s">
        <v>12623</v>
      </c>
      <c r="H17" s="3096" t="s">
        <v>12623</v>
      </c>
      <c r="I17" s="3096" t="s">
        <v>12623</v>
      </c>
      <c r="J17" s="3096" t="s">
        <v>12623</v>
      </c>
      <c r="K17" s="3096" t="s">
        <v>12623</v>
      </c>
      <c r="L17" s="3096" t="s">
        <v>12623</v>
      </c>
      <c r="M17" s="3096" t="s">
        <v>12623</v>
      </c>
      <c r="N17" s="3096" t="s">
        <v>12623</v>
      </c>
      <c r="O17" s="3096" t="s">
        <v>12623</v>
      </c>
      <c r="P17" s="3096" t="s">
        <v>12623</v>
      </c>
      <c r="Q17" s="2918"/>
      <c r="R17" s="2918"/>
      <c r="S17" s="2918"/>
      <c r="T17" s="2918"/>
      <c r="U17" s="2918"/>
      <c r="V17" s="2918"/>
      <c r="W17" s="2918"/>
      <c r="X17" s="2918"/>
      <c r="Y17" s="2918"/>
      <c r="Z17" s="2918"/>
      <c r="AA17" s="2918"/>
      <c r="AB17" s="2918"/>
      <c r="AC17" s="2918"/>
      <c r="AD17" s="2918"/>
      <c r="AE17" s="2918"/>
      <c r="AF17" s="2918"/>
      <c r="AG17" s="2918"/>
      <c r="AH17" s="2918"/>
      <c r="AI17" s="2918"/>
      <c r="AJ17" s="2918"/>
      <c r="AK17" s="2918"/>
      <c r="AL17" s="2918"/>
      <c r="AM17" s="2918"/>
      <c r="AN17" s="2918"/>
      <c r="AO17" s="2918"/>
    </row>
    <row r="18" spans="1:41">
      <c r="A18" s="2918">
        <v>24</v>
      </c>
      <c r="B18" s="3096" t="s">
        <v>12623</v>
      </c>
      <c r="C18" s="3096" t="s">
        <v>12623</v>
      </c>
      <c r="D18" s="3096" t="s">
        <v>12623</v>
      </c>
      <c r="E18" s="3096" t="s">
        <v>12623</v>
      </c>
      <c r="F18" s="3096" t="s">
        <v>12623</v>
      </c>
      <c r="G18" s="3096" t="s">
        <v>12623</v>
      </c>
      <c r="H18" s="3096" t="s">
        <v>12623</v>
      </c>
      <c r="I18" s="3096" t="s">
        <v>12623</v>
      </c>
      <c r="J18" s="3096" t="s">
        <v>12623</v>
      </c>
      <c r="K18" s="3096" t="s">
        <v>12623</v>
      </c>
      <c r="L18" s="3096" t="s">
        <v>12623</v>
      </c>
      <c r="M18" s="3096" t="s">
        <v>12623</v>
      </c>
      <c r="N18" s="3096" t="s">
        <v>12623</v>
      </c>
      <c r="O18" s="3096" t="s">
        <v>12623</v>
      </c>
      <c r="P18" s="3096" t="s">
        <v>12623</v>
      </c>
      <c r="Q18" s="3096" t="s">
        <v>12623</v>
      </c>
      <c r="R18" s="2918"/>
      <c r="S18" s="2918"/>
      <c r="T18" s="2918"/>
      <c r="U18" s="2918"/>
      <c r="V18" s="2918"/>
      <c r="W18" s="2918"/>
      <c r="X18" s="2918"/>
      <c r="Y18" s="2918"/>
      <c r="Z18" s="2918"/>
      <c r="AA18" s="2918"/>
      <c r="AB18" s="2918"/>
      <c r="AC18" s="2918"/>
      <c r="AD18" s="2918"/>
      <c r="AE18" s="2918"/>
      <c r="AF18" s="2918"/>
      <c r="AG18" s="2918"/>
      <c r="AH18" s="2918"/>
      <c r="AI18" s="2918"/>
      <c r="AJ18" s="2918"/>
      <c r="AK18" s="2918"/>
      <c r="AL18" s="2918"/>
      <c r="AM18" s="2918"/>
      <c r="AN18" s="2918"/>
      <c r="AO18" s="2918"/>
    </row>
    <row r="19" spans="1:41">
      <c r="A19" s="2918">
        <v>25</v>
      </c>
      <c r="B19" s="3096" t="s">
        <v>12623</v>
      </c>
      <c r="C19" s="3096" t="s">
        <v>12623</v>
      </c>
      <c r="D19" s="3096" t="s">
        <v>12623</v>
      </c>
      <c r="E19" s="3096" t="s">
        <v>12623</v>
      </c>
      <c r="F19" s="3096" t="s">
        <v>12623</v>
      </c>
      <c r="G19" s="3096" t="s">
        <v>12623</v>
      </c>
      <c r="H19" s="3096" t="s">
        <v>12623</v>
      </c>
      <c r="I19" s="3096" t="s">
        <v>12623</v>
      </c>
      <c r="J19" s="3096" t="s">
        <v>12623</v>
      </c>
      <c r="K19" s="3096" t="s">
        <v>12623</v>
      </c>
      <c r="L19" s="3096" t="s">
        <v>12623</v>
      </c>
      <c r="M19" s="3096" t="s">
        <v>12623</v>
      </c>
      <c r="N19" s="3096" t="s">
        <v>12623</v>
      </c>
      <c r="O19" s="3096" t="s">
        <v>12623</v>
      </c>
      <c r="P19" s="3096" t="s">
        <v>12623</v>
      </c>
      <c r="Q19" s="3096" t="s">
        <v>12623</v>
      </c>
      <c r="R19" s="3096" t="s">
        <v>12623</v>
      </c>
      <c r="S19" s="2918"/>
      <c r="T19" s="2918"/>
      <c r="U19" s="2918"/>
      <c r="V19" s="2918"/>
      <c r="W19" s="2918"/>
      <c r="X19" s="2918"/>
      <c r="Y19" s="2918"/>
      <c r="Z19" s="2918"/>
      <c r="AA19" s="2918"/>
      <c r="AB19" s="2918"/>
      <c r="AC19" s="2918"/>
      <c r="AD19" s="2918"/>
      <c r="AE19" s="2918"/>
      <c r="AF19" s="2918"/>
      <c r="AG19" s="2918"/>
      <c r="AH19" s="2918"/>
      <c r="AI19" s="2918"/>
      <c r="AJ19" s="2918"/>
      <c r="AK19" s="2918"/>
      <c r="AL19" s="2918"/>
      <c r="AM19" s="2918"/>
      <c r="AN19" s="2918"/>
      <c r="AO19" s="2918"/>
    </row>
    <row r="20" spans="1:41">
      <c r="A20" s="2918">
        <v>27</v>
      </c>
      <c r="B20" s="3096" t="s">
        <v>12623</v>
      </c>
      <c r="C20" s="3096" t="s">
        <v>12623</v>
      </c>
      <c r="D20" s="3096" t="s">
        <v>12623</v>
      </c>
      <c r="E20" s="3096" t="s">
        <v>12623</v>
      </c>
      <c r="F20" s="3096" t="s">
        <v>12623</v>
      </c>
      <c r="G20" s="3096" t="s">
        <v>12623</v>
      </c>
      <c r="H20" s="3096" t="s">
        <v>12623</v>
      </c>
      <c r="I20" s="3096" t="s">
        <v>12623</v>
      </c>
      <c r="J20" s="3096" t="s">
        <v>12623</v>
      </c>
      <c r="K20" s="3096" t="s">
        <v>12623</v>
      </c>
      <c r="L20" s="3096" t="s">
        <v>12623</v>
      </c>
      <c r="M20" s="3096" t="s">
        <v>12623</v>
      </c>
      <c r="N20" s="3096" t="s">
        <v>12623</v>
      </c>
      <c r="O20" s="3096" t="s">
        <v>12623</v>
      </c>
      <c r="P20" s="3096" t="s">
        <v>12623</v>
      </c>
      <c r="Q20" s="3096" t="s">
        <v>12623</v>
      </c>
      <c r="R20" s="3096" t="s">
        <v>12623</v>
      </c>
      <c r="S20" s="2918"/>
      <c r="T20" s="2918"/>
      <c r="U20" s="2918"/>
      <c r="V20" s="2918"/>
      <c r="W20" s="2918"/>
      <c r="X20" s="2918"/>
      <c r="Y20" s="2918"/>
      <c r="Z20" s="2918"/>
      <c r="AA20" s="2918"/>
      <c r="AB20" s="2918"/>
      <c r="AC20" s="2918"/>
      <c r="AD20" s="2918"/>
      <c r="AE20" s="2918"/>
      <c r="AF20" s="2918"/>
      <c r="AG20" s="2918"/>
      <c r="AH20" s="2918"/>
      <c r="AI20" s="2918"/>
      <c r="AJ20" s="2918"/>
      <c r="AK20" s="2918"/>
      <c r="AL20" s="2918"/>
      <c r="AM20" s="2918"/>
      <c r="AN20" s="2918"/>
      <c r="AO20" s="2918"/>
    </row>
    <row r="21" spans="1:41">
      <c r="A21" s="2918">
        <v>28</v>
      </c>
      <c r="B21" s="3096" t="s">
        <v>12623</v>
      </c>
      <c r="C21" s="3096" t="s">
        <v>12623</v>
      </c>
      <c r="D21" s="3096" t="s">
        <v>12623</v>
      </c>
      <c r="E21" s="3096" t="s">
        <v>12623</v>
      </c>
      <c r="F21" s="3096" t="s">
        <v>12623</v>
      </c>
      <c r="G21" s="3096" t="s">
        <v>12623</v>
      </c>
      <c r="H21" s="3096" t="s">
        <v>12623</v>
      </c>
      <c r="I21" s="3096" t="s">
        <v>12623</v>
      </c>
      <c r="J21" s="3096" t="s">
        <v>12623</v>
      </c>
      <c r="K21" s="3096" t="s">
        <v>12623</v>
      </c>
      <c r="L21" s="3096" t="s">
        <v>12623</v>
      </c>
      <c r="M21" s="3096" t="s">
        <v>12623</v>
      </c>
      <c r="N21" s="3096" t="s">
        <v>12623</v>
      </c>
      <c r="O21" s="3096" t="s">
        <v>12623</v>
      </c>
      <c r="P21" s="3096" t="s">
        <v>12623</v>
      </c>
      <c r="Q21" s="3096" t="s">
        <v>12623</v>
      </c>
      <c r="R21" s="3096" t="s">
        <v>12623</v>
      </c>
      <c r="S21" s="3096" t="s">
        <v>12623</v>
      </c>
      <c r="T21" s="2918"/>
      <c r="U21" s="2918"/>
      <c r="V21" s="2918"/>
      <c r="W21" s="2918"/>
      <c r="X21" s="2918"/>
      <c r="Y21" s="2918"/>
      <c r="Z21" s="2918"/>
      <c r="AA21" s="2918"/>
      <c r="AB21" s="2918"/>
      <c r="AC21" s="2918"/>
      <c r="AD21" s="2918"/>
      <c r="AE21" s="2918"/>
      <c r="AF21" s="2918"/>
      <c r="AG21" s="2918"/>
      <c r="AH21" s="2918"/>
      <c r="AI21" s="2918"/>
      <c r="AJ21" s="2918"/>
      <c r="AK21" s="2918"/>
      <c r="AL21" s="2918"/>
      <c r="AM21" s="2918"/>
      <c r="AN21" s="2918"/>
      <c r="AO21" s="2918"/>
    </row>
    <row r="22" spans="1:41">
      <c r="A22" s="2918">
        <v>30</v>
      </c>
      <c r="B22" s="3096" t="s">
        <v>12623</v>
      </c>
      <c r="C22" s="3096" t="s">
        <v>12623</v>
      </c>
      <c r="D22" s="3096" t="s">
        <v>12623</v>
      </c>
      <c r="E22" s="3096" t="s">
        <v>12623</v>
      </c>
      <c r="F22" s="3096" t="s">
        <v>12623</v>
      </c>
      <c r="G22" s="3096" t="s">
        <v>12623</v>
      </c>
      <c r="H22" s="3096" t="s">
        <v>12623</v>
      </c>
      <c r="I22" s="3096" t="s">
        <v>12623</v>
      </c>
      <c r="J22" s="3096" t="s">
        <v>12623</v>
      </c>
      <c r="K22" s="3096" t="s">
        <v>12623</v>
      </c>
      <c r="L22" s="3096" t="s">
        <v>12623</v>
      </c>
      <c r="M22" s="3096" t="s">
        <v>12623</v>
      </c>
      <c r="N22" s="3096" t="s">
        <v>12623</v>
      </c>
      <c r="O22" s="3096" t="s">
        <v>12623</v>
      </c>
      <c r="P22" s="3096" t="s">
        <v>12623</v>
      </c>
      <c r="Q22" s="3096" t="s">
        <v>12623</v>
      </c>
      <c r="R22" s="3096" t="s">
        <v>12623</v>
      </c>
      <c r="S22" s="3096" t="s">
        <v>12623</v>
      </c>
      <c r="T22" s="3096" t="s">
        <v>12623</v>
      </c>
      <c r="U22" s="2918"/>
      <c r="V22" s="2918"/>
      <c r="W22" s="2918"/>
      <c r="X22" s="2918"/>
      <c r="Y22" s="2918"/>
      <c r="Z22" s="2918"/>
      <c r="AA22" s="2918"/>
      <c r="AB22" s="2918"/>
      <c r="AC22" s="2918"/>
      <c r="AD22" s="2918"/>
      <c r="AE22" s="2918"/>
      <c r="AF22" s="2918"/>
      <c r="AG22" s="2918"/>
      <c r="AH22" s="2918"/>
      <c r="AI22" s="2918"/>
      <c r="AJ22" s="2918"/>
      <c r="AK22" s="2918"/>
      <c r="AL22" s="2918"/>
      <c r="AM22" s="2918"/>
      <c r="AN22" s="2918"/>
      <c r="AO22" s="2918"/>
    </row>
    <row r="23" spans="1:41">
      <c r="A23" s="2918">
        <v>32</v>
      </c>
      <c r="B23" s="3096" t="s">
        <v>12623</v>
      </c>
      <c r="C23" s="3096" t="s">
        <v>12623</v>
      </c>
      <c r="D23" s="3096" t="s">
        <v>12623</v>
      </c>
      <c r="E23" s="3096" t="s">
        <v>12623</v>
      </c>
      <c r="F23" s="3096" t="s">
        <v>12623</v>
      </c>
      <c r="G23" s="3096" t="s">
        <v>12623</v>
      </c>
      <c r="H23" s="3096" t="s">
        <v>12623</v>
      </c>
      <c r="I23" s="3096" t="s">
        <v>12623</v>
      </c>
      <c r="J23" s="3096" t="s">
        <v>12623</v>
      </c>
      <c r="K23" s="3096" t="s">
        <v>12623</v>
      </c>
      <c r="L23" s="3096" t="s">
        <v>12623</v>
      </c>
      <c r="M23" s="3096" t="s">
        <v>12623</v>
      </c>
      <c r="N23" s="3096" t="s">
        <v>12623</v>
      </c>
      <c r="O23" s="3096" t="s">
        <v>12623</v>
      </c>
      <c r="P23" s="3096" t="s">
        <v>12623</v>
      </c>
      <c r="Q23" s="3096" t="s">
        <v>12623</v>
      </c>
      <c r="R23" s="3096" t="s">
        <v>12623</v>
      </c>
      <c r="S23" s="3096" t="s">
        <v>12623</v>
      </c>
      <c r="T23" s="3096" t="s">
        <v>12623</v>
      </c>
      <c r="U23" s="2918"/>
      <c r="V23" s="2918"/>
      <c r="W23" s="2918"/>
      <c r="X23" s="2918"/>
      <c r="Y23" s="2918"/>
      <c r="Z23" s="2918"/>
      <c r="AA23" s="2918"/>
      <c r="AB23" s="2918"/>
      <c r="AC23" s="2918"/>
      <c r="AD23" s="2918"/>
      <c r="AE23" s="2918"/>
      <c r="AF23" s="2918"/>
      <c r="AG23" s="2918"/>
      <c r="AH23" s="2918"/>
      <c r="AI23" s="2918"/>
      <c r="AJ23" s="2918"/>
      <c r="AK23" s="2918"/>
      <c r="AL23" s="2918"/>
      <c r="AM23" s="2918"/>
      <c r="AN23" s="2918"/>
      <c r="AO23" s="2918"/>
    </row>
    <row r="24" spans="1:41">
      <c r="A24" s="2918">
        <v>34</v>
      </c>
      <c r="B24" s="3096" t="s">
        <v>12623</v>
      </c>
      <c r="C24" s="3096" t="s">
        <v>12623</v>
      </c>
      <c r="D24" s="3096" t="s">
        <v>12623</v>
      </c>
      <c r="E24" s="3096" t="s">
        <v>12623</v>
      </c>
      <c r="F24" s="3096" t="s">
        <v>12623</v>
      </c>
      <c r="G24" s="3096" t="s">
        <v>12623</v>
      </c>
      <c r="H24" s="3096" t="s">
        <v>12623</v>
      </c>
      <c r="I24" s="3096" t="s">
        <v>12623</v>
      </c>
      <c r="J24" s="3096" t="s">
        <v>12623</v>
      </c>
      <c r="K24" s="3096" t="s">
        <v>12623</v>
      </c>
      <c r="L24" s="3096" t="s">
        <v>12623</v>
      </c>
      <c r="M24" s="3096" t="s">
        <v>12623</v>
      </c>
      <c r="N24" s="3096" t="s">
        <v>12623</v>
      </c>
      <c r="O24" s="3096" t="s">
        <v>12623</v>
      </c>
      <c r="P24" s="3096" t="s">
        <v>12623</v>
      </c>
      <c r="Q24" s="3096" t="s">
        <v>12623</v>
      </c>
      <c r="R24" s="3096" t="s">
        <v>12623</v>
      </c>
      <c r="S24" s="3096" t="s">
        <v>12623</v>
      </c>
      <c r="T24" s="3096" t="s">
        <v>12623</v>
      </c>
      <c r="U24" s="2918"/>
      <c r="V24" s="2918"/>
      <c r="W24" s="2918"/>
      <c r="X24" s="2918"/>
      <c r="Y24" s="2918"/>
      <c r="Z24" s="2918"/>
      <c r="AA24" s="2918"/>
      <c r="AB24" s="2918"/>
      <c r="AC24" s="2918"/>
      <c r="AD24" s="2918"/>
      <c r="AE24" s="2918"/>
      <c r="AF24" s="2918"/>
      <c r="AG24" s="2918"/>
      <c r="AH24" s="2918"/>
      <c r="AI24" s="2918"/>
      <c r="AJ24" s="2918"/>
      <c r="AK24" s="2918"/>
      <c r="AL24" s="2918"/>
      <c r="AM24" s="2918"/>
      <c r="AN24" s="2918"/>
      <c r="AO24" s="2918"/>
    </row>
    <row r="25" spans="1:41">
      <c r="A25" s="2918">
        <v>35</v>
      </c>
      <c r="B25" s="3096" t="s">
        <v>12623</v>
      </c>
      <c r="C25" s="3096" t="s">
        <v>12623</v>
      </c>
      <c r="D25" s="3096" t="s">
        <v>12623</v>
      </c>
      <c r="E25" s="3096" t="s">
        <v>12623</v>
      </c>
      <c r="F25" s="3096" t="s">
        <v>12623</v>
      </c>
      <c r="G25" s="3096" t="s">
        <v>12623</v>
      </c>
      <c r="H25" s="3096" t="s">
        <v>12623</v>
      </c>
      <c r="I25" s="3096" t="s">
        <v>12623</v>
      </c>
      <c r="J25" s="3096" t="s">
        <v>12623</v>
      </c>
      <c r="K25" s="3096" t="s">
        <v>12623</v>
      </c>
      <c r="L25" s="3096" t="s">
        <v>12623</v>
      </c>
      <c r="M25" s="3096" t="s">
        <v>12623</v>
      </c>
      <c r="N25" s="3096" t="s">
        <v>12623</v>
      </c>
      <c r="O25" s="3096" t="s">
        <v>12623</v>
      </c>
      <c r="P25" s="3096" t="s">
        <v>12623</v>
      </c>
      <c r="Q25" s="3096" t="s">
        <v>12623</v>
      </c>
      <c r="R25" s="3096" t="s">
        <v>12623</v>
      </c>
      <c r="S25" s="3096" t="s">
        <v>12623</v>
      </c>
      <c r="T25" s="3096" t="s">
        <v>12623</v>
      </c>
      <c r="U25" s="2918"/>
      <c r="V25" s="2918"/>
      <c r="W25" s="2918"/>
      <c r="X25" s="2918"/>
      <c r="Y25" s="2918"/>
      <c r="Z25" s="2918"/>
      <c r="AA25" s="2918"/>
      <c r="AB25" s="2918"/>
      <c r="AC25" s="2918"/>
      <c r="AD25" s="2918"/>
      <c r="AE25" s="2918"/>
      <c r="AF25" s="2918"/>
      <c r="AG25" s="2918"/>
      <c r="AH25" s="2918"/>
      <c r="AI25" s="2918"/>
      <c r="AJ25" s="2918"/>
      <c r="AK25" s="2918"/>
      <c r="AL25" s="2918"/>
      <c r="AM25" s="2918"/>
      <c r="AN25" s="2918"/>
      <c r="AO25" s="2918"/>
    </row>
    <row r="26" spans="1:41">
      <c r="A26" s="2918">
        <v>36</v>
      </c>
      <c r="B26" s="3096" t="s">
        <v>12623</v>
      </c>
      <c r="C26" s="3096" t="s">
        <v>12623</v>
      </c>
      <c r="D26" s="3096" t="s">
        <v>12623</v>
      </c>
      <c r="E26" s="3096" t="s">
        <v>12623</v>
      </c>
      <c r="F26" s="3096" t="s">
        <v>12623</v>
      </c>
      <c r="G26" s="3096" t="s">
        <v>12623</v>
      </c>
      <c r="H26" s="3096" t="s">
        <v>12623</v>
      </c>
      <c r="I26" s="3096" t="s">
        <v>12623</v>
      </c>
      <c r="J26" s="3096" t="s">
        <v>12623</v>
      </c>
      <c r="K26" s="3096" t="s">
        <v>12623</v>
      </c>
      <c r="L26" s="3096" t="s">
        <v>12623</v>
      </c>
      <c r="M26" s="3096" t="s">
        <v>12623</v>
      </c>
      <c r="N26" s="3096" t="s">
        <v>12623</v>
      </c>
      <c r="O26" s="3096" t="s">
        <v>12623</v>
      </c>
      <c r="P26" s="3096" t="s">
        <v>12623</v>
      </c>
      <c r="Q26" s="3096" t="s">
        <v>12623</v>
      </c>
      <c r="R26" s="3096" t="s">
        <v>12623</v>
      </c>
      <c r="S26" s="3096" t="s">
        <v>12623</v>
      </c>
      <c r="T26" s="3096" t="s">
        <v>12623</v>
      </c>
      <c r="U26" s="2918"/>
      <c r="V26" s="2918"/>
      <c r="W26" s="2918"/>
      <c r="X26" s="2918"/>
      <c r="Y26" s="2918"/>
      <c r="Z26" s="2918"/>
      <c r="AA26" s="2918"/>
      <c r="AB26" s="2918"/>
      <c r="AC26" s="2918"/>
      <c r="AD26" s="2918"/>
      <c r="AE26" s="2918"/>
      <c r="AF26" s="2918"/>
      <c r="AG26" s="2918"/>
      <c r="AH26" s="2918"/>
      <c r="AI26" s="2918"/>
      <c r="AJ26" s="2918"/>
      <c r="AK26" s="2918"/>
      <c r="AL26" s="2918"/>
      <c r="AM26" s="2918"/>
      <c r="AN26" s="2918"/>
      <c r="AO26" s="2918"/>
    </row>
    <row r="27" spans="1:41">
      <c r="A27" s="2918">
        <v>38</v>
      </c>
      <c r="B27" s="3096" t="s">
        <v>12623</v>
      </c>
      <c r="C27" s="3096" t="s">
        <v>12623</v>
      </c>
      <c r="D27" s="3096" t="s">
        <v>12623</v>
      </c>
      <c r="E27" s="3096" t="s">
        <v>12623</v>
      </c>
      <c r="F27" s="3096" t="s">
        <v>12623</v>
      </c>
      <c r="G27" s="3096" t="s">
        <v>12623</v>
      </c>
      <c r="H27" s="3096" t="s">
        <v>12623</v>
      </c>
      <c r="I27" s="3096" t="s">
        <v>12623</v>
      </c>
      <c r="J27" s="3096" t="s">
        <v>12623</v>
      </c>
      <c r="K27" s="3096" t="s">
        <v>12623</v>
      </c>
      <c r="L27" s="3096" t="s">
        <v>12623</v>
      </c>
      <c r="M27" s="3096" t="s">
        <v>12623</v>
      </c>
      <c r="N27" s="3096" t="s">
        <v>12623</v>
      </c>
      <c r="O27" s="3096" t="s">
        <v>12623</v>
      </c>
      <c r="P27" s="3096" t="s">
        <v>12623</v>
      </c>
      <c r="Q27" s="3096" t="s">
        <v>12623</v>
      </c>
      <c r="R27" s="3096" t="s">
        <v>12623</v>
      </c>
      <c r="S27" s="3096" t="s">
        <v>12623</v>
      </c>
      <c r="T27" s="3096" t="s">
        <v>12623</v>
      </c>
      <c r="U27" s="2918"/>
      <c r="V27" s="2918"/>
      <c r="W27" s="2918"/>
      <c r="X27" s="2918"/>
      <c r="Y27" s="2918"/>
      <c r="Z27" s="2918"/>
      <c r="AA27" s="2918"/>
      <c r="AB27" s="2918"/>
      <c r="AC27" s="2918"/>
      <c r="AD27" s="2918"/>
      <c r="AE27" s="2918"/>
      <c r="AF27" s="2918"/>
      <c r="AG27" s="2918"/>
      <c r="AH27" s="2918"/>
      <c r="AI27" s="2918"/>
      <c r="AJ27" s="2918"/>
      <c r="AK27" s="2918"/>
      <c r="AL27" s="2918"/>
      <c r="AM27" s="2918"/>
      <c r="AN27" s="2918"/>
      <c r="AO27" s="2918"/>
    </row>
    <row r="28" spans="1:41">
      <c r="A28" s="2918">
        <v>40</v>
      </c>
      <c r="B28" s="3096" t="s">
        <v>12623</v>
      </c>
      <c r="C28" s="3096" t="s">
        <v>12623</v>
      </c>
      <c r="D28" s="3096" t="s">
        <v>12623</v>
      </c>
      <c r="E28" s="3096" t="s">
        <v>12623</v>
      </c>
      <c r="F28" s="3096" t="s">
        <v>12623</v>
      </c>
      <c r="G28" s="3096" t="s">
        <v>12623</v>
      </c>
      <c r="H28" s="3096" t="s">
        <v>12623</v>
      </c>
      <c r="I28" s="3096" t="s">
        <v>12623</v>
      </c>
      <c r="J28" s="3096" t="s">
        <v>12623</v>
      </c>
      <c r="K28" s="3096" t="s">
        <v>12623</v>
      </c>
      <c r="L28" s="3096" t="s">
        <v>12623</v>
      </c>
      <c r="M28" s="3096" t="s">
        <v>12623</v>
      </c>
      <c r="N28" s="3096" t="s">
        <v>12623</v>
      </c>
      <c r="O28" s="3096" t="s">
        <v>12623</v>
      </c>
      <c r="P28" s="3096" t="s">
        <v>12623</v>
      </c>
      <c r="Q28" s="3096" t="s">
        <v>12623</v>
      </c>
      <c r="R28" s="3096" t="s">
        <v>12623</v>
      </c>
      <c r="S28" s="3096" t="s">
        <v>12623</v>
      </c>
      <c r="T28" s="3096" t="s">
        <v>12623</v>
      </c>
      <c r="U28" s="2918"/>
      <c r="V28" s="2918"/>
      <c r="W28" s="2918"/>
      <c r="X28" s="2918"/>
      <c r="Y28" s="2918"/>
      <c r="Z28" s="2918"/>
      <c r="AA28" s="2918"/>
      <c r="AB28" s="2918"/>
      <c r="AC28" s="2918"/>
      <c r="AD28" s="2918"/>
      <c r="AE28" s="2918"/>
      <c r="AF28" s="2918"/>
      <c r="AG28" s="2918"/>
      <c r="AH28" s="2918"/>
      <c r="AI28" s="2918"/>
      <c r="AJ28" s="2918"/>
      <c r="AK28" s="2918"/>
      <c r="AL28" s="2918"/>
      <c r="AM28" s="2918"/>
      <c r="AN28" s="2918"/>
      <c r="AO28" s="2918"/>
    </row>
    <row r="29" spans="1:41">
      <c r="A29" s="2918">
        <v>42</v>
      </c>
      <c r="B29" s="3096" t="s">
        <v>12623</v>
      </c>
      <c r="C29" s="3096" t="s">
        <v>12623</v>
      </c>
      <c r="D29" s="3096" t="s">
        <v>12623</v>
      </c>
      <c r="E29" s="3096" t="s">
        <v>12623</v>
      </c>
      <c r="F29" s="3096" t="s">
        <v>12623</v>
      </c>
      <c r="G29" s="3096" t="s">
        <v>12623</v>
      </c>
      <c r="H29" s="3096" t="s">
        <v>12623</v>
      </c>
      <c r="I29" s="3096" t="s">
        <v>12623</v>
      </c>
      <c r="J29" s="3096" t="s">
        <v>12623</v>
      </c>
      <c r="K29" s="3096" t="s">
        <v>12623</v>
      </c>
      <c r="L29" s="3096" t="s">
        <v>12623</v>
      </c>
      <c r="M29" s="3096" t="s">
        <v>12623</v>
      </c>
      <c r="N29" s="3096" t="s">
        <v>12623</v>
      </c>
      <c r="O29" s="3096" t="s">
        <v>12623</v>
      </c>
      <c r="P29" s="3096" t="s">
        <v>12623</v>
      </c>
      <c r="Q29" s="3096" t="s">
        <v>12623</v>
      </c>
      <c r="R29" s="3096" t="s">
        <v>12623</v>
      </c>
      <c r="S29" s="3096" t="s">
        <v>12623</v>
      </c>
      <c r="T29" s="3096" t="s">
        <v>12623</v>
      </c>
      <c r="U29" s="3096" t="s">
        <v>12623</v>
      </c>
      <c r="V29" s="2918"/>
      <c r="W29" s="2918"/>
      <c r="X29" s="2918"/>
      <c r="Y29" s="2918"/>
      <c r="Z29" s="2918"/>
      <c r="AA29" s="2918"/>
      <c r="AB29" s="2918"/>
      <c r="AC29" s="2918"/>
      <c r="AD29" s="2918"/>
      <c r="AE29" s="2918"/>
      <c r="AF29" s="2918"/>
      <c r="AG29" s="2918"/>
      <c r="AH29" s="2918"/>
      <c r="AI29" s="2918"/>
      <c r="AJ29" s="2918"/>
      <c r="AK29" s="2918"/>
      <c r="AL29" s="2918"/>
      <c r="AM29" s="2918"/>
      <c r="AN29" s="2918"/>
      <c r="AO29" s="2918"/>
    </row>
    <row r="30" spans="1:41">
      <c r="A30" s="2918">
        <v>45</v>
      </c>
      <c r="B30" s="3096" t="s">
        <v>12623</v>
      </c>
      <c r="C30" s="3096" t="s">
        <v>12623</v>
      </c>
      <c r="D30" s="3096" t="s">
        <v>12623</v>
      </c>
      <c r="E30" s="3096" t="s">
        <v>12623</v>
      </c>
      <c r="F30" s="3096" t="s">
        <v>12623</v>
      </c>
      <c r="G30" s="3096" t="s">
        <v>12623</v>
      </c>
      <c r="H30" s="3096" t="s">
        <v>12623</v>
      </c>
      <c r="I30" s="3096" t="s">
        <v>12623</v>
      </c>
      <c r="J30" s="3096" t="s">
        <v>12623</v>
      </c>
      <c r="K30" s="3096" t="s">
        <v>12623</v>
      </c>
      <c r="L30" s="3096" t="s">
        <v>12623</v>
      </c>
      <c r="M30" s="3096" t="s">
        <v>12623</v>
      </c>
      <c r="N30" s="3096" t="s">
        <v>12623</v>
      </c>
      <c r="O30" s="3096" t="s">
        <v>12623</v>
      </c>
      <c r="P30" s="3096" t="s">
        <v>12623</v>
      </c>
      <c r="Q30" s="3096" t="s">
        <v>12623</v>
      </c>
      <c r="R30" s="3096" t="s">
        <v>12623</v>
      </c>
      <c r="S30" s="3096" t="s">
        <v>12623</v>
      </c>
      <c r="T30" s="3096" t="s">
        <v>12623</v>
      </c>
      <c r="U30" s="3096" t="s">
        <v>12623</v>
      </c>
      <c r="V30" s="3096" t="s">
        <v>12623</v>
      </c>
      <c r="W30" s="3096" t="s">
        <v>12623</v>
      </c>
      <c r="X30" s="2918"/>
      <c r="Y30" s="2918"/>
      <c r="Z30" s="2918"/>
      <c r="AA30" s="2918"/>
      <c r="AB30" s="2918"/>
      <c r="AC30" s="2918"/>
      <c r="AD30" s="2918"/>
      <c r="AE30" s="2918"/>
      <c r="AF30" s="2918"/>
      <c r="AG30" s="2918"/>
      <c r="AH30" s="2918"/>
      <c r="AI30" s="2918"/>
      <c r="AJ30" s="2918"/>
      <c r="AK30" s="2918"/>
      <c r="AL30" s="2918"/>
      <c r="AM30" s="2918"/>
      <c r="AN30" s="2918"/>
      <c r="AO30" s="2918"/>
    </row>
    <row r="31" spans="1:41">
      <c r="A31" s="2918">
        <v>48</v>
      </c>
      <c r="B31" s="3096" t="s">
        <v>12623</v>
      </c>
      <c r="C31" s="3096" t="s">
        <v>12623</v>
      </c>
      <c r="D31" s="3096" t="s">
        <v>12623</v>
      </c>
      <c r="E31" s="3096" t="s">
        <v>12623</v>
      </c>
      <c r="F31" s="3096" t="s">
        <v>12623</v>
      </c>
      <c r="G31" s="3096" t="s">
        <v>12623</v>
      </c>
      <c r="H31" s="3096" t="s">
        <v>12623</v>
      </c>
      <c r="I31" s="3096" t="s">
        <v>12623</v>
      </c>
      <c r="J31" s="3096" t="s">
        <v>12623</v>
      </c>
      <c r="K31" s="3096" t="s">
        <v>12623</v>
      </c>
      <c r="L31" s="3096" t="s">
        <v>12623</v>
      </c>
      <c r="M31" s="3096" t="s">
        <v>12623</v>
      </c>
      <c r="N31" s="3096" t="s">
        <v>12623</v>
      </c>
      <c r="O31" s="3096" t="s">
        <v>12623</v>
      </c>
      <c r="P31" s="3096" t="s">
        <v>12623</v>
      </c>
      <c r="Q31" s="3096" t="s">
        <v>12623</v>
      </c>
      <c r="R31" s="3096" t="s">
        <v>12623</v>
      </c>
      <c r="S31" s="3096" t="s">
        <v>12623</v>
      </c>
      <c r="T31" s="3096" t="s">
        <v>12623</v>
      </c>
      <c r="U31" s="3096" t="s">
        <v>12623</v>
      </c>
      <c r="V31" s="3096" t="s">
        <v>12623</v>
      </c>
      <c r="W31" s="3096" t="s">
        <v>12623</v>
      </c>
      <c r="X31" s="2918"/>
      <c r="Y31" s="2918"/>
      <c r="Z31" s="2918"/>
      <c r="AA31" s="2918"/>
      <c r="AB31" s="2918"/>
      <c r="AC31" s="2918"/>
      <c r="AD31" s="2918"/>
      <c r="AE31" s="2918"/>
      <c r="AF31" s="2918"/>
      <c r="AG31" s="2918"/>
      <c r="AH31" s="2918"/>
      <c r="AI31" s="2918"/>
      <c r="AJ31" s="2918"/>
      <c r="AK31" s="2918"/>
      <c r="AL31" s="2918"/>
      <c r="AM31" s="2918"/>
      <c r="AN31" s="2918"/>
      <c r="AO31" s="2918"/>
    </row>
    <row r="32" spans="1:41">
      <c r="A32" s="2918">
        <v>50</v>
      </c>
      <c r="B32" s="3096" t="s">
        <v>12623</v>
      </c>
      <c r="C32" s="3096" t="s">
        <v>12623</v>
      </c>
      <c r="D32" s="3096" t="s">
        <v>12623</v>
      </c>
      <c r="E32" s="3096" t="s">
        <v>12623</v>
      </c>
      <c r="F32" s="3096" t="s">
        <v>12623</v>
      </c>
      <c r="G32" s="3096" t="s">
        <v>12623</v>
      </c>
      <c r="H32" s="3096" t="s">
        <v>12623</v>
      </c>
      <c r="I32" s="3096" t="s">
        <v>12623</v>
      </c>
      <c r="J32" s="3096" t="s">
        <v>12623</v>
      </c>
      <c r="K32" s="3096" t="s">
        <v>12623</v>
      </c>
      <c r="L32" s="3096" t="s">
        <v>12623</v>
      </c>
      <c r="M32" s="3096" t="s">
        <v>12623</v>
      </c>
      <c r="N32" s="3096" t="s">
        <v>12623</v>
      </c>
      <c r="O32" s="3096" t="s">
        <v>12623</v>
      </c>
      <c r="P32" s="3096" t="s">
        <v>12623</v>
      </c>
      <c r="Q32" s="3096" t="s">
        <v>12623</v>
      </c>
      <c r="R32" s="3096" t="s">
        <v>12623</v>
      </c>
      <c r="S32" s="3096" t="s">
        <v>12623</v>
      </c>
      <c r="T32" s="3096" t="s">
        <v>12623</v>
      </c>
      <c r="U32" s="3096" t="s">
        <v>12623</v>
      </c>
      <c r="V32" s="3096" t="s">
        <v>12623</v>
      </c>
      <c r="W32" s="3096" t="s">
        <v>12623</v>
      </c>
      <c r="X32" s="3096" t="s">
        <v>12623</v>
      </c>
      <c r="Y32" s="2918"/>
      <c r="Z32" s="2918"/>
      <c r="AA32" s="2918"/>
      <c r="AB32" s="2918"/>
      <c r="AC32" s="2918"/>
      <c r="AD32" s="2918"/>
      <c r="AE32" s="2918"/>
      <c r="AF32" s="2918"/>
      <c r="AG32" s="2918"/>
      <c r="AH32" s="2918"/>
      <c r="AI32" s="2918"/>
      <c r="AJ32" s="2918"/>
      <c r="AK32" s="2918"/>
      <c r="AL32" s="2918"/>
      <c r="AM32" s="2918"/>
      <c r="AN32" s="2918"/>
      <c r="AO32" s="2918"/>
    </row>
    <row r="33" spans="1:41">
      <c r="A33" s="2918">
        <v>51</v>
      </c>
      <c r="B33" s="3096" t="s">
        <v>12623</v>
      </c>
      <c r="C33" s="3096" t="s">
        <v>12623</v>
      </c>
      <c r="D33" s="3096" t="s">
        <v>12623</v>
      </c>
      <c r="E33" s="3096" t="s">
        <v>12623</v>
      </c>
      <c r="F33" s="3096" t="s">
        <v>12623</v>
      </c>
      <c r="G33" s="3096" t="s">
        <v>12623</v>
      </c>
      <c r="H33" s="3096" t="s">
        <v>12623</v>
      </c>
      <c r="I33" s="3096" t="s">
        <v>12623</v>
      </c>
      <c r="J33" s="3096" t="s">
        <v>12623</v>
      </c>
      <c r="K33" s="3096" t="s">
        <v>12623</v>
      </c>
      <c r="L33" s="3096" t="s">
        <v>12623</v>
      </c>
      <c r="M33" s="3096" t="s">
        <v>12623</v>
      </c>
      <c r="N33" s="3096" t="s">
        <v>12623</v>
      </c>
      <c r="O33" s="3096" t="s">
        <v>12623</v>
      </c>
      <c r="P33" s="3096" t="s">
        <v>12623</v>
      </c>
      <c r="Q33" s="3096" t="s">
        <v>12623</v>
      </c>
      <c r="R33" s="3096" t="s">
        <v>12623</v>
      </c>
      <c r="S33" s="3096" t="s">
        <v>12623</v>
      </c>
      <c r="T33" s="3096" t="s">
        <v>12623</v>
      </c>
      <c r="U33" s="3096" t="s">
        <v>12623</v>
      </c>
      <c r="V33" s="3096" t="s">
        <v>12623</v>
      </c>
      <c r="W33" s="3096" t="s">
        <v>12623</v>
      </c>
      <c r="X33" s="3096" t="s">
        <v>12623</v>
      </c>
      <c r="Y33" s="2918"/>
      <c r="Z33" s="2918"/>
      <c r="AA33" s="2918"/>
      <c r="AB33" s="2918"/>
      <c r="AC33" s="2918"/>
      <c r="AD33" s="2918"/>
      <c r="AE33" s="2918"/>
      <c r="AF33" s="2918"/>
      <c r="AG33" s="2918"/>
      <c r="AH33" s="2918"/>
      <c r="AI33" s="2918"/>
      <c r="AJ33" s="2918"/>
      <c r="AK33" s="2918"/>
      <c r="AL33" s="2918"/>
      <c r="AM33" s="2918"/>
      <c r="AN33" s="2918"/>
      <c r="AO33" s="2918"/>
    </row>
    <row r="34" spans="1:41">
      <c r="A34" s="2918">
        <v>53</v>
      </c>
      <c r="B34" s="3096" t="s">
        <v>12623</v>
      </c>
      <c r="C34" s="3096" t="s">
        <v>12623</v>
      </c>
      <c r="D34" s="3096" t="s">
        <v>12623</v>
      </c>
      <c r="E34" s="3096" t="s">
        <v>12623</v>
      </c>
      <c r="F34" s="3096" t="s">
        <v>12623</v>
      </c>
      <c r="G34" s="3096" t="s">
        <v>12623</v>
      </c>
      <c r="H34" s="3096" t="s">
        <v>12623</v>
      </c>
      <c r="I34" s="3096" t="s">
        <v>12623</v>
      </c>
      <c r="J34" s="3096" t="s">
        <v>12623</v>
      </c>
      <c r="K34" s="3096" t="s">
        <v>12623</v>
      </c>
      <c r="L34" s="3096" t="s">
        <v>12623</v>
      </c>
      <c r="M34" s="3096" t="s">
        <v>12623</v>
      </c>
      <c r="N34" s="3096" t="s">
        <v>12623</v>
      </c>
      <c r="O34" s="3096" t="s">
        <v>12623</v>
      </c>
      <c r="P34" s="3096" t="s">
        <v>12623</v>
      </c>
      <c r="Q34" s="3096" t="s">
        <v>12623</v>
      </c>
      <c r="R34" s="3096" t="s">
        <v>12623</v>
      </c>
      <c r="S34" s="3096" t="s">
        <v>12623</v>
      </c>
      <c r="T34" s="3096" t="s">
        <v>12623</v>
      </c>
      <c r="U34" s="3096" t="s">
        <v>12623</v>
      </c>
      <c r="V34" s="3096" t="s">
        <v>12623</v>
      </c>
      <c r="W34" s="3096" t="s">
        <v>12623</v>
      </c>
      <c r="X34" s="3096" t="s">
        <v>12623</v>
      </c>
      <c r="Y34" s="3096" t="s">
        <v>12623</v>
      </c>
      <c r="Z34" s="2918"/>
      <c r="AA34" s="2918"/>
      <c r="AB34" s="2918"/>
      <c r="AC34" s="2918"/>
      <c r="AD34" s="2918"/>
      <c r="AE34" s="2918"/>
      <c r="AF34" s="2918"/>
      <c r="AG34" s="2918"/>
      <c r="AH34" s="2918"/>
      <c r="AI34" s="2918"/>
      <c r="AJ34" s="2918"/>
      <c r="AK34" s="2918"/>
      <c r="AL34" s="2918"/>
      <c r="AM34" s="2918"/>
      <c r="AN34" s="2918"/>
      <c r="AO34" s="2918"/>
    </row>
    <row r="35" spans="1:41">
      <c r="A35" s="2918">
        <v>54</v>
      </c>
      <c r="B35" s="3096" t="s">
        <v>12623</v>
      </c>
      <c r="C35" s="3096" t="s">
        <v>12623</v>
      </c>
      <c r="D35" s="3096" t="s">
        <v>12623</v>
      </c>
      <c r="E35" s="3096" t="s">
        <v>12623</v>
      </c>
      <c r="F35" s="3096" t="s">
        <v>12623</v>
      </c>
      <c r="G35" s="3096" t="s">
        <v>12623</v>
      </c>
      <c r="H35" s="3096" t="s">
        <v>12623</v>
      </c>
      <c r="I35" s="3096" t="s">
        <v>12623</v>
      </c>
      <c r="J35" s="3096" t="s">
        <v>12623</v>
      </c>
      <c r="K35" s="3096" t="s">
        <v>12623</v>
      </c>
      <c r="L35" s="3096" t="s">
        <v>12623</v>
      </c>
      <c r="M35" s="3096" t="s">
        <v>12623</v>
      </c>
      <c r="N35" s="3096" t="s">
        <v>12623</v>
      </c>
      <c r="O35" s="3096" t="s">
        <v>12623</v>
      </c>
      <c r="P35" s="3096" t="s">
        <v>12623</v>
      </c>
      <c r="Q35" s="3096" t="s">
        <v>12623</v>
      </c>
      <c r="R35" s="3096" t="s">
        <v>12623</v>
      </c>
      <c r="S35" s="3096" t="s">
        <v>12623</v>
      </c>
      <c r="T35" s="3096" t="s">
        <v>12623</v>
      </c>
      <c r="U35" s="3096" t="s">
        <v>12623</v>
      </c>
      <c r="V35" s="3096" t="s">
        <v>12623</v>
      </c>
      <c r="W35" s="3096" t="s">
        <v>12623</v>
      </c>
      <c r="X35" s="3096" t="s">
        <v>12623</v>
      </c>
      <c r="Y35" s="3096" t="s">
        <v>12623</v>
      </c>
      <c r="Z35" s="3096" t="s">
        <v>12623</v>
      </c>
      <c r="AA35" s="2918"/>
      <c r="AB35" s="2918"/>
      <c r="AC35" s="2918"/>
      <c r="AD35" s="2918"/>
      <c r="AE35" s="2918"/>
      <c r="AF35" s="2918"/>
      <c r="AG35" s="2918"/>
      <c r="AH35" s="2918"/>
      <c r="AI35" s="2918"/>
      <c r="AJ35" s="2918"/>
      <c r="AK35" s="2918"/>
      <c r="AL35" s="2918"/>
      <c r="AM35" s="2918"/>
      <c r="AN35" s="2918"/>
      <c r="AO35" s="2918"/>
    </row>
    <row r="36" spans="1:41">
      <c r="A36" s="2918">
        <v>56</v>
      </c>
      <c r="B36" s="3096" t="s">
        <v>12623</v>
      </c>
      <c r="C36" s="3096" t="s">
        <v>12623</v>
      </c>
      <c r="D36" s="3096" t="s">
        <v>12623</v>
      </c>
      <c r="E36" s="3096" t="s">
        <v>12623</v>
      </c>
      <c r="F36" s="3096" t="s">
        <v>12623</v>
      </c>
      <c r="G36" s="3096" t="s">
        <v>12623</v>
      </c>
      <c r="H36" s="3096" t="s">
        <v>12623</v>
      </c>
      <c r="I36" s="3096" t="s">
        <v>12623</v>
      </c>
      <c r="J36" s="3096" t="s">
        <v>12623</v>
      </c>
      <c r="K36" s="3096" t="s">
        <v>12623</v>
      </c>
      <c r="L36" s="3096" t="s">
        <v>12623</v>
      </c>
      <c r="M36" s="3096" t="s">
        <v>12623</v>
      </c>
      <c r="N36" s="3096" t="s">
        <v>12623</v>
      </c>
      <c r="O36" s="3096" t="s">
        <v>12623</v>
      </c>
      <c r="P36" s="3096" t="s">
        <v>12623</v>
      </c>
      <c r="Q36" s="3096" t="s">
        <v>12623</v>
      </c>
      <c r="R36" s="3096" t="s">
        <v>12623</v>
      </c>
      <c r="S36" s="3096" t="s">
        <v>12623</v>
      </c>
      <c r="T36" s="3096" t="s">
        <v>12623</v>
      </c>
      <c r="U36" s="3096" t="s">
        <v>12623</v>
      </c>
      <c r="V36" s="3096" t="s">
        <v>12623</v>
      </c>
      <c r="W36" s="3096" t="s">
        <v>12623</v>
      </c>
      <c r="X36" s="3096" t="s">
        <v>12623</v>
      </c>
      <c r="Y36" s="3096" t="s">
        <v>12623</v>
      </c>
      <c r="Z36" s="3096" t="s">
        <v>12623</v>
      </c>
      <c r="AA36" s="2918"/>
      <c r="AB36" s="2918"/>
      <c r="AC36" s="2918"/>
      <c r="AD36" s="2918"/>
      <c r="AE36" s="2918"/>
      <c r="AF36" s="2918"/>
      <c r="AG36" s="2918"/>
      <c r="AH36" s="2918"/>
      <c r="AI36" s="2918"/>
      <c r="AJ36" s="2918"/>
      <c r="AK36" s="2918"/>
      <c r="AL36" s="2918"/>
      <c r="AM36" s="2918"/>
      <c r="AN36" s="2918"/>
      <c r="AO36" s="2918"/>
    </row>
    <row r="37" spans="1:41">
      <c r="A37" s="2918">
        <v>57</v>
      </c>
      <c r="B37" s="3096" t="s">
        <v>12623</v>
      </c>
      <c r="C37" s="3096" t="s">
        <v>12623</v>
      </c>
      <c r="D37" s="3096" t="s">
        <v>12623</v>
      </c>
      <c r="E37" s="3096" t="s">
        <v>12623</v>
      </c>
      <c r="F37" s="3096" t="s">
        <v>12623</v>
      </c>
      <c r="G37" s="3096" t="s">
        <v>12623</v>
      </c>
      <c r="H37" s="3096" t="s">
        <v>12623</v>
      </c>
      <c r="I37" s="3096" t="s">
        <v>12623</v>
      </c>
      <c r="J37" s="3096" t="s">
        <v>12623</v>
      </c>
      <c r="K37" s="3096" t="s">
        <v>12623</v>
      </c>
      <c r="L37" s="3096" t="s">
        <v>12623</v>
      </c>
      <c r="M37" s="3096" t="s">
        <v>12623</v>
      </c>
      <c r="N37" s="3096" t="s">
        <v>12623</v>
      </c>
      <c r="O37" s="3096" t="s">
        <v>12623</v>
      </c>
      <c r="P37" s="3096" t="s">
        <v>12623</v>
      </c>
      <c r="Q37" s="3096" t="s">
        <v>12623</v>
      </c>
      <c r="R37" s="3096" t="s">
        <v>12623</v>
      </c>
      <c r="S37" s="3096" t="s">
        <v>12623</v>
      </c>
      <c r="T37" s="3096" t="s">
        <v>12623</v>
      </c>
      <c r="U37" s="3096" t="s">
        <v>12623</v>
      </c>
      <c r="V37" s="3096" t="s">
        <v>12623</v>
      </c>
      <c r="W37" s="3096" t="s">
        <v>12623</v>
      </c>
      <c r="X37" s="3096" t="s">
        <v>12623</v>
      </c>
      <c r="Y37" s="3096" t="s">
        <v>12623</v>
      </c>
      <c r="Z37" s="3096" t="s">
        <v>12623</v>
      </c>
      <c r="AA37" s="2918"/>
      <c r="AB37" s="2918"/>
      <c r="AC37" s="2918"/>
      <c r="AD37" s="2918"/>
      <c r="AE37" s="2918"/>
      <c r="AF37" s="2918"/>
      <c r="AG37" s="2918"/>
      <c r="AH37" s="2918"/>
      <c r="AI37" s="2918"/>
      <c r="AJ37" s="2918"/>
      <c r="AK37" s="2918"/>
      <c r="AL37" s="2918"/>
      <c r="AM37" s="2918"/>
      <c r="AN37" s="2918"/>
      <c r="AO37" s="2918"/>
    </row>
    <row r="38" spans="1:41">
      <c r="A38" s="2918">
        <v>60</v>
      </c>
      <c r="B38" s="3096" t="s">
        <v>12623</v>
      </c>
      <c r="C38" s="3096" t="s">
        <v>12623</v>
      </c>
      <c r="D38" s="3096" t="s">
        <v>12623</v>
      </c>
      <c r="E38" s="3096" t="s">
        <v>12623</v>
      </c>
      <c r="F38" s="3096" t="s">
        <v>12623</v>
      </c>
      <c r="G38" s="3096" t="s">
        <v>12623</v>
      </c>
      <c r="H38" s="3096" t="s">
        <v>12623</v>
      </c>
      <c r="I38" s="3096" t="s">
        <v>12623</v>
      </c>
      <c r="J38" s="3096" t="s">
        <v>12623</v>
      </c>
      <c r="K38" s="3096" t="s">
        <v>12623</v>
      </c>
      <c r="L38" s="3096" t="s">
        <v>12623</v>
      </c>
      <c r="M38" s="3096" t="s">
        <v>12623</v>
      </c>
      <c r="N38" s="3096" t="s">
        <v>12623</v>
      </c>
      <c r="O38" s="3096" t="s">
        <v>12623</v>
      </c>
      <c r="P38" s="3096" t="s">
        <v>12623</v>
      </c>
      <c r="Q38" s="3096" t="s">
        <v>12623</v>
      </c>
      <c r="R38" s="3096" t="s">
        <v>12623</v>
      </c>
      <c r="S38" s="3096" t="s">
        <v>12623</v>
      </c>
      <c r="T38" s="3096" t="s">
        <v>12623</v>
      </c>
      <c r="U38" s="3096" t="s">
        <v>12623</v>
      </c>
      <c r="V38" s="3096" t="s">
        <v>12623</v>
      </c>
      <c r="W38" s="3096" t="s">
        <v>12623</v>
      </c>
      <c r="X38" s="3096" t="s">
        <v>12623</v>
      </c>
      <c r="Y38" s="3096" t="s">
        <v>12623</v>
      </c>
      <c r="Z38" s="3096" t="s">
        <v>12623</v>
      </c>
      <c r="AA38" s="2918"/>
      <c r="AB38" s="2918"/>
      <c r="AC38" s="2918"/>
      <c r="AD38" s="2918"/>
      <c r="AE38" s="2918"/>
      <c r="AF38" s="2918"/>
      <c r="AG38" s="2918"/>
      <c r="AH38" s="2918"/>
      <c r="AI38" s="2918"/>
      <c r="AJ38" s="2918"/>
      <c r="AK38" s="2918"/>
      <c r="AL38" s="2918"/>
      <c r="AM38" s="2918"/>
      <c r="AN38" s="2918"/>
      <c r="AO38" s="2918"/>
    </row>
    <row r="39" spans="1:41">
      <c r="A39" s="2918">
        <v>63</v>
      </c>
      <c r="B39" s="2918"/>
      <c r="C39" s="2918"/>
      <c r="D39" s="2918"/>
      <c r="E39" s="3096" t="s">
        <v>12623</v>
      </c>
      <c r="F39" s="3096" t="s">
        <v>12623</v>
      </c>
      <c r="G39" s="3096" t="s">
        <v>12623</v>
      </c>
      <c r="H39" s="3096" t="s">
        <v>12623</v>
      </c>
      <c r="I39" s="3096" t="s">
        <v>12623</v>
      </c>
      <c r="J39" s="3096" t="s">
        <v>12623</v>
      </c>
      <c r="K39" s="3096" t="s">
        <v>12623</v>
      </c>
      <c r="L39" s="3096" t="s">
        <v>12623</v>
      </c>
      <c r="M39" s="3096" t="s">
        <v>12623</v>
      </c>
      <c r="N39" s="3096" t="s">
        <v>12623</v>
      </c>
      <c r="O39" s="3096" t="s">
        <v>12623</v>
      </c>
      <c r="P39" s="3096" t="s">
        <v>12623</v>
      </c>
      <c r="Q39" s="3096" t="s">
        <v>12623</v>
      </c>
      <c r="R39" s="3096" t="s">
        <v>12623</v>
      </c>
      <c r="S39" s="3096" t="s">
        <v>12623</v>
      </c>
      <c r="T39" s="3096" t="s">
        <v>12623</v>
      </c>
      <c r="U39" s="3096" t="s">
        <v>12623</v>
      </c>
      <c r="V39" s="3096" t="s">
        <v>12623</v>
      </c>
      <c r="W39" s="3096" t="s">
        <v>12623</v>
      </c>
      <c r="X39" s="3096" t="s">
        <v>12623</v>
      </c>
      <c r="Y39" s="3096" t="s">
        <v>12623</v>
      </c>
      <c r="Z39" s="3096" t="s">
        <v>12623</v>
      </c>
      <c r="AA39" s="2918"/>
      <c r="AB39" s="2918"/>
      <c r="AC39" s="2918"/>
      <c r="AD39" s="2918"/>
      <c r="AE39" s="2918"/>
      <c r="AF39" s="2918"/>
      <c r="AG39" s="2918"/>
      <c r="AH39" s="2918"/>
      <c r="AI39" s="2918"/>
      <c r="AJ39" s="2918"/>
      <c r="AK39" s="2918"/>
      <c r="AL39" s="2918"/>
      <c r="AM39" s="2918"/>
      <c r="AN39" s="2918"/>
      <c r="AO39" s="2918"/>
    </row>
    <row r="40" spans="1:41">
      <c r="A40" s="2918">
        <v>65</v>
      </c>
      <c r="B40" s="2918"/>
      <c r="C40" s="2918"/>
      <c r="D40" s="2918"/>
      <c r="E40" s="3096" t="s">
        <v>12623</v>
      </c>
      <c r="F40" s="3096" t="s">
        <v>12623</v>
      </c>
      <c r="G40" s="3096" t="s">
        <v>12623</v>
      </c>
      <c r="H40" s="3096" t="s">
        <v>12623</v>
      </c>
      <c r="I40" s="3096" t="s">
        <v>12623</v>
      </c>
      <c r="J40" s="3096" t="s">
        <v>12623</v>
      </c>
      <c r="K40" s="3096" t="s">
        <v>12623</v>
      </c>
      <c r="L40" s="3096" t="s">
        <v>12623</v>
      </c>
      <c r="M40" s="3096" t="s">
        <v>12623</v>
      </c>
      <c r="N40" s="3096" t="s">
        <v>12623</v>
      </c>
      <c r="O40" s="3096" t="s">
        <v>12623</v>
      </c>
      <c r="P40" s="3096" t="s">
        <v>12623</v>
      </c>
      <c r="Q40" s="3096" t="s">
        <v>12623</v>
      </c>
      <c r="R40" s="3096" t="s">
        <v>12623</v>
      </c>
      <c r="S40" s="3096" t="s">
        <v>12623</v>
      </c>
      <c r="T40" s="3096" t="s">
        <v>12623</v>
      </c>
      <c r="U40" s="3096" t="s">
        <v>12623</v>
      </c>
      <c r="V40" s="3096" t="s">
        <v>12623</v>
      </c>
      <c r="W40" s="3096" t="s">
        <v>12623</v>
      </c>
      <c r="X40" s="3096" t="s">
        <v>12623</v>
      </c>
      <c r="Y40" s="3096" t="s">
        <v>12623</v>
      </c>
      <c r="Z40" s="3096" t="s">
        <v>12623</v>
      </c>
      <c r="AA40" s="2918"/>
      <c r="AB40" s="2918"/>
      <c r="AC40" s="2918"/>
      <c r="AD40" s="2918"/>
      <c r="AE40" s="2918"/>
      <c r="AF40" s="2918"/>
      <c r="AG40" s="2918"/>
      <c r="AH40" s="2918"/>
      <c r="AI40" s="2918"/>
      <c r="AJ40" s="2918"/>
      <c r="AK40" s="2918"/>
      <c r="AL40" s="2918"/>
      <c r="AM40" s="2918"/>
      <c r="AN40" s="2918"/>
      <c r="AO40" s="2918"/>
    </row>
    <row r="41" spans="1:41">
      <c r="A41" s="2918">
        <v>68</v>
      </c>
      <c r="B41" s="2918"/>
      <c r="C41" s="2918"/>
      <c r="D41" s="2918"/>
      <c r="E41" s="3096" t="s">
        <v>12623</v>
      </c>
      <c r="F41" s="3096" t="s">
        <v>12623</v>
      </c>
      <c r="G41" s="3096" t="s">
        <v>12623</v>
      </c>
      <c r="H41" s="3096" t="s">
        <v>12623</v>
      </c>
      <c r="I41" s="3096" t="s">
        <v>12623</v>
      </c>
      <c r="J41" s="3096" t="s">
        <v>12623</v>
      </c>
      <c r="K41" s="3096" t="s">
        <v>12623</v>
      </c>
      <c r="L41" s="3096" t="s">
        <v>12623</v>
      </c>
      <c r="M41" s="3096" t="s">
        <v>12623</v>
      </c>
      <c r="N41" s="3096" t="s">
        <v>12623</v>
      </c>
      <c r="O41" s="3096" t="s">
        <v>12630</v>
      </c>
      <c r="P41" s="3096" t="s">
        <v>12630</v>
      </c>
      <c r="Q41" s="3096" t="s">
        <v>12623</v>
      </c>
      <c r="R41" s="3096" t="s">
        <v>12630</v>
      </c>
      <c r="S41" s="3096" t="s">
        <v>12623</v>
      </c>
      <c r="T41" s="3096" t="s">
        <v>12630</v>
      </c>
      <c r="U41" s="3096" t="s">
        <v>12623</v>
      </c>
      <c r="V41" s="3096" t="s">
        <v>12630</v>
      </c>
      <c r="W41" s="3096" t="s">
        <v>12623</v>
      </c>
      <c r="X41" s="3096" t="s">
        <v>12630</v>
      </c>
      <c r="Y41" s="3096" t="s">
        <v>12623</v>
      </c>
      <c r="Z41" s="3096" t="s">
        <v>12630</v>
      </c>
      <c r="AA41" s="3096" t="s">
        <v>12630</v>
      </c>
      <c r="AB41" s="3096" t="s">
        <v>12630</v>
      </c>
      <c r="AC41" s="2918"/>
      <c r="AD41" s="2918"/>
      <c r="AE41" s="2918"/>
      <c r="AF41" s="2918"/>
      <c r="AG41" s="2918"/>
      <c r="AH41" s="2918"/>
      <c r="AI41" s="2918"/>
      <c r="AJ41" s="2918"/>
      <c r="AK41" s="2918"/>
      <c r="AL41" s="2918"/>
      <c r="AM41" s="2918"/>
      <c r="AN41" s="2918"/>
      <c r="AO41" s="2918"/>
    </row>
    <row r="42" spans="1:41">
      <c r="A42" s="2918">
        <v>70</v>
      </c>
      <c r="B42" s="2918"/>
      <c r="C42" s="2918"/>
      <c r="D42" s="2918"/>
      <c r="E42" s="2918"/>
      <c r="F42" s="3096" t="s">
        <v>12623</v>
      </c>
      <c r="G42" s="3096" t="s">
        <v>12623</v>
      </c>
      <c r="H42" s="3096" t="s">
        <v>12623</v>
      </c>
      <c r="I42" s="3096" t="s">
        <v>12623</v>
      </c>
      <c r="J42" s="3096" t="s">
        <v>12623</v>
      </c>
      <c r="K42" s="3096" t="s">
        <v>12623</v>
      </c>
      <c r="L42" s="3096" t="s">
        <v>12623</v>
      </c>
      <c r="M42" s="3096" t="s">
        <v>12623</v>
      </c>
      <c r="N42" s="3096" t="s">
        <v>12623</v>
      </c>
      <c r="O42" s="3096" t="s">
        <v>12630</v>
      </c>
      <c r="P42" s="3096" t="s">
        <v>12630</v>
      </c>
      <c r="Q42" s="3096" t="s">
        <v>12623</v>
      </c>
      <c r="R42" s="3096" t="s">
        <v>12630</v>
      </c>
      <c r="S42" s="3096" t="s">
        <v>12623</v>
      </c>
      <c r="T42" s="3096" t="s">
        <v>12630</v>
      </c>
      <c r="U42" s="3096" t="s">
        <v>12623</v>
      </c>
      <c r="V42" s="3096" t="s">
        <v>12630</v>
      </c>
      <c r="W42" s="3096" t="s">
        <v>12623</v>
      </c>
      <c r="X42" s="3096" t="s">
        <v>12630</v>
      </c>
      <c r="Y42" s="3096" t="s">
        <v>12623</v>
      </c>
      <c r="Z42" s="3096" t="s">
        <v>12630</v>
      </c>
      <c r="AA42" s="3096" t="s">
        <v>12630</v>
      </c>
      <c r="AB42" s="3096" t="s">
        <v>12630</v>
      </c>
      <c r="AC42" s="2918"/>
      <c r="AD42" s="2918"/>
      <c r="AE42" s="2918"/>
      <c r="AF42" s="2918"/>
      <c r="AG42" s="2918"/>
      <c r="AH42" s="2918"/>
      <c r="AI42" s="2918"/>
      <c r="AJ42" s="2918"/>
      <c r="AK42" s="2918"/>
      <c r="AL42" s="2918"/>
      <c r="AM42" s="2918"/>
      <c r="AN42" s="2918"/>
      <c r="AO42" s="2918"/>
    </row>
    <row r="43" spans="1:41">
      <c r="A43" s="2918">
        <v>73</v>
      </c>
      <c r="B43" s="2918"/>
      <c r="C43" s="2918"/>
      <c r="D43" s="2918"/>
      <c r="E43" s="2918"/>
      <c r="F43" s="2918"/>
      <c r="G43" s="2918"/>
      <c r="H43" s="2918"/>
      <c r="I43" s="3096" t="s">
        <v>12623</v>
      </c>
      <c r="J43" s="3096" t="s">
        <v>12623</v>
      </c>
      <c r="K43" s="3096" t="s">
        <v>12623</v>
      </c>
      <c r="L43" s="3096" t="s">
        <v>12623</v>
      </c>
      <c r="M43" s="3096" t="s">
        <v>12623</v>
      </c>
      <c r="N43" s="3096" t="s">
        <v>12623</v>
      </c>
      <c r="O43" s="3096" t="s">
        <v>12630</v>
      </c>
      <c r="P43" s="3096" t="s">
        <v>12630</v>
      </c>
      <c r="Q43" s="3096" t="s">
        <v>12623</v>
      </c>
      <c r="R43" s="3096" t="s">
        <v>12630</v>
      </c>
      <c r="S43" s="3096" t="s">
        <v>12623</v>
      </c>
      <c r="T43" s="3096" t="s">
        <v>12630</v>
      </c>
      <c r="U43" s="3096" t="s">
        <v>12623</v>
      </c>
      <c r="V43" s="3096" t="s">
        <v>12630</v>
      </c>
      <c r="W43" s="3096" t="s">
        <v>12623</v>
      </c>
      <c r="X43" s="3096" t="s">
        <v>12630</v>
      </c>
      <c r="Y43" s="3096" t="s">
        <v>12623</v>
      </c>
      <c r="Z43" s="3096" t="s">
        <v>12630</v>
      </c>
      <c r="AA43" s="3096" t="s">
        <v>12630</v>
      </c>
      <c r="AB43" s="3096" t="s">
        <v>12630</v>
      </c>
      <c r="AC43" s="2918"/>
      <c r="AD43" s="2918"/>
      <c r="AE43" s="2918"/>
      <c r="AF43" s="2918"/>
      <c r="AG43" s="2918"/>
      <c r="AH43" s="2918"/>
      <c r="AI43" s="2918"/>
      <c r="AJ43" s="2918"/>
      <c r="AK43" s="2918"/>
      <c r="AL43" s="2918"/>
      <c r="AM43" s="2918"/>
      <c r="AN43" s="2918"/>
      <c r="AO43" s="2918"/>
    </row>
    <row r="44" spans="1:41">
      <c r="A44" s="2918">
        <v>75</v>
      </c>
      <c r="B44" s="2918"/>
      <c r="C44" s="2918"/>
      <c r="D44" s="2918"/>
      <c r="E44" s="2918"/>
      <c r="F44" s="2918"/>
      <c r="G44" s="2918"/>
      <c r="H44" s="2918"/>
      <c r="I44" s="3096" t="s">
        <v>12623</v>
      </c>
      <c r="J44" s="3096" t="s">
        <v>12623</v>
      </c>
      <c r="K44" s="3096" t="s">
        <v>12623</v>
      </c>
      <c r="L44" s="3096" t="s">
        <v>12623</v>
      </c>
      <c r="M44" s="3096" t="s">
        <v>12623</v>
      </c>
      <c r="N44" s="3096" t="s">
        <v>12623</v>
      </c>
      <c r="O44" s="3096" t="s">
        <v>12623</v>
      </c>
      <c r="P44" s="3096" t="s">
        <v>12623</v>
      </c>
      <c r="Q44" s="3096" t="s">
        <v>12623</v>
      </c>
      <c r="R44" s="3096" t="s">
        <v>12623</v>
      </c>
      <c r="S44" s="3096" t="s">
        <v>12623</v>
      </c>
      <c r="T44" s="3096" t="s">
        <v>12623</v>
      </c>
      <c r="U44" s="3096" t="s">
        <v>12623</v>
      </c>
      <c r="V44" s="3096" t="s">
        <v>12623</v>
      </c>
      <c r="W44" s="3096" t="s">
        <v>12623</v>
      </c>
      <c r="X44" s="3096" t="s">
        <v>12623</v>
      </c>
      <c r="Y44" s="3096" t="s">
        <v>12623</v>
      </c>
      <c r="Z44" s="3096" t="s">
        <v>12623</v>
      </c>
      <c r="AA44" s="2918"/>
      <c r="AB44" s="2918"/>
      <c r="AC44" s="2918"/>
      <c r="AD44" s="2918"/>
      <c r="AE44" s="2918"/>
      <c r="AF44" s="2918"/>
      <c r="AG44" s="2918"/>
      <c r="AH44" s="2918"/>
      <c r="AI44" s="2918"/>
      <c r="AJ44" s="2918"/>
      <c r="AK44" s="2918"/>
      <c r="AL44" s="2918"/>
      <c r="AM44" s="2918"/>
      <c r="AN44" s="2918"/>
      <c r="AO44" s="2918"/>
    </row>
    <row r="45" spans="1:41">
      <c r="A45" s="2918">
        <v>76</v>
      </c>
      <c r="B45" s="2918"/>
      <c r="C45" s="2918"/>
      <c r="D45" s="2918"/>
      <c r="E45" s="2918"/>
      <c r="F45" s="2918"/>
      <c r="G45" s="2918"/>
      <c r="H45" s="2918"/>
      <c r="I45" s="3096" t="s">
        <v>12623</v>
      </c>
      <c r="J45" s="3096" t="s">
        <v>12623</v>
      </c>
      <c r="K45" s="3096" t="s">
        <v>12623</v>
      </c>
      <c r="L45" s="3096" t="s">
        <v>12623</v>
      </c>
      <c r="M45" s="3096" t="s">
        <v>12623</v>
      </c>
      <c r="N45" s="3096" t="s">
        <v>12623</v>
      </c>
      <c r="O45" s="3096" t="s">
        <v>12630</v>
      </c>
      <c r="P45" s="3096" t="s">
        <v>12630</v>
      </c>
      <c r="Q45" s="3096" t="s">
        <v>12623</v>
      </c>
      <c r="R45" s="3096" t="s">
        <v>12630</v>
      </c>
      <c r="S45" s="3096" t="s">
        <v>12623</v>
      </c>
      <c r="T45" s="3096" t="s">
        <v>12630</v>
      </c>
      <c r="U45" s="3096" t="s">
        <v>12623</v>
      </c>
      <c r="V45" s="3096" t="s">
        <v>12630</v>
      </c>
      <c r="W45" s="3096" t="s">
        <v>12623</v>
      </c>
      <c r="X45" s="3096" t="s">
        <v>12630</v>
      </c>
      <c r="Y45" s="3096" t="s">
        <v>12623</v>
      </c>
      <c r="Z45" s="3096" t="s">
        <v>12630</v>
      </c>
      <c r="AA45" s="3096" t="s">
        <v>12630</v>
      </c>
      <c r="AB45" s="3096" t="s">
        <v>12630</v>
      </c>
      <c r="AC45" s="2918"/>
      <c r="AD45" s="2918"/>
      <c r="AE45" s="2918"/>
      <c r="AF45" s="2918"/>
      <c r="AG45" s="2918"/>
      <c r="AH45" s="2918"/>
      <c r="AI45" s="2918"/>
      <c r="AJ45" s="2918"/>
      <c r="AK45" s="2918"/>
      <c r="AL45" s="2918"/>
      <c r="AM45" s="2918"/>
      <c r="AN45" s="2918"/>
      <c r="AO45" s="2918"/>
    </row>
    <row r="46" spans="1:41">
      <c r="A46" s="2918">
        <v>80</v>
      </c>
      <c r="B46" s="2918"/>
      <c r="C46" s="2918"/>
      <c r="D46" s="2918"/>
      <c r="E46" s="2918"/>
      <c r="F46" s="2918"/>
      <c r="G46" s="2918"/>
      <c r="H46" s="2918"/>
      <c r="I46" s="3096" t="s">
        <v>12623</v>
      </c>
      <c r="J46" s="3096" t="s">
        <v>12623</v>
      </c>
      <c r="K46" s="3096" t="s">
        <v>12623</v>
      </c>
      <c r="L46" s="3096" t="s">
        <v>12623</v>
      </c>
      <c r="M46" s="3096" t="s">
        <v>12623</v>
      </c>
      <c r="N46" s="3096" t="s">
        <v>12623</v>
      </c>
      <c r="O46" s="3096" t="s">
        <v>12630</v>
      </c>
      <c r="P46" s="3096" t="s">
        <v>12630</v>
      </c>
      <c r="Q46" s="3096" t="s">
        <v>12623</v>
      </c>
      <c r="R46" s="3096" t="s">
        <v>12630</v>
      </c>
      <c r="S46" s="3096" t="s">
        <v>12623</v>
      </c>
      <c r="T46" s="3096" t="s">
        <v>12630</v>
      </c>
      <c r="U46" s="3096" t="s">
        <v>12623</v>
      </c>
      <c r="V46" s="3096" t="s">
        <v>12630</v>
      </c>
      <c r="W46" s="3096" t="s">
        <v>12623</v>
      </c>
      <c r="X46" s="3096" t="s">
        <v>12630</v>
      </c>
      <c r="Y46" s="3096" t="s">
        <v>12623</v>
      </c>
      <c r="Z46" s="3096" t="s">
        <v>12630</v>
      </c>
      <c r="AA46" s="3096" t="s">
        <v>12630</v>
      </c>
      <c r="AB46" s="3096" t="s">
        <v>12630</v>
      </c>
      <c r="AC46" s="3096" t="s">
        <v>12623</v>
      </c>
      <c r="AD46" s="3096" t="s">
        <v>12623</v>
      </c>
      <c r="AE46" s="3096" t="s">
        <v>12623</v>
      </c>
      <c r="AF46" s="2918"/>
      <c r="AG46" s="2918"/>
      <c r="AH46" s="2918"/>
      <c r="AI46" s="2918"/>
      <c r="AJ46" s="2918"/>
      <c r="AK46" s="2918"/>
      <c r="AL46" s="2918"/>
      <c r="AM46" s="2918"/>
      <c r="AN46" s="2918"/>
      <c r="AO46" s="2918"/>
    </row>
    <row r="47" spans="1:41">
      <c r="A47" s="2918">
        <v>83</v>
      </c>
      <c r="B47" s="2918"/>
      <c r="C47" s="2918"/>
      <c r="D47" s="2918"/>
      <c r="E47" s="2918"/>
      <c r="F47" s="2918"/>
      <c r="G47" s="2918"/>
      <c r="H47" s="2918"/>
      <c r="I47" s="3096" t="s">
        <v>12623</v>
      </c>
      <c r="J47" s="3096" t="s">
        <v>12623</v>
      </c>
      <c r="K47" s="3096" t="s">
        <v>12623</v>
      </c>
      <c r="L47" s="3096" t="s">
        <v>12623</v>
      </c>
      <c r="M47" s="3096" t="s">
        <v>12623</v>
      </c>
      <c r="N47" s="3096" t="s">
        <v>12623</v>
      </c>
      <c r="O47" s="3096" t="s">
        <v>12630</v>
      </c>
      <c r="P47" s="3096" t="s">
        <v>12630</v>
      </c>
      <c r="Q47" s="3096" t="s">
        <v>12623</v>
      </c>
      <c r="R47" s="3096" t="s">
        <v>12630</v>
      </c>
      <c r="S47" s="3096" t="s">
        <v>12623</v>
      </c>
      <c r="T47" s="3096" t="s">
        <v>12630</v>
      </c>
      <c r="U47" s="3096" t="s">
        <v>12623</v>
      </c>
      <c r="V47" s="3096" t="s">
        <v>12630</v>
      </c>
      <c r="W47" s="3096" t="s">
        <v>12623</v>
      </c>
      <c r="X47" s="3096" t="s">
        <v>12630</v>
      </c>
      <c r="Y47" s="3096" t="s">
        <v>12623</v>
      </c>
      <c r="Z47" s="3096" t="s">
        <v>12630</v>
      </c>
      <c r="AA47" s="3096" t="s">
        <v>12630</v>
      </c>
      <c r="AB47" s="3096" t="s">
        <v>12630</v>
      </c>
      <c r="AC47" s="3096" t="s">
        <v>12623</v>
      </c>
      <c r="AD47" s="3096" t="s">
        <v>12623</v>
      </c>
      <c r="AE47" s="3096" t="s">
        <v>12623</v>
      </c>
      <c r="AF47" s="2918"/>
      <c r="AG47" s="2918"/>
      <c r="AH47" s="2918"/>
      <c r="AI47" s="2918"/>
      <c r="AJ47" s="2918"/>
      <c r="AK47" s="2918"/>
      <c r="AL47" s="2918"/>
      <c r="AM47" s="2918"/>
      <c r="AN47" s="2918"/>
      <c r="AO47" s="2918"/>
    </row>
    <row r="48" spans="1:41">
      <c r="A48" s="2918">
        <v>85</v>
      </c>
      <c r="B48" s="2918"/>
      <c r="C48" s="2918"/>
      <c r="D48" s="2918"/>
      <c r="E48" s="2918"/>
      <c r="F48" s="2918"/>
      <c r="G48" s="2918"/>
      <c r="H48" s="2918"/>
      <c r="I48" s="3096" t="s">
        <v>12623</v>
      </c>
      <c r="J48" s="3096" t="s">
        <v>12623</v>
      </c>
      <c r="K48" s="3096" t="s">
        <v>12623</v>
      </c>
      <c r="L48" s="3096" t="s">
        <v>12623</v>
      </c>
      <c r="M48" s="3096" t="s">
        <v>12623</v>
      </c>
      <c r="N48" s="3096" t="s">
        <v>12623</v>
      </c>
      <c r="O48" s="3096" t="s">
        <v>12623</v>
      </c>
      <c r="P48" s="3096" t="s">
        <v>12623</v>
      </c>
      <c r="Q48" s="3096" t="s">
        <v>12623</v>
      </c>
      <c r="R48" s="3096" t="s">
        <v>12623</v>
      </c>
      <c r="S48" s="3096" t="s">
        <v>12623</v>
      </c>
      <c r="T48" s="3096" t="s">
        <v>12623</v>
      </c>
      <c r="U48" s="3096" t="s">
        <v>12623</v>
      </c>
      <c r="V48" s="3096" t="s">
        <v>12623</v>
      </c>
      <c r="W48" s="3096" t="s">
        <v>12623</v>
      </c>
      <c r="X48" s="3096" t="s">
        <v>12623</v>
      </c>
      <c r="Y48" s="3096" t="s">
        <v>12623</v>
      </c>
      <c r="Z48" s="3096" t="s">
        <v>12623</v>
      </c>
      <c r="AA48" s="3096" t="s">
        <v>12623</v>
      </c>
      <c r="AB48" s="3096" t="s">
        <v>12623</v>
      </c>
      <c r="AC48" s="3096" t="s">
        <v>12623</v>
      </c>
      <c r="AD48" s="3096" t="s">
        <v>12623</v>
      </c>
      <c r="AE48" s="3096" t="s">
        <v>12623</v>
      </c>
      <c r="AF48" s="2918"/>
      <c r="AG48" s="2918"/>
      <c r="AH48" s="2918"/>
      <c r="AI48" s="2918"/>
      <c r="AJ48" s="2918"/>
      <c r="AK48" s="2918"/>
      <c r="AL48" s="2918"/>
      <c r="AM48" s="2918"/>
      <c r="AN48" s="2918"/>
      <c r="AO48" s="2918"/>
    </row>
    <row r="49" spans="1:41">
      <c r="A49" s="2918">
        <v>89</v>
      </c>
      <c r="B49" s="2918"/>
      <c r="C49" s="2918"/>
      <c r="D49" s="2918"/>
      <c r="E49" s="2918"/>
      <c r="F49" s="2918"/>
      <c r="G49" s="2918"/>
      <c r="H49" s="2918"/>
      <c r="I49" s="3096" t="s">
        <v>12623</v>
      </c>
      <c r="J49" s="3096" t="s">
        <v>12623</v>
      </c>
      <c r="K49" s="3096" t="s">
        <v>12623</v>
      </c>
      <c r="L49" s="3096" t="s">
        <v>12623</v>
      </c>
      <c r="M49" s="3096" t="s">
        <v>12623</v>
      </c>
      <c r="N49" s="3096" t="s">
        <v>12623</v>
      </c>
      <c r="O49" s="3096" t="s">
        <v>12630</v>
      </c>
      <c r="P49" s="3096" t="s">
        <v>12630</v>
      </c>
      <c r="Q49" s="3096" t="s">
        <v>12623</v>
      </c>
      <c r="R49" s="3096" t="s">
        <v>12630</v>
      </c>
      <c r="S49" s="3096" t="s">
        <v>12623</v>
      </c>
      <c r="T49" s="3096" t="s">
        <v>12630</v>
      </c>
      <c r="U49" s="3096" t="s">
        <v>12623</v>
      </c>
      <c r="V49" s="3096" t="s">
        <v>12630</v>
      </c>
      <c r="W49" s="3096" t="s">
        <v>12623</v>
      </c>
      <c r="X49" s="3096" t="s">
        <v>12630</v>
      </c>
      <c r="Y49" s="3096" t="s">
        <v>12623</v>
      </c>
      <c r="Z49" s="3096" t="s">
        <v>12630</v>
      </c>
      <c r="AA49" s="3096" t="s">
        <v>12630</v>
      </c>
      <c r="AB49" s="3096" t="s">
        <v>12630</v>
      </c>
      <c r="AC49" s="3096" t="s">
        <v>12623</v>
      </c>
      <c r="AD49" s="3096" t="s">
        <v>12623</v>
      </c>
      <c r="AE49" s="3096" t="s">
        <v>12623</v>
      </c>
      <c r="AF49" s="2918"/>
      <c r="AG49" s="2918"/>
      <c r="AH49" s="2918"/>
      <c r="AI49" s="2918"/>
      <c r="AJ49" s="2918"/>
      <c r="AK49" s="2918"/>
      <c r="AL49" s="2918"/>
      <c r="AM49" s="2918"/>
      <c r="AN49" s="2918"/>
      <c r="AO49" s="2918"/>
    </row>
    <row r="50" spans="1:41">
      <c r="A50" s="2918">
        <v>90</v>
      </c>
      <c r="B50" s="2918"/>
      <c r="C50" s="2918"/>
      <c r="D50" s="2918"/>
      <c r="E50" s="2918"/>
      <c r="F50" s="2918"/>
      <c r="G50" s="2918"/>
      <c r="H50" s="2918"/>
      <c r="I50" s="2918"/>
      <c r="J50" s="2918"/>
      <c r="K50" s="3096" t="s">
        <v>12623</v>
      </c>
      <c r="L50" s="3096" t="s">
        <v>12623</v>
      </c>
      <c r="M50" s="3096" t="s">
        <v>12623</v>
      </c>
      <c r="N50" s="3096" t="s">
        <v>12623</v>
      </c>
      <c r="O50" s="3096" t="s">
        <v>12623</v>
      </c>
      <c r="P50" s="3096" t="s">
        <v>12623</v>
      </c>
      <c r="Q50" s="3096" t="s">
        <v>12623</v>
      </c>
      <c r="R50" s="3096" t="s">
        <v>12623</v>
      </c>
      <c r="S50" s="3096" t="s">
        <v>12623</v>
      </c>
      <c r="T50" s="3096" t="s">
        <v>12623</v>
      </c>
      <c r="U50" s="3096" t="s">
        <v>12623</v>
      </c>
      <c r="V50" s="3096" t="s">
        <v>12623</v>
      </c>
      <c r="W50" s="3096" t="s">
        <v>12623</v>
      </c>
      <c r="X50" s="3096" t="s">
        <v>12623</v>
      </c>
      <c r="Y50" s="3096" t="s">
        <v>12623</v>
      </c>
      <c r="Z50" s="3096" t="s">
        <v>12623</v>
      </c>
      <c r="AA50" s="3096" t="s">
        <v>12623</v>
      </c>
      <c r="AB50" s="3096" t="s">
        <v>12623</v>
      </c>
      <c r="AC50" s="3096" t="s">
        <v>12623</v>
      </c>
      <c r="AD50" s="3096" t="s">
        <v>12623</v>
      </c>
      <c r="AE50" s="3096" t="s">
        <v>12623</v>
      </c>
      <c r="AF50" s="2918"/>
      <c r="AG50" s="2918"/>
      <c r="AH50" s="2918"/>
      <c r="AI50" s="2918"/>
      <c r="AJ50" s="2918"/>
      <c r="AK50" s="2918"/>
      <c r="AL50" s="2918"/>
      <c r="AM50" s="2918"/>
      <c r="AN50" s="2918"/>
      <c r="AO50" s="2918"/>
    </row>
    <row r="51" spans="1:41">
      <c r="A51" s="2918">
        <v>95</v>
      </c>
      <c r="B51" s="2918"/>
      <c r="C51" s="2918"/>
      <c r="D51" s="2918"/>
      <c r="E51" s="2918"/>
      <c r="F51" s="2918"/>
      <c r="G51" s="2918"/>
      <c r="H51" s="2918"/>
      <c r="I51" s="2918"/>
      <c r="J51" s="2918"/>
      <c r="K51" s="3096" t="s">
        <v>12623</v>
      </c>
      <c r="L51" s="3096" t="s">
        <v>12623</v>
      </c>
      <c r="M51" s="3096" t="s">
        <v>12623</v>
      </c>
      <c r="N51" s="3096" t="s">
        <v>12623</v>
      </c>
      <c r="O51" s="3096" t="s">
        <v>12630</v>
      </c>
      <c r="P51" s="3096" t="s">
        <v>12630</v>
      </c>
      <c r="Q51" s="3096" t="s">
        <v>12623</v>
      </c>
      <c r="R51" s="3096" t="s">
        <v>12630</v>
      </c>
      <c r="S51" s="3096" t="s">
        <v>12623</v>
      </c>
      <c r="T51" s="3096" t="s">
        <v>12630</v>
      </c>
      <c r="U51" s="3096" t="s">
        <v>12623</v>
      </c>
      <c r="V51" s="3096" t="s">
        <v>12630</v>
      </c>
      <c r="W51" s="3096" t="s">
        <v>12623</v>
      </c>
      <c r="X51" s="3096" t="s">
        <v>12630</v>
      </c>
      <c r="Y51" s="3096" t="s">
        <v>12623</v>
      </c>
      <c r="Z51" s="3096" t="s">
        <v>12630</v>
      </c>
      <c r="AA51" s="3096" t="s">
        <v>12630</v>
      </c>
      <c r="AB51" s="3096" t="s">
        <v>12630</v>
      </c>
      <c r="AC51" s="3096" t="s">
        <v>12630</v>
      </c>
      <c r="AD51" s="3096" t="s">
        <v>12630</v>
      </c>
      <c r="AE51" s="3096" t="s">
        <v>12623</v>
      </c>
      <c r="AF51" s="2918"/>
      <c r="AG51" s="2918"/>
      <c r="AH51" s="2918"/>
      <c r="AI51" s="2918"/>
      <c r="AJ51" s="2918"/>
      <c r="AK51" s="2918"/>
      <c r="AL51" s="2918"/>
      <c r="AM51" s="2918"/>
      <c r="AN51" s="2918"/>
      <c r="AO51" s="2918"/>
    </row>
    <row r="52" spans="1:41">
      <c r="A52" s="2918">
        <v>100</v>
      </c>
      <c r="B52" s="2918"/>
      <c r="C52" s="2918"/>
      <c r="D52" s="2918"/>
      <c r="E52" s="2918"/>
      <c r="F52" s="2918"/>
      <c r="G52" s="2918"/>
      <c r="H52" s="2918"/>
      <c r="I52" s="2918"/>
      <c r="J52" s="2918"/>
      <c r="K52" s="3096" t="s">
        <v>12623</v>
      </c>
      <c r="L52" s="3096" t="s">
        <v>12623</v>
      </c>
      <c r="M52" s="3096" t="s">
        <v>12623</v>
      </c>
      <c r="N52" s="3096" t="s">
        <v>12623</v>
      </c>
      <c r="O52" s="3096" t="s">
        <v>12623</v>
      </c>
      <c r="P52" s="3096" t="s">
        <v>12623</v>
      </c>
      <c r="Q52" s="3096" t="s">
        <v>12623</v>
      </c>
      <c r="R52" s="3096" t="s">
        <v>12623</v>
      </c>
      <c r="S52" s="3096" t="s">
        <v>12623</v>
      </c>
      <c r="T52" s="3096" t="s">
        <v>12623</v>
      </c>
      <c r="U52" s="3096" t="s">
        <v>12623</v>
      </c>
      <c r="V52" s="3096" t="s">
        <v>12623</v>
      </c>
      <c r="W52" s="3096" t="s">
        <v>12623</v>
      </c>
      <c r="X52" s="3096" t="s">
        <v>12623</v>
      </c>
      <c r="Y52" s="3096" t="s">
        <v>12623</v>
      </c>
      <c r="Z52" s="3096" t="s">
        <v>12623</v>
      </c>
      <c r="AA52" s="3096" t="s">
        <v>12623</v>
      </c>
      <c r="AB52" s="3096" t="s">
        <v>12623</v>
      </c>
      <c r="AC52" s="3096" t="s">
        <v>12623</v>
      </c>
      <c r="AD52" s="3096" t="s">
        <v>12623</v>
      </c>
      <c r="AE52" s="3096" t="s">
        <v>12623</v>
      </c>
      <c r="AF52" s="2918"/>
      <c r="AG52" s="2918"/>
      <c r="AH52" s="2918"/>
      <c r="AI52" s="2918"/>
      <c r="AJ52" s="2918"/>
      <c r="AK52" s="2918"/>
      <c r="AL52" s="2918"/>
      <c r="AM52" s="2918"/>
      <c r="AN52" s="2918"/>
      <c r="AO52" s="2918"/>
    </row>
    <row r="53" spans="1:41">
      <c r="A53" s="2918">
        <v>102</v>
      </c>
      <c r="B53" s="2918"/>
      <c r="C53" s="2918"/>
      <c r="D53" s="2918"/>
      <c r="E53" s="2918"/>
      <c r="F53" s="2918"/>
      <c r="G53" s="2918"/>
      <c r="H53" s="2918"/>
      <c r="I53" s="2918"/>
      <c r="J53" s="2918"/>
      <c r="K53" s="2918"/>
      <c r="L53" s="2918"/>
      <c r="M53" s="3096" t="s">
        <v>12623</v>
      </c>
      <c r="N53" s="3096" t="s">
        <v>12623</v>
      </c>
      <c r="O53" s="3096" t="s">
        <v>12630</v>
      </c>
      <c r="P53" s="3096" t="s">
        <v>12630</v>
      </c>
      <c r="Q53" s="3096" t="s">
        <v>12623</v>
      </c>
      <c r="R53" s="3096" t="s">
        <v>12630</v>
      </c>
      <c r="S53" s="3096" t="s">
        <v>12623</v>
      </c>
      <c r="T53" s="3096" t="s">
        <v>12630</v>
      </c>
      <c r="U53" s="3096" t="s">
        <v>12623</v>
      </c>
      <c r="V53" s="3096" t="s">
        <v>12630</v>
      </c>
      <c r="W53" s="3096" t="s">
        <v>12623</v>
      </c>
      <c r="X53" s="3096" t="s">
        <v>12630</v>
      </c>
      <c r="Y53" s="3096" t="s">
        <v>12623</v>
      </c>
      <c r="Z53" s="3096" t="s">
        <v>12630</v>
      </c>
      <c r="AA53" s="3096" t="s">
        <v>12630</v>
      </c>
      <c r="AB53" s="3096" t="s">
        <v>12630</v>
      </c>
      <c r="AC53" s="3096" t="s">
        <v>12630</v>
      </c>
      <c r="AD53" s="3096" t="s">
        <v>12630</v>
      </c>
      <c r="AE53" s="3096" t="s">
        <v>12623</v>
      </c>
      <c r="AF53" s="2918"/>
      <c r="AG53" s="2918"/>
      <c r="AH53" s="2918"/>
      <c r="AI53" s="2918"/>
      <c r="AJ53" s="2918"/>
      <c r="AK53" s="2918"/>
      <c r="AL53" s="2918"/>
      <c r="AM53" s="2918"/>
      <c r="AN53" s="2918"/>
      <c r="AO53" s="2918"/>
    </row>
    <row r="54" spans="1:41">
      <c r="A54" s="2918">
        <v>103</v>
      </c>
      <c r="B54" s="2918"/>
      <c r="C54" s="2918"/>
      <c r="D54" s="2918"/>
      <c r="E54" s="2918"/>
      <c r="F54" s="2918"/>
      <c r="G54" s="2918"/>
      <c r="H54" s="2918"/>
      <c r="I54" s="2918"/>
      <c r="J54" s="2918"/>
      <c r="K54" s="2918"/>
      <c r="L54" s="2918"/>
      <c r="M54" s="3096" t="s">
        <v>12623</v>
      </c>
      <c r="N54" s="3096" t="s">
        <v>12623</v>
      </c>
      <c r="O54" s="3096" t="s">
        <v>12623</v>
      </c>
      <c r="P54" s="3096" t="s">
        <v>12623</v>
      </c>
      <c r="Q54" s="3096" t="s">
        <v>12623</v>
      </c>
      <c r="R54" s="3096" t="s">
        <v>12623</v>
      </c>
      <c r="S54" s="3096" t="s">
        <v>12623</v>
      </c>
      <c r="T54" s="3096" t="s">
        <v>12623</v>
      </c>
      <c r="U54" s="3096" t="s">
        <v>12623</v>
      </c>
      <c r="V54" s="3096" t="s">
        <v>12623</v>
      </c>
      <c r="W54" s="3096" t="s">
        <v>12623</v>
      </c>
      <c r="X54" s="3096" t="s">
        <v>12623</v>
      </c>
      <c r="Y54" s="3096" t="s">
        <v>12623</v>
      </c>
      <c r="Z54" s="3096" t="s">
        <v>12623</v>
      </c>
      <c r="AA54" s="3096" t="s">
        <v>12623</v>
      </c>
      <c r="AB54" s="3096" t="s">
        <v>12623</v>
      </c>
      <c r="AC54" s="3096" t="s">
        <v>12623</v>
      </c>
      <c r="AD54" s="3096" t="s">
        <v>12623</v>
      </c>
      <c r="AE54" s="3096" t="s">
        <v>12623</v>
      </c>
      <c r="AF54" s="2918"/>
      <c r="AG54" s="2918"/>
      <c r="AH54" s="2918"/>
      <c r="AI54" s="2918"/>
      <c r="AJ54" s="2918"/>
      <c r="AK54" s="2918"/>
      <c r="AL54" s="2918"/>
      <c r="AM54" s="2918"/>
      <c r="AN54" s="2918"/>
      <c r="AO54" s="2918"/>
    </row>
    <row r="55" spans="1:41">
      <c r="A55" s="2918">
        <v>108</v>
      </c>
      <c r="B55" s="2918"/>
      <c r="C55" s="2918"/>
      <c r="D55" s="2918"/>
      <c r="E55" s="2918"/>
      <c r="F55" s="2918"/>
      <c r="G55" s="2918"/>
      <c r="H55" s="2918"/>
      <c r="I55" s="2918"/>
      <c r="J55" s="2918"/>
      <c r="K55" s="2918"/>
      <c r="L55" s="2918"/>
      <c r="M55" s="3096"/>
      <c r="N55" s="3096"/>
      <c r="O55" s="3096" t="s">
        <v>12467</v>
      </c>
      <c r="P55" s="3096" t="s">
        <v>12467</v>
      </c>
      <c r="Q55" s="3096" t="s">
        <v>12467</v>
      </c>
      <c r="R55" s="3096" t="s">
        <v>12467</v>
      </c>
      <c r="S55" s="3096" t="s">
        <v>12467</v>
      </c>
      <c r="T55" s="3096" t="s">
        <v>12467</v>
      </c>
      <c r="U55" s="3096" t="s">
        <v>12467</v>
      </c>
      <c r="V55" s="3096" t="s">
        <v>12467</v>
      </c>
      <c r="W55" s="3096" t="s">
        <v>12467</v>
      </c>
      <c r="X55" s="3096" t="s">
        <v>12467</v>
      </c>
      <c r="Y55" s="3096" t="s">
        <v>12467</v>
      </c>
      <c r="Z55" s="3096" t="s">
        <v>12467</v>
      </c>
      <c r="AA55" s="3096" t="s">
        <v>12467</v>
      </c>
      <c r="AB55" s="3096" t="s">
        <v>12467</v>
      </c>
      <c r="AC55" s="3096" t="s">
        <v>12467</v>
      </c>
      <c r="AD55" s="3096" t="s">
        <v>12467</v>
      </c>
      <c r="AE55" s="3096"/>
      <c r="AF55" s="2918"/>
      <c r="AG55" s="2918"/>
      <c r="AH55" s="2918"/>
      <c r="AI55" s="2918"/>
      <c r="AJ55" s="2918"/>
      <c r="AK55" s="2918"/>
      <c r="AL55" s="2918"/>
      <c r="AM55" s="2918"/>
      <c r="AN55" s="2918"/>
      <c r="AO55" s="2918"/>
    </row>
    <row r="56" spans="1:41">
      <c r="A56" s="2918">
        <v>114</v>
      </c>
      <c r="B56" s="2918"/>
      <c r="C56" s="2918"/>
      <c r="D56" s="2918"/>
      <c r="E56" s="2918"/>
      <c r="F56" s="2918"/>
      <c r="G56" s="2918"/>
      <c r="H56" s="2918"/>
      <c r="I56" s="2918"/>
      <c r="J56" s="2918"/>
      <c r="K56" s="2918"/>
      <c r="L56" s="2918"/>
      <c r="M56" s="3096" t="s">
        <v>12623</v>
      </c>
      <c r="N56" s="3096" t="s">
        <v>12623</v>
      </c>
      <c r="O56" s="3096" t="s">
        <v>12623</v>
      </c>
      <c r="P56" s="3096" t="s">
        <v>12630</v>
      </c>
      <c r="Q56" s="3096" t="s">
        <v>12623</v>
      </c>
      <c r="R56" s="3096" t="s">
        <v>12630</v>
      </c>
      <c r="S56" s="3096" t="s">
        <v>12623</v>
      </c>
      <c r="T56" s="3096" t="s">
        <v>12630</v>
      </c>
      <c r="U56" s="3096" t="s">
        <v>12623</v>
      </c>
      <c r="V56" s="3096" t="s">
        <v>12630</v>
      </c>
      <c r="W56" s="3096" t="s">
        <v>12623</v>
      </c>
      <c r="X56" s="3096" t="s">
        <v>12630</v>
      </c>
      <c r="Y56" s="3096" t="s">
        <v>12623</v>
      </c>
      <c r="Z56" s="3096" t="s">
        <v>12630</v>
      </c>
      <c r="AA56" s="3096" t="s">
        <v>12630</v>
      </c>
      <c r="AB56" s="3096" t="s">
        <v>12630</v>
      </c>
      <c r="AC56" s="3096" t="s">
        <v>12630</v>
      </c>
      <c r="AD56" s="3096" t="s">
        <v>12630</v>
      </c>
      <c r="AE56" s="3096" t="s">
        <v>12623</v>
      </c>
      <c r="AF56" s="2918"/>
      <c r="AG56" s="2918"/>
      <c r="AH56" s="2918"/>
      <c r="AI56" s="2918"/>
      <c r="AJ56" s="2918"/>
      <c r="AK56" s="2918"/>
      <c r="AL56" s="2918"/>
      <c r="AM56" s="2918"/>
      <c r="AN56" s="2918"/>
      <c r="AO56" s="2918"/>
    </row>
    <row r="57" spans="1:41">
      <c r="A57" s="2918">
        <v>121</v>
      </c>
      <c r="B57" s="2918"/>
      <c r="C57" s="2918"/>
      <c r="D57" s="2918"/>
      <c r="E57" s="2918"/>
      <c r="F57" s="2918"/>
      <c r="G57" s="2918"/>
      <c r="H57" s="2918"/>
      <c r="I57" s="2918"/>
      <c r="J57" s="2918"/>
      <c r="K57" s="2918"/>
      <c r="L57" s="2918"/>
      <c r="M57" s="3096"/>
      <c r="N57" s="3096"/>
      <c r="O57" s="3096"/>
      <c r="P57" s="3096" t="s">
        <v>12467</v>
      </c>
      <c r="Q57" s="3096" t="s">
        <v>12467</v>
      </c>
      <c r="R57" s="3096" t="s">
        <v>12467</v>
      </c>
      <c r="S57" s="3096" t="s">
        <v>12467</v>
      </c>
      <c r="T57" s="3096" t="s">
        <v>12467</v>
      </c>
      <c r="U57" s="3096" t="s">
        <v>12467</v>
      </c>
      <c r="V57" s="3096" t="s">
        <v>12467</v>
      </c>
      <c r="W57" s="3096" t="s">
        <v>12467</v>
      </c>
      <c r="X57" s="3096" t="s">
        <v>12467</v>
      </c>
      <c r="Y57" s="3096" t="s">
        <v>12467</v>
      </c>
      <c r="Z57" s="3096" t="s">
        <v>12467</v>
      </c>
      <c r="AA57" s="3096" t="s">
        <v>12467</v>
      </c>
      <c r="AB57" s="3096" t="s">
        <v>12467</v>
      </c>
      <c r="AC57" s="3096" t="s">
        <v>12467</v>
      </c>
      <c r="AD57" s="3096" t="s">
        <v>12467</v>
      </c>
      <c r="AE57" s="3096"/>
      <c r="AF57" s="2918"/>
      <c r="AG57" s="2918"/>
      <c r="AH57" s="2918"/>
      <c r="AI57" s="2918"/>
      <c r="AJ57" s="2918"/>
      <c r="AK57" s="2918"/>
      <c r="AL57" s="2918"/>
      <c r="AM57" s="2918"/>
      <c r="AN57" s="2918"/>
      <c r="AO57" s="2918"/>
    </row>
    <row r="58" spans="1:41">
      <c r="A58" s="2918">
        <v>127</v>
      </c>
      <c r="B58" s="2918"/>
      <c r="C58" s="2918"/>
      <c r="D58" s="2918"/>
      <c r="E58" s="2918"/>
      <c r="F58" s="2918"/>
      <c r="G58" s="2918"/>
      <c r="H58" s="2918"/>
      <c r="I58" s="2918"/>
      <c r="J58" s="2918"/>
      <c r="K58" s="2918"/>
      <c r="L58" s="2918"/>
      <c r="M58" s="3096" t="s">
        <v>12623</v>
      </c>
      <c r="N58" s="3096" t="s">
        <v>12623</v>
      </c>
      <c r="O58" s="3096" t="s">
        <v>12623</v>
      </c>
      <c r="P58" s="3096" t="s">
        <v>12630</v>
      </c>
      <c r="Q58" s="3096" t="s">
        <v>12623</v>
      </c>
      <c r="R58" s="3096" t="s">
        <v>12630</v>
      </c>
      <c r="S58" s="3096" t="s">
        <v>12623</v>
      </c>
      <c r="T58" s="3096" t="s">
        <v>12630</v>
      </c>
      <c r="U58" s="3096" t="s">
        <v>12623</v>
      </c>
      <c r="V58" s="3096" t="s">
        <v>12630</v>
      </c>
      <c r="W58" s="3096" t="s">
        <v>12623</v>
      </c>
      <c r="X58" s="3096" t="s">
        <v>12630</v>
      </c>
      <c r="Y58" s="3096" t="s">
        <v>12623</v>
      </c>
      <c r="Z58" s="3096" t="s">
        <v>12630</v>
      </c>
      <c r="AA58" s="3096" t="s">
        <v>12630</v>
      </c>
      <c r="AB58" s="3096" t="s">
        <v>12630</v>
      </c>
      <c r="AC58" s="3096" t="s">
        <v>12630</v>
      </c>
      <c r="AD58" s="3096" t="s">
        <v>12630</v>
      </c>
      <c r="AE58" s="3096" t="s">
        <v>12623</v>
      </c>
      <c r="AF58" s="2918"/>
      <c r="AG58" s="2918"/>
      <c r="AH58" s="2918"/>
      <c r="AI58" s="2918"/>
      <c r="AJ58" s="2918"/>
      <c r="AK58" s="2918"/>
      <c r="AL58" s="2918"/>
      <c r="AM58" s="2918"/>
      <c r="AN58" s="2918"/>
      <c r="AO58" s="2918"/>
    </row>
    <row r="59" spans="1:41">
      <c r="A59" s="2918">
        <v>133</v>
      </c>
      <c r="B59" s="2918"/>
      <c r="C59" s="2918"/>
      <c r="D59" s="2918"/>
      <c r="E59" s="2918"/>
      <c r="F59" s="2918"/>
      <c r="G59" s="2918"/>
      <c r="H59" s="2918"/>
      <c r="I59" s="2918"/>
      <c r="J59" s="2918"/>
      <c r="K59" s="2918"/>
      <c r="L59" s="2918"/>
      <c r="M59" s="3096" t="s">
        <v>12623</v>
      </c>
      <c r="N59" s="3096" t="s">
        <v>12623</v>
      </c>
      <c r="O59" s="3096" t="s">
        <v>12623</v>
      </c>
      <c r="P59" s="3096" t="s">
        <v>12630</v>
      </c>
      <c r="Q59" s="3096" t="s">
        <v>12623</v>
      </c>
      <c r="R59" s="3096" t="s">
        <v>12630</v>
      </c>
      <c r="S59" s="3096" t="s">
        <v>12623</v>
      </c>
      <c r="T59" s="3096" t="s">
        <v>12630</v>
      </c>
      <c r="U59" s="3096" t="s">
        <v>12623</v>
      </c>
      <c r="V59" s="3096" t="s">
        <v>12630</v>
      </c>
      <c r="W59" s="3096" t="s">
        <v>12623</v>
      </c>
      <c r="X59" s="3096" t="s">
        <v>12630</v>
      </c>
      <c r="Y59" s="3096" t="s">
        <v>12623</v>
      </c>
      <c r="Z59" s="3096" t="s">
        <v>12630</v>
      </c>
      <c r="AA59" s="3096" t="s">
        <v>12630</v>
      </c>
      <c r="AB59" s="3096" t="s">
        <v>12630</v>
      </c>
      <c r="AC59" s="3096" t="s">
        <v>12630</v>
      </c>
      <c r="AD59" s="3096" t="s">
        <v>12630</v>
      </c>
      <c r="AE59" s="3096" t="s">
        <v>12623</v>
      </c>
      <c r="AF59" s="2918"/>
      <c r="AG59" s="2918"/>
      <c r="AH59" s="2918"/>
      <c r="AI59" s="2918"/>
      <c r="AJ59" s="2918"/>
      <c r="AK59" s="2918"/>
      <c r="AL59" s="2918"/>
      <c r="AM59" s="2918"/>
      <c r="AN59" s="2918"/>
      <c r="AO59" s="2918"/>
    </row>
    <row r="60" spans="1:41">
      <c r="A60" s="2918">
        <v>140</v>
      </c>
      <c r="B60" s="2918"/>
      <c r="C60" s="2918"/>
      <c r="D60" s="2918"/>
      <c r="E60" s="2918"/>
      <c r="F60" s="2918"/>
      <c r="G60" s="2918"/>
      <c r="H60" s="2918"/>
      <c r="I60" s="2918"/>
      <c r="J60" s="2918"/>
      <c r="K60" s="2918"/>
      <c r="L60" s="2918"/>
      <c r="M60" s="3096" t="s">
        <v>12623</v>
      </c>
      <c r="N60" s="3096" t="s">
        <v>12623</v>
      </c>
      <c r="O60" s="3096" t="s">
        <v>12623</v>
      </c>
      <c r="P60" s="3096" t="s">
        <v>12623</v>
      </c>
      <c r="Q60" s="3096" t="s">
        <v>12623</v>
      </c>
      <c r="R60" s="3096" t="s">
        <v>12630</v>
      </c>
      <c r="S60" s="3096" t="s">
        <v>12623</v>
      </c>
      <c r="T60" s="3096" t="s">
        <v>12630</v>
      </c>
      <c r="U60" s="3096" t="s">
        <v>12623</v>
      </c>
      <c r="V60" s="3096" t="s">
        <v>12630</v>
      </c>
      <c r="W60" s="3096" t="s">
        <v>12623</v>
      </c>
      <c r="X60" s="3096" t="s">
        <v>12630</v>
      </c>
      <c r="Y60" s="3096" t="s">
        <v>12623</v>
      </c>
      <c r="Z60" s="3096" t="s">
        <v>12630</v>
      </c>
      <c r="AA60" s="3096" t="s">
        <v>12630</v>
      </c>
      <c r="AB60" s="3096" t="s">
        <v>12630</v>
      </c>
      <c r="AC60" s="3096" t="s">
        <v>12630</v>
      </c>
      <c r="AD60" s="3096" t="s">
        <v>12630</v>
      </c>
      <c r="AE60" s="3096" t="s">
        <v>12630</v>
      </c>
      <c r="AF60" s="3096" t="s">
        <v>12467</v>
      </c>
      <c r="AG60" s="2918"/>
      <c r="AH60" s="2918"/>
      <c r="AI60" s="2918"/>
      <c r="AJ60" s="2918"/>
      <c r="AK60" s="2918"/>
      <c r="AL60" s="2918"/>
      <c r="AM60" s="2918"/>
      <c r="AN60" s="2918"/>
      <c r="AO60" s="2918"/>
    </row>
    <row r="61" spans="1:41">
      <c r="A61" s="2918">
        <v>146</v>
      </c>
      <c r="B61" s="2918"/>
      <c r="C61" s="2918"/>
      <c r="D61" s="2918"/>
      <c r="E61" s="2918"/>
      <c r="F61" s="2918"/>
      <c r="G61" s="2918"/>
      <c r="H61" s="2918"/>
      <c r="I61" s="2918"/>
      <c r="J61" s="2918"/>
      <c r="K61" s="2918"/>
      <c r="L61" s="2918"/>
      <c r="M61" s="3096" t="s">
        <v>12623</v>
      </c>
      <c r="N61" s="3096" t="s">
        <v>12623</v>
      </c>
      <c r="O61" s="3096" t="s">
        <v>12623</v>
      </c>
      <c r="P61" s="3096" t="s">
        <v>12623</v>
      </c>
      <c r="Q61" s="3096" t="s">
        <v>12623</v>
      </c>
      <c r="R61" s="3096" t="s">
        <v>12630</v>
      </c>
      <c r="S61" s="3096" t="s">
        <v>12623</v>
      </c>
      <c r="T61" s="3096" t="s">
        <v>12630</v>
      </c>
      <c r="U61" s="3096" t="s">
        <v>12623</v>
      </c>
      <c r="V61" s="3096" t="s">
        <v>12630</v>
      </c>
      <c r="W61" s="3096" t="s">
        <v>12623</v>
      </c>
      <c r="X61" s="3096" t="s">
        <v>12630</v>
      </c>
      <c r="Y61" s="3096" t="s">
        <v>12623</v>
      </c>
      <c r="Z61" s="3096" t="s">
        <v>12630</v>
      </c>
      <c r="AA61" s="3096" t="s">
        <v>12630</v>
      </c>
      <c r="AB61" s="3096" t="s">
        <v>12630</v>
      </c>
      <c r="AC61" s="3096" t="s">
        <v>12630</v>
      </c>
      <c r="AD61" s="3096" t="s">
        <v>12630</v>
      </c>
      <c r="AE61" s="3096" t="s">
        <v>12630</v>
      </c>
      <c r="AF61" s="3096" t="s">
        <v>12467</v>
      </c>
      <c r="AG61" s="2918"/>
      <c r="AH61" s="2918"/>
      <c r="AI61" s="2918"/>
      <c r="AJ61" s="2918"/>
      <c r="AK61" s="2918"/>
      <c r="AL61" s="2918"/>
      <c r="AM61" s="2918"/>
      <c r="AN61" s="2918"/>
      <c r="AO61" s="2918"/>
    </row>
    <row r="62" spans="1:41">
      <c r="A62" s="2918">
        <v>152</v>
      </c>
      <c r="B62" s="2918"/>
      <c r="C62" s="2918"/>
      <c r="D62" s="2918"/>
      <c r="E62" s="2918"/>
      <c r="F62" s="2918"/>
      <c r="G62" s="2918"/>
      <c r="H62" s="2918"/>
      <c r="I62" s="2918"/>
      <c r="J62" s="2918"/>
      <c r="K62" s="2918"/>
      <c r="L62" s="2918"/>
      <c r="M62" s="3096"/>
      <c r="N62" s="3096"/>
      <c r="O62" s="3096"/>
      <c r="P62" s="3096"/>
      <c r="Q62" s="3096"/>
      <c r="R62" s="3096" t="s">
        <v>12467</v>
      </c>
      <c r="S62" s="3096" t="s">
        <v>12467</v>
      </c>
      <c r="T62" s="3096" t="s">
        <v>12467</v>
      </c>
      <c r="U62" s="3096" t="s">
        <v>12467</v>
      </c>
      <c r="V62" s="3096" t="s">
        <v>12467</v>
      </c>
      <c r="W62" s="3096" t="s">
        <v>12467</v>
      </c>
      <c r="X62" s="3096" t="s">
        <v>12467</v>
      </c>
      <c r="Y62" s="3096" t="s">
        <v>12467</v>
      </c>
      <c r="Z62" s="3096" t="s">
        <v>12467</v>
      </c>
      <c r="AA62" s="3096" t="s">
        <v>12467</v>
      </c>
      <c r="AB62" s="3096" t="s">
        <v>12467</v>
      </c>
      <c r="AC62" s="3096" t="s">
        <v>12467</v>
      </c>
      <c r="AD62" s="3096" t="s">
        <v>12467</v>
      </c>
      <c r="AE62" s="3096" t="s">
        <v>12467</v>
      </c>
      <c r="AF62" s="3096" t="s">
        <v>12467</v>
      </c>
      <c r="AG62" s="2918"/>
      <c r="AH62" s="2918"/>
      <c r="AI62" s="2918"/>
      <c r="AJ62" s="2918"/>
      <c r="AK62" s="2918"/>
      <c r="AL62" s="2918"/>
      <c r="AM62" s="2918"/>
      <c r="AN62" s="2918"/>
      <c r="AO62" s="2918"/>
    </row>
    <row r="63" spans="1:41">
      <c r="A63" s="2918">
        <v>159</v>
      </c>
      <c r="B63" s="2918"/>
      <c r="C63" s="2918"/>
      <c r="D63" s="2918"/>
      <c r="E63" s="2918"/>
      <c r="F63" s="2918"/>
      <c r="G63" s="2918"/>
      <c r="H63" s="2918"/>
      <c r="I63" s="2918"/>
      <c r="J63" s="2918"/>
      <c r="K63" s="2918"/>
      <c r="L63" s="2918"/>
      <c r="M63" s="3096" t="s">
        <v>12623</v>
      </c>
      <c r="N63" s="3096" t="s">
        <v>12623</v>
      </c>
      <c r="O63" s="3096" t="s">
        <v>12623</v>
      </c>
      <c r="P63" s="3096" t="s">
        <v>12623</v>
      </c>
      <c r="Q63" s="3096" t="s">
        <v>12623</v>
      </c>
      <c r="R63" s="3096" t="s">
        <v>12630</v>
      </c>
      <c r="S63" s="3096" t="s">
        <v>12623</v>
      </c>
      <c r="T63" s="3096" t="s">
        <v>12630</v>
      </c>
      <c r="U63" s="3096" t="s">
        <v>12623</v>
      </c>
      <c r="V63" s="3096" t="s">
        <v>12630</v>
      </c>
      <c r="W63" s="3096" t="s">
        <v>12623</v>
      </c>
      <c r="X63" s="3096" t="s">
        <v>12630</v>
      </c>
      <c r="Y63" s="3096" t="s">
        <v>12623</v>
      </c>
      <c r="Z63" s="3096" t="s">
        <v>12630</v>
      </c>
      <c r="AA63" s="3096" t="s">
        <v>12630</v>
      </c>
      <c r="AB63" s="3096" t="s">
        <v>12630</v>
      </c>
      <c r="AC63" s="3096" t="s">
        <v>12630</v>
      </c>
      <c r="AD63" s="3096" t="s">
        <v>12630</v>
      </c>
      <c r="AE63" s="3096" t="s">
        <v>12630</v>
      </c>
      <c r="AF63" s="3096" t="s">
        <v>12467</v>
      </c>
      <c r="AG63" s="2918"/>
      <c r="AH63" s="2918"/>
      <c r="AI63" s="2918"/>
      <c r="AJ63" s="2918"/>
      <c r="AK63" s="2918"/>
      <c r="AL63" s="2918"/>
      <c r="AM63" s="2918"/>
      <c r="AN63" s="2918"/>
      <c r="AO63" s="2918"/>
    </row>
    <row r="64" spans="1:41">
      <c r="A64" s="2918">
        <v>168</v>
      </c>
      <c r="B64" s="2918"/>
      <c r="C64" s="2918"/>
      <c r="D64" s="2918"/>
      <c r="E64" s="2918"/>
      <c r="F64" s="2918"/>
      <c r="G64" s="2918"/>
      <c r="H64" s="2918"/>
      <c r="I64" s="2918"/>
      <c r="J64" s="2918"/>
      <c r="K64" s="2918"/>
      <c r="L64" s="2918"/>
      <c r="M64" s="2918"/>
      <c r="N64" s="2918"/>
      <c r="O64" s="2918"/>
      <c r="P64" s="2918"/>
      <c r="Q64" s="2918"/>
      <c r="R64" s="2918"/>
      <c r="S64" s="2918"/>
      <c r="T64" s="3096" t="s">
        <v>12467</v>
      </c>
      <c r="U64" s="3096" t="s">
        <v>12467</v>
      </c>
      <c r="V64" s="3096" t="s">
        <v>12467</v>
      </c>
      <c r="W64" s="3096" t="s">
        <v>12467</v>
      </c>
      <c r="X64" s="3096" t="s">
        <v>12467</v>
      </c>
      <c r="Y64" s="3096" t="s">
        <v>12467</v>
      </c>
      <c r="Z64" s="3096" t="s">
        <v>12467</v>
      </c>
      <c r="AA64" s="3096" t="s">
        <v>12467</v>
      </c>
      <c r="AB64" s="3096" t="s">
        <v>12467</v>
      </c>
      <c r="AC64" s="3096" t="s">
        <v>12467</v>
      </c>
      <c r="AD64" s="3096" t="s">
        <v>12467</v>
      </c>
      <c r="AE64" s="3096" t="s">
        <v>12467</v>
      </c>
      <c r="AF64" s="3096" t="s">
        <v>12467</v>
      </c>
      <c r="AG64" s="3096" t="s">
        <v>12467</v>
      </c>
      <c r="AH64" s="3096" t="s">
        <v>12467</v>
      </c>
      <c r="AI64" s="2918"/>
      <c r="AJ64" s="2918"/>
      <c r="AK64" s="2918"/>
      <c r="AL64" s="2918"/>
      <c r="AM64" s="2918"/>
      <c r="AN64" s="2918"/>
      <c r="AO64" s="2918"/>
    </row>
    <row r="65" spans="1:41">
      <c r="A65" s="2918">
        <v>180</v>
      </c>
      <c r="B65" s="2918"/>
      <c r="C65" s="2918"/>
      <c r="D65" s="2918"/>
      <c r="E65" s="2918"/>
      <c r="F65" s="2918"/>
      <c r="G65" s="2918"/>
      <c r="H65" s="2918"/>
      <c r="I65" s="2918"/>
      <c r="J65" s="2918"/>
      <c r="K65" s="2918"/>
      <c r="L65" s="2918"/>
      <c r="M65" s="2918"/>
      <c r="N65" s="2918"/>
      <c r="O65" s="2918"/>
      <c r="P65" s="2918"/>
      <c r="Q65" s="2918"/>
      <c r="R65" s="2918"/>
      <c r="S65" s="2918"/>
      <c r="T65" s="2918"/>
      <c r="U65" s="2918"/>
      <c r="V65" s="3096" t="s">
        <v>12467</v>
      </c>
      <c r="W65" s="3096" t="s">
        <v>12467</v>
      </c>
      <c r="X65" s="3096" t="s">
        <v>12467</v>
      </c>
      <c r="Y65" s="3096" t="s">
        <v>12467</v>
      </c>
      <c r="Z65" s="3096" t="s">
        <v>12467</v>
      </c>
      <c r="AA65" s="3096" t="s">
        <v>12467</v>
      </c>
      <c r="AB65" s="3096" t="s">
        <v>12467</v>
      </c>
      <c r="AC65" s="3096" t="s">
        <v>12467</v>
      </c>
      <c r="AD65" s="3096" t="s">
        <v>12467</v>
      </c>
      <c r="AE65" s="3096" t="s">
        <v>12467</v>
      </c>
      <c r="AF65" s="3096" t="s">
        <v>12467</v>
      </c>
      <c r="AG65" s="3096" t="s">
        <v>12467</v>
      </c>
      <c r="AH65" s="3096" t="s">
        <v>12467</v>
      </c>
      <c r="AI65" s="2918"/>
      <c r="AJ65" s="2918"/>
      <c r="AK65" s="2918"/>
      <c r="AL65" s="2918"/>
      <c r="AM65" s="2918"/>
      <c r="AN65" s="2918"/>
      <c r="AO65" s="2918"/>
    </row>
    <row r="66" spans="1:41">
      <c r="A66" s="2918">
        <v>194</v>
      </c>
      <c r="B66" s="2918"/>
      <c r="C66" s="2918"/>
      <c r="D66" s="2918"/>
      <c r="E66" s="2918"/>
      <c r="F66" s="2918"/>
      <c r="G66" s="2918"/>
      <c r="H66" s="2918"/>
      <c r="I66" s="2918"/>
      <c r="J66" s="2918"/>
      <c r="K66" s="2918"/>
      <c r="L66" s="2918"/>
      <c r="M66" s="2918"/>
      <c r="N66" s="2918"/>
      <c r="O66" s="2918"/>
      <c r="P66" s="2918"/>
      <c r="Q66" s="2918"/>
      <c r="R66" s="2918"/>
      <c r="S66" s="2918"/>
      <c r="T66" s="2918"/>
      <c r="U66" s="2918"/>
      <c r="V66" s="3096" t="s">
        <v>12467</v>
      </c>
      <c r="W66" s="3096" t="s">
        <v>12467</v>
      </c>
      <c r="X66" s="3096" t="s">
        <v>12467</v>
      </c>
      <c r="Y66" s="3096" t="s">
        <v>12467</v>
      </c>
      <c r="Z66" s="3096" t="s">
        <v>12467</v>
      </c>
      <c r="AA66" s="3096" t="s">
        <v>12467</v>
      </c>
      <c r="AB66" s="3096" t="s">
        <v>12467</v>
      </c>
      <c r="AC66" s="3096" t="s">
        <v>12467</v>
      </c>
      <c r="AD66" s="3096" t="s">
        <v>12467</v>
      </c>
      <c r="AE66" s="3096" t="s">
        <v>12467</v>
      </c>
      <c r="AF66" s="3096" t="s">
        <v>12467</v>
      </c>
      <c r="AG66" s="3096" t="s">
        <v>12467</v>
      </c>
      <c r="AH66" s="3096" t="s">
        <v>12467</v>
      </c>
      <c r="AI66" s="2918"/>
      <c r="AJ66" s="2918"/>
      <c r="AK66" s="2918"/>
      <c r="AL66" s="2918"/>
      <c r="AM66" s="2918"/>
      <c r="AN66" s="2918"/>
      <c r="AO66" s="2918"/>
    </row>
    <row r="67" spans="1:41">
      <c r="A67" s="2918">
        <v>219</v>
      </c>
      <c r="B67" s="2918"/>
      <c r="C67" s="2918"/>
      <c r="D67" s="2918"/>
      <c r="E67" s="2918"/>
      <c r="F67" s="2918"/>
      <c r="G67" s="2918"/>
      <c r="H67" s="2918"/>
      <c r="I67" s="2918"/>
      <c r="J67" s="2918"/>
      <c r="K67" s="2918"/>
      <c r="L67" s="2918"/>
      <c r="M67" s="2918"/>
      <c r="N67" s="2918"/>
      <c r="O67" s="2918"/>
      <c r="P67" s="2918"/>
      <c r="Q67" s="2918"/>
      <c r="R67" s="2918"/>
      <c r="S67" s="2918"/>
      <c r="T67" s="2918"/>
      <c r="U67" s="2918"/>
      <c r="V67" s="3096" t="s">
        <v>12467</v>
      </c>
      <c r="W67" s="3096" t="s">
        <v>12467</v>
      </c>
      <c r="X67" s="3096" t="s">
        <v>12467</v>
      </c>
      <c r="Y67" s="3096" t="s">
        <v>12467</v>
      </c>
      <c r="Z67" s="3096" t="s">
        <v>12467</v>
      </c>
      <c r="AA67" s="3096" t="s">
        <v>12467</v>
      </c>
      <c r="AB67" s="3096" t="s">
        <v>12467</v>
      </c>
      <c r="AC67" s="3096" t="s">
        <v>12467</v>
      </c>
      <c r="AD67" s="3096" t="s">
        <v>12467</v>
      </c>
      <c r="AE67" s="3096" t="s">
        <v>12467</v>
      </c>
      <c r="AF67" s="3096" t="s">
        <v>12467</v>
      </c>
      <c r="AG67" s="3096" t="s">
        <v>12467</v>
      </c>
      <c r="AH67" s="3096" t="s">
        <v>12467</v>
      </c>
      <c r="AI67" s="3096" t="s">
        <v>12467</v>
      </c>
      <c r="AJ67" s="3096" t="s">
        <v>12467</v>
      </c>
      <c r="AK67" s="3096" t="s">
        <v>12467</v>
      </c>
      <c r="AL67" s="3096" t="s">
        <v>12467</v>
      </c>
      <c r="AM67" s="3096" t="s">
        <v>12467</v>
      </c>
      <c r="AN67" s="3096" t="s">
        <v>12467</v>
      </c>
      <c r="AO67" s="3096" t="s">
        <v>12467</v>
      </c>
    </row>
    <row r="68" spans="1:41">
      <c r="A68" s="2918">
        <v>245</v>
      </c>
      <c r="B68" s="2918"/>
      <c r="C68" s="2918"/>
      <c r="D68" s="2918"/>
      <c r="E68" s="2918"/>
      <c r="F68" s="2918"/>
      <c r="G68" s="2918"/>
      <c r="H68" s="2918"/>
      <c r="I68" s="2918"/>
      <c r="J68" s="2918"/>
      <c r="K68" s="2918"/>
      <c r="L68" s="2918"/>
      <c r="M68" s="2918"/>
      <c r="N68" s="2918"/>
      <c r="O68" s="2918"/>
      <c r="P68" s="2918"/>
      <c r="Q68" s="2918"/>
      <c r="R68" s="2918"/>
      <c r="S68" s="2918"/>
      <c r="T68" s="2918"/>
      <c r="U68" s="2918"/>
      <c r="V68" s="2918"/>
      <c r="W68" s="2918"/>
      <c r="X68" s="3096"/>
      <c r="Y68" s="3096"/>
      <c r="Z68" s="3096" t="s">
        <v>12467</v>
      </c>
      <c r="AA68" s="3096" t="s">
        <v>12467</v>
      </c>
      <c r="AB68" s="3096" t="s">
        <v>12467</v>
      </c>
      <c r="AC68" s="3096" t="s">
        <v>12467</v>
      </c>
      <c r="AD68" s="3096" t="s">
        <v>12467</v>
      </c>
      <c r="AE68" s="3096" t="s">
        <v>12467</v>
      </c>
      <c r="AF68" s="3096" t="s">
        <v>12467</v>
      </c>
      <c r="AG68" s="3096" t="s">
        <v>12467</v>
      </c>
      <c r="AH68" s="3096" t="s">
        <v>12467</v>
      </c>
      <c r="AI68" s="3096" t="s">
        <v>12467</v>
      </c>
      <c r="AJ68" s="3096" t="s">
        <v>12467</v>
      </c>
      <c r="AK68" s="3096" t="s">
        <v>12467</v>
      </c>
      <c r="AL68" s="3096" t="s">
        <v>12467</v>
      </c>
      <c r="AM68" s="3096" t="s">
        <v>12467</v>
      </c>
      <c r="AN68" s="3096" t="s">
        <v>12467</v>
      </c>
      <c r="AO68" s="3096" t="s">
        <v>12467</v>
      </c>
    </row>
    <row r="69" spans="1:41">
      <c r="A69" s="2918">
        <v>287</v>
      </c>
      <c r="B69" s="2918"/>
      <c r="C69" s="2918"/>
      <c r="D69" s="2918"/>
      <c r="E69" s="2918"/>
      <c r="F69" s="2918"/>
      <c r="G69" s="2918"/>
      <c r="H69" s="2918"/>
      <c r="I69" s="2918"/>
      <c r="J69" s="2918"/>
      <c r="K69" s="2918"/>
      <c r="L69" s="2918"/>
      <c r="M69" s="2918"/>
      <c r="N69" s="2918"/>
      <c r="O69" s="2918"/>
      <c r="P69" s="2918"/>
      <c r="Q69" s="2918"/>
      <c r="R69" s="2918"/>
      <c r="S69" s="2918"/>
      <c r="T69" s="2918"/>
      <c r="U69" s="2918"/>
      <c r="V69" s="2918"/>
      <c r="W69" s="2918"/>
      <c r="X69" s="2918"/>
      <c r="Y69" s="2918"/>
      <c r="Z69" s="2918"/>
      <c r="AA69" s="2918"/>
      <c r="AB69" s="3096" t="s">
        <v>12467</v>
      </c>
      <c r="AC69" s="3096" t="s">
        <v>12467</v>
      </c>
      <c r="AD69" s="3096" t="s">
        <v>12467</v>
      </c>
      <c r="AE69" s="3096" t="s">
        <v>12467</v>
      </c>
      <c r="AF69" s="3096" t="s">
        <v>12467</v>
      </c>
      <c r="AG69" s="3096" t="s">
        <v>12467</v>
      </c>
      <c r="AH69" s="3096" t="s">
        <v>12467</v>
      </c>
      <c r="AI69" s="3096" t="s">
        <v>12467</v>
      </c>
      <c r="AJ69" s="3096" t="s">
        <v>12467</v>
      </c>
      <c r="AK69" s="3096" t="s">
        <v>12467</v>
      </c>
      <c r="AL69" s="3096" t="s">
        <v>12467</v>
      </c>
      <c r="AM69" s="3096" t="s">
        <v>12467</v>
      </c>
      <c r="AN69" s="3096" t="s">
        <v>12467</v>
      </c>
      <c r="AO69" s="3096" t="s">
        <v>12467</v>
      </c>
    </row>
    <row r="70" spans="1:41">
      <c r="A70" s="2918">
        <v>325</v>
      </c>
      <c r="B70" s="2918"/>
      <c r="C70" s="2918"/>
      <c r="D70" s="2918"/>
      <c r="E70" s="2918"/>
      <c r="F70" s="2918"/>
      <c r="G70" s="2918"/>
      <c r="H70" s="2918"/>
      <c r="I70" s="2918"/>
      <c r="J70" s="2918"/>
      <c r="K70" s="2918"/>
      <c r="L70" s="2918"/>
      <c r="M70" s="2918"/>
      <c r="N70" s="2918"/>
      <c r="O70" s="2918"/>
      <c r="P70" s="2918"/>
      <c r="Q70" s="2918"/>
      <c r="R70" s="2918"/>
      <c r="S70" s="2918"/>
      <c r="T70" s="2918"/>
      <c r="U70" s="2918"/>
      <c r="V70" s="2918"/>
      <c r="W70" s="2918"/>
      <c r="X70" s="2918"/>
      <c r="Y70" s="2918"/>
      <c r="Z70" s="2918"/>
      <c r="AA70" s="2918"/>
      <c r="AB70" s="3096" t="s">
        <v>12467</v>
      </c>
      <c r="AC70" s="3096" t="s">
        <v>12467</v>
      </c>
      <c r="AD70" s="3096" t="s">
        <v>12467</v>
      </c>
      <c r="AE70" s="3096" t="s">
        <v>12467</v>
      </c>
      <c r="AF70" s="3096" t="s">
        <v>12467</v>
      </c>
      <c r="AG70" s="3096" t="s">
        <v>12467</v>
      </c>
      <c r="AH70" s="3096" t="s">
        <v>12467</v>
      </c>
      <c r="AI70" s="3096" t="s">
        <v>12467</v>
      </c>
      <c r="AJ70" s="3096" t="s">
        <v>12467</v>
      </c>
      <c r="AK70" s="3096" t="s">
        <v>12467</v>
      </c>
      <c r="AL70" s="3096" t="s">
        <v>12467</v>
      </c>
      <c r="AM70" s="3096" t="s">
        <v>12467</v>
      </c>
      <c r="AN70" s="3096" t="s">
        <v>12467</v>
      </c>
      <c r="AO70" s="2918"/>
    </row>
    <row r="71" spans="1:41">
      <c r="A71" s="2918">
        <v>351</v>
      </c>
      <c r="B71" s="2918"/>
      <c r="C71" s="2918"/>
      <c r="D71" s="2918"/>
      <c r="E71" s="2918"/>
      <c r="F71" s="2918"/>
      <c r="G71" s="2918"/>
      <c r="H71" s="2918"/>
      <c r="I71" s="2918"/>
      <c r="J71" s="2918"/>
      <c r="K71" s="2918"/>
      <c r="L71" s="2918"/>
      <c r="M71" s="2918"/>
      <c r="N71" s="2918"/>
      <c r="O71" s="2918"/>
      <c r="P71" s="2918"/>
      <c r="Q71" s="2918"/>
      <c r="R71" s="2918"/>
      <c r="S71" s="2918"/>
      <c r="T71" s="2918"/>
      <c r="U71" s="2918"/>
      <c r="V71" s="2918"/>
      <c r="W71" s="2918"/>
      <c r="X71" s="2918"/>
      <c r="Y71" s="2918"/>
      <c r="Z71" s="2918"/>
      <c r="AA71" s="2918"/>
      <c r="AB71" s="3096" t="s">
        <v>12467</v>
      </c>
      <c r="AC71" s="3096" t="s">
        <v>12467</v>
      </c>
      <c r="AD71" s="3096" t="s">
        <v>12467</v>
      </c>
      <c r="AE71" s="3096" t="s">
        <v>12467</v>
      </c>
      <c r="AF71" s="3096" t="s">
        <v>12467</v>
      </c>
      <c r="AG71" s="3096" t="s">
        <v>12467</v>
      </c>
      <c r="AH71" s="3096" t="s">
        <v>12467</v>
      </c>
      <c r="AI71" s="3096" t="s">
        <v>12467</v>
      </c>
      <c r="AJ71" s="3096" t="s">
        <v>12467</v>
      </c>
      <c r="AK71" s="3096" t="s">
        <v>12467</v>
      </c>
      <c r="AL71" s="3096" t="s">
        <v>12467</v>
      </c>
      <c r="AM71" s="3096" t="s">
        <v>12467</v>
      </c>
      <c r="AN71" s="3096" t="s">
        <v>12467</v>
      </c>
      <c r="AO71" s="2918"/>
    </row>
    <row r="72" spans="1:41">
      <c r="A72" s="2918">
        <v>377</v>
      </c>
      <c r="B72" s="2918"/>
      <c r="C72" s="2918"/>
      <c r="D72" s="2918"/>
      <c r="E72" s="2918"/>
      <c r="F72" s="2918"/>
      <c r="G72" s="2918"/>
      <c r="H72" s="2918"/>
      <c r="I72" s="2918"/>
      <c r="J72" s="2918"/>
      <c r="K72" s="2918"/>
      <c r="L72" s="2918"/>
      <c r="M72" s="2918"/>
      <c r="N72" s="2918"/>
      <c r="O72" s="2918"/>
      <c r="P72" s="2918"/>
      <c r="Q72" s="2918"/>
      <c r="R72" s="2918"/>
      <c r="S72" s="2918"/>
      <c r="T72" s="2918"/>
      <c r="U72" s="2918"/>
      <c r="V72" s="2918"/>
      <c r="W72" s="2918"/>
      <c r="X72" s="2918"/>
      <c r="Y72" s="2918"/>
      <c r="Z72" s="2918"/>
      <c r="AA72" s="2918"/>
      <c r="AB72" s="3096" t="s">
        <v>12467</v>
      </c>
      <c r="AC72" s="3096" t="s">
        <v>12467</v>
      </c>
      <c r="AD72" s="3096" t="s">
        <v>12467</v>
      </c>
      <c r="AE72" s="3096" t="s">
        <v>12467</v>
      </c>
      <c r="AF72" s="3096" t="s">
        <v>12467</v>
      </c>
      <c r="AG72" s="3096" t="s">
        <v>12467</v>
      </c>
      <c r="AH72" s="3096" t="s">
        <v>12467</v>
      </c>
      <c r="AI72" s="3096" t="s">
        <v>12467</v>
      </c>
      <c r="AJ72" s="3096" t="s">
        <v>12467</v>
      </c>
      <c r="AK72" s="3096" t="s">
        <v>12467</v>
      </c>
      <c r="AL72" s="3096" t="s">
        <v>12467</v>
      </c>
      <c r="AM72" s="2918"/>
      <c r="AN72" s="2918"/>
      <c r="AO72" s="2918"/>
    </row>
    <row r="73" spans="1:41">
      <c r="A73" s="2918">
        <v>426</v>
      </c>
      <c r="B73" s="2918"/>
      <c r="C73" s="2918"/>
      <c r="D73" s="2918"/>
      <c r="E73" s="2918"/>
      <c r="F73" s="2918"/>
      <c r="G73" s="2918"/>
      <c r="H73" s="2918"/>
      <c r="I73" s="2918"/>
      <c r="J73" s="2918"/>
      <c r="K73" s="2918"/>
      <c r="L73" s="2918"/>
      <c r="M73" s="2918"/>
      <c r="N73" s="2918"/>
      <c r="O73" s="3162" t="s">
        <v>12708</v>
      </c>
      <c r="P73" s="2918"/>
      <c r="Q73" s="2918"/>
      <c r="R73" s="2918"/>
      <c r="S73" s="2918"/>
      <c r="T73" s="2918"/>
      <c r="U73" s="2918"/>
      <c r="V73" s="2918"/>
      <c r="W73" s="2918"/>
      <c r="X73" s="2918"/>
      <c r="Y73" s="3162" t="s">
        <v>12708</v>
      </c>
      <c r="Z73" s="2918"/>
      <c r="AA73" s="2918"/>
      <c r="AB73" s="3096" t="s">
        <v>12467</v>
      </c>
      <c r="AC73" s="3096" t="s">
        <v>12467</v>
      </c>
      <c r="AD73" s="3096" t="s">
        <v>12467</v>
      </c>
      <c r="AE73" s="3096" t="s">
        <v>12467</v>
      </c>
      <c r="AF73" s="3096" t="s">
        <v>12467</v>
      </c>
      <c r="AG73" s="3096" t="s">
        <v>12467</v>
      </c>
      <c r="AH73" s="3096" t="s">
        <v>12467</v>
      </c>
      <c r="AI73" s="3096" t="s">
        <v>12467</v>
      </c>
      <c r="AJ73" s="3096" t="s">
        <v>12467</v>
      </c>
      <c r="AK73" s="2918"/>
      <c r="AL73" s="2918"/>
      <c r="AM73" s="2918"/>
      <c r="AN73" s="2918"/>
      <c r="AO73" s="2918"/>
    </row>
    <row r="74" spans="1:41">
      <c r="A74" s="3162" t="s">
        <v>12708</v>
      </c>
    </row>
  </sheetData>
  <mergeCells count="7">
    <mergeCell ref="X14:Y14"/>
    <mergeCell ref="B1:Z1"/>
    <mergeCell ref="A2:AE2"/>
    <mergeCell ref="R5:V5"/>
    <mergeCell ref="X5:Z5"/>
    <mergeCell ref="R6:V6"/>
    <mergeCell ref="R7:V7"/>
  </mergeCells>
  <phoneticPr fontId="378" type="noConversion"/>
  <hyperlinks>
    <hyperlink ref="A1" location="总目录!A1" display="返回目录"/>
    <hyperlink ref="A74" location="总目录!A1" display="返回目录"/>
    <hyperlink ref="O73" location="总目录!A1" display="返回目录"/>
    <hyperlink ref="Y73" location="总目录!A1" display="返回目录"/>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workbookViewId="0">
      <selection activeCell="K3" sqref="K3"/>
    </sheetView>
  </sheetViews>
  <sheetFormatPr defaultRowHeight="16.5"/>
  <cols>
    <col min="1" max="8" width="11.375" customWidth="1"/>
  </cols>
  <sheetData>
    <row r="1" spans="1:8">
      <c r="A1" s="4740" t="s">
        <v>12631</v>
      </c>
      <c r="B1" s="4741"/>
      <c r="C1" s="4741"/>
      <c r="D1" s="4741" t="s">
        <v>12632</v>
      </c>
      <c r="E1" s="4741"/>
      <c r="F1" s="4741" t="s">
        <v>12633</v>
      </c>
      <c r="G1" s="4741"/>
      <c r="H1" s="4742"/>
    </row>
    <row r="2" spans="1:8">
      <c r="A2" s="3100" t="s">
        <v>12634</v>
      </c>
      <c r="B2" s="3101" t="s">
        <v>12635</v>
      </c>
      <c r="C2" s="3101" t="s">
        <v>12636</v>
      </c>
      <c r="D2" s="3101" t="s">
        <v>12635</v>
      </c>
      <c r="E2" s="3101" t="s">
        <v>12636</v>
      </c>
      <c r="F2" s="3101" t="s">
        <v>12637</v>
      </c>
      <c r="G2" s="3101" t="s">
        <v>12635</v>
      </c>
      <c r="H2" s="3102" t="s">
        <v>12636</v>
      </c>
    </row>
    <row r="3" spans="1:8">
      <c r="A3" s="3103">
        <v>2.5</v>
      </c>
      <c r="B3" s="3104">
        <v>7.9249999999999998</v>
      </c>
      <c r="C3" s="3105">
        <v>2.2349999999999999</v>
      </c>
      <c r="D3" s="3105">
        <v>7.93</v>
      </c>
      <c r="E3" s="3105">
        <v>2</v>
      </c>
      <c r="F3" s="3105"/>
      <c r="G3" s="3105"/>
      <c r="H3" s="3106"/>
    </row>
    <row r="4" spans="1:8">
      <c r="A4" s="3103">
        <v>3</v>
      </c>
      <c r="B4" s="3105">
        <v>6.68</v>
      </c>
      <c r="C4" s="3105">
        <v>1.778</v>
      </c>
      <c r="D4" s="3105">
        <v>6.73</v>
      </c>
      <c r="E4" s="3105">
        <v>1.8</v>
      </c>
      <c r="F4" s="3105"/>
      <c r="G4" s="3105"/>
      <c r="H4" s="3106"/>
    </row>
    <row r="5" spans="1:8">
      <c r="A5" s="3103">
        <v>3.5</v>
      </c>
      <c r="B5" s="3105">
        <v>5.6130000000000004</v>
      </c>
      <c r="C5" s="3105">
        <v>1.651</v>
      </c>
      <c r="D5" s="3105">
        <v>5.66</v>
      </c>
      <c r="E5" s="3105">
        <v>1.6</v>
      </c>
      <c r="F5" s="3105"/>
      <c r="G5" s="3105"/>
      <c r="H5" s="3106"/>
    </row>
    <row r="6" spans="1:8">
      <c r="A6" s="3103">
        <v>4</v>
      </c>
      <c r="B6" s="3105">
        <v>4.6989999999999998</v>
      </c>
      <c r="C6" s="3105">
        <v>1.651</v>
      </c>
      <c r="D6" s="3105">
        <v>4.76</v>
      </c>
      <c r="E6" s="3105">
        <v>1.29</v>
      </c>
      <c r="F6" s="3105"/>
      <c r="G6" s="3105"/>
      <c r="H6" s="3106"/>
    </row>
    <row r="7" spans="1:8">
      <c r="A7" s="3103">
        <v>5</v>
      </c>
      <c r="B7" s="3105">
        <v>3.9620000000000002</v>
      </c>
      <c r="C7" s="3105">
        <v>1.1180000000000001</v>
      </c>
      <c r="D7" s="3105">
        <v>4</v>
      </c>
      <c r="E7" s="3105">
        <v>1.08</v>
      </c>
      <c r="F7" s="3105"/>
      <c r="G7" s="3105"/>
      <c r="H7" s="3106"/>
    </row>
    <row r="8" spans="1:8">
      <c r="A8" s="3103">
        <v>6</v>
      </c>
      <c r="B8" s="3105">
        <v>3.327</v>
      </c>
      <c r="C8" s="3105">
        <v>0.91400000000000003</v>
      </c>
      <c r="D8" s="3105">
        <v>3.36</v>
      </c>
      <c r="E8" s="3105">
        <v>0.87</v>
      </c>
      <c r="F8" s="3105"/>
      <c r="G8" s="3105"/>
      <c r="H8" s="3106"/>
    </row>
    <row r="9" spans="1:8">
      <c r="A9" s="3103">
        <v>7</v>
      </c>
      <c r="B9" s="3105">
        <v>2.794</v>
      </c>
      <c r="C9" s="3105">
        <v>0.85299999999999998</v>
      </c>
      <c r="D9" s="3105">
        <v>2.83</v>
      </c>
      <c r="E9" s="3105">
        <v>0.8</v>
      </c>
      <c r="F9" s="3105"/>
      <c r="G9" s="3105"/>
      <c r="H9" s="3106"/>
    </row>
    <row r="10" spans="1:8">
      <c r="A10" s="3103">
        <v>8</v>
      </c>
      <c r="B10" s="3105">
        <v>2.3620000000000001</v>
      </c>
      <c r="C10" s="3105">
        <v>0.81299999999999994</v>
      </c>
      <c r="D10" s="3105">
        <v>2.38</v>
      </c>
      <c r="E10" s="3105">
        <v>0.8</v>
      </c>
      <c r="F10" s="3105"/>
      <c r="G10" s="3105"/>
      <c r="H10" s="3106"/>
    </row>
    <row r="11" spans="1:8">
      <c r="A11" s="3103">
        <v>9</v>
      </c>
      <c r="B11" s="3105">
        <v>1.9810000000000001</v>
      </c>
      <c r="C11" s="3105">
        <v>0.73799999999999999</v>
      </c>
      <c r="D11" s="3105">
        <v>2</v>
      </c>
      <c r="E11" s="3105">
        <v>0.76</v>
      </c>
      <c r="F11" s="3105"/>
      <c r="G11" s="3105"/>
      <c r="H11" s="3106"/>
    </row>
    <row r="12" spans="1:8">
      <c r="A12" s="3103">
        <v>10</v>
      </c>
      <c r="B12" s="3105">
        <v>1.651</v>
      </c>
      <c r="C12" s="3105">
        <v>0.68899999999999995</v>
      </c>
      <c r="D12" s="3105">
        <v>1.68</v>
      </c>
      <c r="E12" s="3105">
        <v>0.74</v>
      </c>
      <c r="F12" s="3105"/>
      <c r="G12" s="3105"/>
      <c r="H12" s="3106"/>
    </row>
    <row r="13" spans="1:8">
      <c r="A13" s="3103">
        <v>12</v>
      </c>
      <c r="B13" s="3105">
        <v>1.397</v>
      </c>
      <c r="C13" s="3105">
        <v>0.71099999999999997</v>
      </c>
      <c r="D13" s="3105">
        <v>1.41</v>
      </c>
      <c r="E13" s="3105">
        <v>0.71</v>
      </c>
      <c r="F13" s="3105">
        <v>4</v>
      </c>
      <c r="G13" s="3105">
        <v>1.5</v>
      </c>
      <c r="H13" s="3106">
        <v>1</v>
      </c>
    </row>
    <row r="14" spans="1:8">
      <c r="A14" s="3103">
        <v>14</v>
      </c>
      <c r="B14" s="3105">
        <v>1.1679999999999999</v>
      </c>
      <c r="C14" s="3105">
        <v>0.63500000000000001</v>
      </c>
      <c r="D14" s="3105">
        <v>1.19</v>
      </c>
      <c r="E14" s="3105">
        <v>0.62</v>
      </c>
      <c r="F14" s="3105">
        <v>5</v>
      </c>
      <c r="G14" s="3105">
        <v>1.2</v>
      </c>
      <c r="H14" s="3106">
        <v>0.8</v>
      </c>
    </row>
    <row r="15" spans="1:8">
      <c r="A15" s="3103">
        <v>16</v>
      </c>
      <c r="B15" s="3105">
        <v>0.99099999999999999</v>
      </c>
      <c r="C15" s="3105">
        <v>0.59699999999999998</v>
      </c>
      <c r="D15" s="3105">
        <v>1</v>
      </c>
      <c r="E15" s="3105">
        <v>0.59</v>
      </c>
      <c r="F15" s="3105">
        <v>6</v>
      </c>
      <c r="G15" s="3105">
        <v>1.02</v>
      </c>
      <c r="H15" s="3106">
        <v>0.85</v>
      </c>
    </row>
    <row r="16" spans="1:8">
      <c r="A16" s="3103">
        <v>20</v>
      </c>
      <c r="B16" s="3105">
        <v>0.83299999999999996</v>
      </c>
      <c r="C16" s="3105">
        <v>0.437</v>
      </c>
      <c r="D16" s="3105">
        <v>0.84</v>
      </c>
      <c r="E16" s="3105">
        <v>0.43</v>
      </c>
      <c r="F16" s="3107"/>
      <c r="G16" s="3105"/>
      <c r="H16" s="3106"/>
    </row>
    <row r="17" spans="1:8">
      <c r="A17" s="3103">
        <v>24</v>
      </c>
      <c r="B17" s="3105">
        <v>0.70099999999999996</v>
      </c>
      <c r="C17" s="3105">
        <v>0.35799999999999998</v>
      </c>
      <c r="D17" s="3105">
        <v>0.71</v>
      </c>
      <c r="E17" s="3105">
        <v>0.35</v>
      </c>
      <c r="F17" s="3105">
        <v>8</v>
      </c>
      <c r="G17" s="3105">
        <v>0.75</v>
      </c>
      <c r="H17" s="3106">
        <v>0.5</v>
      </c>
    </row>
    <row r="18" spans="1:8">
      <c r="A18" s="3103">
        <v>28</v>
      </c>
      <c r="B18" s="3105">
        <v>0.58899999999999997</v>
      </c>
      <c r="C18" s="3105">
        <v>0.318</v>
      </c>
      <c r="D18" s="3105">
        <v>0.59</v>
      </c>
      <c r="E18" s="3105">
        <v>0.32</v>
      </c>
      <c r="F18" s="3105">
        <v>10</v>
      </c>
      <c r="G18" s="3105">
        <v>0.6</v>
      </c>
      <c r="H18" s="3106">
        <v>0.4</v>
      </c>
    </row>
    <row r="19" spans="1:8">
      <c r="A19" s="3103">
        <v>32</v>
      </c>
      <c r="B19" s="3105">
        <v>0.495</v>
      </c>
      <c r="C19" s="3105">
        <v>0.31</v>
      </c>
      <c r="D19" s="3105">
        <v>0.5</v>
      </c>
      <c r="E19" s="3105">
        <v>0.28999999999999998</v>
      </c>
      <c r="F19" s="3105">
        <v>11</v>
      </c>
      <c r="G19" s="3105">
        <v>0.54</v>
      </c>
      <c r="H19" s="3106">
        <v>0.37</v>
      </c>
    </row>
    <row r="20" spans="1:8">
      <c r="A20" s="3103">
        <v>35</v>
      </c>
      <c r="B20" s="3105">
        <v>0.41699999999999998</v>
      </c>
      <c r="C20" s="3105">
        <v>0.3</v>
      </c>
      <c r="D20" s="3105">
        <v>0.42</v>
      </c>
      <c r="E20" s="3105">
        <v>0.28999999999999998</v>
      </c>
      <c r="F20" s="3105">
        <v>12</v>
      </c>
      <c r="G20" s="3105">
        <v>0.49</v>
      </c>
      <c r="H20" s="3106">
        <v>0.34</v>
      </c>
    </row>
    <row r="21" spans="1:8">
      <c r="A21" s="3103">
        <v>42</v>
      </c>
      <c r="B21" s="3105">
        <v>0.35099999999999998</v>
      </c>
      <c r="C21" s="3105">
        <v>0.254</v>
      </c>
      <c r="D21" s="3105">
        <v>0.35</v>
      </c>
      <c r="E21" s="3105">
        <v>0.28999999999999998</v>
      </c>
      <c r="F21" s="3105">
        <v>14</v>
      </c>
      <c r="G21" s="3105">
        <v>0.43</v>
      </c>
      <c r="H21" s="3106">
        <v>0.28000000000000003</v>
      </c>
    </row>
    <row r="22" spans="1:8">
      <c r="A22" s="3103">
        <v>48</v>
      </c>
      <c r="B22" s="3105">
        <v>0.29499999999999998</v>
      </c>
      <c r="C22" s="3105">
        <v>0.23400000000000001</v>
      </c>
      <c r="D22" s="3105">
        <v>0.29699999999999999</v>
      </c>
      <c r="E22" s="3105">
        <v>0.23200000000000001</v>
      </c>
      <c r="F22" s="3105">
        <v>16</v>
      </c>
      <c r="G22" s="3105">
        <v>0.38500000000000001</v>
      </c>
      <c r="H22" s="3106">
        <v>0.24</v>
      </c>
    </row>
    <row r="23" spans="1:8">
      <c r="A23" s="3103">
        <v>60</v>
      </c>
      <c r="B23" s="3105">
        <v>0.246</v>
      </c>
      <c r="C23" s="3105">
        <v>0.17799999999999999</v>
      </c>
      <c r="D23" s="3105">
        <v>0.25</v>
      </c>
      <c r="E23" s="3105">
        <v>0.21199999999999999</v>
      </c>
      <c r="F23" s="3105">
        <v>20</v>
      </c>
      <c r="G23" s="3105">
        <v>0.3</v>
      </c>
      <c r="H23" s="3106">
        <v>0.2</v>
      </c>
    </row>
    <row r="24" spans="1:8">
      <c r="A24" s="3103">
        <v>65</v>
      </c>
      <c r="B24" s="3105">
        <v>0.20799999999999999</v>
      </c>
      <c r="C24" s="3105">
        <v>0.183</v>
      </c>
      <c r="D24" s="3105">
        <v>0.21</v>
      </c>
      <c r="E24" s="3105">
        <v>0.18099999999999999</v>
      </c>
      <c r="F24" s="3105">
        <v>24</v>
      </c>
      <c r="G24" s="3105">
        <v>0.25</v>
      </c>
      <c r="H24" s="3106">
        <v>0.17</v>
      </c>
    </row>
    <row r="25" spans="1:8">
      <c r="A25" s="3103">
        <v>80</v>
      </c>
      <c r="B25" s="3105">
        <v>0.17499999999999999</v>
      </c>
      <c r="C25" s="3105">
        <v>0.14199999999999999</v>
      </c>
      <c r="D25" s="3105">
        <v>0.17699999999999999</v>
      </c>
      <c r="E25" s="3105">
        <v>0.14099999999999999</v>
      </c>
      <c r="F25" s="3105">
        <v>30</v>
      </c>
      <c r="G25" s="3105">
        <v>0.2</v>
      </c>
      <c r="H25" s="3106">
        <v>0.13</v>
      </c>
    </row>
    <row r="26" spans="1:8">
      <c r="A26" s="3103">
        <v>100</v>
      </c>
      <c r="B26" s="3105">
        <v>0.14699999999999999</v>
      </c>
      <c r="C26" s="3105">
        <v>0.107</v>
      </c>
      <c r="D26" s="3105">
        <v>0.14899999999999999</v>
      </c>
      <c r="E26" s="3105">
        <v>0.105</v>
      </c>
      <c r="F26" s="3105"/>
      <c r="G26" s="3105"/>
      <c r="H26" s="3106"/>
    </row>
    <row r="27" spans="1:8">
      <c r="A27" s="3103">
        <v>115</v>
      </c>
      <c r="B27" s="3105">
        <v>0.124</v>
      </c>
      <c r="C27" s="3105">
        <v>9.7000000000000003E-2</v>
      </c>
      <c r="D27" s="3105">
        <v>0.125</v>
      </c>
      <c r="E27" s="3105">
        <v>3.6999999999999998E-2</v>
      </c>
      <c r="F27" s="3105">
        <v>40</v>
      </c>
      <c r="G27" s="3105">
        <v>0.15</v>
      </c>
      <c r="H27" s="3106">
        <v>0.1</v>
      </c>
    </row>
    <row r="28" spans="1:8">
      <c r="A28" s="3103">
        <v>150</v>
      </c>
      <c r="B28" s="3105">
        <v>0.104</v>
      </c>
      <c r="C28" s="3105">
        <v>6.6000000000000003E-2</v>
      </c>
      <c r="D28" s="3105">
        <v>0.105</v>
      </c>
      <c r="E28" s="3105">
        <v>7.0000000000000007E-2</v>
      </c>
      <c r="F28" s="3105">
        <v>50</v>
      </c>
      <c r="G28" s="3105">
        <v>0.12</v>
      </c>
      <c r="H28" s="3106">
        <v>0.08</v>
      </c>
    </row>
    <row r="29" spans="1:8">
      <c r="A29" s="3103">
        <v>170</v>
      </c>
      <c r="B29" s="3105">
        <v>8.7999999999999995E-2</v>
      </c>
      <c r="C29" s="3105">
        <v>6.0999999999999999E-2</v>
      </c>
      <c r="D29" s="3105">
        <v>8.7999999999999995E-2</v>
      </c>
      <c r="E29" s="3105">
        <v>6.0999999999999999E-2</v>
      </c>
      <c r="F29" s="3105">
        <v>60</v>
      </c>
      <c r="G29" s="3105">
        <v>0.10199999999999999</v>
      </c>
      <c r="H29" s="3106">
        <v>6.5000000000000002E-2</v>
      </c>
    </row>
    <row r="30" spans="1:8">
      <c r="A30" s="3103">
        <v>200</v>
      </c>
      <c r="B30" s="3105">
        <v>7.3999999999999996E-2</v>
      </c>
      <c r="C30" s="3105">
        <v>5.2999999999999999E-2</v>
      </c>
      <c r="D30" s="3105">
        <v>7.3999999999999996E-2</v>
      </c>
      <c r="E30" s="3105">
        <v>5.2999999999999999E-2</v>
      </c>
      <c r="F30" s="3105">
        <v>70</v>
      </c>
      <c r="G30" s="3105">
        <v>8.7999999999999995E-2</v>
      </c>
      <c r="H30" s="3106">
        <v>5.5E-2</v>
      </c>
    </row>
    <row r="31" spans="1:8">
      <c r="A31" s="3103">
        <v>250</v>
      </c>
      <c r="B31" s="3105">
        <v>6.0999999999999999E-2</v>
      </c>
      <c r="C31" s="3105">
        <v>4.1000000000000002E-2</v>
      </c>
      <c r="D31" s="3105">
        <v>6.2E-2</v>
      </c>
      <c r="E31" s="3105">
        <v>4.8000000000000001E-2</v>
      </c>
      <c r="F31" s="3105">
        <v>80</v>
      </c>
      <c r="G31" s="3105">
        <v>7.4999999999999997E-2</v>
      </c>
      <c r="H31" s="3106">
        <v>0.05</v>
      </c>
    </row>
    <row r="32" spans="1:8">
      <c r="A32" s="3103">
        <v>270</v>
      </c>
      <c r="B32" s="3105">
        <v>5.2999999999999999E-2</v>
      </c>
      <c r="C32" s="3105">
        <v>4.1000000000000002E-2</v>
      </c>
      <c r="D32" s="3105">
        <v>5.2999999999999999E-2</v>
      </c>
      <c r="E32" s="3105">
        <v>4.8000000000000001E-2</v>
      </c>
      <c r="F32" s="3105">
        <v>100</v>
      </c>
      <c r="G32" s="3105">
        <v>0.06</v>
      </c>
      <c r="H32" s="3106">
        <v>0.04</v>
      </c>
    </row>
    <row r="33" spans="1:8">
      <c r="A33" s="3103">
        <v>325</v>
      </c>
      <c r="B33" s="3105">
        <v>4.2999999999999997E-2</v>
      </c>
      <c r="C33" s="3105">
        <v>3.5999999999999997E-2</v>
      </c>
      <c r="D33" s="3105">
        <v>4.3999999999999997E-2</v>
      </c>
      <c r="E33" s="3105">
        <v>3.4000000000000002E-2</v>
      </c>
      <c r="F33" s="3105">
        <v>140</v>
      </c>
      <c r="G33" s="3105">
        <v>4.1000000000000002E-2</v>
      </c>
      <c r="H33" s="3106">
        <v>0.03</v>
      </c>
    </row>
    <row r="34" spans="1:8">
      <c r="A34" s="3108">
        <v>400</v>
      </c>
      <c r="B34" s="3109">
        <v>3.7999999999999999E-2</v>
      </c>
      <c r="C34" s="3109">
        <v>2.5000000000000001E-2</v>
      </c>
      <c r="D34" s="3109"/>
      <c r="E34" s="3109"/>
      <c r="F34" s="3109"/>
      <c r="G34" s="3109"/>
      <c r="H34" s="3110"/>
    </row>
    <row r="35" spans="1:8">
      <c r="H35" s="3162" t="s">
        <v>12708</v>
      </c>
    </row>
  </sheetData>
  <mergeCells count="3">
    <mergeCell ref="A1:C1"/>
    <mergeCell ref="D1:E1"/>
    <mergeCell ref="F1:H1"/>
  </mergeCells>
  <phoneticPr fontId="378" type="noConversion"/>
  <hyperlinks>
    <hyperlink ref="H35" location="总目录!A1" display="返回目录"/>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73"/>
  <sheetViews>
    <sheetView workbookViewId="0">
      <selection activeCell="N1" sqref="N1"/>
    </sheetView>
  </sheetViews>
  <sheetFormatPr defaultRowHeight="13.5"/>
  <cols>
    <col min="1" max="4" width="9" style="1996"/>
    <col min="5" max="5" width="27.125" style="1996" customWidth="1"/>
    <col min="6" max="18" width="9" style="1996"/>
    <col min="19" max="23" width="12.625" style="1996" bestFit="1" customWidth="1"/>
    <col min="24" max="260" width="9" style="1996"/>
    <col min="261" max="261" width="27.125" style="1996" customWidth="1"/>
    <col min="262" max="274" width="9" style="1996"/>
    <col min="275" max="279" width="12.625" style="1996" bestFit="1" customWidth="1"/>
    <col min="280" max="516" width="9" style="1996"/>
    <col min="517" max="517" width="27.125" style="1996" customWidth="1"/>
    <col min="518" max="530" width="9" style="1996"/>
    <col min="531" max="535" width="12.625" style="1996" bestFit="1" customWidth="1"/>
    <col min="536" max="772" width="9" style="1996"/>
    <col min="773" max="773" width="27.125" style="1996" customWidth="1"/>
    <col min="774" max="786" width="9" style="1996"/>
    <col min="787" max="791" width="12.625" style="1996" bestFit="1" customWidth="1"/>
    <col min="792" max="1028" width="9" style="1996"/>
    <col min="1029" max="1029" width="27.125" style="1996" customWidth="1"/>
    <col min="1030" max="1042" width="9" style="1996"/>
    <col min="1043" max="1047" width="12.625" style="1996" bestFit="1" customWidth="1"/>
    <col min="1048" max="1284" width="9" style="1996"/>
    <col min="1285" max="1285" width="27.125" style="1996" customWidth="1"/>
    <col min="1286" max="1298" width="9" style="1996"/>
    <col min="1299" max="1303" width="12.625" style="1996" bestFit="1" customWidth="1"/>
    <col min="1304" max="1540" width="9" style="1996"/>
    <col min="1541" max="1541" width="27.125" style="1996" customWidth="1"/>
    <col min="1542" max="1554" width="9" style="1996"/>
    <col min="1555" max="1559" width="12.625" style="1996" bestFit="1" customWidth="1"/>
    <col min="1560" max="1796" width="9" style="1996"/>
    <col min="1797" max="1797" width="27.125" style="1996" customWidth="1"/>
    <col min="1798" max="1810" width="9" style="1996"/>
    <col min="1811" max="1815" width="12.625" style="1996" bestFit="1" customWidth="1"/>
    <col min="1816" max="2052" width="9" style="1996"/>
    <col min="2053" max="2053" width="27.125" style="1996" customWidth="1"/>
    <col min="2054" max="2066" width="9" style="1996"/>
    <col min="2067" max="2071" width="12.625" style="1996" bestFit="1" customWidth="1"/>
    <col min="2072" max="2308" width="9" style="1996"/>
    <col min="2309" max="2309" width="27.125" style="1996" customWidth="1"/>
    <col min="2310" max="2322" width="9" style="1996"/>
    <col min="2323" max="2327" width="12.625" style="1996" bestFit="1" customWidth="1"/>
    <col min="2328" max="2564" width="9" style="1996"/>
    <col min="2565" max="2565" width="27.125" style="1996" customWidth="1"/>
    <col min="2566" max="2578" width="9" style="1996"/>
    <col min="2579" max="2583" width="12.625" style="1996" bestFit="1" customWidth="1"/>
    <col min="2584" max="2820" width="9" style="1996"/>
    <col min="2821" max="2821" width="27.125" style="1996" customWidth="1"/>
    <col min="2822" max="2834" width="9" style="1996"/>
    <col min="2835" max="2839" width="12.625" style="1996" bestFit="1" customWidth="1"/>
    <col min="2840" max="3076" width="9" style="1996"/>
    <col min="3077" max="3077" width="27.125" style="1996" customWidth="1"/>
    <col min="3078" max="3090" width="9" style="1996"/>
    <col min="3091" max="3095" width="12.625" style="1996" bestFit="1" customWidth="1"/>
    <col min="3096" max="3332" width="9" style="1996"/>
    <col min="3333" max="3333" width="27.125" style="1996" customWidth="1"/>
    <col min="3334" max="3346" width="9" style="1996"/>
    <col min="3347" max="3351" width="12.625" style="1996" bestFit="1" customWidth="1"/>
    <col min="3352" max="3588" width="9" style="1996"/>
    <col min="3589" max="3589" width="27.125" style="1996" customWidth="1"/>
    <col min="3590" max="3602" width="9" style="1996"/>
    <col min="3603" max="3607" width="12.625" style="1996" bestFit="1" customWidth="1"/>
    <col min="3608" max="3844" width="9" style="1996"/>
    <col min="3845" max="3845" width="27.125" style="1996" customWidth="1"/>
    <col min="3846" max="3858" width="9" style="1996"/>
    <col min="3859" max="3863" width="12.625" style="1996" bestFit="1" customWidth="1"/>
    <col min="3864" max="4100" width="9" style="1996"/>
    <col min="4101" max="4101" width="27.125" style="1996" customWidth="1"/>
    <col min="4102" max="4114" width="9" style="1996"/>
    <col min="4115" max="4119" width="12.625" style="1996" bestFit="1" customWidth="1"/>
    <col min="4120" max="4356" width="9" style="1996"/>
    <col min="4357" max="4357" width="27.125" style="1996" customWidth="1"/>
    <col min="4358" max="4370" width="9" style="1996"/>
    <col min="4371" max="4375" width="12.625" style="1996" bestFit="1" customWidth="1"/>
    <col min="4376" max="4612" width="9" style="1996"/>
    <col min="4613" max="4613" width="27.125" style="1996" customWidth="1"/>
    <col min="4614" max="4626" width="9" style="1996"/>
    <col min="4627" max="4631" width="12.625" style="1996" bestFit="1" customWidth="1"/>
    <col min="4632" max="4868" width="9" style="1996"/>
    <col min="4869" max="4869" width="27.125" style="1996" customWidth="1"/>
    <col min="4870" max="4882" width="9" style="1996"/>
    <col min="4883" max="4887" width="12.625" style="1996" bestFit="1" customWidth="1"/>
    <col min="4888" max="5124" width="9" style="1996"/>
    <col min="5125" max="5125" width="27.125" style="1996" customWidth="1"/>
    <col min="5126" max="5138" width="9" style="1996"/>
    <col min="5139" max="5143" width="12.625" style="1996" bestFit="1" customWidth="1"/>
    <col min="5144" max="5380" width="9" style="1996"/>
    <col min="5381" max="5381" width="27.125" style="1996" customWidth="1"/>
    <col min="5382" max="5394" width="9" style="1996"/>
    <col min="5395" max="5399" width="12.625" style="1996" bestFit="1" customWidth="1"/>
    <col min="5400" max="5636" width="9" style="1996"/>
    <col min="5637" max="5637" width="27.125" style="1996" customWidth="1"/>
    <col min="5638" max="5650" width="9" style="1996"/>
    <col min="5651" max="5655" width="12.625" style="1996" bestFit="1" customWidth="1"/>
    <col min="5656" max="5892" width="9" style="1996"/>
    <col min="5893" max="5893" width="27.125" style="1996" customWidth="1"/>
    <col min="5894" max="5906" width="9" style="1996"/>
    <col min="5907" max="5911" width="12.625" style="1996" bestFit="1" customWidth="1"/>
    <col min="5912" max="6148" width="9" style="1996"/>
    <col min="6149" max="6149" width="27.125" style="1996" customWidth="1"/>
    <col min="6150" max="6162" width="9" style="1996"/>
    <col min="6163" max="6167" width="12.625" style="1996" bestFit="1" customWidth="1"/>
    <col min="6168" max="6404" width="9" style="1996"/>
    <col min="6405" max="6405" width="27.125" style="1996" customWidth="1"/>
    <col min="6406" max="6418" width="9" style="1996"/>
    <col min="6419" max="6423" width="12.625" style="1996" bestFit="1" customWidth="1"/>
    <col min="6424" max="6660" width="9" style="1996"/>
    <col min="6661" max="6661" width="27.125" style="1996" customWidth="1"/>
    <col min="6662" max="6674" width="9" style="1996"/>
    <col min="6675" max="6679" width="12.625" style="1996" bestFit="1" customWidth="1"/>
    <col min="6680" max="6916" width="9" style="1996"/>
    <col min="6917" max="6917" width="27.125" style="1996" customWidth="1"/>
    <col min="6918" max="6930" width="9" style="1996"/>
    <col min="6931" max="6935" width="12.625" style="1996" bestFit="1" customWidth="1"/>
    <col min="6936" max="7172" width="9" style="1996"/>
    <col min="7173" max="7173" width="27.125" style="1996" customWidth="1"/>
    <col min="7174" max="7186" width="9" style="1996"/>
    <col min="7187" max="7191" width="12.625" style="1996" bestFit="1" customWidth="1"/>
    <col min="7192" max="7428" width="9" style="1996"/>
    <col min="7429" max="7429" width="27.125" style="1996" customWidth="1"/>
    <col min="7430" max="7442" width="9" style="1996"/>
    <col min="7443" max="7447" width="12.625" style="1996" bestFit="1" customWidth="1"/>
    <col min="7448" max="7684" width="9" style="1996"/>
    <col min="7685" max="7685" width="27.125" style="1996" customWidth="1"/>
    <col min="7686" max="7698" width="9" style="1996"/>
    <col min="7699" max="7703" width="12.625" style="1996" bestFit="1" customWidth="1"/>
    <col min="7704" max="7940" width="9" style="1996"/>
    <col min="7941" max="7941" width="27.125" style="1996" customWidth="1"/>
    <col min="7942" max="7954" width="9" style="1996"/>
    <col min="7955" max="7959" width="12.625" style="1996" bestFit="1" customWidth="1"/>
    <col min="7960" max="8196" width="9" style="1996"/>
    <col min="8197" max="8197" width="27.125" style="1996" customWidth="1"/>
    <col min="8198" max="8210" width="9" style="1996"/>
    <col min="8211" max="8215" width="12.625" style="1996" bestFit="1" customWidth="1"/>
    <col min="8216" max="8452" width="9" style="1996"/>
    <col min="8453" max="8453" width="27.125" style="1996" customWidth="1"/>
    <col min="8454" max="8466" width="9" style="1996"/>
    <col min="8467" max="8471" width="12.625" style="1996" bestFit="1" customWidth="1"/>
    <col min="8472" max="8708" width="9" style="1996"/>
    <col min="8709" max="8709" width="27.125" style="1996" customWidth="1"/>
    <col min="8710" max="8722" width="9" style="1996"/>
    <col min="8723" max="8727" width="12.625" style="1996" bestFit="1" customWidth="1"/>
    <col min="8728" max="8964" width="9" style="1996"/>
    <col min="8965" max="8965" width="27.125" style="1996" customWidth="1"/>
    <col min="8966" max="8978" width="9" style="1996"/>
    <col min="8979" max="8983" width="12.625" style="1996" bestFit="1" customWidth="1"/>
    <col min="8984" max="9220" width="9" style="1996"/>
    <col min="9221" max="9221" width="27.125" style="1996" customWidth="1"/>
    <col min="9222" max="9234" width="9" style="1996"/>
    <col min="9235" max="9239" width="12.625" style="1996" bestFit="1" customWidth="1"/>
    <col min="9240" max="9476" width="9" style="1996"/>
    <col min="9477" max="9477" width="27.125" style="1996" customWidth="1"/>
    <col min="9478" max="9490" width="9" style="1996"/>
    <col min="9491" max="9495" width="12.625" style="1996" bestFit="1" customWidth="1"/>
    <col min="9496" max="9732" width="9" style="1996"/>
    <col min="9733" max="9733" width="27.125" style="1996" customWidth="1"/>
    <col min="9734" max="9746" width="9" style="1996"/>
    <col min="9747" max="9751" width="12.625" style="1996" bestFit="1" customWidth="1"/>
    <col min="9752" max="9988" width="9" style="1996"/>
    <col min="9989" max="9989" width="27.125" style="1996" customWidth="1"/>
    <col min="9990" max="10002" width="9" style="1996"/>
    <col min="10003" max="10007" width="12.625" style="1996" bestFit="1" customWidth="1"/>
    <col min="10008" max="10244" width="9" style="1996"/>
    <col min="10245" max="10245" width="27.125" style="1996" customWidth="1"/>
    <col min="10246" max="10258" width="9" style="1996"/>
    <col min="10259" max="10263" width="12.625" style="1996" bestFit="1" customWidth="1"/>
    <col min="10264" max="10500" width="9" style="1996"/>
    <col min="10501" max="10501" width="27.125" style="1996" customWidth="1"/>
    <col min="10502" max="10514" width="9" style="1996"/>
    <col min="10515" max="10519" width="12.625" style="1996" bestFit="1" customWidth="1"/>
    <col min="10520" max="10756" width="9" style="1996"/>
    <col min="10757" max="10757" width="27.125" style="1996" customWidth="1"/>
    <col min="10758" max="10770" width="9" style="1996"/>
    <col min="10771" max="10775" width="12.625" style="1996" bestFit="1" customWidth="1"/>
    <col min="10776" max="11012" width="9" style="1996"/>
    <col min="11013" max="11013" width="27.125" style="1996" customWidth="1"/>
    <col min="11014" max="11026" width="9" style="1996"/>
    <col min="11027" max="11031" width="12.625" style="1996" bestFit="1" customWidth="1"/>
    <col min="11032" max="11268" width="9" style="1996"/>
    <col min="11269" max="11269" width="27.125" style="1996" customWidth="1"/>
    <col min="11270" max="11282" width="9" style="1996"/>
    <col min="11283" max="11287" width="12.625" style="1996" bestFit="1" customWidth="1"/>
    <col min="11288" max="11524" width="9" style="1996"/>
    <col min="11525" max="11525" width="27.125" style="1996" customWidth="1"/>
    <col min="11526" max="11538" width="9" style="1996"/>
    <col min="11539" max="11543" width="12.625" style="1996" bestFit="1" customWidth="1"/>
    <col min="11544" max="11780" width="9" style="1996"/>
    <col min="11781" max="11781" width="27.125" style="1996" customWidth="1"/>
    <col min="11782" max="11794" width="9" style="1996"/>
    <col min="11795" max="11799" width="12.625" style="1996" bestFit="1" customWidth="1"/>
    <col min="11800" max="12036" width="9" style="1996"/>
    <col min="12037" max="12037" width="27.125" style="1996" customWidth="1"/>
    <col min="12038" max="12050" width="9" style="1996"/>
    <col min="12051" max="12055" width="12.625" style="1996" bestFit="1" customWidth="1"/>
    <col min="12056" max="12292" width="9" style="1996"/>
    <col min="12293" max="12293" width="27.125" style="1996" customWidth="1"/>
    <col min="12294" max="12306" width="9" style="1996"/>
    <col min="12307" max="12311" width="12.625" style="1996" bestFit="1" customWidth="1"/>
    <col min="12312" max="12548" width="9" style="1996"/>
    <col min="12549" max="12549" width="27.125" style="1996" customWidth="1"/>
    <col min="12550" max="12562" width="9" style="1996"/>
    <col min="12563" max="12567" width="12.625" style="1996" bestFit="1" customWidth="1"/>
    <col min="12568" max="12804" width="9" style="1996"/>
    <col min="12805" max="12805" width="27.125" style="1996" customWidth="1"/>
    <col min="12806" max="12818" width="9" style="1996"/>
    <col min="12819" max="12823" width="12.625" style="1996" bestFit="1" customWidth="1"/>
    <col min="12824" max="13060" width="9" style="1996"/>
    <col min="13061" max="13061" width="27.125" style="1996" customWidth="1"/>
    <col min="13062" max="13074" width="9" style="1996"/>
    <col min="13075" max="13079" width="12.625" style="1996" bestFit="1" customWidth="1"/>
    <col min="13080" max="13316" width="9" style="1996"/>
    <col min="13317" max="13317" width="27.125" style="1996" customWidth="1"/>
    <col min="13318" max="13330" width="9" style="1996"/>
    <col min="13331" max="13335" width="12.625" style="1996" bestFit="1" customWidth="1"/>
    <col min="13336" max="13572" width="9" style="1996"/>
    <col min="13573" max="13573" width="27.125" style="1996" customWidth="1"/>
    <col min="13574" max="13586" width="9" style="1996"/>
    <col min="13587" max="13591" width="12.625" style="1996" bestFit="1" customWidth="1"/>
    <col min="13592" max="13828" width="9" style="1996"/>
    <col min="13829" max="13829" width="27.125" style="1996" customWidth="1"/>
    <col min="13830" max="13842" width="9" style="1996"/>
    <col min="13843" max="13847" width="12.625" style="1996" bestFit="1" customWidth="1"/>
    <col min="13848" max="14084" width="9" style="1996"/>
    <col min="14085" max="14085" width="27.125" style="1996" customWidth="1"/>
    <col min="14086" max="14098" width="9" style="1996"/>
    <col min="14099" max="14103" width="12.625" style="1996" bestFit="1" customWidth="1"/>
    <col min="14104" max="14340" width="9" style="1996"/>
    <col min="14341" max="14341" width="27.125" style="1996" customWidth="1"/>
    <col min="14342" max="14354" width="9" style="1996"/>
    <col min="14355" max="14359" width="12.625" style="1996" bestFit="1" customWidth="1"/>
    <col min="14360" max="14596" width="9" style="1996"/>
    <col min="14597" max="14597" width="27.125" style="1996" customWidth="1"/>
    <col min="14598" max="14610" width="9" style="1996"/>
    <col min="14611" max="14615" width="12.625" style="1996" bestFit="1" customWidth="1"/>
    <col min="14616" max="14852" width="9" style="1996"/>
    <col min="14853" max="14853" width="27.125" style="1996" customWidth="1"/>
    <col min="14854" max="14866" width="9" style="1996"/>
    <col min="14867" max="14871" width="12.625" style="1996" bestFit="1" customWidth="1"/>
    <col min="14872" max="15108" width="9" style="1996"/>
    <col min="15109" max="15109" width="27.125" style="1996" customWidth="1"/>
    <col min="15110" max="15122" width="9" style="1996"/>
    <col min="15123" max="15127" width="12.625" style="1996" bestFit="1" customWidth="1"/>
    <col min="15128" max="15364" width="9" style="1996"/>
    <col min="15365" max="15365" width="27.125" style="1996" customWidth="1"/>
    <col min="15366" max="15378" width="9" style="1996"/>
    <col min="15379" max="15383" width="12.625" style="1996" bestFit="1" customWidth="1"/>
    <col min="15384" max="15620" width="9" style="1996"/>
    <col min="15621" max="15621" width="27.125" style="1996" customWidth="1"/>
    <col min="15622" max="15634" width="9" style="1996"/>
    <col min="15635" max="15639" width="12.625" style="1996" bestFit="1" customWidth="1"/>
    <col min="15640" max="15876" width="9" style="1996"/>
    <col min="15877" max="15877" width="27.125" style="1996" customWidth="1"/>
    <col min="15878" max="15890" width="9" style="1996"/>
    <col min="15891" max="15895" width="12.625" style="1996" bestFit="1" customWidth="1"/>
    <col min="15896" max="16132" width="9" style="1996"/>
    <col min="16133" max="16133" width="27.125" style="1996" customWidth="1"/>
    <col min="16134" max="16146" width="9" style="1996"/>
    <col min="16147" max="16151" width="12.625" style="1996" bestFit="1" customWidth="1"/>
    <col min="16152" max="16384" width="9" style="1996"/>
  </cols>
  <sheetData>
    <row r="1" spans="1:256" s="1995" customFormat="1">
      <c r="A1" s="3162" t="s">
        <v>12708</v>
      </c>
      <c r="B1" s="1996"/>
      <c r="C1" s="1996"/>
      <c r="D1" s="1996"/>
      <c r="E1" s="1996"/>
      <c r="F1" s="1996"/>
      <c r="G1" s="1996"/>
      <c r="H1" s="1996"/>
      <c r="I1" s="1996"/>
      <c r="J1" s="1996"/>
      <c r="K1" s="1996"/>
      <c r="L1" s="1996"/>
      <c r="M1" s="1996"/>
      <c r="N1" s="3162" t="s">
        <v>12708</v>
      </c>
      <c r="O1" s="1996"/>
      <c r="P1" s="1996"/>
      <c r="Q1" s="1996"/>
      <c r="R1" s="1996"/>
      <c r="S1" s="1996"/>
      <c r="T1" s="1996"/>
      <c r="U1" s="1996"/>
      <c r="V1" s="1996"/>
      <c r="W1" s="1996"/>
      <c r="X1" s="1996"/>
      <c r="Y1" s="1996"/>
      <c r="Z1" s="1996"/>
      <c r="AA1" s="1996"/>
      <c r="AB1" s="1996"/>
      <c r="AC1" s="1996"/>
      <c r="AD1" s="1996"/>
      <c r="AE1" s="1996"/>
      <c r="AF1" s="1996"/>
      <c r="AG1" s="1996"/>
      <c r="AH1" s="1996"/>
      <c r="AI1" s="1996"/>
      <c r="AJ1" s="1996"/>
      <c r="AK1" s="1996"/>
      <c r="AL1" s="1996"/>
      <c r="AM1" s="1996"/>
      <c r="AN1" s="1996"/>
      <c r="AO1" s="1996"/>
      <c r="AP1" s="1996"/>
      <c r="AQ1" s="1996"/>
      <c r="AR1" s="1996"/>
      <c r="AS1" s="1996"/>
      <c r="AT1" s="1996"/>
      <c r="AU1" s="1996"/>
      <c r="AV1" s="1996"/>
      <c r="AW1" s="1996"/>
      <c r="AX1" s="1996"/>
      <c r="AY1" s="1996"/>
      <c r="AZ1" s="1996"/>
      <c r="BA1" s="1996"/>
      <c r="BB1" s="1996"/>
      <c r="BC1" s="1996"/>
      <c r="BD1" s="1996"/>
      <c r="BE1" s="1996"/>
      <c r="BF1" s="1996"/>
      <c r="BG1" s="1996"/>
      <c r="BH1" s="1996"/>
      <c r="BI1" s="1996"/>
      <c r="BJ1" s="1996"/>
      <c r="BK1" s="1996"/>
      <c r="BL1" s="1996"/>
      <c r="BM1" s="1996"/>
      <c r="BN1" s="1996"/>
      <c r="BO1" s="1996"/>
      <c r="BP1" s="1996"/>
      <c r="BQ1" s="1996"/>
      <c r="BR1" s="1996"/>
      <c r="BS1" s="1996"/>
      <c r="BT1" s="1996"/>
      <c r="BU1" s="1996"/>
      <c r="BV1" s="1996"/>
      <c r="BW1" s="1996"/>
      <c r="BX1" s="1996"/>
      <c r="BY1" s="1996"/>
      <c r="BZ1" s="1996"/>
      <c r="CA1" s="1996"/>
      <c r="CB1" s="1996"/>
      <c r="CC1" s="1996"/>
      <c r="CD1" s="1996"/>
      <c r="CE1" s="1996"/>
      <c r="CF1" s="1996"/>
      <c r="CG1" s="1996"/>
      <c r="CH1" s="1996"/>
      <c r="CI1" s="1996"/>
      <c r="CJ1" s="1996"/>
      <c r="CK1" s="1996"/>
      <c r="CL1" s="1996"/>
      <c r="CM1" s="1996"/>
      <c r="CN1" s="1996"/>
      <c r="CO1" s="1996"/>
      <c r="CP1" s="1996"/>
      <c r="CQ1" s="1996"/>
      <c r="CR1" s="1996"/>
      <c r="CS1" s="1996"/>
      <c r="CT1" s="1996"/>
      <c r="CU1" s="1996"/>
      <c r="CV1" s="1996"/>
      <c r="CW1" s="1996"/>
      <c r="CX1" s="1996"/>
      <c r="CY1" s="1996"/>
      <c r="CZ1" s="1996"/>
      <c r="DA1" s="1996"/>
      <c r="DB1" s="1996"/>
      <c r="DC1" s="1996"/>
      <c r="DD1" s="1996"/>
      <c r="DE1" s="1996"/>
      <c r="DF1" s="1996"/>
      <c r="DG1" s="1996"/>
      <c r="DH1" s="1996"/>
      <c r="DI1" s="1996"/>
      <c r="DJ1" s="1996"/>
      <c r="DK1" s="1996"/>
      <c r="DL1" s="1996"/>
      <c r="DM1" s="1996"/>
      <c r="DN1" s="1996"/>
      <c r="DO1" s="1996"/>
      <c r="DP1" s="1996"/>
      <c r="DQ1" s="1996"/>
      <c r="DR1" s="1996"/>
      <c r="DS1" s="1996"/>
      <c r="DT1" s="1996"/>
      <c r="DU1" s="1996"/>
      <c r="DV1" s="1996"/>
      <c r="DW1" s="1996"/>
      <c r="DX1" s="1996"/>
      <c r="DY1" s="1996"/>
      <c r="DZ1" s="1996"/>
      <c r="EA1" s="1996"/>
      <c r="EB1" s="1996"/>
      <c r="EC1" s="1996"/>
      <c r="ED1" s="1996"/>
      <c r="EE1" s="1996"/>
      <c r="EF1" s="1996"/>
      <c r="EG1" s="1996"/>
      <c r="EH1" s="1996"/>
      <c r="EI1" s="1996"/>
      <c r="EJ1" s="1996"/>
      <c r="EK1" s="1996"/>
      <c r="EL1" s="1996"/>
      <c r="EM1" s="1996"/>
      <c r="EN1" s="1996"/>
      <c r="EO1" s="1996"/>
      <c r="EP1" s="1996"/>
      <c r="EQ1" s="1996"/>
      <c r="ER1" s="1996"/>
      <c r="ES1" s="1996"/>
      <c r="ET1" s="1996"/>
      <c r="EU1" s="1996"/>
      <c r="EV1" s="1996"/>
      <c r="EW1" s="1996"/>
      <c r="EX1" s="1996"/>
      <c r="EY1" s="1996"/>
      <c r="EZ1" s="1996"/>
      <c r="FA1" s="1996"/>
      <c r="FB1" s="1996"/>
      <c r="FC1" s="1996"/>
      <c r="FD1" s="1996"/>
      <c r="FE1" s="1996"/>
      <c r="FF1" s="1996"/>
      <c r="FG1" s="1996"/>
      <c r="FH1" s="1996"/>
      <c r="FI1" s="1996"/>
      <c r="FJ1" s="1996"/>
      <c r="FK1" s="1996"/>
      <c r="FL1" s="1996"/>
      <c r="FM1" s="1996"/>
      <c r="FN1" s="1996"/>
      <c r="FO1" s="1996"/>
      <c r="FP1" s="1996"/>
      <c r="FQ1" s="1996"/>
      <c r="FR1" s="1996"/>
      <c r="FS1" s="1996"/>
      <c r="FT1" s="1996"/>
      <c r="FU1" s="1996"/>
      <c r="FV1" s="1996"/>
      <c r="FW1" s="1996"/>
      <c r="FX1" s="1996"/>
      <c r="FY1" s="1996"/>
      <c r="FZ1" s="1996"/>
      <c r="GA1" s="1996"/>
      <c r="GB1" s="1996"/>
      <c r="GC1" s="1996"/>
      <c r="GD1" s="1996"/>
      <c r="GE1" s="1996"/>
      <c r="GF1" s="1996"/>
      <c r="GG1" s="1996"/>
      <c r="GH1" s="1996"/>
      <c r="GI1" s="1996"/>
      <c r="GJ1" s="1996"/>
      <c r="GK1" s="1996"/>
      <c r="GL1" s="1996"/>
      <c r="GM1" s="1996"/>
      <c r="GN1" s="1996"/>
      <c r="GO1" s="1996"/>
      <c r="GP1" s="1996"/>
      <c r="GQ1" s="1996"/>
      <c r="GR1" s="1996"/>
      <c r="GS1" s="1996"/>
      <c r="GT1" s="1996"/>
      <c r="GU1" s="1996"/>
      <c r="GV1" s="1996"/>
      <c r="GW1" s="1996"/>
      <c r="GX1" s="1996"/>
      <c r="GY1" s="1996"/>
      <c r="GZ1" s="1996"/>
      <c r="HA1" s="1996"/>
      <c r="HB1" s="1996"/>
      <c r="HC1" s="1996"/>
      <c r="HD1" s="1996"/>
      <c r="HE1" s="1996"/>
      <c r="HF1" s="1996"/>
      <c r="HG1" s="1996"/>
      <c r="HH1" s="1996"/>
      <c r="HI1" s="1996"/>
      <c r="HJ1" s="1996"/>
      <c r="HK1" s="1996"/>
      <c r="HL1" s="1996"/>
      <c r="HM1" s="1996"/>
      <c r="HN1" s="1996"/>
      <c r="HO1" s="1996"/>
      <c r="HP1" s="1996"/>
      <c r="HQ1" s="1996"/>
      <c r="HR1" s="1996"/>
      <c r="HS1" s="1996"/>
      <c r="HT1" s="1996"/>
      <c r="HU1" s="1996"/>
      <c r="HV1" s="1996"/>
      <c r="HW1" s="1996"/>
      <c r="HX1" s="1996"/>
      <c r="HY1" s="1996"/>
      <c r="HZ1" s="1996"/>
      <c r="IA1" s="1996"/>
      <c r="IB1" s="1996"/>
      <c r="IC1" s="1996"/>
      <c r="ID1" s="1996"/>
      <c r="IE1" s="1996"/>
      <c r="IF1" s="1996"/>
      <c r="IG1" s="1996"/>
      <c r="IH1" s="1996"/>
      <c r="II1" s="1996"/>
      <c r="IJ1" s="1996"/>
      <c r="IK1" s="1996"/>
      <c r="IL1" s="1996"/>
      <c r="IM1" s="1996"/>
      <c r="IN1" s="1996"/>
      <c r="IO1" s="1996"/>
      <c r="IP1" s="1996"/>
      <c r="IQ1" s="1996"/>
      <c r="IR1" s="1996"/>
      <c r="IS1" s="1996"/>
      <c r="IT1" s="1996"/>
      <c r="IU1" s="1996"/>
      <c r="IV1" s="1996"/>
    </row>
    <row r="2" spans="1:256" ht="18.75">
      <c r="A2" s="1997" t="s">
        <v>1656</v>
      </c>
      <c r="B2" s="3579" t="s">
        <v>7204</v>
      </c>
      <c r="C2" s="3579"/>
      <c r="D2" s="3579"/>
      <c r="E2" s="3579"/>
      <c r="F2" s="3579"/>
      <c r="G2" s="3579"/>
      <c r="H2" s="3579"/>
      <c r="I2" s="3579"/>
      <c r="J2" s="3579"/>
      <c r="K2" s="3579"/>
      <c r="L2" s="3580" t="s">
        <v>7205</v>
      </c>
      <c r="M2" s="3580"/>
    </row>
    <row r="3" spans="1:256" s="1995" customFormat="1" ht="18" customHeight="1">
      <c r="B3" s="1998" t="s">
        <v>7206</v>
      </c>
      <c r="C3" s="3581" t="s">
        <v>7207</v>
      </c>
      <c r="D3" s="3581"/>
      <c r="E3" s="3581"/>
      <c r="F3" s="3581"/>
      <c r="G3" s="3581"/>
      <c r="H3" s="3581"/>
      <c r="I3" s="3581"/>
      <c r="J3" s="3581"/>
      <c r="K3" s="3581"/>
      <c r="L3" s="3582"/>
      <c r="M3" s="3582"/>
    </row>
    <row r="4" spans="1:256" s="1995" customFormat="1" ht="18" customHeight="1">
      <c r="B4" s="1998" t="s">
        <v>7208</v>
      </c>
      <c r="C4" s="3581" t="s">
        <v>12638</v>
      </c>
      <c r="D4" s="3581"/>
      <c r="E4" s="3581"/>
      <c r="F4" s="3581"/>
      <c r="G4" s="3581"/>
      <c r="H4" s="3581"/>
      <c r="I4" s="3581"/>
      <c r="J4" s="3581"/>
      <c r="K4" s="3581"/>
      <c r="L4" s="3582"/>
      <c r="M4" s="3582"/>
    </row>
    <row r="5" spans="1:256" s="1995" customFormat="1" ht="18" customHeight="1">
      <c r="B5" s="1998" t="s">
        <v>7210</v>
      </c>
      <c r="C5" s="3581" t="s">
        <v>7211</v>
      </c>
      <c r="D5" s="3581"/>
      <c r="E5" s="3581"/>
      <c r="F5" s="3581"/>
      <c r="G5" s="3581"/>
      <c r="H5" s="3581"/>
      <c r="I5" s="3581"/>
      <c r="J5" s="3581"/>
      <c r="K5" s="3581"/>
      <c r="L5" s="3582"/>
      <c r="M5" s="3582"/>
    </row>
    <row r="6" spans="1:256" s="1995" customFormat="1" ht="18" customHeight="1">
      <c r="B6" s="1998" t="s">
        <v>7212</v>
      </c>
      <c r="C6" s="3583" t="s">
        <v>7213</v>
      </c>
      <c r="D6" s="3583"/>
      <c r="E6" s="3583"/>
      <c r="F6" s="3583"/>
      <c r="G6" s="3583"/>
      <c r="H6" s="3583"/>
      <c r="I6" s="3583"/>
      <c r="J6" s="3583"/>
      <c r="K6" s="3583"/>
      <c r="L6" s="3582"/>
      <c r="M6" s="3582"/>
    </row>
    <row r="7" spans="1:256" s="1995" customFormat="1" ht="18" customHeight="1">
      <c r="B7" s="1998" t="s">
        <v>7214</v>
      </c>
      <c r="C7" s="3581" t="s">
        <v>7215</v>
      </c>
      <c r="D7" s="3581"/>
      <c r="E7" s="3581"/>
      <c r="F7" s="3581"/>
      <c r="G7" s="3581"/>
      <c r="H7" s="3581"/>
      <c r="I7" s="3581"/>
      <c r="J7" s="3581"/>
      <c r="K7" s="3581"/>
      <c r="L7" s="3582"/>
      <c r="M7" s="3582"/>
    </row>
    <row r="8" spans="1:256" s="1995" customFormat="1" ht="18" customHeight="1">
      <c r="B8" s="1998" t="s">
        <v>7216</v>
      </c>
      <c r="C8" s="3581" t="s">
        <v>7217</v>
      </c>
      <c r="D8" s="3581"/>
      <c r="E8" s="3581"/>
      <c r="F8" s="3581"/>
      <c r="G8" s="3581"/>
      <c r="H8" s="3581"/>
      <c r="I8" s="3581"/>
      <c r="J8" s="3581"/>
      <c r="K8" s="3581"/>
      <c r="L8" s="3582"/>
      <c r="M8" s="3582"/>
    </row>
    <row r="9" spans="1:256" s="1995" customFormat="1" ht="18" customHeight="1">
      <c r="B9" s="1998" t="s">
        <v>7218</v>
      </c>
      <c r="C9" s="3581" t="s">
        <v>7219</v>
      </c>
      <c r="D9" s="3581"/>
      <c r="E9" s="3581"/>
      <c r="F9" s="3581"/>
      <c r="G9" s="3581"/>
      <c r="H9" s="3581"/>
      <c r="I9" s="3581"/>
      <c r="J9" s="3581"/>
      <c r="K9" s="3581"/>
      <c r="L9" s="3582"/>
      <c r="M9" s="3582"/>
    </row>
    <row r="10" spans="1:256" s="1995" customFormat="1" ht="18" customHeight="1">
      <c r="B10" s="1998" t="s">
        <v>7220</v>
      </c>
      <c r="C10" s="3581" t="s">
        <v>7221</v>
      </c>
      <c r="D10" s="3581"/>
      <c r="E10" s="3581"/>
      <c r="F10" s="3581"/>
      <c r="G10" s="3581"/>
      <c r="H10" s="3581"/>
      <c r="I10" s="3581"/>
      <c r="J10" s="3581"/>
      <c r="K10" s="3581"/>
      <c r="L10" s="3582"/>
      <c r="M10" s="3582"/>
    </row>
    <row r="11" spans="1:256" s="1995" customFormat="1" ht="18" customHeight="1">
      <c r="B11" s="1998"/>
      <c r="C11" s="3584"/>
      <c r="D11" s="3584"/>
      <c r="E11" s="3584"/>
      <c r="F11" s="3584"/>
      <c r="G11" s="3584"/>
      <c r="H11" s="3584"/>
    </row>
    <row r="12" spans="1:256" s="1995" customFormat="1" ht="18" customHeight="1">
      <c r="C12" s="3584"/>
      <c r="D12" s="3584"/>
      <c r="E12" s="3584"/>
      <c r="F12" s="3584"/>
      <c r="G12" s="3584"/>
      <c r="H12" s="3584"/>
    </row>
    <row r="13" spans="1:256" ht="18.75">
      <c r="A13" s="1997" t="s">
        <v>1661</v>
      </c>
      <c r="B13" s="3579" t="s">
        <v>7222</v>
      </c>
      <c r="C13" s="3579"/>
      <c r="D13" s="3579"/>
      <c r="E13" s="3579"/>
      <c r="F13" s="3579"/>
      <c r="G13" s="3579"/>
      <c r="H13" s="3579"/>
      <c r="I13" s="3579"/>
      <c r="J13" s="3579"/>
      <c r="K13" s="3579"/>
    </row>
    <row r="14" spans="1:256" ht="18" customHeight="1">
      <c r="B14" s="3111" t="s">
        <v>1443</v>
      </c>
      <c r="C14" s="3111" t="s">
        <v>7223</v>
      </c>
      <c r="D14" s="3111" t="s">
        <v>7224</v>
      </c>
      <c r="E14" s="3111" t="s">
        <v>7225</v>
      </c>
      <c r="F14" s="3112" t="s">
        <v>787</v>
      </c>
      <c r="G14" s="3112" t="s">
        <v>6362</v>
      </c>
      <c r="H14" s="3112" t="s">
        <v>6364</v>
      </c>
      <c r="I14" s="3112" t="s">
        <v>805</v>
      </c>
      <c r="J14" s="3112" t="s">
        <v>7226</v>
      </c>
      <c r="K14" s="3112" t="s">
        <v>7227</v>
      </c>
      <c r="M14" s="2020"/>
      <c r="N14" s="3111" t="s">
        <v>1443</v>
      </c>
      <c r="O14" s="3111" t="s">
        <v>7223</v>
      </c>
      <c r="P14" s="3111" t="s">
        <v>7224</v>
      </c>
      <c r="Q14" s="3111" t="s">
        <v>7225</v>
      </c>
      <c r="R14" s="3112" t="s">
        <v>787</v>
      </c>
      <c r="S14" s="3112" t="s">
        <v>6362</v>
      </c>
      <c r="T14" s="3112" t="s">
        <v>6364</v>
      </c>
      <c r="U14" s="3112" t="s">
        <v>805</v>
      </c>
      <c r="V14" s="3112" t="s">
        <v>7226</v>
      </c>
      <c r="W14" s="3112" t="s">
        <v>7227</v>
      </c>
    </row>
    <row r="15" spans="1:256" ht="18" customHeight="1">
      <c r="B15" s="3113" t="s">
        <v>7228</v>
      </c>
      <c r="C15" s="3114">
        <v>11</v>
      </c>
      <c r="D15" s="3115" t="s">
        <v>7229</v>
      </c>
      <c r="E15" s="3116" t="s">
        <v>7230</v>
      </c>
      <c r="F15" s="3114">
        <v>0</v>
      </c>
      <c r="G15" s="3114">
        <v>0.5</v>
      </c>
      <c r="H15" s="3114">
        <v>0.5</v>
      </c>
      <c r="I15" s="3114">
        <v>0.5</v>
      </c>
      <c r="J15" s="3114">
        <v>0.5</v>
      </c>
      <c r="K15" s="3114">
        <v>1</v>
      </c>
      <c r="M15" s="2024"/>
      <c r="N15" s="3113" t="s">
        <v>7228</v>
      </c>
      <c r="O15" s="3114">
        <v>11</v>
      </c>
      <c r="P15" s="3115" t="s">
        <v>7229</v>
      </c>
      <c r="Q15" s="3116" t="s">
        <v>7230</v>
      </c>
      <c r="R15" s="3114">
        <v>0</v>
      </c>
      <c r="S15" s="3114">
        <v>0.5</v>
      </c>
      <c r="T15" s="3114">
        <v>0.5</v>
      </c>
      <c r="U15" s="3114">
        <v>0.5</v>
      </c>
      <c r="V15" s="3114">
        <v>0.5</v>
      </c>
      <c r="W15" s="3114">
        <v>1</v>
      </c>
    </row>
    <row r="16" spans="1:256" ht="18" customHeight="1">
      <c r="B16" s="3113" t="s">
        <v>7231</v>
      </c>
      <c r="C16" s="3114">
        <v>12</v>
      </c>
      <c r="D16" s="3114" t="s">
        <v>12639</v>
      </c>
      <c r="E16" s="3116" t="s">
        <v>7233</v>
      </c>
      <c r="F16" s="3114">
        <v>0</v>
      </c>
      <c r="G16" s="3114">
        <v>0</v>
      </c>
      <c r="H16" s="3114">
        <v>0.5</v>
      </c>
      <c r="I16" s="3114">
        <v>0.5</v>
      </c>
      <c r="J16" s="3114">
        <v>1</v>
      </c>
      <c r="K16" s="3114">
        <v>1</v>
      </c>
      <c r="M16" s="2024"/>
      <c r="N16" s="3113" t="s">
        <v>7231</v>
      </c>
      <c r="O16" s="3114">
        <v>12</v>
      </c>
      <c r="P16" s="3115"/>
      <c r="Q16" s="3116" t="s">
        <v>7233</v>
      </c>
      <c r="R16" s="3114">
        <v>0</v>
      </c>
      <c r="S16" s="3114">
        <v>0</v>
      </c>
      <c r="T16" s="3114">
        <v>0.5</v>
      </c>
      <c r="U16" s="3114">
        <v>0.5</v>
      </c>
      <c r="V16" s="3114">
        <v>1</v>
      </c>
      <c r="W16" s="3114">
        <v>1</v>
      </c>
    </row>
    <row r="17" spans="2:23" ht="18" customHeight="1">
      <c r="B17" s="3113" t="s">
        <v>7234</v>
      </c>
      <c r="C17" s="3114">
        <v>22</v>
      </c>
      <c r="D17" s="3115" t="s">
        <v>7235</v>
      </c>
      <c r="E17" s="3116" t="s">
        <v>7236</v>
      </c>
      <c r="F17" s="3114">
        <v>0.25</v>
      </c>
      <c r="G17" s="3114">
        <v>0.25</v>
      </c>
      <c r="H17" s="3114">
        <v>0.5</v>
      </c>
      <c r="I17" s="3114">
        <v>0.5</v>
      </c>
      <c r="J17" s="3114">
        <v>0.75</v>
      </c>
      <c r="K17" s="3114">
        <v>0.75</v>
      </c>
      <c r="M17" s="2024"/>
      <c r="N17" s="3113" t="s">
        <v>7234</v>
      </c>
      <c r="O17" s="3114">
        <v>22</v>
      </c>
      <c r="P17" s="3115" t="s">
        <v>7235</v>
      </c>
      <c r="Q17" s="3116" t="s">
        <v>7236</v>
      </c>
      <c r="R17" s="3114">
        <v>0.25</v>
      </c>
      <c r="S17" s="3114">
        <v>0.25</v>
      </c>
      <c r="T17" s="3114">
        <v>0.5</v>
      </c>
      <c r="U17" s="3114">
        <v>0.5</v>
      </c>
      <c r="V17" s="3114">
        <v>0.75</v>
      </c>
      <c r="W17" s="3114">
        <v>0.75</v>
      </c>
    </row>
    <row r="18" spans="2:23" ht="18" customHeight="1">
      <c r="B18" s="3113" t="s">
        <v>7237</v>
      </c>
      <c r="C18" s="3114">
        <v>25</v>
      </c>
      <c r="D18" s="3115" t="s">
        <v>7238</v>
      </c>
      <c r="E18" s="3116" t="s">
        <v>7239</v>
      </c>
      <c r="F18" s="3114">
        <v>0.125</v>
      </c>
      <c r="G18" s="3114">
        <v>0.375</v>
      </c>
      <c r="H18" s="3114">
        <v>0.5</v>
      </c>
      <c r="I18" s="3114">
        <v>0.5</v>
      </c>
      <c r="J18" s="3114">
        <v>0.625</v>
      </c>
      <c r="K18" s="3114">
        <v>0.875</v>
      </c>
      <c r="M18" s="2024"/>
      <c r="N18" s="3113" t="s">
        <v>7237</v>
      </c>
      <c r="O18" s="3114">
        <v>25</v>
      </c>
      <c r="P18" s="3115" t="s">
        <v>7238</v>
      </c>
      <c r="Q18" s="3116" t="s">
        <v>7239</v>
      </c>
      <c r="R18" s="3114">
        <v>0.125</v>
      </c>
      <c r="S18" s="3114">
        <v>0.375</v>
      </c>
      <c r="T18" s="3114">
        <v>0.5</v>
      </c>
      <c r="U18" s="3114">
        <v>0.5</v>
      </c>
      <c r="V18" s="3114">
        <v>0.625</v>
      </c>
      <c r="W18" s="3114">
        <v>0.875</v>
      </c>
    </row>
    <row r="19" spans="2:23" ht="18" customHeight="1">
      <c r="B19" s="3113" t="s">
        <v>7240</v>
      </c>
      <c r="C19" s="3114">
        <v>26</v>
      </c>
      <c r="D19" s="3115" t="s">
        <v>7241</v>
      </c>
      <c r="E19" s="3116" t="s">
        <v>7242</v>
      </c>
      <c r="F19" s="3114">
        <v>0.125</v>
      </c>
      <c r="G19" s="3114">
        <v>0.125</v>
      </c>
      <c r="H19" s="3114">
        <v>0.5</v>
      </c>
      <c r="I19" s="3114">
        <v>0.5</v>
      </c>
      <c r="J19" s="3114">
        <v>0.875</v>
      </c>
      <c r="K19" s="3114">
        <v>0.875</v>
      </c>
      <c r="M19" s="2024"/>
      <c r="N19" s="3113" t="s">
        <v>7240</v>
      </c>
      <c r="O19" s="3114">
        <v>26</v>
      </c>
      <c r="P19" s="3115" t="s">
        <v>7241</v>
      </c>
      <c r="Q19" s="3116" t="s">
        <v>7242</v>
      </c>
      <c r="R19" s="3114">
        <v>0.125</v>
      </c>
      <c r="S19" s="3114">
        <v>0.125</v>
      </c>
      <c r="T19" s="3114">
        <v>0.5</v>
      </c>
      <c r="U19" s="3114">
        <v>0.5</v>
      </c>
      <c r="V19" s="3114">
        <v>0.875</v>
      </c>
      <c r="W19" s="3114">
        <v>0.875</v>
      </c>
    </row>
    <row r="20" spans="2:23" ht="18" customHeight="1">
      <c r="B20" s="3113" t="s">
        <v>7243</v>
      </c>
      <c r="C20" s="3114">
        <v>27</v>
      </c>
      <c r="D20" s="3115" t="s">
        <v>7244</v>
      </c>
      <c r="E20" s="3116" t="s">
        <v>7245</v>
      </c>
      <c r="F20" s="3114">
        <v>6.25E-2</v>
      </c>
      <c r="G20" s="3114">
        <v>6.25E-2</v>
      </c>
      <c r="H20" s="3114">
        <v>0.75</v>
      </c>
      <c r="I20" s="3114">
        <v>0.75</v>
      </c>
      <c r="J20" s="3114">
        <v>0.9375</v>
      </c>
      <c r="K20" s="3114">
        <v>0.9375</v>
      </c>
      <c r="M20" s="2025"/>
      <c r="N20" s="3113" t="s">
        <v>7243</v>
      </c>
      <c r="O20" s="3114">
        <v>27</v>
      </c>
      <c r="P20" s="3115" t="s">
        <v>7244</v>
      </c>
      <c r="Q20" s="3116" t="s">
        <v>7245</v>
      </c>
      <c r="R20" s="3114">
        <v>6.25E-2</v>
      </c>
      <c r="S20" s="3114">
        <v>6.25E-2</v>
      </c>
      <c r="T20" s="3114">
        <v>0.75</v>
      </c>
      <c r="U20" s="3114">
        <v>0.75</v>
      </c>
      <c r="V20" s="3114">
        <v>0.9375</v>
      </c>
      <c r="W20" s="3114">
        <v>0.9375</v>
      </c>
    </row>
    <row r="21" spans="2:23" ht="18" customHeight="1">
      <c r="B21" s="3113" t="s">
        <v>7246</v>
      </c>
      <c r="C21" s="3114">
        <v>33</v>
      </c>
      <c r="D21" s="3115"/>
      <c r="E21" s="3117" t="s">
        <v>7247</v>
      </c>
      <c r="F21" s="3114">
        <v>0.2</v>
      </c>
      <c r="G21" s="3114">
        <v>0.2</v>
      </c>
      <c r="H21" s="3114">
        <v>0.4</v>
      </c>
      <c r="I21" s="3114">
        <v>0.4</v>
      </c>
      <c r="J21" s="3114">
        <v>0.7</v>
      </c>
      <c r="K21" s="3114">
        <v>0.7</v>
      </c>
      <c r="M21" s="2025"/>
      <c r="N21" s="3113" t="s">
        <v>7246</v>
      </c>
      <c r="O21" s="3114">
        <v>33</v>
      </c>
      <c r="P21" s="3115"/>
      <c r="Q21" s="3117" t="s">
        <v>7247</v>
      </c>
      <c r="R21" s="3114">
        <v>0.2</v>
      </c>
      <c r="S21" s="3114">
        <v>0.2</v>
      </c>
      <c r="T21" s="3114">
        <v>0.4</v>
      </c>
      <c r="U21" s="3114">
        <v>0.4</v>
      </c>
      <c r="V21" s="3114">
        <v>0.7</v>
      </c>
      <c r="W21" s="3114">
        <v>0.7</v>
      </c>
    </row>
    <row r="22" spans="2:23" ht="18" customHeight="1">
      <c r="B22" s="3113" t="s">
        <v>7248</v>
      </c>
      <c r="C22" s="3114">
        <v>34</v>
      </c>
      <c r="D22" s="3115"/>
      <c r="E22" s="3116" t="s">
        <v>7249</v>
      </c>
      <c r="F22" s="3114">
        <v>0.1</v>
      </c>
      <c r="G22" s="3114">
        <v>0.3</v>
      </c>
      <c r="H22" s="3114">
        <v>0.4</v>
      </c>
      <c r="I22" s="3114">
        <v>0.4</v>
      </c>
      <c r="J22" s="3114">
        <v>0.55000000000000004</v>
      </c>
      <c r="K22" s="3114">
        <v>0.85</v>
      </c>
      <c r="N22" s="3113" t="s">
        <v>7248</v>
      </c>
      <c r="O22" s="3114">
        <v>34</v>
      </c>
      <c r="P22" s="3115"/>
      <c r="Q22" s="3116" t="s">
        <v>7249</v>
      </c>
      <c r="R22" s="3114">
        <v>0.1</v>
      </c>
      <c r="S22" s="3114">
        <v>0.3</v>
      </c>
      <c r="T22" s="3114">
        <v>0.4</v>
      </c>
      <c r="U22" s="3114">
        <v>0.4</v>
      </c>
      <c r="V22" s="3114">
        <v>0.55000000000000004</v>
      </c>
      <c r="W22" s="3114">
        <v>0.85</v>
      </c>
    </row>
    <row r="23" spans="2:23" ht="18" customHeight="1">
      <c r="B23" s="3113" t="s">
        <v>7250</v>
      </c>
      <c r="C23" s="3118">
        <v>35</v>
      </c>
      <c r="D23" s="3115" t="s">
        <v>7251</v>
      </c>
      <c r="E23" s="3116" t="s">
        <v>7252</v>
      </c>
      <c r="F23" s="3114">
        <v>0.125</v>
      </c>
      <c r="G23" s="3119" t="s">
        <v>12640</v>
      </c>
      <c r="H23" s="3119" t="s">
        <v>12641</v>
      </c>
      <c r="I23" s="3119" t="s">
        <v>12641</v>
      </c>
      <c r="J23" s="3119" t="s">
        <v>12641</v>
      </c>
      <c r="K23" s="3119" t="s">
        <v>12641</v>
      </c>
      <c r="N23" s="3113" t="s">
        <v>7250</v>
      </c>
      <c r="O23" s="3118">
        <v>35</v>
      </c>
      <c r="P23" s="3115" t="s">
        <v>7251</v>
      </c>
      <c r="Q23" s="3116" t="s">
        <v>7252</v>
      </c>
      <c r="R23" s="3114">
        <v>0.125</v>
      </c>
      <c r="S23" s="3120">
        <f>(1.25+0.125*(PI()))/(2*(PI()))</f>
        <v>0.26144367886486919</v>
      </c>
      <c r="T23" s="3120">
        <f>S23+0.125</f>
        <v>0.38644367886486919</v>
      </c>
      <c r="U23" s="3120">
        <f>T23</f>
        <v>0.38644367886486919</v>
      </c>
      <c r="V23" s="3120">
        <f>U23</f>
        <v>0.38644367886486919</v>
      </c>
      <c r="W23" s="3120">
        <f>V23</f>
        <v>0.38644367886486919</v>
      </c>
    </row>
    <row r="24" spans="2:23" ht="18" customHeight="1">
      <c r="B24" s="3113" t="s">
        <v>7255</v>
      </c>
      <c r="C24" s="3114">
        <v>43</v>
      </c>
      <c r="D24" s="3115"/>
      <c r="E24" s="3116" t="s">
        <v>12642</v>
      </c>
      <c r="F24" s="3114">
        <v>0.25</v>
      </c>
      <c r="G24" s="3114">
        <v>0.25</v>
      </c>
      <c r="H24" s="3114">
        <v>0.5</v>
      </c>
      <c r="I24" s="3114">
        <v>0.5</v>
      </c>
      <c r="J24" s="3114">
        <v>1</v>
      </c>
      <c r="K24" s="3114">
        <v>1</v>
      </c>
      <c r="N24" s="3113" t="s">
        <v>7255</v>
      </c>
      <c r="O24" s="3114">
        <v>43</v>
      </c>
      <c r="P24" s="3115"/>
      <c r="Q24" s="3116" t="s">
        <v>12642</v>
      </c>
      <c r="R24" s="3114">
        <v>0.25</v>
      </c>
      <c r="S24" s="3114">
        <v>0.25</v>
      </c>
      <c r="T24" s="3114">
        <v>0.5</v>
      </c>
      <c r="U24" s="3114">
        <v>0.5</v>
      </c>
      <c r="V24" s="3114">
        <v>1</v>
      </c>
      <c r="W24" s="3114">
        <v>1</v>
      </c>
    </row>
    <row r="25" spans="2:23" ht="18" customHeight="1">
      <c r="B25" s="3113" t="s">
        <v>7257</v>
      </c>
      <c r="C25" s="3114">
        <v>44</v>
      </c>
      <c r="D25" s="3115"/>
      <c r="E25" s="3116" t="s">
        <v>7258</v>
      </c>
      <c r="F25" s="3114">
        <v>0.2</v>
      </c>
      <c r="G25" s="3114">
        <v>0.2</v>
      </c>
      <c r="H25" s="3114">
        <v>0.4</v>
      </c>
      <c r="I25" s="3114">
        <v>0.4</v>
      </c>
      <c r="J25" s="3114">
        <v>1</v>
      </c>
      <c r="K25" s="3114">
        <v>1</v>
      </c>
      <c r="N25" s="3113" t="s">
        <v>7257</v>
      </c>
      <c r="O25" s="3114">
        <v>44</v>
      </c>
      <c r="P25" s="3115"/>
      <c r="Q25" s="3116" t="s">
        <v>7258</v>
      </c>
      <c r="R25" s="3114">
        <v>0.2</v>
      </c>
      <c r="S25" s="3114">
        <v>0.2</v>
      </c>
      <c r="T25" s="3114">
        <v>0.4</v>
      </c>
      <c r="U25" s="3114">
        <v>0.4</v>
      </c>
      <c r="V25" s="3114">
        <v>1</v>
      </c>
      <c r="W25" s="3114">
        <v>1</v>
      </c>
    </row>
    <row r="26" spans="2:23" ht="18" customHeight="1">
      <c r="B26" s="3113" t="s">
        <v>7259</v>
      </c>
      <c r="C26" s="3118">
        <v>45</v>
      </c>
      <c r="D26" s="3115"/>
      <c r="E26" s="3116" t="s">
        <v>12643</v>
      </c>
      <c r="F26" s="3114">
        <v>0.125</v>
      </c>
      <c r="G26" s="3121" t="s">
        <v>7261</v>
      </c>
      <c r="H26" s="3121" t="s">
        <v>7262</v>
      </c>
      <c r="I26" s="3121" t="s">
        <v>7262</v>
      </c>
      <c r="J26" s="3121" t="s">
        <v>7262</v>
      </c>
      <c r="K26" s="3122">
        <v>1</v>
      </c>
      <c r="N26" s="3113" t="s">
        <v>7259</v>
      </c>
      <c r="O26" s="3118">
        <v>45</v>
      </c>
      <c r="P26" s="3115"/>
      <c r="Q26" s="3116" t="s">
        <v>12643</v>
      </c>
      <c r="R26" s="3114">
        <v>0.125</v>
      </c>
      <c r="S26" s="3121">
        <f>7/16-0.125*(PI())</f>
        <v>4.4800918301275861E-2</v>
      </c>
      <c r="T26" s="3121">
        <f>S26+0.125</f>
        <v>0.16980091830127586</v>
      </c>
      <c r="U26" s="3121">
        <f>T26</f>
        <v>0.16980091830127586</v>
      </c>
      <c r="V26" s="3121">
        <f>U26</f>
        <v>0.16980091830127586</v>
      </c>
      <c r="W26" s="3122">
        <v>1</v>
      </c>
    </row>
    <row r="27" spans="2:23" ht="18" customHeight="1">
      <c r="B27" s="3113" t="s">
        <v>7263</v>
      </c>
      <c r="C27" s="3114">
        <v>46</v>
      </c>
      <c r="D27" s="3115"/>
      <c r="E27" s="3116" t="s">
        <v>12644</v>
      </c>
      <c r="F27" s="3114">
        <v>0.125</v>
      </c>
      <c r="G27" s="3114">
        <v>0.375</v>
      </c>
      <c r="H27" s="3114">
        <v>0.5</v>
      </c>
      <c r="I27" s="3114">
        <v>0.5</v>
      </c>
      <c r="J27" s="3114">
        <v>0.67500000000000004</v>
      </c>
      <c r="K27" s="3114">
        <v>1</v>
      </c>
      <c r="N27" s="3113" t="s">
        <v>7263</v>
      </c>
      <c r="O27" s="3114">
        <v>46</v>
      </c>
      <c r="P27" s="3115"/>
      <c r="Q27" s="3116" t="s">
        <v>12644</v>
      </c>
      <c r="R27" s="3114">
        <v>0.125</v>
      </c>
      <c r="S27" s="3114">
        <v>0.375</v>
      </c>
      <c r="T27" s="3114">
        <v>0.5</v>
      </c>
      <c r="U27" s="3114">
        <v>0.5</v>
      </c>
      <c r="V27" s="3114">
        <v>0.67500000000000004</v>
      </c>
      <c r="W27" s="3114">
        <v>1</v>
      </c>
    </row>
    <row r="28" spans="2:23" ht="18" customHeight="1">
      <c r="B28" s="3113" t="s">
        <v>7265</v>
      </c>
      <c r="C28" s="3118">
        <v>47</v>
      </c>
      <c r="D28" s="3115"/>
      <c r="E28" s="3116" t="s">
        <v>12645</v>
      </c>
      <c r="F28" s="3114">
        <v>0.125</v>
      </c>
      <c r="G28" s="3121" t="s">
        <v>7267</v>
      </c>
      <c r="H28" s="3121" t="s">
        <v>7268</v>
      </c>
      <c r="I28" s="3121" t="s">
        <v>7268</v>
      </c>
      <c r="J28" s="3121" t="s">
        <v>7269</v>
      </c>
      <c r="K28" s="3122">
        <v>1</v>
      </c>
      <c r="N28" s="3113" t="s">
        <v>7265</v>
      </c>
      <c r="O28" s="3118">
        <v>47</v>
      </c>
      <c r="P28" s="3115"/>
      <c r="Q28" s="3116" t="s">
        <v>12645</v>
      </c>
      <c r="R28" s="3114">
        <v>0.125</v>
      </c>
      <c r="S28" s="3115" t="s">
        <v>7267</v>
      </c>
      <c r="T28" s="3115" t="s">
        <v>7268</v>
      </c>
      <c r="U28" s="3115" t="s">
        <v>7268</v>
      </c>
      <c r="V28" s="3115" t="s">
        <v>7269</v>
      </c>
      <c r="W28" s="3114">
        <v>1</v>
      </c>
    </row>
    <row r="29" spans="2:23" ht="18" customHeight="1">
      <c r="B29" s="3113" t="s">
        <v>7270</v>
      </c>
      <c r="C29" s="3114">
        <v>48</v>
      </c>
      <c r="D29" s="3115"/>
      <c r="E29" s="3116" t="s">
        <v>7271</v>
      </c>
      <c r="F29" s="3114">
        <v>0.125</v>
      </c>
      <c r="G29" s="3114">
        <v>0.125</v>
      </c>
      <c r="H29" s="3114">
        <v>0.5</v>
      </c>
      <c r="I29" s="3114">
        <v>0.5</v>
      </c>
      <c r="J29" s="3114">
        <v>1</v>
      </c>
      <c r="K29" s="3114">
        <v>1</v>
      </c>
      <c r="N29" s="3113" t="s">
        <v>7270</v>
      </c>
      <c r="O29" s="3114">
        <v>48</v>
      </c>
      <c r="P29" s="3115"/>
      <c r="Q29" s="3116" t="s">
        <v>7271</v>
      </c>
      <c r="R29" s="3114">
        <v>0.125</v>
      </c>
      <c r="S29" s="3114">
        <v>0.125</v>
      </c>
      <c r="T29" s="3114">
        <v>0.5</v>
      </c>
      <c r="U29" s="3114">
        <v>0.5</v>
      </c>
      <c r="V29" s="3114">
        <v>1</v>
      </c>
      <c r="W29" s="3114">
        <v>1</v>
      </c>
    </row>
    <row r="30" spans="2:23" ht="18" customHeight="1">
      <c r="B30" s="3113" t="s">
        <v>7272</v>
      </c>
      <c r="C30" s="3118">
        <v>49</v>
      </c>
      <c r="D30" s="3115"/>
      <c r="E30" s="3116" t="s">
        <v>7273</v>
      </c>
      <c r="F30" s="3114">
        <v>0.125</v>
      </c>
      <c r="G30" s="3121" t="s">
        <v>7274</v>
      </c>
      <c r="H30" s="3121" t="s">
        <v>7275</v>
      </c>
      <c r="I30" s="3121" t="s">
        <v>7275</v>
      </c>
      <c r="J30" s="3122">
        <v>1</v>
      </c>
      <c r="K30" s="3122">
        <v>1</v>
      </c>
      <c r="N30" s="3113" t="s">
        <v>7272</v>
      </c>
      <c r="O30" s="3118">
        <v>49</v>
      </c>
      <c r="P30" s="3115"/>
      <c r="Q30" s="3116" t="s">
        <v>7273</v>
      </c>
      <c r="R30" s="3114">
        <v>0.125</v>
      </c>
      <c r="S30" s="3115" t="s">
        <v>7274</v>
      </c>
      <c r="T30" s="3115" t="s">
        <v>7275</v>
      </c>
      <c r="U30" s="3115" t="s">
        <v>7275</v>
      </c>
      <c r="V30" s="3114">
        <v>1</v>
      </c>
      <c r="W30" s="3114">
        <v>1</v>
      </c>
    </row>
    <row r="31" spans="2:23" ht="18" customHeight="1">
      <c r="B31" s="3113" t="s">
        <v>7276</v>
      </c>
      <c r="C31" s="3114">
        <v>51</v>
      </c>
      <c r="D31" s="3115"/>
      <c r="E31" s="3116" t="s">
        <v>7277</v>
      </c>
      <c r="F31" s="3114">
        <v>0</v>
      </c>
      <c r="G31" s="3115">
        <v>0.25</v>
      </c>
      <c r="H31" s="3115">
        <v>0.5</v>
      </c>
      <c r="I31" s="3115">
        <v>0.5</v>
      </c>
      <c r="J31" s="3114">
        <v>0.75</v>
      </c>
      <c r="K31" s="3114">
        <v>1</v>
      </c>
      <c r="N31" s="3113" t="s">
        <v>7276</v>
      </c>
      <c r="O31" s="3114">
        <v>51</v>
      </c>
      <c r="P31" s="3115"/>
      <c r="Q31" s="3116" t="s">
        <v>7277</v>
      </c>
      <c r="R31" s="3114">
        <v>0</v>
      </c>
      <c r="S31" s="3115">
        <v>0.25</v>
      </c>
      <c r="T31" s="3115">
        <v>0.5</v>
      </c>
      <c r="U31" s="3115">
        <v>0.5</v>
      </c>
      <c r="V31" s="3114">
        <v>0.75</v>
      </c>
      <c r="W31" s="3114">
        <v>1</v>
      </c>
    </row>
    <row r="32" spans="2:23" ht="18" customHeight="1">
      <c r="B32" s="3113" t="s">
        <v>7278</v>
      </c>
      <c r="C32" s="3114">
        <v>52</v>
      </c>
      <c r="D32" s="3115"/>
      <c r="E32" s="3116" t="s">
        <v>7279</v>
      </c>
      <c r="F32" s="3114">
        <v>0</v>
      </c>
      <c r="G32" s="3115">
        <v>0</v>
      </c>
      <c r="H32" s="3115">
        <v>0.75</v>
      </c>
      <c r="I32" s="3115">
        <v>0.75</v>
      </c>
      <c r="J32" s="3114">
        <v>1</v>
      </c>
      <c r="K32" s="3114">
        <v>1</v>
      </c>
      <c r="N32" s="3113" t="s">
        <v>7278</v>
      </c>
      <c r="O32" s="3114">
        <v>52</v>
      </c>
      <c r="P32" s="3115"/>
      <c r="Q32" s="3116" t="s">
        <v>7279</v>
      </c>
      <c r="R32" s="3114">
        <v>0</v>
      </c>
      <c r="S32" s="3115">
        <v>0</v>
      </c>
      <c r="T32" s="3115">
        <v>0.75</v>
      </c>
      <c r="U32" s="3115">
        <v>0.75</v>
      </c>
      <c r="V32" s="3114">
        <v>1</v>
      </c>
      <c r="W32" s="3114">
        <v>1</v>
      </c>
    </row>
    <row r="33" spans="1:256" ht="18" customHeight="1">
      <c r="B33" s="3113" t="s">
        <v>7280</v>
      </c>
      <c r="C33" s="3114">
        <v>92</v>
      </c>
      <c r="D33" s="3115"/>
      <c r="E33" s="3116" t="s">
        <v>12646</v>
      </c>
      <c r="F33" s="3114">
        <v>0</v>
      </c>
      <c r="G33" s="3115">
        <v>0.25</v>
      </c>
      <c r="H33" s="3123" t="s">
        <v>7282</v>
      </c>
      <c r="I33" s="3123" t="s">
        <v>7282</v>
      </c>
      <c r="J33" s="3123" t="s">
        <v>7283</v>
      </c>
      <c r="K33" s="3123" t="s">
        <v>7283</v>
      </c>
      <c r="N33" s="3113" t="s">
        <v>7280</v>
      </c>
      <c r="O33" s="3114">
        <v>92</v>
      </c>
      <c r="P33" s="3115"/>
      <c r="Q33" s="3116" t="s">
        <v>12646</v>
      </c>
      <c r="R33" s="3114">
        <v>0</v>
      </c>
      <c r="S33" s="3115">
        <v>0.25</v>
      </c>
      <c r="T33" s="3123" t="s">
        <v>7282</v>
      </c>
      <c r="U33" s="3123" t="s">
        <v>7282</v>
      </c>
      <c r="V33" s="3123" t="s">
        <v>7283</v>
      </c>
      <c r="W33" s="3123" t="s">
        <v>7283</v>
      </c>
    </row>
    <row r="34" spans="1:256" ht="18" customHeight="1">
      <c r="B34" s="3124" t="s">
        <v>7284</v>
      </c>
      <c r="C34" s="3125"/>
      <c r="D34" s="3126" t="s">
        <v>7285</v>
      </c>
      <c r="E34" s="3127"/>
      <c r="F34" s="3128"/>
      <c r="G34" s="3128"/>
      <c r="H34" s="3128"/>
      <c r="I34" s="3128"/>
      <c r="J34" s="3128"/>
      <c r="K34" s="3129"/>
      <c r="N34" s="3124" t="s">
        <v>7284</v>
      </c>
      <c r="O34" s="3125"/>
      <c r="P34" s="3126" t="s">
        <v>7285</v>
      </c>
      <c r="Q34" s="3127"/>
      <c r="R34" s="3128"/>
      <c r="S34" s="3128"/>
      <c r="T34" s="3128"/>
      <c r="U34" s="3128"/>
      <c r="V34" s="3128"/>
      <c r="W34" s="3129"/>
    </row>
    <row r="35" spans="1:256" ht="18" customHeight="1">
      <c r="B35" s="3130"/>
      <c r="D35" s="2012" t="s">
        <v>7286</v>
      </c>
      <c r="E35" s="2013" t="s">
        <v>12647</v>
      </c>
      <c r="G35" s="2014"/>
      <c r="K35" s="2027"/>
      <c r="N35" s="3130"/>
      <c r="P35" s="2012" t="s">
        <v>7286</v>
      </c>
      <c r="Q35" s="2013" t="s">
        <v>12647</v>
      </c>
      <c r="R35" s="2030" t="s">
        <v>5934</v>
      </c>
      <c r="S35" s="1996">
        <f>(1.25+0.125*PI())/(2*PI())</f>
        <v>0.26144367886486919</v>
      </c>
      <c r="W35" s="2027"/>
    </row>
    <row r="36" spans="1:256" ht="18" customHeight="1">
      <c r="B36" s="3130"/>
      <c r="D36" s="2012" t="s">
        <v>7288</v>
      </c>
      <c r="E36" s="2013" t="s">
        <v>12648</v>
      </c>
      <c r="K36" s="2027"/>
      <c r="N36" s="3130"/>
      <c r="P36" s="2012" t="s">
        <v>7288</v>
      </c>
      <c r="Q36" s="2013" t="s">
        <v>12648</v>
      </c>
      <c r="R36" s="2030" t="s">
        <v>5934</v>
      </c>
      <c r="S36" s="1996">
        <f>7/16-0.125*PI()</f>
        <v>4.4800918301275861E-2</v>
      </c>
      <c r="W36" s="2027"/>
    </row>
    <row r="37" spans="1:256" ht="18" customHeight="1">
      <c r="B37" s="3130"/>
      <c r="D37" s="2012" t="s">
        <v>7290</v>
      </c>
      <c r="E37" s="2015" t="s">
        <v>7291</v>
      </c>
      <c r="K37" s="2027"/>
      <c r="N37" s="3130"/>
      <c r="P37" s="2012" t="s">
        <v>7290</v>
      </c>
      <c r="Q37" s="2015" t="s">
        <v>7291</v>
      </c>
      <c r="R37" s="2030" t="s">
        <v>5934</v>
      </c>
      <c r="S37" s="1996">
        <f>0.6*(1-7/(18*PI()))-(5/24)</f>
        <v>0.31739435989044884</v>
      </c>
      <c r="W37" s="2027"/>
    </row>
    <row r="38" spans="1:256" ht="18" customHeight="1">
      <c r="B38" s="2016"/>
      <c r="C38" s="2017"/>
      <c r="D38" s="2018" t="s">
        <v>7292</v>
      </c>
      <c r="E38" s="2019" t="s">
        <v>7293</v>
      </c>
      <c r="F38" s="2017"/>
      <c r="G38" s="2017"/>
      <c r="H38" s="2017"/>
      <c r="I38" s="2017"/>
      <c r="J38" s="2017"/>
      <c r="K38" s="2028"/>
      <c r="N38" s="2016"/>
      <c r="O38" s="2017"/>
      <c r="P38" s="2018" t="s">
        <v>7292</v>
      </c>
      <c r="Q38" s="2019" t="s">
        <v>7293</v>
      </c>
      <c r="R38" s="2030" t="s">
        <v>5934</v>
      </c>
      <c r="S38" s="2017">
        <f>(10+PI())/(16+8*PI())</f>
        <v>0.31949226482417137</v>
      </c>
      <c r="T38" s="2017"/>
      <c r="U38" s="2017"/>
      <c r="V38" s="2017"/>
      <c r="W38" s="2028"/>
    </row>
    <row r="39" spans="1:256" s="1995" customFormat="1" ht="18" customHeight="1">
      <c r="A39" s="3162" t="s">
        <v>12708</v>
      </c>
      <c r="B39" s="1996"/>
      <c r="C39" s="1996"/>
      <c r="D39" s="1996"/>
      <c r="E39" s="1996"/>
      <c r="F39" s="1996"/>
      <c r="G39" s="1996"/>
      <c r="H39" s="1996"/>
      <c r="I39" s="1996"/>
      <c r="J39" s="1996"/>
      <c r="K39" s="1996"/>
      <c r="L39" s="1996"/>
      <c r="M39" s="3162" t="s">
        <v>12708</v>
      </c>
      <c r="N39" s="1996"/>
      <c r="O39" s="1996"/>
      <c r="P39" s="1996"/>
      <c r="Q39" s="1996"/>
      <c r="R39" s="1996"/>
      <c r="S39" s="1996"/>
      <c r="T39" s="1996"/>
      <c r="U39" s="1996"/>
      <c r="V39" s="1996"/>
      <c r="W39" s="1996"/>
      <c r="X39" s="1996"/>
      <c r="Y39" s="1996"/>
      <c r="Z39" s="1996"/>
      <c r="AA39" s="1996"/>
      <c r="AB39" s="1996"/>
      <c r="AC39" s="1996"/>
      <c r="AD39" s="1996"/>
      <c r="AE39" s="1996"/>
      <c r="AF39" s="1996"/>
      <c r="AG39" s="1996"/>
      <c r="AH39" s="1996"/>
      <c r="AI39" s="1996"/>
      <c r="AJ39" s="1996"/>
      <c r="AK39" s="1996"/>
      <c r="AL39" s="1996"/>
      <c r="AM39" s="1996"/>
      <c r="AN39" s="1996"/>
      <c r="AO39" s="1996"/>
      <c r="AP39" s="1996"/>
      <c r="AQ39" s="1996"/>
      <c r="AR39" s="1996"/>
      <c r="AS39" s="1996"/>
      <c r="AT39" s="1996"/>
      <c r="AU39" s="1996"/>
      <c r="AV39" s="1996"/>
      <c r="AW39" s="1996"/>
      <c r="AX39" s="1996"/>
      <c r="AY39" s="1996"/>
      <c r="AZ39" s="1996"/>
      <c r="BA39" s="1996"/>
      <c r="BB39" s="1996"/>
      <c r="BC39" s="1996"/>
      <c r="BD39" s="1996"/>
      <c r="BE39" s="1996"/>
      <c r="BF39" s="1996"/>
      <c r="BG39" s="1996"/>
      <c r="BH39" s="1996"/>
      <c r="BI39" s="1996"/>
      <c r="BJ39" s="1996"/>
      <c r="BK39" s="1996"/>
      <c r="BL39" s="1996"/>
      <c r="BM39" s="1996"/>
      <c r="BN39" s="1996"/>
      <c r="BO39" s="1996"/>
      <c r="BP39" s="1996"/>
      <c r="BQ39" s="1996"/>
      <c r="BR39" s="1996"/>
      <c r="BS39" s="1996"/>
      <c r="BT39" s="1996"/>
      <c r="BU39" s="1996"/>
      <c r="BV39" s="1996"/>
      <c r="BW39" s="1996"/>
      <c r="BX39" s="1996"/>
      <c r="BY39" s="1996"/>
      <c r="BZ39" s="1996"/>
      <c r="CA39" s="1996"/>
      <c r="CB39" s="1996"/>
      <c r="CC39" s="1996"/>
      <c r="CD39" s="1996"/>
      <c r="CE39" s="1996"/>
      <c r="CF39" s="1996"/>
      <c r="CG39" s="1996"/>
      <c r="CH39" s="1996"/>
      <c r="CI39" s="1996"/>
      <c r="CJ39" s="1996"/>
      <c r="CK39" s="1996"/>
      <c r="CL39" s="1996"/>
      <c r="CM39" s="1996"/>
      <c r="CN39" s="1996"/>
      <c r="CO39" s="1996"/>
      <c r="CP39" s="1996"/>
      <c r="CQ39" s="1996"/>
      <c r="CR39" s="1996"/>
      <c r="CS39" s="1996"/>
      <c r="CT39" s="1996"/>
      <c r="CU39" s="1996"/>
      <c r="CV39" s="1996"/>
      <c r="CW39" s="1996"/>
      <c r="CX39" s="1996"/>
      <c r="CY39" s="1996"/>
      <c r="CZ39" s="1996"/>
      <c r="DA39" s="1996"/>
      <c r="DB39" s="1996"/>
      <c r="DC39" s="1996"/>
      <c r="DD39" s="1996"/>
      <c r="DE39" s="1996"/>
      <c r="DF39" s="1996"/>
      <c r="DG39" s="1996"/>
      <c r="DH39" s="1996"/>
      <c r="DI39" s="1996"/>
      <c r="DJ39" s="1996"/>
      <c r="DK39" s="1996"/>
      <c r="DL39" s="1996"/>
      <c r="DM39" s="1996"/>
      <c r="DN39" s="1996"/>
      <c r="DO39" s="1996"/>
      <c r="DP39" s="1996"/>
      <c r="DQ39" s="1996"/>
      <c r="DR39" s="1996"/>
      <c r="DS39" s="1996"/>
      <c r="DT39" s="1996"/>
      <c r="DU39" s="1996"/>
      <c r="DV39" s="1996"/>
      <c r="DW39" s="1996"/>
      <c r="DX39" s="1996"/>
      <c r="DY39" s="1996"/>
      <c r="DZ39" s="1996"/>
      <c r="EA39" s="1996"/>
      <c r="EB39" s="1996"/>
      <c r="EC39" s="1996"/>
      <c r="ED39" s="1996"/>
      <c r="EE39" s="1996"/>
      <c r="EF39" s="1996"/>
      <c r="EG39" s="1996"/>
      <c r="EH39" s="1996"/>
      <c r="EI39" s="1996"/>
      <c r="EJ39" s="1996"/>
      <c r="EK39" s="1996"/>
      <c r="EL39" s="1996"/>
      <c r="EM39" s="1996"/>
      <c r="EN39" s="1996"/>
      <c r="EO39" s="1996"/>
      <c r="EP39" s="1996"/>
      <c r="EQ39" s="1996"/>
      <c r="ER39" s="1996"/>
      <c r="ES39" s="1996"/>
      <c r="ET39" s="1996"/>
      <c r="EU39" s="1996"/>
      <c r="EV39" s="1996"/>
      <c r="EW39" s="1996"/>
      <c r="EX39" s="1996"/>
      <c r="EY39" s="1996"/>
      <c r="EZ39" s="1996"/>
      <c r="FA39" s="1996"/>
      <c r="FB39" s="1996"/>
      <c r="FC39" s="1996"/>
      <c r="FD39" s="1996"/>
      <c r="FE39" s="1996"/>
      <c r="FF39" s="1996"/>
      <c r="FG39" s="1996"/>
      <c r="FH39" s="1996"/>
      <c r="FI39" s="1996"/>
      <c r="FJ39" s="1996"/>
      <c r="FK39" s="1996"/>
      <c r="FL39" s="1996"/>
      <c r="FM39" s="1996"/>
      <c r="FN39" s="1996"/>
      <c r="FO39" s="1996"/>
      <c r="FP39" s="1996"/>
      <c r="FQ39" s="1996"/>
      <c r="FR39" s="1996"/>
      <c r="FS39" s="1996"/>
      <c r="FT39" s="1996"/>
      <c r="FU39" s="1996"/>
      <c r="FV39" s="1996"/>
      <c r="FW39" s="1996"/>
      <c r="FX39" s="1996"/>
      <c r="FY39" s="1996"/>
      <c r="FZ39" s="1996"/>
      <c r="GA39" s="1996"/>
      <c r="GB39" s="1996"/>
      <c r="GC39" s="1996"/>
      <c r="GD39" s="1996"/>
      <c r="GE39" s="1996"/>
      <c r="GF39" s="1996"/>
      <c r="GG39" s="1996"/>
      <c r="GH39" s="1996"/>
      <c r="GI39" s="1996"/>
      <c r="GJ39" s="1996"/>
      <c r="GK39" s="1996"/>
      <c r="GL39" s="1996"/>
      <c r="GM39" s="1996"/>
      <c r="GN39" s="1996"/>
      <c r="GO39" s="1996"/>
      <c r="GP39" s="1996"/>
      <c r="GQ39" s="1996"/>
      <c r="GR39" s="1996"/>
      <c r="GS39" s="1996"/>
      <c r="GT39" s="1996"/>
      <c r="GU39" s="1996"/>
      <c r="GV39" s="1996"/>
      <c r="GW39" s="1996"/>
      <c r="GX39" s="1996"/>
      <c r="GY39" s="1996"/>
      <c r="GZ39" s="1996"/>
      <c r="HA39" s="1996"/>
      <c r="HB39" s="1996"/>
      <c r="HC39" s="1996"/>
      <c r="HD39" s="1996"/>
      <c r="HE39" s="1996"/>
      <c r="HF39" s="1996"/>
      <c r="HG39" s="1996"/>
      <c r="HH39" s="1996"/>
      <c r="HI39" s="1996"/>
      <c r="HJ39" s="1996"/>
      <c r="HK39" s="1996"/>
      <c r="HL39" s="1996"/>
      <c r="HM39" s="1996"/>
      <c r="HN39" s="1996"/>
      <c r="HO39" s="1996"/>
      <c r="HP39" s="1996"/>
      <c r="HQ39" s="1996"/>
      <c r="HR39" s="1996"/>
      <c r="HS39" s="1996"/>
      <c r="HT39" s="1996"/>
      <c r="HU39" s="1996"/>
      <c r="HV39" s="1996"/>
      <c r="HW39" s="1996"/>
      <c r="HX39" s="1996"/>
      <c r="HY39" s="1996"/>
      <c r="HZ39" s="1996"/>
      <c r="IA39" s="1996"/>
      <c r="IB39" s="1996"/>
      <c r="IC39" s="1996"/>
      <c r="ID39" s="1996"/>
      <c r="IE39" s="1996"/>
      <c r="IF39" s="1996"/>
      <c r="IG39" s="1996"/>
      <c r="IH39" s="1996"/>
      <c r="II39" s="1996"/>
      <c r="IJ39" s="1996"/>
      <c r="IK39" s="1996"/>
      <c r="IL39" s="1996"/>
      <c r="IM39" s="1996"/>
      <c r="IN39" s="1996"/>
      <c r="IO39" s="1996"/>
      <c r="IP39" s="1996"/>
      <c r="IQ39" s="1996"/>
      <c r="IR39" s="1996"/>
      <c r="IS39" s="1996"/>
      <c r="IT39" s="1996"/>
      <c r="IU39" s="1996"/>
      <c r="IV39" s="1996"/>
    </row>
    <row r="40" spans="1:256" ht="18.75">
      <c r="A40" s="2020" t="s">
        <v>1675</v>
      </c>
      <c r="B40" s="3579" t="s">
        <v>7294</v>
      </c>
      <c r="C40" s="3579"/>
      <c r="D40" s="3579"/>
      <c r="E40" s="3579"/>
      <c r="F40" s="3579"/>
      <c r="G40" s="3579"/>
      <c r="H40" s="3579"/>
      <c r="I40" s="3579"/>
    </row>
    <row r="41" spans="1:256" ht="18" customHeight="1">
      <c r="B41" s="3111" t="s">
        <v>1443</v>
      </c>
      <c r="C41" s="3111" t="s">
        <v>7223</v>
      </c>
      <c r="D41" s="3111" t="s">
        <v>7224</v>
      </c>
      <c r="E41" s="3111" t="s">
        <v>7225</v>
      </c>
      <c r="F41" s="4744" t="s">
        <v>7295</v>
      </c>
      <c r="G41" s="4745"/>
      <c r="H41" s="4745"/>
      <c r="I41" s="4745"/>
      <c r="J41" s="4745"/>
      <c r="K41" s="4745"/>
      <c r="L41" s="4745"/>
      <c r="M41" s="4745"/>
      <c r="N41" s="4745"/>
      <c r="O41" s="4746"/>
    </row>
    <row r="42" spans="1:256" ht="18" customHeight="1">
      <c r="B42" s="3113" t="s">
        <v>7228</v>
      </c>
      <c r="C42" s="3114">
        <v>11</v>
      </c>
      <c r="D42" s="3115" t="s">
        <v>7229</v>
      </c>
      <c r="E42" s="3116" t="s">
        <v>7230</v>
      </c>
      <c r="F42" s="3131" t="s">
        <v>7296</v>
      </c>
      <c r="G42" s="1995"/>
      <c r="H42" s="1995"/>
      <c r="I42" s="1995"/>
      <c r="J42" s="1995"/>
      <c r="K42" s="1995"/>
      <c r="L42" s="1995"/>
      <c r="M42" s="1995"/>
      <c r="N42" s="1995"/>
    </row>
    <row r="43" spans="1:256" ht="18" customHeight="1">
      <c r="B43" s="3113" t="s">
        <v>7231</v>
      </c>
      <c r="C43" s="3114">
        <v>12</v>
      </c>
      <c r="D43" s="3115"/>
      <c r="E43" s="3116" t="s">
        <v>7233</v>
      </c>
      <c r="F43" s="3131" t="s">
        <v>7297</v>
      </c>
      <c r="G43" s="1995"/>
      <c r="H43" s="1995"/>
      <c r="I43" s="1995"/>
      <c r="J43" s="1995"/>
      <c r="K43" s="1995"/>
      <c r="L43" s="1995"/>
      <c r="M43" s="1995"/>
      <c r="N43" s="1995"/>
      <c r="O43" s="1995"/>
      <c r="P43" s="1995"/>
    </row>
    <row r="44" spans="1:256" ht="18" customHeight="1">
      <c r="B44" s="3113" t="s">
        <v>7234</v>
      </c>
      <c r="C44" s="3114">
        <v>22</v>
      </c>
      <c r="D44" s="3115" t="s">
        <v>7235</v>
      </c>
      <c r="E44" s="3116" t="s">
        <v>7236</v>
      </c>
      <c r="F44" s="1996" t="s">
        <v>7298</v>
      </c>
    </row>
    <row r="45" spans="1:256" ht="18" customHeight="1">
      <c r="B45" s="3113" t="s">
        <v>7237</v>
      </c>
      <c r="C45" s="3114">
        <v>25</v>
      </c>
      <c r="D45" s="3115" t="s">
        <v>7238</v>
      </c>
      <c r="E45" s="3116" t="s">
        <v>7239</v>
      </c>
      <c r="F45" s="1996" t="s">
        <v>7299</v>
      </c>
    </row>
    <row r="46" spans="1:256" ht="18" customHeight="1">
      <c r="B46" s="3113" t="s">
        <v>7240</v>
      </c>
      <c r="C46" s="3114">
        <v>26</v>
      </c>
      <c r="D46" s="3115" t="s">
        <v>7241</v>
      </c>
      <c r="E46" s="3116" t="s">
        <v>7242</v>
      </c>
      <c r="F46" s="1996" t="s">
        <v>7300</v>
      </c>
    </row>
    <row r="47" spans="1:256" ht="18" customHeight="1">
      <c r="B47" s="3113" t="s">
        <v>7243</v>
      </c>
      <c r="C47" s="3114">
        <v>27</v>
      </c>
      <c r="D47" s="3115" t="s">
        <v>7244</v>
      </c>
      <c r="E47" s="3116" t="s">
        <v>7245</v>
      </c>
      <c r="F47" s="1996" t="s">
        <v>7301</v>
      </c>
    </row>
    <row r="48" spans="1:256" ht="18" customHeight="1">
      <c r="B48" s="3113" t="s">
        <v>7246</v>
      </c>
      <c r="C48" s="3114">
        <v>33</v>
      </c>
      <c r="D48" s="3115"/>
      <c r="E48" s="3117" t="s">
        <v>7247</v>
      </c>
    </row>
    <row r="49" spans="1:256" ht="18" customHeight="1">
      <c r="B49" s="3113" t="s">
        <v>7248</v>
      </c>
      <c r="C49" s="3114">
        <v>34</v>
      </c>
      <c r="D49" s="3115"/>
      <c r="E49" s="3116" t="s">
        <v>7249</v>
      </c>
    </row>
    <row r="50" spans="1:256" ht="18" customHeight="1">
      <c r="B50" s="3113" t="s">
        <v>7250</v>
      </c>
      <c r="C50" s="3114">
        <v>35</v>
      </c>
      <c r="D50" s="3115" t="s">
        <v>7251</v>
      </c>
      <c r="E50" s="3116" t="s">
        <v>7252</v>
      </c>
    </row>
    <row r="51" spans="1:256" ht="18" customHeight="1">
      <c r="B51" s="3113" t="s">
        <v>7255</v>
      </c>
      <c r="C51" s="3114">
        <v>43</v>
      </c>
      <c r="D51" s="3115"/>
      <c r="E51" s="3116" t="s">
        <v>12642</v>
      </c>
    </row>
    <row r="52" spans="1:256" ht="18" customHeight="1">
      <c r="B52" s="3113" t="s">
        <v>7257</v>
      </c>
      <c r="C52" s="3114">
        <v>44</v>
      </c>
      <c r="D52" s="3115"/>
      <c r="E52" s="3116" t="s">
        <v>7258</v>
      </c>
    </row>
    <row r="53" spans="1:256" ht="18" customHeight="1">
      <c r="B53" s="3113" t="s">
        <v>7259</v>
      </c>
      <c r="C53" s="3114">
        <v>45</v>
      </c>
      <c r="D53" s="3115"/>
      <c r="E53" s="3116" t="s">
        <v>12643</v>
      </c>
      <c r="F53" s="1996" t="s">
        <v>7302</v>
      </c>
    </row>
    <row r="54" spans="1:256" ht="18" customHeight="1">
      <c r="B54" s="3113" t="s">
        <v>7263</v>
      </c>
      <c r="C54" s="3114">
        <v>46</v>
      </c>
      <c r="D54" s="3115"/>
      <c r="E54" s="3116" t="s">
        <v>12644</v>
      </c>
    </row>
    <row r="55" spans="1:256" ht="18" customHeight="1">
      <c r="B55" s="3113" t="s">
        <v>7265</v>
      </c>
      <c r="C55" s="3114">
        <v>47</v>
      </c>
      <c r="D55" s="3115"/>
      <c r="E55" s="3116" t="s">
        <v>12645</v>
      </c>
    </row>
    <row r="56" spans="1:256" ht="18" customHeight="1">
      <c r="B56" s="3113" t="s">
        <v>7270</v>
      </c>
      <c r="C56" s="3114">
        <v>48</v>
      </c>
      <c r="D56" s="3115"/>
      <c r="E56" s="3116" t="s">
        <v>7271</v>
      </c>
      <c r="F56" s="1996" t="s">
        <v>7303</v>
      </c>
    </row>
    <row r="57" spans="1:256" ht="18" customHeight="1">
      <c r="B57" s="3113" t="s">
        <v>7272</v>
      </c>
      <c r="C57" s="3114">
        <v>49</v>
      </c>
      <c r="D57" s="3115"/>
      <c r="E57" s="3116" t="s">
        <v>7273</v>
      </c>
    </row>
    <row r="58" spans="1:256" ht="18" customHeight="1">
      <c r="B58" s="3113" t="s">
        <v>7276</v>
      </c>
      <c r="C58" s="3114">
        <v>51</v>
      </c>
      <c r="D58" s="3115"/>
      <c r="E58" s="3116" t="s">
        <v>7277</v>
      </c>
    </row>
    <row r="59" spans="1:256" ht="18" customHeight="1">
      <c r="B59" s="3113" t="s">
        <v>7278</v>
      </c>
      <c r="C59" s="3114">
        <v>52</v>
      </c>
      <c r="D59" s="3115"/>
      <c r="E59" s="3116" t="s">
        <v>7279</v>
      </c>
    </row>
    <row r="60" spans="1:256" ht="18" customHeight="1">
      <c r="B60" s="3113" t="s">
        <v>7280</v>
      </c>
      <c r="C60" s="3114">
        <v>92</v>
      </c>
      <c r="D60" s="3115"/>
      <c r="E60" s="3116" t="s">
        <v>12646</v>
      </c>
    </row>
    <row r="61" spans="1:256" s="1995" customFormat="1" ht="18" customHeight="1">
      <c r="A61" s="1996"/>
      <c r="B61" s="1996"/>
      <c r="C61" s="1996"/>
      <c r="D61" s="1996"/>
      <c r="E61" s="1996"/>
      <c r="F61" s="1996"/>
      <c r="G61" s="1996"/>
      <c r="H61" s="1996"/>
      <c r="I61" s="1996"/>
      <c r="J61" s="1996"/>
      <c r="K61" s="1996"/>
      <c r="L61" s="1996"/>
      <c r="M61" s="1996"/>
      <c r="N61" s="1996"/>
      <c r="O61" s="1996"/>
      <c r="P61" s="1996"/>
      <c r="Q61" s="1996"/>
      <c r="R61" s="1996"/>
      <c r="S61" s="1996"/>
      <c r="T61" s="1996"/>
      <c r="U61" s="1996"/>
      <c r="V61" s="1996"/>
      <c r="W61" s="1996"/>
      <c r="X61" s="1996"/>
      <c r="Y61" s="1996"/>
      <c r="Z61" s="1996"/>
      <c r="AA61" s="1996"/>
      <c r="AB61" s="1996"/>
      <c r="AC61" s="1996"/>
      <c r="AD61" s="1996"/>
      <c r="AE61" s="1996"/>
      <c r="AF61" s="1996"/>
      <c r="AG61" s="1996"/>
      <c r="AH61" s="1996"/>
      <c r="AI61" s="1996"/>
      <c r="AJ61" s="1996"/>
      <c r="AK61" s="1996"/>
      <c r="AL61" s="1996"/>
      <c r="AM61" s="1996"/>
      <c r="AN61" s="1996"/>
      <c r="AO61" s="1996"/>
      <c r="AP61" s="1996"/>
      <c r="AQ61" s="1996"/>
      <c r="AR61" s="1996"/>
      <c r="AS61" s="1996"/>
      <c r="AT61" s="1996"/>
      <c r="AU61" s="1996"/>
      <c r="AV61" s="1996"/>
      <c r="AW61" s="1996"/>
      <c r="AX61" s="1996"/>
      <c r="AY61" s="1996"/>
      <c r="AZ61" s="1996"/>
      <c r="BA61" s="1996"/>
      <c r="BB61" s="1996"/>
      <c r="BC61" s="1996"/>
      <c r="BD61" s="1996"/>
      <c r="BE61" s="1996"/>
      <c r="BF61" s="1996"/>
      <c r="BG61" s="1996"/>
      <c r="BH61" s="1996"/>
      <c r="BI61" s="1996"/>
      <c r="BJ61" s="1996"/>
      <c r="BK61" s="1996"/>
      <c r="BL61" s="1996"/>
      <c r="BM61" s="1996"/>
      <c r="BN61" s="1996"/>
      <c r="BO61" s="1996"/>
      <c r="BP61" s="1996"/>
      <c r="BQ61" s="1996"/>
      <c r="BR61" s="1996"/>
      <c r="BS61" s="1996"/>
      <c r="BT61" s="1996"/>
      <c r="BU61" s="1996"/>
      <c r="BV61" s="1996"/>
      <c r="BW61" s="1996"/>
      <c r="BX61" s="1996"/>
      <c r="BY61" s="1996"/>
      <c r="BZ61" s="1996"/>
      <c r="CA61" s="1996"/>
      <c r="CB61" s="1996"/>
      <c r="CC61" s="1996"/>
      <c r="CD61" s="1996"/>
      <c r="CE61" s="1996"/>
      <c r="CF61" s="1996"/>
      <c r="CG61" s="1996"/>
      <c r="CH61" s="1996"/>
      <c r="CI61" s="1996"/>
      <c r="CJ61" s="1996"/>
      <c r="CK61" s="1996"/>
      <c r="CL61" s="1996"/>
      <c r="CM61" s="1996"/>
      <c r="CN61" s="1996"/>
      <c r="CO61" s="1996"/>
      <c r="CP61" s="1996"/>
      <c r="CQ61" s="1996"/>
      <c r="CR61" s="1996"/>
      <c r="CS61" s="1996"/>
      <c r="CT61" s="1996"/>
      <c r="CU61" s="1996"/>
      <c r="CV61" s="1996"/>
      <c r="CW61" s="1996"/>
      <c r="CX61" s="1996"/>
      <c r="CY61" s="1996"/>
      <c r="CZ61" s="1996"/>
      <c r="DA61" s="1996"/>
      <c r="DB61" s="1996"/>
      <c r="DC61" s="1996"/>
      <c r="DD61" s="1996"/>
      <c r="DE61" s="1996"/>
      <c r="DF61" s="1996"/>
      <c r="DG61" s="1996"/>
      <c r="DH61" s="1996"/>
      <c r="DI61" s="1996"/>
      <c r="DJ61" s="1996"/>
      <c r="DK61" s="1996"/>
      <c r="DL61" s="1996"/>
      <c r="DM61" s="1996"/>
      <c r="DN61" s="1996"/>
      <c r="DO61" s="1996"/>
      <c r="DP61" s="1996"/>
      <c r="DQ61" s="1996"/>
      <c r="DR61" s="1996"/>
      <c r="DS61" s="1996"/>
      <c r="DT61" s="1996"/>
      <c r="DU61" s="1996"/>
      <c r="DV61" s="1996"/>
      <c r="DW61" s="1996"/>
      <c r="DX61" s="1996"/>
      <c r="DY61" s="1996"/>
      <c r="DZ61" s="1996"/>
      <c r="EA61" s="1996"/>
      <c r="EB61" s="1996"/>
      <c r="EC61" s="1996"/>
      <c r="ED61" s="1996"/>
      <c r="EE61" s="1996"/>
      <c r="EF61" s="1996"/>
      <c r="EG61" s="1996"/>
      <c r="EH61" s="1996"/>
      <c r="EI61" s="1996"/>
      <c r="EJ61" s="1996"/>
      <c r="EK61" s="1996"/>
      <c r="EL61" s="1996"/>
      <c r="EM61" s="1996"/>
      <c r="EN61" s="1996"/>
      <c r="EO61" s="1996"/>
      <c r="EP61" s="1996"/>
      <c r="EQ61" s="1996"/>
      <c r="ER61" s="1996"/>
      <c r="ES61" s="1996"/>
      <c r="ET61" s="1996"/>
      <c r="EU61" s="1996"/>
      <c r="EV61" s="1996"/>
      <c r="EW61" s="1996"/>
      <c r="EX61" s="1996"/>
      <c r="EY61" s="1996"/>
      <c r="EZ61" s="1996"/>
      <c r="FA61" s="1996"/>
      <c r="FB61" s="1996"/>
      <c r="FC61" s="1996"/>
      <c r="FD61" s="1996"/>
      <c r="FE61" s="1996"/>
      <c r="FF61" s="1996"/>
      <c r="FG61" s="1996"/>
      <c r="FH61" s="1996"/>
      <c r="FI61" s="1996"/>
      <c r="FJ61" s="1996"/>
      <c r="FK61" s="1996"/>
      <c r="FL61" s="1996"/>
      <c r="FM61" s="1996"/>
      <c r="FN61" s="1996"/>
      <c r="FO61" s="1996"/>
      <c r="FP61" s="1996"/>
      <c r="FQ61" s="1996"/>
      <c r="FR61" s="1996"/>
      <c r="FS61" s="1996"/>
      <c r="FT61" s="1996"/>
      <c r="FU61" s="1996"/>
      <c r="FV61" s="1996"/>
      <c r="FW61" s="1996"/>
      <c r="FX61" s="1996"/>
      <c r="FY61" s="1996"/>
      <c r="FZ61" s="1996"/>
      <c r="GA61" s="1996"/>
      <c r="GB61" s="1996"/>
      <c r="GC61" s="1996"/>
      <c r="GD61" s="1996"/>
      <c r="GE61" s="1996"/>
      <c r="GF61" s="1996"/>
      <c r="GG61" s="1996"/>
      <c r="GH61" s="1996"/>
      <c r="GI61" s="1996"/>
      <c r="GJ61" s="1996"/>
      <c r="GK61" s="1996"/>
      <c r="GL61" s="1996"/>
      <c r="GM61" s="1996"/>
      <c r="GN61" s="1996"/>
      <c r="GO61" s="1996"/>
      <c r="GP61" s="1996"/>
      <c r="GQ61" s="1996"/>
      <c r="GR61" s="1996"/>
      <c r="GS61" s="1996"/>
      <c r="GT61" s="1996"/>
      <c r="GU61" s="1996"/>
      <c r="GV61" s="1996"/>
      <c r="GW61" s="1996"/>
      <c r="GX61" s="1996"/>
      <c r="GY61" s="1996"/>
      <c r="GZ61" s="1996"/>
      <c r="HA61" s="1996"/>
      <c r="HB61" s="1996"/>
      <c r="HC61" s="1996"/>
      <c r="HD61" s="1996"/>
      <c r="HE61" s="1996"/>
      <c r="HF61" s="1996"/>
      <c r="HG61" s="1996"/>
      <c r="HH61" s="1996"/>
      <c r="HI61" s="1996"/>
      <c r="HJ61" s="1996"/>
      <c r="HK61" s="1996"/>
      <c r="HL61" s="1996"/>
      <c r="HM61" s="1996"/>
      <c r="HN61" s="1996"/>
      <c r="HO61" s="1996"/>
      <c r="HP61" s="1996"/>
      <c r="HQ61" s="1996"/>
      <c r="HR61" s="1996"/>
      <c r="HS61" s="1996"/>
      <c r="HT61" s="1996"/>
      <c r="HU61" s="1996"/>
      <c r="HV61" s="1996"/>
      <c r="HW61" s="1996"/>
      <c r="HX61" s="1996"/>
      <c r="HY61" s="1996"/>
      <c r="HZ61" s="1996"/>
      <c r="IA61" s="1996"/>
      <c r="IB61" s="1996"/>
      <c r="IC61" s="1996"/>
      <c r="ID61" s="1996"/>
      <c r="IE61" s="1996"/>
      <c r="IF61" s="1996"/>
      <c r="IG61" s="1996"/>
      <c r="IH61" s="1996"/>
      <c r="II61" s="1996"/>
      <c r="IJ61" s="1996"/>
      <c r="IK61" s="1996"/>
      <c r="IL61" s="1996"/>
      <c r="IM61" s="1996"/>
      <c r="IN61" s="1996"/>
      <c r="IO61" s="1996"/>
      <c r="IP61" s="1996"/>
      <c r="IQ61" s="1996"/>
      <c r="IR61" s="1996"/>
      <c r="IS61" s="1996"/>
      <c r="IT61" s="1996"/>
      <c r="IU61" s="1996"/>
      <c r="IV61" s="1996"/>
    </row>
    <row r="62" spans="1:256" s="1995" customFormat="1" ht="18" customHeight="1">
      <c r="A62" s="3162" t="s">
        <v>12708</v>
      </c>
      <c r="B62" s="1996"/>
      <c r="C62" s="1996"/>
      <c r="D62" s="1996"/>
      <c r="E62" s="1996"/>
      <c r="F62" s="1996"/>
      <c r="G62" s="1996"/>
      <c r="H62" s="1996"/>
      <c r="I62" s="1996"/>
      <c r="J62" s="1996"/>
      <c r="K62" s="1996"/>
      <c r="L62" s="1996"/>
      <c r="M62" s="3162" t="s">
        <v>12708</v>
      </c>
      <c r="N62" s="1996"/>
      <c r="O62" s="1996"/>
      <c r="P62" s="1996"/>
      <c r="Q62" s="1996"/>
      <c r="R62" s="1996"/>
      <c r="S62" s="1996"/>
      <c r="T62" s="1996"/>
      <c r="U62" s="1996"/>
      <c r="V62" s="1996"/>
      <c r="W62" s="1996"/>
      <c r="X62" s="1996"/>
      <c r="Y62" s="1996"/>
      <c r="Z62" s="1996"/>
      <c r="AA62" s="1996"/>
      <c r="AB62" s="1996"/>
      <c r="AC62" s="1996"/>
      <c r="AD62" s="1996"/>
      <c r="AE62" s="1996"/>
      <c r="AF62" s="1996"/>
      <c r="AG62" s="1996"/>
      <c r="AH62" s="1996"/>
      <c r="AI62" s="1996"/>
      <c r="AJ62" s="1996"/>
      <c r="AK62" s="1996"/>
      <c r="AL62" s="1996"/>
      <c r="AM62" s="1996"/>
      <c r="AN62" s="1996"/>
      <c r="AO62" s="1996"/>
      <c r="AP62" s="1996"/>
      <c r="AQ62" s="1996"/>
      <c r="AR62" s="1996"/>
      <c r="AS62" s="1996"/>
      <c r="AT62" s="1996"/>
      <c r="AU62" s="1996"/>
      <c r="AV62" s="1996"/>
      <c r="AW62" s="1996"/>
      <c r="AX62" s="1996"/>
      <c r="AY62" s="1996"/>
      <c r="AZ62" s="1996"/>
      <c r="BA62" s="1996"/>
      <c r="BB62" s="1996"/>
      <c r="BC62" s="1996"/>
      <c r="BD62" s="1996"/>
      <c r="BE62" s="1996"/>
      <c r="BF62" s="1996"/>
      <c r="BG62" s="1996"/>
      <c r="BH62" s="1996"/>
      <c r="BI62" s="1996"/>
      <c r="BJ62" s="1996"/>
      <c r="BK62" s="1996"/>
      <c r="BL62" s="1996"/>
      <c r="BM62" s="1996"/>
      <c r="BN62" s="1996"/>
      <c r="BO62" s="1996"/>
      <c r="BP62" s="1996"/>
      <c r="BQ62" s="1996"/>
      <c r="BR62" s="1996"/>
      <c r="BS62" s="1996"/>
      <c r="BT62" s="1996"/>
      <c r="BU62" s="1996"/>
      <c r="BV62" s="1996"/>
      <c r="BW62" s="1996"/>
      <c r="BX62" s="1996"/>
      <c r="BY62" s="1996"/>
      <c r="BZ62" s="1996"/>
      <c r="CA62" s="1996"/>
      <c r="CB62" s="1996"/>
      <c r="CC62" s="1996"/>
      <c r="CD62" s="1996"/>
      <c r="CE62" s="1996"/>
      <c r="CF62" s="1996"/>
      <c r="CG62" s="1996"/>
      <c r="CH62" s="1996"/>
      <c r="CI62" s="1996"/>
      <c r="CJ62" s="1996"/>
      <c r="CK62" s="1996"/>
      <c r="CL62" s="1996"/>
      <c r="CM62" s="1996"/>
      <c r="CN62" s="1996"/>
      <c r="CO62" s="1996"/>
      <c r="CP62" s="1996"/>
      <c r="CQ62" s="1996"/>
      <c r="CR62" s="1996"/>
      <c r="CS62" s="1996"/>
      <c r="CT62" s="1996"/>
      <c r="CU62" s="1996"/>
      <c r="CV62" s="1996"/>
      <c r="CW62" s="1996"/>
      <c r="CX62" s="1996"/>
      <c r="CY62" s="1996"/>
      <c r="CZ62" s="1996"/>
      <c r="DA62" s="1996"/>
      <c r="DB62" s="1996"/>
      <c r="DC62" s="1996"/>
      <c r="DD62" s="1996"/>
      <c r="DE62" s="1996"/>
      <c r="DF62" s="1996"/>
      <c r="DG62" s="1996"/>
      <c r="DH62" s="1996"/>
      <c r="DI62" s="1996"/>
      <c r="DJ62" s="1996"/>
      <c r="DK62" s="1996"/>
      <c r="DL62" s="1996"/>
      <c r="DM62" s="1996"/>
      <c r="DN62" s="1996"/>
      <c r="DO62" s="1996"/>
      <c r="DP62" s="1996"/>
      <c r="DQ62" s="1996"/>
      <c r="DR62" s="1996"/>
      <c r="DS62" s="1996"/>
      <c r="DT62" s="1996"/>
      <c r="DU62" s="1996"/>
      <c r="DV62" s="1996"/>
      <c r="DW62" s="1996"/>
      <c r="DX62" s="1996"/>
      <c r="DY62" s="1996"/>
      <c r="DZ62" s="1996"/>
      <c r="EA62" s="1996"/>
      <c r="EB62" s="1996"/>
      <c r="EC62" s="1996"/>
      <c r="ED62" s="1996"/>
      <c r="EE62" s="1996"/>
      <c r="EF62" s="1996"/>
      <c r="EG62" s="1996"/>
      <c r="EH62" s="1996"/>
      <c r="EI62" s="1996"/>
      <c r="EJ62" s="1996"/>
      <c r="EK62" s="1996"/>
      <c r="EL62" s="1996"/>
      <c r="EM62" s="1996"/>
      <c r="EN62" s="1996"/>
      <c r="EO62" s="1996"/>
      <c r="EP62" s="1996"/>
      <c r="EQ62" s="1996"/>
      <c r="ER62" s="1996"/>
      <c r="ES62" s="1996"/>
      <c r="ET62" s="1996"/>
      <c r="EU62" s="1996"/>
      <c r="EV62" s="1996"/>
      <c r="EW62" s="1996"/>
      <c r="EX62" s="1996"/>
      <c r="EY62" s="1996"/>
      <c r="EZ62" s="1996"/>
      <c r="FA62" s="1996"/>
      <c r="FB62" s="1996"/>
      <c r="FC62" s="1996"/>
      <c r="FD62" s="1996"/>
      <c r="FE62" s="1996"/>
      <c r="FF62" s="1996"/>
      <c r="FG62" s="1996"/>
      <c r="FH62" s="1996"/>
      <c r="FI62" s="1996"/>
      <c r="FJ62" s="1996"/>
      <c r="FK62" s="1996"/>
      <c r="FL62" s="1996"/>
      <c r="FM62" s="1996"/>
      <c r="FN62" s="1996"/>
      <c r="FO62" s="1996"/>
      <c r="FP62" s="1996"/>
      <c r="FQ62" s="1996"/>
      <c r="FR62" s="1996"/>
      <c r="FS62" s="1996"/>
      <c r="FT62" s="1996"/>
      <c r="FU62" s="1996"/>
      <c r="FV62" s="1996"/>
      <c r="FW62" s="1996"/>
      <c r="FX62" s="1996"/>
      <c r="FY62" s="1996"/>
      <c r="FZ62" s="1996"/>
      <c r="GA62" s="1996"/>
      <c r="GB62" s="1996"/>
      <c r="GC62" s="1996"/>
      <c r="GD62" s="1996"/>
      <c r="GE62" s="1996"/>
      <c r="GF62" s="1996"/>
      <c r="GG62" s="1996"/>
      <c r="GH62" s="1996"/>
      <c r="GI62" s="1996"/>
      <c r="GJ62" s="1996"/>
      <c r="GK62" s="1996"/>
      <c r="GL62" s="1996"/>
      <c r="GM62" s="1996"/>
      <c r="GN62" s="1996"/>
      <c r="GO62" s="1996"/>
      <c r="GP62" s="1996"/>
      <c r="GQ62" s="1996"/>
      <c r="GR62" s="1996"/>
      <c r="GS62" s="1996"/>
      <c r="GT62" s="1996"/>
      <c r="GU62" s="1996"/>
      <c r="GV62" s="1996"/>
      <c r="GW62" s="1996"/>
      <c r="GX62" s="1996"/>
      <c r="GY62" s="1996"/>
      <c r="GZ62" s="1996"/>
      <c r="HA62" s="1996"/>
      <c r="HB62" s="1996"/>
      <c r="HC62" s="1996"/>
      <c r="HD62" s="1996"/>
      <c r="HE62" s="1996"/>
      <c r="HF62" s="1996"/>
      <c r="HG62" s="1996"/>
      <c r="HH62" s="1996"/>
      <c r="HI62" s="1996"/>
      <c r="HJ62" s="1996"/>
      <c r="HK62" s="1996"/>
      <c r="HL62" s="1996"/>
      <c r="HM62" s="1996"/>
      <c r="HN62" s="1996"/>
      <c r="HO62" s="1996"/>
      <c r="HP62" s="1996"/>
      <c r="HQ62" s="1996"/>
      <c r="HR62" s="1996"/>
      <c r="HS62" s="1996"/>
      <c r="HT62" s="1996"/>
      <c r="HU62" s="1996"/>
      <c r="HV62" s="1996"/>
      <c r="HW62" s="1996"/>
      <c r="HX62" s="1996"/>
      <c r="HY62" s="1996"/>
      <c r="HZ62" s="1996"/>
      <c r="IA62" s="1996"/>
      <c r="IB62" s="1996"/>
      <c r="IC62" s="1996"/>
      <c r="ID62" s="1996"/>
      <c r="IE62" s="1996"/>
      <c r="IF62" s="1996"/>
      <c r="IG62" s="1996"/>
      <c r="IH62" s="1996"/>
      <c r="II62" s="1996"/>
      <c r="IJ62" s="1996"/>
      <c r="IK62" s="1996"/>
      <c r="IL62" s="1996"/>
      <c r="IM62" s="1996"/>
      <c r="IN62" s="1996"/>
      <c r="IO62" s="1996"/>
      <c r="IP62" s="1996"/>
      <c r="IQ62" s="1996"/>
      <c r="IR62" s="1996"/>
      <c r="IS62" s="1996"/>
      <c r="IT62" s="1996"/>
      <c r="IU62" s="1996"/>
      <c r="IV62" s="1996"/>
    </row>
    <row r="63" spans="1:256" ht="18.75">
      <c r="A63" s="2020" t="s">
        <v>1708</v>
      </c>
      <c r="B63" s="3579" t="s">
        <v>7304</v>
      </c>
      <c r="C63" s="3579"/>
      <c r="D63" s="3579"/>
      <c r="E63" s="3579"/>
      <c r="F63" s="3579"/>
      <c r="G63" s="3579"/>
      <c r="H63" s="3579"/>
      <c r="I63" s="3579"/>
    </row>
    <row r="64" spans="1:256" s="1995" customFormat="1" ht="18" customHeight="1">
      <c r="B64" s="1995" t="s">
        <v>7228</v>
      </c>
      <c r="C64" s="2022" t="s">
        <v>7305</v>
      </c>
    </row>
    <row r="65" spans="2:16" s="1995" customFormat="1" ht="18" customHeight="1">
      <c r="C65" s="2031" t="s">
        <v>7306</v>
      </c>
      <c r="D65" s="2032" t="s">
        <v>7307</v>
      </c>
      <c r="E65" s="2032"/>
      <c r="F65" s="2032"/>
      <c r="G65" s="2032"/>
      <c r="H65" s="2032"/>
      <c r="I65" s="2032"/>
      <c r="J65" s="2032"/>
      <c r="K65" s="2032"/>
      <c r="L65" s="2032"/>
      <c r="M65" s="2032"/>
      <c r="N65" s="2032"/>
      <c r="O65" s="2032"/>
      <c r="P65" s="2032"/>
    </row>
    <row r="66" spans="2:16" s="1995" customFormat="1" ht="18" customHeight="1">
      <c r="C66" s="2032"/>
      <c r="D66" s="2032" t="s">
        <v>7308</v>
      </c>
      <c r="E66" s="2032"/>
      <c r="F66" s="2032"/>
      <c r="G66" s="2032"/>
      <c r="H66" s="2032"/>
      <c r="I66" s="2032"/>
      <c r="J66" s="2032"/>
      <c r="K66" s="2032"/>
      <c r="L66" s="2032"/>
      <c r="M66" s="2032"/>
      <c r="N66" s="2032"/>
      <c r="O66" s="2032"/>
      <c r="P66" s="2032"/>
    </row>
    <row r="67" spans="2:16" s="1995" customFormat="1" ht="18" customHeight="1">
      <c r="C67" s="2032"/>
      <c r="D67" s="2032" t="s">
        <v>7309</v>
      </c>
      <c r="E67" s="2032"/>
      <c r="F67" s="2032"/>
      <c r="G67" s="2032"/>
      <c r="H67" s="2032"/>
      <c r="I67" s="2032"/>
      <c r="J67" s="2032"/>
      <c r="K67" s="2032"/>
      <c r="L67" s="2032"/>
      <c r="M67" s="2032"/>
      <c r="N67" s="2032"/>
      <c r="O67" s="2032"/>
      <c r="P67" s="2032"/>
    </row>
    <row r="68" spans="2:16" s="1995" customFormat="1" ht="18" customHeight="1">
      <c r="C68" s="2032"/>
      <c r="D68" s="2032"/>
      <c r="E68" s="2032"/>
      <c r="F68" s="2032"/>
      <c r="G68" s="2032"/>
      <c r="H68" s="2032"/>
      <c r="I68" s="2032"/>
      <c r="J68" s="2032"/>
      <c r="K68" s="2032"/>
      <c r="L68" s="2032"/>
      <c r="M68" s="2032"/>
      <c r="N68" s="2032"/>
      <c r="O68" s="2032"/>
      <c r="P68" s="2032"/>
    </row>
    <row r="69" spans="2:16" s="1995" customFormat="1" ht="18" customHeight="1">
      <c r="B69" s="2022" t="s">
        <v>7231</v>
      </c>
      <c r="C69" s="2032" t="s">
        <v>7310</v>
      </c>
      <c r="D69" s="2032"/>
      <c r="E69" s="2032"/>
      <c r="F69" s="2032"/>
      <c r="G69" s="2032"/>
      <c r="H69" s="2032"/>
      <c r="I69" s="2032"/>
      <c r="J69" s="2032"/>
      <c r="K69" s="2032"/>
      <c r="L69" s="2032"/>
      <c r="M69" s="2032"/>
      <c r="N69" s="2032"/>
      <c r="O69" s="2032"/>
      <c r="P69" s="2032"/>
    </row>
    <row r="70" spans="2:16" s="1995" customFormat="1" ht="18" customHeight="1">
      <c r="C70" s="2032" t="s">
        <v>7311</v>
      </c>
      <c r="D70" s="2032" t="s">
        <v>7312</v>
      </c>
      <c r="E70" s="2032"/>
      <c r="F70" s="2032"/>
      <c r="G70" s="2032"/>
      <c r="H70" s="2032"/>
      <c r="I70" s="2032"/>
      <c r="J70" s="2032"/>
      <c r="K70" s="2032"/>
      <c r="L70" s="2032"/>
      <c r="M70" s="2032"/>
      <c r="N70" s="2032"/>
      <c r="O70" s="2032"/>
      <c r="P70" s="2032"/>
    </row>
    <row r="71" spans="2:16" s="1995" customFormat="1" ht="18" customHeight="1">
      <c r="C71" s="2032"/>
      <c r="D71" s="2032" t="s">
        <v>7313</v>
      </c>
      <c r="E71" s="2032"/>
      <c r="F71" s="2032"/>
      <c r="G71" s="2032"/>
      <c r="H71" s="2032"/>
      <c r="I71" s="2032"/>
      <c r="J71" s="2032"/>
      <c r="K71" s="2032"/>
      <c r="L71" s="2032"/>
      <c r="M71" s="2032"/>
      <c r="N71" s="2032"/>
      <c r="O71" s="2032"/>
      <c r="P71" s="2032"/>
    </row>
    <row r="72" spans="2:16" s="1995" customFormat="1" ht="18" customHeight="1">
      <c r="C72" s="2032"/>
      <c r="D72" s="2032" t="s">
        <v>7314</v>
      </c>
      <c r="E72" s="2032"/>
      <c r="F72" s="2032"/>
      <c r="G72" s="2032"/>
      <c r="H72" s="2032"/>
      <c r="I72" s="2032"/>
      <c r="J72" s="2032"/>
      <c r="K72" s="2032"/>
      <c r="L72" s="2032"/>
      <c r="M72" s="2032"/>
      <c r="N72" s="2032"/>
      <c r="O72" s="2032"/>
      <c r="P72" s="2032"/>
    </row>
    <row r="73" spans="2:16" s="1995" customFormat="1" ht="18" customHeight="1">
      <c r="C73" s="2032"/>
      <c r="D73" s="2032"/>
      <c r="E73" s="2032"/>
      <c r="F73" s="2032"/>
      <c r="G73" s="2032"/>
      <c r="H73" s="2032"/>
      <c r="I73" s="2032"/>
      <c r="J73" s="2032"/>
      <c r="K73" s="2032"/>
      <c r="L73" s="2032"/>
      <c r="M73" s="2032"/>
      <c r="N73" s="2032"/>
      <c r="O73" s="2032"/>
      <c r="P73" s="2032"/>
    </row>
    <row r="74" spans="2:16" s="1995" customFormat="1" ht="18" customHeight="1">
      <c r="B74" s="2022" t="s">
        <v>7234</v>
      </c>
      <c r="C74" s="2032" t="s">
        <v>7315</v>
      </c>
      <c r="D74" s="2032"/>
      <c r="E74" s="2032"/>
      <c r="F74" s="2032"/>
      <c r="G74" s="2032"/>
      <c r="H74" s="2032"/>
      <c r="I74" s="2032"/>
      <c r="J74" s="2032"/>
      <c r="K74" s="2032"/>
      <c r="L74" s="2032"/>
      <c r="M74" s="2032"/>
      <c r="N74" s="2032"/>
      <c r="O74" s="2032"/>
      <c r="P74" s="2032"/>
    </row>
    <row r="75" spans="2:16" s="1995" customFormat="1" ht="18" customHeight="1">
      <c r="C75" s="2032" t="s">
        <v>7316</v>
      </c>
      <c r="D75" s="2032" t="s">
        <v>7317</v>
      </c>
      <c r="E75" s="2032"/>
      <c r="F75" s="2032"/>
      <c r="G75" s="2032"/>
      <c r="H75" s="2032"/>
      <c r="I75" s="2032"/>
      <c r="J75" s="2032"/>
      <c r="K75" s="2032"/>
      <c r="L75" s="2032"/>
      <c r="M75" s="2032"/>
      <c r="N75" s="2032"/>
      <c r="O75" s="2032"/>
      <c r="P75" s="2032"/>
    </row>
    <row r="76" spans="2:16" s="1995" customFormat="1" ht="18" customHeight="1">
      <c r="C76" s="2032"/>
      <c r="D76" s="2032" t="s">
        <v>7318</v>
      </c>
      <c r="E76" s="2032"/>
      <c r="F76" s="2032"/>
      <c r="G76" s="2032"/>
      <c r="H76" s="2032"/>
      <c r="I76" s="2032"/>
      <c r="J76" s="2032"/>
      <c r="K76" s="2032"/>
      <c r="L76" s="2032"/>
      <c r="M76" s="2032"/>
      <c r="N76" s="2032"/>
      <c r="O76" s="2032"/>
      <c r="P76" s="2032"/>
    </row>
    <row r="77" spans="2:16" s="1995" customFormat="1" ht="18" customHeight="1">
      <c r="D77" s="2022" t="s">
        <v>7319</v>
      </c>
    </row>
    <row r="78" spans="2:16" s="1995" customFormat="1" ht="18" customHeight="1"/>
    <row r="79" spans="2:16" s="1995" customFormat="1" ht="18" customHeight="1">
      <c r="B79" s="2022" t="s">
        <v>7237</v>
      </c>
      <c r="C79" s="2022" t="s">
        <v>7320</v>
      </c>
    </row>
    <row r="80" spans="2:16" s="1995" customFormat="1" ht="18" customHeight="1">
      <c r="C80" s="1995" t="s">
        <v>7321</v>
      </c>
      <c r="D80" s="2022" t="s">
        <v>7322</v>
      </c>
    </row>
    <row r="81" spans="1:14" s="1995" customFormat="1" ht="18" customHeight="1">
      <c r="D81" s="2022" t="s">
        <v>12649</v>
      </c>
    </row>
    <row r="82" spans="1:14" s="1995" customFormat="1" ht="18" customHeight="1"/>
    <row r="83" spans="1:14" s="1995" customFormat="1" ht="18" customHeight="1">
      <c r="B83" s="2022" t="s">
        <v>7240</v>
      </c>
      <c r="C83" s="2022" t="s">
        <v>7324</v>
      </c>
    </row>
    <row r="84" spans="1:14" s="1995" customFormat="1" ht="18" customHeight="1">
      <c r="C84" s="1995" t="s">
        <v>7325</v>
      </c>
      <c r="D84" s="2022" t="s">
        <v>7326</v>
      </c>
    </row>
    <row r="85" spans="1:14" s="1995" customFormat="1" ht="18" customHeight="1">
      <c r="D85" s="2032" t="s">
        <v>7327</v>
      </c>
      <c r="E85" s="2032"/>
      <c r="F85" s="2032"/>
      <c r="G85" s="2032"/>
      <c r="H85" s="2032"/>
    </row>
    <row r="86" spans="1:14" s="1995" customFormat="1" ht="18" customHeight="1">
      <c r="D86" s="2032" t="s">
        <v>7328</v>
      </c>
      <c r="E86" s="2032"/>
      <c r="F86" s="2032"/>
      <c r="G86" s="2032"/>
      <c r="H86" s="2032"/>
    </row>
    <row r="87" spans="1:14" s="1995" customFormat="1" ht="18" customHeight="1"/>
    <row r="88" spans="1:14" s="1995" customFormat="1" ht="18" customHeight="1"/>
    <row r="89" spans="1:14" s="1995" customFormat="1" ht="18" customHeight="1">
      <c r="A89" s="2020"/>
      <c r="B89" s="3579"/>
      <c r="C89" s="3579"/>
      <c r="D89" s="3579"/>
      <c r="E89" s="3579"/>
      <c r="F89" s="3579"/>
      <c r="G89" s="3579"/>
      <c r="H89" s="3579"/>
      <c r="I89" s="3579"/>
    </row>
    <row r="90" spans="1:14" s="1995" customFormat="1" ht="18" customHeight="1"/>
    <row r="91" spans="1:14" s="1995" customFormat="1" ht="18" customHeight="1">
      <c r="F91" s="2020"/>
      <c r="G91" s="2024"/>
      <c r="H91" s="2024"/>
      <c r="I91" s="2024"/>
      <c r="J91" s="2024"/>
      <c r="K91" s="2024"/>
      <c r="L91" s="2024"/>
      <c r="M91" s="2024"/>
      <c r="N91" s="2024"/>
    </row>
    <row r="92" spans="1:14" s="1995" customFormat="1" ht="18" customHeight="1">
      <c r="F92" s="2024"/>
      <c r="G92" s="3132"/>
      <c r="H92" s="3132"/>
      <c r="I92" s="3132"/>
      <c r="J92" s="3133"/>
      <c r="K92" s="3132"/>
      <c r="L92" s="3132"/>
      <c r="M92" s="3132"/>
      <c r="N92" s="3132"/>
    </row>
    <row r="93" spans="1:14" s="1995" customFormat="1" ht="18" customHeight="1">
      <c r="F93" s="4743"/>
      <c r="G93" s="2024"/>
      <c r="H93" s="2024"/>
      <c r="I93" s="2024"/>
      <c r="J93" s="2024"/>
      <c r="K93" s="2024"/>
      <c r="L93" s="2024"/>
      <c r="M93" s="2024"/>
      <c r="N93" s="2024"/>
    </row>
    <row r="94" spans="1:14" s="1995" customFormat="1" ht="18" customHeight="1">
      <c r="F94" s="4743"/>
      <c r="G94" s="2023"/>
      <c r="H94" s="2023"/>
      <c r="I94" s="2023"/>
      <c r="J94" s="2023"/>
      <c r="K94" s="2023"/>
      <c r="L94" s="2023"/>
      <c r="M94" s="2023"/>
      <c r="N94" s="2023"/>
    </row>
    <row r="95" spans="1:14" s="1995" customFormat="1" ht="18" customHeight="1"/>
    <row r="96" spans="1:14" s="1995" customFormat="1" ht="18" customHeight="1"/>
    <row r="97" s="1995" customFormat="1" ht="18" customHeight="1"/>
    <row r="98" s="1995" customFormat="1" ht="18" customHeight="1"/>
    <row r="99" s="1995" customFormat="1" ht="18" customHeight="1"/>
    <row r="100" s="1995" customFormat="1" ht="18" customHeight="1"/>
    <row r="101" s="1995" customFormat="1" ht="18" customHeight="1"/>
    <row r="102" s="1995" customFormat="1" ht="18" customHeight="1"/>
    <row r="103" s="1995" customFormat="1" ht="18" customHeight="1"/>
    <row r="104" s="1995" customFormat="1" ht="18" customHeight="1"/>
    <row r="105" s="1995" customFormat="1" ht="18" customHeight="1"/>
    <row r="106" s="1995" customFormat="1" ht="18" customHeight="1"/>
    <row r="107" s="1995" customFormat="1" ht="18" customHeight="1"/>
    <row r="108" s="1995" customFormat="1" ht="18" customHeight="1"/>
    <row r="109" s="1995" customFormat="1" ht="18" customHeight="1"/>
    <row r="110" s="1995" customFormat="1" ht="18" customHeight="1"/>
    <row r="111" s="1995" customFormat="1" ht="18" customHeight="1"/>
    <row r="112" s="1995" customFormat="1" ht="18" customHeight="1"/>
    <row r="113" s="1995" customFormat="1" ht="18" customHeight="1"/>
    <row r="114" s="1995" customFormat="1" ht="18" customHeight="1"/>
    <row r="115" s="1995" customFormat="1" ht="18" customHeight="1"/>
    <row r="116" s="1995" customFormat="1" ht="18" customHeight="1"/>
    <row r="117" s="1995" customFormat="1" ht="18" customHeight="1"/>
    <row r="118" s="1995" customFormat="1" ht="18" customHeight="1"/>
    <row r="119" s="1995" customFormat="1" ht="18" customHeight="1"/>
    <row r="120" s="1995" customFormat="1" ht="18" customHeight="1"/>
    <row r="121" s="1995" customFormat="1" ht="18" customHeight="1"/>
    <row r="122" s="1995" customFormat="1" ht="18" customHeight="1"/>
    <row r="123" s="1995" customFormat="1" ht="18" customHeight="1"/>
    <row r="124" s="1995" customFormat="1" ht="18" customHeight="1"/>
    <row r="125" s="1995" customFormat="1" ht="18" customHeight="1"/>
    <row r="126" s="1995" customFormat="1" ht="18" customHeight="1"/>
    <row r="127" s="1995" customFormat="1" ht="18" customHeight="1"/>
    <row r="128" s="1995" customFormat="1" ht="18" customHeight="1"/>
    <row r="129" s="1995" customFormat="1" ht="18" customHeight="1"/>
    <row r="130" s="1995" customFormat="1" ht="18" customHeight="1"/>
    <row r="131" s="1995" customFormat="1" ht="18" customHeight="1"/>
    <row r="132" s="1995" customFormat="1" ht="18" customHeight="1"/>
    <row r="133" s="1995" customFormat="1" ht="18" customHeight="1"/>
    <row r="134" s="1995" customFormat="1" ht="18" customHeight="1"/>
    <row r="135" s="1995" customFormat="1" ht="18" customHeight="1"/>
    <row r="136" s="1995" customFormat="1" ht="18" customHeight="1"/>
    <row r="137" s="1995" customFormat="1" ht="18" customHeight="1"/>
    <row r="138" s="1995" customFormat="1" ht="18" customHeight="1"/>
    <row r="139" s="1995" customFormat="1" ht="18" customHeight="1"/>
    <row r="140" s="1995" customFormat="1" ht="18" customHeight="1"/>
    <row r="141" s="1995" customFormat="1" ht="18" customHeight="1"/>
    <row r="142" s="1995" customFormat="1" ht="18" customHeight="1"/>
    <row r="143" s="1995" customFormat="1" ht="18" customHeight="1"/>
    <row r="144" s="1995" customFormat="1" ht="18" customHeight="1"/>
    <row r="145" s="1995" customFormat="1" ht="18" customHeight="1"/>
    <row r="146" s="1995" customFormat="1" ht="18" customHeight="1"/>
    <row r="147" s="1995" customFormat="1" ht="18" customHeight="1"/>
    <row r="148" s="1995" customFormat="1" ht="18" customHeight="1"/>
    <row r="149" s="1995" customFormat="1" ht="18" customHeight="1"/>
    <row r="150" s="1995" customFormat="1" ht="18" customHeight="1"/>
    <row r="151" s="1995" customFormat="1" ht="18" customHeight="1"/>
    <row r="152" s="1995" customFormat="1" ht="18" customHeight="1"/>
    <row r="153" s="1995" customFormat="1" ht="18" customHeight="1"/>
    <row r="154" s="1995" customFormat="1" ht="18" customHeight="1"/>
    <row r="155" s="1995" customFormat="1" ht="18" customHeight="1"/>
    <row r="156" s="1995" customFormat="1" ht="18" customHeight="1"/>
    <row r="157" s="1995" customFormat="1" ht="18" customHeight="1"/>
    <row r="158" s="1995" customFormat="1" ht="18" customHeight="1"/>
    <row r="159" s="1995" customFormat="1" ht="18" customHeight="1"/>
    <row r="160" s="1995" customFormat="1" ht="18" customHeight="1"/>
    <row r="161" s="1995" customFormat="1" ht="18" customHeight="1"/>
    <row r="162" s="1995" customFormat="1" ht="18" customHeight="1"/>
    <row r="163" s="1995" customFormat="1" ht="18" customHeight="1"/>
    <row r="164" s="1995" customFormat="1" ht="18" customHeight="1"/>
    <row r="165" s="1995" customFormat="1" ht="18" customHeight="1"/>
    <row r="166" s="1995" customFormat="1" ht="18" customHeight="1"/>
    <row r="167" s="1995" customFormat="1"/>
    <row r="168" s="1995" customFormat="1"/>
    <row r="169" s="1995" customFormat="1"/>
    <row r="170" s="1995" customFormat="1"/>
    <row r="171" s="1995" customFormat="1"/>
    <row r="172" s="1995" customFormat="1"/>
    <row r="173" s="1995" customFormat="1"/>
    <row r="174" s="1995" customFormat="1"/>
    <row r="175" s="1995" customFormat="1"/>
    <row r="176" s="1995" customFormat="1"/>
    <row r="177" s="1995" customFormat="1"/>
    <row r="178" s="1995" customFormat="1"/>
    <row r="179" s="1995" customFormat="1"/>
    <row r="180" s="1995" customFormat="1"/>
    <row r="181" s="1995" customFormat="1"/>
    <row r="182" s="1995" customFormat="1"/>
    <row r="183" s="1995" customFormat="1"/>
    <row r="184" s="1995" customFormat="1"/>
    <row r="185" s="1995" customFormat="1"/>
    <row r="186" s="1995" customFormat="1"/>
    <row r="187" s="1995" customFormat="1"/>
    <row r="188" s="1995" customFormat="1"/>
    <row r="189" s="1995" customFormat="1"/>
    <row r="190" s="1995" customFormat="1"/>
    <row r="191" s="1995" customFormat="1"/>
    <row r="192" s="1995" customFormat="1"/>
    <row r="193" s="1995" customFormat="1"/>
    <row r="194" s="1995" customFormat="1"/>
    <row r="195" s="1995" customFormat="1"/>
    <row r="196" s="1995" customFormat="1"/>
    <row r="197" s="1995" customFormat="1"/>
    <row r="198" s="1995" customFormat="1"/>
    <row r="199" s="1995" customFormat="1"/>
    <row r="200" s="1995" customFormat="1"/>
    <row r="201" s="1995" customFormat="1"/>
    <row r="202" s="1995" customFormat="1"/>
    <row r="203" s="1995" customFormat="1"/>
    <row r="204" s="1995" customFormat="1"/>
    <row r="205" s="1995" customFormat="1"/>
    <row r="206" s="1995" customFormat="1"/>
    <row r="207" s="1995" customFormat="1"/>
    <row r="208" s="1995" customFormat="1"/>
    <row r="209" s="1995" customFormat="1"/>
    <row r="210" s="1995" customFormat="1"/>
    <row r="211" s="1995" customFormat="1"/>
    <row r="212" s="1995" customFormat="1"/>
    <row r="213" s="1995" customFormat="1"/>
    <row r="214" s="1995" customFormat="1"/>
    <row r="215" s="1995" customFormat="1"/>
    <row r="216" s="1995" customFormat="1"/>
    <row r="217" s="1995" customFormat="1"/>
    <row r="218" s="1995" customFormat="1"/>
    <row r="219" s="1995" customFormat="1"/>
    <row r="220" s="1995" customFormat="1"/>
    <row r="221" s="1995" customFormat="1"/>
    <row r="222" s="1995" customFormat="1"/>
    <row r="223" s="1995" customFormat="1"/>
    <row r="224" s="1995" customFormat="1"/>
    <row r="225" s="1995" customFormat="1"/>
    <row r="226" s="1995" customFormat="1"/>
    <row r="227" s="1995" customFormat="1"/>
    <row r="228" s="1995" customFormat="1"/>
    <row r="229" s="1995" customFormat="1"/>
    <row r="230" s="1995" customFormat="1"/>
    <row r="231" s="1995" customFormat="1"/>
    <row r="232" s="1995" customFormat="1"/>
    <row r="233" s="1995" customFormat="1"/>
    <row r="234" s="1995" customFormat="1"/>
    <row r="235" s="1995" customFormat="1"/>
    <row r="236" s="1995" customFormat="1"/>
    <row r="237" s="1995" customFormat="1"/>
    <row r="238" s="1995" customFormat="1"/>
    <row r="239" s="1995" customFormat="1"/>
    <row r="240" s="1995" customFormat="1"/>
    <row r="241" s="1995" customFormat="1"/>
    <row r="242" s="1995" customFormat="1"/>
    <row r="243" s="1995" customFormat="1"/>
    <row r="244" s="1995" customFormat="1"/>
    <row r="245" s="1995" customFormat="1"/>
    <row r="246" s="1995" customFormat="1"/>
    <row r="247" s="1995" customFormat="1"/>
    <row r="248" s="1995" customFormat="1"/>
    <row r="249" s="1995" customFormat="1"/>
    <row r="250" s="1995" customFormat="1"/>
    <row r="251" s="1995" customFormat="1"/>
    <row r="252" s="1995" customFormat="1"/>
    <row r="253" s="1995" customFormat="1"/>
    <row r="254" s="1995" customFormat="1"/>
    <row r="255" s="1995" customFormat="1"/>
    <row r="256" s="1995" customFormat="1"/>
    <row r="257" s="1995" customFormat="1"/>
    <row r="258" s="1995" customFormat="1"/>
    <row r="259" s="1995" customFormat="1"/>
    <row r="260" s="1995" customFormat="1"/>
    <row r="261" s="1995" customFormat="1"/>
    <row r="262" s="1995" customFormat="1"/>
    <row r="263" s="1995" customFormat="1"/>
    <row r="264" s="1995" customFormat="1"/>
    <row r="265" s="1995" customFormat="1"/>
    <row r="266" s="1995" customFormat="1"/>
    <row r="267" s="1995" customFormat="1"/>
    <row r="268" s="1995" customFormat="1"/>
    <row r="269" s="1995" customFormat="1"/>
    <row r="270" s="1995" customFormat="1"/>
    <row r="271" s="1995" customFormat="1"/>
    <row r="272" s="1995" customFormat="1"/>
    <row r="273" s="1995" customFormat="1"/>
    <row r="274" s="1995" customFormat="1"/>
    <row r="275" s="1995" customFormat="1"/>
    <row r="276" s="1995" customFormat="1"/>
    <row r="277" s="1995" customFormat="1"/>
    <row r="278" s="1995" customFormat="1"/>
    <row r="279" s="1995" customFormat="1"/>
    <row r="280" s="1995" customFormat="1"/>
    <row r="281" s="1995" customFormat="1"/>
    <row r="282" s="1995" customFormat="1"/>
    <row r="283" s="1995" customFormat="1"/>
    <row r="284" s="1995" customFormat="1"/>
    <row r="285" s="1995" customFormat="1"/>
    <row r="286" s="1995" customFormat="1"/>
    <row r="287" s="1995" customFormat="1"/>
    <row r="288" s="1995" customFormat="1"/>
    <row r="289" s="1995" customFormat="1"/>
    <row r="290" s="1995" customFormat="1"/>
    <row r="291" s="1995" customFormat="1"/>
    <row r="292" s="1995" customFormat="1"/>
    <row r="293" s="1995" customFormat="1"/>
    <row r="294" s="1995" customFormat="1"/>
    <row r="295" s="1995" customFormat="1"/>
    <row r="296" s="1995" customFormat="1"/>
    <row r="297" s="1995" customFormat="1"/>
    <row r="298" s="1995" customFormat="1"/>
    <row r="299" s="1995" customFormat="1"/>
    <row r="300" s="1995" customFormat="1"/>
    <row r="301" s="1995" customFormat="1"/>
    <row r="302" s="1995" customFormat="1"/>
    <row r="303" s="1995" customFormat="1"/>
    <row r="304" s="1995" customFormat="1"/>
    <row r="305" s="1995" customFormat="1"/>
    <row r="306" s="1995" customFormat="1"/>
    <row r="307" s="1995" customFormat="1"/>
    <row r="308" s="1995" customFormat="1"/>
    <row r="309" s="1995" customFormat="1"/>
    <row r="310" s="1995" customFormat="1"/>
    <row r="311" s="1995" customFormat="1"/>
    <row r="312" s="1995" customFormat="1"/>
    <row r="313" s="1995" customFormat="1"/>
    <row r="314" s="1995" customFormat="1"/>
    <row r="315" s="1995" customFormat="1"/>
    <row r="316" s="1995" customFormat="1"/>
    <row r="317" s="1995" customFormat="1"/>
    <row r="318" s="1995" customFormat="1"/>
    <row r="319" s="1995" customFormat="1"/>
    <row r="320" s="1995" customFormat="1"/>
    <row r="321" s="1995" customFormat="1"/>
    <row r="322" s="1995" customFormat="1"/>
    <row r="323" s="1995" customFormat="1"/>
    <row r="324" s="1995" customFormat="1"/>
    <row r="325" s="1995" customFormat="1"/>
    <row r="326" s="1995" customFormat="1"/>
    <row r="327" s="1995" customFormat="1"/>
    <row r="328" s="1995" customFormat="1"/>
    <row r="329" s="1995" customFormat="1"/>
    <row r="330" s="1995" customFormat="1"/>
    <row r="331" s="1995" customFormat="1"/>
    <row r="332" s="1995" customFormat="1"/>
    <row r="333" s="1995" customFormat="1"/>
    <row r="334" s="1995" customFormat="1"/>
    <row r="335" s="1995" customFormat="1"/>
    <row r="336" s="1995" customFormat="1"/>
    <row r="337" s="1995" customFormat="1"/>
    <row r="338" s="1995" customFormat="1"/>
    <row r="339" s="1995" customFormat="1"/>
    <row r="340" s="1995" customFormat="1"/>
    <row r="341" s="1995" customFormat="1"/>
    <row r="342" s="1995" customFormat="1"/>
    <row r="343" s="1995" customFormat="1"/>
    <row r="344" s="1995" customFormat="1"/>
    <row r="345" s="1995" customFormat="1"/>
    <row r="346" s="1995" customFormat="1"/>
    <row r="347" s="1995" customFormat="1"/>
    <row r="348" s="1995" customFormat="1"/>
    <row r="349" s="1995" customFormat="1"/>
    <row r="350" s="1995" customFormat="1"/>
    <row r="351" s="1995" customFormat="1"/>
    <row r="352" s="1995" customFormat="1"/>
    <row r="353" s="1995" customFormat="1"/>
    <row r="354" s="1995" customFormat="1"/>
    <row r="355" s="1995" customFormat="1"/>
    <row r="356" s="1995" customFormat="1"/>
    <row r="357" s="1995" customFormat="1"/>
    <row r="358" s="1995" customFormat="1"/>
    <row r="359" s="1995" customFormat="1"/>
    <row r="360" s="1995" customFormat="1"/>
    <row r="361" s="1995" customFormat="1"/>
    <row r="362" s="1995" customFormat="1"/>
    <row r="363" s="1995" customFormat="1"/>
    <row r="364" s="1995" customFormat="1"/>
    <row r="365" s="1995" customFormat="1"/>
    <row r="366" s="1995" customFormat="1"/>
    <row r="367" s="1995" customFormat="1"/>
    <row r="368" s="1995" customFormat="1"/>
    <row r="369" s="1995" customFormat="1"/>
    <row r="370" s="1995" customFormat="1"/>
    <row r="371" s="1995" customFormat="1"/>
    <row r="372" s="1995" customFormat="1"/>
    <row r="373" s="1995" customFormat="1"/>
    <row r="374" s="1995" customFormat="1"/>
    <row r="375" s="1995" customFormat="1"/>
    <row r="376" s="1995" customFormat="1"/>
    <row r="377" s="1995" customFormat="1"/>
    <row r="378" s="1995" customFormat="1"/>
    <row r="379" s="1995" customFormat="1"/>
    <row r="380" s="1995" customFormat="1"/>
    <row r="381" s="1995" customFormat="1"/>
    <row r="382" s="1995" customFormat="1"/>
    <row r="383" s="1995" customFormat="1"/>
    <row r="384" s="1995" customFormat="1"/>
    <row r="385" s="1995" customFormat="1"/>
    <row r="386" s="1995" customFormat="1"/>
    <row r="387" s="1995" customFormat="1"/>
    <row r="388" s="1995" customFormat="1"/>
    <row r="389" s="1995" customFormat="1"/>
    <row r="390" s="1995" customFormat="1"/>
    <row r="391" s="1995" customFormat="1"/>
    <row r="392" s="1995" customFormat="1"/>
    <row r="393" s="1995" customFormat="1"/>
    <row r="394" s="1995" customFormat="1"/>
    <row r="395" s="1995" customFormat="1"/>
    <row r="396" s="1995" customFormat="1"/>
    <row r="397" s="1995" customFormat="1"/>
    <row r="398" s="1995" customFormat="1"/>
    <row r="399" s="1995" customFormat="1"/>
    <row r="400" s="1995" customFormat="1"/>
    <row r="401" s="1995" customFormat="1"/>
    <row r="402" s="1995" customFormat="1"/>
    <row r="403" s="1995" customFormat="1"/>
    <row r="404" s="1995" customFormat="1"/>
    <row r="405" s="1995" customFormat="1"/>
    <row r="406" s="1995" customFormat="1"/>
    <row r="407" s="1995" customFormat="1"/>
    <row r="408" s="1995" customFormat="1"/>
    <row r="409" s="1995" customFormat="1"/>
    <row r="410" s="1995" customFormat="1"/>
    <row r="411" s="1995" customFormat="1"/>
    <row r="412" s="1995" customFormat="1"/>
    <row r="413" s="1995" customFormat="1"/>
    <row r="414" s="1995" customFormat="1"/>
    <row r="415" s="1995" customFormat="1"/>
    <row r="416" s="1995" customFormat="1"/>
    <row r="417" s="1995" customFormat="1"/>
    <row r="418" s="1995" customFormat="1"/>
    <row r="419" s="1995" customFormat="1"/>
    <row r="420" s="1995" customFormat="1"/>
    <row r="421" s="1995" customFormat="1"/>
    <row r="422" s="1995" customFormat="1"/>
    <row r="423" s="1995" customFormat="1"/>
    <row r="424" s="1995" customFormat="1"/>
    <row r="425" s="1995" customFormat="1"/>
    <row r="426" s="1995" customFormat="1"/>
    <row r="427" s="1995" customFormat="1"/>
    <row r="428" s="1995" customFormat="1"/>
    <row r="429" s="1995" customFormat="1"/>
    <row r="430" s="1995" customFormat="1"/>
    <row r="431" s="1995" customFormat="1"/>
    <row r="432" s="1995" customFormat="1"/>
    <row r="433" s="1995" customFormat="1"/>
    <row r="434" s="1995" customFormat="1"/>
    <row r="435" s="1995" customFormat="1"/>
    <row r="436" s="1995" customFormat="1"/>
    <row r="437" s="1995" customFormat="1"/>
    <row r="438" s="1995" customFormat="1"/>
    <row r="439" s="1995" customFormat="1"/>
    <row r="440" s="1995" customFormat="1"/>
    <row r="441" s="1995" customFormat="1"/>
    <row r="442" s="1995" customFormat="1"/>
    <row r="443" s="1995" customFormat="1"/>
    <row r="444" s="1995" customFormat="1"/>
    <row r="445" s="1995" customFormat="1"/>
    <row r="446" s="1995" customFormat="1"/>
    <row r="447" s="1995" customFormat="1"/>
    <row r="448" s="1995" customFormat="1"/>
    <row r="449" s="1995" customFormat="1"/>
    <row r="450" s="1995" customFormat="1"/>
    <row r="451" s="1995" customFormat="1"/>
    <row r="452" s="1995" customFormat="1"/>
    <row r="453" s="1995" customFormat="1"/>
    <row r="454" s="1995" customFormat="1"/>
    <row r="455" s="1995" customFormat="1"/>
    <row r="456" s="1995" customFormat="1"/>
    <row r="457" s="1995" customFormat="1"/>
    <row r="458" s="1995" customFormat="1"/>
    <row r="459" s="1995" customFormat="1"/>
    <row r="460" s="1995" customFormat="1"/>
    <row r="461" s="1995" customFormat="1"/>
    <row r="462" s="1995" customFormat="1"/>
    <row r="463" s="1995" customFormat="1"/>
    <row r="464" s="1995" customFormat="1"/>
    <row r="465" s="1995" customFormat="1"/>
    <row r="466" s="1995" customFormat="1"/>
    <row r="467" s="1995" customFormat="1"/>
    <row r="468" s="1995" customFormat="1"/>
    <row r="469" s="1995" customFormat="1"/>
    <row r="470" s="1995" customFormat="1"/>
    <row r="471" s="1995" customFormat="1"/>
    <row r="472" s="1995" customFormat="1"/>
    <row r="473" s="1995" customFormat="1"/>
  </sheetData>
  <mergeCells count="26">
    <mergeCell ref="B89:I89"/>
    <mergeCell ref="F93:F94"/>
    <mergeCell ref="C11:H11"/>
    <mergeCell ref="C12:H12"/>
    <mergeCell ref="B13:K13"/>
    <mergeCell ref="B40:I40"/>
    <mergeCell ref="F41:O41"/>
    <mergeCell ref="B63:I63"/>
    <mergeCell ref="C8:K8"/>
    <mergeCell ref="L8:M8"/>
    <mergeCell ref="C9:K9"/>
    <mergeCell ref="L9:M9"/>
    <mergeCell ref="C10:K10"/>
    <mergeCell ref="L10:M10"/>
    <mergeCell ref="C5:K5"/>
    <mergeCell ref="L5:M5"/>
    <mergeCell ref="C6:K6"/>
    <mergeCell ref="L6:M6"/>
    <mergeCell ref="C7:K7"/>
    <mergeCell ref="L7:M7"/>
    <mergeCell ref="B2:K2"/>
    <mergeCell ref="L2:M2"/>
    <mergeCell ref="C3:K3"/>
    <mergeCell ref="L3:M3"/>
    <mergeCell ref="C4:K4"/>
    <mergeCell ref="L4:M4"/>
  </mergeCells>
  <phoneticPr fontId="378" type="noConversion"/>
  <hyperlinks>
    <hyperlink ref="A1" location="总目录!A1" display="返回目录"/>
    <hyperlink ref="N1" location="总目录!A1" display="返回目录"/>
    <hyperlink ref="A39" location="总目录!A1" display="返回目录"/>
    <hyperlink ref="M39" location="总目录!A1" display="返回目录"/>
    <hyperlink ref="A62" location="总目录!A1" display="返回目录"/>
    <hyperlink ref="M62" location="总目录!A1" display="返回目录"/>
  </hyperlink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N45"/>
  <sheetViews>
    <sheetView workbookViewId="0">
      <selection activeCell="N4" sqref="N4"/>
    </sheetView>
  </sheetViews>
  <sheetFormatPr defaultColWidth="9" defaultRowHeight="16.5"/>
  <cols>
    <col min="15" max="15" width="10.875" customWidth="1"/>
    <col min="16" max="16" width="7.25" customWidth="1"/>
    <col min="17" max="17" width="4.25" customWidth="1"/>
    <col min="18" max="18" width="6.125" customWidth="1"/>
    <col min="19" max="19" width="6.5" customWidth="1"/>
    <col min="20" max="20" width="7.625" customWidth="1"/>
    <col min="261" max="261" width="10.875" customWidth="1"/>
    <col min="262" max="262" width="7.25" customWidth="1"/>
    <col min="263" max="263" width="4.25" customWidth="1"/>
    <col min="264" max="264" width="6.125" customWidth="1"/>
    <col min="265" max="265" width="6.5" customWidth="1"/>
    <col min="266" max="266" width="7.625" customWidth="1"/>
    <col min="267" max="267" width="7" customWidth="1"/>
    <col min="268" max="268" width="8" customWidth="1"/>
    <col min="269" max="269" width="5.375" customWidth="1"/>
    <col min="270" max="270" width="5.125" customWidth="1"/>
    <col min="271" max="271" width="5" customWidth="1"/>
    <col min="272" max="272" width="4.625" customWidth="1"/>
    <col min="273" max="273" width="6.375" customWidth="1"/>
    <col min="274" max="274" width="6.125" customWidth="1"/>
    <col min="517" max="517" width="10.875" customWidth="1"/>
    <col min="518" max="518" width="7.25" customWidth="1"/>
    <col min="519" max="519" width="4.25" customWidth="1"/>
    <col min="520" max="520" width="6.125" customWidth="1"/>
    <col min="521" max="521" width="6.5" customWidth="1"/>
    <col min="522" max="522" width="7.625" customWidth="1"/>
    <col min="523" max="523" width="7" customWidth="1"/>
    <col min="524" max="524" width="8" customWidth="1"/>
    <col min="525" max="525" width="5.375" customWidth="1"/>
    <col min="526" max="526" width="5.125" customWidth="1"/>
    <col min="527" max="527" width="5" customWidth="1"/>
    <col min="528" max="528" width="4.625" customWidth="1"/>
    <col min="529" max="529" width="6.375" customWidth="1"/>
    <col min="530" max="530" width="6.125" customWidth="1"/>
    <col min="773" max="773" width="10.875" customWidth="1"/>
    <col min="774" max="774" width="7.25" customWidth="1"/>
    <col min="775" max="775" width="4.25" customWidth="1"/>
    <col min="776" max="776" width="6.125" customWidth="1"/>
    <col min="777" max="777" width="6.5" customWidth="1"/>
    <col min="778" max="778" width="7.625" customWidth="1"/>
    <col min="779" max="779" width="7" customWidth="1"/>
    <col min="780" max="780" width="8" customWidth="1"/>
    <col min="781" max="781" width="5.375" customWidth="1"/>
    <col min="782" max="782" width="5.125" customWidth="1"/>
    <col min="783" max="783" width="5" customWidth="1"/>
    <col min="784" max="784" width="4.625" customWidth="1"/>
    <col min="785" max="785" width="6.375" customWidth="1"/>
    <col min="786" max="786" width="6.125" customWidth="1"/>
    <col min="1029" max="1029" width="10.875" customWidth="1"/>
    <col min="1030" max="1030" width="7.25" customWidth="1"/>
    <col min="1031" max="1031" width="4.25" customWidth="1"/>
    <col min="1032" max="1032" width="6.125" customWidth="1"/>
    <col min="1033" max="1033" width="6.5" customWidth="1"/>
    <col min="1034" max="1034" width="7.625" customWidth="1"/>
    <col min="1035" max="1035" width="7" customWidth="1"/>
    <col min="1036" max="1036" width="8" customWidth="1"/>
    <col min="1037" max="1037" width="5.375" customWidth="1"/>
    <col min="1038" max="1038" width="5.125" customWidth="1"/>
    <col min="1039" max="1039" width="5" customWidth="1"/>
    <col min="1040" max="1040" width="4.625" customWidth="1"/>
    <col min="1041" max="1041" width="6.375" customWidth="1"/>
    <col min="1042" max="1042" width="6.125" customWidth="1"/>
    <col min="1285" max="1285" width="10.875" customWidth="1"/>
    <col min="1286" max="1286" width="7.25" customWidth="1"/>
    <col min="1287" max="1287" width="4.25" customWidth="1"/>
    <col min="1288" max="1288" width="6.125" customWidth="1"/>
    <col min="1289" max="1289" width="6.5" customWidth="1"/>
    <col min="1290" max="1290" width="7.625" customWidth="1"/>
    <col min="1291" max="1291" width="7" customWidth="1"/>
    <col min="1292" max="1292" width="8" customWidth="1"/>
    <col min="1293" max="1293" width="5.375" customWidth="1"/>
    <col min="1294" max="1294" width="5.125" customWidth="1"/>
    <col min="1295" max="1295" width="5" customWidth="1"/>
    <col min="1296" max="1296" width="4.625" customWidth="1"/>
    <col min="1297" max="1297" width="6.375" customWidth="1"/>
    <col min="1298" max="1298" width="6.125" customWidth="1"/>
    <col min="1541" max="1541" width="10.875" customWidth="1"/>
    <col min="1542" max="1542" width="7.25" customWidth="1"/>
    <col min="1543" max="1543" width="4.25" customWidth="1"/>
    <col min="1544" max="1544" width="6.125" customWidth="1"/>
    <col min="1545" max="1545" width="6.5" customWidth="1"/>
    <col min="1546" max="1546" width="7.625" customWidth="1"/>
    <col min="1547" max="1547" width="7" customWidth="1"/>
    <col min="1548" max="1548" width="8" customWidth="1"/>
    <col min="1549" max="1549" width="5.375" customWidth="1"/>
    <col min="1550" max="1550" width="5.125" customWidth="1"/>
    <col min="1551" max="1551" width="5" customWidth="1"/>
    <col min="1552" max="1552" width="4.625" customWidth="1"/>
    <col min="1553" max="1553" width="6.375" customWidth="1"/>
    <col min="1554" max="1554" width="6.125" customWidth="1"/>
    <col min="1797" max="1797" width="10.875" customWidth="1"/>
    <col min="1798" max="1798" width="7.25" customWidth="1"/>
    <col min="1799" max="1799" width="4.25" customWidth="1"/>
    <col min="1800" max="1800" width="6.125" customWidth="1"/>
    <col min="1801" max="1801" width="6.5" customWidth="1"/>
    <col min="1802" max="1802" width="7.625" customWidth="1"/>
    <col min="1803" max="1803" width="7" customWidth="1"/>
    <col min="1804" max="1804" width="8" customWidth="1"/>
    <col min="1805" max="1805" width="5.375" customWidth="1"/>
    <col min="1806" max="1806" width="5.125" customWidth="1"/>
    <col min="1807" max="1807" width="5" customWidth="1"/>
    <col min="1808" max="1808" width="4.625" customWidth="1"/>
    <col min="1809" max="1809" width="6.375" customWidth="1"/>
    <col min="1810" max="1810" width="6.125" customWidth="1"/>
    <col min="2053" max="2053" width="10.875" customWidth="1"/>
    <col min="2054" max="2054" width="7.25" customWidth="1"/>
    <col min="2055" max="2055" width="4.25" customWidth="1"/>
    <col min="2056" max="2056" width="6.125" customWidth="1"/>
    <col min="2057" max="2057" width="6.5" customWidth="1"/>
    <col min="2058" max="2058" width="7.625" customWidth="1"/>
    <col min="2059" max="2059" width="7" customWidth="1"/>
    <col min="2060" max="2060" width="8" customWidth="1"/>
    <col min="2061" max="2061" width="5.375" customWidth="1"/>
    <col min="2062" max="2062" width="5.125" customWidth="1"/>
    <col min="2063" max="2063" width="5" customWidth="1"/>
    <col min="2064" max="2064" width="4.625" customWidth="1"/>
    <col min="2065" max="2065" width="6.375" customWidth="1"/>
    <col min="2066" max="2066" width="6.125" customWidth="1"/>
    <col min="2309" max="2309" width="10.875" customWidth="1"/>
    <col min="2310" max="2310" width="7.25" customWidth="1"/>
    <col min="2311" max="2311" width="4.25" customWidth="1"/>
    <col min="2312" max="2312" width="6.125" customWidth="1"/>
    <col min="2313" max="2313" width="6.5" customWidth="1"/>
    <col min="2314" max="2314" width="7.625" customWidth="1"/>
    <col min="2315" max="2315" width="7" customWidth="1"/>
    <col min="2316" max="2316" width="8" customWidth="1"/>
    <col min="2317" max="2317" width="5.375" customWidth="1"/>
    <col min="2318" max="2318" width="5.125" customWidth="1"/>
    <col min="2319" max="2319" width="5" customWidth="1"/>
    <col min="2320" max="2320" width="4.625" customWidth="1"/>
    <col min="2321" max="2321" width="6.375" customWidth="1"/>
    <col min="2322" max="2322" width="6.125" customWidth="1"/>
    <col min="2565" max="2565" width="10.875" customWidth="1"/>
    <col min="2566" max="2566" width="7.25" customWidth="1"/>
    <col min="2567" max="2567" width="4.25" customWidth="1"/>
    <col min="2568" max="2568" width="6.125" customWidth="1"/>
    <col min="2569" max="2569" width="6.5" customWidth="1"/>
    <col min="2570" max="2570" width="7.625" customWidth="1"/>
    <col min="2571" max="2571" width="7" customWidth="1"/>
    <col min="2572" max="2572" width="8" customWidth="1"/>
    <col min="2573" max="2573" width="5.375" customWidth="1"/>
    <col min="2574" max="2574" width="5.125" customWidth="1"/>
    <col min="2575" max="2575" width="5" customWidth="1"/>
    <col min="2576" max="2576" width="4.625" customWidth="1"/>
    <col min="2577" max="2577" width="6.375" customWidth="1"/>
    <col min="2578" max="2578" width="6.125" customWidth="1"/>
    <col min="2821" max="2821" width="10.875" customWidth="1"/>
    <col min="2822" max="2822" width="7.25" customWidth="1"/>
    <col min="2823" max="2823" width="4.25" customWidth="1"/>
    <col min="2824" max="2824" width="6.125" customWidth="1"/>
    <col min="2825" max="2825" width="6.5" customWidth="1"/>
    <col min="2826" max="2826" width="7.625" customWidth="1"/>
    <col min="2827" max="2827" width="7" customWidth="1"/>
    <col min="2828" max="2828" width="8" customWidth="1"/>
    <col min="2829" max="2829" width="5.375" customWidth="1"/>
    <col min="2830" max="2830" width="5.125" customWidth="1"/>
    <col min="2831" max="2831" width="5" customWidth="1"/>
    <col min="2832" max="2832" width="4.625" customWidth="1"/>
    <col min="2833" max="2833" width="6.375" customWidth="1"/>
    <col min="2834" max="2834" width="6.125" customWidth="1"/>
    <col min="3077" max="3077" width="10.875" customWidth="1"/>
    <col min="3078" max="3078" width="7.25" customWidth="1"/>
    <col min="3079" max="3079" width="4.25" customWidth="1"/>
    <col min="3080" max="3080" width="6.125" customWidth="1"/>
    <col min="3081" max="3081" width="6.5" customWidth="1"/>
    <col min="3082" max="3082" width="7.625" customWidth="1"/>
    <col min="3083" max="3083" width="7" customWidth="1"/>
    <col min="3084" max="3084" width="8" customWidth="1"/>
    <col min="3085" max="3085" width="5.375" customWidth="1"/>
    <col min="3086" max="3086" width="5.125" customWidth="1"/>
    <col min="3087" max="3087" width="5" customWidth="1"/>
    <col min="3088" max="3088" width="4.625" customWidth="1"/>
    <col min="3089" max="3089" width="6.375" customWidth="1"/>
    <col min="3090" max="3090" width="6.125" customWidth="1"/>
    <col min="3333" max="3333" width="10.875" customWidth="1"/>
    <col min="3334" max="3334" width="7.25" customWidth="1"/>
    <col min="3335" max="3335" width="4.25" customWidth="1"/>
    <col min="3336" max="3336" width="6.125" customWidth="1"/>
    <col min="3337" max="3337" width="6.5" customWidth="1"/>
    <col min="3338" max="3338" width="7.625" customWidth="1"/>
    <col min="3339" max="3339" width="7" customWidth="1"/>
    <col min="3340" max="3340" width="8" customWidth="1"/>
    <col min="3341" max="3341" width="5.375" customWidth="1"/>
    <col min="3342" max="3342" width="5.125" customWidth="1"/>
    <col min="3343" max="3343" width="5" customWidth="1"/>
    <col min="3344" max="3344" width="4.625" customWidth="1"/>
    <col min="3345" max="3345" width="6.375" customWidth="1"/>
    <col min="3346" max="3346" width="6.125" customWidth="1"/>
    <col min="3589" max="3589" width="10.875" customWidth="1"/>
    <col min="3590" max="3590" width="7.25" customWidth="1"/>
    <col min="3591" max="3591" width="4.25" customWidth="1"/>
    <col min="3592" max="3592" width="6.125" customWidth="1"/>
    <col min="3593" max="3593" width="6.5" customWidth="1"/>
    <col min="3594" max="3594" width="7.625" customWidth="1"/>
    <col min="3595" max="3595" width="7" customWidth="1"/>
    <col min="3596" max="3596" width="8" customWidth="1"/>
    <col min="3597" max="3597" width="5.375" customWidth="1"/>
    <col min="3598" max="3598" width="5.125" customWidth="1"/>
    <col min="3599" max="3599" width="5" customWidth="1"/>
    <col min="3600" max="3600" width="4.625" customWidth="1"/>
    <col min="3601" max="3601" width="6.375" customWidth="1"/>
    <col min="3602" max="3602" width="6.125" customWidth="1"/>
    <col min="3845" max="3845" width="10.875" customWidth="1"/>
    <col min="3846" max="3846" width="7.25" customWidth="1"/>
    <col min="3847" max="3847" width="4.25" customWidth="1"/>
    <col min="3848" max="3848" width="6.125" customWidth="1"/>
    <col min="3849" max="3849" width="6.5" customWidth="1"/>
    <col min="3850" max="3850" width="7.625" customWidth="1"/>
    <col min="3851" max="3851" width="7" customWidth="1"/>
    <col min="3852" max="3852" width="8" customWidth="1"/>
    <col min="3853" max="3853" width="5.375" customWidth="1"/>
    <col min="3854" max="3854" width="5.125" customWidth="1"/>
    <col min="3855" max="3855" width="5" customWidth="1"/>
    <col min="3856" max="3856" width="4.625" customWidth="1"/>
    <col min="3857" max="3857" width="6.375" customWidth="1"/>
    <col min="3858" max="3858" width="6.125" customWidth="1"/>
    <col min="4101" max="4101" width="10.875" customWidth="1"/>
    <col min="4102" max="4102" width="7.25" customWidth="1"/>
    <col min="4103" max="4103" width="4.25" customWidth="1"/>
    <col min="4104" max="4104" width="6.125" customWidth="1"/>
    <col min="4105" max="4105" width="6.5" customWidth="1"/>
    <col min="4106" max="4106" width="7.625" customWidth="1"/>
    <col min="4107" max="4107" width="7" customWidth="1"/>
    <col min="4108" max="4108" width="8" customWidth="1"/>
    <col min="4109" max="4109" width="5.375" customWidth="1"/>
    <col min="4110" max="4110" width="5.125" customWidth="1"/>
    <col min="4111" max="4111" width="5" customWidth="1"/>
    <col min="4112" max="4112" width="4.625" customWidth="1"/>
    <col min="4113" max="4113" width="6.375" customWidth="1"/>
    <col min="4114" max="4114" width="6.125" customWidth="1"/>
    <col min="4357" max="4357" width="10.875" customWidth="1"/>
    <col min="4358" max="4358" width="7.25" customWidth="1"/>
    <col min="4359" max="4359" width="4.25" customWidth="1"/>
    <col min="4360" max="4360" width="6.125" customWidth="1"/>
    <col min="4361" max="4361" width="6.5" customWidth="1"/>
    <col min="4362" max="4362" width="7.625" customWidth="1"/>
    <col min="4363" max="4363" width="7" customWidth="1"/>
    <col min="4364" max="4364" width="8" customWidth="1"/>
    <col min="4365" max="4365" width="5.375" customWidth="1"/>
    <col min="4366" max="4366" width="5.125" customWidth="1"/>
    <col min="4367" max="4367" width="5" customWidth="1"/>
    <col min="4368" max="4368" width="4.625" customWidth="1"/>
    <col min="4369" max="4369" width="6.375" customWidth="1"/>
    <col min="4370" max="4370" width="6.125" customWidth="1"/>
    <col min="4613" max="4613" width="10.875" customWidth="1"/>
    <col min="4614" max="4614" width="7.25" customWidth="1"/>
    <col min="4615" max="4615" width="4.25" customWidth="1"/>
    <col min="4616" max="4616" width="6.125" customWidth="1"/>
    <col min="4617" max="4617" width="6.5" customWidth="1"/>
    <col min="4618" max="4618" width="7.625" customWidth="1"/>
    <col min="4619" max="4619" width="7" customWidth="1"/>
    <col min="4620" max="4620" width="8" customWidth="1"/>
    <col min="4621" max="4621" width="5.375" customWidth="1"/>
    <col min="4622" max="4622" width="5.125" customWidth="1"/>
    <col min="4623" max="4623" width="5" customWidth="1"/>
    <col min="4624" max="4624" width="4.625" customWidth="1"/>
    <col min="4625" max="4625" width="6.375" customWidth="1"/>
    <col min="4626" max="4626" width="6.125" customWidth="1"/>
    <col min="4869" max="4869" width="10.875" customWidth="1"/>
    <col min="4870" max="4870" width="7.25" customWidth="1"/>
    <col min="4871" max="4871" width="4.25" customWidth="1"/>
    <col min="4872" max="4872" width="6.125" customWidth="1"/>
    <col min="4873" max="4873" width="6.5" customWidth="1"/>
    <col min="4874" max="4874" width="7.625" customWidth="1"/>
    <col min="4875" max="4875" width="7" customWidth="1"/>
    <col min="4876" max="4876" width="8" customWidth="1"/>
    <col min="4877" max="4877" width="5.375" customWidth="1"/>
    <col min="4878" max="4878" width="5.125" customWidth="1"/>
    <col min="4879" max="4879" width="5" customWidth="1"/>
    <col min="4880" max="4880" width="4.625" customWidth="1"/>
    <col min="4881" max="4881" width="6.375" customWidth="1"/>
    <col min="4882" max="4882" width="6.125" customWidth="1"/>
    <col min="5125" max="5125" width="10.875" customWidth="1"/>
    <col min="5126" max="5126" width="7.25" customWidth="1"/>
    <col min="5127" max="5127" width="4.25" customWidth="1"/>
    <col min="5128" max="5128" width="6.125" customWidth="1"/>
    <col min="5129" max="5129" width="6.5" customWidth="1"/>
    <col min="5130" max="5130" width="7.625" customWidth="1"/>
    <col min="5131" max="5131" width="7" customWidth="1"/>
    <col min="5132" max="5132" width="8" customWidth="1"/>
    <col min="5133" max="5133" width="5.375" customWidth="1"/>
    <col min="5134" max="5134" width="5.125" customWidth="1"/>
    <col min="5135" max="5135" width="5" customWidth="1"/>
    <col min="5136" max="5136" width="4.625" customWidth="1"/>
    <col min="5137" max="5137" width="6.375" customWidth="1"/>
    <col min="5138" max="5138" width="6.125" customWidth="1"/>
    <col min="5381" max="5381" width="10.875" customWidth="1"/>
    <col min="5382" max="5382" width="7.25" customWidth="1"/>
    <col min="5383" max="5383" width="4.25" customWidth="1"/>
    <col min="5384" max="5384" width="6.125" customWidth="1"/>
    <col min="5385" max="5385" width="6.5" customWidth="1"/>
    <col min="5386" max="5386" width="7.625" customWidth="1"/>
    <col min="5387" max="5387" width="7" customWidth="1"/>
    <col min="5388" max="5388" width="8" customWidth="1"/>
    <col min="5389" max="5389" width="5.375" customWidth="1"/>
    <col min="5390" max="5390" width="5.125" customWidth="1"/>
    <col min="5391" max="5391" width="5" customWidth="1"/>
    <col min="5392" max="5392" width="4.625" customWidth="1"/>
    <col min="5393" max="5393" width="6.375" customWidth="1"/>
    <col min="5394" max="5394" width="6.125" customWidth="1"/>
    <col min="5637" max="5637" width="10.875" customWidth="1"/>
    <col min="5638" max="5638" width="7.25" customWidth="1"/>
    <col min="5639" max="5639" width="4.25" customWidth="1"/>
    <col min="5640" max="5640" width="6.125" customWidth="1"/>
    <col min="5641" max="5641" width="6.5" customWidth="1"/>
    <col min="5642" max="5642" width="7.625" customWidth="1"/>
    <col min="5643" max="5643" width="7" customWidth="1"/>
    <col min="5644" max="5644" width="8" customWidth="1"/>
    <col min="5645" max="5645" width="5.375" customWidth="1"/>
    <col min="5646" max="5646" width="5.125" customWidth="1"/>
    <col min="5647" max="5647" width="5" customWidth="1"/>
    <col min="5648" max="5648" width="4.625" customWidth="1"/>
    <col min="5649" max="5649" width="6.375" customWidth="1"/>
    <col min="5650" max="5650" width="6.125" customWidth="1"/>
    <col min="5893" max="5893" width="10.875" customWidth="1"/>
    <col min="5894" max="5894" width="7.25" customWidth="1"/>
    <col min="5895" max="5895" width="4.25" customWidth="1"/>
    <col min="5896" max="5896" width="6.125" customWidth="1"/>
    <col min="5897" max="5897" width="6.5" customWidth="1"/>
    <col min="5898" max="5898" width="7.625" customWidth="1"/>
    <col min="5899" max="5899" width="7" customWidth="1"/>
    <col min="5900" max="5900" width="8" customWidth="1"/>
    <col min="5901" max="5901" width="5.375" customWidth="1"/>
    <col min="5902" max="5902" width="5.125" customWidth="1"/>
    <col min="5903" max="5903" width="5" customWidth="1"/>
    <col min="5904" max="5904" width="4.625" customWidth="1"/>
    <col min="5905" max="5905" width="6.375" customWidth="1"/>
    <col min="5906" max="5906" width="6.125" customWidth="1"/>
    <col min="6149" max="6149" width="10.875" customWidth="1"/>
    <col min="6150" max="6150" width="7.25" customWidth="1"/>
    <col min="6151" max="6151" width="4.25" customWidth="1"/>
    <col min="6152" max="6152" width="6.125" customWidth="1"/>
    <col min="6153" max="6153" width="6.5" customWidth="1"/>
    <col min="6154" max="6154" width="7.625" customWidth="1"/>
    <col min="6155" max="6155" width="7" customWidth="1"/>
    <col min="6156" max="6156" width="8" customWidth="1"/>
    <col min="6157" max="6157" width="5.375" customWidth="1"/>
    <col min="6158" max="6158" width="5.125" customWidth="1"/>
    <col min="6159" max="6159" width="5" customWidth="1"/>
    <col min="6160" max="6160" width="4.625" customWidth="1"/>
    <col min="6161" max="6161" width="6.375" customWidth="1"/>
    <col min="6162" max="6162" width="6.125" customWidth="1"/>
    <col min="6405" max="6405" width="10.875" customWidth="1"/>
    <col min="6406" max="6406" width="7.25" customWidth="1"/>
    <col min="6407" max="6407" width="4.25" customWidth="1"/>
    <col min="6408" max="6408" width="6.125" customWidth="1"/>
    <col min="6409" max="6409" width="6.5" customWidth="1"/>
    <col min="6410" max="6410" width="7.625" customWidth="1"/>
    <col min="6411" max="6411" width="7" customWidth="1"/>
    <col min="6412" max="6412" width="8" customWidth="1"/>
    <col min="6413" max="6413" width="5.375" customWidth="1"/>
    <col min="6414" max="6414" width="5.125" customWidth="1"/>
    <col min="6415" max="6415" width="5" customWidth="1"/>
    <col min="6416" max="6416" width="4.625" customWidth="1"/>
    <col min="6417" max="6417" width="6.375" customWidth="1"/>
    <col min="6418" max="6418" width="6.125" customWidth="1"/>
    <col min="6661" max="6661" width="10.875" customWidth="1"/>
    <col min="6662" max="6662" width="7.25" customWidth="1"/>
    <col min="6663" max="6663" width="4.25" customWidth="1"/>
    <col min="6664" max="6664" width="6.125" customWidth="1"/>
    <col min="6665" max="6665" width="6.5" customWidth="1"/>
    <col min="6666" max="6666" width="7.625" customWidth="1"/>
    <col min="6667" max="6667" width="7" customWidth="1"/>
    <col min="6668" max="6668" width="8" customWidth="1"/>
    <col min="6669" max="6669" width="5.375" customWidth="1"/>
    <col min="6670" max="6670" width="5.125" customWidth="1"/>
    <col min="6671" max="6671" width="5" customWidth="1"/>
    <col min="6672" max="6672" width="4.625" customWidth="1"/>
    <col min="6673" max="6673" width="6.375" customWidth="1"/>
    <col min="6674" max="6674" width="6.125" customWidth="1"/>
    <col min="6917" max="6917" width="10.875" customWidth="1"/>
    <col min="6918" max="6918" width="7.25" customWidth="1"/>
    <col min="6919" max="6919" width="4.25" customWidth="1"/>
    <col min="6920" max="6920" width="6.125" customWidth="1"/>
    <col min="6921" max="6921" width="6.5" customWidth="1"/>
    <col min="6922" max="6922" width="7.625" customWidth="1"/>
    <col min="6923" max="6923" width="7" customWidth="1"/>
    <col min="6924" max="6924" width="8" customWidth="1"/>
    <col min="6925" max="6925" width="5.375" customWidth="1"/>
    <col min="6926" max="6926" width="5.125" customWidth="1"/>
    <col min="6927" max="6927" width="5" customWidth="1"/>
    <col min="6928" max="6928" width="4.625" customWidth="1"/>
    <col min="6929" max="6929" width="6.375" customWidth="1"/>
    <col min="6930" max="6930" width="6.125" customWidth="1"/>
    <col min="7173" max="7173" width="10.875" customWidth="1"/>
    <col min="7174" max="7174" width="7.25" customWidth="1"/>
    <col min="7175" max="7175" width="4.25" customWidth="1"/>
    <col min="7176" max="7176" width="6.125" customWidth="1"/>
    <col min="7177" max="7177" width="6.5" customWidth="1"/>
    <col min="7178" max="7178" width="7.625" customWidth="1"/>
    <col min="7179" max="7179" width="7" customWidth="1"/>
    <col min="7180" max="7180" width="8" customWidth="1"/>
    <col min="7181" max="7181" width="5.375" customWidth="1"/>
    <col min="7182" max="7182" width="5.125" customWidth="1"/>
    <col min="7183" max="7183" width="5" customWidth="1"/>
    <col min="7184" max="7184" width="4.625" customWidth="1"/>
    <col min="7185" max="7185" width="6.375" customWidth="1"/>
    <col min="7186" max="7186" width="6.125" customWidth="1"/>
    <col min="7429" max="7429" width="10.875" customWidth="1"/>
    <col min="7430" max="7430" width="7.25" customWidth="1"/>
    <col min="7431" max="7431" width="4.25" customWidth="1"/>
    <col min="7432" max="7432" width="6.125" customWidth="1"/>
    <col min="7433" max="7433" width="6.5" customWidth="1"/>
    <col min="7434" max="7434" width="7.625" customWidth="1"/>
    <col min="7435" max="7435" width="7" customWidth="1"/>
    <col min="7436" max="7436" width="8" customWidth="1"/>
    <col min="7437" max="7437" width="5.375" customWidth="1"/>
    <col min="7438" max="7438" width="5.125" customWidth="1"/>
    <col min="7439" max="7439" width="5" customWidth="1"/>
    <col min="7440" max="7440" width="4.625" customWidth="1"/>
    <col min="7441" max="7441" width="6.375" customWidth="1"/>
    <col min="7442" max="7442" width="6.125" customWidth="1"/>
    <col min="7685" max="7685" width="10.875" customWidth="1"/>
    <col min="7686" max="7686" width="7.25" customWidth="1"/>
    <col min="7687" max="7687" width="4.25" customWidth="1"/>
    <col min="7688" max="7688" width="6.125" customWidth="1"/>
    <col min="7689" max="7689" width="6.5" customWidth="1"/>
    <col min="7690" max="7690" width="7.625" customWidth="1"/>
    <col min="7691" max="7691" width="7" customWidth="1"/>
    <col min="7692" max="7692" width="8" customWidth="1"/>
    <col min="7693" max="7693" width="5.375" customWidth="1"/>
    <col min="7694" max="7694" width="5.125" customWidth="1"/>
    <col min="7695" max="7695" width="5" customWidth="1"/>
    <col min="7696" max="7696" width="4.625" customWidth="1"/>
    <col min="7697" max="7697" width="6.375" customWidth="1"/>
    <col min="7698" max="7698" width="6.125" customWidth="1"/>
    <col min="7941" max="7941" width="10.875" customWidth="1"/>
    <col min="7942" max="7942" width="7.25" customWidth="1"/>
    <col min="7943" max="7943" width="4.25" customWidth="1"/>
    <col min="7944" max="7944" width="6.125" customWidth="1"/>
    <col min="7945" max="7945" width="6.5" customWidth="1"/>
    <col min="7946" max="7946" width="7.625" customWidth="1"/>
    <col min="7947" max="7947" width="7" customWidth="1"/>
    <col min="7948" max="7948" width="8" customWidth="1"/>
    <col min="7949" max="7949" width="5.375" customWidth="1"/>
    <col min="7950" max="7950" width="5.125" customWidth="1"/>
    <col min="7951" max="7951" width="5" customWidth="1"/>
    <col min="7952" max="7952" width="4.625" customWidth="1"/>
    <col min="7953" max="7953" width="6.375" customWidth="1"/>
    <col min="7954" max="7954" width="6.125" customWidth="1"/>
    <col min="8197" max="8197" width="10.875" customWidth="1"/>
    <col min="8198" max="8198" width="7.25" customWidth="1"/>
    <col min="8199" max="8199" width="4.25" customWidth="1"/>
    <col min="8200" max="8200" width="6.125" customWidth="1"/>
    <col min="8201" max="8201" width="6.5" customWidth="1"/>
    <col min="8202" max="8202" width="7.625" customWidth="1"/>
    <col min="8203" max="8203" width="7" customWidth="1"/>
    <col min="8204" max="8204" width="8" customWidth="1"/>
    <col min="8205" max="8205" width="5.375" customWidth="1"/>
    <col min="8206" max="8206" width="5.125" customWidth="1"/>
    <col min="8207" max="8207" width="5" customWidth="1"/>
    <col min="8208" max="8208" width="4.625" customWidth="1"/>
    <col min="8209" max="8209" width="6.375" customWidth="1"/>
    <col min="8210" max="8210" width="6.125" customWidth="1"/>
    <col min="8453" max="8453" width="10.875" customWidth="1"/>
    <col min="8454" max="8454" width="7.25" customWidth="1"/>
    <col min="8455" max="8455" width="4.25" customWidth="1"/>
    <col min="8456" max="8456" width="6.125" customWidth="1"/>
    <col min="8457" max="8457" width="6.5" customWidth="1"/>
    <col min="8458" max="8458" width="7.625" customWidth="1"/>
    <col min="8459" max="8459" width="7" customWidth="1"/>
    <col min="8460" max="8460" width="8" customWidth="1"/>
    <col min="8461" max="8461" width="5.375" customWidth="1"/>
    <col min="8462" max="8462" width="5.125" customWidth="1"/>
    <col min="8463" max="8463" width="5" customWidth="1"/>
    <col min="8464" max="8464" width="4.625" customWidth="1"/>
    <col min="8465" max="8465" width="6.375" customWidth="1"/>
    <col min="8466" max="8466" width="6.125" customWidth="1"/>
    <col min="8709" max="8709" width="10.875" customWidth="1"/>
    <col min="8710" max="8710" width="7.25" customWidth="1"/>
    <col min="8711" max="8711" width="4.25" customWidth="1"/>
    <col min="8712" max="8712" width="6.125" customWidth="1"/>
    <col min="8713" max="8713" width="6.5" customWidth="1"/>
    <col min="8714" max="8714" width="7.625" customWidth="1"/>
    <col min="8715" max="8715" width="7" customWidth="1"/>
    <col min="8716" max="8716" width="8" customWidth="1"/>
    <col min="8717" max="8717" width="5.375" customWidth="1"/>
    <col min="8718" max="8718" width="5.125" customWidth="1"/>
    <col min="8719" max="8719" width="5" customWidth="1"/>
    <col min="8720" max="8720" width="4.625" customWidth="1"/>
    <col min="8721" max="8721" width="6.375" customWidth="1"/>
    <col min="8722" max="8722" width="6.125" customWidth="1"/>
    <col min="8965" max="8965" width="10.875" customWidth="1"/>
    <col min="8966" max="8966" width="7.25" customWidth="1"/>
    <col min="8967" max="8967" width="4.25" customWidth="1"/>
    <col min="8968" max="8968" width="6.125" customWidth="1"/>
    <col min="8969" max="8969" width="6.5" customWidth="1"/>
    <col min="8970" max="8970" width="7.625" customWidth="1"/>
    <col min="8971" max="8971" width="7" customWidth="1"/>
    <col min="8972" max="8972" width="8" customWidth="1"/>
    <col min="8973" max="8973" width="5.375" customWidth="1"/>
    <col min="8974" max="8974" width="5.125" customWidth="1"/>
    <col min="8975" max="8975" width="5" customWidth="1"/>
    <col min="8976" max="8976" width="4.625" customWidth="1"/>
    <col min="8977" max="8977" width="6.375" customWidth="1"/>
    <col min="8978" max="8978" width="6.125" customWidth="1"/>
    <col min="9221" max="9221" width="10.875" customWidth="1"/>
    <col min="9222" max="9222" width="7.25" customWidth="1"/>
    <col min="9223" max="9223" width="4.25" customWidth="1"/>
    <col min="9224" max="9224" width="6.125" customWidth="1"/>
    <col min="9225" max="9225" width="6.5" customWidth="1"/>
    <col min="9226" max="9226" width="7.625" customWidth="1"/>
    <col min="9227" max="9227" width="7" customWidth="1"/>
    <col min="9228" max="9228" width="8" customWidth="1"/>
    <col min="9229" max="9229" width="5.375" customWidth="1"/>
    <col min="9230" max="9230" width="5.125" customWidth="1"/>
    <col min="9231" max="9231" width="5" customWidth="1"/>
    <col min="9232" max="9232" width="4.625" customWidth="1"/>
    <col min="9233" max="9233" width="6.375" customWidth="1"/>
    <col min="9234" max="9234" width="6.125" customWidth="1"/>
    <col min="9477" max="9477" width="10.875" customWidth="1"/>
    <col min="9478" max="9478" width="7.25" customWidth="1"/>
    <col min="9479" max="9479" width="4.25" customWidth="1"/>
    <col min="9480" max="9480" width="6.125" customWidth="1"/>
    <col min="9481" max="9481" width="6.5" customWidth="1"/>
    <col min="9482" max="9482" width="7.625" customWidth="1"/>
    <col min="9483" max="9483" width="7" customWidth="1"/>
    <col min="9484" max="9484" width="8" customWidth="1"/>
    <col min="9485" max="9485" width="5.375" customWidth="1"/>
    <col min="9486" max="9486" width="5.125" customWidth="1"/>
    <col min="9487" max="9487" width="5" customWidth="1"/>
    <col min="9488" max="9488" width="4.625" customWidth="1"/>
    <col min="9489" max="9489" width="6.375" customWidth="1"/>
    <col min="9490" max="9490" width="6.125" customWidth="1"/>
    <col min="9733" max="9733" width="10.875" customWidth="1"/>
    <col min="9734" max="9734" width="7.25" customWidth="1"/>
    <col min="9735" max="9735" width="4.25" customWidth="1"/>
    <col min="9736" max="9736" width="6.125" customWidth="1"/>
    <col min="9737" max="9737" width="6.5" customWidth="1"/>
    <col min="9738" max="9738" width="7.625" customWidth="1"/>
    <col min="9739" max="9739" width="7" customWidth="1"/>
    <col min="9740" max="9740" width="8" customWidth="1"/>
    <col min="9741" max="9741" width="5.375" customWidth="1"/>
    <col min="9742" max="9742" width="5.125" customWidth="1"/>
    <col min="9743" max="9743" width="5" customWidth="1"/>
    <col min="9744" max="9744" width="4.625" customWidth="1"/>
    <col min="9745" max="9745" width="6.375" customWidth="1"/>
    <col min="9746" max="9746" width="6.125" customWidth="1"/>
    <col min="9989" max="9989" width="10.875" customWidth="1"/>
    <col min="9990" max="9990" width="7.25" customWidth="1"/>
    <col min="9991" max="9991" width="4.25" customWidth="1"/>
    <col min="9992" max="9992" width="6.125" customWidth="1"/>
    <col min="9993" max="9993" width="6.5" customWidth="1"/>
    <col min="9994" max="9994" width="7.625" customWidth="1"/>
    <col min="9995" max="9995" width="7" customWidth="1"/>
    <col min="9996" max="9996" width="8" customWidth="1"/>
    <col min="9997" max="9997" width="5.375" customWidth="1"/>
    <col min="9998" max="9998" width="5.125" customWidth="1"/>
    <col min="9999" max="9999" width="5" customWidth="1"/>
    <col min="10000" max="10000" width="4.625" customWidth="1"/>
    <col min="10001" max="10001" width="6.375" customWidth="1"/>
    <col min="10002" max="10002" width="6.125" customWidth="1"/>
    <col min="10245" max="10245" width="10.875" customWidth="1"/>
    <col min="10246" max="10246" width="7.25" customWidth="1"/>
    <col min="10247" max="10247" width="4.25" customWidth="1"/>
    <col min="10248" max="10248" width="6.125" customWidth="1"/>
    <col min="10249" max="10249" width="6.5" customWidth="1"/>
    <col min="10250" max="10250" width="7.625" customWidth="1"/>
    <col min="10251" max="10251" width="7" customWidth="1"/>
    <col min="10252" max="10252" width="8" customWidth="1"/>
    <col min="10253" max="10253" width="5.375" customWidth="1"/>
    <col min="10254" max="10254" width="5.125" customWidth="1"/>
    <col min="10255" max="10255" width="5" customWidth="1"/>
    <col min="10256" max="10256" width="4.625" customWidth="1"/>
    <col min="10257" max="10257" width="6.375" customWidth="1"/>
    <col min="10258" max="10258" width="6.125" customWidth="1"/>
    <col min="10501" max="10501" width="10.875" customWidth="1"/>
    <col min="10502" max="10502" width="7.25" customWidth="1"/>
    <col min="10503" max="10503" width="4.25" customWidth="1"/>
    <col min="10504" max="10504" width="6.125" customWidth="1"/>
    <col min="10505" max="10505" width="6.5" customWidth="1"/>
    <col min="10506" max="10506" width="7.625" customWidth="1"/>
    <col min="10507" max="10507" width="7" customWidth="1"/>
    <col min="10508" max="10508" width="8" customWidth="1"/>
    <col min="10509" max="10509" width="5.375" customWidth="1"/>
    <col min="10510" max="10510" width="5.125" customWidth="1"/>
    <col min="10511" max="10511" width="5" customWidth="1"/>
    <col min="10512" max="10512" width="4.625" customWidth="1"/>
    <col min="10513" max="10513" width="6.375" customWidth="1"/>
    <col min="10514" max="10514" width="6.125" customWidth="1"/>
    <col min="10757" max="10757" width="10.875" customWidth="1"/>
    <col min="10758" max="10758" width="7.25" customWidth="1"/>
    <col min="10759" max="10759" width="4.25" customWidth="1"/>
    <col min="10760" max="10760" width="6.125" customWidth="1"/>
    <col min="10761" max="10761" width="6.5" customWidth="1"/>
    <col min="10762" max="10762" width="7.625" customWidth="1"/>
    <col min="10763" max="10763" width="7" customWidth="1"/>
    <col min="10764" max="10764" width="8" customWidth="1"/>
    <col min="10765" max="10765" width="5.375" customWidth="1"/>
    <col min="10766" max="10766" width="5.125" customWidth="1"/>
    <col min="10767" max="10767" width="5" customWidth="1"/>
    <col min="10768" max="10768" width="4.625" customWidth="1"/>
    <col min="10769" max="10769" width="6.375" customWidth="1"/>
    <col min="10770" max="10770" width="6.125" customWidth="1"/>
    <col min="11013" max="11013" width="10.875" customWidth="1"/>
    <col min="11014" max="11014" width="7.25" customWidth="1"/>
    <col min="11015" max="11015" width="4.25" customWidth="1"/>
    <col min="11016" max="11016" width="6.125" customWidth="1"/>
    <col min="11017" max="11017" width="6.5" customWidth="1"/>
    <col min="11018" max="11018" width="7.625" customWidth="1"/>
    <col min="11019" max="11019" width="7" customWidth="1"/>
    <col min="11020" max="11020" width="8" customWidth="1"/>
    <col min="11021" max="11021" width="5.375" customWidth="1"/>
    <col min="11022" max="11022" width="5.125" customWidth="1"/>
    <col min="11023" max="11023" width="5" customWidth="1"/>
    <col min="11024" max="11024" width="4.625" customWidth="1"/>
    <col min="11025" max="11025" width="6.375" customWidth="1"/>
    <col min="11026" max="11026" width="6.125" customWidth="1"/>
    <col min="11269" max="11269" width="10.875" customWidth="1"/>
    <col min="11270" max="11270" width="7.25" customWidth="1"/>
    <col min="11271" max="11271" width="4.25" customWidth="1"/>
    <col min="11272" max="11272" width="6.125" customWidth="1"/>
    <col min="11273" max="11273" width="6.5" customWidth="1"/>
    <col min="11274" max="11274" width="7.625" customWidth="1"/>
    <col min="11275" max="11275" width="7" customWidth="1"/>
    <col min="11276" max="11276" width="8" customWidth="1"/>
    <col min="11277" max="11277" width="5.375" customWidth="1"/>
    <col min="11278" max="11278" width="5.125" customWidth="1"/>
    <col min="11279" max="11279" width="5" customWidth="1"/>
    <col min="11280" max="11280" width="4.625" customWidth="1"/>
    <col min="11281" max="11281" width="6.375" customWidth="1"/>
    <col min="11282" max="11282" width="6.125" customWidth="1"/>
    <col min="11525" max="11525" width="10.875" customWidth="1"/>
    <col min="11526" max="11526" width="7.25" customWidth="1"/>
    <col min="11527" max="11527" width="4.25" customWidth="1"/>
    <col min="11528" max="11528" width="6.125" customWidth="1"/>
    <col min="11529" max="11529" width="6.5" customWidth="1"/>
    <col min="11530" max="11530" width="7.625" customWidth="1"/>
    <col min="11531" max="11531" width="7" customWidth="1"/>
    <col min="11532" max="11532" width="8" customWidth="1"/>
    <col min="11533" max="11533" width="5.375" customWidth="1"/>
    <col min="11534" max="11534" width="5.125" customWidth="1"/>
    <col min="11535" max="11535" width="5" customWidth="1"/>
    <col min="11536" max="11536" width="4.625" customWidth="1"/>
    <col min="11537" max="11537" width="6.375" customWidth="1"/>
    <col min="11538" max="11538" width="6.125" customWidth="1"/>
    <col min="11781" max="11781" width="10.875" customWidth="1"/>
    <col min="11782" max="11782" width="7.25" customWidth="1"/>
    <col min="11783" max="11783" width="4.25" customWidth="1"/>
    <col min="11784" max="11784" width="6.125" customWidth="1"/>
    <col min="11785" max="11785" width="6.5" customWidth="1"/>
    <col min="11786" max="11786" width="7.625" customWidth="1"/>
    <col min="11787" max="11787" width="7" customWidth="1"/>
    <col min="11788" max="11788" width="8" customWidth="1"/>
    <col min="11789" max="11789" width="5.375" customWidth="1"/>
    <col min="11790" max="11790" width="5.125" customWidth="1"/>
    <col min="11791" max="11791" width="5" customWidth="1"/>
    <col min="11792" max="11792" width="4.625" customWidth="1"/>
    <col min="11793" max="11793" width="6.375" customWidth="1"/>
    <col min="11794" max="11794" width="6.125" customWidth="1"/>
    <col min="12037" max="12037" width="10.875" customWidth="1"/>
    <col min="12038" max="12038" width="7.25" customWidth="1"/>
    <col min="12039" max="12039" width="4.25" customWidth="1"/>
    <col min="12040" max="12040" width="6.125" customWidth="1"/>
    <col min="12041" max="12041" width="6.5" customWidth="1"/>
    <col min="12042" max="12042" width="7.625" customWidth="1"/>
    <col min="12043" max="12043" width="7" customWidth="1"/>
    <col min="12044" max="12044" width="8" customWidth="1"/>
    <col min="12045" max="12045" width="5.375" customWidth="1"/>
    <col min="12046" max="12046" width="5.125" customWidth="1"/>
    <col min="12047" max="12047" width="5" customWidth="1"/>
    <col min="12048" max="12048" width="4.625" customWidth="1"/>
    <col min="12049" max="12049" width="6.375" customWidth="1"/>
    <col min="12050" max="12050" width="6.125" customWidth="1"/>
    <col min="12293" max="12293" width="10.875" customWidth="1"/>
    <col min="12294" max="12294" width="7.25" customWidth="1"/>
    <col min="12295" max="12295" width="4.25" customWidth="1"/>
    <col min="12296" max="12296" width="6.125" customWidth="1"/>
    <col min="12297" max="12297" width="6.5" customWidth="1"/>
    <col min="12298" max="12298" width="7.625" customWidth="1"/>
    <col min="12299" max="12299" width="7" customWidth="1"/>
    <col min="12300" max="12300" width="8" customWidth="1"/>
    <col min="12301" max="12301" width="5.375" customWidth="1"/>
    <col min="12302" max="12302" width="5.125" customWidth="1"/>
    <col min="12303" max="12303" width="5" customWidth="1"/>
    <col min="12304" max="12304" width="4.625" customWidth="1"/>
    <col min="12305" max="12305" width="6.375" customWidth="1"/>
    <col min="12306" max="12306" width="6.125" customWidth="1"/>
    <col min="12549" max="12549" width="10.875" customWidth="1"/>
    <col min="12550" max="12550" width="7.25" customWidth="1"/>
    <col min="12551" max="12551" width="4.25" customWidth="1"/>
    <col min="12552" max="12552" width="6.125" customWidth="1"/>
    <col min="12553" max="12553" width="6.5" customWidth="1"/>
    <col min="12554" max="12554" width="7.625" customWidth="1"/>
    <col min="12555" max="12555" width="7" customWidth="1"/>
    <col min="12556" max="12556" width="8" customWidth="1"/>
    <col min="12557" max="12557" width="5.375" customWidth="1"/>
    <col min="12558" max="12558" width="5.125" customWidth="1"/>
    <col min="12559" max="12559" width="5" customWidth="1"/>
    <col min="12560" max="12560" width="4.625" customWidth="1"/>
    <col min="12561" max="12561" width="6.375" customWidth="1"/>
    <col min="12562" max="12562" width="6.125" customWidth="1"/>
    <col min="12805" max="12805" width="10.875" customWidth="1"/>
    <col min="12806" max="12806" width="7.25" customWidth="1"/>
    <col min="12807" max="12807" width="4.25" customWidth="1"/>
    <col min="12808" max="12808" width="6.125" customWidth="1"/>
    <col min="12809" max="12809" width="6.5" customWidth="1"/>
    <col min="12810" max="12810" width="7.625" customWidth="1"/>
    <col min="12811" max="12811" width="7" customWidth="1"/>
    <col min="12812" max="12812" width="8" customWidth="1"/>
    <col min="12813" max="12813" width="5.375" customWidth="1"/>
    <col min="12814" max="12814" width="5.125" customWidth="1"/>
    <col min="12815" max="12815" width="5" customWidth="1"/>
    <col min="12816" max="12816" width="4.625" customWidth="1"/>
    <col min="12817" max="12817" width="6.375" customWidth="1"/>
    <col min="12818" max="12818" width="6.125" customWidth="1"/>
    <col min="13061" max="13061" width="10.875" customWidth="1"/>
    <col min="13062" max="13062" width="7.25" customWidth="1"/>
    <col min="13063" max="13063" width="4.25" customWidth="1"/>
    <col min="13064" max="13064" width="6.125" customWidth="1"/>
    <col min="13065" max="13065" width="6.5" customWidth="1"/>
    <col min="13066" max="13066" width="7.625" customWidth="1"/>
    <col min="13067" max="13067" width="7" customWidth="1"/>
    <col min="13068" max="13068" width="8" customWidth="1"/>
    <col min="13069" max="13069" width="5.375" customWidth="1"/>
    <col min="13070" max="13070" width="5.125" customWidth="1"/>
    <col min="13071" max="13071" width="5" customWidth="1"/>
    <col min="13072" max="13072" width="4.625" customWidth="1"/>
    <col min="13073" max="13073" width="6.375" customWidth="1"/>
    <col min="13074" max="13074" width="6.125" customWidth="1"/>
    <col min="13317" max="13317" width="10.875" customWidth="1"/>
    <col min="13318" max="13318" width="7.25" customWidth="1"/>
    <col min="13319" max="13319" width="4.25" customWidth="1"/>
    <col min="13320" max="13320" width="6.125" customWidth="1"/>
    <col min="13321" max="13321" width="6.5" customWidth="1"/>
    <col min="13322" max="13322" width="7.625" customWidth="1"/>
    <col min="13323" max="13323" width="7" customWidth="1"/>
    <col min="13324" max="13324" width="8" customWidth="1"/>
    <col min="13325" max="13325" width="5.375" customWidth="1"/>
    <col min="13326" max="13326" width="5.125" customWidth="1"/>
    <col min="13327" max="13327" width="5" customWidth="1"/>
    <col min="13328" max="13328" width="4.625" customWidth="1"/>
    <col min="13329" max="13329" width="6.375" customWidth="1"/>
    <col min="13330" max="13330" width="6.125" customWidth="1"/>
    <col min="13573" max="13573" width="10.875" customWidth="1"/>
    <col min="13574" max="13574" width="7.25" customWidth="1"/>
    <col min="13575" max="13575" width="4.25" customWidth="1"/>
    <col min="13576" max="13576" width="6.125" customWidth="1"/>
    <col min="13577" max="13577" width="6.5" customWidth="1"/>
    <col min="13578" max="13578" width="7.625" customWidth="1"/>
    <col min="13579" max="13579" width="7" customWidth="1"/>
    <col min="13580" max="13580" width="8" customWidth="1"/>
    <col min="13581" max="13581" width="5.375" customWidth="1"/>
    <col min="13582" max="13582" width="5.125" customWidth="1"/>
    <col min="13583" max="13583" width="5" customWidth="1"/>
    <col min="13584" max="13584" width="4.625" customWidth="1"/>
    <col min="13585" max="13585" width="6.375" customWidth="1"/>
    <col min="13586" max="13586" width="6.125" customWidth="1"/>
    <col min="13829" max="13829" width="10.875" customWidth="1"/>
    <col min="13830" max="13830" width="7.25" customWidth="1"/>
    <col min="13831" max="13831" width="4.25" customWidth="1"/>
    <col min="13832" max="13832" width="6.125" customWidth="1"/>
    <col min="13833" max="13833" width="6.5" customWidth="1"/>
    <col min="13834" max="13834" width="7.625" customWidth="1"/>
    <col min="13835" max="13835" width="7" customWidth="1"/>
    <col min="13836" max="13836" width="8" customWidth="1"/>
    <col min="13837" max="13837" width="5.375" customWidth="1"/>
    <col min="13838" max="13838" width="5.125" customWidth="1"/>
    <col min="13839" max="13839" width="5" customWidth="1"/>
    <col min="13840" max="13840" width="4.625" customWidth="1"/>
    <col min="13841" max="13841" width="6.375" customWidth="1"/>
    <col min="13842" max="13842" width="6.125" customWidth="1"/>
    <col min="14085" max="14085" width="10.875" customWidth="1"/>
    <col min="14086" max="14086" width="7.25" customWidth="1"/>
    <col min="14087" max="14087" width="4.25" customWidth="1"/>
    <col min="14088" max="14088" width="6.125" customWidth="1"/>
    <col min="14089" max="14089" width="6.5" customWidth="1"/>
    <col min="14090" max="14090" width="7.625" customWidth="1"/>
    <col min="14091" max="14091" width="7" customWidth="1"/>
    <col min="14092" max="14092" width="8" customWidth="1"/>
    <col min="14093" max="14093" width="5.375" customWidth="1"/>
    <col min="14094" max="14094" width="5.125" customWidth="1"/>
    <col min="14095" max="14095" width="5" customWidth="1"/>
    <col min="14096" max="14096" width="4.625" customWidth="1"/>
    <col min="14097" max="14097" width="6.375" customWidth="1"/>
    <col min="14098" max="14098" width="6.125" customWidth="1"/>
    <col min="14341" max="14341" width="10.875" customWidth="1"/>
    <col min="14342" max="14342" width="7.25" customWidth="1"/>
    <col min="14343" max="14343" width="4.25" customWidth="1"/>
    <col min="14344" max="14344" width="6.125" customWidth="1"/>
    <col min="14345" max="14345" width="6.5" customWidth="1"/>
    <col min="14346" max="14346" width="7.625" customWidth="1"/>
    <col min="14347" max="14347" width="7" customWidth="1"/>
    <col min="14348" max="14348" width="8" customWidth="1"/>
    <col min="14349" max="14349" width="5.375" customWidth="1"/>
    <col min="14350" max="14350" width="5.125" customWidth="1"/>
    <col min="14351" max="14351" width="5" customWidth="1"/>
    <col min="14352" max="14352" width="4.625" customWidth="1"/>
    <col min="14353" max="14353" width="6.375" customWidth="1"/>
    <col min="14354" max="14354" width="6.125" customWidth="1"/>
    <col min="14597" max="14597" width="10.875" customWidth="1"/>
    <col min="14598" max="14598" width="7.25" customWidth="1"/>
    <col min="14599" max="14599" width="4.25" customWidth="1"/>
    <col min="14600" max="14600" width="6.125" customWidth="1"/>
    <col min="14601" max="14601" width="6.5" customWidth="1"/>
    <col min="14602" max="14602" width="7.625" customWidth="1"/>
    <col min="14603" max="14603" width="7" customWidth="1"/>
    <col min="14604" max="14604" width="8" customWidth="1"/>
    <col min="14605" max="14605" width="5.375" customWidth="1"/>
    <col min="14606" max="14606" width="5.125" customWidth="1"/>
    <col min="14607" max="14607" width="5" customWidth="1"/>
    <col min="14608" max="14608" width="4.625" customWidth="1"/>
    <col min="14609" max="14609" width="6.375" customWidth="1"/>
    <col min="14610" max="14610" width="6.125" customWidth="1"/>
    <col min="14853" max="14853" width="10.875" customWidth="1"/>
    <col min="14854" max="14854" width="7.25" customWidth="1"/>
    <col min="14855" max="14855" width="4.25" customWidth="1"/>
    <col min="14856" max="14856" width="6.125" customWidth="1"/>
    <col min="14857" max="14857" width="6.5" customWidth="1"/>
    <col min="14858" max="14858" width="7.625" customWidth="1"/>
    <col min="14859" max="14859" width="7" customWidth="1"/>
    <col min="14860" max="14860" width="8" customWidth="1"/>
    <col min="14861" max="14861" width="5.375" customWidth="1"/>
    <col min="14862" max="14862" width="5.125" customWidth="1"/>
    <col min="14863" max="14863" width="5" customWidth="1"/>
    <col min="14864" max="14864" width="4.625" customWidth="1"/>
    <col min="14865" max="14865" width="6.375" customWidth="1"/>
    <col min="14866" max="14866" width="6.125" customWidth="1"/>
    <col min="15109" max="15109" width="10.875" customWidth="1"/>
    <col min="15110" max="15110" width="7.25" customWidth="1"/>
    <col min="15111" max="15111" width="4.25" customWidth="1"/>
    <col min="15112" max="15112" width="6.125" customWidth="1"/>
    <col min="15113" max="15113" width="6.5" customWidth="1"/>
    <col min="15114" max="15114" width="7.625" customWidth="1"/>
    <col min="15115" max="15115" width="7" customWidth="1"/>
    <col min="15116" max="15116" width="8" customWidth="1"/>
    <col min="15117" max="15117" width="5.375" customWidth="1"/>
    <col min="15118" max="15118" width="5.125" customWidth="1"/>
    <col min="15119" max="15119" width="5" customWidth="1"/>
    <col min="15120" max="15120" width="4.625" customWidth="1"/>
    <col min="15121" max="15121" width="6.375" customWidth="1"/>
    <col min="15122" max="15122" width="6.125" customWidth="1"/>
    <col min="15365" max="15365" width="10.875" customWidth="1"/>
    <col min="15366" max="15366" width="7.25" customWidth="1"/>
    <col min="15367" max="15367" width="4.25" customWidth="1"/>
    <col min="15368" max="15368" width="6.125" customWidth="1"/>
    <col min="15369" max="15369" width="6.5" customWidth="1"/>
    <col min="15370" max="15370" width="7.625" customWidth="1"/>
    <col min="15371" max="15371" width="7" customWidth="1"/>
    <col min="15372" max="15372" width="8" customWidth="1"/>
    <col min="15373" max="15373" width="5.375" customWidth="1"/>
    <col min="15374" max="15374" width="5.125" customWidth="1"/>
    <col min="15375" max="15375" width="5" customWidth="1"/>
    <col min="15376" max="15376" width="4.625" customWidth="1"/>
    <col min="15377" max="15377" width="6.375" customWidth="1"/>
    <col min="15378" max="15378" width="6.125" customWidth="1"/>
    <col min="15621" max="15621" width="10.875" customWidth="1"/>
    <col min="15622" max="15622" width="7.25" customWidth="1"/>
    <col min="15623" max="15623" width="4.25" customWidth="1"/>
    <col min="15624" max="15624" width="6.125" customWidth="1"/>
    <col min="15625" max="15625" width="6.5" customWidth="1"/>
    <col min="15626" max="15626" width="7.625" customWidth="1"/>
    <col min="15627" max="15627" width="7" customWidth="1"/>
    <col min="15628" max="15628" width="8" customWidth="1"/>
    <col min="15629" max="15629" width="5.375" customWidth="1"/>
    <col min="15630" max="15630" width="5.125" customWidth="1"/>
    <col min="15631" max="15631" width="5" customWidth="1"/>
    <col min="15632" max="15632" width="4.625" customWidth="1"/>
    <col min="15633" max="15633" width="6.375" customWidth="1"/>
    <col min="15634" max="15634" width="6.125" customWidth="1"/>
    <col min="15877" max="15877" width="10.875" customWidth="1"/>
    <col min="15878" max="15878" width="7.25" customWidth="1"/>
    <col min="15879" max="15879" width="4.25" customWidth="1"/>
    <col min="15880" max="15880" width="6.125" customWidth="1"/>
    <col min="15881" max="15881" width="6.5" customWidth="1"/>
    <col min="15882" max="15882" width="7.625" customWidth="1"/>
    <col min="15883" max="15883" width="7" customWidth="1"/>
    <col min="15884" max="15884" width="8" customWidth="1"/>
    <col min="15885" max="15885" width="5.375" customWidth="1"/>
    <col min="15886" max="15886" width="5.125" customWidth="1"/>
    <col min="15887" max="15887" width="5" customWidth="1"/>
    <col min="15888" max="15888" width="4.625" customWidth="1"/>
    <col min="15889" max="15889" width="6.375" customWidth="1"/>
    <col min="15890" max="15890" width="6.125" customWidth="1"/>
    <col min="16133" max="16133" width="10.875" customWidth="1"/>
    <col min="16134" max="16134" width="7.25" customWidth="1"/>
    <col min="16135" max="16135" width="4.25" customWidth="1"/>
    <col min="16136" max="16136" width="6.125" customWidth="1"/>
    <col min="16137" max="16137" width="6.5" customWidth="1"/>
    <col min="16138" max="16138" width="7.625" customWidth="1"/>
    <col min="16139" max="16139" width="7" customWidth="1"/>
    <col min="16140" max="16140" width="8" customWidth="1"/>
    <col min="16141" max="16141" width="5.375" customWidth="1"/>
    <col min="16142" max="16142" width="5.125" customWidth="1"/>
    <col min="16143" max="16143" width="5" customWidth="1"/>
    <col min="16144" max="16144" width="4.625" customWidth="1"/>
    <col min="16145" max="16145" width="6.375" customWidth="1"/>
    <col min="16146" max="16146" width="6.125" customWidth="1"/>
  </cols>
  <sheetData>
    <row r="4" spans="1:14" ht="18" customHeight="1">
      <c r="N4" s="3162" t="s">
        <v>12708</v>
      </c>
    </row>
    <row r="5" spans="1:14" ht="18" customHeight="1"/>
    <row r="6" spans="1:14" ht="18" customHeight="1"/>
    <row r="7" spans="1:14" ht="18" customHeight="1"/>
    <row r="8" spans="1:14" ht="18" customHeight="1"/>
    <row r="9" spans="1:14" ht="18" customHeight="1"/>
    <row r="10" spans="1:14" ht="18" customHeight="1"/>
    <row r="11" spans="1:14" ht="18" customHeight="1"/>
    <row r="12" spans="1:14" ht="18" customHeight="1"/>
    <row r="13" spans="1:14" ht="18" customHeight="1">
      <c r="A13" s="4133" t="s">
        <v>8664</v>
      </c>
      <c r="B13" s="4133"/>
      <c r="C13" s="4133"/>
      <c r="D13" s="4133"/>
      <c r="E13" s="4133"/>
      <c r="F13" s="4133"/>
      <c r="G13" s="4133"/>
      <c r="H13" s="4133"/>
      <c r="I13" s="4133"/>
      <c r="J13" s="4133"/>
      <c r="K13" s="4133"/>
      <c r="L13" s="4133"/>
      <c r="M13" s="4133"/>
      <c r="N13" s="4133"/>
    </row>
    <row r="14" spans="1:14" ht="18" customHeight="1" thickBot="1">
      <c r="A14" s="4134"/>
      <c r="B14" s="4134"/>
      <c r="C14" s="4134"/>
      <c r="D14" s="4134"/>
      <c r="E14" s="4134"/>
      <c r="F14" s="4134"/>
      <c r="G14" s="4134"/>
      <c r="H14" s="4134"/>
      <c r="I14" s="4134"/>
      <c r="J14" s="4134"/>
      <c r="K14" s="4134"/>
      <c r="L14" s="4134"/>
      <c r="M14" s="4134"/>
      <c r="N14" s="4134"/>
    </row>
    <row r="15" spans="1:14" ht="18" customHeight="1" thickBot="1">
      <c r="A15" s="3134" t="s">
        <v>12652</v>
      </c>
      <c r="B15" s="3134" t="s">
        <v>12653</v>
      </c>
      <c r="C15" s="4747" t="s">
        <v>12654</v>
      </c>
      <c r="D15" s="4748"/>
      <c r="E15" s="4748"/>
      <c r="F15" s="4748"/>
      <c r="G15" s="4748"/>
      <c r="H15" s="4748"/>
      <c r="I15" s="4748"/>
      <c r="J15" s="4748"/>
      <c r="K15" s="4748"/>
      <c r="L15" s="4748"/>
      <c r="M15" s="4748"/>
      <c r="N15" s="4748"/>
    </row>
    <row r="16" spans="1:14" ht="18" customHeight="1" thickBot="1">
      <c r="A16" s="4749" t="s">
        <v>12655</v>
      </c>
      <c r="B16" s="4752" t="s">
        <v>12656</v>
      </c>
      <c r="C16" s="4747" t="s">
        <v>12657</v>
      </c>
      <c r="D16" s="4748"/>
      <c r="E16" s="4748"/>
      <c r="F16" s="4748"/>
      <c r="G16" s="4748"/>
      <c r="H16" s="4753"/>
      <c r="I16" s="4747" t="s">
        <v>12658</v>
      </c>
      <c r="J16" s="4748"/>
      <c r="K16" s="4748"/>
      <c r="L16" s="4753"/>
      <c r="M16" s="4754" t="s">
        <v>12659</v>
      </c>
      <c r="N16" s="4755"/>
    </row>
    <row r="17" spans="1:14" ht="18" customHeight="1" thickBot="1">
      <c r="A17" s="4750"/>
      <c r="B17" s="4132"/>
      <c r="C17" s="4130" t="s">
        <v>5900</v>
      </c>
      <c r="D17" s="4747" t="s">
        <v>12660</v>
      </c>
      <c r="E17" s="4748"/>
      <c r="F17" s="4748"/>
      <c r="G17" s="4748"/>
      <c r="H17" s="4753"/>
      <c r="I17" s="4754" t="s">
        <v>12661</v>
      </c>
      <c r="J17" s="4760"/>
      <c r="K17" s="4754" t="s">
        <v>12662</v>
      </c>
      <c r="L17" s="4760"/>
      <c r="M17" s="4756"/>
      <c r="N17" s="4757"/>
    </row>
    <row r="18" spans="1:14" ht="18" customHeight="1" thickBot="1">
      <c r="A18" s="4750"/>
      <c r="B18" s="4132"/>
      <c r="C18" s="4132"/>
      <c r="D18" s="4747" t="s">
        <v>12663</v>
      </c>
      <c r="E18" s="4753"/>
      <c r="F18" s="4747" t="s">
        <v>12664</v>
      </c>
      <c r="G18" s="4753"/>
      <c r="H18" s="3134" t="s">
        <v>12665</v>
      </c>
      <c r="I18" s="4758"/>
      <c r="J18" s="4761"/>
      <c r="K18" s="4758"/>
      <c r="L18" s="4761"/>
      <c r="M18" s="4758"/>
      <c r="N18" s="4759"/>
    </row>
    <row r="19" spans="1:14" ht="18" customHeight="1" thickBot="1">
      <c r="A19" s="4751"/>
      <c r="B19" s="4131"/>
      <c r="C19" s="4131"/>
      <c r="D19" s="3134" t="s">
        <v>12666</v>
      </c>
      <c r="E19" s="3134" t="s">
        <v>12667</v>
      </c>
      <c r="F19" s="3134" t="s">
        <v>12668</v>
      </c>
      <c r="G19" s="3134" t="s">
        <v>12669</v>
      </c>
      <c r="H19" s="3134" t="s">
        <v>12670</v>
      </c>
      <c r="I19" s="3134" t="s">
        <v>8684</v>
      </c>
      <c r="J19" s="3134" t="s">
        <v>12671</v>
      </c>
      <c r="K19" s="3134" t="s">
        <v>8684</v>
      </c>
      <c r="L19" s="3134" t="s">
        <v>12671</v>
      </c>
      <c r="M19" s="3134" t="s">
        <v>12672</v>
      </c>
      <c r="N19" s="3134" t="s">
        <v>12673</v>
      </c>
    </row>
    <row r="20" spans="1:14" ht="18" customHeight="1" thickBot="1">
      <c r="A20" s="1664" t="s">
        <v>8688</v>
      </c>
      <c r="B20" s="1664" t="s">
        <v>8689</v>
      </c>
      <c r="C20" s="1665">
        <v>2</v>
      </c>
      <c r="D20" s="1666">
        <v>2.5000000000000001E-2</v>
      </c>
      <c r="E20" s="1666">
        <v>0.06</v>
      </c>
      <c r="F20" s="1666">
        <v>-4.0000000000000001E-3</v>
      </c>
      <c r="G20" s="4130" t="s">
        <v>8690</v>
      </c>
      <c r="H20" s="1666">
        <v>-6.0000000000000001E-3</v>
      </c>
      <c r="I20" s="1673">
        <v>1.2</v>
      </c>
      <c r="J20" s="1666">
        <v>0.1</v>
      </c>
      <c r="K20" s="1673">
        <v>1</v>
      </c>
      <c r="L20" s="1666">
        <v>0.1</v>
      </c>
      <c r="M20" s="4130">
        <v>0.08</v>
      </c>
      <c r="N20" s="4130">
        <v>0.16</v>
      </c>
    </row>
    <row r="21" spans="1:14" ht="18" customHeight="1" thickBot="1">
      <c r="A21" s="1667" t="s">
        <v>12674</v>
      </c>
      <c r="B21" s="1664" t="s">
        <v>8692</v>
      </c>
      <c r="C21" s="1665">
        <v>3</v>
      </c>
      <c r="D21" s="1668">
        <v>0</v>
      </c>
      <c r="E21" s="1668">
        <v>0.02</v>
      </c>
      <c r="F21" s="1668">
        <v>-2.9000000000000001E-2</v>
      </c>
      <c r="G21" s="4131"/>
      <c r="H21" s="1668">
        <v>-3.1E-2</v>
      </c>
      <c r="I21" s="1673">
        <v>1.8</v>
      </c>
      <c r="J21" s="1669">
        <v>0</v>
      </c>
      <c r="K21" s="1673">
        <v>1.4</v>
      </c>
      <c r="L21" s="1669">
        <v>0</v>
      </c>
      <c r="M21" s="4132"/>
      <c r="N21" s="4132"/>
    </row>
    <row r="22" spans="1:14" ht="18" customHeight="1" thickBot="1">
      <c r="A22" s="1667" t="s">
        <v>12675</v>
      </c>
      <c r="B22" s="1664" t="s">
        <v>8694</v>
      </c>
      <c r="C22" s="1665">
        <v>4</v>
      </c>
      <c r="D22" s="1666">
        <v>0.03</v>
      </c>
      <c r="E22" s="1666">
        <v>7.8E-2</v>
      </c>
      <c r="F22" s="1666">
        <v>0</v>
      </c>
      <c r="G22" s="4130" t="s">
        <v>8695</v>
      </c>
      <c r="H22" s="1666">
        <v>-1.2E-2</v>
      </c>
      <c r="I22" s="1673">
        <v>2.5</v>
      </c>
      <c r="J22" s="1671"/>
      <c r="K22" s="1673">
        <v>1.8</v>
      </c>
      <c r="L22" s="1671"/>
      <c r="M22" s="4131"/>
      <c r="N22" s="4131"/>
    </row>
    <row r="23" spans="1:14" ht="18" customHeight="1" thickBot="1">
      <c r="A23" s="1667" t="s">
        <v>12676</v>
      </c>
      <c r="B23" s="1664" t="s">
        <v>8697</v>
      </c>
      <c r="C23" s="1665">
        <v>5</v>
      </c>
      <c r="D23" s="1669">
        <v>0</v>
      </c>
      <c r="E23" s="1669">
        <v>0.03</v>
      </c>
      <c r="F23" s="1669">
        <v>-0.03</v>
      </c>
      <c r="G23" s="4132"/>
      <c r="H23" s="1669">
        <v>-4.2000000000000003E-2</v>
      </c>
      <c r="I23" s="1673">
        <v>3</v>
      </c>
      <c r="J23" s="1671"/>
      <c r="K23" s="1673">
        <v>2.2999999999999998</v>
      </c>
      <c r="L23" s="1671"/>
      <c r="M23" s="4130">
        <v>0.16</v>
      </c>
      <c r="N23" s="4130">
        <v>0.25</v>
      </c>
    </row>
    <row r="24" spans="1:14" ht="18" customHeight="1" thickBot="1">
      <c r="A24" s="1667" t="s">
        <v>12677</v>
      </c>
      <c r="B24" s="1664" t="s">
        <v>8699</v>
      </c>
      <c r="C24" s="1665">
        <v>6</v>
      </c>
      <c r="D24" s="1670"/>
      <c r="E24" s="1670"/>
      <c r="F24" s="1670"/>
      <c r="G24" s="4131"/>
      <c r="H24" s="1670"/>
      <c r="I24" s="1673">
        <v>3.5</v>
      </c>
      <c r="J24" s="1670"/>
      <c r="K24" s="1673">
        <v>2.8</v>
      </c>
      <c r="L24" s="1670"/>
      <c r="M24" s="4132"/>
      <c r="N24" s="4132"/>
    </row>
    <row r="25" spans="1:14" ht="18" customHeight="1" thickBot="1">
      <c r="A25" s="1667" t="s">
        <v>12678</v>
      </c>
      <c r="B25" s="1664" t="s">
        <v>8701</v>
      </c>
      <c r="C25" s="1665">
        <v>8</v>
      </c>
      <c r="D25" s="1666">
        <v>3.5999999999999997E-2</v>
      </c>
      <c r="E25" s="1666">
        <v>9.8000000000000004E-2</v>
      </c>
      <c r="F25" s="1666">
        <v>0</v>
      </c>
      <c r="G25" s="4130" t="s">
        <v>8702</v>
      </c>
      <c r="H25" s="1666">
        <v>-1.4999999999999999E-2</v>
      </c>
      <c r="I25" s="1673">
        <v>4</v>
      </c>
      <c r="J25" s="1666">
        <v>0.2</v>
      </c>
      <c r="K25" s="1673">
        <v>3.3</v>
      </c>
      <c r="L25" s="1666">
        <v>0.2</v>
      </c>
      <c r="M25" s="4131"/>
      <c r="N25" s="4131"/>
    </row>
    <row r="26" spans="1:14" ht="18" customHeight="1" thickBot="1">
      <c r="A26" s="1667" t="s">
        <v>12679</v>
      </c>
      <c r="B26" s="1664" t="s">
        <v>8704</v>
      </c>
      <c r="C26" s="1665">
        <v>10</v>
      </c>
      <c r="D26" s="1668">
        <v>0</v>
      </c>
      <c r="E26" s="1668">
        <v>0.04</v>
      </c>
      <c r="F26" s="1668">
        <v>-3.5999999999999997E-2</v>
      </c>
      <c r="G26" s="4131"/>
      <c r="H26" s="1668">
        <v>-5.0999999999999997E-2</v>
      </c>
      <c r="I26" s="1673">
        <v>5</v>
      </c>
      <c r="J26" s="1669">
        <v>0</v>
      </c>
      <c r="K26" s="1673">
        <v>3.3</v>
      </c>
      <c r="L26" s="1669">
        <v>0</v>
      </c>
      <c r="M26" s="4130">
        <v>0.25</v>
      </c>
      <c r="N26" s="4130">
        <v>0.4</v>
      </c>
    </row>
    <row r="27" spans="1:14" ht="18" customHeight="1" thickBot="1">
      <c r="A27" s="1667" t="s">
        <v>12680</v>
      </c>
      <c r="B27" s="1664" t="s">
        <v>8706</v>
      </c>
      <c r="C27" s="1665">
        <v>12</v>
      </c>
      <c r="D27" s="1666">
        <v>4.2999999999999997E-2</v>
      </c>
      <c r="E27" s="1666">
        <v>0.12</v>
      </c>
      <c r="F27" s="1666">
        <v>0</v>
      </c>
      <c r="G27" s="4130" t="s">
        <v>8707</v>
      </c>
      <c r="H27" s="1666">
        <v>-1.7999999999999999E-2</v>
      </c>
      <c r="I27" s="1673">
        <v>5</v>
      </c>
      <c r="J27" s="1671"/>
      <c r="K27" s="1673">
        <v>3.3</v>
      </c>
      <c r="L27" s="1671"/>
      <c r="M27" s="4132"/>
      <c r="N27" s="4132"/>
    </row>
    <row r="28" spans="1:14" ht="18" customHeight="1" thickBot="1">
      <c r="A28" s="1667" t="s">
        <v>12681</v>
      </c>
      <c r="B28" s="1664" t="s">
        <v>8709</v>
      </c>
      <c r="C28" s="1665">
        <v>14</v>
      </c>
      <c r="D28" s="1669">
        <v>0</v>
      </c>
      <c r="E28" s="1669">
        <v>0.05</v>
      </c>
      <c r="F28" s="1669">
        <v>-4.2999999999999997E-2</v>
      </c>
      <c r="G28" s="4132"/>
      <c r="H28" s="1669">
        <v>-6.0999999999999999E-2</v>
      </c>
      <c r="I28" s="1673">
        <v>5.5</v>
      </c>
      <c r="J28" s="1671"/>
      <c r="K28" s="1673">
        <v>3.8</v>
      </c>
      <c r="L28" s="1671"/>
      <c r="M28" s="4132"/>
      <c r="N28" s="4132"/>
    </row>
    <row r="29" spans="1:14" ht="18" customHeight="1" thickBot="1">
      <c r="A29" s="1667" t="s">
        <v>12682</v>
      </c>
      <c r="B29" s="1664" t="s">
        <v>8711</v>
      </c>
      <c r="C29" s="1665">
        <v>16</v>
      </c>
      <c r="D29" s="1671"/>
      <c r="E29" s="1671"/>
      <c r="F29" s="1671"/>
      <c r="G29" s="4132"/>
      <c r="H29" s="1671"/>
      <c r="I29" s="1673">
        <v>6</v>
      </c>
      <c r="J29" s="1671"/>
      <c r="K29" s="1673">
        <v>4.3</v>
      </c>
      <c r="L29" s="1671"/>
      <c r="M29" s="4132"/>
      <c r="N29" s="4132"/>
    </row>
    <row r="30" spans="1:14" ht="18" customHeight="1" thickBot="1">
      <c r="A30" s="1667" t="s">
        <v>12683</v>
      </c>
      <c r="B30" s="1664" t="s">
        <v>8713</v>
      </c>
      <c r="C30" s="1665">
        <v>18</v>
      </c>
      <c r="D30" s="1670"/>
      <c r="E30" s="1670"/>
      <c r="F30" s="1670"/>
      <c r="G30" s="4131"/>
      <c r="H30" s="1670"/>
      <c r="I30" s="1673">
        <v>7</v>
      </c>
      <c r="J30" s="1671"/>
      <c r="K30" s="1673">
        <v>4.4000000000000004</v>
      </c>
      <c r="L30" s="1671"/>
      <c r="M30" s="4131"/>
      <c r="N30" s="4131"/>
    </row>
    <row r="31" spans="1:14" ht="18" customHeight="1" thickBot="1">
      <c r="A31" s="1667" t="s">
        <v>12684</v>
      </c>
      <c r="B31" s="1664" t="s">
        <v>8715</v>
      </c>
      <c r="C31" s="1665">
        <v>20</v>
      </c>
      <c r="D31" s="1666">
        <v>5.1999999999999998E-2</v>
      </c>
      <c r="E31" s="1666">
        <v>0.14899999999999999</v>
      </c>
      <c r="F31" s="1666">
        <v>0</v>
      </c>
      <c r="G31" s="4130" t="s">
        <v>8716</v>
      </c>
      <c r="H31" s="1666">
        <v>-2.1999999999999999E-2</v>
      </c>
      <c r="I31" s="1673">
        <v>7.5</v>
      </c>
      <c r="J31" s="1671"/>
      <c r="K31" s="1673">
        <v>4.9000000000000004</v>
      </c>
      <c r="L31" s="1671"/>
      <c r="M31" s="4130">
        <v>0.4</v>
      </c>
      <c r="N31" s="4130">
        <v>0.6</v>
      </c>
    </row>
    <row r="32" spans="1:14" ht="18" customHeight="1" thickBot="1">
      <c r="A32" s="1667" t="s">
        <v>12685</v>
      </c>
      <c r="B32" s="1664" t="s">
        <v>8718</v>
      </c>
      <c r="C32" s="1665">
        <v>22</v>
      </c>
      <c r="D32" s="1669">
        <v>0</v>
      </c>
      <c r="E32" s="1669">
        <v>6.5000000000000002E-2</v>
      </c>
      <c r="F32" s="1669">
        <v>-5.1999999999999998E-2</v>
      </c>
      <c r="G32" s="4132"/>
      <c r="H32" s="1669">
        <v>-7.3999999999999996E-2</v>
      </c>
      <c r="I32" s="1673">
        <v>9</v>
      </c>
      <c r="J32" s="1671"/>
      <c r="K32" s="1673">
        <v>5.4</v>
      </c>
      <c r="L32" s="1671"/>
      <c r="M32" s="4132"/>
      <c r="N32" s="4132"/>
    </row>
    <row r="33" spans="1:14" ht="18" customHeight="1" thickBot="1">
      <c r="A33" s="1667" t="s">
        <v>12686</v>
      </c>
      <c r="B33" s="1664" t="s">
        <v>8720</v>
      </c>
      <c r="C33" s="1665">
        <v>25</v>
      </c>
      <c r="D33" s="1671"/>
      <c r="E33" s="1671"/>
      <c r="F33" s="1671"/>
      <c r="G33" s="4132"/>
      <c r="H33" s="1671"/>
      <c r="I33" s="1673">
        <v>9</v>
      </c>
      <c r="J33" s="1671"/>
      <c r="K33" s="1673">
        <v>5.4</v>
      </c>
      <c r="L33" s="1671"/>
      <c r="M33" s="4132"/>
      <c r="N33" s="4132"/>
    </row>
    <row r="34" spans="1:14" ht="18" customHeight="1" thickBot="1">
      <c r="A34" s="1667" t="s">
        <v>12687</v>
      </c>
      <c r="B34" s="1664" t="s">
        <v>8722</v>
      </c>
      <c r="C34" s="1665">
        <v>28</v>
      </c>
      <c r="D34" s="1670"/>
      <c r="E34" s="1670"/>
      <c r="F34" s="1670"/>
      <c r="G34" s="4131"/>
      <c r="H34" s="1670"/>
      <c r="I34" s="1673">
        <v>10</v>
      </c>
      <c r="J34" s="1671"/>
      <c r="K34" s="1673">
        <v>6.4</v>
      </c>
      <c r="L34" s="1671"/>
      <c r="M34" s="4132"/>
      <c r="N34" s="4132"/>
    </row>
    <row r="35" spans="1:14" ht="30.75" thickBot="1">
      <c r="A35" s="1667" t="s">
        <v>12688</v>
      </c>
      <c r="B35" s="1664" t="s">
        <v>8724</v>
      </c>
      <c r="C35" s="1665">
        <v>32</v>
      </c>
      <c r="D35" s="1666">
        <v>6.2E-2</v>
      </c>
      <c r="E35" s="1666">
        <v>0.18</v>
      </c>
      <c r="F35" s="1666">
        <v>0</v>
      </c>
      <c r="G35" s="4130" t="s">
        <v>8725</v>
      </c>
      <c r="H35" s="1666">
        <v>-2.5999999999999999E-2</v>
      </c>
      <c r="I35" s="1673">
        <v>11</v>
      </c>
      <c r="J35" s="1670"/>
      <c r="K35" s="1673">
        <v>7.4</v>
      </c>
      <c r="L35" s="1670"/>
      <c r="M35" s="4131"/>
      <c r="N35" s="4131"/>
    </row>
    <row r="36" spans="1:14" ht="30.75" thickBot="1">
      <c r="A36" s="1667" t="s">
        <v>12689</v>
      </c>
      <c r="B36" s="1664" t="s">
        <v>8727</v>
      </c>
      <c r="C36" s="1665">
        <v>36</v>
      </c>
      <c r="D36" s="1669">
        <v>0</v>
      </c>
      <c r="E36" s="1669">
        <v>0.08</v>
      </c>
      <c r="F36" s="1669">
        <v>-6.2E-2</v>
      </c>
      <c r="G36" s="4132"/>
      <c r="H36" s="1669">
        <v>-8.7999999999999995E-2</v>
      </c>
      <c r="I36" s="1673">
        <v>12</v>
      </c>
      <c r="J36" s="1666">
        <v>0.3</v>
      </c>
      <c r="K36" s="1673">
        <v>8.4</v>
      </c>
      <c r="L36" s="1666">
        <v>0.3</v>
      </c>
      <c r="M36" s="4130">
        <v>0.7</v>
      </c>
      <c r="N36" s="4130">
        <v>1</v>
      </c>
    </row>
    <row r="37" spans="1:14" ht="30.75" thickBot="1">
      <c r="A37" s="1667" t="s">
        <v>12690</v>
      </c>
      <c r="B37" s="1664" t="s">
        <v>8729</v>
      </c>
      <c r="C37" s="1665">
        <v>40</v>
      </c>
      <c r="D37" s="1671"/>
      <c r="E37" s="1671"/>
      <c r="F37" s="1671"/>
      <c r="G37" s="4132"/>
      <c r="H37" s="1671"/>
      <c r="I37" s="1673">
        <v>13</v>
      </c>
      <c r="J37" s="1669">
        <v>0</v>
      </c>
      <c r="K37" s="1673">
        <v>9.4</v>
      </c>
      <c r="L37" s="1669">
        <v>0</v>
      </c>
      <c r="M37" s="4132"/>
      <c r="N37" s="4132"/>
    </row>
    <row r="38" spans="1:14" ht="30.75" thickBot="1">
      <c r="A38" s="1667" t="s">
        <v>12691</v>
      </c>
      <c r="B38" s="1664" t="s">
        <v>8731</v>
      </c>
      <c r="C38" s="1665">
        <v>45</v>
      </c>
      <c r="D38" s="1671"/>
      <c r="E38" s="1671"/>
      <c r="F38" s="1671"/>
      <c r="G38" s="4132"/>
      <c r="H38" s="1671"/>
      <c r="I38" s="1673">
        <v>15</v>
      </c>
      <c r="J38" s="1671"/>
      <c r="K38" s="1673">
        <v>10.4</v>
      </c>
      <c r="L38" s="1671"/>
      <c r="M38" s="4132"/>
      <c r="N38" s="4132"/>
    </row>
    <row r="39" spans="1:14" ht="30.75" thickBot="1">
      <c r="A39" s="1667" t="s">
        <v>12692</v>
      </c>
      <c r="B39" s="1664" t="s">
        <v>8733</v>
      </c>
      <c r="C39" s="1665">
        <v>50</v>
      </c>
      <c r="D39" s="1670"/>
      <c r="E39" s="1670"/>
      <c r="F39" s="1670"/>
      <c r="G39" s="4131"/>
      <c r="H39" s="1670"/>
      <c r="I39" s="1673">
        <v>17</v>
      </c>
      <c r="J39" s="1671"/>
      <c r="K39" s="1673">
        <v>11.4</v>
      </c>
      <c r="L39" s="1671"/>
      <c r="M39" s="4131"/>
      <c r="N39" s="4131"/>
    </row>
    <row r="40" spans="1:14" ht="30.75" thickBot="1">
      <c r="A40" s="1667" t="s">
        <v>12693</v>
      </c>
      <c r="B40" s="1664" t="s">
        <v>8735</v>
      </c>
      <c r="C40" s="1665">
        <v>56</v>
      </c>
      <c r="D40" s="1666">
        <v>7.3999999999999996E-2</v>
      </c>
      <c r="E40" s="1666">
        <v>0.22</v>
      </c>
      <c r="F40" s="1666">
        <v>0</v>
      </c>
      <c r="G40" s="4130" t="s">
        <v>8736</v>
      </c>
      <c r="H40" s="1666">
        <v>3.2000000000000001E-2</v>
      </c>
      <c r="I40" s="1673">
        <v>20</v>
      </c>
      <c r="J40" s="1671"/>
      <c r="K40" s="1673">
        <v>12.4</v>
      </c>
      <c r="L40" s="1671"/>
      <c r="M40" s="4130">
        <v>1.2</v>
      </c>
      <c r="N40" s="4130">
        <v>1.6</v>
      </c>
    </row>
    <row r="41" spans="1:14" ht="30.75" thickBot="1">
      <c r="A41" s="1667" t="s">
        <v>12694</v>
      </c>
      <c r="B41" s="1664" t="s">
        <v>8738</v>
      </c>
      <c r="C41" s="1665">
        <v>63</v>
      </c>
      <c r="D41" s="1669">
        <v>0</v>
      </c>
      <c r="E41" s="1669">
        <v>0.1</v>
      </c>
      <c r="F41" s="1669">
        <v>-7.3999999999999996E-2</v>
      </c>
      <c r="G41" s="4132"/>
      <c r="H41" s="1669">
        <v>-0.106</v>
      </c>
      <c r="I41" s="1673">
        <v>20</v>
      </c>
      <c r="J41" s="1671"/>
      <c r="K41" s="1673">
        <v>12.4</v>
      </c>
      <c r="L41" s="1671"/>
      <c r="M41" s="4132"/>
      <c r="N41" s="4132"/>
    </row>
    <row r="42" spans="1:14" ht="30.75" thickBot="1">
      <c r="A42" s="1667" t="s">
        <v>12695</v>
      </c>
      <c r="B42" s="1664" t="s">
        <v>8740</v>
      </c>
      <c r="C42" s="1665">
        <v>70</v>
      </c>
      <c r="D42" s="1671"/>
      <c r="E42" s="1671"/>
      <c r="F42" s="1671"/>
      <c r="G42" s="4132"/>
      <c r="H42" s="1671"/>
      <c r="I42" s="1673">
        <v>22</v>
      </c>
      <c r="J42" s="1671"/>
      <c r="K42" s="1673">
        <v>14.4</v>
      </c>
      <c r="L42" s="1671"/>
      <c r="M42" s="4131"/>
      <c r="N42" s="4131"/>
    </row>
    <row r="43" spans="1:14" ht="30.75" thickBot="1">
      <c r="A43" s="1667" t="s">
        <v>12696</v>
      </c>
      <c r="B43" s="1664" t="s">
        <v>8742</v>
      </c>
      <c r="C43" s="1665">
        <v>80</v>
      </c>
      <c r="D43" s="1670"/>
      <c r="E43" s="1670"/>
      <c r="F43" s="1670"/>
      <c r="G43" s="4131"/>
      <c r="H43" s="1670"/>
      <c r="I43" s="1673">
        <v>25</v>
      </c>
      <c r="J43" s="1671"/>
      <c r="K43" s="1673">
        <v>15.4</v>
      </c>
      <c r="L43" s="1671"/>
      <c r="M43" s="4130">
        <v>2</v>
      </c>
      <c r="N43" s="4130">
        <v>2.5</v>
      </c>
    </row>
    <row r="44" spans="1:14" ht="30.75" thickBot="1">
      <c r="A44" s="1667" t="s">
        <v>12697</v>
      </c>
      <c r="B44" s="1664" t="s">
        <v>8744</v>
      </c>
      <c r="C44" s="1665">
        <v>90</v>
      </c>
      <c r="D44" s="1666">
        <v>8.6999999999999994E-2</v>
      </c>
      <c r="E44" s="1666">
        <v>0.26</v>
      </c>
      <c r="F44" s="1666">
        <v>0</v>
      </c>
      <c r="G44" s="4130" t="s">
        <v>8745</v>
      </c>
      <c r="H44" s="1666">
        <v>-3.6999999999999998E-2</v>
      </c>
      <c r="I44" s="1673">
        <v>28</v>
      </c>
      <c r="J44" s="1671"/>
      <c r="K44" s="1673">
        <v>17.399999999999999</v>
      </c>
      <c r="L44" s="1671"/>
      <c r="M44" s="4132"/>
      <c r="N44" s="4132"/>
    </row>
    <row r="45" spans="1:14" ht="30.75" thickBot="1">
      <c r="A45" s="1667" t="s">
        <v>12698</v>
      </c>
      <c r="B45" s="1672" t="s">
        <v>8747</v>
      </c>
      <c r="C45" s="1673">
        <v>100</v>
      </c>
      <c r="D45" s="1668">
        <v>0</v>
      </c>
      <c r="E45" s="1668">
        <v>0.12</v>
      </c>
      <c r="F45" s="1668">
        <v>-8.6999999999999994E-2</v>
      </c>
      <c r="G45" s="4131"/>
      <c r="H45" s="1668">
        <v>-0.124</v>
      </c>
      <c r="I45" s="1673">
        <v>31</v>
      </c>
      <c r="J45" s="1670"/>
      <c r="K45" s="1673">
        <v>19.5</v>
      </c>
      <c r="L45" s="1670"/>
      <c r="M45" s="4131"/>
      <c r="N45" s="4131"/>
    </row>
  </sheetData>
  <mergeCells count="35">
    <mergeCell ref="G40:G43"/>
    <mergeCell ref="M40:M42"/>
    <mergeCell ref="N40:N42"/>
    <mergeCell ref="M43:M45"/>
    <mergeCell ref="N43:N45"/>
    <mergeCell ref="G44:G45"/>
    <mergeCell ref="G31:G34"/>
    <mergeCell ref="M31:M35"/>
    <mergeCell ref="N31:N35"/>
    <mergeCell ref="G35:G39"/>
    <mergeCell ref="M36:M39"/>
    <mergeCell ref="N36:N39"/>
    <mergeCell ref="N20:N22"/>
    <mergeCell ref="G22:G24"/>
    <mergeCell ref="M23:M25"/>
    <mergeCell ref="N23:N25"/>
    <mergeCell ref="G25:G26"/>
    <mergeCell ref="G20:G21"/>
    <mergeCell ref="M20:M22"/>
    <mergeCell ref="M26:M30"/>
    <mergeCell ref="N26:N30"/>
    <mergeCell ref="G27:G30"/>
    <mergeCell ref="A13:N14"/>
    <mergeCell ref="C15:N15"/>
    <mergeCell ref="A16:A19"/>
    <mergeCell ref="B16:B19"/>
    <mergeCell ref="C16:H16"/>
    <mergeCell ref="I16:L16"/>
    <mergeCell ref="M16:N18"/>
    <mergeCell ref="C17:C19"/>
    <mergeCell ref="D17:H17"/>
    <mergeCell ref="I17:J18"/>
    <mergeCell ref="K17:L18"/>
    <mergeCell ref="D18:E18"/>
    <mergeCell ref="F18:G18"/>
  </mergeCells>
  <phoneticPr fontId="378" type="noConversion"/>
  <hyperlinks>
    <hyperlink ref="N4" location="总目录!A1" display="返回目录"/>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163</vt:i4>
      </vt:variant>
      <vt:variant>
        <vt:lpstr>已命名的範圍</vt:lpstr>
      </vt:variant>
      <vt:variant>
        <vt:i4>18</vt:i4>
      </vt:variant>
    </vt:vector>
  </HeadingPairs>
  <TitlesOfParts>
    <vt:vector size="181" baseType="lpstr">
      <vt:lpstr>总目录</vt:lpstr>
      <vt:lpstr>七国铝及其合金牌号对照表</vt:lpstr>
      <vt:lpstr>七国钢材牌号对照表</vt:lpstr>
      <vt:lpstr>常用工程材料属性</vt:lpstr>
      <vt:lpstr>塑料材料性能</vt:lpstr>
      <vt:lpstr>液压冲击</vt:lpstr>
      <vt:lpstr>【理论】总冲裁力的计算</vt:lpstr>
      <vt:lpstr>液压油</vt:lpstr>
      <vt:lpstr>缝隙.管路</vt:lpstr>
      <vt:lpstr>蓄能器</vt:lpstr>
      <vt:lpstr>油箱.热平衡</vt:lpstr>
      <vt:lpstr>泵.马达</vt:lpstr>
      <vt:lpstr>圆锥滚子轴承参数表</vt:lpstr>
      <vt:lpstr>公制螺纹大全</vt:lpstr>
      <vt:lpstr>椭圆</vt:lpstr>
      <vt:lpstr>正方形</vt:lpstr>
      <vt:lpstr>圆</vt:lpstr>
      <vt:lpstr>扇形圆环</vt:lpstr>
      <vt:lpstr>扇形</vt:lpstr>
      <vt:lpstr>三角形</vt:lpstr>
      <vt:lpstr>六边形</vt:lpstr>
      <vt:lpstr>空心正方形</vt:lpstr>
      <vt:lpstr>空心正方形（圆）</vt:lpstr>
      <vt:lpstr>空心圆</vt:lpstr>
      <vt:lpstr>空心椭圆</vt:lpstr>
      <vt:lpstr>矩形</vt:lpstr>
      <vt:lpstr>花键</vt:lpstr>
      <vt:lpstr>钢型截面</vt:lpstr>
      <vt:lpstr>带横孔圆</vt:lpstr>
      <vt:lpstr>薄壁正方形</vt:lpstr>
      <vt:lpstr>半圆环</vt:lpstr>
      <vt:lpstr>半圆</vt:lpstr>
      <vt:lpstr>功率计算公式</vt:lpstr>
      <vt:lpstr>捲料沖壓效率</vt:lpstr>
      <vt:lpstr>剪切力計算</vt:lpstr>
      <vt:lpstr>板材壓印成型之加工壓力</vt:lpstr>
      <vt:lpstr>V型 彎曲力之計算 </vt:lpstr>
      <vt:lpstr>U型 彎曲力之計算</vt:lpstr>
      <vt:lpstr>齿轮齿条电机选型</vt:lpstr>
      <vt:lpstr>正弦加速度凸轮</vt:lpstr>
      <vt:lpstr>凸轮正弦余弦计算对照表</vt:lpstr>
      <vt:lpstr>凸轮的轮廓曲线设计</vt:lpstr>
      <vt:lpstr>金属材料密度表</vt:lpstr>
      <vt:lpstr>倍速链的张力计算</vt:lpstr>
      <vt:lpstr>倍速链线马达功率计算</vt:lpstr>
      <vt:lpstr>英制螺纹</vt:lpstr>
      <vt:lpstr>滚珠丝杆水平 (2)</vt:lpstr>
      <vt:lpstr>转矩计算</vt:lpstr>
      <vt:lpstr>皮带传动</vt:lpstr>
      <vt:lpstr>滚珠丝杆垂直</vt:lpstr>
      <vt:lpstr>滚珠丝杆水平</vt:lpstr>
      <vt:lpstr>弹簧刚度计算大全</vt:lpstr>
      <vt:lpstr>链轮齿槽形状</vt:lpstr>
      <vt:lpstr>链轮的基本参数和主要尺寸</vt:lpstr>
      <vt:lpstr>传动用短节距精密滚子链</vt:lpstr>
      <vt:lpstr>链条长度计算</vt:lpstr>
      <vt:lpstr>轴向齿廓及尺寸</vt:lpstr>
      <vt:lpstr>英制螺纹底孔对照表</vt:lpstr>
      <vt:lpstr>C型三角带规格</vt:lpstr>
      <vt:lpstr>B型三角带规格</vt:lpstr>
      <vt:lpstr>A型三角带规格</vt:lpstr>
      <vt:lpstr>V型带槽型齿</vt:lpstr>
      <vt:lpstr>V型带轮规格型号</vt:lpstr>
      <vt:lpstr>凸轮各曲线特征</vt:lpstr>
      <vt:lpstr>形位公差</vt:lpstr>
      <vt:lpstr>孔偏差</vt:lpstr>
      <vt:lpstr>公差</vt:lpstr>
      <vt:lpstr>沉孔尺寸</vt:lpstr>
      <vt:lpstr>緊固螺釘旋入深度及螺孔底孔深度</vt:lpstr>
      <vt:lpstr>扳手空間尺寸</vt:lpstr>
      <vt:lpstr>T型槽尺寸</vt:lpstr>
      <vt:lpstr>亚德客缓冲器</vt:lpstr>
      <vt:lpstr>材质硬度对照表</vt:lpstr>
      <vt:lpstr>推力球轴承尺寸表</vt:lpstr>
      <vt:lpstr>深沟球轴承查询 </vt:lpstr>
      <vt:lpstr>平键和键槽</vt:lpstr>
      <vt:lpstr>E形扣环</vt:lpstr>
      <vt:lpstr>轴用</vt:lpstr>
      <vt:lpstr>孔用</vt:lpstr>
      <vt:lpstr>齿轮齿条传动设计计算  </vt:lpstr>
      <vt:lpstr>搖擺資料</vt:lpstr>
      <vt:lpstr>輸送帶計算</vt:lpstr>
      <vt:lpstr>齒輪分割計算</vt:lpstr>
      <vt:lpstr>棘轮计算</vt:lpstr>
      <vt:lpstr>弹簧计算</vt:lpstr>
      <vt:lpstr>齿式联轴器计算</vt:lpstr>
      <vt:lpstr>万向联轴器计算</vt:lpstr>
      <vt:lpstr>过盈计算</vt:lpstr>
      <vt:lpstr>减速机公称功率</vt:lpstr>
      <vt:lpstr>链条计算</vt:lpstr>
      <vt:lpstr>焊缝及键连接受力计算比较</vt:lpstr>
      <vt:lpstr>销的强度计算</vt:lpstr>
      <vt:lpstr>键的强度计算 </vt:lpstr>
      <vt:lpstr>同步带轮传动设计计算</vt:lpstr>
      <vt:lpstr>分度盘选型计算公式</vt:lpstr>
      <vt:lpstr>单位换算</vt:lpstr>
      <vt:lpstr>真空元件的选定</vt:lpstr>
      <vt:lpstr>耗气量计算及电磁阀选择</vt:lpstr>
      <vt:lpstr>三角皮带参数表</vt:lpstr>
      <vt:lpstr>气缸理论出力表</vt:lpstr>
      <vt:lpstr>气缸内径选型</vt:lpstr>
      <vt:lpstr>伺服电机选型自动版</vt:lpstr>
      <vt:lpstr>材料价格计算表</vt:lpstr>
      <vt:lpstr>压入力计算</vt:lpstr>
      <vt:lpstr>弹性模量、泊松系数</vt:lpstr>
      <vt:lpstr>电机功率确定程序</vt:lpstr>
      <vt:lpstr>变位圆柱</vt:lpstr>
      <vt:lpstr>齿轮齿条</vt:lpstr>
      <vt:lpstr>齿轮常用材料及其力学性能 (2)</vt:lpstr>
      <vt:lpstr>圆柱蜗杆传动基本几何尺寸计算公式</vt:lpstr>
      <vt:lpstr>圆柱蜗杆传动主要参数搭配推荐值</vt:lpstr>
      <vt:lpstr>三角皮带长度计算</vt:lpstr>
      <vt:lpstr>粗螺纹</vt:lpstr>
      <vt:lpstr>美制特细螺纹及英制电器螺纹</vt:lpstr>
      <vt:lpstr>管螺纹</vt:lpstr>
      <vt:lpstr>螺纹及针车用螺纹</vt:lpstr>
      <vt:lpstr>立柱计算</vt:lpstr>
      <vt:lpstr>稳定性系数</vt:lpstr>
      <vt:lpstr>   齿轮齿条传动设计计算    </vt:lpstr>
      <vt:lpstr>齿轮常用材料及其力学性能</vt:lpstr>
      <vt:lpstr>蜗轮传动</vt:lpstr>
      <vt:lpstr>高度变位斜齿轮跨棒(球)距</vt:lpstr>
      <vt:lpstr>外花键跨棒距</vt:lpstr>
      <vt:lpstr>内花键棒间距</vt:lpstr>
      <vt:lpstr>高变位齿轮尺寸计算</vt:lpstr>
      <vt:lpstr>超越离合器设计计算表</vt:lpstr>
      <vt:lpstr>常用Y系列电机型号参数表</vt:lpstr>
      <vt:lpstr>锥齿轮传动设计计算</vt:lpstr>
      <vt:lpstr>概述</vt:lpstr>
      <vt:lpstr>负载转矩计算</vt:lpstr>
      <vt:lpstr>惯量计算</vt:lpstr>
      <vt:lpstr>皮带轮间歇运动</vt:lpstr>
      <vt:lpstr>皮带轮连续运动</vt:lpstr>
      <vt:lpstr>分度盘</vt:lpstr>
      <vt:lpstr>其他</vt:lpstr>
      <vt:lpstr>电机常识</vt:lpstr>
      <vt:lpstr>圆盘</vt:lpstr>
      <vt:lpstr>分割器选型基础知识</vt:lpstr>
      <vt:lpstr>螺纹中小径计算</vt:lpstr>
      <vt:lpstr>塞打螺丝常用规格表</vt:lpstr>
      <vt:lpstr>米制细牙螺纹</vt:lpstr>
      <vt:lpstr>轴的基本偏差</vt:lpstr>
      <vt:lpstr>带滑块轴承座规格表</vt:lpstr>
      <vt:lpstr>同步带节线长计算</vt:lpstr>
      <vt:lpstr>气缸推力计算</vt:lpstr>
      <vt:lpstr>真空用元件的选定</vt:lpstr>
      <vt:lpstr>螺丝攻牙钻孔径</vt:lpstr>
      <vt:lpstr>管螺纹对照表</vt:lpstr>
      <vt:lpstr>螺栓扭矩标准</vt:lpstr>
      <vt:lpstr>针车用螺纹</vt:lpstr>
      <vt:lpstr>蜗杆常用材料</vt:lpstr>
      <vt:lpstr>链轮计算</vt:lpstr>
      <vt:lpstr>材料摩擦系数</vt:lpstr>
      <vt:lpstr>标准件量</vt:lpstr>
      <vt:lpstr>惯性距计算</vt:lpstr>
      <vt:lpstr>过盈</vt:lpstr>
      <vt:lpstr>形状位置公差加工方法</vt:lpstr>
      <vt:lpstr>密度</vt:lpstr>
      <vt:lpstr>O型圈</vt:lpstr>
      <vt:lpstr>无缝管</vt:lpstr>
      <vt:lpstr>标准筛目</vt:lpstr>
      <vt:lpstr>各曲线特征</vt:lpstr>
      <vt:lpstr>平键和键槽标准尺寸规格表</vt:lpstr>
      <vt:lpstr>'   齿轮齿条传动设计计算    '!Print_Area</vt:lpstr>
      <vt:lpstr>T型槽尺寸!Print_Area</vt:lpstr>
      <vt:lpstr>'U型 彎曲力之計算'!Print_Area</vt:lpstr>
      <vt:lpstr>'V型 彎曲力之計算 '!Print_Area</vt:lpstr>
      <vt:lpstr>凸轮正弦余弦计算对照表!Print_Area</vt:lpstr>
      <vt:lpstr>电机功率确定程序!Print_Area</vt:lpstr>
      <vt:lpstr>沉孔尺寸!Print_Area</vt:lpstr>
      <vt:lpstr>变位圆柱!Print_Area</vt:lpstr>
      <vt:lpstr>板材壓印成型之加工壓力!Print_Area</vt:lpstr>
      <vt:lpstr>金属材料密度表!Print_Area</vt:lpstr>
      <vt:lpstr>英制螺纹底孔对照表!Print_Area</vt:lpstr>
      <vt:lpstr>倍速链线马达功率计算!Print_Area</vt:lpstr>
      <vt:lpstr>剪切力計算!Print_Area</vt:lpstr>
      <vt:lpstr>捲料沖壓效率!Print_Area</vt:lpstr>
      <vt:lpstr>'深沟球轴承查询 '!Print_Area</vt:lpstr>
      <vt:lpstr>轴用!Print_Area</vt:lpstr>
      <vt:lpstr>锥齿轮传动设计计算!Print_Area</vt:lpstr>
      <vt:lpstr>常用Y系列电机型号参数表!Print_Titles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netpe09</cp:lastModifiedBy>
  <cp:revision>1</cp:revision>
  <cp:lastPrinted>2006-12-20T10:31:00Z</cp:lastPrinted>
  <dcterms:created xsi:type="dcterms:W3CDTF">1996-12-17T01:32:00Z</dcterms:created>
  <dcterms:modified xsi:type="dcterms:W3CDTF">2020-05-25T11:48:46Z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2052-10.1.0.6876</vt:lpwstr>
  </property>
  <property fmtid="{D5CDD505-2E9C-101B-9397-08002B2CF9AE}" pid="3" name="KSOReadingLayout">
    <vt:bool>false</vt:bool>
  </property>
</Properties>
</file>